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autoCompressPictures="0"/>
  <bookViews>
    <workbookView xWindow="0" yWindow="0" windowWidth="25600" windowHeight="16060" tabRatio="500"/>
  </bookViews>
  <sheets>
    <sheet name="來案暨出貨明細表-基因檢測(201904起" sheetId="1" r:id="rId1"/>
    <sheet name="來案寄出貨明細表-R1, B1基因組" sheetId="2" r:id="rId2"/>
    <sheet name="報告書出貨統計表" sheetId="3" r:id="rId3"/>
    <sheet name="檢測產出統計表" sheetId="4" r:id="rId4"/>
    <sheet name="工作表6" sheetId="5" state="hidden" r:id="rId5"/>
    <sheet name="醫療院所DATABASE" sheetId="6" state="hidden" r:id="rId6"/>
    <sheet name="股東DATABASE" sheetId="7" state="hidden" r:id="rId7"/>
    <sheet name="上海百岳特2500專案" sheetId="8" state="hidden" r:id="rId8"/>
    <sheet name="天晟" sheetId="9" state="hidden" r:id="rId9"/>
    <sheet name="大江生醫農科1800專案" sheetId="10" state="hidden" r:id="rId10"/>
    <sheet name="大誠" sheetId="11" state="hidden" r:id="rId11"/>
    <sheet name="星采" sheetId="12" state="hidden" r:id="rId12"/>
    <sheet name="生醫" sheetId="13" state="hidden" r:id="rId13"/>
    <sheet name="電銷" sheetId="14" state="hidden" r:id="rId14"/>
    <sheet name="電視購物" sheetId="15" state="hidden" r:id="rId15"/>
    <sheet name="保吉生" sheetId="16" state="hidden" r:id="rId16"/>
    <sheet name="台灣薄膜" sheetId="17" state="hidden" r:id="rId17"/>
  </sheets>
  <definedNames>
    <definedName name="_xlnm._FilterDatabase" localSheetId="7" hidden="1">上海百岳特2500專案!$A$1:$Q$64</definedName>
    <definedName name="_xlnm._FilterDatabase" localSheetId="1" hidden="1">'來案寄出貨明細表-R1, B1基因組'!$A$1:$AG$1073</definedName>
    <definedName name="_xlnm._FilterDatabase" localSheetId="0" hidden="1">'來案暨出貨明細表-基因檢測(201904起'!$A$1:$U$418</definedName>
    <definedName name="Z_5803CC54_402F_4A18_B885_AD5764FF37C2_.wvu.FilterData" localSheetId="1" hidden="1">'來案寄出貨明細表-R1, B1基因組'!$A$1:$Z$140</definedName>
    <definedName name="Z_5803CC54_402F_4A18_B885_AD5764FF37C2_.wvu.FilterData" localSheetId="0" hidden="1">'來案暨出貨明細表-基因檢測(201904起'!$A$1:$AD$987</definedName>
    <definedName name="Z_607B74F2_161E_4763_BC99_80B8641D3FF1_.wvu.Cols" localSheetId="10">#REF!</definedName>
    <definedName name="Z_607B74F2_161E_4763_BC99_80B8641D3FF1_.wvu.Cols" localSheetId="8">#REF!</definedName>
    <definedName name="Z_607B74F2_161E_4763_BC99_80B8641D3FF1_.wvu.Cols" localSheetId="16">#REF!</definedName>
    <definedName name="Z_607B74F2_161E_4763_BC99_80B8641D3FF1_.wvu.Cols" localSheetId="12">#REF!</definedName>
    <definedName name="Z_607B74F2_161E_4763_BC99_80B8641D3FF1_.wvu.Cols" localSheetId="15">#REF!</definedName>
    <definedName name="Z_607B74F2_161E_4763_BC99_80B8641D3FF1_.wvu.Cols" localSheetId="11">#REF!</definedName>
    <definedName name="Z_607B74F2_161E_4763_BC99_80B8641D3FF1_.wvu.Cols" localSheetId="14">#REF!</definedName>
    <definedName name="Z_607B74F2_161E_4763_BC99_80B8641D3FF1_.wvu.Cols" localSheetId="13">#REF!</definedName>
    <definedName name="Z_607B74F2_161E_4763_BC99_80B8641D3FF1_.wvu.PrintTitles" localSheetId="10">大誠!$2:$2</definedName>
    <definedName name="Z_607B74F2_161E_4763_BC99_80B8641D3FF1_.wvu.PrintTitles" localSheetId="8">天晟!$3:$3</definedName>
    <definedName name="Z_607B74F2_161E_4763_BC99_80B8641D3FF1_.wvu.PrintTitles" localSheetId="16">台灣薄膜!$2:$2</definedName>
    <definedName name="Z_607B74F2_161E_4763_BC99_80B8641D3FF1_.wvu.PrintTitles" localSheetId="12">生醫!$2:$3</definedName>
    <definedName name="Z_607B74F2_161E_4763_BC99_80B8641D3FF1_.wvu.PrintTitles" localSheetId="15">保吉生!$2:$2</definedName>
    <definedName name="Z_607B74F2_161E_4763_BC99_80B8641D3FF1_.wvu.PrintTitles" localSheetId="11">星采!$2:$2</definedName>
    <definedName name="Z_ED20CC69_DF7E_48C0_892D_1B5D6A0EDEC6_.wvu.FilterData" localSheetId="0" hidden="1">'來案暨出貨明細表-基因檢測(201904起'!$A$1:$AD$1100</definedName>
  </definedNames>
  <calcPr calcId="140001" concurrentCalc="0"/>
  <customWorkbookViews>
    <customWorkbookView name="篩選器 2" guid="{ED20CC69-DF7E-48C0-892D-1B5D6A0EDEC6}" maximized="1" windowWidth="0" windowHeight="0" activeSheetId="0"/>
    <customWorkbookView name="篩選器 1" guid="{5803CC54-402F-4A18-B885-AD5764FF37C2}" maximized="1" windowWidth="0" windowHeight="0" activeSheetId="0"/>
  </customWorkbookViews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550" i="7" l="1"/>
  <c r="B550" i="7"/>
  <c r="A550" i="7"/>
  <c r="C549" i="7"/>
  <c r="B549" i="7"/>
  <c r="A549" i="7"/>
  <c r="C548" i="7"/>
  <c r="B548" i="7"/>
  <c r="A548" i="7"/>
  <c r="C547" i="7"/>
  <c r="B547" i="7"/>
  <c r="A547" i="7"/>
  <c r="C546" i="7"/>
  <c r="B546" i="7"/>
  <c r="A546" i="7"/>
  <c r="C545" i="7"/>
  <c r="B545" i="7"/>
  <c r="A545" i="7"/>
  <c r="C544" i="7"/>
  <c r="B544" i="7"/>
  <c r="A544" i="7"/>
  <c r="C543" i="7"/>
  <c r="B543" i="7"/>
  <c r="A543" i="7"/>
  <c r="C542" i="7"/>
  <c r="B542" i="7"/>
  <c r="A542" i="7"/>
  <c r="C541" i="7"/>
  <c r="B541" i="7"/>
  <c r="A541" i="7"/>
  <c r="C540" i="7"/>
  <c r="B540" i="7"/>
  <c r="A540" i="7"/>
  <c r="C539" i="7"/>
  <c r="B539" i="7"/>
  <c r="A539" i="7"/>
  <c r="C538" i="7"/>
  <c r="B538" i="7"/>
  <c r="A538" i="7"/>
  <c r="C537" i="7"/>
  <c r="B537" i="7"/>
  <c r="A537" i="7"/>
  <c r="C536" i="7"/>
  <c r="B536" i="7"/>
  <c r="A536" i="7"/>
  <c r="C535" i="7"/>
  <c r="B535" i="7"/>
  <c r="A535" i="7"/>
  <c r="C534" i="7"/>
  <c r="B534" i="7"/>
  <c r="A534" i="7"/>
  <c r="C533" i="7"/>
  <c r="B533" i="7"/>
  <c r="A533" i="7"/>
  <c r="C532" i="7"/>
  <c r="B532" i="7"/>
  <c r="A532" i="7"/>
  <c r="C531" i="7"/>
  <c r="B531" i="7"/>
  <c r="A531" i="7"/>
  <c r="C530" i="7"/>
  <c r="B530" i="7"/>
  <c r="A530" i="7"/>
  <c r="C529" i="7"/>
  <c r="B529" i="7"/>
  <c r="A529" i="7"/>
  <c r="C528" i="7"/>
  <c r="B528" i="7"/>
  <c r="A528" i="7"/>
  <c r="C527" i="7"/>
  <c r="B527" i="7"/>
  <c r="A527" i="7"/>
  <c r="C526" i="7"/>
  <c r="B526" i="7"/>
  <c r="A526" i="7"/>
  <c r="C525" i="7"/>
  <c r="B525" i="7"/>
  <c r="A525" i="7"/>
  <c r="C524" i="7"/>
  <c r="B524" i="7"/>
  <c r="A524" i="7"/>
  <c r="C523" i="7"/>
  <c r="B523" i="7"/>
  <c r="A523" i="7"/>
  <c r="C522" i="7"/>
  <c r="B522" i="7"/>
  <c r="A522" i="7"/>
  <c r="C521" i="7"/>
  <c r="B521" i="7"/>
  <c r="A521" i="7"/>
  <c r="C520" i="7"/>
  <c r="B520" i="7"/>
  <c r="A520" i="7"/>
  <c r="C519" i="7"/>
  <c r="B519" i="7"/>
  <c r="A519" i="7"/>
  <c r="C518" i="7"/>
  <c r="B518" i="7"/>
  <c r="A518" i="7"/>
  <c r="C517" i="7"/>
  <c r="B517" i="7"/>
  <c r="A517" i="7"/>
  <c r="C516" i="7"/>
  <c r="B516" i="7"/>
  <c r="A516" i="7"/>
  <c r="C515" i="7"/>
  <c r="B515" i="7"/>
  <c r="A515" i="7"/>
  <c r="C514" i="7"/>
  <c r="B514" i="7"/>
  <c r="A514" i="7"/>
  <c r="C513" i="7"/>
  <c r="B513" i="7"/>
  <c r="A513" i="7"/>
  <c r="C512" i="7"/>
  <c r="B512" i="7"/>
  <c r="A512" i="7"/>
  <c r="C511" i="7"/>
  <c r="B511" i="7"/>
  <c r="A511" i="7"/>
  <c r="C510" i="7"/>
  <c r="B510" i="7"/>
  <c r="A510" i="7"/>
  <c r="C509" i="7"/>
  <c r="B509" i="7"/>
  <c r="A509" i="7"/>
  <c r="C508" i="7"/>
  <c r="B508" i="7"/>
  <c r="A508" i="7"/>
  <c r="C507" i="7"/>
  <c r="B507" i="7"/>
  <c r="A507" i="7"/>
  <c r="C506" i="7"/>
  <c r="B506" i="7"/>
  <c r="A506" i="7"/>
  <c r="C505" i="7"/>
  <c r="B505" i="7"/>
  <c r="A505" i="7"/>
  <c r="C504" i="7"/>
  <c r="B504" i="7"/>
  <c r="A504" i="7"/>
  <c r="C503" i="7"/>
  <c r="B503" i="7"/>
  <c r="A503" i="7"/>
  <c r="C502" i="7"/>
  <c r="B502" i="7"/>
  <c r="A502" i="7"/>
  <c r="C501" i="7"/>
  <c r="B501" i="7"/>
  <c r="A501" i="7"/>
  <c r="C500" i="7"/>
  <c r="B500" i="7"/>
  <c r="A500" i="7"/>
  <c r="C499" i="7"/>
  <c r="B499" i="7"/>
  <c r="A499" i="7"/>
  <c r="C498" i="7"/>
  <c r="B498" i="7"/>
  <c r="A498" i="7"/>
  <c r="C497" i="7"/>
  <c r="B497" i="7"/>
  <c r="A497" i="7"/>
  <c r="C496" i="7"/>
  <c r="B496" i="7"/>
  <c r="A496" i="7"/>
  <c r="C495" i="7"/>
  <c r="B495" i="7"/>
  <c r="A495" i="7"/>
  <c r="C494" i="7"/>
  <c r="B494" i="7"/>
  <c r="A494" i="7"/>
  <c r="C493" i="7"/>
  <c r="B493" i="7"/>
  <c r="A493" i="7"/>
  <c r="C492" i="7"/>
  <c r="B492" i="7"/>
  <c r="A492" i="7"/>
  <c r="C491" i="7"/>
  <c r="B491" i="7"/>
  <c r="A491" i="7"/>
  <c r="C490" i="7"/>
  <c r="B490" i="7"/>
  <c r="A490" i="7"/>
  <c r="C489" i="7"/>
  <c r="B489" i="7"/>
  <c r="A489" i="7"/>
  <c r="C488" i="7"/>
  <c r="B488" i="7"/>
  <c r="A488" i="7"/>
  <c r="C487" i="7"/>
  <c r="B487" i="7"/>
  <c r="A487" i="7"/>
  <c r="C486" i="7"/>
  <c r="B486" i="7"/>
  <c r="A486" i="7"/>
  <c r="C485" i="7"/>
  <c r="B485" i="7"/>
  <c r="A485" i="7"/>
  <c r="C484" i="7"/>
  <c r="B484" i="7"/>
  <c r="A484" i="7"/>
  <c r="C483" i="7"/>
  <c r="B483" i="7"/>
  <c r="A483" i="7"/>
  <c r="C482" i="7"/>
  <c r="B482" i="7"/>
  <c r="A482" i="7"/>
  <c r="C481" i="7"/>
  <c r="B481" i="7"/>
  <c r="A481" i="7"/>
  <c r="C480" i="7"/>
  <c r="B480" i="7"/>
  <c r="A480" i="7"/>
  <c r="C479" i="7"/>
  <c r="B479" i="7"/>
  <c r="A479" i="7"/>
  <c r="C478" i="7"/>
  <c r="B478" i="7"/>
  <c r="A478" i="7"/>
  <c r="C477" i="7"/>
  <c r="B477" i="7"/>
  <c r="A477" i="7"/>
  <c r="C476" i="7"/>
  <c r="B476" i="7"/>
  <c r="A476" i="7"/>
  <c r="C475" i="7"/>
  <c r="B475" i="7"/>
  <c r="A475" i="7"/>
  <c r="C474" i="7"/>
  <c r="B474" i="7"/>
  <c r="A474" i="7"/>
  <c r="C473" i="7"/>
  <c r="B473" i="7"/>
  <c r="A473" i="7"/>
  <c r="C472" i="7"/>
  <c r="B472" i="7"/>
  <c r="A472" i="7"/>
  <c r="C471" i="7"/>
  <c r="B471" i="7"/>
  <c r="A471" i="7"/>
  <c r="C470" i="7"/>
  <c r="B470" i="7"/>
  <c r="A470" i="7"/>
  <c r="C469" i="7"/>
  <c r="B469" i="7"/>
  <c r="A469" i="7"/>
  <c r="C468" i="7"/>
  <c r="B468" i="7"/>
  <c r="A468" i="7"/>
  <c r="C467" i="7"/>
  <c r="B467" i="7"/>
  <c r="A467" i="7"/>
  <c r="C466" i="7"/>
  <c r="B466" i="7"/>
  <c r="A466" i="7"/>
  <c r="C465" i="7"/>
  <c r="B465" i="7"/>
  <c r="A465" i="7"/>
  <c r="C464" i="7"/>
  <c r="B464" i="7"/>
  <c r="A464" i="7"/>
  <c r="C463" i="7"/>
  <c r="B463" i="7"/>
  <c r="A463" i="7"/>
  <c r="C462" i="7"/>
  <c r="B462" i="7"/>
  <c r="A462" i="7"/>
  <c r="C461" i="7"/>
  <c r="B461" i="7"/>
  <c r="A461" i="7"/>
  <c r="C460" i="7"/>
  <c r="B460" i="7"/>
  <c r="A460" i="7"/>
  <c r="C459" i="7"/>
  <c r="B459" i="7"/>
  <c r="A459" i="7"/>
  <c r="C458" i="7"/>
  <c r="B458" i="7"/>
  <c r="A458" i="7"/>
  <c r="C457" i="7"/>
  <c r="B457" i="7"/>
  <c r="A457" i="7"/>
  <c r="C456" i="7"/>
  <c r="B456" i="7"/>
  <c r="A456" i="7"/>
  <c r="C455" i="7"/>
  <c r="B455" i="7"/>
  <c r="A455" i="7"/>
  <c r="C454" i="7"/>
  <c r="B454" i="7"/>
  <c r="A454" i="7"/>
  <c r="C453" i="7"/>
  <c r="B453" i="7"/>
  <c r="A453" i="7"/>
  <c r="C452" i="7"/>
  <c r="B452" i="7"/>
  <c r="A452" i="7"/>
  <c r="C451" i="7"/>
  <c r="B451" i="7"/>
  <c r="A451" i="7"/>
  <c r="C450" i="7"/>
  <c r="B450" i="7"/>
  <c r="A450" i="7"/>
  <c r="C449" i="7"/>
  <c r="B449" i="7"/>
  <c r="A449" i="7"/>
  <c r="C448" i="7"/>
  <c r="B448" i="7"/>
  <c r="A448" i="7"/>
  <c r="C447" i="7"/>
  <c r="B447" i="7"/>
  <c r="A447" i="7"/>
  <c r="C446" i="7"/>
  <c r="B446" i="7"/>
  <c r="A446" i="7"/>
  <c r="C445" i="7"/>
  <c r="B445" i="7"/>
  <c r="A445" i="7"/>
  <c r="C444" i="7"/>
  <c r="B444" i="7"/>
  <c r="A444" i="7"/>
  <c r="C443" i="7"/>
  <c r="B443" i="7"/>
  <c r="A443" i="7"/>
  <c r="C442" i="7"/>
  <c r="B442" i="7"/>
  <c r="A442" i="7"/>
  <c r="C441" i="7"/>
  <c r="B441" i="7"/>
  <c r="A441" i="7"/>
  <c r="C440" i="7"/>
  <c r="B440" i="7"/>
  <c r="A440" i="7"/>
  <c r="C439" i="7"/>
  <c r="B439" i="7"/>
  <c r="A439" i="7"/>
  <c r="C438" i="7"/>
  <c r="B438" i="7"/>
  <c r="A438" i="7"/>
  <c r="C437" i="7"/>
  <c r="B437" i="7"/>
  <c r="A437" i="7"/>
  <c r="C436" i="7"/>
  <c r="B436" i="7"/>
  <c r="A436" i="7"/>
  <c r="C435" i="7"/>
  <c r="B435" i="7"/>
  <c r="A435" i="7"/>
  <c r="C434" i="7"/>
  <c r="B434" i="7"/>
  <c r="A434" i="7"/>
  <c r="C433" i="7"/>
  <c r="B433" i="7"/>
  <c r="A433" i="7"/>
  <c r="C432" i="7"/>
  <c r="B432" i="7"/>
  <c r="A432" i="7"/>
  <c r="C431" i="7"/>
  <c r="B431" i="7"/>
  <c r="A431" i="7"/>
  <c r="C430" i="7"/>
  <c r="B430" i="7"/>
  <c r="A430" i="7"/>
  <c r="C429" i="7"/>
  <c r="B429" i="7"/>
  <c r="A429" i="7"/>
  <c r="C428" i="7"/>
  <c r="B428" i="7"/>
  <c r="A428" i="7"/>
  <c r="C427" i="7"/>
  <c r="B427" i="7"/>
  <c r="A427" i="7"/>
  <c r="C426" i="7"/>
  <c r="B426" i="7"/>
  <c r="A426" i="7"/>
  <c r="C425" i="7"/>
  <c r="B425" i="7"/>
  <c r="A425" i="7"/>
  <c r="C424" i="7"/>
  <c r="B424" i="7"/>
  <c r="A424" i="7"/>
  <c r="C423" i="7"/>
  <c r="B423" i="7"/>
  <c r="A423" i="7"/>
  <c r="C422" i="7"/>
  <c r="B422" i="7"/>
  <c r="A422" i="7"/>
  <c r="C421" i="7"/>
  <c r="B421" i="7"/>
  <c r="A421" i="7"/>
  <c r="C420" i="7"/>
  <c r="B420" i="7"/>
  <c r="A420" i="7"/>
  <c r="C419" i="7"/>
  <c r="B419" i="7"/>
  <c r="A419" i="7"/>
  <c r="C418" i="7"/>
  <c r="B418" i="7"/>
  <c r="A418" i="7"/>
  <c r="C417" i="7"/>
  <c r="B417" i="7"/>
  <c r="A417" i="7"/>
  <c r="C416" i="7"/>
  <c r="B416" i="7"/>
  <c r="A416" i="7"/>
  <c r="C415" i="7"/>
  <c r="B415" i="7"/>
  <c r="A415" i="7"/>
  <c r="C414" i="7"/>
  <c r="B414" i="7"/>
  <c r="A414" i="7"/>
  <c r="C413" i="7"/>
  <c r="B413" i="7"/>
  <c r="A413" i="7"/>
  <c r="C412" i="7"/>
  <c r="B412" i="7"/>
  <c r="A412" i="7"/>
  <c r="C411" i="7"/>
  <c r="B411" i="7"/>
  <c r="A411" i="7"/>
  <c r="C410" i="7"/>
  <c r="B410" i="7"/>
  <c r="A410" i="7"/>
  <c r="C409" i="7"/>
  <c r="B409" i="7"/>
  <c r="A409" i="7"/>
  <c r="C408" i="7"/>
  <c r="B408" i="7"/>
  <c r="A408" i="7"/>
  <c r="C407" i="7"/>
  <c r="B407" i="7"/>
  <c r="A407" i="7"/>
  <c r="C406" i="7"/>
  <c r="B406" i="7"/>
  <c r="A406" i="7"/>
  <c r="C405" i="7"/>
  <c r="B405" i="7"/>
  <c r="A405" i="7"/>
  <c r="C404" i="7"/>
  <c r="B404" i="7"/>
  <c r="A404" i="7"/>
  <c r="C403" i="7"/>
  <c r="B403" i="7"/>
  <c r="A403" i="7"/>
  <c r="C402" i="7"/>
  <c r="B402" i="7"/>
  <c r="A402" i="7"/>
  <c r="C401" i="7"/>
  <c r="B401" i="7"/>
  <c r="A401" i="7"/>
  <c r="C400" i="7"/>
  <c r="B400" i="7"/>
  <c r="A400" i="7"/>
  <c r="C399" i="7"/>
  <c r="B399" i="7"/>
  <c r="A399" i="7"/>
  <c r="C398" i="7"/>
  <c r="B398" i="7"/>
  <c r="A398" i="7"/>
  <c r="C397" i="7"/>
  <c r="B397" i="7"/>
  <c r="A397" i="7"/>
  <c r="C396" i="7"/>
  <c r="B396" i="7"/>
  <c r="A396" i="7"/>
  <c r="C395" i="7"/>
  <c r="B395" i="7"/>
  <c r="A395" i="7"/>
  <c r="C394" i="7"/>
  <c r="B394" i="7"/>
  <c r="A394" i="7"/>
  <c r="C393" i="7"/>
  <c r="B393" i="7"/>
  <c r="A393" i="7"/>
  <c r="C392" i="7"/>
  <c r="B392" i="7"/>
  <c r="A392" i="7"/>
  <c r="C391" i="7"/>
  <c r="B391" i="7"/>
  <c r="A391" i="7"/>
  <c r="C390" i="7"/>
  <c r="B390" i="7"/>
  <c r="A390" i="7"/>
  <c r="C389" i="7"/>
  <c r="B389" i="7"/>
  <c r="A389" i="7"/>
  <c r="C388" i="7"/>
  <c r="B388" i="7"/>
  <c r="A388" i="7"/>
  <c r="C387" i="7"/>
  <c r="B387" i="7"/>
  <c r="A387" i="7"/>
  <c r="C386" i="7"/>
  <c r="B386" i="7"/>
  <c r="A386" i="7"/>
  <c r="C385" i="7"/>
  <c r="B385" i="7"/>
  <c r="A385" i="7"/>
  <c r="C384" i="7"/>
  <c r="B384" i="7"/>
  <c r="A384" i="7"/>
  <c r="C383" i="7"/>
  <c r="B383" i="7"/>
  <c r="A383" i="7"/>
  <c r="C382" i="7"/>
  <c r="B382" i="7"/>
  <c r="A382" i="7"/>
  <c r="C381" i="7"/>
  <c r="B381" i="7"/>
  <c r="A381" i="7"/>
  <c r="C380" i="7"/>
  <c r="B380" i="7"/>
  <c r="A380" i="7"/>
  <c r="C379" i="7"/>
  <c r="B379" i="7"/>
  <c r="A379" i="7"/>
  <c r="C378" i="7"/>
  <c r="B378" i="7"/>
  <c r="A378" i="7"/>
  <c r="C377" i="7"/>
  <c r="B377" i="7"/>
  <c r="A377" i="7"/>
  <c r="C376" i="7"/>
  <c r="B376" i="7"/>
  <c r="A376" i="7"/>
  <c r="C375" i="7"/>
  <c r="B375" i="7"/>
  <c r="A375" i="7"/>
  <c r="C374" i="7"/>
  <c r="B374" i="7"/>
  <c r="A374" i="7"/>
  <c r="C373" i="7"/>
  <c r="B373" i="7"/>
  <c r="A373" i="7"/>
  <c r="C372" i="7"/>
  <c r="B372" i="7"/>
  <c r="A372" i="7"/>
  <c r="C371" i="7"/>
  <c r="B371" i="7"/>
  <c r="A371" i="7"/>
  <c r="C370" i="7"/>
  <c r="B370" i="7"/>
  <c r="A370" i="7"/>
  <c r="C369" i="7"/>
  <c r="B369" i="7"/>
  <c r="A369" i="7"/>
  <c r="C368" i="7"/>
  <c r="B368" i="7"/>
  <c r="A368" i="7"/>
  <c r="C367" i="7"/>
  <c r="B367" i="7"/>
  <c r="A367" i="7"/>
  <c r="C366" i="7"/>
  <c r="B366" i="7"/>
  <c r="A366" i="7"/>
  <c r="C365" i="7"/>
  <c r="B365" i="7"/>
  <c r="A365" i="7"/>
  <c r="C364" i="7"/>
  <c r="B364" i="7"/>
  <c r="A364" i="7"/>
  <c r="C363" i="7"/>
  <c r="B363" i="7"/>
  <c r="A363" i="7"/>
  <c r="C362" i="7"/>
  <c r="B362" i="7"/>
  <c r="A362" i="7"/>
  <c r="C361" i="7"/>
  <c r="B361" i="7"/>
  <c r="A361" i="7"/>
  <c r="C360" i="7"/>
  <c r="B360" i="7"/>
  <c r="A360" i="7"/>
  <c r="C359" i="7"/>
  <c r="B359" i="7"/>
  <c r="A359" i="7"/>
  <c r="C358" i="7"/>
  <c r="B358" i="7"/>
  <c r="A358" i="7"/>
  <c r="C357" i="7"/>
  <c r="B357" i="7"/>
  <c r="A357" i="7"/>
  <c r="C356" i="7"/>
  <c r="B356" i="7"/>
  <c r="A356" i="7"/>
  <c r="C355" i="7"/>
  <c r="B355" i="7"/>
  <c r="A355" i="7"/>
  <c r="C354" i="7"/>
  <c r="B354" i="7"/>
  <c r="A354" i="7"/>
  <c r="C353" i="7"/>
  <c r="B353" i="7"/>
  <c r="A353" i="7"/>
  <c r="C352" i="7"/>
  <c r="B352" i="7"/>
  <c r="A352" i="7"/>
  <c r="C351" i="7"/>
  <c r="B351" i="7"/>
  <c r="A351" i="7"/>
  <c r="C350" i="7"/>
  <c r="B350" i="7"/>
  <c r="A350" i="7"/>
  <c r="C349" i="7"/>
  <c r="B349" i="7"/>
  <c r="A349" i="7"/>
  <c r="C348" i="7"/>
  <c r="B348" i="7"/>
  <c r="A348" i="7"/>
  <c r="C347" i="7"/>
  <c r="B347" i="7"/>
  <c r="A347" i="7"/>
  <c r="C346" i="7"/>
  <c r="B346" i="7"/>
  <c r="A346" i="7"/>
  <c r="C345" i="7"/>
  <c r="B345" i="7"/>
  <c r="A345" i="7"/>
  <c r="C344" i="7"/>
  <c r="B344" i="7"/>
  <c r="A344" i="7"/>
  <c r="C343" i="7"/>
  <c r="B343" i="7"/>
  <c r="A343" i="7"/>
  <c r="C342" i="7"/>
  <c r="B342" i="7"/>
  <c r="A342" i="7"/>
  <c r="C341" i="7"/>
  <c r="B341" i="7"/>
  <c r="A341" i="7"/>
  <c r="C340" i="7"/>
  <c r="B340" i="7"/>
  <c r="A340" i="7"/>
  <c r="C339" i="7"/>
  <c r="B339" i="7"/>
  <c r="A339" i="7"/>
  <c r="C338" i="7"/>
  <c r="B338" i="7"/>
  <c r="A338" i="7"/>
  <c r="C337" i="7"/>
  <c r="B337" i="7"/>
  <c r="A337" i="7"/>
  <c r="C336" i="7"/>
  <c r="B336" i="7"/>
  <c r="A336" i="7"/>
  <c r="C335" i="7"/>
  <c r="B335" i="7"/>
  <c r="A335" i="7"/>
  <c r="C334" i="7"/>
  <c r="B334" i="7"/>
  <c r="A334" i="7"/>
  <c r="C333" i="7"/>
  <c r="B333" i="7"/>
  <c r="A333" i="7"/>
  <c r="C332" i="7"/>
  <c r="B332" i="7"/>
  <c r="A332" i="7"/>
  <c r="C331" i="7"/>
  <c r="B331" i="7"/>
  <c r="A331" i="7"/>
  <c r="C330" i="7"/>
  <c r="B330" i="7"/>
  <c r="A330" i="7"/>
  <c r="C329" i="7"/>
  <c r="B329" i="7"/>
  <c r="A329" i="7"/>
  <c r="C328" i="7"/>
  <c r="B328" i="7"/>
  <c r="A328" i="7"/>
  <c r="C327" i="7"/>
  <c r="B327" i="7"/>
  <c r="A327" i="7"/>
  <c r="C326" i="7"/>
  <c r="B326" i="7"/>
  <c r="A326" i="7"/>
  <c r="C325" i="7"/>
  <c r="B325" i="7"/>
  <c r="A325" i="7"/>
  <c r="C324" i="7"/>
  <c r="B324" i="7"/>
  <c r="A324" i="7"/>
  <c r="C323" i="7"/>
  <c r="B323" i="7"/>
  <c r="A323" i="7"/>
  <c r="C322" i="7"/>
  <c r="B322" i="7"/>
  <c r="A322" i="7"/>
  <c r="C321" i="7"/>
  <c r="B321" i="7"/>
  <c r="A321" i="7"/>
  <c r="C320" i="7"/>
  <c r="B320" i="7"/>
  <c r="A320" i="7"/>
  <c r="C319" i="7"/>
  <c r="B319" i="7"/>
  <c r="A319" i="7"/>
  <c r="C318" i="7"/>
  <c r="B318" i="7"/>
  <c r="A318" i="7"/>
  <c r="C317" i="7"/>
  <c r="B317" i="7"/>
  <c r="A317" i="7"/>
  <c r="C316" i="7"/>
  <c r="B316" i="7"/>
  <c r="A316" i="7"/>
  <c r="C315" i="7"/>
  <c r="B315" i="7"/>
  <c r="A315" i="7"/>
  <c r="C314" i="7"/>
  <c r="B314" i="7"/>
  <c r="A314" i="7"/>
  <c r="C313" i="7"/>
  <c r="B313" i="7"/>
  <c r="A313" i="7"/>
  <c r="C312" i="7"/>
  <c r="B312" i="7"/>
  <c r="A312" i="7"/>
  <c r="C311" i="7"/>
  <c r="B311" i="7"/>
  <c r="A311" i="7"/>
  <c r="C310" i="7"/>
  <c r="B310" i="7"/>
  <c r="A310" i="7"/>
  <c r="C309" i="7"/>
  <c r="B309" i="7"/>
  <c r="A309" i="7"/>
  <c r="C308" i="7"/>
  <c r="B308" i="7"/>
  <c r="A308" i="7"/>
  <c r="C307" i="7"/>
  <c r="B307" i="7"/>
  <c r="A307" i="7"/>
  <c r="C306" i="7"/>
  <c r="B306" i="7"/>
  <c r="A306" i="7"/>
  <c r="C305" i="7"/>
  <c r="B305" i="7"/>
  <c r="A305" i="7"/>
  <c r="C304" i="7"/>
  <c r="B304" i="7"/>
  <c r="A304" i="7"/>
  <c r="C303" i="7"/>
  <c r="B303" i="7"/>
  <c r="A303" i="7"/>
  <c r="C302" i="7"/>
  <c r="B302" i="7"/>
  <c r="A302" i="7"/>
  <c r="C301" i="7"/>
  <c r="B301" i="7"/>
  <c r="A301" i="7"/>
  <c r="C300" i="7"/>
  <c r="B300" i="7"/>
  <c r="A300" i="7"/>
  <c r="C299" i="7"/>
  <c r="B299" i="7"/>
  <c r="A299" i="7"/>
  <c r="C298" i="7"/>
  <c r="B298" i="7"/>
  <c r="A298" i="7"/>
  <c r="C297" i="7"/>
  <c r="B297" i="7"/>
  <c r="A297" i="7"/>
  <c r="C296" i="7"/>
  <c r="B296" i="7"/>
  <c r="A296" i="7"/>
  <c r="C295" i="7"/>
  <c r="B295" i="7"/>
  <c r="A295" i="7"/>
  <c r="C294" i="7"/>
  <c r="B294" i="7"/>
  <c r="A294" i="7"/>
  <c r="C293" i="7"/>
  <c r="B293" i="7"/>
  <c r="A293" i="7"/>
  <c r="C292" i="7"/>
  <c r="B292" i="7"/>
  <c r="A292" i="7"/>
  <c r="C291" i="7"/>
  <c r="B291" i="7"/>
  <c r="A291" i="7"/>
  <c r="C290" i="7"/>
  <c r="B290" i="7"/>
  <c r="A290" i="7"/>
  <c r="C289" i="7"/>
  <c r="B289" i="7"/>
  <c r="A289" i="7"/>
  <c r="C288" i="7"/>
  <c r="B288" i="7"/>
  <c r="A288" i="7"/>
  <c r="C287" i="7"/>
  <c r="B287" i="7"/>
  <c r="A287" i="7"/>
  <c r="C286" i="7"/>
  <c r="B286" i="7"/>
  <c r="A286" i="7"/>
  <c r="C285" i="7"/>
  <c r="B285" i="7"/>
  <c r="A285" i="7"/>
  <c r="C284" i="7"/>
  <c r="B284" i="7"/>
  <c r="A284" i="7"/>
  <c r="C283" i="7"/>
  <c r="B283" i="7"/>
  <c r="A283" i="7"/>
  <c r="C282" i="7"/>
  <c r="B282" i="7"/>
  <c r="A282" i="7"/>
  <c r="C281" i="7"/>
  <c r="B281" i="7"/>
  <c r="A281" i="7"/>
  <c r="C280" i="7"/>
  <c r="B280" i="7"/>
  <c r="A280" i="7"/>
  <c r="C279" i="7"/>
  <c r="B279" i="7"/>
  <c r="A279" i="7"/>
  <c r="C278" i="7"/>
  <c r="B278" i="7"/>
  <c r="A278" i="7"/>
  <c r="C277" i="7"/>
  <c r="B277" i="7"/>
  <c r="A277" i="7"/>
  <c r="C276" i="7"/>
  <c r="B276" i="7"/>
  <c r="A276" i="7"/>
  <c r="C275" i="7"/>
  <c r="B275" i="7"/>
  <c r="A275" i="7"/>
  <c r="C274" i="7"/>
  <c r="B274" i="7"/>
  <c r="A274" i="7"/>
  <c r="C273" i="7"/>
  <c r="B273" i="7"/>
  <c r="A273" i="7"/>
  <c r="C272" i="7"/>
  <c r="B272" i="7"/>
  <c r="A272" i="7"/>
  <c r="C271" i="7"/>
  <c r="B271" i="7"/>
  <c r="A271" i="7"/>
  <c r="C270" i="7"/>
  <c r="B270" i="7"/>
  <c r="A270" i="7"/>
  <c r="C269" i="7"/>
  <c r="B269" i="7"/>
  <c r="A269" i="7"/>
  <c r="C268" i="7"/>
  <c r="B268" i="7"/>
  <c r="A268" i="7"/>
  <c r="C267" i="7"/>
  <c r="B267" i="7"/>
  <c r="A267" i="7"/>
  <c r="C266" i="7"/>
  <c r="B266" i="7"/>
  <c r="A266" i="7"/>
  <c r="C265" i="7"/>
  <c r="B265" i="7"/>
  <c r="A265" i="7"/>
  <c r="C264" i="7"/>
  <c r="B264" i="7"/>
  <c r="A264" i="7"/>
  <c r="C263" i="7"/>
  <c r="B263" i="7"/>
  <c r="A263" i="7"/>
  <c r="C262" i="7"/>
  <c r="B262" i="7"/>
  <c r="A262" i="7"/>
  <c r="C261" i="7"/>
  <c r="B261" i="7"/>
  <c r="A261" i="7"/>
  <c r="C260" i="7"/>
  <c r="B260" i="7"/>
  <c r="A260" i="7"/>
  <c r="C259" i="7"/>
  <c r="B259" i="7"/>
  <c r="A259" i="7"/>
  <c r="C258" i="7"/>
  <c r="B258" i="7"/>
  <c r="A258" i="7"/>
  <c r="C257" i="7"/>
  <c r="B257" i="7"/>
  <c r="A257" i="7"/>
  <c r="C256" i="7"/>
  <c r="B256" i="7"/>
  <c r="A256" i="7"/>
  <c r="C255" i="7"/>
  <c r="B255" i="7"/>
  <c r="A255" i="7"/>
  <c r="C254" i="7"/>
  <c r="B254" i="7"/>
  <c r="A254" i="7"/>
  <c r="C253" i="7"/>
  <c r="B253" i="7"/>
  <c r="A253" i="7"/>
  <c r="C252" i="7"/>
  <c r="B252" i="7"/>
  <c r="A252" i="7"/>
  <c r="C251" i="7"/>
  <c r="B251" i="7"/>
  <c r="A251" i="7"/>
  <c r="C250" i="7"/>
  <c r="B250" i="7"/>
  <c r="A250" i="7"/>
  <c r="C249" i="7"/>
  <c r="B249" i="7"/>
  <c r="A249" i="7"/>
  <c r="C248" i="7"/>
  <c r="B248" i="7"/>
  <c r="A248" i="7"/>
  <c r="C247" i="7"/>
  <c r="B247" i="7"/>
  <c r="A247" i="7"/>
  <c r="C246" i="7"/>
  <c r="B246" i="7"/>
  <c r="A246" i="7"/>
  <c r="C245" i="7"/>
  <c r="B245" i="7"/>
  <c r="A245" i="7"/>
  <c r="C244" i="7"/>
  <c r="B244" i="7"/>
  <c r="A244" i="7"/>
  <c r="C243" i="7"/>
  <c r="B243" i="7"/>
  <c r="A243" i="7"/>
  <c r="C242" i="7"/>
  <c r="B242" i="7"/>
  <c r="A242" i="7"/>
  <c r="C241" i="7"/>
  <c r="B241" i="7"/>
  <c r="A241" i="7"/>
  <c r="C240" i="7"/>
  <c r="B240" i="7"/>
  <c r="A240" i="7"/>
  <c r="C239" i="7"/>
  <c r="B239" i="7"/>
  <c r="A239" i="7"/>
  <c r="C238" i="7"/>
  <c r="B238" i="7"/>
  <c r="A238" i="7"/>
  <c r="C237" i="7"/>
  <c r="B237" i="7"/>
  <c r="A237" i="7"/>
  <c r="C236" i="7"/>
  <c r="B236" i="7"/>
  <c r="A236" i="7"/>
  <c r="C235" i="7"/>
  <c r="B235" i="7"/>
  <c r="A235" i="7"/>
  <c r="C234" i="7"/>
  <c r="B234" i="7"/>
  <c r="A234" i="7"/>
  <c r="C233" i="7"/>
  <c r="B233" i="7"/>
  <c r="A233" i="7"/>
  <c r="C232" i="7"/>
  <c r="B232" i="7"/>
  <c r="A232" i="7"/>
  <c r="C231" i="7"/>
  <c r="B231" i="7"/>
  <c r="A231" i="7"/>
  <c r="C230" i="7"/>
  <c r="B230" i="7"/>
  <c r="A230" i="7"/>
  <c r="C229" i="7"/>
  <c r="B229" i="7"/>
  <c r="A229" i="7"/>
  <c r="C228" i="7"/>
  <c r="B228" i="7"/>
  <c r="A228" i="7"/>
  <c r="C227" i="7"/>
  <c r="B227" i="7"/>
  <c r="A227" i="7"/>
  <c r="C226" i="7"/>
  <c r="B226" i="7"/>
  <c r="A226" i="7"/>
  <c r="C225" i="7"/>
  <c r="B225" i="7"/>
  <c r="A225" i="7"/>
  <c r="C224" i="7"/>
  <c r="B224" i="7"/>
  <c r="A224" i="7"/>
  <c r="C223" i="7"/>
  <c r="B223" i="7"/>
  <c r="A223" i="7"/>
  <c r="C222" i="7"/>
  <c r="B222" i="7"/>
  <c r="A222" i="7"/>
  <c r="C221" i="7"/>
  <c r="B221" i="7"/>
  <c r="A221" i="7"/>
  <c r="C220" i="7"/>
  <c r="B220" i="7"/>
  <c r="A220" i="7"/>
  <c r="C219" i="7"/>
  <c r="B219" i="7"/>
  <c r="A219" i="7"/>
  <c r="C218" i="7"/>
  <c r="B218" i="7"/>
  <c r="A218" i="7"/>
  <c r="C217" i="7"/>
  <c r="B217" i="7"/>
  <c r="A217" i="7"/>
  <c r="C216" i="7"/>
  <c r="B216" i="7"/>
  <c r="A216" i="7"/>
  <c r="C215" i="7"/>
  <c r="B215" i="7"/>
  <c r="A215" i="7"/>
  <c r="C214" i="7"/>
  <c r="B214" i="7"/>
  <c r="A214" i="7"/>
  <c r="C213" i="7"/>
  <c r="B213" i="7"/>
  <c r="A213" i="7"/>
  <c r="C212" i="7"/>
  <c r="B212" i="7"/>
  <c r="A212" i="7"/>
  <c r="C211" i="7"/>
  <c r="B211" i="7"/>
  <c r="A211" i="7"/>
  <c r="C210" i="7"/>
  <c r="B210" i="7"/>
  <c r="A210" i="7"/>
  <c r="C209" i="7"/>
  <c r="B209" i="7"/>
  <c r="A209" i="7"/>
  <c r="C208" i="7"/>
  <c r="B208" i="7"/>
  <c r="A208" i="7"/>
  <c r="C207" i="7"/>
  <c r="B207" i="7"/>
  <c r="A207" i="7"/>
  <c r="C206" i="7"/>
  <c r="B206" i="7"/>
  <c r="A206" i="7"/>
  <c r="C205" i="7"/>
  <c r="B205" i="7"/>
  <c r="A205" i="7"/>
  <c r="C204" i="7"/>
  <c r="B204" i="7"/>
  <c r="A204" i="7"/>
  <c r="C203" i="7"/>
  <c r="B203" i="7"/>
  <c r="A203" i="7"/>
  <c r="C202" i="7"/>
  <c r="B202" i="7"/>
  <c r="A202" i="7"/>
  <c r="C201" i="7"/>
  <c r="B201" i="7"/>
  <c r="A201" i="7"/>
  <c r="C200" i="7"/>
  <c r="B200" i="7"/>
  <c r="A200" i="7"/>
  <c r="C199" i="7"/>
  <c r="B199" i="7"/>
  <c r="A199" i="7"/>
  <c r="C198" i="7"/>
  <c r="B198" i="7"/>
  <c r="A198" i="7"/>
  <c r="C197" i="7"/>
  <c r="B197" i="7"/>
  <c r="A197" i="7"/>
  <c r="C196" i="7"/>
  <c r="B196" i="7"/>
  <c r="A196" i="7"/>
  <c r="C195" i="7"/>
  <c r="B195" i="7"/>
  <c r="A195" i="7"/>
  <c r="C194" i="7"/>
  <c r="B194" i="7"/>
  <c r="A194" i="7"/>
  <c r="C193" i="7"/>
  <c r="B193" i="7"/>
  <c r="A193" i="7"/>
  <c r="C192" i="7"/>
  <c r="B192" i="7"/>
  <c r="A192" i="7"/>
  <c r="C191" i="7"/>
  <c r="B191" i="7"/>
  <c r="A191" i="7"/>
  <c r="C190" i="7"/>
  <c r="B190" i="7"/>
  <c r="A190" i="7"/>
  <c r="C189" i="7"/>
  <c r="B189" i="7"/>
  <c r="A189" i="7"/>
  <c r="C188" i="7"/>
  <c r="B188" i="7"/>
  <c r="A188" i="7"/>
  <c r="C187" i="7"/>
  <c r="B187" i="7"/>
  <c r="A187" i="7"/>
  <c r="C186" i="7"/>
  <c r="B186" i="7"/>
  <c r="A186" i="7"/>
  <c r="C185" i="7"/>
  <c r="B185" i="7"/>
  <c r="A185" i="7"/>
  <c r="C184" i="7"/>
  <c r="B184" i="7"/>
  <c r="A184" i="7"/>
  <c r="C183" i="7"/>
  <c r="B183" i="7"/>
  <c r="A183" i="7"/>
  <c r="C182" i="7"/>
  <c r="B182" i="7"/>
  <c r="A182" i="7"/>
  <c r="C181" i="7"/>
  <c r="B181" i="7"/>
  <c r="A181" i="7"/>
  <c r="C180" i="7"/>
  <c r="B180" i="7"/>
  <c r="A180" i="7"/>
  <c r="C179" i="7"/>
  <c r="B179" i="7"/>
  <c r="A179" i="7"/>
  <c r="C178" i="7"/>
  <c r="B178" i="7"/>
  <c r="A178" i="7"/>
  <c r="C177" i="7"/>
  <c r="B177" i="7"/>
  <c r="A177" i="7"/>
  <c r="C176" i="7"/>
  <c r="B176" i="7"/>
  <c r="A176" i="7"/>
  <c r="C175" i="7"/>
  <c r="B175" i="7"/>
  <c r="A175" i="7"/>
  <c r="C174" i="7"/>
  <c r="B174" i="7"/>
  <c r="A174" i="7"/>
  <c r="C173" i="7"/>
  <c r="B173" i="7"/>
  <c r="A173" i="7"/>
  <c r="C172" i="7"/>
  <c r="B172" i="7"/>
  <c r="A172" i="7"/>
  <c r="C171" i="7"/>
  <c r="B171" i="7"/>
  <c r="A171" i="7"/>
  <c r="C170" i="7"/>
  <c r="B170" i="7"/>
  <c r="A170" i="7"/>
  <c r="C169" i="7"/>
  <c r="B169" i="7"/>
  <c r="A169" i="7"/>
  <c r="C168" i="7"/>
  <c r="B168" i="7"/>
  <c r="A168" i="7"/>
  <c r="C167" i="7"/>
  <c r="B167" i="7"/>
  <c r="A167" i="7"/>
  <c r="C166" i="7"/>
  <c r="B166" i="7"/>
  <c r="A166" i="7"/>
  <c r="C165" i="7"/>
  <c r="B165" i="7"/>
  <c r="A165" i="7"/>
  <c r="C164" i="7"/>
  <c r="B164" i="7"/>
  <c r="A164" i="7"/>
  <c r="C163" i="7"/>
  <c r="B163" i="7"/>
  <c r="A163" i="7"/>
  <c r="C162" i="7"/>
  <c r="B162" i="7"/>
  <c r="A162" i="7"/>
  <c r="C161" i="7"/>
  <c r="B161" i="7"/>
  <c r="A161" i="7"/>
  <c r="C160" i="7"/>
  <c r="B160" i="7"/>
  <c r="A160" i="7"/>
  <c r="C159" i="7"/>
  <c r="B159" i="7"/>
  <c r="A159" i="7"/>
  <c r="C158" i="7"/>
  <c r="B158" i="7"/>
  <c r="A158" i="7"/>
  <c r="C157" i="7"/>
  <c r="B157" i="7"/>
  <c r="A157" i="7"/>
  <c r="C156" i="7"/>
  <c r="B156" i="7"/>
  <c r="A156" i="7"/>
  <c r="C155" i="7"/>
  <c r="B155" i="7"/>
  <c r="A155" i="7"/>
  <c r="C154" i="7"/>
  <c r="B154" i="7"/>
  <c r="A154" i="7"/>
  <c r="C153" i="7"/>
  <c r="B153" i="7"/>
  <c r="A153" i="7"/>
  <c r="C152" i="7"/>
  <c r="B152" i="7"/>
  <c r="A152" i="7"/>
  <c r="C151" i="7"/>
  <c r="B151" i="7"/>
  <c r="A151" i="7"/>
  <c r="C150" i="7"/>
  <c r="B150" i="7"/>
  <c r="A150" i="7"/>
  <c r="C149" i="7"/>
  <c r="B149" i="7"/>
  <c r="A149" i="7"/>
  <c r="C148" i="7"/>
  <c r="B148" i="7"/>
  <c r="A148" i="7"/>
  <c r="C147" i="7"/>
  <c r="B147" i="7"/>
  <c r="A147" i="7"/>
  <c r="C146" i="7"/>
  <c r="B146" i="7"/>
  <c r="A146" i="7"/>
  <c r="C145" i="7"/>
  <c r="B145" i="7"/>
  <c r="A145" i="7"/>
  <c r="C144" i="7"/>
  <c r="B144" i="7"/>
  <c r="A144" i="7"/>
  <c r="C143" i="7"/>
  <c r="B143" i="7"/>
  <c r="A143" i="7"/>
  <c r="C142" i="7"/>
  <c r="B142" i="7"/>
  <c r="A142" i="7"/>
  <c r="C141" i="7"/>
  <c r="B141" i="7"/>
  <c r="A141" i="7"/>
  <c r="C140" i="7"/>
  <c r="B140" i="7"/>
  <c r="A140" i="7"/>
  <c r="C139" i="7"/>
  <c r="B139" i="7"/>
  <c r="A139" i="7"/>
  <c r="C138" i="7"/>
  <c r="B138" i="7"/>
  <c r="A138" i="7"/>
  <c r="C137" i="7"/>
  <c r="B137" i="7"/>
  <c r="A137" i="7"/>
  <c r="C136" i="7"/>
  <c r="B136" i="7"/>
  <c r="A136" i="7"/>
  <c r="C135" i="7"/>
  <c r="B135" i="7"/>
  <c r="A135" i="7"/>
  <c r="C134" i="7"/>
  <c r="B134" i="7"/>
  <c r="A134" i="7"/>
  <c r="C133" i="7"/>
  <c r="B133" i="7"/>
  <c r="A133" i="7"/>
  <c r="C132" i="7"/>
  <c r="B132" i="7"/>
  <c r="A132" i="7"/>
  <c r="C131" i="7"/>
  <c r="B131" i="7"/>
  <c r="A131" i="7"/>
  <c r="C130" i="7"/>
  <c r="B130" i="7"/>
  <c r="A130" i="7"/>
  <c r="C129" i="7"/>
  <c r="B129" i="7"/>
  <c r="A129" i="7"/>
  <c r="C128" i="7"/>
  <c r="B128" i="7"/>
  <c r="A128" i="7"/>
  <c r="C127" i="7"/>
  <c r="B127" i="7"/>
  <c r="A127" i="7"/>
  <c r="C126" i="7"/>
  <c r="B126" i="7"/>
  <c r="A126" i="7"/>
  <c r="C125" i="7"/>
  <c r="B125" i="7"/>
  <c r="A125" i="7"/>
  <c r="C124" i="7"/>
  <c r="B124" i="7"/>
  <c r="A124" i="7"/>
  <c r="C123" i="7"/>
  <c r="B123" i="7"/>
  <c r="A123" i="7"/>
  <c r="C122" i="7"/>
  <c r="B122" i="7"/>
  <c r="A122" i="7"/>
  <c r="C121" i="7"/>
  <c r="B121" i="7"/>
  <c r="A121" i="7"/>
  <c r="C120" i="7"/>
  <c r="B120" i="7"/>
  <c r="A120" i="7"/>
  <c r="C119" i="7"/>
  <c r="B119" i="7"/>
  <c r="A119" i="7"/>
  <c r="C118" i="7"/>
  <c r="B118" i="7"/>
  <c r="A118" i="7"/>
  <c r="C117" i="7"/>
  <c r="B117" i="7"/>
  <c r="A117" i="7"/>
  <c r="C116" i="7"/>
  <c r="B116" i="7"/>
  <c r="A116" i="7"/>
  <c r="C115" i="7"/>
  <c r="B115" i="7"/>
  <c r="A115" i="7"/>
  <c r="C114" i="7"/>
  <c r="B114" i="7"/>
  <c r="A114" i="7"/>
  <c r="C113" i="7"/>
  <c r="B113" i="7"/>
  <c r="A113" i="7"/>
  <c r="C112" i="7"/>
  <c r="B112" i="7"/>
  <c r="A112" i="7"/>
  <c r="C111" i="7"/>
  <c r="B111" i="7"/>
  <c r="A111" i="7"/>
  <c r="C110" i="7"/>
  <c r="B110" i="7"/>
  <c r="A110" i="7"/>
  <c r="C109" i="7"/>
  <c r="B109" i="7"/>
  <c r="A109" i="7"/>
  <c r="C108" i="7"/>
  <c r="B108" i="7"/>
  <c r="A108" i="7"/>
  <c r="C107" i="7"/>
  <c r="B107" i="7"/>
  <c r="A107" i="7"/>
  <c r="C106" i="7"/>
  <c r="B106" i="7"/>
  <c r="A106" i="7"/>
  <c r="C105" i="7"/>
  <c r="B105" i="7"/>
  <c r="A105" i="7"/>
  <c r="C104" i="7"/>
  <c r="B104" i="7"/>
  <c r="A104" i="7"/>
  <c r="C103" i="7"/>
  <c r="B103" i="7"/>
  <c r="A103" i="7"/>
  <c r="C102" i="7"/>
  <c r="B102" i="7"/>
  <c r="A102" i="7"/>
  <c r="C101" i="7"/>
  <c r="B101" i="7"/>
  <c r="A101" i="7"/>
  <c r="C100" i="7"/>
  <c r="B100" i="7"/>
  <c r="A100" i="7"/>
  <c r="C99" i="7"/>
  <c r="B99" i="7"/>
  <c r="A99" i="7"/>
  <c r="C98" i="7"/>
  <c r="B98" i="7"/>
  <c r="A98" i="7"/>
  <c r="C97" i="7"/>
  <c r="B97" i="7"/>
  <c r="A97" i="7"/>
  <c r="C96" i="7"/>
  <c r="B96" i="7"/>
  <c r="A96" i="7"/>
  <c r="C95" i="7"/>
  <c r="B95" i="7"/>
  <c r="A95" i="7"/>
  <c r="C94" i="7"/>
  <c r="B94" i="7"/>
  <c r="A94" i="7"/>
  <c r="C93" i="7"/>
  <c r="B93" i="7"/>
  <c r="A93" i="7"/>
  <c r="C92" i="7"/>
  <c r="B92" i="7"/>
  <c r="A92" i="7"/>
  <c r="C91" i="7"/>
  <c r="B91" i="7"/>
  <c r="A91" i="7"/>
  <c r="C90" i="7"/>
  <c r="B90" i="7"/>
  <c r="A90" i="7"/>
  <c r="C89" i="7"/>
  <c r="B89" i="7"/>
  <c r="A89" i="7"/>
  <c r="C88" i="7"/>
  <c r="B88" i="7"/>
  <c r="A88" i="7"/>
  <c r="C87" i="7"/>
  <c r="B87" i="7"/>
  <c r="A87" i="7"/>
  <c r="C86" i="7"/>
  <c r="B86" i="7"/>
  <c r="A86" i="7"/>
  <c r="C85" i="7"/>
  <c r="B85" i="7"/>
  <c r="A85" i="7"/>
  <c r="C84" i="7"/>
  <c r="B84" i="7"/>
  <c r="A84" i="7"/>
  <c r="C83" i="7"/>
  <c r="B83" i="7"/>
  <c r="A83" i="7"/>
  <c r="C82" i="7"/>
  <c r="B82" i="7"/>
  <c r="A82" i="7"/>
  <c r="C81" i="7"/>
  <c r="B81" i="7"/>
  <c r="A81" i="7"/>
  <c r="C80" i="7"/>
  <c r="B80" i="7"/>
  <c r="A80" i="7"/>
  <c r="C79" i="7"/>
  <c r="B79" i="7"/>
  <c r="A79" i="7"/>
  <c r="C78" i="7"/>
  <c r="B78" i="7"/>
  <c r="A78" i="7"/>
  <c r="C77" i="7"/>
  <c r="B77" i="7"/>
  <c r="A77" i="7"/>
  <c r="C76" i="7"/>
  <c r="B76" i="7"/>
  <c r="A76" i="7"/>
  <c r="C75" i="7"/>
  <c r="B75" i="7"/>
  <c r="A75" i="7"/>
  <c r="C74" i="7"/>
  <c r="B74" i="7"/>
  <c r="A74" i="7"/>
  <c r="C73" i="7"/>
  <c r="B73" i="7"/>
  <c r="A73" i="7"/>
  <c r="C72" i="7"/>
  <c r="B72" i="7"/>
  <c r="A72" i="7"/>
  <c r="C71" i="7"/>
  <c r="B71" i="7"/>
  <c r="A71" i="7"/>
  <c r="C70" i="7"/>
  <c r="B70" i="7"/>
  <c r="A70" i="7"/>
  <c r="C69" i="7"/>
  <c r="B69" i="7"/>
  <c r="A69" i="7"/>
  <c r="C68" i="7"/>
  <c r="B68" i="7"/>
  <c r="A68" i="7"/>
  <c r="C67" i="7"/>
  <c r="B67" i="7"/>
  <c r="A67" i="7"/>
  <c r="C66" i="7"/>
  <c r="B66" i="7"/>
  <c r="A66" i="7"/>
  <c r="C65" i="7"/>
  <c r="B65" i="7"/>
  <c r="A65" i="7"/>
  <c r="C64" i="7"/>
  <c r="B64" i="7"/>
  <c r="A64" i="7"/>
  <c r="C63" i="7"/>
  <c r="B63" i="7"/>
  <c r="A63" i="7"/>
  <c r="C62" i="7"/>
  <c r="B62" i="7"/>
  <c r="A62" i="7"/>
  <c r="C61" i="7"/>
  <c r="B61" i="7"/>
  <c r="A61" i="7"/>
  <c r="C60" i="7"/>
  <c r="B60" i="7"/>
  <c r="A60" i="7"/>
  <c r="C59" i="7"/>
  <c r="B59" i="7"/>
  <c r="A59" i="7"/>
  <c r="C58" i="7"/>
  <c r="B58" i="7"/>
  <c r="A58" i="7"/>
  <c r="C57" i="7"/>
  <c r="B57" i="7"/>
  <c r="A57" i="7"/>
  <c r="C56" i="7"/>
  <c r="B56" i="7"/>
  <c r="A56" i="7"/>
  <c r="C55" i="7"/>
  <c r="B55" i="7"/>
  <c r="A55" i="7"/>
  <c r="C54" i="7"/>
  <c r="B54" i="7"/>
  <c r="A54" i="7"/>
  <c r="C53" i="7"/>
  <c r="B53" i="7"/>
  <c r="A53" i="7"/>
  <c r="C52" i="7"/>
  <c r="B52" i="7"/>
  <c r="A52" i="7"/>
  <c r="C51" i="7"/>
  <c r="B51" i="7"/>
  <c r="A51" i="7"/>
  <c r="C50" i="7"/>
  <c r="B50" i="7"/>
  <c r="A50" i="7"/>
  <c r="C49" i="7"/>
  <c r="B49" i="7"/>
  <c r="A49" i="7"/>
  <c r="C48" i="7"/>
  <c r="B48" i="7"/>
  <c r="A48" i="7"/>
  <c r="C47" i="7"/>
  <c r="B47" i="7"/>
  <c r="A47" i="7"/>
  <c r="C46" i="7"/>
  <c r="B46" i="7"/>
  <c r="A46" i="7"/>
  <c r="C45" i="7"/>
  <c r="B45" i="7"/>
  <c r="A45" i="7"/>
  <c r="C44" i="7"/>
  <c r="B44" i="7"/>
  <c r="A44" i="7"/>
  <c r="C43" i="7"/>
  <c r="B43" i="7"/>
  <c r="A43" i="7"/>
  <c r="C42" i="7"/>
  <c r="B42" i="7"/>
  <c r="A42" i="7"/>
  <c r="C41" i="7"/>
  <c r="B41" i="7"/>
  <c r="A41" i="7"/>
  <c r="C40" i="7"/>
  <c r="B40" i="7"/>
  <c r="A40" i="7"/>
  <c r="C39" i="7"/>
  <c r="B39" i="7"/>
  <c r="A39" i="7"/>
  <c r="C38" i="7"/>
  <c r="B38" i="7"/>
  <c r="A38" i="7"/>
  <c r="C37" i="7"/>
  <c r="B37" i="7"/>
  <c r="A37" i="7"/>
  <c r="C36" i="7"/>
  <c r="B36" i="7"/>
  <c r="A36" i="7"/>
  <c r="C35" i="7"/>
  <c r="B35" i="7"/>
  <c r="A35" i="7"/>
  <c r="C34" i="7"/>
  <c r="B34" i="7"/>
  <c r="A34" i="7"/>
  <c r="C33" i="7"/>
  <c r="B33" i="7"/>
  <c r="A33" i="7"/>
  <c r="C32" i="7"/>
  <c r="B32" i="7"/>
  <c r="A32" i="7"/>
  <c r="C31" i="7"/>
  <c r="B31" i="7"/>
  <c r="A31" i="7"/>
  <c r="C30" i="7"/>
  <c r="B30" i="7"/>
  <c r="A30" i="7"/>
  <c r="C29" i="7"/>
  <c r="B29" i="7"/>
  <c r="A29" i="7"/>
  <c r="C28" i="7"/>
  <c r="B28" i="7"/>
  <c r="A28" i="7"/>
  <c r="C27" i="7"/>
  <c r="B27" i="7"/>
  <c r="A27" i="7"/>
  <c r="C26" i="7"/>
  <c r="B26" i="7"/>
  <c r="A26" i="7"/>
  <c r="C25" i="7"/>
  <c r="B25" i="7"/>
  <c r="A25" i="7"/>
  <c r="C24" i="7"/>
  <c r="B24" i="7"/>
  <c r="A24" i="7"/>
  <c r="C23" i="7"/>
  <c r="B23" i="7"/>
  <c r="A23" i="7"/>
  <c r="C22" i="7"/>
  <c r="B22" i="7"/>
  <c r="A22" i="7"/>
  <c r="C21" i="7"/>
  <c r="B21" i="7"/>
  <c r="A21" i="7"/>
  <c r="C20" i="7"/>
  <c r="B20" i="7"/>
  <c r="A20" i="7"/>
  <c r="C19" i="7"/>
  <c r="B19" i="7"/>
  <c r="A19" i="7"/>
  <c r="C18" i="7"/>
  <c r="B18" i="7"/>
  <c r="A18" i="7"/>
  <c r="C17" i="7"/>
  <c r="B17" i="7"/>
  <c r="A17" i="7"/>
  <c r="C16" i="7"/>
  <c r="B16" i="7"/>
  <c r="A16" i="7"/>
  <c r="C15" i="7"/>
  <c r="B15" i="7"/>
  <c r="A15" i="7"/>
  <c r="C14" i="7"/>
  <c r="B14" i="7"/>
  <c r="A14" i="7"/>
  <c r="C13" i="7"/>
  <c r="B13" i="7"/>
  <c r="A13" i="7"/>
  <c r="C12" i="7"/>
  <c r="B12" i="7"/>
  <c r="A12" i="7"/>
  <c r="C11" i="7"/>
  <c r="B11" i="7"/>
  <c r="A11" i="7"/>
  <c r="C10" i="7"/>
  <c r="B10" i="7"/>
  <c r="A10" i="7"/>
  <c r="C9" i="7"/>
  <c r="B9" i="7"/>
  <c r="A9" i="7"/>
  <c r="C8" i="7"/>
  <c r="B8" i="7"/>
  <c r="A8" i="7"/>
  <c r="C7" i="7"/>
  <c r="B7" i="7"/>
  <c r="A7" i="7"/>
  <c r="C6" i="7"/>
  <c r="B6" i="7"/>
  <c r="A6" i="7"/>
  <c r="C5" i="7"/>
  <c r="B5" i="7"/>
  <c r="A5" i="7"/>
  <c r="C4" i="7"/>
  <c r="B4" i="7"/>
  <c r="A4" i="7"/>
  <c r="C3" i="7"/>
  <c r="B3" i="7"/>
  <c r="A3" i="7"/>
  <c r="C2" i="7"/>
  <c r="B2" i="7"/>
  <c r="A2" i="7"/>
  <c r="C1" i="7"/>
  <c r="B1" i="7"/>
  <c r="A1" i="7"/>
  <c r="E1505" i="6"/>
  <c r="D1505" i="6"/>
  <c r="C1505" i="6"/>
  <c r="E1504" i="6"/>
  <c r="D1504" i="6"/>
  <c r="C1504" i="6"/>
  <c r="E1503" i="6"/>
  <c r="D1503" i="6"/>
  <c r="C1503" i="6"/>
  <c r="E1502" i="6"/>
  <c r="D1502" i="6"/>
  <c r="C1502" i="6"/>
  <c r="E1501" i="6"/>
  <c r="D1501" i="6"/>
  <c r="C1501" i="6"/>
  <c r="E1500" i="6"/>
  <c r="D1500" i="6"/>
  <c r="C1500" i="6"/>
  <c r="E1499" i="6"/>
  <c r="D1499" i="6"/>
  <c r="C1499" i="6"/>
  <c r="E1498" i="6"/>
  <c r="D1498" i="6"/>
  <c r="C1498" i="6"/>
  <c r="E1497" i="6"/>
  <c r="D1497" i="6"/>
  <c r="C1497" i="6"/>
  <c r="E1496" i="6"/>
  <c r="D1496" i="6"/>
  <c r="C1496" i="6"/>
  <c r="E1495" i="6"/>
  <c r="D1495" i="6"/>
  <c r="C1495" i="6"/>
  <c r="E1494" i="6"/>
  <c r="D1494" i="6"/>
  <c r="C1494" i="6"/>
  <c r="E1493" i="6"/>
  <c r="D1493" i="6"/>
  <c r="C1493" i="6"/>
  <c r="E1492" i="6"/>
  <c r="D1492" i="6"/>
  <c r="C1492" i="6"/>
  <c r="E1491" i="6"/>
  <c r="D1491" i="6"/>
  <c r="C1491" i="6"/>
  <c r="E1490" i="6"/>
  <c r="D1490" i="6"/>
  <c r="C1490" i="6"/>
  <c r="E1489" i="6"/>
  <c r="D1489" i="6"/>
  <c r="C1489" i="6"/>
  <c r="E1488" i="6"/>
  <c r="D1488" i="6"/>
  <c r="C1488" i="6"/>
  <c r="E1487" i="6"/>
  <c r="D1487" i="6"/>
  <c r="C1487" i="6"/>
  <c r="E1486" i="6"/>
  <c r="D1486" i="6"/>
  <c r="C1486" i="6"/>
  <c r="E1485" i="6"/>
  <c r="D1485" i="6"/>
  <c r="C1485" i="6"/>
  <c r="E1484" i="6"/>
  <c r="D1484" i="6"/>
  <c r="C1484" i="6"/>
  <c r="E1483" i="6"/>
  <c r="D1483" i="6"/>
  <c r="C1483" i="6"/>
  <c r="E1482" i="6"/>
  <c r="D1482" i="6"/>
  <c r="C1482" i="6"/>
  <c r="E1481" i="6"/>
  <c r="D1481" i="6"/>
  <c r="C1481" i="6"/>
  <c r="E1480" i="6"/>
  <c r="D1480" i="6"/>
  <c r="C1480" i="6"/>
  <c r="E1479" i="6"/>
  <c r="D1479" i="6"/>
  <c r="C1479" i="6"/>
  <c r="E1478" i="6"/>
  <c r="D1478" i="6"/>
  <c r="C1478" i="6"/>
  <c r="E1477" i="6"/>
  <c r="D1477" i="6"/>
  <c r="C1477" i="6"/>
  <c r="E1476" i="6"/>
  <c r="D1476" i="6"/>
  <c r="C1476" i="6"/>
  <c r="E1475" i="6"/>
  <c r="D1475" i="6"/>
  <c r="C1475" i="6"/>
  <c r="E1474" i="6"/>
  <c r="D1474" i="6"/>
  <c r="C1474" i="6"/>
  <c r="E1473" i="6"/>
  <c r="D1473" i="6"/>
  <c r="C1473" i="6"/>
  <c r="E1472" i="6"/>
  <c r="D1472" i="6"/>
  <c r="C1472" i="6"/>
  <c r="E1471" i="6"/>
  <c r="D1471" i="6"/>
  <c r="C1471" i="6"/>
  <c r="E1470" i="6"/>
  <c r="D1470" i="6"/>
  <c r="C1470" i="6"/>
  <c r="E1469" i="6"/>
  <c r="D1469" i="6"/>
  <c r="C1469" i="6"/>
  <c r="E1468" i="6"/>
  <c r="D1468" i="6"/>
  <c r="C1468" i="6"/>
  <c r="E1467" i="6"/>
  <c r="D1467" i="6"/>
  <c r="C1467" i="6"/>
  <c r="E1466" i="6"/>
  <c r="D1466" i="6"/>
  <c r="C1466" i="6"/>
  <c r="E1465" i="6"/>
  <c r="D1465" i="6"/>
  <c r="C1465" i="6"/>
  <c r="E1464" i="6"/>
  <c r="D1464" i="6"/>
  <c r="C1464" i="6"/>
  <c r="E1463" i="6"/>
  <c r="D1463" i="6"/>
  <c r="C1463" i="6"/>
  <c r="E1462" i="6"/>
  <c r="D1462" i="6"/>
  <c r="C1462" i="6"/>
  <c r="E1461" i="6"/>
  <c r="D1461" i="6"/>
  <c r="C1461" i="6"/>
  <c r="E1460" i="6"/>
  <c r="D1460" i="6"/>
  <c r="C1460" i="6"/>
  <c r="E1459" i="6"/>
  <c r="D1459" i="6"/>
  <c r="C1459" i="6"/>
  <c r="E1458" i="6"/>
  <c r="D1458" i="6"/>
  <c r="C1458" i="6"/>
  <c r="E1457" i="6"/>
  <c r="D1457" i="6"/>
  <c r="C1457" i="6"/>
  <c r="E1456" i="6"/>
  <c r="D1456" i="6"/>
  <c r="C1456" i="6"/>
  <c r="E1455" i="6"/>
  <c r="D1455" i="6"/>
  <c r="C1455" i="6"/>
  <c r="E1454" i="6"/>
  <c r="D1454" i="6"/>
  <c r="C1454" i="6"/>
  <c r="E1453" i="6"/>
  <c r="D1453" i="6"/>
  <c r="C1453" i="6"/>
  <c r="E1452" i="6"/>
  <c r="D1452" i="6"/>
  <c r="C1452" i="6"/>
  <c r="E1451" i="6"/>
  <c r="D1451" i="6"/>
  <c r="C1451" i="6"/>
  <c r="E1450" i="6"/>
  <c r="D1450" i="6"/>
  <c r="C1450" i="6"/>
  <c r="E1449" i="6"/>
  <c r="D1449" i="6"/>
  <c r="C1449" i="6"/>
  <c r="E1448" i="6"/>
  <c r="D1448" i="6"/>
  <c r="C1448" i="6"/>
  <c r="E1447" i="6"/>
  <c r="D1447" i="6"/>
  <c r="C1447" i="6"/>
  <c r="E1446" i="6"/>
  <c r="D1446" i="6"/>
  <c r="C1446" i="6"/>
  <c r="E1445" i="6"/>
  <c r="D1445" i="6"/>
  <c r="C1445" i="6"/>
  <c r="E1444" i="6"/>
  <c r="D1444" i="6"/>
  <c r="C1444" i="6"/>
  <c r="E1443" i="6"/>
  <c r="D1443" i="6"/>
  <c r="C1443" i="6"/>
  <c r="E1442" i="6"/>
  <c r="D1442" i="6"/>
  <c r="C1442" i="6"/>
  <c r="E1441" i="6"/>
  <c r="D1441" i="6"/>
  <c r="C1441" i="6"/>
  <c r="E1440" i="6"/>
  <c r="D1440" i="6"/>
  <c r="C1440" i="6"/>
  <c r="E1439" i="6"/>
  <c r="D1439" i="6"/>
  <c r="C1439" i="6"/>
  <c r="E1438" i="6"/>
  <c r="D1438" i="6"/>
  <c r="C1438" i="6"/>
  <c r="E1437" i="6"/>
  <c r="D1437" i="6"/>
  <c r="C1437" i="6"/>
  <c r="E1436" i="6"/>
  <c r="D1436" i="6"/>
  <c r="C1436" i="6"/>
  <c r="E1435" i="6"/>
  <c r="D1435" i="6"/>
  <c r="C1435" i="6"/>
  <c r="E1434" i="6"/>
  <c r="D1434" i="6"/>
  <c r="C1434" i="6"/>
  <c r="E1433" i="6"/>
  <c r="D1433" i="6"/>
  <c r="C1433" i="6"/>
  <c r="E1432" i="6"/>
  <c r="D1432" i="6"/>
  <c r="C1432" i="6"/>
  <c r="E1431" i="6"/>
  <c r="D1431" i="6"/>
  <c r="C1431" i="6"/>
  <c r="E1430" i="6"/>
  <c r="D1430" i="6"/>
  <c r="C1430" i="6"/>
  <c r="E1429" i="6"/>
  <c r="D1429" i="6"/>
  <c r="C1429" i="6"/>
  <c r="E1428" i="6"/>
  <c r="D1428" i="6"/>
  <c r="C1428" i="6"/>
  <c r="E1427" i="6"/>
  <c r="D1427" i="6"/>
  <c r="C1427" i="6"/>
  <c r="E1426" i="6"/>
  <c r="D1426" i="6"/>
  <c r="C1426" i="6"/>
  <c r="E1425" i="6"/>
  <c r="D1425" i="6"/>
  <c r="C1425" i="6"/>
  <c r="E1424" i="6"/>
  <c r="D1424" i="6"/>
  <c r="C1424" i="6"/>
  <c r="E1423" i="6"/>
  <c r="D1423" i="6"/>
  <c r="C1423" i="6"/>
  <c r="E1422" i="6"/>
  <c r="D1422" i="6"/>
  <c r="C1422" i="6"/>
  <c r="E1421" i="6"/>
  <c r="D1421" i="6"/>
  <c r="C1421" i="6"/>
  <c r="E1420" i="6"/>
  <c r="D1420" i="6"/>
  <c r="C1420" i="6"/>
  <c r="E1419" i="6"/>
  <c r="D1419" i="6"/>
  <c r="C1419" i="6"/>
  <c r="E1418" i="6"/>
  <c r="D1418" i="6"/>
  <c r="C1418" i="6"/>
  <c r="E1417" i="6"/>
  <c r="D1417" i="6"/>
  <c r="C1417" i="6"/>
  <c r="E1416" i="6"/>
  <c r="D1416" i="6"/>
  <c r="C1416" i="6"/>
  <c r="E1415" i="6"/>
  <c r="D1415" i="6"/>
  <c r="C1415" i="6"/>
  <c r="E1414" i="6"/>
  <c r="D1414" i="6"/>
  <c r="C1414" i="6"/>
  <c r="E1413" i="6"/>
  <c r="D1413" i="6"/>
  <c r="C1413" i="6"/>
  <c r="E1412" i="6"/>
  <c r="D1412" i="6"/>
  <c r="C1412" i="6"/>
  <c r="E1411" i="6"/>
  <c r="D1411" i="6"/>
  <c r="C1411" i="6"/>
  <c r="E1410" i="6"/>
  <c r="D1410" i="6"/>
  <c r="C1410" i="6"/>
  <c r="E1409" i="6"/>
  <c r="D1409" i="6"/>
  <c r="C1409" i="6"/>
  <c r="E1408" i="6"/>
  <c r="D1408" i="6"/>
  <c r="C1408" i="6"/>
  <c r="E1407" i="6"/>
  <c r="D1407" i="6"/>
  <c r="C1407" i="6"/>
  <c r="E1406" i="6"/>
  <c r="D1406" i="6"/>
  <c r="C1406" i="6"/>
  <c r="E1405" i="6"/>
  <c r="D1405" i="6"/>
  <c r="C1405" i="6"/>
  <c r="E1404" i="6"/>
  <c r="D1404" i="6"/>
  <c r="C1404" i="6"/>
  <c r="E1403" i="6"/>
  <c r="D1403" i="6"/>
  <c r="C1403" i="6"/>
  <c r="E1402" i="6"/>
  <c r="D1402" i="6"/>
  <c r="C1402" i="6"/>
  <c r="E1401" i="6"/>
  <c r="D1401" i="6"/>
  <c r="C1401" i="6"/>
  <c r="E1400" i="6"/>
  <c r="D1400" i="6"/>
  <c r="C1400" i="6"/>
  <c r="E1399" i="6"/>
  <c r="D1399" i="6"/>
  <c r="C1399" i="6"/>
  <c r="E1398" i="6"/>
  <c r="D1398" i="6"/>
  <c r="C1398" i="6"/>
  <c r="E1397" i="6"/>
  <c r="D1397" i="6"/>
  <c r="C1397" i="6"/>
  <c r="E1396" i="6"/>
  <c r="D1396" i="6"/>
  <c r="C1396" i="6"/>
  <c r="E1395" i="6"/>
  <c r="D1395" i="6"/>
  <c r="C1395" i="6"/>
  <c r="E1394" i="6"/>
  <c r="D1394" i="6"/>
  <c r="C1394" i="6"/>
  <c r="E1393" i="6"/>
  <c r="D1393" i="6"/>
  <c r="C1393" i="6"/>
  <c r="E1392" i="6"/>
  <c r="D1392" i="6"/>
  <c r="C1392" i="6"/>
  <c r="E1391" i="6"/>
  <c r="D1391" i="6"/>
  <c r="C1391" i="6"/>
  <c r="E1390" i="6"/>
  <c r="D1390" i="6"/>
  <c r="C1390" i="6"/>
  <c r="E1389" i="6"/>
  <c r="D1389" i="6"/>
  <c r="C1389" i="6"/>
  <c r="E1388" i="6"/>
  <c r="D1388" i="6"/>
  <c r="C1388" i="6"/>
  <c r="E1387" i="6"/>
  <c r="D1387" i="6"/>
  <c r="C1387" i="6"/>
  <c r="E1386" i="6"/>
  <c r="D1386" i="6"/>
  <c r="C1386" i="6"/>
  <c r="E1385" i="6"/>
  <c r="D1385" i="6"/>
  <c r="C1385" i="6"/>
  <c r="E1384" i="6"/>
  <c r="D1384" i="6"/>
  <c r="C1384" i="6"/>
  <c r="E1383" i="6"/>
  <c r="D1383" i="6"/>
  <c r="C1383" i="6"/>
  <c r="E1382" i="6"/>
  <c r="D1382" i="6"/>
  <c r="C1382" i="6"/>
  <c r="E1381" i="6"/>
  <c r="D1381" i="6"/>
  <c r="C1381" i="6"/>
  <c r="E1380" i="6"/>
  <c r="D1380" i="6"/>
  <c r="C1380" i="6"/>
  <c r="E1379" i="6"/>
  <c r="D1379" i="6"/>
  <c r="C1379" i="6"/>
  <c r="E1378" i="6"/>
  <c r="D1378" i="6"/>
  <c r="C1378" i="6"/>
  <c r="E1377" i="6"/>
  <c r="D1377" i="6"/>
  <c r="C1377" i="6"/>
  <c r="E1376" i="6"/>
  <c r="D1376" i="6"/>
  <c r="C1376" i="6"/>
  <c r="E1375" i="6"/>
  <c r="D1375" i="6"/>
  <c r="C1375" i="6"/>
  <c r="E1374" i="6"/>
  <c r="D1374" i="6"/>
  <c r="C1374" i="6"/>
  <c r="E1373" i="6"/>
  <c r="D1373" i="6"/>
  <c r="C1373" i="6"/>
  <c r="E1372" i="6"/>
  <c r="D1372" i="6"/>
  <c r="C1372" i="6"/>
  <c r="E1371" i="6"/>
  <c r="D1371" i="6"/>
  <c r="C1371" i="6"/>
  <c r="E1370" i="6"/>
  <c r="D1370" i="6"/>
  <c r="C1370" i="6"/>
  <c r="E1369" i="6"/>
  <c r="D1369" i="6"/>
  <c r="C1369" i="6"/>
  <c r="E1368" i="6"/>
  <c r="D1368" i="6"/>
  <c r="C1368" i="6"/>
  <c r="E1367" i="6"/>
  <c r="D1367" i="6"/>
  <c r="C1367" i="6"/>
  <c r="E1366" i="6"/>
  <c r="D1366" i="6"/>
  <c r="C1366" i="6"/>
  <c r="E1365" i="6"/>
  <c r="D1365" i="6"/>
  <c r="C1365" i="6"/>
  <c r="E1364" i="6"/>
  <c r="D1364" i="6"/>
  <c r="C1364" i="6"/>
  <c r="E1363" i="6"/>
  <c r="D1363" i="6"/>
  <c r="C1363" i="6"/>
  <c r="E1362" i="6"/>
  <c r="D1362" i="6"/>
  <c r="C1362" i="6"/>
  <c r="E1361" i="6"/>
  <c r="D1361" i="6"/>
  <c r="C1361" i="6"/>
  <c r="E1360" i="6"/>
  <c r="D1360" i="6"/>
  <c r="C1360" i="6"/>
  <c r="E1359" i="6"/>
  <c r="D1359" i="6"/>
  <c r="C1359" i="6"/>
  <c r="E1358" i="6"/>
  <c r="D1358" i="6"/>
  <c r="C1358" i="6"/>
  <c r="E1357" i="6"/>
  <c r="D1357" i="6"/>
  <c r="C1357" i="6"/>
  <c r="E1356" i="6"/>
  <c r="D1356" i="6"/>
  <c r="C1356" i="6"/>
  <c r="E1355" i="6"/>
  <c r="D1355" i="6"/>
  <c r="C1355" i="6"/>
  <c r="E1354" i="6"/>
  <c r="D1354" i="6"/>
  <c r="C1354" i="6"/>
  <c r="E1353" i="6"/>
  <c r="D1353" i="6"/>
  <c r="C1353" i="6"/>
  <c r="E1352" i="6"/>
  <c r="D1352" i="6"/>
  <c r="C1352" i="6"/>
  <c r="E1351" i="6"/>
  <c r="D1351" i="6"/>
  <c r="C1351" i="6"/>
  <c r="E1350" i="6"/>
  <c r="D1350" i="6"/>
  <c r="C1350" i="6"/>
  <c r="E1349" i="6"/>
  <c r="D1349" i="6"/>
  <c r="C1349" i="6"/>
  <c r="E1348" i="6"/>
  <c r="D1348" i="6"/>
  <c r="C1348" i="6"/>
  <c r="E1347" i="6"/>
  <c r="D1347" i="6"/>
  <c r="C1347" i="6"/>
  <c r="E1346" i="6"/>
  <c r="D1346" i="6"/>
  <c r="C1346" i="6"/>
  <c r="E1345" i="6"/>
  <c r="D1345" i="6"/>
  <c r="C1345" i="6"/>
  <c r="E1344" i="6"/>
  <c r="D1344" i="6"/>
  <c r="C1344" i="6"/>
  <c r="E1343" i="6"/>
  <c r="D1343" i="6"/>
  <c r="C1343" i="6"/>
  <c r="E1342" i="6"/>
  <c r="D1342" i="6"/>
  <c r="C1342" i="6"/>
  <c r="E1341" i="6"/>
  <c r="D1341" i="6"/>
  <c r="C1341" i="6"/>
  <c r="E1340" i="6"/>
  <c r="D1340" i="6"/>
  <c r="C1340" i="6"/>
  <c r="E1339" i="6"/>
  <c r="D1339" i="6"/>
  <c r="C1339" i="6"/>
  <c r="E1338" i="6"/>
  <c r="D1338" i="6"/>
  <c r="C1338" i="6"/>
  <c r="E1337" i="6"/>
  <c r="D1337" i="6"/>
  <c r="C1337" i="6"/>
  <c r="E1336" i="6"/>
  <c r="D1336" i="6"/>
  <c r="C1336" i="6"/>
  <c r="E1335" i="6"/>
  <c r="D1335" i="6"/>
  <c r="C1335" i="6"/>
  <c r="E1334" i="6"/>
  <c r="D1334" i="6"/>
  <c r="C1334" i="6"/>
  <c r="E1333" i="6"/>
  <c r="D1333" i="6"/>
  <c r="C1333" i="6"/>
  <c r="E1332" i="6"/>
  <c r="D1332" i="6"/>
  <c r="C1332" i="6"/>
  <c r="E1331" i="6"/>
  <c r="D1331" i="6"/>
  <c r="C1331" i="6"/>
  <c r="E1330" i="6"/>
  <c r="D1330" i="6"/>
  <c r="C1330" i="6"/>
  <c r="E1329" i="6"/>
  <c r="D1329" i="6"/>
  <c r="C1329" i="6"/>
  <c r="E1328" i="6"/>
  <c r="D1328" i="6"/>
  <c r="C1328" i="6"/>
  <c r="E1327" i="6"/>
  <c r="D1327" i="6"/>
  <c r="C1327" i="6"/>
  <c r="E1326" i="6"/>
  <c r="D1326" i="6"/>
  <c r="C1326" i="6"/>
  <c r="E1325" i="6"/>
  <c r="D1325" i="6"/>
  <c r="C1325" i="6"/>
  <c r="E1324" i="6"/>
  <c r="D1324" i="6"/>
  <c r="C1324" i="6"/>
  <c r="E1323" i="6"/>
  <c r="D1323" i="6"/>
  <c r="C1323" i="6"/>
  <c r="E1322" i="6"/>
  <c r="D1322" i="6"/>
  <c r="C1322" i="6"/>
  <c r="E1321" i="6"/>
  <c r="D1321" i="6"/>
  <c r="C1321" i="6"/>
  <c r="E1320" i="6"/>
  <c r="D1320" i="6"/>
  <c r="C1320" i="6"/>
  <c r="E1319" i="6"/>
  <c r="D1319" i="6"/>
  <c r="C1319" i="6"/>
  <c r="E1318" i="6"/>
  <c r="D1318" i="6"/>
  <c r="C1318" i="6"/>
  <c r="E1317" i="6"/>
  <c r="D1317" i="6"/>
  <c r="C1317" i="6"/>
  <c r="E1316" i="6"/>
  <c r="D1316" i="6"/>
  <c r="C1316" i="6"/>
  <c r="E1315" i="6"/>
  <c r="D1315" i="6"/>
  <c r="C1315" i="6"/>
  <c r="E1314" i="6"/>
  <c r="D1314" i="6"/>
  <c r="C1314" i="6"/>
  <c r="E1313" i="6"/>
  <c r="D1313" i="6"/>
  <c r="C1313" i="6"/>
  <c r="E1312" i="6"/>
  <c r="D1312" i="6"/>
  <c r="C1312" i="6"/>
  <c r="E1311" i="6"/>
  <c r="D1311" i="6"/>
  <c r="C1311" i="6"/>
  <c r="E1310" i="6"/>
  <c r="D1310" i="6"/>
  <c r="C1310" i="6"/>
  <c r="E1309" i="6"/>
  <c r="D1309" i="6"/>
  <c r="C1309" i="6"/>
  <c r="E1308" i="6"/>
  <c r="D1308" i="6"/>
  <c r="C1308" i="6"/>
  <c r="E1307" i="6"/>
  <c r="D1307" i="6"/>
  <c r="C1307" i="6"/>
  <c r="E1306" i="6"/>
  <c r="D1306" i="6"/>
  <c r="C1306" i="6"/>
  <c r="E1305" i="6"/>
  <c r="D1305" i="6"/>
  <c r="C1305" i="6"/>
  <c r="E1304" i="6"/>
  <c r="D1304" i="6"/>
  <c r="C1304" i="6"/>
  <c r="E1303" i="6"/>
  <c r="D1303" i="6"/>
  <c r="C1303" i="6"/>
  <c r="E1302" i="6"/>
  <c r="D1302" i="6"/>
  <c r="C1302" i="6"/>
  <c r="E1301" i="6"/>
  <c r="D1301" i="6"/>
  <c r="C1301" i="6"/>
  <c r="E1300" i="6"/>
  <c r="D1300" i="6"/>
  <c r="C1300" i="6"/>
  <c r="E1299" i="6"/>
  <c r="D1299" i="6"/>
  <c r="C1299" i="6"/>
  <c r="E1298" i="6"/>
  <c r="D1298" i="6"/>
  <c r="C1298" i="6"/>
  <c r="E1297" i="6"/>
  <c r="D1297" i="6"/>
  <c r="C1297" i="6"/>
  <c r="E1296" i="6"/>
  <c r="D1296" i="6"/>
  <c r="C1296" i="6"/>
  <c r="E1295" i="6"/>
  <c r="D1295" i="6"/>
  <c r="C1295" i="6"/>
  <c r="E1294" i="6"/>
  <c r="D1294" i="6"/>
  <c r="C1294" i="6"/>
  <c r="E1293" i="6"/>
  <c r="D1293" i="6"/>
  <c r="C1293" i="6"/>
  <c r="E1292" i="6"/>
  <c r="D1292" i="6"/>
  <c r="C1292" i="6"/>
  <c r="E1291" i="6"/>
  <c r="D1291" i="6"/>
  <c r="C1291" i="6"/>
  <c r="E1290" i="6"/>
  <c r="D1290" i="6"/>
  <c r="C1290" i="6"/>
  <c r="E1289" i="6"/>
  <c r="D1289" i="6"/>
  <c r="C1289" i="6"/>
  <c r="E1288" i="6"/>
  <c r="D1288" i="6"/>
  <c r="C1288" i="6"/>
  <c r="E1287" i="6"/>
  <c r="D1287" i="6"/>
  <c r="C1287" i="6"/>
  <c r="E1286" i="6"/>
  <c r="D1286" i="6"/>
  <c r="C1286" i="6"/>
  <c r="E1285" i="6"/>
  <c r="D1285" i="6"/>
  <c r="C1285" i="6"/>
  <c r="E1284" i="6"/>
  <c r="D1284" i="6"/>
  <c r="C1284" i="6"/>
  <c r="E1283" i="6"/>
  <c r="D1283" i="6"/>
  <c r="C1283" i="6"/>
  <c r="E1282" i="6"/>
  <c r="D1282" i="6"/>
  <c r="C1282" i="6"/>
  <c r="E1281" i="6"/>
  <c r="D1281" i="6"/>
  <c r="C1281" i="6"/>
  <c r="E1280" i="6"/>
  <c r="D1280" i="6"/>
  <c r="C1280" i="6"/>
  <c r="E1279" i="6"/>
  <c r="D1279" i="6"/>
  <c r="C1279" i="6"/>
  <c r="E1278" i="6"/>
  <c r="D1278" i="6"/>
  <c r="C1278" i="6"/>
  <c r="E1277" i="6"/>
  <c r="D1277" i="6"/>
  <c r="C1277" i="6"/>
  <c r="E1276" i="6"/>
  <c r="D1276" i="6"/>
  <c r="C1276" i="6"/>
  <c r="E1275" i="6"/>
  <c r="D1275" i="6"/>
  <c r="C1275" i="6"/>
  <c r="E1274" i="6"/>
  <c r="D1274" i="6"/>
  <c r="C1274" i="6"/>
  <c r="E1273" i="6"/>
  <c r="D1273" i="6"/>
  <c r="C1273" i="6"/>
  <c r="E1272" i="6"/>
  <c r="D1272" i="6"/>
  <c r="C1272" i="6"/>
  <c r="E1271" i="6"/>
  <c r="D1271" i="6"/>
  <c r="C1271" i="6"/>
  <c r="E1270" i="6"/>
  <c r="D1270" i="6"/>
  <c r="C1270" i="6"/>
  <c r="E1269" i="6"/>
  <c r="D1269" i="6"/>
  <c r="C1269" i="6"/>
  <c r="E1268" i="6"/>
  <c r="D1268" i="6"/>
  <c r="C1268" i="6"/>
  <c r="E1267" i="6"/>
  <c r="D1267" i="6"/>
  <c r="C1267" i="6"/>
  <c r="E1266" i="6"/>
  <c r="D1266" i="6"/>
  <c r="C1266" i="6"/>
  <c r="E1265" i="6"/>
  <c r="D1265" i="6"/>
  <c r="C1265" i="6"/>
  <c r="E1264" i="6"/>
  <c r="D1264" i="6"/>
  <c r="C1264" i="6"/>
  <c r="E1263" i="6"/>
  <c r="D1263" i="6"/>
  <c r="C1263" i="6"/>
  <c r="E1262" i="6"/>
  <c r="D1262" i="6"/>
  <c r="C1262" i="6"/>
  <c r="E1261" i="6"/>
  <c r="D1261" i="6"/>
  <c r="C1261" i="6"/>
  <c r="E1260" i="6"/>
  <c r="D1260" i="6"/>
  <c r="C1260" i="6"/>
  <c r="E1259" i="6"/>
  <c r="D1259" i="6"/>
  <c r="C1259" i="6"/>
  <c r="E1258" i="6"/>
  <c r="D1258" i="6"/>
  <c r="C1258" i="6"/>
  <c r="E1257" i="6"/>
  <c r="D1257" i="6"/>
  <c r="C1257" i="6"/>
  <c r="E1256" i="6"/>
  <c r="D1256" i="6"/>
  <c r="C1256" i="6"/>
  <c r="E1255" i="6"/>
  <c r="D1255" i="6"/>
  <c r="C1255" i="6"/>
  <c r="E1254" i="6"/>
  <c r="D1254" i="6"/>
  <c r="C1254" i="6"/>
  <c r="E1253" i="6"/>
  <c r="D1253" i="6"/>
  <c r="C1253" i="6"/>
  <c r="E1252" i="6"/>
  <c r="D1252" i="6"/>
  <c r="C1252" i="6"/>
  <c r="E1251" i="6"/>
  <c r="D1251" i="6"/>
  <c r="C1251" i="6"/>
  <c r="E1250" i="6"/>
  <c r="D1250" i="6"/>
  <c r="C1250" i="6"/>
  <c r="E1249" i="6"/>
  <c r="D1249" i="6"/>
  <c r="C1249" i="6"/>
  <c r="E1248" i="6"/>
  <c r="D1248" i="6"/>
  <c r="C1248" i="6"/>
  <c r="E1247" i="6"/>
  <c r="D1247" i="6"/>
  <c r="C1247" i="6"/>
  <c r="E1246" i="6"/>
  <c r="D1246" i="6"/>
  <c r="C1246" i="6"/>
  <c r="E1245" i="6"/>
  <c r="D1245" i="6"/>
  <c r="C1245" i="6"/>
  <c r="E1244" i="6"/>
  <c r="D1244" i="6"/>
  <c r="C1244" i="6"/>
  <c r="E1243" i="6"/>
  <c r="D1243" i="6"/>
  <c r="C1243" i="6"/>
  <c r="E1242" i="6"/>
  <c r="D1242" i="6"/>
  <c r="C1242" i="6"/>
  <c r="E1241" i="6"/>
  <c r="D1241" i="6"/>
  <c r="C1241" i="6"/>
  <c r="E1240" i="6"/>
  <c r="D1240" i="6"/>
  <c r="C1240" i="6"/>
  <c r="E1239" i="6"/>
  <c r="D1239" i="6"/>
  <c r="C1239" i="6"/>
  <c r="E1238" i="6"/>
  <c r="D1238" i="6"/>
  <c r="C1238" i="6"/>
  <c r="E1237" i="6"/>
  <c r="D1237" i="6"/>
  <c r="C1237" i="6"/>
  <c r="E1236" i="6"/>
  <c r="D1236" i="6"/>
  <c r="C1236" i="6"/>
  <c r="E1235" i="6"/>
  <c r="D1235" i="6"/>
  <c r="C1235" i="6"/>
  <c r="E1234" i="6"/>
  <c r="D1234" i="6"/>
  <c r="C1234" i="6"/>
  <c r="E1233" i="6"/>
  <c r="D1233" i="6"/>
  <c r="C1233" i="6"/>
  <c r="E1232" i="6"/>
  <c r="D1232" i="6"/>
  <c r="C1232" i="6"/>
  <c r="E1231" i="6"/>
  <c r="D1231" i="6"/>
  <c r="C1231" i="6"/>
  <c r="E1230" i="6"/>
  <c r="D1230" i="6"/>
  <c r="C1230" i="6"/>
  <c r="E1229" i="6"/>
  <c r="D1229" i="6"/>
  <c r="C1229" i="6"/>
  <c r="E1228" i="6"/>
  <c r="D1228" i="6"/>
  <c r="C1228" i="6"/>
  <c r="E1227" i="6"/>
  <c r="D1227" i="6"/>
  <c r="C1227" i="6"/>
  <c r="E1226" i="6"/>
  <c r="D1226" i="6"/>
  <c r="C1226" i="6"/>
  <c r="E1225" i="6"/>
  <c r="D1225" i="6"/>
  <c r="C1225" i="6"/>
  <c r="E1224" i="6"/>
  <c r="D1224" i="6"/>
  <c r="C1224" i="6"/>
  <c r="E1223" i="6"/>
  <c r="D1223" i="6"/>
  <c r="C1223" i="6"/>
  <c r="E1222" i="6"/>
  <c r="D1222" i="6"/>
  <c r="C1222" i="6"/>
  <c r="E1221" i="6"/>
  <c r="D1221" i="6"/>
  <c r="C1221" i="6"/>
  <c r="E1220" i="6"/>
  <c r="D1220" i="6"/>
  <c r="C1220" i="6"/>
  <c r="E1219" i="6"/>
  <c r="D1219" i="6"/>
  <c r="C1219" i="6"/>
  <c r="E1218" i="6"/>
  <c r="D1218" i="6"/>
  <c r="C1218" i="6"/>
  <c r="E1217" i="6"/>
  <c r="D1217" i="6"/>
  <c r="C1217" i="6"/>
  <c r="E1216" i="6"/>
  <c r="D1216" i="6"/>
  <c r="C1216" i="6"/>
  <c r="E1215" i="6"/>
  <c r="D1215" i="6"/>
  <c r="C1215" i="6"/>
  <c r="E1214" i="6"/>
  <c r="D1214" i="6"/>
  <c r="C1214" i="6"/>
  <c r="E1213" i="6"/>
  <c r="D1213" i="6"/>
  <c r="C1213" i="6"/>
  <c r="E1212" i="6"/>
  <c r="D1212" i="6"/>
  <c r="C1212" i="6"/>
  <c r="E1211" i="6"/>
  <c r="D1211" i="6"/>
  <c r="C1211" i="6"/>
  <c r="E1210" i="6"/>
  <c r="D1210" i="6"/>
  <c r="C1210" i="6"/>
  <c r="E1209" i="6"/>
  <c r="D1209" i="6"/>
  <c r="C1209" i="6"/>
  <c r="E1208" i="6"/>
  <c r="D1208" i="6"/>
  <c r="C1208" i="6"/>
  <c r="E1207" i="6"/>
  <c r="D1207" i="6"/>
  <c r="C1207" i="6"/>
  <c r="E1206" i="6"/>
  <c r="D1206" i="6"/>
  <c r="C1206" i="6"/>
  <c r="E1205" i="6"/>
  <c r="D1205" i="6"/>
  <c r="C1205" i="6"/>
  <c r="E1204" i="6"/>
  <c r="D1204" i="6"/>
  <c r="C1204" i="6"/>
  <c r="E1203" i="6"/>
  <c r="D1203" i="6"/>
  <c r="C1203" i="6"/>
  <c r="E1202" i="6"/>
  <c r="D1202" i="6"/>
  <c r="C1202" i="6"/>
  <c r="E1201" i="6"/>
  <c r="D1201" i="6"/>
  <c r="C1201" i="6"/>
  <c r="E1200" i="6"/>
  <c r="D1200" i="6"/>
  <c r="C1200" i="6"/>
  <c r="E1199" i="6"/>
  <c r="D1199" i="6"/>
  <c r="C1199" i="6"/>
  <c r="E1198" i="6"/>
  <c r="D1198" i="6"/>
  <c r="C1198" i="6"/>
  <c r="E1197" i="6"/>
  <c r="D1197" i="6"/>
  <c r="C1197" i="6"/>
  <c r="E1196" i="6"/>
  <c r="D1196" i="6"/>
  <c r="C1196" i="6"/>
  <c r="E1195" i="6"/>
  <c r="D1195" i="6"/>
  <c r="C1195" i="6"/>
  <c r="E1194" i="6"/>
  <c r="D1194" i="6"/>
  <c r="C1194" i="6"/>
  <c r="E1193" i="6"/>
  <c r="D1193" i="6"/>
  <c r="C1193" i="6"/>
  <c r="E1192" i="6"/>
  <c r="D1192" i="6"/>
  <c r="C1192" i="6"/>
  <c r="E1191" i="6"/>
  <c r="D1191" i="6"/>
  <c r="C1191" i="6"/>
  <c r="E1190" i="6"/>
  <c r="D1190" i="6"/>
  <c r="C1190" i="6"/>
  <c r="E1189" i="6"/>
  <c r="D1189" i="6"/>
  <c r="C1189" i="6"/>
  <c r="E1188" i="6"/>
  <c r="D1188" i="6"/>
  <c r="C1188" i="6"/>
  <c r="E1187" i="6"/>
  <c r="D1187" i="6"/>
  <c r="C1187" i="6"/>
  <c r="E1186" i="6"/>
  <c r="D1186" i="6"/>
  <c r="C1186" i="6"/>
  <c r="E1185" i="6"/>
  <c r="D1185" i="6"/>
  <c r="C1185" i="6"/>
  <c r="E1184" i="6"/>
  <c r="D1184" i="6"/>
  <c r="C1184" i="6"/>
  <c r="E1183" i="6"/>
  <c r="D1183" i="6"/>
  <c r="C1183" i="6"/>
  <c r="E1182" i="6"/>
  <c r="D1182" i="6"/>
  <c r="C1182" i="6"/>
  <c r="E1181" i="6"/>
  <c r="D1181" i="6"/>
  <c r="C1181" i="6"/>
  <c r="E1180" i="6"/>
  <c r="D1180" i="6"/>
  <c r="C1180" i="6"/>
  <c r="E1179" i="6"/>
  <c r="D1179" i="6"/>
  <c r="C1179" i="6"/>
  <c r="E1178" i="6"/>
  <c r="D1178" i="6"/>
  <c r="C1178" i="6"/>
  <c r="E1177" i="6"/>
  <c r="D1177" i="6"/>
  <c r="C1177" i="6"/>
  <c r="E1176" i="6"/>
  <c r="D1176" i="6"/>
  <c r="C1176" i="6"/>
  <c r="E1175" i="6"/>
  <c r="D1175" i="6"/>
  <c r="C1175" i="6"/>
  <c r="E1174" i="6"/>
  <c r="D1174" i="6"/>
  <c r="C1174" i="6"/>
  <c r="E1173" i="6"/>
  <c r="D1173" i="6"/>
  <c r="C1173" i="6"/>
  <c r="E1172" i="6"/>
  <c r="D1172" i="6"/>
  <c r="C1172" i="6"/>
  <c r="E1171" i="6"/>
  <c r="D1171" i="6"/>
  <c r="C1171" i="6"/>
  <c r="E1170" i="6"/>
  <c r="D1170" i="6"/>
  <c r="C1170" i="6"/>
  <c r="E1169" i="6"/>
  <c r="D1169" i="6"/>
  <c r="C1169" i="6"/>
  <c r="E1168" i="6"/>
  <c r="D1168" i="6"/>
  <c r="C1168" i="6"/>
  <c r="E1167" i="6"/>
  <c r="D1167" i="6"/>
  <c r="C1167" i="6"/>
  <c r="E1166" i="6"/>
  <c r="D1166" i="6"/>
  <c r="C1166" i="6"/>
  <c r="E1165" i="6"/>
  <c r="D1165" i="6"/>
  <c r="C1165" i="6"/>
  <c r="E1164" i="6"/>
  <c r="D1164" i="6"/>
  <c r="C1164" i="6"/>
  <c r="E1163" i="6"/>
  <c r="D1163" i="6"/>
  <c r="C1163" i="6"/>
  <c r="E1162" i="6"/>
  <c r="D1162" i="6"/>
  <c r="C1162" i="6"/>
  <c r="E1161" i="6"/>
  <c r="D1161" i="6"/>
  <c r="C1161" i="6"/>
  <c r="E1160" i="6"/>
  <c r="D1160" i="6"/>
  <c r="C1160" i="6"/>
  <c r="E1159" i="6"/>
  <c r="D1159" i="6"/>
  <c r="C1159" i="6"/>
  <c r="E1158" i="6"/>
  <c r="D1158" i="6"/>
  <c r="C1158" i="6"/>
  <c r="E1157" i="6"/>
  <c r="D1157" i="6"/>
  <c r="C1157" i="6"/>
  <c r="E1156" i="6"/>
  <c r="D1156" i="6"/>
  <c r="C1156" i="6"/>
  <c r="E1155" i="6"/>
  <c r="D1155" i="6"/>
  <c r="C1155" i="6"/>
  <c r="E1154" i="6"/>
  <c r="D1154" i="6"/>
  <c r="C1154" i="6"/>
  <c r="E1153" i="6"/>
  <c r="D1153" i="6"/>
  <c r="C1153" i="6"/>
  <c r="E1152" i="6"/>
  <c r="D1152" i="6"/>
  <c r="C1152" i="6"/>
  <c r="E1151" i="6"/>
  <c r="D1151" i="6"/>
  <c r="C1151" i="6"/>
  <c r="E1150" i="6"/>
  <c r="D1150" i="6"/>
  <c r="C1150" i="6"/>
  <c r="E1149" i="6"/>
  <c r="D1149" i="6"/>
  <c r="C1149" i="6"/>
  <c r="E1148" i="6"/>
  <c r="D1148" i="6"/>
  <c r="C1148" i="6"/>
  <c r="E1147" i="6"/>
  <c r="D1147" i="6"/>
  <c r="C1147" i="6"/>
  <c r="E1146" i="6"/>
  <c r="D1146" i="6"/>
  <c r="C1146" i="6"/>
  <c r="E1145" i="6"/>
  <c r="D1145" i="6"/>
  <c r="C1145" i="6"/>
  <c r="E1144" i="6"/>
  <c r="D1144" i="6"/>
  <c r="C1144" i="6"/>
  <c r="E1143" i="6"/>
  <c r="D1143" i="6"/>
  <c r="C1143" i="6"/>
  <c r="E1142" i="6"/>
  <c r="D1142" i="6"/>
  <c r="C1142" i="6"/>
  <c r="E1141" i="6"/>
  <c r="D1141" i="6"/>
  <c r="C1141" i="6"/>
  <c r="E1140" i="6"/>
  <c r="D1140" i="6"/>
  <c r="C1140" i="6"/>
  <c r="E1139" i="6"/>
  <c r="D1139" i="6"/>
  <c r="C1139" i="6"/>
  <c r="E1138" i="6"/>
  <c r="D1138" i="6"/>
  <c r="C1138" i="6"/>
  <c r="E1137" i="6"/>
  <c r="D1137" i="6"/>
  <c r="C1137" i="6"/>
  <c r="E1136" i="6"/>
  <c r="D1136" i="6"/>
  <c r="C1136" i="6"/>
  <c r="E1135" i="6"/>
  <c r="D1135" i="6"/>
  <c r="C1135" i="6"/>
  <c r="E1134" i="6"/>
  <c r="D1134" i="6"/>
  <c r="C1134" i="6"/>
  <c r="E1133" i="6"/>
  <c r="D1133" i="6"/>
  <c r="C1133" i="6"/>
  <c r="E1132" i="6"/>
  <c r="D1132" i="6"/>
  <c r="C1132" i="6"/>
  <c r="E1131" i="6"/>
  <c r="D1131" i="6"/>
  <c r="C1131" i="6"/>
  <c r="E1130" i="6"/>
  <c r="D1130" i="6"/>
  <c r="C1130" i="6"/>
  <c r="E1129" i="6"/>
  <c r="D1129" i="6"/>
  <c r="C1129" i="6"/>
  <c r="E1128" i="6"/>
  <c r="D1128" i="6"/>
  <c r="C1128" i="6"/>
  <c r="E1127" i="6"/>
  <c r="D1127" i="6"/>
  <c r="C1127" i="6"/>
  <c r="E1126" i="6"/>
  <c r="D1126" i="6"/>
  <c r="C1126" i="6"/>
  <c r="E1125" i="6"/>
  <c r="D1125" i="6"/>
  <c r="C1125" i="6"/>
  <c r="E1124" i="6"/>
  <c r="D1124" i="6"/>
  <c r="C1124" i="6"/>
  <c r="E1123" i="6"/>
  <c r="D1123" i="6"/>
  <c r="C1123" i="6"/>
  <c r="E1122" i="6"/>
  <c r="D1122" i="6"/>
  <c r="C1122" i="6"/>
  <c r="E1121" i="6"/>
  <c r="D1121" i="6"/>
  <c r="C1121" i="6"/>
  <c r="E1120" i="6"/>
  <c r="D1120" i="6"/>
  <c r="C1120" i="6"/>
  <c r="E1119" i="6"/>
  <c r="D1119" i="6"/>
  <c r="C1119" i="6"/>
  <c r="E1118" i="6"/>
  <c r="D1118" i="6"/>
  <c r="C1118" i="6"/>
  <c r="E1117" i="6"/>
  <c r="D1117" i="6"/>
  <c r="C1117" i="6"/>
  <c r="E1116" i="6"/>
  <c r="D1116" i="6"/>
  <c r="C1116" i="6"/>
  <c r="E1115" i="6"/>
  <c r="D1115" i="6"/>
  <c r="C1115" i="6"/>
  <c r="E1114" i="6"/>
  <c r="D1114" i="6"/>
  <c r="C1114" i="6"/>
  <c r="E1113" i="6"/>
  <c r="D1113" i="6"/>
  <c r="C1113" i="6"/>
  <c r="E1112" i="6"/>
  <c r="D1112" i="6"/>
  <c r="C1112" i="6"/>
  <c r="E1111" i="6"/>
  <c r="D1111" i="6"/>
  <c r="C1111" i="6"/>
  <c r="E1110" i="6"/>
  <c r="D1110" i="6"/>
  <c r="C1110" i="6"/>
  <c r="E1109" i="6"/>
  <c r="D1109" i="6"/>
  <c r="C1109" i="6"/>
  <c r="E1108" i="6"/>
  <c r="D1108" i="6"/>
  <c r="C1108" i="6"/>
  <c r="E1107" i="6"/>
  <c r="D1107" i="6"/>
  <c r="C1107" i="6"/>
  <c r="E1106" i="6"/>
  <c r="D1106" i="6"/>
  <c r="C1106" i="6"/>
  <c r="E1105" i="6"/>
  <c r="D1105" i="6"/>
  <c r="C1105" i="6"/>
  <c r="E1104" i="6"/>
  <c r="D1104" i="6"/>
  <c r="C1104" i="6"/>
  <c r="E1103" i="6"/>
  <c r="D1103" i="6"/>
  <c r="C1103" i="6"/>
  <c r="E1102" i="6"/>
  <c r="D1102" i="6"/>
  <c r="C1102" i="6"/>
  <c r="E1101" i="6"/>
  <c r="D1101" i="6"/>
  <c r="C1101" i="6"/>
  <c r="E1100" i="6"/>
  <c r="D1100" i="6"/>
  <c r="C1100" i="6"/>
  <c r="E1099" i="6"/>
  <c r="D1099" i="6"/>
  <c r="C1099" i="6"/>
  <c r="E1098" i="6"/>
  <c r="D1098" i="6"/>
  <c r="C1098" i="6"/>
  <c r="E1097" i="6"/>
  <c r="D1097" i="6"/>
  <c r="C1097" i="6"/>
  <c r="E1096" i="6"/>
  <c r="D1096" i="6"/>
  <c r="C1096" i="6"/>
  <c r="E1095" i="6"/>
  <c r="D1095" i="6"/>
  <c r="C1095" i="6"/>
  <c r="E1094" i="6"/>
  <c r="D1094" i="6"/>
  <c r="C1094" i="6"/>
  <c r="E1093" i="6"/>
  <c r="D1093" i="6"/>
  <c r="C1093" i="6"/>
  <c r="E1092" i="6"/>
  <c r="D1092" i="6"/>
  <c r="C1092" i="6"/>
  <c r="E1091" i="6"/>
  <c r="D1091" i="6"/>
  <c r="C1091" i="6"/>
  <c r="E1090" i="6"/>
  <c r="D1090" i="6"/>
  <c r="C1090" i="6"/>
  <c r="E1089" i="6"/>
  <c r="D1089" i="6"/>
  <c r="C1089" i="6"/>
  <c r="E1088" i="6"/>
  <c r="D1088" i="6"/>
  <c r="C1088" i="6"/>
  <c r="E1087" i="6"/>
  <c r="D1087" i="6"/>
  <c r="C1087" i="6"/>
  <c r="E1086" i="6"/>
  <c r="D1086" i="6"/>
  <c r="C1086" i="6"/>
  <c r="E1085" i="6"/>
  <c r="D1085" i="6"/>
  <c r="C1085" i="6"/>
  <c r="E1084" i="6"/>
  <c r="D1084" i="6"/>
  <c r="C1084" i="6"/>
  <c r="E1083" i="6"/>
  <c r="D1083" i="6"/>
  <c r="C1083" i="6"/>
  <c r="E1082" i="6"/>
  <c r="D1082" i="6"/>
  <c r="C1082" i="6"/>
  <c r="E1081" i="6"/>
  <c r="D1081" i="6"/>
  <c r="C1081" i="6"/>
  <c r="E1080" i="6"/>
  <c r="D1080" i="6"/>
  <c r="C1080" i="6"/>
  <c r="E1079" i="6"/>
  <c r="D1079" i="6"/>
  <c r="C1079" i="6"/>
  <c r="E1078" i="6"/>
  <c r="D1078" i="6"/>
  <c r="C1078" i="6"/>
  <c r="E1077" i="6"/>
  <c r="D1077" i="6"/>
  <c r="C1077" i="6"/>
  <c r="E1076" i="6"/>
  <c r="D1076" i="6"/>
  <c r="C1076" i="6"/>
  <c r="E1075" i="6"/>
  <c r="D1075" i="6"/>
  <c r="C1075" i="6"/>
  <c r="E1074" i="6"/>
  <c r="D1074" i="6"/>
  <c r="C1074" i="6"/>
  <c r="E1073" i="6"/>
  <c r="D1073" i="6"/>
  <c r="C1073" i="6"/>
  <c r="E1072" i="6"/>
  <c r="D1072" i="6"/>
  <c r="C1072" i="6"/>
  <c r="E1071" i="6"/>
  <c r="D1071" i="6"/>
  <c r="C1071" i="6"/>
  <c r="E1070" i="6"/>
  <c r="D1070" i="6"/>
  <c r="C1070" i="6"/>
  <c r="E1069" i="6"/>
  <c r="D1069" i="6"/>
  <c r="C1069" i="6"/>
  <c r="E1068" i="6"/>
  <c r="D1068" i="6"/>
  <c r="C1068" i="6"/>
  <c r="E1067" i="6"/>
  <c r="D1067" i="6"/>
  <c r="C1067" i="6"/>
  <c r="E1066" i="6"/>
  <c r="D1066" i="6"/>
  <c r="C1066" i="6"/>
  <c r="E1065" i="6"/>
  <c r="D1065" i="6"/>
  <c r="C1065" i="6"/>
  <c r="E1064" i="6"/>
  <c r="D1064" i="6"/>
  <c r="C1064" i="6"/>
  <c r="E1063" i="6"/>
  <c r="D1063" i="6"/>
  <c r="C1063" i="6"/>
  <c r="E1062" i="6"/>
  <c r="D1062" i="6"/>
  <c r="C1062" i="6"/>
  <c r="E1061" i="6"/>
  <c r="D1061" i="6"/>
  <c r="C1061" i="6"/>
  <c r="E1060" i="6"/>
  <c r="D1060" i="6"/>
  <c r="C1060" i="6"/>
  <c r="E1059" i="6"/>
  <c r="D1059" i="6"/>
  <c r="C1059" i="6"/>
  <c r="E1058" i="6"/>
  <c r="D1058" i="6"/>
  <c r="C1058" i="6"/>
  <c r="E1057" i="6"/>
  <c r="D1057" i="6"/>
  <c r="C1057" i="6"/>
  <c r="E1056" i="6"/>
  <c r="D1056" i="6"/>
  <c r="C1056" i="6"/>
  <c r="E1055" i="6"/>
  <c r="D1055" i="6"/>
  <c r="C1055" i="6"/>
  <c r="E1054" i="6"/>
  <c r="D1054" i="6"/>
  <c r="C1054" i="6"/>
  <c r="E1053" i="6"/>
  <c r="D1053" i="6"/>
  <c r="C1053" i="6"/>
  <c r="E1052" i="6"/>
  <c r="D1052" i="6"/>
  <c r="C1052" i="6"/>
  <c r="E1051" i="6"/>
  <c r="D1051" i="6"/>
  <c r="C1051" i="6"/>
  <c r="E1050" i="6"/>
  <c r="D1050" i="6"/>
  <c r="C1050" i="6"/>
  <c r="E1049" i="6"/>
  <c r="D1049" i="6"/>
  <c r="C1049" i="6"/>
  <c r="E1048" i="6"/>
  <c r="D1048" i="6"/>
  <c r="C1048" i="6"/>
  <c r="E1047" i="6"/>
  <c r="D1047" i="6"/>
  <c r="C1047" i="6"/>
  <c r="E1046" i="6"/>
  <c r="D1046" i="6"/>
  <c r="C1046" i="6"/>
  <c r="E1045" i="6"/>
  <c r="D1045" i="6"/>
  <c r="C1045" i="6"/>
  <c r="E1044" i="6"/>
  <c r="D1044" i="6"/>
  <c r="C1044" i="6"/>
  <c r="E1043" i="6"/>
  <c r="D1043" i="6"/>
  <c r="C1043" i="6"/>
  <c r="E1042" i="6"/>
  <c r="D1042" i="6"/>
  <c r="C1042" i="6"/>
  <c r="E1041" i="6"/>
  <c r="D1041" i="6"/>
  <c r="C1041" i="6"/>
  <c r="E1040" i="6"/>
  <c r="D1040" i="6"/>
  <c r="C1040" i="6"/>
  <c r="E1039" i="6"/>
  <c r="D1039" i="6"/>
  <c r="C1039" i="6"/>
  <c r="E1038" i="6"/>
  <c r="D1038" i="6"/>
  <c r="C1038" i="6"/>
  <c r="E1037" i="6"/>
  <c r="D1037" i="6"/>
  <c r="C1037" i="6"/>
  <c r="E1036" i="6"/>
  <c r="D1036" i="6"/>
  <c r="C1036" i="6"/>
  <c r="E1035" i="6"/>
  <c r="D1035" i="6"/>
  <c r="C1035" i="6"/>
  <c r="E1034" i="6"/>
  <c r="D1034" i="6"/>
  <c r="C1034" i="6"/>
  <c r="E1033" i="6"/>
  <c r="D1033" i="6"/>
  <c r="C1033" i="6"/>
  <c r="E1032" i="6"/>
  <c r="D1032" i="6"/>
  <c r="C1032" i="6"/>
  <c r="E1031" i="6"/>
  <c r="D1031" i="6"/>
  <c r="C1031" i="6"/>
  <c r="E1030" i="6"/>
  <c r="D1030" i="6"/>
  <c r="C1030" i="6"/>
  <c r="E1029" i="6"/>
  <c r="D1029" i="6"/>
  <c r="C1029" i="6"/>
  <c r="E1028" i="6"/>
  <c r="D1028" i="6"/>
  <c r="C1028" i="6"/>
  <c r="E1027" i="6"/>
  <c r="D1027" i="6"/>
  <c r="C1027" i="6"/>
  <c r="E1026" i="6"/>
  <c r="D1026" i="6"/>
  <c r="C1026" i="6"/>
  <c r="E1025" i="6"/>
  <c r="D1025" i="6"/>
  <c r="C1025" i="6"/>
  <c r="E1024" i="6"/>
  <c r="D1024" i="6"/>
  <c r="C1024" i="6"/>
  <c r="E1023" i="6"/>
  <c r="D1023" i="6"/>
  <c r="C1023" i="6"/>
  <c r="E1022" i="6"/>
  <c r="D1022" i="6"/>
  <c r="C1022" i="6"/>
  <c r="E1021" i="6"/>
  <c r="D1021" i="6"/>
  <c r="C1021" i="6"/>
  <c r="E1020" i="6"/>
  <c r="D1020" i="6"/>
  <c r="C1020" i="6"/>
  <c r="E1019" i="6"/>
  <c r="D1019" i="6"/>
  <c r="C1019" i="6"/>
  <c r="E1018" i="6"/>
  <c r="D1018" i="6"/>
  <c r="C1018" i="6"/>
  <c r="E1017" i="6"/>
  <c r="D1017" i="6"/>
  <c r="C1017" i="6"/>
  <c r="E1016" i="6"/>
  <c r="D1016" i="6"/>
  <c r="C1016" i="6"/>
  <c r="E1015" i="6"/>
  <c r="D1015" i="6"/>
  <c r="C1015" i="6"/>
  <c r="E1014" i="6"/>
  <c r="D1014" i="6"/>
  <c r="C1014" i="6"/>
  <c r="E1013" i="6"/>
  <c r="D1013" i="6"/>
  <c r="C1013" i="6"/>
  <c r="E1012" i="6"/>
  <c r="D1012" i="6"/>
  <c r="C1012" i="6"/>
  <c r="E1011" i="6"/>
  <c r="D1011" i="6"/>
  <c r="C1011" i="6"/>
  <c r="E1010" i="6"/>
  <c r="D1010" i="6"/>
  <c r="C1010" i="6"/>
  <c r="E1009" i="6"/>
  <c r="D1009" i="6"/>
  <c r="C1009" i="6"/>
  <c r="E1008" i="6"/>
  <c r="D1008" i="6"/>
  <c r="C1008" i="6"/>
  <c r="E1007" i="6"/>
  <c r="D1007" i="6"/>
  <c r="C1007" i="6"/>
  <c r="E1006" i="6"/>
  <c r="D1006" i="6"/>
  <c r="C1006" i="6"/>
  <c r="E1005" i="6"/>
  <c r="D1005" i="6"/>
  <c r="C1005" i="6"/>
  <c r="E1004" i="6"/>
  <c r="D1004" i="6"/>
  <c r="C1004" i="6"/>
  <c r="B1004" i="6"/>
  <c r="A1004" i="6"/>
  <c r="E1003" i="6"/>
  <c r="D1003" i="6"/>
  <c r="C1003" i="6"/>
  <c r="B1003" i="6"/>
  <c r="A1003" i="6"/>
  <c r="E1002" i="6"/>
  <c r="D1002" i="6"/>
  <c r="C1002" i="6"/>
  <c r="B1002" i="6"/>
  <c r="A1002" i="6"/>
  <c r="E1001" i="6"/>
  <c r="D1001" i="6"/>
  <c r="C1001" i="6"/>
  <c r="B1001" i="6"/>
  <c r="A1001" i="6"/>
  <c r="E1000" i="6"/>
  <c r="D1000" i="6"/>
  <c r="C1000" i="6"/>
  <c r="B1000" i="6"/>
  <c r="A1000" i="6"/>
  <c r="E999" i="6"/>
  <c r="D999" i="6"/>
  <c r="C999" i="6"/>
  <c r="B999" i="6"/>
  <c r="A999" i="6"/>
  <c r="E998" i="6"/>
  <c r="D998" i="6"/>
  <c r="C998" i="6"/>
  <c r="B998" i="6"/>
  <c r="A998" i="6"/>
  <c r="E997" i="6"/>
  <c r="D997" i="6"/>
  <c r="C997" i="6"/>
  <c r="B997" i="6"/>
  <c r="A997" i="6"/>
  <c r="E996" i="6"/>
  <c r="D996" i="6"/>
  <c r="C996" i="6"/>
  <c r="B996" i="6"/>
  <c r="A996" i="6"/>
  <c r="E995" i="6"/>
  <c r="D995" i="6"/>
  <c r="C995" i="6"/>
  <c r="B995" i="6"/>
  <c r="A995" i="6"/>
  <c r="E994" i="6"/>
  <c r="D994" i="6"/>
  <c r="C994" i="6"/>
  <c r="B994" i="6"/>
  <c r="A994" i="6"/>
  <c r="E993" i="6"/>
  <c r="D993" i="6"/>
  <c r="C993" i="6"/>
  <c r="B993" i="6"/>
  <c r="A993" i="6"/>
  <c r="E992" i="6"/>
  <c r="D992" i="6"/>
  <c r="C992" i="6"/>
  <c r="B992" i="6"/>
  <c r="A992" i="6"/>
  <c r="E991" i="6"/>
  <c r="D991" i="6"/>
  <c r="C991" i="6"/>
  <c r="B991" i="6"/>
  <c r="A991" i="6"/>
  <c r="E990" i="6"/>
  <c r="D990" i="6"/>
  <c r="C990" i="6"/>
  <c r="B990" i="6"/>
  <c r="A990" i="6"/>
  <c r="E989" i="6"/>
  <c r="D989" i="6"/>
  <c r="C989" i="6"/>
  <c r="B989" i="6"/>
  <c r="A989" i="6"/>
  <c r="E988" i="6"/>
  <c r="D988" i="6"/>
  <c r="C988" i="6"/>
  <c r="B988" i="6"/>
  <c r="A988" i="6"/>
  <c r="E987" i="6"/>
  <c r="D987" i="6"/>
  <c r="C987" i="6"/>
  <c r="B987" i="6"/>
  <c r="A987" i="6"/>
  <c r="E986" i="6"/>
  <c r="D986" i="6"/>
  <c r="C986" i="6"/>
  <c r="B986" i="6"/>
  <c r="A986" i="6"/>
  <c r="E985" i="6"/>
  <c r="D985" i="6"/>
  <c r="C985" i="6"/>
  <c r="B985" i="6"/>
  <c r="A985" i="6"/>
  <c r="E984" i="6"/>
  <c r="D984" i="6"/>
  <c r="C984" i="6"/>
  <c r="B984" i="6"/>
  <c r="A984" i="6"/>
  <c r="E983" i="6"/>
  <c r="D983" i="6"/>
  <c r="C983" i="6"/>
  <c r="B983" i="6"/>
  <c r="A983" i="6"/>
  <c r="E982" i="6"/>
  <c r="D982" i="6"/>
  <c r="C982" i="6"/>
  <c r="B982" i="6"/>
  <c r="A982" i="6"/>
  <c r="E981" i="6"/>
  <c r="D981" i="6"/>
  <c r="C981" i="6"/>
  <c r="B981" i="6"/>
  <c r="A981" i="6"/>
  <c r="E980" i="6"/>
  <c r="D980" i="6"/>
  <c r="C980" i="6"/>
  <c r="B980" i="6"/>
  <c r="A980" i="6"/>
  <c r="E979" i="6"/>
  <c r="D979" i="6"/>
  <c r="C979" i="6"/>
  <c r="B979" i="6"/>
  <c r="A979" i="6"/>
  <c r="E978" i="6"/>
  <c r="D978" i="6"/>
  <c r="C978" i="6"/>
  <c r="B978" i="6"/>
  <c r="A978" i="6"/>
  <c r="E977" i="6"/>
  <c r="D977" i="6"/>
  <c r="C977" i="6"/>
  <c r="B977" i="6"/>
  <c r="A977" i="6"/>
  <c r="E976" i="6"/>
  <c r="D976" i="6"/>
  <c r="C976" i="6"/>
  <c r="B976" i="6"/>
  <c r="A976" i="6"/>
  <c r="E975" i="6"/>
  <c r="D975" i="6"/>
  <c r="C975" i="6"/>
  <c r="B975" i="6"/>
  <c r="A975" i="6"/>
  <c r="E974" i="6"/>
  <c r="D974" i="6"/>
  <c r="C974" i="6"/>
  <c r="B974" i="6"/>
  <c r="A974" i="6"/>
  <c r="E973" i="6"/>
  <c r="D973" i="6"/>
  <c r="C973" i="6"/>
  <c r="B973" i="6"/>
  <c r="A973" i="6"/>
  <c r="E972" i="6"/>
  <c r="D972" i="6"/>
  <c r="C972" i="6"/>
  <c r="B972" i="6"/>
  <c r="A972" i="6"/>
  <c r="E971" i="6"/>
  <c r="D971" i="6"/>
  <c r="C971" i="6"/>
  <c r="B971" i="6"/>
  <c r="A971" i="6"/>
  <c r="E970" i="6"/>
  <c r="D970" i="6"/>
  <c r="C970" i="6"/>
  <c r="B970" i="6"/>
  <c r="A970" i="6"/>
  <c r="E969" i="6"/>
  <c r="D969" i="6"/>
  <c r="C969" i="6"/>
  <c r="B969" i="6"/>
  <c r="A969" i="6"/>
  <c r="E968" i="6"/>
  <c r="D968" i="6"/>
  <c r="C968" i="6"/>
  <c r="B968" i="6"/>
  <c r="A968" i="6"/>
  <c r="E967" i="6"/>
  <c r="D967" i="6"/>
  <c r="C967" i="6"/>
  <c r="B967" i="6"/>
  <c r="A967" i="6"/>
  <c r="E966" i="6"/>
  <c r="D966" i="6"/>
  <c r="C966" i="6"/>
  <c r="B966" i="6"/>
  <c r="A966" i="6"/>
  <c r="E965" i="6"/>
  <c r="D965" i="6"/>
  <c r="C965" i="6"/>
  <c r="B965" i="6"/>
  <c r="A965" i="6"/>
  <c r="E964" i="6"/>
  <c r="D964" i="6"/>
  <c r="C964" i="6"/>
  <c r="B964" i="6"/>
  <c r="A964" i="6"/>
  <c r="E963" i="6"/>
  <c r="D963" i="6"/>
  <c r="C963" i="6"/>
  <c r="B963" i="6"/>
  <c r="A963" i="6"/>
  <c r="E962" i="6"/>
  <c r="D962" i="6"/>
  <c r="C962" i="6"/>
  <c r="B962" i="6"/>
  <c r="A962" i="6"/>
  <c r="E961" i="6"/>
  <c r="D961" i="6"/>
  <c r="C961" i="6"/>
  <c r="B961" i="6"/>
  <c r="A961" i="6"/>
  <c r="E960" i="6"/>
  <c r="D960" i="6"/>
  <c r="C960" i="6"/>
  <c r="B960" i="6"/>
  <c r="A960" i="6"/>
  <c r="E959" i="6"/>
  <c r="D959" i="6"/>
  <c r="C959" i="6"/>
  <c r="B959" i="6"/>
  <c r="A959" i="6"/>
  <c r="E958" i="6"/>
  <c r="D958" i="6"/>
  <c r="C958" i="6"/>
  <c r="B958" i="6"/>
  <c r="A958" i="6"/>
  <c r="E957" i="6"/>
  <c r="D957" i="6"/>
  <c r="C957" i="6"/>
  <c r="B957" i="6"/>
  <c r="A957" i="6"/>
  <c r="E956" i="6"/>
  <c r="D956" i="6"/>
  <c r="C956" i="6"/>
  <c r="B956" i="6"/>
  <c r="A956" i="6"/>
  <c r="E955" i="6"/>
  <c r="D955" i="6"/>
  <c r="C955" i="6"/>
  <c r="B955" i="6"/>
  <c r="A955" i="6"/>
  <c r="E954" i="6"/>
  <c r="D954" i="6"/>
  <c r="C954" i="6"/>
  <c r="B954" i="6"/>
  <c r="A954" i="6"/>
  <c r="E953" i="6"/>
  <c r="D953" i="6"/>
  <c r="C953" i="6"/>
  <c r="B953" i="6"/>
  <c r="A953" i="6"/>
  <c r="E952" i="6"/>
  <c r="D952" i="6"/>
  <c r="C952" i="6"/>
  <c r="B952" i="6"/>
  <c r="A952" i="6"/>
  <c r="E951" i="6"/>
  <c r="D951" i="6"/>
  <c r="C951" i="6"/>
  <c r="B951" i="6"/>
  <c r="A951" i="6"/>
  <c r="E950" i="6"/>
  <c r="D950" i="6"/>
  <c r="C950" i="6"/>
  <c r="B950" i="6"/>
  <c r="A950" i="6"/>
  <c r="E949" i="6"/>
  <c r="D949" i="6"/>
  <c r="C949" i="6"/>
  <c r="B949" i="6"/>
  <c r="A949" i="6"/>
  <c r="E948" i="6"/>
  <c r="D948" i="6"/>
  <c r="C948" i="6"/>
  <c r="B948" i="6"/>
  <c r="A948" i="6"/>
  <c r="E947" i="6"/>
  <c r="D947" i="6"/>
  <c r="C947" i="6"/>
  <c r="B947" i="6"/>
  <c r="A947" i="6"/>
  <c r="E946" i="6"/>
  <c r="D946" i="6"/>
  <c r="C946" i="6"/>
  <c r="B946" i="6"/>
  <c r="A946" i="6"/>
  <c r="E945" i="6"/>
  <c r="D945" i="6"/>
  <c r="C945" i="6"/>
  <c r="B945" i="6"/>
  <c r="A945" i="6"/>
  <c r="E944" i="6"/>
  <c r="D944" i="6"/>
  <c r="C944" i="6"/>
  <c r="B944" i="6"/>
  <c r="A944" i="6"/>
  <c r="E943" i="6"/>
  <c r="D943" i="6"/>
  <c r="C943" i="6"/>
  <c r="B943" i="6"/>
  <c r="A943" i="6"/>
  <c r="E942" i="6"/>
  <c r="D942" i="6"/>
  <c r="C942" i="6"/>
  <c r="B942" i="6"/>
  <c r="A942" i="6"/>
  <c r="E941" i="6"/>
  <c r="D941" i="6"/>
  <c r="C941" i="6"/>
  <c r="B941" i="6"/>
  <c r="A941" i="6"/>
  <c r="E940" i="6"/>
  <c r="D940" i="6"/>
  <c r="C940" i="6"/>
  <c r="B940" i="6"/>
  <c r="A940" i="6"/>
  <c r="E939" i="6"/>
  <c r="D939" i="6"/>
  <c r="C939" i="6"/>
  <c r="B939" i="6"/>
  <c r="A939" i="6"/>
  <c r="E938" i="6"/>
  <c r="D938" i="6"/>
  <c r="C938" i="6"/>
  <c r="B938" i="6"/>
  <c r="A938" i="6"/>
  <c r="E937" i="6"/>
  <c r="D937" i="6"/>
  <c r="C937" i="6"/>
  <c r="B937" i="6"/>
  <c r="A937" i="6"/>
  <c r="E936" i="6"/>
  <c r="D936" i="6"/>
  <c r="C936" i="6"/>
  <c r="B936" i="6"/>
  <c r="A936" i="6"/>
  <c r="E935" i="6"/>
  <c r="D935" i="6"/>
  <c r="C935" i="6"/>
  <c r="B935" i="6"/>
  <c r="A935" i="6"/>
  <c r="E934" i="6"/>
  <c r="D934" i="6"/>
  <c r="C934" i="6"/>
  <c r="B934" i="6"/>
  <c r="A934" i="6"/>
  <c r="E933" i="6"/>
  <c r="D933" i="6"/>
  <c r="C933" i="6"/>
  <c r="B933" i="6"/>
  <c r="A933" i="6"/>
  <c r="E932" i="6"/>
  <c r="D932" i="6"/>
  <c r="C932" i="6"/>
  <c r="B932" i="6"/>
  <c r="A932" i="6"/>
  <c r="E931" i="6"/>
  <c r="D931" i="6"/>
  <c r="C931" i="6"/>
  <c r="B931" i="6"/>
  <c r="A931" i="6"/>
  <c r="E930" i="6"/>
  <c r="D930" i="6"/>
  <c r="C930" i="6"/>
  <c r="B930" i="6"/>
  <c r="A930" i="6"/>
  <c r="E929" i="6"/>
  <c r="D929" i="6"/>
  <c r="C929" i="6"/>
  <c r="B929" i="6"/>
  <c r="A929" i="6"/>
  <c r="E928" i="6"/>
  <c r="D928" i="6"/>
  <c r="C928" i="6"/>
  <c r="B928" i="6"/>
  <c r="A928" i="6"/>
  <c r="E927" i="6"/>
  <c r="D927" i="6"/>
  <c r="C927" i="6"/>
  <c r="B927" i="6"/>
  <c r="A927" i="6"/>
  <c r="E926" i="6"/>
  <c r="D926" i="6"/>
  <c r="C926" i="6"/>
  <c r="B926" i="6"/>
  <c r="A926" i="6"/>
  <c r="E925" i="6"/>
  <c r="D925" i="6"/>
  <c r="C925" i="6"/>
  <c r="B925" i="6"/>
  <c r="A925" i="6"/>
  <c r="E924" i="6"/>
  <c r="D924" i="6"/>
  <c r="C924" i="6"/>
  <c r="B924" i="6"/>
  <c r="A924" i="6"/>
  <c r="E923" i="6"/>
  <c r="D923" i="6"/>
  <c r="C923" i="6"/>
  <c r="B923" i="6"/>
  <c r="A923" i="6"/>
  <c r="E922" i="6"/>
  <c r="D922" i="6"/>
  <c r="C922" i="6"/>
  <c r="B922" i="6"/>
  <c r="A922" i="6"/>
  <c r="E921" i="6"/>
  <c r="D921" i="6"/>
  <c r="C921" i="6"/>
  <c r="B921" i="6"/>
  <c r="A921" i="6"/>
  <c r="E920" i="6"/>
  <c r="D920" i="6"/>
  <c r="C920" i="6"/>
  <c r="B920" i="6"/>
  <c r="A920" i="6"/>
  <c r="E919" i="6"/>
  <c r="D919" i="6"/>
  <c r="C919" i="6"/>
  <c r="B919" i="6"/>
  <c r="A919" i="6"/>
  <c r="E918" i="6"/>
  <c r="D918" i="6"/>
  <c r="C918" i="6"/>
  <c r="B918" i="6"/>
  <c r="A918" i="6"/>
  <c r="E917" i="6"/>
  <c r="D917" i="6"/>
  <c r="C917" i="6"/>
  <c r="B917" i="6"/>
  <c r="A917" i="6"/>
  <c r="E916" i="6"/>
  <c r="D916" i="6"/>
  <c r="C916" i="6"/>
  <c r="B916" i="6"/>
  <c r="A916" i="6"/>
  <c r="E915" i="6"/>
  <c r="D915" i="6"/>
  <c r="C915" i="6"/>
  <c r="B915" i="6"/>
  <c r="A915" i="6"/>
  <c r="E914" i="6"/>
  <c r="D914" i="6"/>
  <c r="C914" i="6"/>
  <c r="B914" i="6"/>
  <c r="A914" i="6"/>
  <c r="E913" i="6"/>
  <c r="D913" i="6"/>
  <c r="C913" i="6"/>
  <c r="B913" i="6"/>
  <c r="A913" i="6"/>
  <c r="E912" i="6"/>
  <c r="D912" i="6"/>
  <c r="C912" i="6"/>
  <c r="B912" i="6"/>
  <c r="A912" i="6"/>
  <c r="E911" i="6"/>
  <c r="D911" i="6"/>
  <c r="C911" i="6"/>
  <c r="B911" i="6"/>
  <c r="A911" i="6"/>
  <c r="E910" i="6"/>
  <c r="D910" i="6"/>
  <c r="C910" i="6"/>
  <c r="B910" i="6"/>
  <c r="A910" i="6"/>
  <c r="E909" i="6"/>
  <c r="D909" i="6"/>
  <c r="C909" i="6"/>
  <c r="B909" i="6"/>
  <c r="A909" i="6"/>
  <c r="E908" i="6"/>
  <c r="D908" i="6"/>
  <c r="C908" i="6"/>
  <c r="B908" i="6"/>
  <c r="A908" i="6"/>
  <c r="E907" i="6"/>
  <c r="D907" i="6"/>
  <c r="C907" i="6"/>
  <c r="B907" i="6"/>
  <c r="A907" i="6"/>
  <c r="E906" i="6"/>
  <c r="D906" i="6"/>
  <c r="C906" i="6"/>
  <c r="B906" i="6"/>
  <c r="A906" i="6"/>
  <c r="E905" i="6"/>
  <c r="D905" i="6"/>
  <c r="C905" i="6"/>
  <c r="B905" i="6"/>
  <c r="A905" i="6"/>
  <c r="E904" i="6"/>
  <c r="D904" i="6"/>
  <c r="C904" i="6"/>
  <c r="B904" i="6"/>
  <c r="A904" i="6"/>
  <c r="E903" i="6"/>
  <c r="D903" i="6"/>
  <c r="C903" i="6"/>
  <c r="B903" i="6"/>
  <c r="A903" i="6"/>
  <c r="E902" i="6"/>
  <c r="D902" i="6"/>
  <c r="C902" i="6"/>
  <c r="B902" i="6"/>
  <c r="A902" i="6"/>
  <c r="E901" i="6"/>
  <c r="D901" i="6"/>
  <c r="C901" i="6"/>
  <c r="B901" i="6"/>
  <c r="A901" i="6"/>
  <c r="E900" i="6"/>
  <c r="D900" i="6"/>
  <c r="C900" i="6"/>
  <c r="B900" i="6"/>
  <c r="A900" i="6"/>
  <c r="E899" i="6"/>
  <c r="D899" i="6"/>
  <c r="C899" i="6"/>
  <c r="B899" i="6"/>
  <c r="A899" i="6"/>
  <c r="E898" i="6"/>
  <c r="D898" i="6"/>
  <c r="C898" i="6"/>
  <c r="B898" i="6"/>
  <c r="A898" i="6"/>
  <c r="E897" i="6"/>
  <c r="D897" i="6"/>
  <c r="C897" i="6"/>
  <c r="B897" i="6"/>
  <c r="A897" i="6"/>
  <c r="E896" i="6"/>
  <c r="D896" i="6"/>
  <c r="C896" i="6"/>
  <c r="B896" i="6"/>
  <c r="A896" i="6"/>
  <c r="E895" i="6"/>
  <c r="D895" i="6"/>
  <c r="C895" i="6"/>
  <c r="B895" i="6"/>
  <c r="A895" i="6"/>
  <c r="E894" i="6"/>
  <c r="D894" i="6"/>
  <c r="C894" i="6"/>
  <c r="B894" i="6"/>
  <c r="A894" i="6"/>
  <c r="E893" i="6"/>
  <c r="D893" i="6"/>
  <c r="C893" i="6"/>
  <c r="B893" i="6"/>
  <c r="A893" i="6"/>
  <c r="E892" i="6"/>
  <c r="D892" i="6"/>
  <c r="C892" i="6"/>
  <c r="B892" i="6"/>
  <c r="A892" i="6"/>
  <c r="E891" i="6"/>
  <c r="D891" i="6"/>
  <c r="C891" i="6"/>
  <c r="B891" i="6"/>
  <c r="A891" i="6"/>
  <c r="E890" i="6"/>
  <c r="D890" i="6"/>
  <c r="C890" i="6"/>
  <c r="B890" i="6"/>
  <c r="A890" i="6"/>
  <c r="E889" i="6"/>
  <c r="D889" i="6"/>
  <c r="C889" i="6"/>
  <c r="B889" i="6"/>
  <c r="A889" i="6"/>
  <c r="E888" i="6"/>
  <c r="D888" i="6"/>
  <c r="C888" i="6"/>
  <c r="B888" i="6"/>
  <c r="A888" i="6"/>
  <c r="E887" i="6"/>
  <c r="D887" i="6"/>
  <c r="C887" i="6"/>
  <c r="B887" i="6"/>
  <c r="A887" i="6"/>
  <c r="E886" i="6"/>
  <c r="D886" i="6"/>
  <c r="C886" i="6"/>
  <c r="B886" i="6"/>
  <c r="A886" i="6"/>
  <c r="E885" i="6"/>
  <c r="D885" i="6"/>
  <c r="C885" i="6"/>
  <c r="B885" i="6"/>
  <c r="A885" i="6"/>
  <c r="E884" i="6"/>
  <c r="D884" i="6"/>
  <c r="C884" i="6"/>
  <c r="B884" i="6"/>
  <c r="A884" i="6"/>
  <c r="E883" i="6"/>
  <c r="D883" i="6"/>
  <c r="C883" i="6"/>
  <c r="B883" i="6"/>
  <c r="A883" i="6"/>
  <c r="E882" i="6"/>
  <c r="D882" i="6"/>
  <c r="C882" i="6"/>
  <c r="B882" i="6"/>
  <c r="A882" i="6"/>
  <c r="E881" i="6"/>
  <c r="D881" i="6"/>
  <c r="C881" i="6"/>
  <c r="B881" i="6"/>
  <c r="A881" i="6"/>
  <c r="E880" i="6"/>
  <c r="D880" i="6"/>
  <c r="C880" i="6"/>
  <c r="B880" i="6"/>
  <c r="A880" i="6"/>
  <c r="E879" i="6"/>
  <c r="D879" i="6"/>
  <c r="C879" i="6"/>
  <c r="B879" i="6"/>
  <c r="A879" i="6"/>
  <c r="E878" i="6"/>
  <c r="D878" i="6"/>
  <c r="C878" i="6"/>
  <c r="B878" i="6"/>
  <c r="A878" i="6"/>
  <c r="E877" i="6"/>
  <c r="D877" i="6"/>
  <c r="C877" i="6"/>
  <c r="B877" i="6"/>
  <c r="A877" i="6"/>
  <c r="E876" i="6"/>
  <c r="D876" i="6"/>
  <c r="C876" i="6"/>
  <c r="B876" i="6"/>
  <c r="A876" i="6"/>
  <c r="E875" i="6"/>
  <c r="D875" i="6"/>
  <c r="C875" i="6"/>
  <c r="B875" i="6"/>
  <c r="A875" i="6"/>
  <c r="E874" i="6"/>
  <c r="D874" i="6"/>
  <c r="C874" i="6"/>
  <c r="B874" i="6"/>
  <c r="A874" i="6"/>
  <c r="E873" i="6"/>
  <c r="D873" i="6"/>
  <c r="C873" i="6"/>
  <c r="B873" i="6"/>
  <c r="A873" i="6"/>
  <c r="E872" i="6"/>
  <c r="D872" i="6"/>
  <c r="C872" i="6"/>
  <c r="B872" i="6"/>
  <c r="A872" i="6"/>
  <c r="E871" i="6"/>
  <c r="D871" i="6"/>
  <c r="C871" i="6"/>
  <c r="B871" i="6"/>
  <c r="A871" i="6"/>
  <c r="E870" i="6"/>
  <c r="D870" i="6"/>
  <c r="C870" i="6"/>
  <c r="B870" i="6"/>
  <c r="A870" i="6"/>
  <c r="E869" i="6"/>
  <c r="D869" i="6"/>
  <c r="C869" i="6"/>
  <c r="B869" i="6"/>
  <c r="A869" i="6"/>
  <c r="E868" i="6"/>
  <c r="D868" i="6"/>
  <c r="C868" i="6"/>
  <c r="B868" i="6"/>
  <c r="A868" i="6"/>
  <c r="E867" i="6"/>
  <c r="D867" i="6"/>
  <c r="C867" i="6"/>
  <c r="B867" i="6"/>
  <c r="A867" i="6"/>
  <c r="E866" i="6"/>
  <c r="D866" i="6"/>
  <c r="C866" i="6"/>
  <c r="B866" i="6"/>
  <c r="A866" i="6"/>
  <c r="E865" i="6"/>
  <c r="D865" i="6"/>
  <c r="C865" i="6"/>
  <c r="B865" i="6"/>
  <c r="A865" i="6"/>
  <c r="E864" i="6"/>
  <c r="D864" i="6"/>
  <c r="C864" i="6"/>
  <c r="B864" i="6"/>
  <c r="A864" i="6"/>
  <c r="E863" i="6"/>
  <c r="D863" i="6"/>
  <c r="C863" i="6"/>
  <c r="B863" i="6"/>
  <c r="A863" i="6"/>
  <c r="E862" i="6"/>
  <c r="D862" i="6"/>
  <c r="C862" i="6"/>
  <c r="B862" i="6"/>
  <c r="A862" i="6"/>
  <c r="E861" i="6"/>
  <c r="D861" i="6"/>
  <c r="C861" i="6"/>
  <c r="B861" i="6"/>
  <c r="A861" i="6"/>
  <c r="E860" i="6"/>
  <c r="D860" i="6"/>
  <c r="C860" i="6"/>
  <c r="B860" i="6"/>
  <c r="A860" i="6"/>
  <c r="E859" i="6"/>
  <c r="D859" i="6"/>
  <c r="C859" i="6"/>
  <c r="B859" i="6"/>
  <c r="A859" i="6"/>
  <c r="E858" i="6"/>
  <c r="D858" i="6"/>
  <c r="C858" i="6"/>
  <c r="B858" i="6"/>
  <c r="A858" i="6"/>
  <c r="E857" i="6"/>
  <c r="D857" i="6"/>
  <c r="C857" i="6"/>
  <c r="B857" i="6"/>
  <c r="A857" i="6"/>
  <c r="E856" i="6"/>
  <c r="D856" i="6"/>
  <c r="C856" i="6"/>
  <c r="B856" i="6"/>
  <c r="A856" i="6"/>
  <c r="E855" i="6"/>
  <c r="D855" i="6"/>
  <c r="C855" i="6"/>
  <c r="B855" i="6"/>
  <c r="A855" i="6"/>
  <c r="E854" i="6"/>
  <c r="D854" i="6"/>
  <c r="C854" i="6"/>
  <c r="B854" i="6"/>
  <c r="A854" i="6"/>
  <c r="E853" i="6"/>
  <c r="D853" i="6"/>
  <c r="C853" i="6"/>
  <c r="B853" i="6"/>
  <c r="A853" i="6"/>
  <c r="E852" i="6"/>
  <c r="D852" i="6"/>
  <c r="C852" i="6"/>
  <c r="B852" i="6"/>
  <c r="A852" i="6"/>
  <c r="E851" i="6"/>
  <c r="D851" i="6"/>
  <c r="C851" i="6"/>
  <c r="B851" i="6"/>
  <c r="A851" i="6"/>
  <c r="E850" i="6"/>
  <c r="D850" i="6"/>
  <c r="C850" i="6"/>
  <c r="B850" i="6"/>
  <c r="A850" i="6"/>
  <c r="E849" i="6"/>
  <c r="D849" i="6"/>
  <c r="C849" i="6"/>
  <c r="B849" i="6"/>
  <c r="A849" i="6"/>
  <c r="E848" i="6"/>
  <c r="D848" i="6"/>
  <c r="C848" i="6"/>
  <c r="B848" i="6"/>
  <c r="A848" i="6"/>
  <c r="E847" i="6"/>
  <c r="D847" i="6"/>
  <c r="C847" i="6"/>
  <c r="B847" i="6"/>
  <c r="A847" i="6"/>
  <c r="E846" i="6"/>
  <c r="D846" i="6"/>
  <c r="C846" i="6"/>
  <c r="B846" i="6"/>
  <c r="A846" i="6"/>
  <c r="E845" i="6"/>
  <c r="D845" i="6"/>
  <c r="C845" i="6"/>
  <c r="B845" i="6"/>
  <c r="A845" i="6"/>
  <c r="E844" i="6"/>
  <c r="D844" i="6"/>
  <c r="C844" i="6"/>
  <c r="B844" i="6"/>
  <c r="A844" i="6"/>
  <c r="E843" i="6"/>
  <c r="D843" i="6"/>
  <c r="C843" i="6"/>
  <c r="B843" i="6"/>
  <c r="A843" i="6"/>
  <c r="E842" i="6"/>
  <c r="D842" i="6"/>
  <c r="C842" i="6"/>
  <c r="B842" i="6"/>
  <c r="A842" i="6"/>
  <c r="E841" i="6"/>
  <c r="D841" i="6"/>
  <c r="C841" i="6"/>
  <c r="B841" i="6"/>
  <c r="A841" i="6"/>
  <c r="E840" i="6"/>
  <c r="D840" i="6"/>
  <c r="C840" i="6"/>
  <c r="B840" i="6"/>
  <c r="A840" i="6"/>
  <c r="E839" i="6"/>
  <c r="D839" i="6"/>
  <c r="C839" i="6"/>
  <c r="B839" i="6"/>
  <c r="A839" i="6"/>
  <c r="E838" i="6"/>
  <c r="D838" i="6"/>
  <c r="C838" i="6"/>
  <c r="B838" i="6"/>
  <c r="A838" i="6"/>
  <c r="E837" i="6"/>
  <c r="D837" i="6"/>
  <c r="C837" i="6"/>
  <c r="B837" i="6"/>
  <c r="A837" i="6"/>
  <c r="E836" i="6"/>
  <c r="D836" i="6"/>
  <c r="C836" i="6"/>
  <c r="B836" i="6"/>
  <c r="A836" i="6"/>
  <c r="E835" i="6"/>
  <c r="D835" i="6"/>
  <c r="C835" i="6"/>
  <c r="B835" i="6"/>
  <c r="A835" i="6"/>
  <c r="E834" i="6"/>
  <c r="D834" i="6"/>
  <c r="C834" i="6"/>
  <c r="B834" i="6"/>
  <c r="A834" i="6"/>
  <c r="E833" i="6"/>
  <c r="D833" i="6"/>
  <c r="C833" i="6"/>
  <c r="B833" i="6"/>
  <c r="A833" i="6"/>
  <c r="E832" i="6"/>
  <c r="D832" i="6"/>
  <c r="C832" i="6"/>
  <c r="B832" i="6"/>
  <c r="A832" i="6"/>
  <c r="E831" i="6"/>
  <c r="D831" i="6"/>
  <c r="C831" i="6"/>
  <c r="B831" i="6"/>
  <c r="A831" i="6"/>
  <c r="E830" i="6"/>
  <c r="D830" i="6"/>
  <c r="C830" i="6"/>
  <c r="B830" i="6"/>
  <c r="A830" i="6"/>
  <c r="E829" i="6"/>
  <c r="D829" i="6"/>
  <c r="C829" i="6"/>
  <c r="B829" i="6"/>
  <c r="A829" i="6"/>
  <c r="E828" i="6"/>
  <c r="D828" i="6"/>
  <c r="C828" i="6"/>
  <c r="B828" i="6"/>
  <c r="A828" i="6"/>
  <c r="E827" i="6"/>
  <c r="D827" i="6"/>
  <c r="C827" i="6"/>
  <c r="B827" i="6"/>
  <c r="A827" i="6"/>
  <c r="E826" i="6"/>
  <c r="D826" i="6"/>
  <c r="C826" i="6"/>
  <c r="B826" i="6"/>
  <c r="A826" i="6"/>
  <c r="E825" i="6"/>
  <c r="D825" i="6"/>
  <c r="C825" i="6"/>
  <c r="B825" i="6"/>
  <c r="A825" i="6"/>
  <c r="E824" i="6"/>
  <c r="D824" i="6"/>
  <c r="C824" i="6"/>
  <c r="B824" i="6"/>
  <c r="A824" i="6"/>
  <c r="E823" i="6"/>
  <c r="D823" i="6"/>
  <c r="C823" i="6"/>
  <c r="B823" i="6"/>
  <c r="A823" i="6"/>
  <c r="E822" i="6"/>
  <c r="D822" i="6"/>
  <c r="C822" i="6"/>
  <c r="B822" i="6"/>
  <c r="A822" i="6"/>
  <c r="E821" i="6"/>
  <c r="D821" i="6"/>
  <c r="C821" i="6"/>
  <c r="B821" i="6"/>
  <c r="A821" i="6"/>
  <c r="E820" i="6"/>
  <c r="D820" i="6"/>
  <c r="C820" i="6"/>
  <c r="B820" i="6"/>
  <c r="A820" i="6"/>
  <c r="E819" i="6"/>
  <c r="D819" i="6"/>
  <c r="C819" i="6"/>
  <c r="B819" i="6"/>
  <c r="A819" i="6"/>
  <c r="E818" i="6"/>
  <c r="D818" i="6"/>
  <c r="C818" i="6"/>
  <c r="B818" i="6"/>
  <c r="A818" i="6"/>
  <c r="E817" i="6"/>
  <c r="D817" i="6"/>
  <c r="C817" i="6"/>
  <c r="B817" i="6"/>
  <c r="A817" i="6"/>
  <c r="E816" i="6"/>
  <c r="D816" i="6"/>
  <c r="C816" i="6"/>
  <c r="B816" i="6"/>
  <c r="A816" i="6"/>
  <c r="E815" i="6"/>
  <c r="D815" i="6"/>
  <c r="C815" i="6"/>
  <c r="B815" i="6"/>
  <c r="A815" i="6"/>
  <c r="E814" i="6"/>
  <c r="D814" i="6"/>
  <c r="C814" i="6"/>
  <c r="B814" i="6"/>
  <c r="A814" i="6"/>
  <c r="E813" i="6"/>
  <c r="D813" i="6"/>
  <c r="C813" i="6"/>
  <c r="B813" i="6"/>
  <c r="A813" i="6"/>
  <c r="E812" i="6"/>
  <c r="D812" i="6"/>
  <c r="C812" i="6"/>
  <c r="B812" i="6"/>
  <c r="A812" i="6"/>
  <c r="E811" i="6"/>
  <c r="D811" i="6"/>
  <c r="C811" i="6"/>
  <c r="B811" i="6"/>
  <c r="A811" i="6"/>
  <c r="E810" i="6"/>
  <c r="D810" i="6"/>
  <c r="C810" i="6"/>
  <c r="B810" i="6"/>
  <c r="A810" i="6"/>
  <c r="E809" i="6"/>
  <c r="D809" i="6"/>
  <c r="C809" i="6"/>
  <c r="B809" i="6"/>
  <c r="A809" i="6"/>
  <c r="E808" i="6"/>
  <c r="D808" i="6"/>
  <c r="C808" i="6"/>
  <c r="B808" i="6"/>
  <c r="A808" i="6"/>
  <c r="E807" i="6"/>
  <c r="D807" i="6"/>
  <c r="C807" i="6"/>
  <c r="B807" i="6"/>
  <c r="A807" i="6"/>
  <c r="E806" i="6"/>
  <c r="D806" i="6"/>
  <c r="C806" i="6"/>
  <c r="B806" i="6"/>
  <c r="A806" i="6"/>
  <c r="E805" i="6"/>
  <c r="D805" i="6"/>
  <c r="C805" i="6"/>
  <c r="B805" i="6"/>
  <c r="A805" i="6"/>
  <c r="E804" i="6"/>
  <c r="D804" i="6"/>
  <c r="C804" i="6"/>
  <c r="B804" i="6"/>
  <c r="A804" i="6"/>
  <c r="E803" i="6"/>
  <c r="D803" i="6"/>
  <c r="C803" i="6"/>
  <c r="B803" i="6"/>
  <c r="A803" i="6"/>
  <c r="E802" i="6"/>
  <c r="D802" i="6"/>
  <c r="C802" i="6"/>
  <c r="B802" i="6"/>
  <c r="A802" i="6"/>
  <c r="E801" i="6"/>
  <c r="D801" i="6"/>
  <c r="C801" i="6"/>
  <c r="B801" i="6"/>
  <c r="A801" i="6"/>
  <c r="E800" i="6"/>
  <c r="D800" i="6"/>
  <c r="C800" i="6"/>
  <c r="B800" i="6"/>
  <c r="A800" i="6"/>
  <c r="E799" i="6"/>
  <c r="D799" i="6"/>
  <c r="C799" i="6"/>
  <c r="B799" i="6"/>
  <c r="A799" i="6"/>
  <c r="E798" i="6"/>
  <c r="D798" i="6"/>
  <c r="C798" i="6"/>
  <c r="B798" i="6"/>
  <c r="A798" i="6"/>
  <c r="E797" i="6"/>
  <c r="D797" i="6"/>
  <c r="C797" i="6"/>
  <c r="B797" i="6"/>
  <c r="A797" i="6"/>
  <c r="E796" i="6"/>
  <c r="D796" i="6"/>
  <c r="C796" i="6"/>
  <c r="B796" i="6"/>
  <c r="A796" i="6"/>
  <c r="E795" i="6"/>
  <c r="D795" i="6"/>
  <c r="C795" i="6"/>
  <c r="B795" i="6"/>
  <c r="A795" i="6"/>
  <c r="E794" i="6"/>
  <c r="D794" i="6"/>
  <c r="C794" i="6"/>
  <c r="B794" i="6"/>
  <c r="A794" i="6"/>
  <c r="E793" i="6"/>
  <c r="D793" i="6"/>
  <c r="C793" i="6"/>
  <c r="B793" i="6"/>
  <c r="A793" i="6"/>
  <c r="E792" i="6"/>
  <c r="D792" i="6"/>
  <c r="C792" i="6"/>
  <c r="B792" i="6"/>
  <c r="A792" i="6"/>
  <c r="E791" i="6"/>
  <c r="D791" i="6"/>
  <c r="C791" i="6"/>
  <c r="B791" i="6"/>
  <c r="A791" i="6"/>
  <c r="E790" i="6"/>
  <c r="D790" i="6"/>
  <c r="C790" i="6"/>
  <c r="B790" i="6"/>
  <c r="A790" i="6"/>
  <c r="E789" i="6"/>
  <c r="D789" i="6"/>
  <c r="C789" i="6"/>
  <c r="B789" i="6"/>
  <c r="A789" i="6"/>
  <c r="E788" i="6"/>
  <c r="D788" i="6"/>
  <c r="C788" i="6"/>
  <c r="B788" i="6"/>
  <c r="A788" i="6"/>
  <c r="E787" i="6"/>
  <c r="D787" i="6"/>
  <c r="C787" i="6"/>
  <c r="B787" i="6"/>
  <c r="A787" i="6"/>
  <c r="E786" i="6"/>
  <c r="D786" i="6"/>
  <c r="C786" i="6"/>
  <c r="B786" i="6"/>
  <c r="A786" i="6"/>
  <c r="E785" i="6"/>
  <c r="D785" i="6"/>
  <c r="C785" i="6"/>
  <c r="B785" i="6"/>
  <c r="A785" i="6"/>
  <c r="E784" i="6"/>
  <c r="D784" i="6"/>
  <c r="C784" i="6"/>
  <c r="B784" i="6"/>
  <c r="A784" i="6"/>
  <c r="E783" i="6"/>
  <c r="D783" i="6"/>
  <c r="C783" i="6"/>
  <c r="B783" i="6"/>
  <c r="A783" i="6"/>
  <c r="E782" i="6"/>
  <c r="D782" i="6"/>
  <c r="C782" i="6"/>
  <c r="B782" i="6"/>
  <c r="A782" i="6"/>
  <c r="E781" i="6"/>
  <c r="D781" i="6"/>
  <c r="C781" i="6"/>
  <c r="B781" i="6"/>
  <c r="A781" i="6"/>
  <c r="E780" i="6"/>
  <c r="D780" i="6"/>
  <c r="C780" i="6"/>
  <c r="B780" i="6"/>
  <c r="A780" i="6"/>
  <c r="E779" i="6"/>
  <c r="D779" i="6"/>
  <c r="C779" i="6"/>
  <c r="B779" i="6"/>
  <c r="A779" i="6"/>
  <c r="E778" i="6"/>
  <c r="D778" i="6"/>
  <c r="C778" i="6"/>
  <c r="B778" i="6"/>
  <c r="A778" i="6"/>
  <c r="E777" i="6"/>
  <c r="D777" i="6"/>
  <c r="C777" i="6"/>
  <c r="B777" i="6"/>
  <c r="A777" i="6"/>
  <c r="E776" i="6"/>
  <c r="D776" i="6"/>
  <c r="C776" i="6"/>
  <c r="B776" i="6"/>
  <c r="A776" i="6"/>
  <c r="E775" i="6"/>
  <c r="D775" i="6"/>
  <c r="C775" i="6"/>
  <c r="B775" i="6"/>
  <c r="A775" i="6"/>
  <c r="E774" i="6"/>
  <c r="D774" i="6"/>
  <c r="C774" i="6"/>
  <c r="B774" i="6"/>
  <c r="A774" i="6"/>
  <c r="E773" i="6"/>
  <c r="D773" i="6"/>
  <c r="C773" i="6"/>
  <c r="B773" i="6"/>
  <c r="A773" i="6"/>
  <c r="E772" i="6"/>
  <c r="D772" i="6"/>
  <c r="C772" i="6"/>
  <c r="B772" i="6"/>
  <c r="A772" i="6"/>
  <c r="E771" i="6"/>
  <c r="D771" i="6"/>
  <c r="C771" i="6"/>
  <c r="B771" i="6"/>
  <c r="A771" i="6"/>
  <c r="E770" i="6"/>
  <c r="D770" i="6"/>
  <c r="C770" i="6"/>
  <c r="B770" i="6"/>
  <c r="A770" i="6"/>
  <c r="E769" i="6"/>
  <c r="D769" i="6"/>
  <c r="C769" i="6"/>
  <c r="B769" i="6"/>
  <c r="A769" i="6"/>
  <c r="E768" i="6"/>
  <c r="D768" i="6"/>
  <c r="C768" i="6"/>
  <c r="B768" i="6"/>
  <c r="A768" i="6"/>
  <c r="E767" i="6"/>
  <c r="D767" i="6"/>
  <c r="C767" i="6"/>
  <c r="B767" i="6"/>
  <c r="A767" i="6"/>
  <c r="E766" i="6"/>
  <c r="D766" i="6"/>
  <c r="C766" i="6"/>
  <c r="B766" i="6"/>
  <c r="A766" i="6"/>
  <c r="E765" i="6"/>
  <c r="D765" i="6"/>
  <c r="C765" i="6"/>
  <c r="B765" i="6"/>
  <c r="A765" i="6"/>
  <c r="E764" i="6"/>
  <c r="D764" i="6"/>
  <c r="C764" i="6"/>
  <c r="B764" i="6"/>
  <c r="A764" i="6"/>
  <c r="E763" i="6"/>
  <c r="D763" i="6"/>
  <c r="C763" i="6"/>
  <c r="B763" i="6"/>
  <c r="A763" i="6"/>
  <c r="E762" i="6"/>
  <c r="D762" i="6"/>
  <c r="C762" i="6"/>
  <c r="B762" i="6"/>
  <c r="A762" i="6"/>
  <c r="E761" i="6"/>
  <c r="D761" i="6"/>
  <c r="C761" i="6"/>
  <c r="B761" i="6"/>
  <c r="A761" i="6"/>
  <c r="E760" i="6"/>
  <c r="D760" i="6"/>
  <c r="C760" i="6"/>
  <c r="B760" i="6"/>
  <c r="A760" i="6"/>
  <c r="E759" i="6"/>
  <c r="D759" i="6"/>
  <c r="C759" i="6"/>
  <c r="B759" i="6"/>
  <c r="A759" i="6"/>
  <c r="E758" i="6"/>
  <c r="D758" i="6"/>
  <c r="C758" i="6"/>
  <c r="B758" i="6"/>
  <c r="A758" i="6"/>
  <c r="E757" i="6"/>
  <c r="D757" i="6"/>
  <c r="C757" i="6"/>
  <c r="B757" i="6"/>
  <c r="A757" i="6"/>
  <c r="E756" i="6"/>
  <c r="D756" i="6"/>
  <c r="C756" i="6"/>
  <c r="B756" i="6"/>
  <c r="A756" i="6"/>
  <c r="E755" i="6"/>
  <c r="D755" i="6"/>
  <c r="C755" i="6"/>
  <c r="B755" i="6"/>
  <c r="A755" i="6"/>
  <c r="E754" i="6"/>
  <c r="D754" i="6"/>
  <c r="C754" i="6"/>
  <c r="B754" i="6"/>
  <c r="A754" i="6"/>
  <c r="E753" i="6"/>
  <c r="D753" i="6"/>
  <c r="C753" i="6"/>
  <c r="B753" i="6"/>
  <c r="A753" i="6"/>
  <c r="E752" i="6"/>
  <c r="D752" i="6"/>
  <c r="C752" i="6"/>
  <c r="B752" i="6"/>
  <c r="A752" i="6"/>
  <c r="E751" i="6"/>
  <c r="D751" i="6"/>
  <c r="C751" i="6"/>
  <c r="B751" i="6"/>
  <c r="A751" i="6"/>
  <c r="E750" i="6"/>
  <c r="D750" i="6"/>
  <c r="C750" i="6"/>
  <c r="B750" i="6"/>
  <c r="A750" i="6"/>
  <c r="E749" i="6"/>
  <c r="D749" i="6"/>
  <c r="C749" i="6"/>
  <c r="B749" i="6"/>
  <c r="A749" i="6"/>
  <c r="E748" i="6"/>
  <c r="D748" i="6"/>
  <c r="C748" i="6"/>
  <c r="B748" i="6"/>
  <c r="A748" i="6"/>
  <c r="E747" i="6"/>
  <c r="D747" i="6"/>
  <c r="C747" i="6"/>
  <c r="B747" i="6"/>
  <c r="A747" i="6"/>
  <c r="E746" i="6"/>
  <c r="D746" i="6"/>
  <c r="C746" i="6"/>
  <c r="B746" i="6"/>
  <c r="A746" i="6"/>
  <c r="E745" i="6"/>
  <c r="D745" i="6"/>
  <c r="C745" i="6"/>
  <c r="B745" i="6"/>
  <c r="A745" i="6"/>
  <c r="E744" i="6"/>
  <c r="D744" i="6"/>
  <c r="C744" i="6"/>
  <c r="B744" i="6"/>
  <c r="A744" i="6"/>
  <c r="E743" i="6"/>
  <c r="D743" i="6"/>
  <c r="C743" i="6"/>
  <c r="B743" i="6"/>
  <c r="A743" i="6"/>
  <c r="E742" i="6"/>
  <c r="D742" i="6"/>
  <c r="C742" i="6"/>
  <c r="B742" i="6"/>
  <c r="A742" i="6"/>
  <c r="E741" i="6"/>
  <c r="D741" i="6"/>
  <c r="C741" i="6"/>
  <c r="B741" i="6"/>
  <c r="A741" i="6"/>
  <c r="E740" i="6"/>
  <c r="D740" i="6"/>
  <c r="C740" i="6"/>
  <c r="B740" i="6"/>
  <c r="A740" i="6"/>
  <c r="E739" i="6"/>
  <c r="D739" i="6"/>
  <c r="C739" i="6"/>
  <c r="B739" i="6"/>
  <c r="A739" i="6"/>
  <c r="E738" i="6"/>
  <c r="D738" i="6"/>
  <c r="C738" i="6"/>
  <c r="B738" i="6"/>
  <c r="A738" i="6"/>
  <c r="E737" i="6"/>
  <c r="D737" i="6"/>
  <c r="C737" i="6"/>
  <c r="B737" i="6"/>
  <c r="A737" i="6"/>
  <c r="E736" i="6"/>
  <c r="D736" i="6"/>
  <c r="C736" i="6"/>
  <c r="B736" i="6"/>
  <c r="A736" i="6"/>
  <c r="E735" i="6"/>
  <c r="D735" i="6"/>
  <c r="C735" i="6"/>
  <c r="B735" i="6"/>
  <c r="A735" i="6"/>
  <c r="E734" i="6"/>
  <c r="D734" i="6"/>
  <c r="C734" i="6"/>
  <c r="B734" i="6"/>
  <c r="A734" i="6"/>
  <c r="E733" i="6"/>
  <c r="D733" i="6"/>
  <c r="C733" i="6"/>
  <c r="B733" i="6"/>
  <c r="A733" i="6"/>
  <c r="E732" i="6"/>
  <c r="D732" i="6"/>
  <c r="C732" i="6"/>
  <c r="B732" i="6"/>
  <c r="A732" i="6"/>
  <c r="E731" i="6"/>
  <c r="D731" i="6"/>
  <c r="C731" i="6"/>
  <c r="B731" i="6"/>
  <c r="A731" i="6"/>
  <c r="E730" i="6"/>
  <c r="D730" i="6"/>
  <c r="C730" i="6"/>
  <c r="B730" i="6"/>
  <c r="A730" i="6"/>
  <c r="E729" i="6"/>
  <c r="D729" i="6"/>
  <c r="C729" i="6"/>
  <c r="B729" i="6"/>
  <c r="A729" i="6"/>
  <c r="E728" i="6"/>
  <c r="D728" i="6"/>
  <c r="C728" i="6"/>
  <c r="B728" i="6"/>
  <c r="A728" i="6"/>
  <c r="E727" i="6"/>
  <c r="D727" i="6"/>
  <c r="C727" i="6"/>
  <c r="B727" i="6"/>
  <c r="A727" i="6"/>
  <c r="E726" i="6"/>
  <c r="D726" i="6"/>
  <c r="C726" i="6"/>
  <c r="B726" i="6"/>
  <c r="A726" i="6"/>
  <c r="E725" i="6"/>
  <c r="D725" i="6"/>
  <c r="C725" i="6"/>
  <c r="B725" i="6"/>
  <c r="A725" i="6"/>
  <c r="E724" i="6"/>
  <c r="D724" i="6"/>
  <c r="C724" i="6"/>
  <c r="B724" i="6"/>
  <c r="A724" i="6"/>
  <c r="E723" i="6"/>
  <c r="D723" i="6"/>
  <c r="C723" i="6"/>
  <c r="B723" i="6"/>
  <c r="A723" i="6"/>
  <c r="E722" i="6"/>
  <c r="D722" i="6"/>
  <c r="C722" i="6"/>
  <c r="B722" i="6"/>
  <c r="A722" i="6"/>
  <c r="E721" i="6"/>
  <c r="D721" i="6"/>
  <c r="C721" i="6"/>
  <c r="B721" i="6"/>
  <c r="A721" i="6"/>
  <c r="E720" i="6"/>
  <c r="D720" i="6"/>
  <c r="C720" i="6"/>
  <c r="B720" i="6"/>
  <c r="A720" i="6"/>
  <c r="E719" i="6"/>
  <c r="D719" i="6"/>
  <c r="C719" i="6"/>
  <c r="B719" i="6"/>
  <c r="A719" i="6"/>
  <c r="E718" i="6"/>
  <c r="D718" i="6"/>
  <c r="C718" i="6"/>
  <c r="B718" i="6"/>
  <c r="A718" i="6"/>
  <c r="E717" i="6"/>
  <c r="D717" i="6"/>
  <c r="C717" i="6"/>
  <c r="B717" i="6"/>
  <c r="A717" i="6"/>
  <c r="E716" i="6"/>
  <c r="D716" i="6"/>
  <c r="C716" i="6"/>
  <c r="B716" i="6"/>
  <c r="A716" i="6"/>
  <c r="E715" i="6"/>
  <c r="D715" i="6"/>
  <c r="C715" i="6"/>
  <c r="B715" i="6"/>
  <c r="A715" i="6"/>
  <c r="E714" i="6"/>
  <c r="D714" i="6"/>
  <c r="C714" i="6"/>
  <c r="B714" i="6"/>
  <c r="A714" i="6"/>
  <c r="E713" i="6"/>
  <c r="D713" i="6"/>
  <c r="C713" i="6"/>
  <c r="B713" i="6"/>
  <c r="A713" i="6"/>
  <c r="E712" i="6"/>
  <c r="D712" i="6"/>
  <c r="C712" i="6"/>
  <c r="B712" i="6"/>
  <c r="A712" i="6"/>
  <c r="E711" i="6"/>
  <c r="D711" i="6"/>
  <c r="C711" i="6"/>
  <c r="B711" i="6"/>
  <c r="A711" i="6"/>
  <c r="E710" i="6"/>
  <c r="D710" i="6"/>
  <c r="C710" i="6"/>
  <c r="B710" i="6"/>
  <c r="A710" i="6"/>
  <c r="E709" i="6"/>
  <c r="D709" i="6"/>
  <c r="C709" i="6"/>
  <c r="B709" i="6"/>
  <c r="A709" i="6"/>
  <c r="E708" i="6"/>
  <c r="D708" i="6"/>
  <c r="C708" i="6"/>
  <c r="B708" i="6"/>
  <c r="A708" i="6"/>
  <c r="E707" i="6"/>
  <c r="D707" i="6"/>
  <c r="C707" i="6"/>
  <c r="B707" i="6"/>
  <c r="A707" i="6"/>
  <c r="E706" i="6"/>
  <c r="D706" i="6"/>
  <c r="C706" i="6"/>
  <c r="B706" i="6"/>
  <c r="A706" i="6"/>
  <c r="E705" i="6"/>
  <c r="D705" i="6"/>
  <c r="C705" i="6"/>
  <c r="B705" i="6"/>
  <c r="A705" i="6"/>
  <c r="E704" i="6"/>
  <c r="D704" i="6"/>
  <c r="C704" i="6"/>
  <c r="B704" i="6"/>
  <c r="A704" i="6"/>
  <c r="E703" i="6"/>
  <c r="D703" i="6"/>
  <c r="C703" i="6"/>
  <c r="B703" i="6"/>
  <c r="A703" i="6"/>
  <c r="E702" i="6"/>
  <c r="D702" i="6"/>
  <c r="C702" i="6"/>
  <c r="B702" i="6"/>
  <c r="A702" i="6"/>
  <c r="E701" i="6"/>
  <c r="D701" i="6"/>
  <c r="C701" i="6"/>
  <c r="B701" i="6"/>
  <c r="A701" i="6"/>
  <c r="E700" i="6"/>
  <c r="D700" i="6"/>
  <c r="C700" i="6"/>
  <c r="B700" i="6"/>
  <c r="A700" i="6"/>
  <c r="E699" i="6"/>
  <c r="D699" i="6"/>
  <c r="C699" i="6"/>
  <c r="B699" i="6"/>
  <c r="A699" i="6"/>
  <c r="E698" i="6"/>
  <c r="D698" i="6"/>
  <c r="C698" i="6"/>
  <c r="B698" i="6"/>
  <c r="A698" i="6"/>
  <c r="E697" i="6"/>
  <c r="D697" i="6"/>
  <c r="C697" i="6"/>
  <c r="B697" i="6"/>
  <c r="A697" i="6"/>
  <c r="E696" i="6"/>
  <c r="D696" i="6"/>
  <c r="C696" i="6"/>
  <c r="B696" i="6"/>
  <c r="A696" i="6"/>
  <c r="E695" i="6"/>
  <c r="D695" i="6"/>
  <c r="C695" i="6"/>
  <c r="B695" i="6"/>
  <c r="A695" i="6"/>
  <c r="E694" i="6"/>
  <c r="D694" i="6"/>
  <c r="C694" i="6"/>
  <c r="B694" i="6"/>
  <c r="A694" i="6"/>
  <c r="E693" i="6"/>
  <c r="D693" i="6"/>
  <c r="C693" i="6"/>
  <c r="B693" i="6"/>
  <c r="A693" i="6"/>
  <c r="E692" i="6"/>
  <c r="D692" i="6"/>
  <c r="C692" i="6"/>
  <c r="B692" i="6"/>
  <c r="A692" i="6"/>
  <c r="E691" i="6"/>
  <c r="D691" i="6"/>
  <c r="C691" i="6"/>
  <c r="B691" i="6"/>
  <c r="A691" i="6"/>
  <c r="E690" i="6"/>
  <c r="D690" i="6"/>
  <c r="C690" i="6"/>
  <c r="B690" i="6"/>
  <c r="A690" i="6"/>
  <c r="E689" i="6"/>
  <c r="D689" i="6"/>
  <c r="C689" i="6"/>
  <c r="B689" i="6"/>
  <c r="A689" i="6"/>
  <c r="E688" i="6"/>
  <c r="D688" i="6"/>
  <c r="C688" i="6"/>
  <c r="B688" i="6"/>
  <c r="A688" i="6"/>
  <c r="E687" i="6"/>
  <c r="D687" i="6"/>
  <c r="C687" i="6"/>
  <c r="B687" i="6"/>
  <c r="A687" i="6"/>
  <c r="E686" i="6"/>
  <c r="D686" i="6"/>
  <c r="C686" i="6"/>
  <c r="B686" i="6"/>
  <c r="A686" i="6"/>
  <c r="E685" i="6"/>
  <c r="D685" i="6"/>
  <c r="C685" i="6"/>
  <c r="B685" i="6"/>
  <c r="A685" i="6"/>
  <c r="E684" i="6"/>
  <c r="D684" i="6"/>
  <c r="C684" i="6"/>
  <c r="B684" i="6"/>
  <c r="A684" i="6"/>
  <c r="E683" i="6"/>
  <c r="D683" i="6"/>
  <c r="C683" i="6"/>
  <c r="B683" i="6"/>
  <c r="A683" i="6"/>
  <c r="E682" i="6"/>
  <c r="D682" i="6"/>
  <c r="C682" i="6"/>
  <c r="B682" i="6"/>
  <c r="A682" i="6"/>
  <c r="E681" i="6"/>
  <c r="D681" i="6"/>
  <c r="C681" i="6"/>
  <c r="B681" i="6"/>
  <c r="A681" i="6"/>
  <c r="E680" i="6"/>
  <c r="D680" i="6"/>
  <c r="C680" i="6"/>
  <c r="B680" i="6"/>
  <c r="A680" i="6"/>
  <c r="E679" i="6"/>
  <c r="D679" i="6"/>
  <c r="C679" i="6"/>
  <c r="B679" i="6"/>
  <c r="A679" i="6"/>
  <c r="E678" i="6"/>
  <c r="D678" i="6"/>
  <c r="C678" i="6"/>
  <c r="B678" i="6"/>
  <c r="A678" i="6"/>
  <c r="E677" i="6"/>
  <c r="D677" i="6"/>
  <c r="C677" i="6"/>
  <c r="B677" i="6"/>
  <c r="A677" i="6"/>
  <c r="E676" i="6"/>
  <c r="D676" i="6"/>
  <c r="C676" i="6"/>
  <c r="B676" i="6"/>
  <c r="A676" i="6"/>
  <c r="E675" i="6"/>
  <c r="D675" i="6"/>
  <c r="C675" i="6"/>
  <c r="B675" i="6"/>
  <c r="A675" i="6"/>
  <c r="E674" i="6"/>
  <c r="D674" i="6"/>
  <c r="C674" i="6"/>
  <c r="B674" i="6"/>
  <c r="A674" i="6"/>
  <c r="E673" i="6"/>
  <c r="D673" i="6"/>
  <c r="C673" i="6"/>
  <c r="B673" i="6"/>
  <c r="A673" i="6"/>
  <c r="E672" i="6"/>
  <c r="D672" i="6"/>
  <c r="C672" i="6"/>
  <c r="B672" i="6"/>
  <c r="A672" i="6"/>
  <c r="E671" i="6"/>
  <c r="D671" i="6"/>
  <c r="C671" i="6"/>
  <c r="B671" i="6"/>
  <c r="A671" i="6"/>
  <c r="E670" i="6"/>
  <c r="D670" i="6"/>
  <c r="C670" i="6"/>
  <c r="B670" i="6"/>
  <c r="A670" i="6"/>
  <c r="E669" i="6"/>
  <c r="D669" i="6"/>
  <c r="C669" i="6"/>
  <c r="B669" i="6"/>
  <c r="A669" i="6"/>
  <c r="E668" i="6"/>
  <c r="D668" i="6"/>
  <c r="C668" i="6"/>
  <c r="B668" i="6"/>
  <c r="A668" i="6"/>
  <c r="E667" i="6"/>
  <c r="D667" i="6"/>
  <c r="C667" i="6"/>
  <c r="B667" i="6"/>
  <c r="A667" i="6"/>
  <c r="E666" i="6"/>
  <c r="D666" i="6"/>
  <c r="C666" i="6"/>
  <c r="B666" i="6"/>
  <c r="A666" i="6"/>
  <c r="E665" i="6"/>
  <c r="D665" i="6"/>
  <c r="C665" i="6"/>
  <c r="B665" i="6"/>
  <c r="A665" i="6"/>
  <c r="E664" i="6"/>
  <c r="D664" i="6"/>
  <c r="C664" i="6"/>
  <c r="B664" i="6"/>
  <c r="A664" i="6"/>
  <c r="E663" i="6"/>
  <c r="D663" i="6"/>
  <c r="C663" i="6"/>
  <c r="B663" i="6"/>
  <c r="A663" i="6"/>
  <c r="E662" i="6"/>
  <c r="D662" i="6"/>
  <c r="C662" i="6"/>
  <c r="B662" i="6"/>
  <c r="A662" i="6"/>
  <c r="E661" i="6"/>
  <c r="D661" i="6"/>
  <c r="C661" i="6"/>
  <c r="B661" i="6"/>
  <c r="A661" i="6"/>
  <c r="E660" i="6"/>
  <c r="D660" i="6"/>
  <c r="C660" i="6"/>
  <c r="B660" i="6"/>
  <c r="A660" i="6"/>
  <c r="E659" i="6"/>
  <c r="D659" i="6"/>
  <c r="C659" i="6"/>
  <c r="B659" i="6"/>
  <c r="A659" i="6"/>
  <c r="E658" i="6"/>
  <c r="D658" i="6"/>
  <c r="C658" i="6"/>
  <c r="B658" i="6"/>
  <c r="A658" i="6"/>
  <c r="E657" i="6"/>
  <c r="D657" i="6"/>
  <c r="C657" i="6"/>
  <c r="B657" i="6"/>
  <c r="A657" i="6"/>
  <c r="E656" i="6"/>
  <c r="D656" i="6"/>
  <c r="C656" i="6"/>
  <c r="B656" i="6"/>
  <c r="A656" i="6"/>
  <c r="E655" i="6"/>
  <c r="D655" i="6"/>
  <c r="C655" i="6"/>
  <c r="B655" i="6"/>
  <c r="A655" i="6"/>
  <c r="E654" i="6"/>
  <c r="D654" i="6"/>
  <c r="C654" i="6"/>
  <c r="B654" i="6"/>
  <c r="A654" i="6"/>
  <c r="E653" i="6"/>
  <c r="D653" i="6"/>
  <c r="C653" i="6"/>
  <c r="B653" i="6"/>
  <c r="A653" i="6"/>
  <c r="E652" i="6"/>
  <c r="D652" i="6"/>
  <c r="C652" i="6"/>
  <c r="B652" i="6"/>
  <c r="A652" i="6"/>
  <c r="E651" i="6"/>
  <c r="D651" i="6"/>
  <c r="C651" i="6"/>
  <c r="B651" i="6"/>
  <c r="A651" i="6"/>
  <c r="E650" i="6"/>
  <c r="D650" i="6"/>
  <c r="C650" i="6"/>
  <c r="B650" i="6"/>
  <c r="A650" i="6"/>
  <c r="E649" i="6"/>
  <c r="D649" i="6"/>
  <c r="C649" i="6"/>
  <c r="B649" i="6"/>
  <c r="A649" i="6"/>
  <c r="E648" i="6"/>
  <c r="D648" i="6"/>
  <c r="C648" i="6"/>
  <c r="B648" i="6"/>
  <c r="A648" i="6"/>
  <c r="E647" i="6"/>
  <c r="D647" i="6"/>
  <c r="C647" i="6"/>
  <c r="B647" i="6"/>
  <c r="A647" i="6"/>
  <c r="E646" i="6"/>
  <c r="D646" i="6"/>
  <c r="C646" i="6"/>
  <c r="B646" i="6"/>
  <c r="A646" i="6"/>
  <c r="E645" i="6"/>
  <c r="D645" i="6"/>
  <c r="C645" i="6"/>
  <c r="B645" i="6"/>
  <c r="A645" i="6"/>
  <c r="E644" i="6"/>
  <c r="D644" i="6"/>
  <c r="C644" i="6"/>
  <c r="B644" i="6"/>
  <c r="A644" i="6"/>
  <c r="E643" i="6"/>
  <c r="D643" i="6"/>
  <c r="C643" i="6"/>
  <c r="B643" i="6"/>
  <c r="A643" i="6"/>
  <c r="E642" i="6"/>
  <c r="D642" i="6"/>
  <c r="C642" i="6"/>
  <c r="B642" i="6"/>
  <c r="A642" i="6"/>
  <c r="E641" i="6"/>
  <c r="D641" i="6"/>
  <c r="C641" i="6"/>
  <c r="B641" i="6"/>
  <c r="A641" i="6"/>
  <c r="E640" i="6"/>
  <c r="D640" i="6"/>
  <c r="C640" i="6"/>
  <c r="B640" i="6"/>
  <c r="A640" i="6"/>
  <c r="E639" i="6"/>
  <c r="D639" i="6"/>
  <c r="C639" i="6"/>
  <c r="B639" i="6"/>
  <c r="A639" i="6"/>
  <c r="E638" i="6"/>
  <c r="D638" i="6"/>
  <c r="C638" i="6"/>
  <c r="B638" i="6"/>
  <c r="A638" i="6"/>
  <c r="E637" i="6"/>
  <c r="D637" i="6"/>
  <c r="C637" i="6"/>
  <c r="B637" i="6"/>
  <c r="A637" i="6"/>
  <c r="E636" i="6"/>
  <c r="D636" i="6"/>
  <c r="C636" i="6"/>
  <c r="B636" i="6"/>
  <c r="A636" i="6"/>
  <c r="E635" i="6"/>
  <c r="D635" i="6"/>
  <c r="C635" i="6"/>
  <c r="B635" i="6"/>
  <c r="A635" i="6"/>
  <c r="E634" i="6"/>
  <c r="D634" i="6"/>
  <c r="C634" i="6"/>
  <c r="B634" i="6"/>
  <c r="A634" i="6"/>
  <c r="E633" i="6"/>
  <c r="D633" i="6"/>
  <c r="C633" i="6"/>
  <c r="B633" i="6"/>
  <c r="A633" i="6"/>
  <c r="E632" i="6"/>
  <c r="D632" i="6"/>
  <c r="C632" i="6"/>
  <c r="B632" i="6"/>
  <c r="A632" i="6"/>
  <c r="E631" i="6"/>
  <c r="D631" i="6"/>
  <c r="C631" i="6"/>
  <c r="B631" i="6"/>
  <c r="A631" i="6"/>
  <c r="E630" i="6"/>
  <c r="D630" i="6"/>
  <c r="C630" i="6"/>
  <c r="B630" i="6"/>
  <c r="A630" i="6"/>
  <c r="E629" i="6"/>
  <c r="D629" i="6"/>
  <c r="C629" i="6"/>
  <c r="B629" i="6"/>
  <c r="A629" i="6"/>
  <c r="E628" i="6"/>
  <c r="D628" i="6"/>
  <c r="C628" i="6"/>
  <c r="B628" i="6"/>
  <c r="A628" i="6"/>
  <c r="E627" i="6"/>
  <c r="D627" i="6"/>
  <c r="C627" i="6"/>
  <c r="B627" i="6"/>
  <c r="A627" i="6"/>
  <c r="E626" i="6"/>
  <c r="D626" i="6"/>
  <c r="C626" i="6"/>
  <c r="B626" i="6"/>
  <c r="A626" i="6"/>
  <c r="E625" i="6"/>
  <c r="D625" i="6"/>
  <c r="C625" i="6"/>
  <c r="B625" i="6"/>
  <c r="A625" i="6"/>
  <c r="E624" i="6"/>
  <c r="D624" i="6"/>
  <c r="C624" i="6"/>
  <c r="B624" i="6"/>
  <c r="A624" i="6"/>
  <c r="E623" i="6"/>
  <c r="D623" i="6"/>
  <c r="C623" i="6"/>
  <c r="B623" i="6"/>
  <c r="A623" i="6"/>
  <c r="E622" i="6"/>
  <c r="D622" i="6"/>
  <c r="C622" i="6"/>
  <c r="B622" i="6"/>
  <c r="A622" i="6"/>
  <c r="E621" i="6"/>
  <c r="D621" i="6"/>
  <c r="C621" i="6"/>
  <c r="B621" i="6"/>
  <c r="A621" i="6"/>
  <c r="E620" i="6"/>
  <c r="D620" i="6"/>
  <c r="C620" i="6"/>
  <c r="B620" i="6"/>
  <c r="A620" i="6"/>
  <c r="E619" i="6"/>
  <c r="D619" i="6"/>
  <c r="C619" i="6"/>
  <c r="B619" i="6"/>
  <c r="A619" i="6"/>
  <c r="E618" i="6"/>
  <c r="D618" i="6"/>
  <c r="C618" i="6"/>
  <c r="B618" i="6"/>
  <c r="A618" i="6"/>
  <c r="E617" i="6"/>
  <c r="D617" i="6"/>
  <c r="C617" i="6"/>
  <c r="B617" i="6"/>
  <c r="A617" i="6"/>
  <c r="E616" i="6"/>
  <c r="D616" i="6"/>
  <c r="C616" i="6"/>
  <c r="B616" i="6"/>
  <c r="A616" i="6"/>
  <c r="E615" i="6"/>
  <c r="D615" i="6"/>
  <c r="C615" i="6"/>
  <c r="B615" i="6"/>
  <c r="A615" i="6"/>
  <c r="E614" i="6"/>
  <c r="D614" i="6"/>
  <c r="C614" i="6"/>
  <c r="B614" i="6"/>
  <c r="A614" i="6"/>
  <c r="E613" i="6"/>
  <c r="D613" i="6"/>
  <c r="C613" i="6"/>
  <c r="B613" i="6"/>
  <c r="A613" i="6"/>
  <c r="E612" i="6"/>
  <c r="D612" i="6"/>
  <c r="C612" i="6"/>
  <c r="B612" i="6"/>
  <c r="A612" i="6"/>
  <c r="E611" i="6"/>
  <c r="D611" i="6"/>
  <c r="C611" i="6"/>
  <c r="B611" i="6"/>
  <c r="A611" i="6"/>
  <c r="E610" i="6"/>
  <c r="D610" i="6"/>
  <c r="C610" i="6"/>
  <c r="B610" i="6"/>
  <c r="A610" i="6"/>
  <c r="E609" i="6"/>
  <c r="D609" i="6"/>
  <c r="C609" i="6"/>
  <c r="B609" i="6"/>
  <c r="A609" i="6"/>
  <c r="E608" i="6"/>
  <c r="D608" i="6"/>
  <c r="C608" i="6"/>
  <c r="B608" i="6"/>
  <c r="A608" i="6"/>
  <c r="E607" i="6"/>
  <c r="D607" i="6"/>
  <c r="C607" i="6"/>
  <c r="B607" i="6"/>
  <c r="A607" i="6"/>
  <c r="E606" i="6"/>
  <c r="D606" i="6"/>
  <c r="C606" i="6"/>
  <c r="B606" i="6"/>
  <c r="A606" i="6"/>
  <c r="E605" i="6"/>
  <c r="D605" i="6"/>
  <c r="C605" i="6"/>
  <c r="B605" i="6"/>
  <c r="A605" i="6"/>
  <c r="E604" i="6"/>
  <c r="D604" i="6"/>
  <c r="C604" i="6"/>
  <c r="B604" i="6"/>
  <c r="A604" i="6"/>
  <c r="E603" i="6"/>
  <c r="D603" i="6"/>
  <c r="C603" i="6"/>
  <c r="B603" i="6"/>
  <c r="A603" i="6"/>
  <c r="E602" i="6"/>
  <c r="D602" i="6"/>
  <c r="C602" i="6"/>
  <c r="B602" i="6"/>
  <c r="A602" i="6"/>
  <c r="E601" i="6"/>
  <c r="D601" i="6"/>
  <c r="C601" i="6"/>
  <c r="B601" i="6"/>
  <c r="A601" i="6"/>
  <c r="E600" i="6"/>
  <c r="D600" i="6"/>
  <c r="C600" i="6"/>
  <c r="B600" i="6"/>
  <c r="A600" i="6"/>
  <c r="E599" i="6"/>
  <c r="D599" i="6"/>
  <c r="C599" i="6"/>
  <c r="B599" i="6"/>
  <c r="A599" i="6"/>
  <c r="E598" i="6"/>
  <c r="D598" i="6"/>
  <c r="C598" i="6"/>
  <c r="B598" i="6"/>
  <c r="A598" i="6"/>
  <c r="E597" i="6"/>
  <c r="D597" i="6"/>
  <c r="C597" i="6"/>
  <c r="B597" i="6"/>
  <c r="A597" i="6"/>
  <c r="E596" i="6"/>
  <c r="D596" i="6"/>
  <c r="C596" i="6"/>
  <c r="B596" i="6"/>
  <c r="A596" i="6"/>
  <c r="E595" i="6"/>
  <c r="D595" i="6"/>
  <c r="C595" i="6"/>
  <c r="B595" i="6"/>
  <c r="A595" i="6"/>
  <c r="E594" i="6"/>
  <c r="D594" i="6"/>
  <c r="C594" i="6"/>
  <c r="B594" i="6"/>
  <c r="A594" i="6"/>
  <c r="E593" i="6"/>
  <c r="D593" i="6"/>
  <c r="C593" i="6"/>
  <c r="B593" i="6"/>
  <c r="A593" i="6"/>
  <c r="E592" i="6"/>
  <c r="D592" i="6"/>
  <c r="C592" i="6"/>
  <c r="B592" i="6"/>
  <c r="A592" i="6"/>
  <c r="E591" i="6"/>
  <c r="D591" i="6"/>
  <c r="C591" i="6"/>
  <c r="B591" i="6"/>
  <c r="A591" i="6"/>
  <c r="E590" i="6"/>
  <c r="D590" i="6"/>
  <c r="C590" i="6"/>
  <c r="B590" i="6"/>
  <c r="A590" i="6"/>
  <c r="E589" i="6"/>
  <c r="D589" i="6"/>
  <c r="C589" i="6"/>
  <c r="B589" i="6"/>
  <c r="A589" i="6"/>
  <c r="E588" i="6"/>
  <c r="D588" i="6"/>
  <c r="C588" i="6"/>
  <c r="B588" i="6"/>
  <c r="A588" i="6"/>
  <c r="E587" i="6"/>
  <c r="D587" i="6"/>
  <c r="C587" i="6"/>
  <c r="B587" i="6"/>
  <c r="A587" i="6"/>
  <c r="E586" i="6"/>
  <c r="D586" i="6"/>
  <c r="C586" i="6"/>
  <c r="B586" i="6"/>
  <c r="A586" i="6"/>
  <c r="E585" i="6"/>
  <c r="D585" i="6"/>
  <c r="C585" i="6"/>
  <c r="B585" i="6"/>
  <c r="A585" i="6"/>
  <c r="E584" i="6"/>
  <c r="D584" i="6"/>
  <c r="C584" i="6"/>
  <c r="B584" i="6"/>
  <c r="A584" i="6"/>
  <c r="E583" i="6"/>
  <c r="D583" i="6"/>
  <c r="C583" i="6"/>
  <c r="B583" i="6"/>
  <c r="A583" i="6"/>
  <c r="E582" i="6"/>
  <c r="D582" i="6"/>
  <c r="C582" i="6"/>
  <c r="B582" i="6"/>
  <c r="A582" i="6"/>
  <c r="E581" i="6"/>
  <c r="D581" i="6"/>
  <c r="C581" i="6"/>
  <c r="B581" i="6"/>
  <c r="A581" i="6"/>
  <c r="E580" i="6"/>
  <c r="D580" i="6"/>
  <c r="C580" i="6"/>
  <c r="B580" i="6"/>
  <c r="A580" i="6"/>
  <c r="E579" i="6"/>
  <c r="D579" i="6"/>
  <c r="C579" i="6"/>
  <c r="B579" i="6"/>
  <c r="A579" i="6"/>
  <c r="E578" i="6"/>
  <c r="D578" i="6"/>
  <c r="C578" i="6"/>
  <c r="B578" i="6"/>
  <c r="A578" i="6"/>
  <c r="E577" i="6"/>
  <c r="D577" i="6"/>
  <c r="C577" i="6"/>
  <c r="B577" i="6"/>
  <c r="A577" i="6"/>
  <c r="E576" i="6"/>
  <c r="D576" i="6"/>
  <c r="C576" i="6"/>
  <c r="B576" i="6"/>
  <c r="A576" i="6"/>
  <c r="E575" i="6"/>
  <c r="D575" i="6"/>
  <c r="C575" i="6"/>
  <c r="B575" i="6"/>
  <c r="A575" i="6"/>
  <c r="E574" i="6"/>
  <c r="D574" i="6"/>
  <c r="C574" i="6"/>
  <c r="B574" i="6"/>
  <c r="A574" i="6"/>
  <c r="E573" i="6"/>
  <c r="D573" i="6"/>
  <c r="C573" i="6"/>
  <c r="B573" i="6"/>
  <c r="A573" i="6"/>
  <c r="E572" i="6"/>
  <c r="D572" i="6"/>
  <c r="C572" i="6"/>
  <c r="B572" i="6"/>
  <c r="A572" i="6"/>
  <c r="E571" i="6"/>
  <c r="D571" i="6"/>
  <c r="C571" i="6"/>
  <c r="B571" i="6"/>
  <c r="A571" i="6"/>
  <c r="E570" i="6"/>
  <c r="D570" i="6"/>
  <c r="C570" i="6"/>
  <c r="B570" i="6"/>
  <c r="A570" i="6"/>
  <c r="E569" i="6"/>
  <c r="D569" i="6"/>
  <c r="C569" i="6"/>
  <c r="B569" i="6"/>
  <c r="A569" i="6"/>
  <c r="E568" i="6"/>
  <c r="D568" i="6"/>
  <c r="C568" i="6"/>
  <c r="B568" i="6"/>
  <c r="A568" i="6"/>
  <c r="E567" i="6"/>
  <c r="D567" i="6"/>
  <c r="C567" i="6"/>
  <c r="B567" i="6"/>
  <c r="A567" i="6"/>
  <c r="E566" i="6"/>
  <c r="D566" i="6"/>
  <c r="C566" i="6"/>
  <c r="B566" i="6"/>
  <c r="A566" i="6"/>
  <c r="E565" i="6"/>
  <c r="D565" i="6"/>
  <c r="C565" i="6"/>
  <c r="B565" i="6"/>
  <c r="A565" i="6"/>
  <c r="E564" i="6"/>
  <c r="D564" i="6"/>
  <c r="C564" i="6"/>
  <c r="B564" i="6"/>
  <c r="A564" i="6"/>
  <c r="E563" i="6"/>
  <c r="D563" i="6"/>
  <c r="C563" i="6"/>
  <c r="B563" i="6"/>
  <c r="A563" i="6"/>
  <c r="E562" i="6"/>
  <c r="D562" i="6"/>
  <c r="C562" i="6"/>
  <c r="B562" i="6"/>
  <c r="A562" i="6"/>
  <c r="E561" i="6"/>
  <c r="D561" i="6"/>
  <c r="C561" i="6"/>
  <c r="B561" i="6"/>
  <c r="A561" i="6"/>
  <c r="E560" i="6"/>
  <c r="D560" i="6"/>
  <c r="C560" i="6"/>
  <c r="B560" i="6"/>
  <c r="A560" i="6"/>
  <c r="E559" i="6"/>
  <c r="D559" i="6"/>
  <c r="C559" i="6"/>
  <c r="B559" i="6"/>
  <c r="A559" i="6"/>
  <c r="E558" i="6"/>
  <c r="D558" i="6"/>
  <c r="C558" i="6"/>
  <c r="B558" i="6"/>
  <c r="A558" i="6"/>
  <c r="E557" i="6"/>
  <c r="D557" i="6"/>
  <c r="C557" i="6"/>
  <c r="B557" i="6"/>
  <c r="A557" i="6"/>
  <c r="E556" i="6"/>
  <c r="D556" i="6"/>
  <c r="C556" i="6"/>
  <c r="B556" i="6"/>
  <c r="A556" i="6"/>
  <c r="E555" i="6"/>
  <c r="D555" i="6"/>
  <c r="C555" i="6"/>
  <c r="B555" i="6"/>
  <c r="A555" i="6"/>
  <c r="E554" i="6"/>
  <c r="D554" i="6"/>
  <c r="C554" i="6"/>
  <c r="B554" i="6"/>
  <c r="A554" i="6"/>
  <c r="E553" i="6"/>
  <c r="D553" i="6"/>
  <c r="C553" i="6"/>
  <c r="B553" i="6"/>
  <c r="A553" i="6"/>
  <c r="E552" i="6"/>
  <c r="D552" i="6"/>
  <c r="C552" i="6"/>
  <c r="B552" i="6"/>
  <c r="A552" i="6"/>
  <c r="E551" i="6"/>
  <c r="D551" i="6"/>
  <c r="C551" i="6"/>
  <c r="B551" i="6"/>
  <c r="A551" i="6"/>
  <c r="E550" i="6"/>
  <c r="D550" i="6"/>
  <c r="C550" i="6"/>
  <c r="B550" i="6"/>
  <c r="A550" i="6"/>
  <c r="E549" i="6"/>
  <c r="D549" i="6"/>
  <c r="C549" i="6"/>
  <c r="B549" i="6"/>
  <c r="A549" i="6"/>
  <c r="E548" i="6"/>
  <c r="D548" i="6"/>
  <c r="C548" i="6"/>
  <c r="B548" i="6"/>
  <c r="A548" i="6"/>
  <c r="E547" i="6"/>
  <c r="D547" i="6"/>
  <c r="C547" i="6"/>
  <c r="B547" i="6"/>
  <c r="A547" i="6"/>
  <c r="E546" i="6"/>
  <c r="D546" i="6"/>
  <c r="C546" i="6"/>
  <c r="B546" i="6"/>
  <c r="A546" i="6"/>
  <c r="E545" i="6"/>
  <c r="D545" i="6"/>
  <c r="C545" i="6"/>
  <c r="B545" i="6"/>
  <c r="A545" i="6"/>
  <c r="E544" i="6"/>
  <c r="D544" i="6"/>
  <c r="C544" i="6"/>
  <c r="B544" i="6"/>
  <c r="A544" i="6"/>
  <c r="E543" i="6"/>
  <c r="D543" i="6"/>
  <c r="C543" i="6"/>
  <c r="B543" i="6"/>
  <c r="A543" i="6"/>
  <c r="E542" i="6"/>
  <c r="D542" i="6"/>
  <c r="C542" i="6"/>
  <c r="B542" i="6"/>
  <c r="A542" i="6"/>
  <c r="E541" i="6"/>
  <c r="D541" i="6"/>
  <c r="C541" i="6"/>
  <c r="B541" i="6"/>
  <c r="A541" i="6"/>
  <c r="E540" i="6"/>
  <c r="D540" i="6"/>
  <c r="C540" i="6"/>
  <c r="B540" i="6"/>
  <c r="A540" i="6"/>
  <c r="E539" i="6"/>
  <c r="D539" i="6"/>
  <c r="C539" i="6"/>
  <c r="B539" i="6"/>
  <c r="A539" i="6"/>
  <c r="E538" i="6"/>
  <c r="D538" i="6"/>
  <c r="C538" i="6"/>
  <c r="B538" i="6"/>
  <c r="A538" i="6"/>
  <c r="E537" i="6"/>
  <c r="D537" i="6"/>
  <c r="C537" i="6"/>
  <c r="B537" i="6"/>
  <c r="A537" i="6"/>
  <c r="E536" i="6"/>
  <c r="D536" i="6"/>
  <c r="C536" i="6"/>
  <c r="B536" i="6"/>
  <c r="A536" i="6"/>
  <c r="E535" i="6"/>
  <c r="D535" i="6"/>
  <c r="C535" i="6"/>
  <c r="B535" i="6"/>
  <c r="A535" i="6"/>
  <c r="E534" i="6"/>
  <c r="D534" i="6"/>
  <c r="C534" i="6"/>
  <c r="B534" i="6"/>
  <c r="A534" i="6"/>
  <c r="E533" i="6"/>
  <c r="D533" i="6"/>
  <c r="C533" i="6"/>
  <c r="B533" i="6"/>
  <c r="A533" i="6"/>
  <c r="E532" i="6"/>
  <c r="D532" i="6"/>
  <c r="C532" i="6"/>
  <c r="B532" i="6"/>
  <c r="A532" i="6"/>
  <c r="E531" i="6"/>
  <c r="D531" i="6"/>
  <c r="C531" i="6"/>
  <c r="B531" i="6"/>
  <c r="A531" i="6"/>
  <c r="E530" i="6"/>
  <c r="D530" i="6"/>
  <c r="C530" i="6"/>
  <c r="B530" i="6"/>
  <c r="A530" i="6"/>
  <c r="E529" i="6"/>
  <c r="D529" i="6"/>
  <c r="C529" i="6"/>
  <c r="B529" i="6"/>
  <c r="A529" i="6"/>
  <c r="E528" i="6"/>
  <c r="D528" i="6"/>
  <c r="C528" i="6"/>
  <c r="B528" i="6"/>
  <c r="A528" i="6"/>
  <c r="E527" i="6"/>
  <c r="D527" i="6"/>
  <c r="C527" i="6"/>
  <c r="B527" i="6"/>
  <c r="A527" i="6"/>
  <c r="E526" i="6"/>
  <c r="D526" i="6"/>
  <c r="C526" i="6"/>
  <c r="B526" i="6"/>
  <c r="A526" i="6"/>
  <c r="E525" i="6"/>
  <c r="D525" i="6"/>
  <c r="C525" i="6"/>
  <c r="B525" i="6"/>
  <c r="A525" i="6"/>
  <c r="E524" i="6"/>
  <c r="D524" i="6"/>
  <c r="C524" i="6"/>
  <c r="B524" i="6"/>
  <c r="A524" i="6"/>
  <c r="E523" i="6"/>
  <c r="D523" i="6"/>
  <c r="C523" i="6"/>
  <c r="B523" i="6"/>
  <c r="A523" i="6"/>
  <c r="E522" i="6"/>
  <c r="D522" i="6"/>
  <c r="C522" i="6"/>
  <c r="B522" i="6"/>
  <c r="A522" i="6"/>
  <c r="E521" i="6"/>
  <c r="D521" i="6"/>
  <c r="C521" i="6"/>
  <c r="B521" i="6"/>
  <c r="A521" i="6"/>
  <c r="E520" i="6"/>
  <c r="D520" i="6"/>
  <c r="C520" i="6"/>
  <c r="B520" i="6"/>
  <c r="A520" i="6"/>
  <c r="E519" i="6"/>
  <c r="D519" i="6"/>
  <c r="C519" i="6"/>
  <c r="B519" i="6"/>
  <c r="A519" i="6"/>
  <c r="E518" i="6"/>
  <c r="D518" i="6"/>
  <c r="C518" i="6"/>
  <c r="B518" i="6"/>
  <c r="A518" i="6"/>
  <c r="E517" i="6"/>
  <c r="D517" i="6"/>
  <c r="C517" i="6"/>
  <c r="B517" i="6"/>
  <c r="A517" i="6"/>
  <c r="E516" i="6"/>
  <c r="D516" i="6"/>
  <c r="C516" i="6"/>
  <c r="B516" i="6"/>
  <c r="A516" i="6"/>
  <c r="E515" i="6"/>
  <c r="D515" i="6"/>
  <c r="C515" i="6"/>
  <c r="B515" i="6"/>
  <c r="A515" i="6"/>
  <c r="E514" i="6"/>
  <c r="D514" i="6"/>
  <c r="C514" i="6"/>
  <c r="B514" i="6"/>
  <c r="A514" i="6"/>
  <c r="E513" i="6"/>
  <c r="D513" i="6"/>
  <c r="C513" i="6"/>
  <c r="B513" i="6"/>
  <c r="A513" i="6"/>
  <c r="E512" i="6"/>
  <c r="D512" i="6"/>
  <c r="C512" i="6"/>
  <c r="B512" i="6"/>
  <c r="A512" i="6"/>
  <c r="E511" i="6"/>
  <c r="D511" i="6"/>
  <c r="C511" i="6"/>
  <c r="B511" i="6"/>
  <c r="A511" i="6"/>
  <c r="E510" i="6"/>
  <c r="D510" i="6"/>
  <c r="C510" i="6"/>
  <c r="B510" i="6"/>
  <c r="A510" i="6"/>
  <c r="E509" i="6"/>
  <c r="D509" i="6"/>
  <c r="C509" i="6"/>
  <c r="B509" i="6"/>
  <c r="A509" i="6"/>
  <c r="E508" i="6"/>
  <c r="D508" i="6"/>
  <c r="C508" i="6"/>
  <c r="B508" i="6"/>
  <c r="A508" i="6"/>
  <c r="E507" i="6"/>
  <c r="D507" i="6"/>
  <c r="C507" i="6"/>
  <c r="B507" i="6"/>
  <c r="A507" i="6"/>
  <c r="E506" i="6"/>
  <c r="D506" i="6"/>
  <c r="C506" i="6"/>
  <c r="B506" i="6"/>
  <c r="A506" i="6"/>
  <c r="E505" i="6"/>
  <c r="D505" i="6"/>
  <c r="C505" i="6"/>
  <c r="B505" i="6"/>
  <c r="A505" i="6"/>
  <c r="E504" i="6"/>
  <c r="D504" i="6"/>
  <c r="C504" i="6"/>
  <c r="B504" i="6"/>
  <c r="A504" i="6"/>
  <c r="E503" i="6"/>
  <c r="D503" i="6"/>
  <c r="C503" i="6"/>
  <c r="B503" i="6"/>
  <c r="A503" i="6"/>
  <c r="E502" i="6"/>
  <c r="D502" i="6"/>
  <c r="C502" i="6"/>
  <c r="B502" i="6"/>
  <c r="A502" i="6"/>
  <c r="E501" i="6"/>
  <c r="D501" i="6"/>
  <c r="C501" i="6"/>
  <c r="B501" i="6"/>
  <c r="A501" i="6"/>
  <c r="E500" i="6"/>
  <c r="D500" i="6"/>
  <c r="C500" i="6"/>
  <c r="B500" i="6"/>
  <c r="A500" i="6"/>
  <c r="E499" i="6"/>
  <c r="D499" i="6"/>
  <c r="C499" i="6"/>
  <c r="B499" i="6"/>
  <c r="A499" i="6"/>
  <c r="E498" i="6"/>
  <c r="D498" i="6"/>
  <c r="C498" i="6"/>
  <c r="B498" i="6"/>
  <c r="A498" i="6"/>
  <c r="E497" i="6"/>
  <c r="D497" i="6"/>
  <c r="C497" i="6"/>
  <c r="B497" i="6"/>
  <c r="A497" i="6"/>
  <c r="E496" i="6"/>
  <c r="D496" i="6"/>
  <c r="C496" i="6"/>
  <c r="B496" i="6"/>
  <c r="A496" i="6"/>
  <c r="E495" i="6"/>
  <c r="D495" i="6"/>
  <c r="C495" i="6"/>
  <c r="B495" i="6"/>
  <c r="A495" i="6"/>
  <c r="E494" i="6"/>
  <c r="D494" i="6"/>
  <c r="C494" i="6"/>
  <c r="B494" i="6"/>
  <c r="A494" i="6"/>
  <c r="E493" i="6"/>
  <c r="D493" i="6"/>
  <c r="C493" i="6"/>
  <c r="B493" i="6"/>
  <c r="A493" i="6"/>
  <c r="E492" i="6"/>
  <c r="D492" i="6"/>
  <c r="C492" i="6"/>
  <c r="B492" i="6"/>
  <c r="A492" i="6"/>
  <c r="E491" i="6"/>
  <c r="D491" i="6"/>
  <c r="C491" i="6"/>
  <c r="B491" i="6"/>
  <c r="A491" i="6"/>
  <c r="E490" i="6"/>
  <c r="D490" i="6"/>
  <c r="C490" i="6"/>
  <c r="B490" i="6"/>
  <c r="A490" i="6"/>
  <c r="E489" i="6"/>
  <c r="D489" i="6"/>
  <c r="C489" i="6"/>
  <c r="B489" i="6"/>
  <c r="A489" i="6"/>
  <c r="E488" i="6"/>
  <c r="D488" i="6"/>
  <c r="C488" i="6"/>
  <c r="B488" i="6"/>
  <c r="A488" i="6"/>
  <c r="E487" i="6"/>
  <c r="D487" i="6"/>
  <c r="C487" i="6"/>
  <c r="B487" i="6"/>
  <c r="A487" i="6"/>
  <c r="E486" i="6"/>
  <c r="D486" i="6"/>
  <c r="C486" i="6"/>
  <c r="B486" i="6"/>
  <c r="A486" i="6"/>
  <c r="E485" i="6"/>
  <c r="D485" i="6"/>
  <c r="C485" i="6"/>
  <c r="B485" i="6"/>
  <c r="A485" i="6"/>
  <c r="E484" i="6"/>
  <c r="D484" i="6"/>
  <c r="C484" i="6"/>
  <c r="B484" i="6"/>
  <c r="A484" i="6"/>
  <c r="E483" i="6"/>
  <c r="D483" i="6"/>
  <c r="C483" i="6"/>
  <c r="B483" i="6"/>
  <c r="A483" i="6"/>
  <c r="E482" i="6"/>
  <c r="D482" i="6"/>
  <c r="C482" i="6"/>
  <c r="B482" i="6"/>
  <c r="A482" i="6"/>
  <c r="E481" i="6"/>
  <c r="D481" i="6"/>
  <c r="C481" i="6"/>
  <c r="B481" i="6"/>
  <c r="A481" i="6"/>
  <c r="E480" i="6"/>
  <c r="D480" i="6"/>
  <c r="C480" i="6"/>
  <c r="B480" i="6"/>
  <c r="A480" i="6"/>
  <c r="E479" i="6"/>
  <c r="D479" i="6"/>
  <c r="C479" i="6"/>
  <c r="B479" i="6"/>
  <c r="A479" i="6"/>
  <c r="E478" i="6"/>
  <c r="D478" i="6"/>
  <c r="C478" i="6"/>
  <c r="B478" i="6"/>
  <c r="A478" i="6"/>
  <c r="E477" i="6"/>
  <c r="D477" i="6"/>
  <c r="C477" i="6"/>
  <c r="B477" i="6"/>
  <c r="A477" i="6"/>
  <c r="E476" i="6"/>
  <c r="D476" i="6"/>
  <c r="C476" i="6"/>
  <c r="B476" i="6"/>
  <c r="A476" i="6"/>
  <c r="E475" i="6"/>
  <c r="D475" i="6"/>
  <c r="C475" i="6"/>
  <c r="B475" i="6"/>
  <c r="A475" i="6"/>
  <c r="E474" i="6"/>
  <c r="D474" i="6"/>
  <c r="C474" i="6"/>
  <c r="B474" i="6"/>
  <c r="A474" i="6"/>
  <c r="E473" i="6"/>
  <c r="D473" i="6"/>
  <c r="C473" i="6"/>
  <c r="B473" i="6"/>
  <c r="A473" i="6"/>
  <c r="E472" i="6"/>
  <c r="D472" i="6"/>
  <c r="C472" i="6"/>
  <c r="B472" i="6"/>
  <c r="A472" i="6"/>
  <c r="E471" i="6"/>
  <c r="D471" i="6"/>
  <c r="C471" i="6"/>
  <c r="B471" i="6"/>
  <c r="A471" i="6"/>
  <c r="E470" i="6"/>
  <c r="D470" i="6"/>
  <c r="C470" i="6"/>
  <c r="B470" i="6"/>
  <c r="A470" i="6"/>
  <c r="E469" i="6"/>
  <c r="D469" i="6"/>
  <c r="C469" i="6"/>
  <c r="B469" i="6"/>
  <c r="A469" i="6"/>
  <c r="E468" i="6"/>
  <c r="D468" i="6"/>
  <c r="C468" i="6"/>
  <c r="B468" i="6"/>
  <c r="A468" i="6"/>
  <c r="E467" i="6"/>
  <c r="D467" i="6"/>
  <c r="C467" i="6"/>
  <c r="B467" i="6"/>
  <c r="A467" i="6"/>
  <c r="E466" i="6"/>
  <c r="D466" i="6"/>
  <c r="C466" i="6"/>
  <c r="B466" i="6"/>
  <c r="A466" i="6"/>
  <c r="E465" i="6"/>
  <c r="D465" i="6"/>
  <c r="C465" i="6"/>
  <c r="B465" i="6"/>
  <c r="A465" i="6"/>
  <c r="E464" i="6"/>
  <c r="D464" i="6"/>
  <c r="C464" i="6"/>
  <c r="B464" i="6"/>
  <c r="A464" i="6"/>
  <c r="E463" i="6"/>
  <c r="D463" i="6"/>
  <c r="C463" i="6"/>
  <c r="B463" i="6"/>
  <c r="A463" i="6"/>
  <c r="E462" i="6"/>
  <c r="D462" i="6"/>
  <c r="C462" i="6"/>
  <c r="B462" i="6"/>
  <c r="A462" i="6"/>
  <c r="E461" i="6"/>
  <c r="D461" i="6"/>
  <c r="C461" i="6"/>
  <c r="B461" i="6"/>
  <c r="A461" i="6"/>
  <c r="E460" i="6"/>
  <c r="D460" i="6"/>
  <c r="C460" i="6"/>
  <c r="B460" i="6"/>
  <c r="A460" i="6"/>
  <c r="E459" i="6"/>
  <c r="D459" i="6"/>
  <c r="C459" i="6"/>
  <c r="B459" i="6"/>
  <c r="A459" i="6"/>
  <c r="E458" i="6"/>
  <c r="D458" i="6"/>
  <c r="C458" i="6"/>
  <c r="B458" i="6"/>
  <c r="A458" i="6"/>
  <c r="E457" i="6"/>
  <c r="D457" i="6"/>
  <c r="C457" i="6"/>
  <c r="B457" i="6"/>
  <c r="A457" i="6"/>
  <c r="E456" i="6"/>
  <c r="D456" i="6"/>
  <c r="C456" i="6"/>
  <c r="B456" i="6"/>
  <c r="A456" i="6"/>
  <c r="E455" i="6"/>
  <c r="D455" i="6"/>
  <c r="C455" i="6"/>
  <c r="B455" i="6"/>
  <c r="A455" i="6"/>
  <c r="E454" i="6"/>
  <c r="D454" i="6"/>
  <c r="C454" i="6"/>
  <c r="B454" i="6"/>
  <c r="A454" i="6"/>
  <c r="E453" i="6"/>
  <c r="D453" i="6"/>
  <c r="C453" i="6"/>
  <c r="B453" i="6"/>
  <c r="A453" i="6"/>
  <c r="E452" i="6"/>
  <c r="D452" i="6"/>
  <c r="C452" i="6"/>
  <c r="B452" i="6"/>
  <c r="A452" i="6"/>
  <c r="E451" i="6"/>
  <c r="D451" i="6"/>
  <c r="C451" i="6"/>
  <c r="B451" i="6"/>
  <c r="A451" i="6"/>
  <c r="E450" i="6"/>
  <c r="D450" i="6"/>
  <c r="C450" i="6"/>
  <c r="B450" i="6"/>
  <c r="A450" i="6"/>
  <c r="E449" i="6"/>
  <c r="D449" i="6"/>
  <c r="C449" i="6"/>
  <c r="B449" i="6"/>
  <c r="A449" i="6"/>
  <c r="E448" i="6"/>
  <c r="D448" i="6"/>
  <c r="C448" i="6"/>
  <c r="B448" i="6"/>
  <c r="A448" i="6"/>
  <c r="E447" i="6"/>
  <c r="D447" i="6"/>
  <c r="C447" i="6"/>
  <c r="B447" i="6"/>
  <c r="A447" i="6"/>
  <c r="E446" i="6"/>
  <c r="D446" i="6"/>
  <c r="C446" i="6"/>
  <c r="B446" i="6"/>
  <c r="A446" i="6"/>
  <c r="E445" i="6"/>
  <c r="D445" i="6"/>
  <c r="C445" i="6"/>
  <c r="B445" i="6"/>
  <c r="A445" i="6"/>
  <c r="E444" i="6"/>
  <c r="D444" i="6"/>
  <c r="C444" i="6"/>
  <c r="B444" i="6"/>
  <c r="A444" i="6"/>
  <c r="E443" i="6"/>
  <c r="D443" i="6"/>
  <c r="C443" i="6"/>
  <c r="B443" i="6"/>
  <c r="A443" i="6"/>
  <c r="E442" i="6"/>
  <c r="D442" i="6"/>
  <c r="C442" i="6"/>
  <c r="B442" i="6"/>
  <c r="A442" i="6"/>
  <c r="E441" i="6"/>
  <c r="D441" i="6"/>
  <c r="C441" i="6"/>
  <c r="B441" i="6"/>
  <c r="A441" i="6"/>
  <c r="E440" i="6"/>
  <c r="D440" i="6"/>
  <c r="C440" i="6"/>
  <c r="B440" i="6"/>
  <c r="A440" i="6"/>
  <c r="E439" i="6"/>
  <c r="D439" i="6"/>
  <c r="C439" i="6"/>
  <c r="B439" i="6"/>
  <c r="A439" i="6"/>
  <c r="E438" i="6"/>
  <c r="D438" i="6"/>
  <c r="C438" i="6"/>
  <c r="B438" i="6"/>
  <c r="A438" i="6"/>
  <c r="E437" i="6"/>
  <c r="D437" i="6"/>
  <c r="C437" i="6"/>
  <c r="B437" i="6"/>
  <c r="A437" i="6"/>
  <c r="E436" i="6"/>
  <c r="D436" i="6"/>
  <c r="C436" i="6"/>
  <c r="B436" i="6"/>
  <c r="A436" i="6"/>
  <c r="E435" i="6"/>
  <c r="D435" i="6"/>
  <c r="C435" i="6"/>
  <c r="B435" i="6"/>
  <c r="A435" i="6"/>
  <c r="E434" i="6"/>
  <c r="D434" i="6"/>
  <c r="C434" i="6"/>
  <c r="B434" i="6"/>
  <c r="A434" i="6"/>
  <c r="E433" i="6"/>
  <c r="D433" i="6"/>
  <c r="C433" i="6"/>
  <c r="B433" i="6"/>
  <c r="A433" i="6"/>
  <c r="E432" i="6"/>
  <c r="D432" i="6"/>
  <c r="C432" i="6"/>
  <c r="B432" i="6"/>
  <c r="A432" i="6"/>
  <c r="E431" i="6"/>
  <c r="D431" i="6"/>
  <c r="C431" i="6"/>
  <c r="B431" i="6"/>
  <c r="A431" i="6"/>
  <c r="E430" i="6"/>
  <c r="D430" i="6"/>
  <c r="C430" i="6"/>
  <c r="B430" i="6"/>
  <c r="A430" i="6"/>
  <c r="E429" i="6"/>
  <c r="D429" i="6"/>
  <c r="C429" i="6"/>
  <c r="B429" i="6"/>
  <c r="A429" i="6"/>
  <c r="E428" i="6"/>
  <c r="D428" i="6"/>
  <c r="C428" i="6"/>
  <c r="B428" i="6"/>
  <c r="A428" i="6"/>
  <c r="E427" i="6"/>
  <c r="D427" i="6"/>
  <c r="C427" i="6"/>
  <c r="B427" i="6"/>
  <c r="A427" i="6"/>
  <c r="E426" i="6"/>
  <c r="D426" i="6"/>
  <c r="C426" i="6"/>
  <c r="B426" i="6"/>
  <c r="A426" i="6"/>
  <c r="E425" i="6"/>
  <c r="D425" i="6"/>
  <c r="C425" i="6"/>
  <c r="B425" i="6"/>
  <c r="A425" i="6"/>
  <c r="E424" i="6"/>
  <c r="D424" i="6"/>
  <c r="C424" i="6"/>
  <c r="B424" i="6"/>
  <c r="A424" i="6"/>
  <c r="E423" i="6"/>
  <c r="D423" i="6"/>
  <c r="C423" i="6"/>
  <c r="B423" i="6"/>
  <c r="A423" i="6"/>
  <c r="E422" i="6"/>
  <c r="D422" i="6"/>
  <c r="C422" i="6"/>
  <c r="B422" i="6"/>
  <c r="A422" i="6"/>
  <c r="E421" i="6"/>
  <c r="D421" i="6"/>
  <c r="C421" i="6"/>
  <c r="B421" i="6"/>
  <c r="A421" i="6"/>
  <c r="E420" i="6"/>
  <c r="D420" i="6"/>
  <c r="C420" i="6"/>
  <c r="B420" i="6"/>
  <c r="A420" i="6"/>
  <c r="E419" i="6"/>
  <c r="D419" i="6"/>
  <c r="C419" i="6"/>
  <c r="B419" i="6"/>
  <c r="A419" i="6"/>
  <c r="E418" i="6"/>
  <c r="D418" i="6"/>
  <c r="C418" i="6"/>
  <c r="B418" i="6"/>
  <c r="A418" i="6"/>
  <c r="E417" i="6"/>
  <c r="D417" i="6"/>
  <c r="C417" i="6"/>
  <c r="B417" i="6"/>
  <c r="A417" i="6"/>
  <c r="E416" i="6"/>
  <c r="D416" i="6"/>
  <c r="C416" i="6"/>
  <c r="B416" i="6"/>
  <c r="A416" i="6"/>
  <c r="E415" i="6"/>
  <c r="D415" i="6"/>
  <c r="C415" i="6"/>
  <c r="B415" i="6"/>
  <c r="A415" i="6"/>
  <c r="E414" i="6"/>
  <c r="D414" i="6"/>
  <c r="C414" i="6"/>
  <c r="B414" i="6"/>
  <c r="A414" i="6"/>
  <c r="E413" i="6"/>
  <c r="D413" i="6"/>
  <c r="C413" i="6"/>
  <c r="B413" i="6"/>
  <c r="A413" i="6"/>
  <c r="E412" i="6"/>
  <c r="D412" i="6"/>
  <c r="C412" i="6"/>
  <c r="B412" i="6"/>
  <c r="A412" i="6"/>
  <c r="E411" i="6"/>
  <c r="D411" i="6"/>
  <c r="C411" i="6"/>
  <c r="B411" i="6"/>
  <c r="A411" i="6"/>
  <c r="E410" i="6"/>
  <c r="D410" i="6"/>
  <c r="C410" i="6"/>
  <c r="B410" i="6"/>
  <c r="A410" i="6"/>
  <c r="E409" i="6"/>
  <c r="D409" i="6"/>
  <c r="C409" i="6"/>
  <c r="B409" i="6"/>
  <c r="A409" i="6"/>
  <c r="E408" i="6"/>
  <c r="D408" i="6"/>
  <c r="C408" i="6"/>
  <c r="B408" i="6"/>
  <c r="A408" i="6"/>
  <c r="E407" i="6"/>
  <c r="D407" i="6"/>
  <c r="C407" i="6"/>
  <c r="B407" i="6"/>
  <c r="A407" i="6"/>
  <c r="E406" i="6"/>
  <c r="D406" i="6"/>
  <c r="C406" i="6"/>
  <c r="B406" i="6"/>
  <c r="A406" i="6"/>
  <c r="E405" i="6"/>
  <c r="D405" i="6"/>
  <c r="C405" i="6"/>
  <c r="B405" i="6"/>
  <c r="A405" i="6"/>
  <c r="E404" i="6"/>
  <c r="D404" i="6"/>
  <c r="C404" i="6"/>
  <c r="B404" i="6"/>
  <c r="A404" i="6"/>
  <c r="E403" i="6"/>
  <c r="D403" i="6"/>
  <c r="C403" i="6"/>
  <c r="B403" i="6"/>
  <c r="A403" i="6"/>
  <c r="E402" i="6"/>
  <c r="D402" i="6"/>
  <c r="C402" i="6"/>
  <c r="B402" i="6"/>
  <c r="A402" i="6"/>
  <c r="E401" i="6"/>
  <c r="D401" i="6"/>
  <c r="C401" i="6"/>
  <c r="B401" i="6"/>
  <c r="A401" i="6"/>
  <c r="E400" i="6"/>
  <c r="D400" i="6"/>
  <c r="C400" i="6"/>
  <c r="B400" i="6"/>
  <c r="A400" i="6"/>
  <c r="E399" i="6"/>
  <c r="D399" i="6"/>
  <c r="C399" i="6"/>
  <c r="B399" i="6"/>
  <c r="A399" i="6"/>
  <c r="E398" i="6"/>
  <c r="D398" i="6"/>
  <c r="C398" i="6"/>
  <c r="B398" i="6"/>
  <c r="A398" i="6"/>
  <c r="E397" i="6"/>
  <c r="D397" i="6"/>
  <c r="C397" i="6"/>
  <c r="B397" i="6"/>
  <c r="A397" i="6"/>
  <c r="E396" i="6"/>
  <c r="D396" i="6"/>
  <c r="C396" i="6"/>
  <c r="B396" i="6"/>
  <c r="A396" i="6"/>
  <c r="E395" i="6"/>
  <c r="D395" i="6"/>
  <c r="C395" i="6"/>
  <c r="B395" i="6"/>
  <c r="A395" i="6"/>
  <c r="E394" i="6"/>
  <c r="D394" i="6"/>
  <c r="C394" i="6"/>
  <c r="B394" i="6"/>
  <c r="A394" i="6"/>
  <c r="E393" i="6"/>
  <c r="D393" i="6"/>
  <c r="C393" i="6"/>
  <c r="B393" i="6"/>
  <c r="A393" i="6"/>
  <c r="E392" i="6"/>
  <c r="D392" i="6"/>
  <c r="C392" i="6"/>
  <c r="B392" i="6"/>
  <c r="A392" i="6"/>
  <c r="E391" i="6"/>
  <c r="D391" i="6"/>
  <c r="C391" i="6"/>
  <c r="B391" i="6"/>
  <c r="A391" i="6"/>
  <c r="E390" i="6"/>
  <c r="D390" i="6"/>
  <c r="C390" i="6"/>
  <c r="B390" i="6"/>
  <c r="A390" i="6"/>
  <c r="E389" i="6"/>
  <c r="D389" i="6"/>
  <c r="C389" i="6"/>
  <c r="B389" i="6"/>
  <c r="A389" i="6"/>
  <c r="E388" i="6"/>
  <c r="D388" i="6"/>
  <c r="C388" i="6"/>
  <c r="B388" i="6"/>
  <c r="A388" i="6"/>
  <c r="E387" i="6"/>
  <c r="D387" i="6"/>
  <c r="C387" i="6"/>
  <c r="B387" i="6"/>
  <c r="A387" i="6"/>
  <c r="E386" i="6"/>
  <c r="D386" i="6"/>
  <c r="C386" i="6"/>
  <c r="B386" i="6"/>
  <c r="A386" i="6"/>
  <c r="E385" i="6"/>
  <c r="D385" i="6"/>
  <c r="C385" i="6"/>
  <c r="B385" i="6"/>
  <c r="A385" i="6"/>
  <c r="E384" i="6"/>
  <c r="D384" i="6"/>
  <c r="C384" i="6"/>
  <c r="B384" i="6"/>
  <c r="A384" i="6"/>
  <c r="E383" i="6"/>
  <c r="D383" i="6"/>
  <c r="C383" i="6"/>
  <c r="B383" i="6"/>
  <c r="A383" i="6"/>
  <c r="E382" i="6"/>
  <c r="D382" i="6"/>
  <c r="C382" i="6"/>
  <c r="B382" i="6"/>
  <c r="A382" i="6"/>
  <c r="E381" i="6"/>
  <c r="D381" i="6"/>
  <c r="C381" i="6"/>
  <c r="B381" i="6"/>
  <c r="A381" i="6"/>
  <c r="E380" i="6"/>
  <c r="D380" i="6"/>
  <c r="C380" i="6"/>
  <c r="B380" i="6"/>
  <c r="A380" i="6"/>
  <c r="E379" i="6"/>
  <c r="D379" i="6"/>
  <c r="C379" i="6"/>
  <c r="B379" i="6"/>
  <c r="A379" i="6"/>
  <c r="E378" i="6"/>
  <c r="D378" i="6"/>
  <c r="C378" i="6"/>
  <c r="B378" i="6"/>
  <c r="A378" i="6"/>
  <c r="E377" i="6"/>
  <c r="D377" i="6"/>
  <c r="C377" i="6"/>
  <c r="B377" i="6"/>
  <c r="A377" i="6"/>
  <c r="E376" i="6"/>
  <c r="D376" i="6"/>
  <c r="C376" i="6"/>
  <c r="B376" i="6"/>
  <c r="A376" i="6"/>
  <c r="E375" i="6"/>
  <c r="D375" i="6"/>
  <c r="C375" i="6"/>
  <c r="B375" i="6"/>
  <c r="A375" i="6"/>
  <c r="E374" i="6"/>
  <c r="D374" i="6"/>
  <c r="C374" i="6"/>
  <c r="B374" i="6"/>
  <c r="A374" i="6"/>
  <c r="E373" i="6"/>
  <c r="D373" i="6"/>
  <c r="C373" i="6"/>
  <c r="B373" i="6"/>
  <c r="A373" i="6"/>
  <c r="E372" i="6"/>
  <c r="D372" i="6"/>
  <c r="C372" i="6"/>
  <c r="B372" i="6"/>
  <c r="A372" i="6"/>
  <c r="E371" i="6"/>
  <c r="D371" i="6"/>
  <c r="C371" i="6"/>
  <c r="B371" i="6"/>
  <c r="A371" i="6"/>
  <c r="E370" i="6"/>
  <c r="D370" i="6"/>
  <c r="C370" i="6"/>
  <c r="B370" i="6"/>
  <c r="A370" i="6"/>
  <c r="E369" i="6"/>
  <c r="D369" i="6"/>
  <c r="C369" i="6"/>
  <c r="B369" i="6"/>
  <c r="A369" i="6"/>
  <c r="E368" i="6"/>
  <c r="D368" i="6"/>
  <c r="C368" i="6"/>
  <c r="B368" i="6"/>
  <c r="A368" i="6"/>
  <c r="E367" i="6"/>
  <c r="D367" i="6"/>
  <c r="C367" i="6"/>
  <c r="B367" i="6"/>
  <c r="A367" i="6"/>
  <c r="E366" i="6"/>
  <c r="D366" i="6"/>
  <c r="C366" i="6"/>
  <c r="B366" i="6"/>
  <c r="A366" i="6"/>
  <c r="E365" i="6"/>
  <c r="D365" i="6"/>
  <c r="C365" i="6"/>
  <c r="B365" i="6"/>
  <c r="A365" i="6"/>
  <c r="E364" i="6"/>
  <c r="D364" i="6"/>
  <c r="C364" i="6"/>
  <c r="B364" i="6"/>
  <c r="A364" i="6"/>
  <c r="E363" i="6"/>
  <c r="D363" i="6"/>
  <c r="C363" i="6"/>
  <c r="B363" i="6"/>
  <c r="A363" i="6"/>
  <c r="E362" i="6"/>
  <c r="D362" i="6"/>
  <c r="C362" i="6"/>
  <c r="B362" i="6"/>
  <c r="A362" i="6"/>
  <c r="E361" i="6"/>
  <c r="D361" i="6"/>
  <c r="C361" i="6"/>
  <c r="B361" i="6"/>
  <c r="A361" i="6"/>
  <c r="E360" i="6"/>
  <c r="D360" i="6"/>
  <c r="C360" i="6"/>
  <c r="B360" i="6"/>
  <c r="A360" i="6"/>
  <c r="E359" i="6"/>
  <c r="D359" i="6"/>
  <c r="C359" i="6"/>
  <c r="B359" i="6"/>
  <c r="A359" i="6"/>
  <c r="E358" i="6"/>
  <c r="D358" i="6"/>
  <c r="C358" i="6"/>
  <c r="B358" i="6"/>
  <c r="A358" i="6"/>
  <c r="E357" i="6"/>
  <c r="D357" i="6"/>
  <c r="C357" i="6"/>
  <c r="B357" i="6"/>
  <c r="A357" i="6"/>
  <c r="E356" i="6"/>
  <c r="D356" i="6"/>
  <c r="C356" i="6"/>
  <c r="B356" i="6"/>
  <c r="A356" i="6"/>
  <c r="E355" i="6"/>
  <c r="D355" i="6"/>
  <c r="C355" i="6"/>
  <c r="B355" i="6"/>
  <c r="A355" i="6"/>
  <c r="E354" i="6"/>
  <c r="D354" i="6"/>
  <c r="C354" i="6"/>
  <c r="B354" i="6"/>
  <c r="A354" i="6"/>
  <c r="E353" i="6"/>
  <c r="D353" i="6"/>
  <c r="C353" i="6"/>
  <c r="B353" i="6"/>
  <c r="A353" i="6"/>
  <c r="E352" i="6"/>
  <c r="D352" i="6"/>
  <c r="C352" i="6"/>
  <c r="B352" i="6"/>
  <c r="A352" i="6"/>
  <c r="E351" i="6"/>
  <c r="D351" i="6"/>
  <c r="C351" i="6"/>
  <c r="B351" i="6"/>
  <c r="A351" i="6"/>
  <c r="E350" i="6"/>
  <c r="D350" i="6"/>
  <c r="C350" i="6"/>
  <c r="B350" i="6"/>
  <c r="A350" i="6"/>
  <c r="E349" i="6"/>
  <c r="D349" i="6"/>
  <c r="C349" i="6"/>
  <c r="B349" i="6"/>
  <c r="A349" i="6"/>
  <c r="E348" i="6"/>
  <c r="D348" i="6"/>
  <c r="C348" i="6"/>
  <c r="B348" i="6"/>
  <c r="A348" i="6"/>
  <c r="E347" i="6"/>
  <c r="D347" i="6"/>
  <c r="C347" i="6"/>
  <c r="B347" i="6"/>
  <c r="A347" i="6"/>
  <c r="E346" i="6"/>
  <c r="D346" i="6"/>
  <c r="C346" i="6"/>
  <c r="B346" i="6"/>
  <c r="A346" i="6"/>
  <c r="E345" i="6"/>
  <c r="D345" i="6"/>
  <c r="C345" i="6"/>
  <c r="B345" i="6"/>
  <c r="A345" i="6"/>
  <c r="E344" i="6"/>
  <c r="D344" i="6"/>
  <c r="C344" i="6"/>
  <c r="B344" i="6"/>
  <c r="A344" i="6"/>
  <c r="E343" i="6"/>
  <c r="D343" i="6"/>
  <c r="C343" i="6"/>
  <c r="B343" i="6"/>
  <c r="A343" i="6"/>
  <c r="E342" i="6"/>
  <c r="D342" i="6"/>
  <c r="C342" i="6"/>
  <c r="B342" i="6"/>
  <c r="A342" i="6"/>
  <c r="E341" i="6"/>
  <c r="D341" i="6"/>
  <c r="C341" i="6"/>
  <c r="B341" i="6"/>
  <c r="A341" i="6"/>
  <c r="E340" i="6"/>
  <c r="D340" i="6"/>
  <c r="C340" i="6"/>
  <c r="B340" i="6"/>
  <c r="A340" i="6"/>
  <c r="E339" i="6"/>
  <c r="D339" i="6"/>
  <c r="C339" i="6"/>
  <c r="B339" i="6"/>
  <c r="A339" i="6"/>
  <c r="E338" i="6"/>
  <c r="D338" i="6"/>
  <c r="C338" i="6"/>
  <c r="B338" i="6"/>
  <c r="A338" i="6"/>
  <c r="E337" i="6"/>
  <c r="D337" i="6"/>
  <c r="C337" i="6"/>
  <c r="B337" i="6"/>
  <c r="A337" i="6"/>
  <c r="E336" i="6"/>
  <c r="D336" i="6"/>
  <c r="C336" i="6"/>
  <c r="B336" i="6"/>
  <c r="A336" i="6"/>
  <c r="E335" i="6"/>
  <c r="D335" i="6"/>
  <c r="C335" i="6"/>
  <c r="B335" i="6"/>
  <c r="A335" i="6"/>
  <c r="E334" i="6"/>
  <c r="D334" i="6"/>
  <c r="C334" i="6"/>
  <c r="B334" i="6"/>
  <c r="A334" i="6"/>
  <c r="E333" i="6"/>
  <c r="D333" i="6"/>
  <c r="C333" i="6"/>
  <c r="B333" i="6"/>
  <c r="A333" i="6"/>
  <c r="E332" i="6"/>
  <c r="D332" i="6"/>
  <c r="C332" i="6"/>
  <c r="B332" i="6"/>
  <c r="A332" i="6"/>
  <c r="E331" i="6"/>
  <c r="D331" i="6"/>
  <c r="C331" i="6"/>
  <c r="B331" i="6"/>
  <c r="A331" i="6"/>
  <c r="E330" i="6"/>
  <c r="D330" i="6"/>
  <c r="C330" i="6"/>
  <c r="B330" i="6"/>
  <c r="A330" i="6"/>
  <c r="E329" i="6"/>
  <c r="D329" i="6"/>
  <c r="C329" i="6"/>
  <c r="B329" i="6"/>
  <c r="A329" i="6"/>
  <c r="E328" i="6"/>
  <c r="D328" i="6"/>
  <c r="C328" i="6"/>
  <c r="B328" i="6"/>
  <c r="A328" i="6"/>
  <c r="E327" i="6"/>
  <c r="D327" i="6"/>
  <c r="C327" i="6"/>
  <c r="B327" i="6"/>
  <c r="A327" i="6"/>
  <c r="E326" i="6"/>
  <c r="D326" i="6"/>
  <c r="C326" i="6"/>
  <c r="B326" i="6"/>
  <c r="A326" i="6"/>
  <c r="E325" i="6"/>
  <c r="D325" i="6"/>
  <c r="C325" i="6"/>
  <c r="B325" i="6"/>
  <c r="A325" i="6"/>
  <c r="E324" i="6"/>
  <c r="D324" i="6"/>
  <c r="C324" i="6"/>
  <c r="B324" i="6"/>
  <c r="A324" i="6"/>
  <c r="E323" i="6"/>
  <c r="D323" i="6"/>
  <c r="C323" i="6"/>
  <c r="B323" i="6"/>
  <c r="A323" i="6"/>
  <c r="E322" i="6"/>
  <c r="D322" i="6"/>
  <c r="C322" i="6"/>
  <c r="B322" i="6"/>
  <c r="A322" i="6"/>
  <c r="E321" i="6"/>
  <c r="D321" i="6"/>
  <c r="C321" i="6"/>
  <c r="B321" i="6"/>
  <c r="A321" i="6"/>
  <c r="E320" i="6"/>
  <c r="D320" i="6"/>
  <c r="C320" i="6"/>
  <c r="B320" i="6"/>
  <c r="A320" i="6"/>
  <c r="E319" i="6"/>
  <c r="D319" i="6"/>
  <c r="C319" i="6"/>
  <c r="B319" i="6"/>
  <c r="A319" i="6"/>
  <c r="E318" i="6"/>
  <c r="D318" i="6"/>
  <c r="C318" i="6"/>
  <c r="B318" i="6"/>
  <c r="A318" i="6"/>
  <c r="E317" i="6"/>
  <c r="D317" i="6"/>
  <c r="C317" i="6"/>
  <c r="B317" i="6"/>
  <c r="A317" i="6"/>
  <c r="E316" i="6"/>
  <c r="D316" i="6"/>
  <c r="C316" i="6"/>
  <c r="B316" i="6"/>
  <c r="A316" i="6"/>
  <c r="E315" i="6"/>
  <c r="D315" i="6"/>
  <c r="C315" i="6"/>
  <c r="B315" i="6"/>
  <c r="A315" i="6"/>
  <c r="E314" i="6"/>
  <c r="D314" i="6"/>
  <c r="C314" i="6"/>
  <c r="B314" i="6"/>
  <c r="A314" i="6"/>
  <c r="E313" i="6"/>
  <c r="D313" i="6"/>
  <c r="C313" i="6"/>
  <c r="B313" i="6"/>
  <c r="A313" i="6"/>
  <c r="E312" i="6"/>
  <c r="D312" i="6"/>
  <c r="C312" i="6"/>
  <c r="B312" i="6"/>
  <c r="A312" i="6"/>
  <c r="E311" i="6"/>
  <c r="D311" i="6"/>
  <c r="C311" i="6"/>
  <c r="B311" i="6"/>
  <c r="A311" i="6"/>
  <c r="E310" i="6"/>
  <c r="D310" i="6"/>
  <c r="C310" i="6"/>
  <c r="B310" i="6"/>
  <c r="A310" i="6"/>
  <c r="E309" i="6"/>
  <c r="D309" i="6"/>
  <c r="C309" i="6"/>
  <c r="B309" i="6"/>
  <c r="A309" i="6"/>
  <c r="E308" i="6"/>
  <c r="D308" i="6"/>
  <c r="C308" i="6"/>
  <c r="B308" i="6"/>
  <c r="A308" i="6"/>
  <c r="E307" i="6"/>
  <c r="D307" i="6"/>
  <c r="C307" i="6"/>
  <c r="B307" i="6"/>
  <c r="A307" i="6"/>
  <c r="E306" i="6"/>
  <c r="D306" i="6"/>
  <c r="C306" i="6"/>
  <c r="B306" i="6"/>
  <c r="A306" i="6"/>
  <c r="E305" i="6"/>
  <c r="D305" i="6"/>
  <c r="C305" i="6"/>
  <c r="B305" i="6"/>
  <c r="A305" i="6"/>
  <c r="E304" i="6"/>
  <c r="D304" i="6"/>
  <c r="C304" i="6"/>
  <c r="B304" i="6"/>
  <c r="A304" i="6"/>
  <c r="E303" i="6"/>
  <c r="D303" i="6"/>
  <c r="C303" i="6"/>
  <c r="B303" i="6"/>
  <c r="A303" i="6"/>
  <c r="E302" i="6"/>
  <c r="D302" i="6"/>
  <c r="C302" i="6"/>
  <c r="B302" i="6"/>
  <c r="A302" i="6"/>
  <c r="E301" i="6"/>
  <c r="D301" i="6"/>
  <c r="C301" i="6"/>
  <c r="B301" i="6"/>
  <c r="A301" i="6"/>
  <c r="E300" i="6"/>
  <c r="D300" i="6"/>
  <c r="C300" i="6"/>
  <c r="B300" i="6"/>
  <c r="A300" i="6"/>
  <c r="E299" i="6"/>
  <c r="D299" i="6"/>
  <c r="C299" i="6"/>
  <c r="B299" i="6"/>
  <c r="A299" i="6"/>
  <c r="E298" i="6"/>
  <c r="D298" i="6"/>
  <c r="C298" i="6"/>
  <c r="B298" i="6"/>
  <c r="A298" i="6"/>
  <c r="E297" i="6"/>
  <c r="D297" i="6"/>
  <c r="C297" i="6"/>
  <c r="B297" i="6"/>
  <c r="A297" i="6"/>
  <c r="E296" i="6"/>
  <c r="D296" i="6"/>
  <c r="C296" i="6"/>
  <c r="B296" i="6"/>
  <c r="A296" i="6"/>
  <c r="E295" i="6"/>
  <c r="D295" i="6"/>
  <c r="C295" i="6"/>
  <c r="B295" i="6"/>
  <c r="A295" i="6"/>
  <c r="E294" i="6"/>
  <c r="D294" i="6"/>
  <c r="C294" i="6"/>
  <c r="B294" i="6"/>
  <c r="A294" i="6"/>
  <c r="E293" i="6"/>
  <c r="D293" i="6"/>
  <c r="C293" i="6"/>
  <c r="B293" i="6"/>
  <c r="A293" i="6"/>
  <c r="E292" i="6"/>
  <c r="D292" i="6"/>
  <c r="C292" i="6"/>
  <c r="B292" i="6"/>
  <c r="A292" i="6"/>
  <c r="E291" i="6"/>
  <c r="D291" i="6"/>
  <c r="C291" i="6"/>
  <c r="B291" i="6"/>
  <c r="A291" i="6"/>
  <c r="E290" i="6"/>
  <c r="D290" i="6"/>
  <c r="C290" i="6"/>
  <c r="B290" i="6"/>
  <c r="A290" i="6"/>
  <c r="E289" i="6"/>
  <c r="D289" i="6"/>
  <c r="C289" i="6"/>
  <c r="B289" i="6"/>
  <c r="A289" i="6"/>
  <c r="E288" i="6"/>
  <c r="D288" i="6"/>
  <c r="C288" i="6"/>
  <c r="B288" i="6"/>
  <c r="A288" i="6"/>
  <c r="E287" i="6"/>
  <c r="D287" i="6"/>
  <c r="C287" i="6"/>
  <c r="B287" i="6"/>
  <c r="A287" i="6"/>
  <c r="E286" i="6"/>
  <c r="D286" i="6"/>
  <c r="C286" i="6"/>
  <c r="B286" i="6"/>
  <c r="A286" i="6"/>
  <c r="E285" i="6"/>
  <c r="D285" i="6"/>
  <c r="C285" i="6"/>
  <c r="B285" i="6"/>
  <c r="A285" i="6"/>
  <c r="E284" i="6"/>
  <c r="D284" i="6"/>
  <c r="C284" i="6"/>
  <c r="B284" i="6"/>
  <c r="A284" i="6"/>
  <c r="E283" i="6"/>
  <c r="D283" i="6"/>
  <c r="C283" i="6"/>
  <c r="B283" i="6"/>
  <c r="A283" i="6"/>
  <c r="E282" i="6"/>
  <c r="D282" i="6"/>
  <c r="C282" i="6"/>
  <c r="B282" i="6"/>
  <c r="A282" i="6"/>
  <c r="E281" i="6"/>
  <c r="D281" i="6"/>
  <c r="C281" i="6"/>
  <c r="B281" i="6"/>
  <c r="A281" i="6"/>
  <c r="E280" i="6"/>
  <c r="D280" i="6"/>
  <c r="C280" i="6"/>
  <c r="B280" i="6"/>
  <c r="A280" i="6"/>
  <c r="E279" i="6"/>
  <c r="D279" i="6"/>
  <c r="C279" i="6"/>
  <c r="B279" i="6"/>
  <c r="A279" i="6"/>
  <c r="E278" i="6"/>
  <c r="D278" i="6"/>
  <c r="C278" i="6"/>
  <c r="B278" i="6"/>
  <c r="A278" i="6"/>
  <c r="E277" i="6"/>
  <c r="D277" i="6"/>
  <c r="C277" i="6"/>
  <c r="B277" i="6"/>
  <c r="A277" i="6"/>
  <c r="E276" i="6"/>
  <c r="D276" i="6"/>
  <c r="C276" i="6"/>
  <c r="B276" i="6"/>
  <c r="A276" i="6"/>
  <c r="E275" i="6"/>
  <c r="D275" i="6"/>
  <c r="C275" i="6"/>
  <c r="B275" i="6"/>
  <c r="A275" i="6"/>
  <c r="E274" i="6"/>
  <c r="D274" i="6"/>
  <c r="C274" i="6"/>
  <c r="B274" i="6"/>
  <c r="A274" i="6"/>
  <c r="E273" i="6"/>
  <c r="D273" i="6"/>
  <c r="C273" i="6"/>
  <c r="B273" i="6"/>
  <c r="A273" i="6"/>
  <c r="E272" i="6"/>
  <c r="D272" i="6"/>
  <c r="C272" i="6"/>
  <c r="B272" i="6"/>
  <c r="A272" i="6"/>
  <c r="E271" i="6"/>
  <c r="D271" i="6"/>
  <c r="C271" i="6"/>
  <c r="B271" i="6"/>
  <c r="A271" i="6"/>
  <c r="E270" i="6"/>
  <c r="D270" i="6"/>
  <c r="C270" i="6"/>
  <c r="B270" i="6"/>
  <c r="A270" i="6"/>
  <c r="E269" i="6"/>
  <c r="D269" i="6"/>
  <c r="C269" i="6"/>
  <c r="B269" i="6"/>
  <c r="A269" i="6"/>
  <c r="E268" i="6"/>
  <c r="D268" i="6"/>
  <c r="C268" i="6"/>
  <c r="B268" i="6"/>
  <c r="A268" i="6"/>
  <c r="E267" i="6"/>
  <c r="D267" i="6"/>
  <c r="C267" i="6"/>
  <c r="B267" i="6"/>
  <c r="A267" i="6"/>
  <c r="E266" i="6"/>
  <c r="D266" i="6"/>
  <c r="C266" i="6"/>
  <c r="B266" i="6"/>
  <c r="A266" i="6"/>
  <c r="E265" i="6"/>
  <c r="D265" i="6"/>
  <c r="C265" i="6"/>
  <c r="B265" i="6"/>
  <c r="A265" i="6"/>
  <c r="E264" i="6"/>
  <c r="D264" i="6"/>
  <c r="C264" i="6"/>
  <c r="B264" i="6"/>
  <c r="A264" i="6"/>
  <c r="E263" i="6"/>
  <c r="D263" i="6"/>
  <c r="C263" i="6"/>
  <c r="B263" i="6"/>
  <c r="A263" i="6"/>
  <c r="E262" i="6"/>
  <c r="D262" i="6"/>
  <c r="C262" i="6"/>
  <c r="B262" i="6"/>
  <c r="A262" i="6"/>
  <c r="E261" i="6"/>
  <c r="D261" i="6"/>
  <c r="C261" i="6"/>
  <c r="B261" i="6"/>
  <c r="A261" i="6"/>
  <c r="E260" i="6"/>
  <c r="D260" i="6"/>
  <c r="C260" i="6"/>
  <c r="B260" i="6"/>
  <c r="A260" i="6"/>
  <c r="E259" i="6"/>
  <c r="D259" i="6"/>
  <c r="C259" i="6"/>
  <c r="B259" i="6"/>
  <c r="A259" i="6"/>
  <c r="E258" i="6"/>
  <c r="D258" i="6"/>
  <c r="C258" i="6"/>
  <c r="B258" i="6"/>
  <c r="A258" i="6"/>
  <c r="E257" i="6"/>
  <c r="D257" i="6"/>
  <c r="C257" i="6"/>
  <c r="B257" i="6"/>
  <c r="A257" i="6"/>
  <c r="E256" i="6"/>
  <c r="D256" i="6"/>
  <c r="C256" i="6"/>
  <c r="B256" i="6"/>
  <c r="A256" i="6"/>
  <c r="E255" i="6"/>
  <c r="D255" i="6"/>
  <c r="C255" i="6"/>
  <c r="B255" i="6"/>
  <c r="A255" i="6"/>
  <c r="E254" i="6"/>
  <c r="D254" i="6"/>
  <c r="C254" i="6"/>
  <c r="B254" i="6"/>
  <c r="A254" i="6"/>
  <c r="E253" i="6"/>
  <c r="D253" i="6"/>
  <c r="C253" i="6"/>
  <c r="B253" i="6"/>
  <c r="A253" i="6"/>
  <c r="E252" i="6"/>
  <c r="D252" i="6"/>
  <c r="C252" i="6"/>
  <c r="B252" i="6"/>
  <c r="A252" i="6"/>
  <c r="E251" i="6"/>
  <c r="D251" i="6"/>
  <c r="C251" i="6"/>
  <c r="B251" i="6"/>
  <c r="A251" i="6"/>
  <c r="E250" i="6"/>
  <c r="D250" i="6"/>
  <c r="C250" i="6"/>
  <c r="B250" i="6"/>
  <c r="A250" i="6"/>
  <c r="E249" i="6"/>
  <c r="D249" i="6"/>
  <c r="C249" i="6"/>
  <c r="B249" i="6"/>
  <c r="A249" i="6"/>
  <c r="E248" i="6"/>
  <c r="D248" i="6"/>
  <c r="C248" i="6"/>
  <c r="B248" i="6"/>
  <c r="A248" i="6"/>
  <c r="E247" i="6"/>
  <c r="D247" i="6"/>
  <c r="C247" i="6"/>
  <c r="B247" i="6"/>
  <c r="A247" i="6"/>
  <c r="E246" i="6"/>
  <c r="D246" i="6"/>
  <c r="C246" i="6"/>
  <c r="B246" i="6"/>
  <c r="A246" i="6"/>
  <c r="E245" i="6"/>
  <c r="D245" i="6"/>
  <c r="C245" i="6"/>
  <c r="B245" i="6"/>
  <c r="A245" i="6"/>
  <c r="E244" i="6"/>
  <c r="D244" i="6"/>
  <c r="C244" i="6"/>
  <c r="B244" i="6"/>
  <c r="A244" i="6"/>
  <c r="E243" i="6"/>
  <c r="D243" i="6"/>
  <c r="C243" i="6"/>
  <c r="B243" i="6"/>
  <c r="A243" i="6"/>
  <c r="E242" i="6"/>
  <c r="D242" i="6"/>
  <c r="C242" i="6"/>
  <c r="B242" i="6"/>
  <c r="A242" i="6"/>
  <c r="E241" i="6"/>
  <c r="D241" i="6"/>
  <c r="C241" i="6"/>
  <c r="B241" i="6"/>
  <c r="A241" i="6"/>
  <c r="E240" i="6"/>
  <c r="D240" i="6"/>
  <c r="C240" i="6"/>
  <c r="B240" i="6"/>
  <c r="A240" i="6"/>
  <c r="E239" i="6"/>
  <c r="D239" i="6"/>
  <c r="C239" i="6"/>
  <c r="B239" i="6"/>
  <c r="A239" i="6"/>
  <c r="E238" i="6"/>
  <c r="D238" i="6"/>
  <c r="C238" i="6"/>
  <c r="B238" i="6"/>
  <c r="A238" i="6"/>
  <c r="E237" i="6"/>
  <c r="D237" i="6"/>
  <c r="C237" i="6"/>
  <c r="B237" i="6"/>
  <c r="A237" i="6"/>
  <c r="E236" i="6"/>
  <c r="D236" i="6"/>
  <c r="C236" i="6"/>
  <c r="B236" i="6"/>
  <c r="A236" i="6"/>
  <c r="E235" i="6"/>
  <c r="D235" i="6"/>
  <c r="C235" i="6"/>
  <c r="B235" i="6"/>
  <c r="A235" i="6"/>
  <c r="E234" i="6"/>
  <c r="D234" i="6"/>
  <c r="C234" i="6"/>
  <c r="B234" i="6"/>
  <c r="A234" i="6"/>
  <c r="E233" i="6"/>
  <c r="D233" i="6"/>
  <c r="C233" i="6"/>
  <c r="B233" i="6"/>
  <c r="A233" i="6"/>
  <c r="E232" i="6"/>
  <c r="D232" i="6"/>
  <c r="C232" i="6"/>
  <c r="B232" i="6"/>
  <c r="A232" i="6"/>
  <c r="E231" i="6"/>
  <c r="D231" i="6"/>
  <c r="C231" i="6"/>
  <c r="B231" i="6"/>
  <c r="A231" i="6"/>
  <c r="E230" i="6"/>
  <c r="D230" i="6"/>
  <c r="C230" i="6"/>
  <c r="B230" i="6"/>
  <c r="A230" i="6"/>
  <c r="E229" i="6"/>
  <c r="D229" i="6"/>
  <c r="C229" i="6"/>
  <c r="B229" i="6"/>
  <c r="A229" i="6"/>
  <c r="E228" i="6"/>
  <c r="D228" i="6"/>
  <c r="C228" i="6"/>
  <c r="B228" i="6"/>
  <c r="A228" i="6"/>
  <c r="E227" i="6"/>
  <c r="D227" i="6"/>
  <c r="C227" i="6"/>
  <c r="B227" i="6"/>
  <c r="A227" i="6"/>
  <c r="E226" i="6"/>
  <c r="D226" i="6"/>
  <c r="C226" i="6"/>
  <c r="B226" i="6"/>
  <c r="A226" i="6"/>
  <c r="E225" i="6"/>
  <c r="D225" i="6"/>
  <c r="C225" i="6"/>
  <c r="B225" i="6"/>
  <c r="A225" i="6"/>
  <c r="E224" i="6"/>
  <c r="D224" i="6"/>
  <c r="C224" i="6"/>
  <c r="B224" i="6"/>
  <c r="A224" i="6"/>
  <c r="E223" i="6"/>
  <c r="D223" i="6"/>
  <c r="C223" i="6"/>
  <c r="B223" i="6"/>
  <c r="A223" i="6"/>
  <c r="E222" i="6"/>
  <c r="D222" i="6"/>
  <c r="C222" i="6"/>
  <c r="B222" i="6"/>
  <c r="A222" i="6"/>
  <c r="E221" i="6"/>
  <c r="D221" i="6"/>
  <c r="C221" i="6"/>
  <c r="B221" i="6"/>
  <c r="A221" i="6"/>
  <c r="E220" i="6"/>
  <c r="D220" i="6"/>
  <c r="C220" i="6"/>
  <c r="B220" i="6"/>
  <c r="A220" i="6"/>
  <c r="E219" i="6"/>
  <c r="D219" i="6"/>
  <c r="C219" i="6"/>
  <c r="B219" i="6"/>
  <c r="A219" i="6"/>
  <c r="E218" i="6"/>
  <c r="D218" i="6"/>
  <c r="C218" i="6"/>
  <c r="B218" i="6"/>
  <c r="A218" i="6"/>
  <c r="E217" i="6"/>
  <c r="D217" i="6"/>
  <c r="C217" i="6"/>
  <c r="B217" i="6"/>
  <c r="A217" i="6"/>
  <c r="E216" i="6"/>
  <c r="D216" i="6"/>
  <c r="C216" i="6"/>
  <c r="B216" i="6"/>
  <c r="A216" i="6"/>
  <c r="E215" i="6"/>
  <c r="D215" i="6"/>
  <c r="C215" i="6"/>
  <c r="B215" i="6"/>
  <c r="A215" i="6"/>
  <c r="E214" i="6"/>
  <c r="D214" i="6"/>
  <c r="C214" i="6"/>
  <c r="B214" i="6"/>
  <c r="A214" i="6"/>
  <c r="E213" i="6"/>
  <c r="D213" i="6"/>
  <c r="C213" i="6"/>
  <c r="B213" i="6"/>
  <c r="A213" i="6"/>
  <c r="E212" i="6"/>
  <c r="D212" i="6"/>
  <c r="C212" i="6"/>
  <c r="B212" i="6"/>
  <c r="A212" i="6"/>
  <c r="E211" i="6"/>
  <c r="D211" i="6"/>
  <c r="C211" i="6"/>
  <c r="B211" i="6"/>
  <c r="A211" i="6"/>
  <c r="E210" i="6"/>
  <c r="D210" i="6"/>
  <c r="C210" i="6"/>
  <c r="B210" i="6"/>
  <c r="A210" i="6"/>
  <c r="E209" i="6"/>
  <c r="D209" i="6"/>
  <c r="C209" i="6"/>
  <c r="B209" i="6"/>
  <c r="A209" i="6"/>
  <c r="E208" i="6"/>
  <c r="D208" i="6"/>
  <c r="C208" i="6"/>
  <c r="B208" i="6"/>
  <c r="A208" i="6"/>
  <c r="E207" i="6"/>
  <c r="D207" i="6"/>
  <c r="C207" i="6"/>
  <c r="B207" i="6"/>
  <c r="A207" i="6"/>
  <c r="E206" i="6"/>
  <c r="D206" i="6"/>
  <c r="C206" i="6"/>
  <c r="B206" i="6"/>
  <c r="A206" i="6"/>
  <c r="E205" i="6"/>
  <c r="D205" i="6"/>
  <c r="C205" i="6"/>
  <c r="B205" i="6"/>
  <c r="A205" i="6"/>
  <c r="E204" i="6"/>
  <c r="D204" i="6"/>
  <c r="C204" i="6"/>
  <c r="B204" i="6"/>
  <c r="A204" i="6"/>
  <c r="E203" i="6"/>
  <c r="D203" i="6"/>
  <c r="C203" i="6"/>
  <c r="B203" i="6"/>
  <c r="A203" i="6"/>
  <c r="E202" i="6"/>
  <c r="D202" i="6"/>
  <c r="C202" i="6"/>
  <c r="B202" i="6"/>
  <c r="A202" i="6"/>
  <c r="E201" i="6"/>
  <c r="D201" i="6"/>
  <c r="C201" i="6"/>
  <c r="B201" i="6"/>
  <c r="A201" i="6"/>
  <c r="E200" i="6"/>
  <c r="D200" i="6"/>
  <c r="C200" i="6"/>
  <c r="B200" i="6"/>
  <c r="A200" i="6"/>
  <c r="E199" i="6"/>
  <c r="D199" i="6"/>
  <c r="C199" i="6"/>
  <c r="B199" i="6"/>
  <c r="A199" i="6"/>
  <c r="E198" i="6"/>
  <c r="D198" i="6"/>
  <c r="C198" i="6"/>
  <c r="B198" i="6"/>
  <c r="A198" i="6"/>
  <c r="E197" i="6"/>
  <c r="D197" i="6"/>
  <c r="C197" i="6"/>
  <c r="B197" i="6"/>
  <c r="A197" i="6"/>
  <c r="E196" i="6"/>
  <c r="D196" i="6"/>
  <c r="C196" i="6"/>
  <c r="B196" i="6"/>
  <c r="A196" i="6"/>
  <c r="E195" i="6"/>
  <c r="D195" i="6"/>
  <c r="C195" i="6"/>
  <c r="B195" i="6"/>
  <c r="A195" i="6"/>
  <c r="E194" i="6"/>
  <c r="D194" i="6"/>
  <c r="C194" i="6"/>
  <c r="B194" i="6"/>
  <c r="A194" i="6"/>
  <c r="E193" i="6"/>
  <c r="D193" i="6"/>
  <c r="C193" i="6"/>
  <c r="B193" i="6"/>
  <c r="A193" i="6"/>
  <c r="E192" i="6"/>
  <c r="D192" i="6"/>
  <c r="C192" i="6"/>
  <c r="B192" i="6"/>
  <c r="A192" i="6"/>
  <c r="E191" i="6"/>
  <c r="D191" i="6"/>
  <c r="C191" i="6"/>
  <c r="B191" i="6"/>
  <c r="A191" i="6"/>
  <c r="E190" i="6"/>
  <c r="D190" i="6"/>
  <c r="C190" i="6"/>
  <c r="B190" i="6"/>
  <c r="A190" i="6"/>
  <c r="E189" i="6"/>
  <c r="D189" i="6"/>
  <c r="C189" i="6"/>
  <c r="B189" i="6"/>
  <c r="A189" i="6"/>
  <c r="E188" i="6"/>
  <c r="D188" i="6"/>
  <c r="C188" i="6"/>
  <c r="B188" i="6"/>
  <c r="A188" i="6"/>
  <c r="E187" i="6"/>
  <c r="D187" i="6"/>
  <c r="C187" i="6"/>
  <c r="B187" i="6"/>
  <c r="A187" i="6"/>
  <c r="E186" i="6"/>
  <c r="D186" i="6"/>
  <c r="C186" i="6"/>
  <c r="B186" i="6"/>
  <c r="A186" i="6"/>
  <c r="E185" i="6"/>
  <c r="D185" i="6"/>
  <c r="C185" i="6"/>
  <c r="B185" i="6"/>
  <c r="A185" i="6"/>
  <c r="E184" i="6"/>
  <c r="D184" i="6"/>
  <c r="C184" i="6"/>
  <c r="B184" i="6"/>
  <c r="A184" i="6"/>
  <c r="E183" i="6"/>
  <c r="D183" i="6"/>
  <c r="C183" i="6"/>
  <c r="B183" i="6"/>
  <c r="A183" i="6"/>
  <c r="E182" i="6"/>
  <c r="D182" i="6"/>
  <c r="C182" i="6"/>
  <c r="B182" i="6"/>
  <c r="A182" i="6"/>
  <c r="E181" i="6"/>
  <c r="D181" i="6"/>
  <c r="C181" i="6"/>
  <c r="B181" i="6"/>
  <c r="A181" i="6"/>
  <c r="E180" i="6"/>
  <c r="D180" i="6"/>
  <c r="C180" i="6"/>
  <c r="B180" i="6"/>
  <c r="A180" i="6"/>
  <c r="E179" i="6"/>
  <c r="D179" i="6"/>
  <c r="C179" i="6"/>
  <c r="B179" i="6"/>
  <c r="A179" i="6"/>
  <c r="E178" i="6"/>
  <c r="D178" i="6"/>
  <c r="C178" i="6"/>
  <c r="B178" i="6"/>
  <c r="A178" i="6"/>
  <c r="E177" i="6"/>
  <c r="D177" i="6"/>
  <c r="C177" i="6"/>
  <c r="B177" i="6"/>
  <c r="A177" i="6"/>
  <c r="E176" i="6"/>
  <c r="D176" i="6"/>
  <c r="C176" i="6"/>
  <c r="B176" i="6"/>
  <c r="A176" i="6"/>
  <c r="E175" i="6"/>
  <c r="D175" i="6"/>
  <c r="C175" i="6"/>
  <c r="B175" i="6"/>
  <c r="A175" i="6"/>
  <c r="E174" i="6"/>
  <c r="D174" i="6"/>
  <c r="C174" i="6"/>
  <c r="B174" i="6"/>
  <c r="A174" i="6"/>
  <c r="E173" i="6"/>
  <c r="D173" i="6"/>
  <c r="C173" i="6"/>
  <c r="B173" i="6"/>
  <c r="A173" i="6"/>
  <c r="E172" i="6"/>
  <c r="D172" i="6"/>
  <c r="C172" i="6"/>
  <c r="B172" i="6"/>
  <c r="A172" i="6"/>
  <c r="E171" i="6"/>
  <c r="D171" i="6"/>
  <c r="C171" i="6"/>
  <c r="B171" i="6"/>
  <c r="A171" i="6"/>
  <c r="E170" i="6"/>
  <c r="D170" i="6"/>
  <c r="C170" i="6"/>
  <c r="B170" i="6"/>
  <c r="A170" i="6"/>
  <c r="E169" i="6"/>
  <c r="D169" i="6"/>
  <c r="C169" i="6"/>
  <c r="B169" i="6"/>
  <c r="A169" i="6"/>
  <c r="E168" i="6"/>
  <c r="D168" i="6"/>
  <c r="C168" i="6"/>
  <c r="B168" i="6"/>
  <c r="A168" i="6"/>
  <c r="E167" i="6"/>
  <c r="D167" i="6"/>
  <c r="C167" i="6"/>
  <c r="B167" i="6"/>
  <c r="A167" i="6"/>
  <c r="E166" i="6"/>
  <c r="D166" i="6"/>
  <c r="C166" i="6"/>
  <c r="B166" i="6"/>
  <c r="A166" i="6"/>
  <c r="E165" i="6"/>
  <c r="D165" i="6"/>
  <c r="C165" i="6"/>
  <c r="B165" i="6"/>
  <c r="A165" i="6"/>
  <c r="E164" i="6"/>
  <c r="D164" i="6"/>
  <c r="C164" i="6"/>
  <c r="B164" i="6"/>
  <c r="A164" i="6"/>
  <c r="E163" i="6"/>
  <c r="D163" i="6"/>
  <c r="C163" i="6"/>
  <c r="B163" i="6"/>
  <c r="A163" i="6"/>
  <c r="E162" i="6"/>
  <c r="D162" i="6"/>
  <c r="C162" i="6"/>
  <c r="B162" i="6"/>
  <c r="A162" i="6"/>
  <c r="E161" i="6"/>
  <c r="D161" i="6"/>
  <c r="C161" i="6"/>
  <c r="B161" i="6"/>
  <c r="A161" i="6"/>
  <c r="E160" i="6"/>
  <c r="D160" i="6"/>
  <c r="C160" i="6"/>
  <c r="B160" i="6"/>
  <c r="A160" i="6"/>
  <c r="E159" i="6"/>
  <c r="D159" i="6"/>
  <c r="C159" i="6"/>
  <c r="B159" i="6"/>
  <c r="A159" i="6"/>
  <c r="E158" i="6"/>
  <c r="D158" i="6"/>
  <c r="C158" i="6"/>
  <c r="B158" i="6"/>
  <c r="A158" i="6"/>
  <c r="E157" i="6"/>
  <c r="D157" i="6"/>
  <c r="C157" i="6"/>
  <c r="B157" i="6"/>
  <c r="A157" i="6"/>
  <c r="E156" i="6"/>
  <c r="D156" i="6"/>
  <c r="C156" i="6"/>
  <c r="B156" i="6"/>
  <c r="A156" i="6"/>
  <c r="E155" i="6"/>
  <c r="D155" i="6"/>
  <c r="C155" i="6"/>
  <c r="B155" i="6"/>
  <c r="A155" i="6"/>
  <c r="E154" i="6"/>
  <c r="D154" i="6"/>
  <c r="C154" i="6"/>
  <c r="B154" i="6"/>
  <c r="A154" i="6"/>
  <c r="E153" i="6"/>
  <c r="D153" i="6"/>
  <c r="C153" i="6"/>
  <c r="B153" i="6"/>
  <c r="A153" i="6"/>
  <c r="E152" i="6"/>
  <c r="D152" i="6"/>
  <c r="C152" i="6"/>
  <c r="B152" i="6"/>
  <c r="A152" i="6"/>
  <c r="E151" i="6"/>
  <c r="D151" i="6"/>
  <c r="C151" i="6"/>
  <c r="B151" i="6"/>
  <c r="A151" i="6"/>
  <c r="E150" i="6"/>
  <c r="D150" i="6"/>
  <c r="C150" i="6"/>
  <c r="B150" i="6"/>
  <c r="A150" i="6"/>
  <c r="E149" i="6"/>
  <c r="D149" i="6"/>
  <c r="C149" i="6"/>
  <c r="B149" i="6"/>
  <c r="A149" i="6"/>
  <c r="E148" i="6"/>
  <c r="D148" i="6"/>
  <c r="C148" i="6"/>
  <c r="B148" i="6"/>
  <c r="A148" i="6"/>
  <c r="E147" i="6"/>
  <c r="D147" i="6"/>
  <c r="C147" i="6"/>
  <c r="B147" i="6"/>
  <c r="A147" i="6"/>
  <c r="E146" i="6"/>
  <c r="D146" i="6"/>
  <c r="C146" i="6"/>
  <c r="B146" i="6"/>
  <c r="A146" i="6"/>
  <c r="E145" i="6"/>
  <c r="D145" i="6"/>
  <c r="C145" i="6"/>
  <c r="B145" i="6"/>
  <c r="A145" i="6"/>
  <c r="E144" i="6"/>
  <c r="D144" i="6"/>
  <c r="C144" i="6"/>
  <c r="B144" i="6"/>
  <c r="A144" i="6"/>
  <c r="E143" i="6"/>
  <c r="D143" i="6"/>
  <c r="C143" i="6"/>
  <c r="B143" i="6"/>
  <c r="A143" i="6"/>
  <c r="E142" i="6"/>
  <c r="D142" i="6"/>
  <c r="C142" i="6"/>
  <c r="B142" i="6"/>
  <c r="A142" i="6"/>
  <c r="E141" i="6"/>
  <c r="D141" i="6"/>
  <c r="C141" i="6"/>
  <c r="B141" i="6"/>
  <c r="A141" i="6"/>
  <c r="E140" i="6"/>
  <c r="D140" i="6"/>
  <c r="C140" i="6"/>
  <c r="B140" i="6"/>
  <c r="A140" i="6"/>
  <c r="E139" i="6"/>
  <c r="D139" i="6"/>
  <c r="C139" i="6"/>
  <c r="B139" i="6"/>
  <c r="A139" i="6"/>
  <c r="E138" i="6"/>
  <c r="D138" i="6"/>
  <c r="C138" i="6"/>
  <c r="B138" i="6"/>
  <c r="A138" i="6"/>
  <c r="E137" i="6"/>
  <c r="D137" i="6"/>
  <c r="C137" i="6"/>
  <c r="B137" i="6"/>
  <c r="A137" i="6"/>
  <c r="E136" i="6"/>
  <c r="D136" i="6"/>
  <c r="C136" i="6"/>
  <c r="B136" i="6"/>
  <c r="A136" i="6"/>
  <c r="E135" i="6"/>
  <c r="D135" i="6"/>
  <c r="C135" i="6"/>
  <c r="B135" i="6"/>
  <c r="A135" i="6"/>
  <c r="E134" i="6"/>
  <c r="D134" i="6"/>
  <c r="C134" i="6"/>
  <c r="B134" i="6"/>
  <c r="A134" i="6"/>
  <c r="E133" i="6"/>
  <c r="D133" i="6"/>
  <c r="C133" i="6"/>
  <c r="B133" i="6"/>
  <c r="A133" i="6"/>
  <c r="E132" i="6"/>
  <c r="D132" i="6"/>
  <c r="C132" i="6"/>
  <c r="B132" i="6"/>
  <c r="A132" i="6"/>
  <c r="E131" i="6"/>
  <c r="D131" i="6"/>
  <c r="C131" i="6"/>
  <c r="B131" i="6"/>
  <c r="A131" i="6"/>
  <c r="E130" i="6"/>
  <c r="D130" i="6"/>
  <c r="C130" i="6"/>
  <c r="B130" i="6"/>
  <c r="A130" i="6"/>
  <c r="E129" i="6"/>
  <c r="D129" i="6"/>
  <c r="C129" i="6"/>
  <c r="B129" i="6"/>
  <c r="A129" i="6"/>
  <c r="E128" i="6"/>
  <c r="D128" i="6"/>
  <c r="C128" i="6"/>
  <c r="B128" i="6"/>
  <c r="A128" i="6"/>
  <c r="E127" i="6"/>
  <c r="D127" i="6"/>
  <c r="C127" i="6"/>
  <c r="B127" i="6"/>
  <c r="A127" i="6"/>
  <c r="E126" i="6"/>
  <c r="D126" i="6"/>
  <c r="C126" i="6"/>
  <c r="B126" i="6"/>
  <c r="A126" i="6"/>
  <c r="E125" i="6"/>
  <c r="D125" i="6"/>
  <c r="C125" i="6"/>
  <c r="B125" i="6"/>
  <c r="A125" i="6"/>
  <c r="E124" i="6"/>
  <c r="D124" i="6"/>
  <c r="C124" i="6"/>
  <c r="B124" i="6"/>
  <c r="A124" i="6"/>
  <c r="E123" i="6"/>
  <c r="D123" i="6"/>
  <c r="C123" i="6"/>
  <c r="B123" i="6"/>
  <c r="A123" i="6"/>
  <c r="E122" i="6"/>
  <c r="D122" i="6"/>
  <c r="C122" i="6"/>
  <c r="B122" i="6"/>
  <c r="A122" i="6"/>
  <c r="E121" i="6"/>
  <c r="D121" i="6"/>
  <c r="C121" i="6"/>
  <c r="B121" i="6"/>
  <c r="A121" i="6"/>
  <c r="E120" i="6"/>
  <c r="D120" i="6"/>
  <c r="C120" i="6"/>
  <c r="B120" i="6"/>
  <c r="A120" i="6"/>
  <c r="E119" i="6"/>
  <c r="D119" i="6"/>
  <c r="C119" i="6"/>
  <c r="B119" i="6"/>
  <c r="A119" i="6"/>
  <c r="E118" i="6"/>
  <c r="D118" i="6"/>
  <c r="C118" i="6"/>
  <c r="B118" i="6"/>
  <c r="A118" i="6"/>
  <c r="E117" i="6"/>
  <c r="D117" i="6"/>
  <c r="C117" i="6"/>
  <c r="B117" i="6"/>
  <c r="A117" i="6"/>
  <c r="E116" i="6"/>
  <c r="D116" i="6"/>
  <c r="C116" i="6"/>
  <c r="B116" i="6"/>
  <c r="A116" i="6"/>
  <c r="E115" i="6"/>
  <c r="D115" i="6"/>
  <c r="C115" i="6"/>
  <c r="B115" i="6"/>
  <c r="A115" i="6"/>
  <c r="E114" i="6"/>
  <c r="D114" i="6"/>
  <c r="C114" i="6"/>
  <c r="B114" i="6"/>
  <c r="A114" i="6"/>
  <c r="E113" i="6"/>
  <c r="D113" i="6"/>
  <c r="C113" i="6"/>
  <c r="B113" i="6"/>
  <c r="A113" i="6"/>
  <c r="E112" i="6"/>
  <c r="D112" i="6"/>
  <c r="C112" i="6"/>
  <c r="B112" i="6"/>
  <c r="A112" i="6"/>
  <c r="E111" i="6"/>
  <c r="D111" i="6"/>
  <c r="C111" i="6"/>
  <c r="B111" i="6"/>
  <c r="A111" i="6"/>
  <c r="E110" i="6"/>
  <c r="D110" i="6"/>
  <c r="C110" i="6"/>
  <c r="B110" i="6"/>
  <c r="A110" i="6"/>
  <c r="E109" i="6"/>
  <c r="D109" i="6"/>
  <c r="C109" i="6"/>
  <c r="B109" i="6"/>
  <c r="A109" i="6"/>
  <c r="E108" i="6"/>
  <c r="D108" i="6"/>
  <c r="C108" i="6"/>
  <c r="B108" i="6"/>
  <c r="A108" i="6"/>
  <c r="E107" i="6"/>
  <c r="D107" i="6"/>
  <c r="C107" i="6"/>
  <c r="B107" i="6"/>
  <c r="A107" i="6"/>
  <c r="E106" i="6"/>
  <c r="D106" i="6"/>
  <c r="C106" i="6"/>
  <c r="B106" i="6"/>
  <c r="A106" i="6"/>
  <c r="E105" i="6"/>
  <c r="D105" i="6"/>
  <c r="C105" i="6"/>
  <c r="B105" i="6"/>
  <c r="A105" i="6"/>
  <c r="E104" i="6"/>
  <c r="D104" i="6"/>
  <c r="C104" i="6"/>
  <c r="B104" i="6"/>
  <c r="A104" i="6"/>
  <c r="E103" i="6"/>
  <c r="D103" i="6"/>
  <c r="C103" i="6"/>
  <c r="B103" i="6"/>
  <c r="A103" i="6"/>
  <c r="E102" i="6"/>
  <c r="D102" i="6"/>
  <c r="C102" i="6"/>
  <c r="B102" i="6"/>
  <c r="A102" i="6"/>
  <c r="E101" i="6"/>
  <c r="D101" i="6"/>
  <c r="C101" i="6"/>
  <c r="B101" i="6"/>
  <c r="A101" i="6"/>
  <c r="E100" i="6"/>
  <c r="D100" i="6"/>
  <c r="C100" i="6"/>
  <c r="B100" i="6"/>
  <c r="A100" i="6"/>
  <c r="E99" i="6"/>
  <c r="D99" i="6"/>
  <c r="C99" i="6"/>
  <c r="B99" i="6"/>
  <c r="A99" i="6"/>
  <c r="E98" i="6"/>
  <c r="D98" i="6"/>
  <c r="C98" i="6"/>
  <c r="B98" i="6"/>
  <c r="A98" i="6"/>
  <c r="E97" i="6"/>
  <c r="D97" i="6"/>
  <c r="C97" i="6"/>
  <c r="B97" i="6"/>
  <c r="A97" i="6"/>
  <c r="E96" i="6"/>
  <c r="D96" i="6"/>
  <c r="C96" i="6"/>
  <c r="B96" i="6"/>
  <c r="A96" i="6"/>
  <c r="E95" i="6"/>
  <c r="D95" i="6"/>
  <c r="C95" i="6"/>
  <c r="B95" i="6"/>
  <c r="A95" i="6"/>
  <c r="E94" i="6"/>
  <c r="D94" i="6"/>
  <c r="C94" i="6"/>
  <c r="B94" i="6"/>
  <c r="A94" i="6"/>
  <c r="E93" i="6"/>
  <c r="D93" i="6"/>
  <c r="C93" i="6"/>
  <c r="B93" i="6"/>
  <c r="A93" i="6"/>
  <c r="E92" i="6"/>
  <c r="D92" i="6"/>
  <c r="C92" i="6"/>
  <c r="B92" i="6"/>
  <c r="A92" i="6"/>
  <c r="E91" i="6"/>
  <c r="D91" i="6"/>
  <c r="C91" i="6"/>
  <c r="B91" i="6"/>
  <c r="A91" i="6"/>
  <c r="E90" i="6"/>
  <c r="D90" i="6"/>
  <c r="C90" i="6"/>
  <c r="B90" i="6"/>
  <c r="A90" i="6"/>
  <c r="E89" i="6"/>
  <c r="D89" i="6"/>
  <c r="C89" i="6"/>
  <c r="B89" i="6"/>
  <c r="A89" i="6"/>
  <c r="E88" i="6"/>
  <c r="D88" i="6"/>
  <c r="C88" i="6"/>
  <c r="B88" i="6"/>
  <c r="A88" i="6"/>
  <c r="E87" i="6"/>
  <c r="D87" i="6"/>
  <c r="C87" i="6"/>
  <c r="B87" i="6"/>
  <c r="A87" i="6"/>
  <c r="E86" i="6"/>
  <c r="D86" i="6"/>
  <c r="C86" i="6"/>
  <c r="B86" i="6"/>
  <c r="A86" i="6"/>
  <c r="E85" i="6"/>
  <c r="D85" i="6"/>
  <c r="C85" i="6"/>
  <c r="B85" i="6"/>
  <c r="A85" i="6"/>
  <c r="E84" i="6"/>
  <c r="D84" i="6"/>
  <c r="C84" i="6"/>
  <c r="B84" i="6"/>
  <c r="A84" i="6"/>
  <c r="E83" i="6"/>
  <c r="D83" i="6"/>
  <c r="C83" i="6"/>
  <c r="B83" i="6"/>
  <c r="A83" i="6"/>
  <c r="E82" i="6"/>
  <c r="D82" i="6"/>
  <c r="C82" i="6"/>
  <c r="B82" i="6"/>
  <c r="A82" i="6"/>
  <c r="E81" i="6"/>
  <c r="D81" i="6"/>
  <c r="C81" i="6"/>
  <c r="B81" i="6"/>
  <c r="A81" i="6"/>
  <c r="E80" i="6"/>
  <c r="D80" i="6"/>
  <c r="C80" i="6"/>
  <c r="B80" i="6"/>
  <c r="A80" i="6"/>
  <c r="E79" i="6"/>
  <c r="D79" i="6"/>
  <c r="C79" i="6"/>
  <c r="B79" i="6"/>
  <c r="A79" i="6"/>
  <c r="E78" i="6"/>
  <c r="D78" i="6"/>
  <c r="C78" i="6"/>
  <c r="B78" i="6"/>
  <c r="A78" i="6"/>
  <c r="E77" i="6"/>
  <c r="D77" i="6"/>
  <c r="C77" i="6"/>
  <c r="B77" i="6"/>
  <c r="A77" i="6"/>
  <c r="E76" i="6"/>
  <c r="D76" i="6"/>
  <c r="C76" i="6"/>
  <c r="B76" i="6"/>
  <c r="A76" i="6"/>
  <c r="E75" i="6"/>
  <c r="D75" i="6"/>
  <c r="C75" i="6"/>
  <c r="B75" i="6"/>
  <c r="A75" i="6"/>
  <c r="E74" i="6"/>
  <c r="D74" i="6"/>
  <c r="C74" i="6"/>
  <c r="B74" i="6"/>
  <c r="A74" i="6"/>
  <c r="E73" i="6"/>
  <c r="D73" i="6"/>
  <c r="C73" i="6"/>
  <c r="B73" i="6"/>
  <c r="A73" i="6"/>
  <c r="E72" i="6"/>
  <c r="D72" i="6"/>
  <c r="C72" i="6"/>
  <c r="B72" i="6"/>
  <c r="A72" i="6"/>
  <c r="E71" i="6"/>
  <c r="D71" i="6"/>
  <c r="C71" i="6"/>
  <c r="B71" i="6"/>
  <c r="A71" i="6"/>
  <c r="E70" i="6"/>
  <c r="D70" i="6"/>
  <c r="C70" i="6"/>
  <c r="B70" i="6"/>
  <c r="A70" i="6"/>
  <c r="E69" i="6"/>
  <c r="D69" i="6"/>
  <c r="C69" i="6"/>
  <c r="B69" i="6"/>
  <c r="A69" i="6"/>
  <c r="E68" i="6"/>
  <c r="D68" i="6"/>
  <c r="C68" i="6"/>
  <c r="B68" i="6"/>
  <c r="A68" i="6"/>
  <c r="E67" i="6"/>
  <c r="D67" i="6"/>
  <c r="C67" i="6"/>
  <c r="B67" i="6"/>
  <c r="A67" i="6"/>
  <c r="E66" i="6"/>
  <c r="D66" i="6"/>
  <c r="C66" i="6"/>
  <c r="B66" i="6"/>
  <c r="A66" i="6"/>
  <c r="E65" i="6"/>
  <c r="D65" i="6"/>
  <c r="C65" i="6"/>
  <c r="B65" i="6"/>
  <c r="A65" i="6"/>
  <c r="E64" i="6"/>
  <c r="D64" i="6"/>
  <c r="C64" i="6"/>
  <c r="B64" i="6"/>
  <c r="A64" i="6"/>
  <c r="E63" i="6"/>
  <c r="D63" i="6"/>
  <c r="C63" i="6"/>
  <c r="B63" i="6"/>
  <c r="A63" i="6"/>
  <c r="E62" i="6"/>
  <c r="D62" i="6"/>
  <c r="C62" i="6"/>
  <c r="B62" i="6"/>
  <c r="A62" i="6"/>
  <c r="E61" i="6"/>
  <c r="D61" i="6"/>
  <c r="C61" i="6"/>
  <c r="B61" i="6"/>
  <c r="A61" i="6"/>
  <c r="E60" i="6"/>
  <c r="D60" i="6"/>
  <c r="C60" i="6"/>
  <c r="B60" i="6"/>
  <c r="A60" i="6"/>
  <c r="E59" i="6"/>
  <c r="D59" i="6"/>
  <c r="C59" i="6"/>
  <c r="B59" i="6"/>
  <c r="A59" i="6"/>
  <c r="E58" i="6"/>
  <c r="D58" i="6"/>
  <c r="C58" i="6"/>
  <c r="B58" i="6"/>
  <c r="A58" i="6"/>
  <c r="E57" i="6"/>
  <c r="D57" i="6"/>
  <c r="C57" i="6"/>
  <c r="B57" i="6"/>
  <c r="A57" i="6"/>
  <c r="E56" i="6"/>
  <c r="D56" i="6"/>
  <c r="C56" i="6"/>
  <c r="B56" i="6"/>
  <c r="A56" i="6"/>
  <c r="E55" i="6"/>
  <c r="D55" i="6"/>
  <c r="C55" i="6"/>
  <c r="B55" i="6"/>
  <c r="A55" i="6"/>
  <c r="E54" i="6"/>
  <c r="D54" i="6"/>
  <c r="C54" i="6"/>
  <c r="B54" i="6"/>
  <c r="A54" i="6"/>
  <c r="E53" i="6"/>
  <c r="D53" i="6"/>
  <c r="C53" i="6"/>
  <c r="B53" i="6"/>
  <c r="A53" i="6"/>
  <c r="E52" i="6"/>
  <c r="D52" i="6"/>
  <c r="C52" i="6"/>
  <c r="B52" i="6"/>
  <c r="A52" i="6"/>
  <c r="E51" i="6"/>
  <c r="D51" i="6"/>
  <c r="C51" i="6"/>
  <c r="B51" i="6"/>
  <c r="A51" i="6"/>
  <c r="E50" i="6"/>
  <c r="D50" i="6"/>
  <c r="C50" i="6"/>
  <c r="B50" i="6"/>
  <c r="A50" i="6"/>
  <c r="E49" i="6"/>
  <c r="D49" i="6"/>
  <c r="C49" i="6"/>
  <c r="B49" i="6"/>
  <c r="A49" i="6"/>
  <c r="E48" i="6"/>
  <c r="D48" i="6"/>
  <c r="C48" i="6"/>
  <c r="B48" i="6"/>
  <c r="A48" i="6"/>
  <c r="E47" i="6"/>
  <c r="D47" i="6"/>
  <c r="C47" i="6"/>
  <c r="B47" i="6"/>
  <c r="A47" i="6"/>
  <c r="E46" i="6"/>
  <c r="D46" i="6"/>
  <c r="C46" i="6"/>
  <c r="B46" i="6"/>
  <c r="A46" i="6"/>
  <c r="E45" i="6"/>
  <c r="D45" i="6"/>
  <c r="C45" i="6"/>
  <c r="B45" i="6"/>
  <c r="A45" i="6"/>
  <c r="E44" i="6"/>
  <c r="D44" i="6"/>
  <c r="C44" i="6"/>
  <c r="B44" i="6"/>
  <c r="A44" i="6"/>
  <c r="E43" i="6"/>
  <c r="D43" i="6"/>
  <c r="C43" i="6"/>
  <c r="B43" i="6"/>
  <c r="A43" i="6"/>
  <c r="E42" i="6"/>
  <c r="D42" i="6"/>
  <c r="C42" i="6"/>
  <c r="B42" i="6"/>
  <c r="A42" i="6"/>
  <c r="E41" i="6"/>
  <c r="D41" i="6"/>
  <c r="C41" i="6"/>
  <c r="B41" i="6"/>
  <c r="A41" i="6"/>
  <c r="E40" i="6"/>
  <c r="D40" i="6"/>
  <c r="C40" i="6"/>
  <c r="B40" i="6"/>
  <c r="A40" i="6"/>
  <c r="E39" i="6"/>
  <c r="D39" i="6"/>
  <c r="C39" i="6"/>
  <c r="B39" i="6"/>
  <c r="A39" i="6"/>
  <c r="E38" i="6"/>
  <c r="D38" i="6"/>
  <c r="C38" i="6"/>
  <c r="B38" i="6"/>
  <c r="A38" i="6"/>
  <c r="E37" i="6"/>
  <c r="D37" i="6"/>
  <c r="C37" i="6"/>
  <c r="B37" i="6"/>
  <c r="A37" i="6"/>
  <c r="E36" i="6"/>
  <c r="D36" i="6"/>
  <c r="C36" i="6"/>
  <c r="B36" i="6"/>
  <c r="A36" i="6"/>
  <c r="E35" i="6"/>
  <c r="D35" i="6"/>
  <c r="C35" i="6"/>
  <c r="B35" i="6"/>
  <c r="A35" i="6"/>
  <c r="E34" i="6"/>
  <c r="D34" i="6"/>
  <c r="C34" i="6"/>
  <c r="B34" i="6"/>
  <c r="A34" i="6"/>
  <c r="E33" i="6"/>
  <c r="D33" i="6"/>
  <c r="C33" i="6"/>
  <c r="B33" i="6"/>
  <c r="A33" i="6"/>
  <c r="E32" i="6"/>
  <c r="D32" i="6"/>
  <c r="C32" i="6"/>
  <c r="B32" i="6"/>
  <c r="A32" i="6"/>
  <c r="E31" i="6"/>
  <c r="D31" i="6"/>
  <c r="C31" i="6"/>
  <c r="B31" i="6"/>
  <c r="A31" i="6"/>
  <c r="E30" i="6"/>
  <c r="D30" i="6"/>
  <c r="C30" i="6"/>
  <c r="B30" i="6"/>
  <c r="A30" i="6"/>
  <c r="E29" i="6"/>
  <c r="D29" i="6"/>
  <c r="C29" i="6"/>
  <c r="B29" i="6"/>
  <c r="A29" i="6"/>
  <c r="E28" i="6"/>
  <c r="D28" i="6"/>
  <c r="C28" i="6"/>
  <c r="B28" i="6"/>
  <c r="A28" i="6"/>
  <c r="E27" i="6"/>
  <c r="D27" i="6"/>
  <c r="C27" i="6"/>
  <c r="B27" i="6"/>
  <c r="A27" i="6"/>
  <c r="E26" i="6"/>
  <c r="D26" i="6"/>
  <c r="C26" i="6"/>
  <c r="B26" i="6"/>
  <c r="A26" i="6"/>
  <c r="E25" i="6"/>
  <c r="D25" i="6"/>
  <c r="C25" i="6"/>
  <c r="B25" i="6"/>
  <c r="A25" i="6"/>
  <c r="E24" i="6"/>
  <c r="D24" i="6"/>
  <c r="C24" i="6"/>
  <c r="B24" i="6"/>
  <c r="A24" i="6"/>
  <c r="E23" i="6"/>
  <c r="D23" i="6"/>
  <c r="C23" i="6"/>
  <c r="B23" i="6"/>
  <c r="A23" i="6"/>
  <c r="E22" i="6"/>
  <c r="D22" i="6"/>
  <c r="C22" i="6"/>
  <c r="B22" i="6"/>
  <c r="A22" i="6"/>
  <c r="E21" i="6"/>
  <c r="D21" i="6"/>
  <c r="C21" i="6"/>
  <c r="B21" i="6"/>
  <c r="A21" i="6"/>
  <c r="E20" i="6"/>
  <c r="D20" i="6"/>
  <c r="C20" i="6"/>
  <c r="B20" i="6"/>
  <c r="A20" i="6"/>
  <c r="E19" i="6"/>
  <c r="D19" i="6"/>
  <c r="C19" i="6"/>
  <c r="B19" i="6"/>
  <c r="A19" i="6"/>
  <c r="E18" i="6"/>
  <c r="D18" i="6"/>
  <c r="C18" i="6"/>
  <c r="B18" i="6"/>
  <c r="A18" i="6"/>
  <c r="E17" i="6"/>
  <c r="D17" i="6"/>
  <c r="C17" i="6"/>
  <c r="B17" i="6"/>
  <c r="A17" i="6"/>
  <c r="E16" i="6"/>
  <c r="D16" i="6"/>
  <c r="C16" i="6"/>
  <c r="B16" i="6"/>
  <c r="A16" i="6"/>
  <c r="E15" i="6"/>
  <c r="D15" i="6"/>
  <c r="C15" i="6"/>
  <c r="B15" i="6"/>
  <c r="A15" i="6"/>
  <c r="E14" i="6"/>
  <c r="D14" i="6"/>
  <c r="C14" i="6"/>
  <c r="B14" i="6"/>
  <c r="A14" i="6"/>
  <c r="E13" i="6"/>
  <c r="D13" i="6"/>
  <c r="C13" i="6"/>
  <c r="B13" i="6"/>
  <c r="A13" i="6"/>
  <c r="E12" i="6"/>
  <c r="D12" i="6"/>
  <c r="C12" i="6"/>
  <c r="B12" i="6"/>
  <c r="A12" i="6"/>
  <c r="E11" i="6"/>
  <c r="D11" i="6"/>
  <c r="C11" i="6"/>
  <c r="B11" i="6"/>
  <c r="A11" i="6"/>
  <c r="E10" i="6"/>
  <c r="D10" i="6"/>
  <c r="C10" i="6"/>
  <c r="B10" i="6"/>
  <c r="A10" i="6"/>
  <c r="E9" i="6"/>
  <c r="D9" i="6"/>
  <c r="C9" i="6"/>
  <c r="B9" i="6"/>
  <c r="A9" i="6"/>
  <c r="E8" i="6"/>
  <c r="D8" i="6"/>
  <c r="C8" i="6"/>
  <c r="B8" i="6"/>
  <c r="A8" i="6"/>
  <c r="E7" i="6"/>
  <c r="D7" i="6"/>
  <c r="C7" i="6"/>
  <c r="B7" i="6"/>
  <c r="A7" i="6"/>
  <c r="E6" i="6"/>
  <c r="D6" i="6"/>
  <c r="C6" i="6"/>
  <c r="B6" i="6"/>
  <c r="A6" i="6"/>
  <c r="E5" i="6"/>
  <c r="D5" i="6"/>
  <c r="C5" i="6"/>
  <c r="B5" i="6"/>
  <c r="A5" i="6"/>
  <c r="E4" i="6"/>
  <c r="D4" i="6"/>
  <c r="C4" i="6"/>
  <c r="B2" i="6"/>
  <c r="A2" i="6"/>
  <c r="B1" i="6"/>
  <c r="B2197" i="5"/>
  <c r="A2197" i="5"/>
  <c r="B2196" i="5"/>
  <c r="A2196" i="5"/>
  <c r="B2195" i="5"/>
  <c r="A2195" i="5"/>
  <c r="B2194" i="5"/>
  <c r="A2194" i="5"/>
  <c r="B2193" i="5"/>
  <c r="A2193" i="5"/>
  <c r="B2192" i="5"/>
  <c r="A2192" i="5"/>
  <c r="B2191" i="5"/>
  <c r="A2191" i="5"/>
  <c r="B2190" i="5"/>
  <c r="A2190" i="5"/>
  <c r="B2189" i="5"/>
  <c r="A2189" i="5"/>
  <c r="B2188" i="5"/>
  <c r="A2188" i="5"/>
  <c r="B2187" i="5"/>
  <c r="A2187" i="5"/>
  <c r="B2186" i="5"/>
  <c r="A2186" i="5"/>
  <c r="B2185" i="5"/>
  <c r="A2185" i="5"/>
  <c r="B2184" i="5"/>
  <c r="A2184" i="5"/>
  <c r="B2183" i="5"/>
  <c r="A2183" i="5"/>
  <c r="B2182" i="5"/>
  <c r="A2182" i="5"/>
  <c r="B2181" i="5"/>
  <c r="A2181" i="5"/>
  <c r="B2180" i="5"/>
  <c r="A2180" i="5"/>
  <c r="B2179" i="5"/>
  <c r="A2179" i="5"/>
  <c r="B2178" i="5"/>
  <c r="A2178" i="5"/>
  <c r="B2177" i="5"/>
  <c r="A2177" i="5"/>
  <c r="B2176" i="5"/>
  <c r="A2176" i="5"/>
  <c r="B2175" i="5"/>
  <c r="A2175" i="5"/>
  <c r="B2174" i="5"/>
  <c r="A2174" i="5"/>
  <c r="B2173" i="5"/>
  <c r="A2173" i="5"/>
  <c r="B2172" i="5"/>
  <c r="A2172" i="5"/>
  <c r="B2171" i="5"/>
  <c r="A2171" i="5"/>
  <c r="B2170" i="5"/>
  <c r="A2170" i="5"/>
  <c r="B2169" i="5"/>
  <c r="A2169" i="5"/>
  <c r="B2168" i="5"/>
  <c r="A2168" i="5"/>
  <c r="B2167" i="5"/>
  <c r="A2167" i="5"/>
  <c r="B2166" i="5"/>
  <c r="A2166" i="5"/>
  <c r="B2165" i="5"/>
  <c r="A2165" i="5"/>
  <c r="B2164" i="5"/>
  <c r="A2164" i="5"/>
  <c r="B2163" i="5"/>
  <c r="A2163" i="5"/>
  <c r="B2162" i="5"/>
  <c r="A2162" i="5"/>
  <c r="B2161" i="5"/>
  <c r="A2161" i="5"/>
  <c r="B2160" i="5"/>
  <c r="A2160" i="5"/>
  <c r="B2159" i="5"/>
  <c r="A2159" i="5"/>
  <c r="B2158" i="5"/>
  <c r="A2158" i="5"/>
  <c r="B2157" i="5"/>
  <c r="A2157" i="5"/>
  <c r="B2156" i="5"/>
  <c r="A2156" i="5"/>
  <c r="B2155" i="5"/>
  <c r="A2155" i="5"/>
  <c r="B2154" i="5"/>
  <c r="A2154" i="5"/>
  <c r="B2153" i="5"/>
  <c r="A2153" i="5"/>
  <c r="B2152" i="5"/>
  <c r="A2152" i="5"/>
  <c r="B2151" i="5"/>
  <c r="A2151" i="5"/>
  <c r="B2150" i="5"/>
  <c r="A2150" i="5"/>
  <c r="B2149" i="5"/>
  <c r="A2149" i="5"/>
  <c r="B2148" i="5"/>
  <c r="A2148" i="5"/>
  <c r="B2147" i="5"/>
  <c r="A2147" i="5"/>
  <c r="B2146" i="5"/>
  <c r="A2146" i="5"/>
  <c r="B2145" i="5"/>
  <c r="A2145" i="5"/>
  <c r="B2144" i="5"/>
  <c r="A2144" i="5"/>
  <c r="B2143" i="5"/>
  <c r="A2143" i="5"/>
  <c r="B2142" i="5"/>
  <c r="A2142" i="5"/>
  <c r="B2141" i="5"/>
  <c r="A2141" i="5"/>
  <c r="B2140" i="5"/>
  <c r="A2140" i="5"/>
  <c r="B2139" i="5"/>
  <c r="A2139" i="5"/>
  <c r="B2138" i="5"/>
  <c r="A2138" i="5"/>
  <c r="B2137" i="5"/>
  <c r="A2137" i="5"/>
  <c r="B2136" i="5"/>
  <c r="A2136" i="5"/>
  <c r="B2135" i="5"/>
  <c r="A2135" i="5"/>
  <c r="B2134" i="5"/>
  <c r="A2134" i="5"/>
  <c r="B2133" i="5"/>
  <c r="A2133" i="5"/>
  <c r="B2132" i="5"/>
  <c r="A2132" i="5"/>
  <c r="B2131" i="5"/>
  <c r="A2131" i="5"/>
  <c r="B2130" i="5"/>
  <c r="A2130" i="5"/>
  <c r="B2129" i="5"/>
  <c r="A2129" i="5"/>
  <c r="B2128" i="5"/>
  <c r="A2128" i="5"/>
  <c r="B2127" i="5"/>
  <c r="A2127" i="5"/>
  <c r="B2126" i="5"/>
  <c r="A2126" i="5"/>
  <c r="B2125" i="5"/>
  <c r="A2125" i="5"/>
  <c r="B2124" i="5"/>
  <c r="A2124" i="5"/>
  <c r="B2123" i="5"/>
  <c r="A2123" i="5"/>
  <c r="B2122" i="5"/>
  <c r="A2122" i="5"/>
  <c r="B2121" i="5"/>
  <c r="A2121" i="5"/>
  <c r="B2120" i="5"/>
  <c r="A2120" i="5"/>
  <c r="B2119" i="5"/>
  <c r="A2119" i="5"/>
  <c r="B2118" i="5"/>
  <c r="A2118" i="5"/>
  <c r="B2117" i="5"/>
  <c r="A2117" i="5"/>
  <c r="B2116" i="5"/>
  <c r="A2116" i="5"/>
  <c r="B2115" i="5"/>
  <c r="A2115" i="5"/>
  <c r="B2114" i="5"/>
  <c r="A2114" i="5"/>
  <c r="B2113" i="5"/>
  <c r="A2113" i="5"/>
  <c r="B2112" i="5"/>
  <c r="A2112" i="5"/>
  <c r="B2111" i="5"/>
  <c r="A2111" i="5"/>
  <c r="B2110" i="5"/>
  <c r="A2110" i="5"/>
  <c r="B2109" i="5"/>
  <c r="A2109" i="5"/>
  <c r="B2108" i="5"/>
  <c r="A2108" i="5"/>
  <c r="B2107" i="5"/>
  <c r="A2107" i="5"/>
  <c r="B2106" i="5"/>
  <c r="A2106" i="5"/>
  <c r="B2105" i="5"/>
  <c r="A2105" i="5"/>
  <c r="B2104" i="5"/>
  <c r="A2104" i="5"/>
  <c r="B2103" i="5"/>
  <c r="A2103" i="5"/>
  <c r="B2102" i="5"/>
  <c r="A2102" i="5"/>
  <c r="B2101" i="5"/>
  <c r="A2101" i="5"/>
  <c r="B2100" i="5"/>
  <c r="A2100" i="5"/>
  <c r="B2099" i="5"/>
  <c r="A2099" i="5"/>
  <c r="B2098" i="5"/>
  <c r="A2098" i="5"/>
  <c r="B2097" i="5"/>
  <c r="A2097" i="5"/>
  <c r="B2096" i="5"/>
  <c r="A2096" i="5"/>
  <c r="B2095" i="5"/>
  <c r="A2095" i="5"/>
  <c r="B2094" i="5"/>
  <c r="A2094" i="5"/>
  <c r="B2093" i="5"/>
  <c r="A2093" i="5"/>
  <c r="B2092" i="5"/>
  <c r="A2092" i="5"/>
  <c r="B2091" i="5"/>
  <c r="A2091" i="5"/>
  <c r="B2090" i="5"/>
  <c r="A2090" i="5"/>
  <c r="B2089" i="5"/>
  <c r="A2089" i="5"/>
  <c r="B2088" i="5"/>
  <c r="A2088" i="5"/>
  <c r="B2087" i="5"/>
  <c r="A2087" i="5"/>
  <c r="B2086" i="5"/>
  <c r="A2086" i="5"/>
  <c r="B2085" i="5"/>
  <c r="A2085" i="5"/>
  <c r="B2084" i="5"/>
  <c r="A2084" i="5"/>
  <c r="B2083" i="5"/>
  <c r="A2083" i="5"/>
  <c r="B2082" i="5"/>
  <c r="A2082" i="5"/>
  <c r="B2081" i="5"/>
  <c r="A2081" i="5"/>
  <c r="B2080" i="5"/>
  <c r="A2080" i="5"/>
  <c r="B2079" i="5"/>
  <c r="A2079" i="5"/>
  <c r="B2078" i="5"/>
  <c r="A2078" i="5"/>
  <c r="B2077" i="5"/>
  <c r="A2077" i="5"/>
  <c r="B2076" i="5"/>
  <c r="A2076" i="5"/>
  <c r="B2075" i="5"/>
  <c r="A2075" i="5"/>
  <c r="B2074" i="5"/>
  <c r="A2074" i="5"/>
  <c r="B2073" i="5"/>
  <c r="A2073" i="5"/>
  <c r="B2072" i="5"/>
  <c r="A2072" i="5"/>
  <c r="B2071" i="5"/>
  <c r="A2071" i="5"/>
  <c r="B2070" i="5"/>
  <c r="A2070" i="5"/>
  <c r="B2069" i="5"/>
  <c r="A2069" i="5"/>
  <c r="B2068" i="5"/>
  <c r="A2068" i="5"/>
  <c r="B2067" i="5"/>
  <c r="A2067" i="5"/>
  <c r="B2066" i="5"/>
  <c r="A2066" i="5"/>
  <c r="B2065" i="5"/>
  <c r="A2065" i="5"/>
  <c r="B2064" i="5"/>
  <c r="A2064" i="5"/>
  <c r="B2063" i="5"/>
  <c r="A2063" i="5"/>
  <c r="B2062" i="5"/>
  <c r="A2062" i="5"/>
  <c r="B2061" i="5"/>
  <c r="A2061" i="5"/>
  <c r="B2060" i="5"/>
  <c r="A2060" i="5"/>
  <c r="B2059" i="5"/>
  <c r="A2059" i="5"/>
  <c r="B2058" i="5"/>
  <c r="A2058" i="5"/>
  <c r="B2057" i="5"/>
  <c r="A2057" i="5"/>
  <c r="B2056" i="5"/>
  <c r="A2056" i="5"/>
  <c r="B2055" i="5"/>
  <c r="A2055" i="5"/>
  <c r="B2054" i="5"/>
  <c r="A2054" i="5"/>
  <c r="B2053" i="5"/>
  <c r="A2053" i="5"/>
  <c r="B2052" i="5"/>
  <c r="A2052" i="5"/>
  <c r="B2051" i="5"/>
  <c r="A2051" i="5"/>
  <c r="B2050" i="5"/>
  <c r="A2050" i="5"/>
  <c r="B2049" i="5"/>
  <c r="A2049" i="5"/>
  <c r="B2048" i="5"/>
  <c r="A2048" i="5"/>
  <c r="B2047" i="5"/>
  <c r="A2047" i="5"/>
  <c r="B2046" i="5"/>
  <c r="A2046" i="5"/>
  <c r="B2045" i="5"/>
  <c r="A2045" i="5"/>
  <c r="B2044" i="5"/>
  <c r="A2044" i="5"/>
  <c r="B2043" i="5"/>
  <c r="A2043" i="5"/>
  <c r="B2042" i="5"/>
  <c r="A2042" i="5"/>
  <c r="B2041" i="5"/>
  <c r="A2041" i="5"/>
  <c r="B2040" i="5"/>
  <c r="A2040" i="5"/>
  <c r="B2039" i="5"/>
  <c r="A2039" i="5"/>
  <c r="B2038" i="5"/>
  <c r="A2038" i="5"/>
  <c r="B2037" i="5"/>
  <c r="A2037" i="5"/>
  <c r="B2036" i="5"/>
  <c r="A2036" i="5"/>
  <c r="B2035" i="5"/>
  <c r="A2035" i="5"/>
  <c r="B2034" i="5"/>
  <c r="A2034" i="5"/>
  <c r="B2033" i="5"/>
  <c r="A2033" i="5"/>
  <c r="B2032" i="5"/>
  <c r="A2032" i="5"/>
  <c r="B2031" i="5"/>
  <c r="A2031" i="5"/>
  <c r="B2030" i="5"/>
  <c r="A2030" i="5"/>
  <c r="B2029" i="5"/>
  <c r="A2029" i="5"/>
  <c r="B2028" i="5"/>
  <c r="A2028" i="5"/>
  <c r="B2027" i="5"/>
  <c r="A2027" i="5"/>
  <c r="B2026" i="5"/>
  <c r="A2026" i="5"/>
  <c r="B2025" i="5"/>
  <c r="A2025" i="5"/>
  <c r="B2024" i="5"/>
  <c r="A2024" i="5"/>
  <c r="B2023" i="5"/>
  <c r="A2023" i="5"/>
  <c r="B2022" i="5"/>
  <c r="A2022" i="5"/>
  <c r="B2021" i="5"/>
  <c r="A2021" i="5"/>
  <c r="B2020" i="5"/>
  <c r="A2020" i="5"/>
  <c r="B2019" i="5"/>
  <c r="A2019" i="5"/>
  <c r="B2018" i="5"/>
  <c r="A2018" i="5"/>
  <c r="B2017" i="5"/>
  <c r="A2017" i="5"/>
  <c r="B2016" i="5"/>
  <c r="A2016" i="5"/>
  <c r="B2015" i="5"/>
  <c r="A2015" i="5"/>
  <c r="B2014" i="5"/>
  <c r="A2014" i="5"/>
  <c r="B2013" i="5"/>
  <c r="A2013" i="5"/>
  <c r="B2012" i="5"/>
  <c r="A2012" i="5"/>
  <c r="B2011" i="5"/>
  <c r="A2011" i="5"/>
  <c r="B2010" i="5"/>
  <c r="A2010" i="5"/>
  <c r="B2009" i="5"/>
  <c r="A2009" i="5"/>
  <c r="B2008" i="5"/>
  <c r="A2008" i="5"/>
  <c r="B2007" i="5"/>
  <c r="A2007" i="5"/>
  <c r="B2006" i="5"/>
  <c r="A2006" i="5"/>
  <c r="B2005" i="5"/>
  <c r="A2005" i="5"/>
  <c r="B2004" i="5"/>
  <c r="A2004" i="5"/>
  <c r="B2003" i="5"/>
  <c r="A2003" i="5"/>
  <c r="B2002" i="5"/>
  <c r="A2002" i="5"/>
  <c r="B2001" i="5"/>
  <c r="A2001" i="5"/>
  <c r="B2000" i="5"/>
  <c r="A2000" i="5"/>
  <c r="B1999" i="5"/>
  <c r="A1999" i="5"/>
  <c r="B1998" i="5"/>
  <c r="A1998" i="5"/>
  <c r="B1997" i="5"/>
  <c r="A1997" i="5"/>
  <c r="B1996" i="5"/>
  <c r="A1996" i="5"/>
  <c r="B1995" i="5"/>
  <c r="A1995" i="5"/>
  <c r="B1994" i="5"/>
  <c r="A1994" i="5"/>
  <c r="B1993" i="5"/>
  <c r="A1993" i="5"/>
  <c r="B1992" i="5"/>
  <c r="A1992" i="5"/>
  <c r="B1991" i="5"/>
  <c r="A1991" i="5"/>
  <c r="B1990" i="5"/>
  <c r="A1990" i="5"/>
  <c r="B1989" i="5"/>
  <c r="A1989" i="5"/>
  <c r="B1988" i="5"/>
  <c r="A1988" i="5"/>
  <c r="B1987" i="5"/>
  <c r="A1987" i="5"/>
  <c r="B1986" i="5"/>
  <c r="A1986" i="5"/>
  <c r="B1985" i="5"/>
  <c r="A1985" i="5"/>
  <c r="B1984" i="5"/>
  <c r="A1984" i="5"/>
  <c r="B1983" i="5"/>
  <c r="A1983" i="5"/>
  <c r="B1982" i="5"/>
  <c r="A1982" i="5"/>
  <c r="B1981" i="5"/>
  <c r="A1981" i="5"/>
  <c r="B1980" i="5"/>
  <c r="A1980" i="5"/>
  <c r="B1979" i="5"/>
  <c r="A1979" i="5"/>
  <c r="B1978" i="5"/>
  <c r="A1978" i="5"/>
  <c r="B1977" i="5"/>
  <c r="A1977" i="5"/>
  <c r="B1976" i="5"/>
  <c r="A1976" i="5"/>
  <c r="B1975" i="5"/>
  <c r="A1975" i="5"/>
  <c r="B1974" i="5"/>
  <c r="A1974" i="5"/>
  <c r="B1973" i="5"/>
  <c r="A1973" i="5"/>
  <c r="B1972" i="5"/>
  <c r="A1972" i="5"/>
  <c r="B1971" i="5"/>
  <c r="A1971" i="5"/>
  <c r="B1970" i="5"/>
  <c r="A1970" i="5"/>
  <c r="B1969" i="5"/>
  <c r="A1969" i="5"/>
  <c r="B1968" i="5"/>
  <c r="A1968" i="5"/>
  <c r="B1967" i="5"/>
  <c r="A1967" i="5"/>
  <c r="B1966" i="5"/>
  <c r="A1966" i="5"/>
  <c r="B1965" i="5"/>
  <c r="A1965" i="5"/>
  <c r="B1964" i="5"/>
  <c r="A1964" i="5"/>
  <c r="B1963" i="5"/>
  <c r="A1963" i="5"/>
  <c r="B1962" i="5"/>
  <c r="A1962" i="5"/>
  <c r="B1961" i="5"/>
  <c r="A1961" i="5"/>
  <c r="B1960" i="5"/>
  <c r="A1960" i="5"/>
  <c r="B1959" i="5"/>
  <c r="A1959" i="5"/>
  <c r="B1958" i="5"/>
  <c r="A1958" i="5"/>
  <c r="B1957" i="5"/>
  <c r="A1957" i="5"/>
  <c r="B1956" i="5"/>
  <c r="A1956" i="5"/>
  <c r="B1955" i="5"/>
  <c r="A1955" i="5"/>
  <c r="B1954" i="5"/>
  <c r="A1954" i="5"/>
  <c r="B1953" i="5"/>
  <c r="A1953" i="5"/>
  <c r="B1952" i="5"/>
  <c r="A1952" i="5"/>
  <c r="B1951" i="5"/>
  <c r="A1951" i="5"/>
  <c r="B1950" i="5"/>
  <c r="A1950" i="5"/>
  <c r="B1949" i="5"/>
  <c r="A1949" i="5"/>
  <c r="B1948" i="5"/>
  <c r="A1948" i="5"/>
  <c r="B1947" i="5"/>
  <c r="A1947" i="5"/>
  <c r="B1946" i="5"/>
  <c r="A1946" i="5"/>
  <c r="B1945" i="5"/>
  <c r="A1945" i="5"/>
  <c r="B1944" i="5"/>
  <c r="A1944" i="5"/>
  <c r="B1943" i="5"/>
  <c r="A1943" i="5"/>
  <c r="B1942" i="5"/>
  <c r="A1942" i="5"/>
  <c r="B1941" i="5"/>
  <c r="A1941" i="5"/>
  <c r="B1940" i="5"/>
  <c r="A1940" i="5"/>
  <c r="B1939" i="5"/>
  <c r="A1939" i="5"/>
  <c r="B1938" i="5"/>
  <c r="A1938" i="5"/>
  <c r="B1937" i="5"/>
  <c r="A1937" i="5"/>
  <c r="B1936" i="5"/>
  <c r="A1936" i="5"/>
  <c r="B1935" i="5"/>
  <c r="A1935" i="5"/>
  <c r="B1934" i="5"/>
  <c r="A1934" i="5"/>
  <c r="B1933" i="5"/>
  <c r="A1933" i="5"/>
  <c r="B1932" i="5"/>
  <c r="A1932" i="5"/>
  <c r="B1931" i="5"/>
  <c r="A1931" i="5"/>
  <c r="B1930" i="5"/>
  <c r="A1930" i="5"/>
  <c r="B1929" i="5"/>
  <c r="A1929" i="5"/>
  <c r="B1928" i="5"/>
  <c r="A1928" i="5"/>
  <c r="B1927" i="5"/>
  <c r="A1927" i="5"/>
  <c r="B1926" i="5"/>
  <c r="A1926" i="5"/>
  <c r="B1925" i="5"/>
  <c r="A1925" i="5"/>
  <c r="B1924" i="5"/>
  <c r="A1924" i="5"/>
  <c r="B1923" i="5"/>
  <c r="A1923" i="5"/>
  <c r="B1922" i="5"/>
  <c r="A1922" i="5"/>
  <c r="B1921" i="5"/>
  <c r="A1921" i="5"/>
  <c r="B1920" i="5"/>
  <c r="A1920" i="5"/>
  <c r="B1919" i="5"/>
  <c r="A1919" i="5"/>
  <c r="B1918" i="5"/>
  <c r="A1918" i="5"/>
  <c r="B1917" i="5"/>
  <c r="A1917" i="5"/>
  <c r="B1916" i="5"/>
  <c r="A1916" i="5"/>
  <c r="B1915" i="5"/>
  <c r="A1915" i="5"/>
  <c r="B1914" i="5"/>
  <c r="A1914" i="5"/>
  <c r="B1913" i="5"/>
  <c r="A1913" i="5"/>
  <c r="B1912" i="5"/>
  <c r="A1912" i="5"/>
  <c r="B1911" i="5"/>
  <c r="A1911" i="5"/>
  <c r="B1910" i="5"/>
  <c r="A1910" i="5"/>
  <c r="B1909" i="5"/>
  <c r="A1909" i="5"/>
  <c r="B1908" i="5"/>
  <c r="A1908" i="5"/>
  <c r="B1907" i="5"/>
  <c r="A1907" i="5"/>
  <c r="B1906" i="5"/>
  <c r="A1906" i="5"/>
  <c r="B1905" i="5"/>
  <c r="A1905" i="5"/>
  <c r="B1904" i="5"/>
  <c r="A1904" i="5"/>
  <c r="B1903" i="5"/>
  <c r="A1903" i="5"/>
  <c r="B1902" i="5"/>
  <c r="A1902" i="5"/>
  <c r="B1901" i="5"/>
  <c r="A1901" i="5"/>
  <c r="B1900" i="5"/>
  <c r="A1900" i="5"/>
  <c r="B1899" i="5"/>
  <c r="A1899" i="5"/>
  <c r="B1898" i="5"/>
  <c r="A1898" i="5"/>
  <c r="B1897" i="5"/>
  <c r="A1897" i="5"/>
  <c r="B1896" i="5"/>
  <c r="A1896" i="5"/>
  <c r="B1895" i="5"/>
  <c r="A1895" i="5"/>
  <c r="B1894" i="5"/>
  <c r="A1894" i="5"/>
  <c r="B1893" i="5"/>
  <c r="A1893" i="5"/>
  <c r="B1892" i="5"/>
  <c r="A1892" i="5"/>
  <c r="B1891" i="5"/>
  <c r="A1891" i="5"/>
  <c r="B1890" i="5"/>
  <c r="A1890" i="5"/>
  <c r="B1889" i="5"/>
  <c r="A1889" i="5"/>
  <c r="B1888" i="5"/>
  <c r="A1888" i="5"/>
  <c r="B1887" i="5"/>
  <c r="A1887" i="5"/>
  <c r="B1886" i="5"/>
  <c r="A1886" i="5"/>
  <c r="B1885" i="5"/>
  <c r="A1885" i="5"/>
  <c r="B1884" i="5"/>
  <c r="A1884" i="5"/>
  <c r="B1883" i="5"/>
  <c r="A1883" i="5"/>
  <c r="B1882" i="5"/>
  <c r="A1882" i="5"/>
  <c r="B1881" i="5"/>
  <c r="A1881" i="5"/>
  <c r="B1880" i="5"/>
  <c r="A1880" i="5"/>
  <c r="B1879" i="5"/>
  <c r="A1879" i="5"/>
  <c r="B1878" i="5"/>
  <c r="A1878" i="5"/>
  <c r="B1877" i="5"/>
  <c r="A1877" i="5"/>
  <c r="B1876" i="5"/>
  <c r="A1876" i="5"/>
  <c r="B1875" i="5"/>
  <c r="A1875" i="5"/>
  <c r="B1874" i="5"/>
  <c r="A1874" i="5"/>
  <c r="B1873" i="5"/>
  <c r="A1873" i="5"/>
  <c r="B1872" i="5"/>
  <c r="A1872" i="5"/>
  <c r="B1871" i="5"/>
  <c r="A1871" i="5"/>
  <c r="B1870" i="5"/>
  <c r="A1870" i="5"/>
  <c r="B1869" i="5"/>
  <c r="A1869" i="5"/>
  <c r="B1868" i="5"/>
  <c r="A1868" i="5"/>
  <c r="B1867" i="5"/>
  <c r="A1867" i="5"/>
  <c r="B1866" i="5"/>
  <c r="A1866" i="5"/>
  <c r="B1865" i="5"/>
  <c r="A1865" i="5"/>
  <c r="B1864" i="5"/>
  <c r="A1864" i="5"/>
  <c r="B1863" i="5"/>
  <c r="A1863" i="5"/>
  <c r="B1862" i="5"/>
  <c r="A1862" i="5"/>
  <c r="B1861" i="5"/>
  <c r="A1861" i="5"/>
  <c r="B1860" i="5"/>
  <c r="A1860" i="5"/>
  <c r="B1859" i="5"/>
  <c r="A1859" i="5"/>
  <c r="B1858" i="5"/>
  <c r="A1858" i="5"/>
  <c r="B1857" i="5"/>
  <c r="A1857" i="5"/>
  <c r="B1856" i="5"/>
  <c r="A1856" i="5"/>
  <c r="B1855" i="5"/>
  <c r="A1855" i="5"/>
  <c r="B1854" i="5"/>
  <c r="A1854" i="5"/>
  <c r="B1853" i="5"/>
  <c r="A1853" i="5"/>
  <c r="B1852" i="5"/>
  <c r="A1852" i="5"/>
  <c r="B1851" i="5"/>
  <c r="A1851" i="5"/>
  <c r="B1850" i="5"/>
  <c r="A1850" i="5"/>
  <c r="B1849" i="5"/>
  <c r="A1849" i="5"/>
  <c r="B1848" i="5"/>
  <c r="A1848" i="5"/>
  <c r="B1847" i="5"/>
  <c r="A1847" i="5"/>
  <c r="B1846" i="5"/>
  <c r="A1846" i="5"/>
  <c r="B1845" i="5"/>
  <c r="A1845" i="5"/>
  <c r="B1844" i="5"/>
  <c r="A1844" i="5"/>
  <c r="B1843" i="5"/>
  <c r="A1843" i="5"/>
  <c r="B1842" i="5"/>
  <c r="A1842" i="5"/>
  <c r="B1841" i="5"/>
  <c r="A1841" i="5"/>
  <c r="B1840" i="5"/>
  <c r="A1840" i="5"/>
  <c r="B1839" i="5"/>
  <c r="A1839" i="5"/>
  <c r="B1838" i="5"/>
  <c r="A1838" i="5"/>
  <c r="B1837" i="5"/>
  <c r="A1837" i="5"/>
  <c r="B1836" i="5"/>
  <c r="A1836" i="5"/>
  <c r="B1835" i="5"/>
  <c r="A1835" i="5"/>
  <c r="B1834" i="5"/>
  <c r="A1834" i="5"/>
  <c r="B1833" i="5"/>
  <c r="A1833" i="5"/>
  <c r="B1832" i="5"/>
  <c r="A1832" i="5"/>
  <c r="B1831" i="5"/>
  <c r="A1831" i="5"/>
  <c r="B1830" i="5"/>
  <c r="A1830" i="5"/>
  <c r="B1829" i="5"/>
  <c r="A1829" i="5"/>
  <c r="B1828" i="5"/>
  <c r="A1828" i="5"/>
  <c r="B1827" i="5"/>
  <c r="A1827" i="5"/>
  <c r="B1826" i="5"/>
  <c r="A1826" i="5"/>
  <c r="B1825" i="5"/>
  <c r="A1825" i="5"/>
  <c r="B1824" i="5"/>
  <c r="A1824" i="5"/>
  <c r="B1823" i="5"/>
  <c r="A1823" i="5"/>
  <c r="B1822" i="5"/>
  <c r="A1822" i="5"/>
  <c r="B1821" i="5"/>
  <c r="A1821" i="5"/>
  <c r="B1820" i="5"/>
  <c r="A1820" i="5"/>
  <c r="B1819" i="5"/>
  <c r="A1819" i="5"/>
  <c r="B1818" i="5"/>
  <c r="A1818" i="5"/>
  <c r="B1817" i="5"/>
  <c r="A1817" i="5"/>
  <c r="B1816" i="5"/>
  <c r="A1816" i="5"/>
  <c r="B1815" i="5"/>
  <c r="A1815" i="5"/>
  <c r="B1814" i="5"/>
  <c r="A1814" i="5"/>
  <c r="B1813" i="5"/>
  <c r="A1813" i="5"/>
  <c r="B1812" i="5"/>
  <c r="A1812" i="5"/>
  <c r="B1811" i="5"/>
  <c r="A1811" i="5"/>
  <c r="B1810" i="5"/>
  <c r="A1810" i="5"/>
  <c r="B1809" i="5"/>
  <c r="A1809" i="5"/>
  <c r="B1808" i="5"/>
  <c r="A1808" i="5"/>
  <c r="B1807" i="5"/>
  <c r="A1807" i="5"/>
  <c r="B1806" i="5"/>
  <c r="A1806" i="5"/>
  <c r="B1805" i="5"/>
  <c r="A1805" i="5"/>
  <c r="B1804" i="5"/>
  <c r="A1804" i="5"/>
  <c r="B1803" i="5"/>
  <c r="A1803" i="5"/>
  <c r="B1802" i="5"/>
  <c r="A1802" i="5"/>
  <c r="B1801" i="5"/>
  <c r="A1801" i="5"/>
  <c r="B1800" i="5"/>
  <c r="A1800" i="5"/>
  <c r="B1799" i="5"/>
  <c r="A1799" i="5"/>
  <c r="B1798" i="5"/>
  <c r="A1798" i="5"/>
  <c r="B1797" i="5"/>
  <c r="A1797" i="5"/>
  <c r="B1796" i="5"/>
  <c r="A1796" i="5"/>
  <c r="B1795" i="5"/>
  <c r="A1795" i="5"/>
  <c r="B1794" i="5"/>
  <c r="A1794" i="5"/>
  <c r="B1793" i="5"/>
  <c r="A1793" i="5"/>
  <c r="B1792" i="5"/>
  <c r="A1792" i="5"/>
  <c r="B1791" i="5"/>
  <c r="A1791" i="5"/>
  <c r="B1790" i="5"/>
  <c r="A1790" i="5"/>
  <c r="B1789" i="5"/>
  <c r="A1789" i="5"/>
  <c r="B1788" i="5"/>
  <c r="A1788" i="5"/>
  <c r="B1787" i="5"/>
  <c r="A1787" i="5"/>
  <c r="B1786" i="5"/>
  <c r="A1786" i="5"/>
  <c r="B1785" i="5"/>
  <c r="A1785" i="5"/>
  <c r="B1784" i="5"/>
  <c r="A1784" i="5"/>
  <c r="B1783" i="5"/>
  <c r="A1783" i="5"/>
  <c r="B1782" i="5"/>
  <c r="A1782" i="5"/>
  <c r="B1781" i="5"/>
  <c r="A1781" i="5"/>
  <c r="B1780" i="5"/>
  <c r="A1780" i="5"/>
  <c r="B1779" i="5"/>
  <c r="A1779" i="5"/>
  <c r="B1778" i="5"/>
  <c r="A1778" i="5"/>
  <c r="B1777" i="5"/>
  <c r="A1777" i="5"/>
  <c r="B1776" i="5"/>
  <c r="A1776" i="5"/>
  <c r="B1775" i="5"/>
  <c r="A1775" i="5"/>
  <c r="B1774" i="5"/>
  <c r="A1774" i="5"/>
  <c r="B1773" i="5"/>
  <c r="A1773" i="5"/>
  <c r="B1772" i="5"/>
  <c r="A1772" i="5"/>
  <c r="B1771" i="5"/>
  <c r="A1771" i="5"/>
  <c r="B1770" i="5"/>
  <c r="A1770" i="5"/>
  <c r="B1769" i="5"/>
  <c r="A1769" i="5"/>
  <c r="B1768" i="5"/>
  <c r="A1768" i="5"/>
  <c r="B1767" i="5"/>
  <c r="A1767" i="5"/>
  <c r="B1766" i="5"/>
  <c r="A1766" i="5"/>
  <c r="B1765" i="5"/>
  <c r="A1765" i="5"/>
  <c r="B1764" i="5"/>
  <c r="A1764" i="5"/>
  <c r="B1763" i="5"/>
  <c r="A1763" i="5"/>
  <c r="B1762" i="5"/>
  <c r="A1762" i="5"/>
  <c r="B1761" i="5"/>
  <c r="A1761" i="5"/>
  <c r="B1760" i="5"/>
  <c r="A1760" i="5"/>
  <c r="B1759" i="5"/>
  <c r="A1759" i="5"/>
  <c r="B1758" i="5"/>
  <c r="A1758" i="5"/>
  <c r="B1757" i="5"/>
  <c r="A1757" i="5"/>
  <c r="B1756" i="5"/>
  <c r="A1756" i="5"/>
  <c r="B1755" i="5"/>
  <c r="A1755" i="5"/>
  <c r="B1754" i="5"/>
  <c r="A1754" i="5"/>
  <c r="B1753" i="5"/>
  <c r="A1753" i="5"/>
  <c r="B1752" i="5"/>
  <c r="A1752" i="5"/>
  <c r="B1751" i="5"/>
  <c r="A1751" i="5"/>
  <c r="B1750" i="5"/>
  <c r="A1750" i="5"/>
  <c r="B1749" i="5"/>
  <c r="A1749" i="5"/>
  <c r="B1748" i="5"/>
  <c r="A1748" i="5"/>
  <c r="B1747" i="5"/>
  <c r="A1747" i="5"/>
  <c r="B1746" i="5"/>
  <c r="A1746" i="5"/>
  <c r="B1745" i="5"/>
  <c r="A1745" i="5"/>
  <c r="B1744" i="5"/>
  <c r="A1744" i="5"/>
  <c r="B1743" i="5"/>
  <c r="A1743" i="5"/>
  <c r="B1742" i="5"/>
  <c r="A1742" i="5"/>
  <c r="B1741" i="5"/>
  <c r="A1741" i="5"/>
  <c r="B1740" i="5"/>
  <c r="A1740" i="5"/>
  <c r="B1739" i="5"/>
  <c r="A1739" i="5"/>
  <c r="B1738" i="5"/>
  <c r="A1738" i="5"/>
  <c r="B1737" i="5"/>
  <c r="A1737" i="5"/>
  <c r="B1736" i="5"/>
  <c r="A1736" i="5"/>
  <c r="B1735" i="5"/>
  <c r="A1735" i="5"/>
  <c r="B1734" i="5"/>
  <c r="A1734" i="5"/>
  <c r="B1733" i="5"/>
  <c r="A1733" i="5"/>
  <c r="B1732" i="5"/>
  <c r="A1732" i="5"/>
  <c r="B1731" i="5"/>
  <c r="A1731" i="5"/>
  <c r="B1730" i="5"/>
  <c r="A1730" i="5"/>
  <c r="B1729" i="5"/>
  <c r="A1729" i="5"/>
  <c r="B1728" i="5"/>
  <c r="A1728" i="5"/>
  <c r="B1727" i="5"/>
  <c r="A1727" i="5"/>
  <c r="B1726" i="5"/>
  <c r="A1726" i="5"/>
  <c r="B1725" i="5"/>
  <c r="A1725" i="5"/>
  <c r="B1724" i="5"/>
  <c r="A1724" i="5"/>
  <c r="B1723" i="5"/>
  <c r="A1723" i="5"/>
  <c r="B1722" i="5"/>
  <c r="A1722" i="5"/>
  <c r="B1721" i="5"/>
  <c r="A1721" i="5"/>
  <c r="B1720" i="5"/>
  <c r="A1720" i="5"/>
  <c r="B1719" i="5"/>
  <c r="A1719" i="5"/>
  <c r="B1718" i="5"/>
  <c r="A1718" i="5"/>
  <c r="B1717" i="5"/>
  <c r="A1717" i="5"/>
  <c r="B1716" i="5"/>
  <c r="A1716" i="5"/>
  <c r="B1715" i="5"/>
  <c r="A1715" i="5"/>
  <c r="B1714" i="5"/>
  <c r="A1714" i="5"/>
  <c r="B1713" i="5"/>
  <c r="A1713" i="5"/>
  <c r="B1712" i="5"/>
  <c r="A1712" i="5"/>
  <c r="B1711" i="5"/>
  <c r="A1711" i="5"/>
  <c r="B1710" i="5"/>
  <c r="A1710" i="5"/>
  <c r="B1709" i="5"/>
  <c r="A1709" i="5"/>
  <c r="B1708" i="5"/>
  <c r="A1708" i="5"/>
  <c r="B1707" i="5"/>
  <c r="A1707" i="5"/>
  <c r="B1706" i="5"/>
  <c r="A1706" i="5"/>
  <c r="B1705" i="5"/>
  <c r="A1705" i="5"/>
  <c r="B1704" i="5"/>
  <c r="A1704" i="5"/>
  <c r="B1703" i="5"/>
  <c r="A1703" i="5"/>
  <c r="B1702" i="5"/>
  <c r="A1702" i="5"/>
  <c r="B1701" i="5"/>
  <c r="A1701" i="5"/>
  <c r="B1700" i="5"/>
  <c r="A1700" i="5"/>
  <c r="B1699" i="5"/>
  <c r="A1699" i="5"/>
  <c r="B1698" i="5"/>
  <c r="A1698" i="5"/>
  <c r="B1697" i="5"/>
  <c r="A1697" i="5"/>
  <c r="B1696" i="5"/>
  <c r="A1696" i="5"/>
  <c r="B1695" i="5"/>
  <c r="A1695" i="5"/>
  <c r="B1694" i="5"/>
  <c r="A1694" i="5"/>
  <c r="B1693" i="5"/>
  <c r="A1693" i="5"/>
  <c r="B1692" i="5"/>
  <c r="A1692" i="5"/>
  <c r="B1691" i="5"/>
  <c r="A1691" i="5"/>
  <c r="B1690" i="5"/>
  <c r="A1690" i="5"/>
  <c r="B1689" i="5"/>
  <c r="A1689" i="5"/>
  <c r="B1688" i="5"/>
  <c r="A1688" i="5"/>
  <c r="B1687" i="5"/>
  <c r="A1687" i="5"/>
  <c r="B1686" i="5"/>
  <c r="A1686" i="5"/>
  <c r="B1685" i="5"/>
  <c r="A1685" i="5"/>
  <c r="B1684" i="5"/>
  <c r="A1684" i="5"/>
  <c r="B1683" i="5"/>
  <c r="A1683" i="5"/>
  <c r="B1682" i="5"/>
  <c r="A1682" i="5"/>
  <c r="B1681" i="5"/>
  <c r="A1681" i="5"/>
  <c r="B1680" i="5"/>
  <c r="A1680" i="5"/>
  <c r="B1679" i="5"/>
  <c r="A1679" i="5"/>
  <c r="B1678" i="5"/>
  <c r="A1678" i="5"/>
  <c r="B1677" i="5"/>
  <c r="A1677" i="5"/>
  <c r="B1676" i="5"/>
  <c r="A1676" i="5"/>
  <c r="B1675" i="5"/>
  <c r="A1675" i="5"/>
  <c r="B1674" i="5"/>
  <c r="A1674" i="5"/>
  <c r="B1673" i="5"/>
  <c r="A1673" i="5"/>
  <c r="B1672" i="5"/>
  <c r="A1672" i="5"/>
  <c r="B1671" i="5"/>
  <c r="A1671" i="5"/>
  <c r="B1670" i="5"/>
  <c r="A1670" i="5"/>
  <c r="B1669" i="5"/>
  <c r="A1669" i="5"/>
  <c r="B1668" i="5"/>
  <c r="A1668" i="5"/>
  <c r="B1667" i="5"/>
  <c r="A1667" i="5"/>
  <c r="B1666" i="5"/>
  <c r="A1666" i="5"/>
  <c r="B1665" i="5"/>
  <c r="A1665" i="5"/>
  <c r="B1664" i="5"/>
  <c r="A1664" i="5"/>
  <c r="B1663" i="5"/>
  <c r="A1663" i="5"/>
  <c r="B1662" i="5"/>
  <c r="A1662" i="5"/>
  <c r="B1661" i="5"/>
  <c r="A1661" i="5"/>
  <c r="B1660" i="5"/>
  <c r="A1660" i="5"/>
  <c r="B1659" i="5"/>
  <c r="A1659" i="5"/>
  <c r="B1658" i="5"/>
  <c r="A1658" i="5"/>
  <c r="B1657" i="5"/>
  <c r="A1657" i="5"/>
  <c r="B1656" i="5"/>
  <c r="A1656" i="5"/>
  <c r="B1655" i="5"/>
  <c r="A1655" i="5"/>
  <c r="B1654" i="5"/>
  <c r="A1654" i="5"/>
  <c r="B1653" i="5"/>
  <c r="A1653" i="5"/>
  <c r="B1652" i="5"/>
  <c r="A1652" i="5"/>
  <c r="B1651" i="5"/>
  <c r="A1651" i="5"/>
  <c r="B1650" i="5"/>
  <c r="A1650" i="5"/>
  <c r="B1649" i="5"/>
  <c r="A1649" i="5"/>
  <c r="B1648" i="5"/>
  <c r="A1648" i="5"/>
  <c r="B1647" i="5"/>
  <c r="A1647" i="5"/>
  <c r="B1646" i="5"/>
  <c r="A1646" i="5"/>
  <c r="B1645" i="5"/>
  <c r="A1645" i="5"/>
  <c r="B1644" i="5"/>
  <c r="A1644" i="5"/>
  <c r="B1643" i="5"/>
  <c r="A1643" i="5"/>
  <c r="B1642" i="5"/>
  <c r="A1642" i="5"/>
  <c r="B1641" i="5"/>
  <c r="A1641" i="5"/>
  <c r="B1640" i="5"/>
  <c r="A1640" i="5"/>
  <c r="B1639" i="5"/>
  <c r="A1639" i="5"/>
  <c r="B1638" i="5"/>
  <c r="A1638" i="5"/>
  <c r="B1637" i="5"/>
  <c r="A1637" i="5"/>
  <c r="B1636" i="5"/>
  <c r="A1636" i="5"/>
  <c r="B1635" i="5"/>
  <c r="A1635" i="5"/>
  <c r="B1634" i="5"/>
  <c r="A1634" i="5"/>
  <c r="B1633" i="5"/>
  <c r="A1633" i="5"/>
  <c r="B1632" i="5"/>
  <c r="A1632" i="5"/>
  <c r="B1631" i="5"/>
  <c r="A1631" i="5"/>
  <c r="B1630" i="5"/>
  <c r="A1630" i="5"/>
  <c r="B1629" i="5"/>
  <c r="A1629" i="5"/>
  <c r="B1628" i="5"/>
  <c r="A1628" i="5"/>
  <c r="B1627" i="5"/>
  <c r="A1627" i="5"/>
  <c r="B1626" i="5"/>
  <c r="A1626" i="5"/>
  <c r="B1625" i="5"/>
  <c r="A1625" i="5"/>
  <c r="B1624" i="5"/>
  <c r="A1624" i="5"/>
  <c r="B1623" i="5"/>
  <c r="A1623" i="5"/>
  <c r="B1622" i="5"/>
  <c r="A1622" i="5"/>
  <c r="B1621" i="5"/>
  <c r="A1621" i="5"/>
  <c r="B1620" i="5"/>
  <c r="A1620" i="5"/>
  <c r="B1619" i="5"/>
  <c r="A1619" i="5"/>
  <c r="B1618" i="5"/>
  <c r="A1618" i="5"/>
  <c r="B1617" i="5"/>
  <c r="A1617" i="5"/>
  <c r="B1616" i="5"/>
  <c r="A1616" i="5"/>
  <c r="B1615" i="5"/>
  <c r="A1615" i="5"/>
  <c r="B1614" i="5"/>
  <c r="A1614" i="5"/>
  <c r="B1613" i="5"/>
  <c r="A1613" i="5"/>
  <c r="B1612" i="5"/>
  <c r="A1612" i="5"/>
  <c r="B1611" i="5"/>
  <c r="A1611" i="5"/>
  <c r="B1610" i="5"/>
  <c r="A1610" i="5"/>
  <c r="B1609" i="5"/>
  <c r="A1609" i="5"/>
  <c r="B1608" i="5"/>
  <c r="A1608" i="5"/>
  <c r="B1607" i="5"/>
  <c r="A1607" i="5"/>
  <c r="B1606" i="5"/>
  <c r="A1606" i="5"/>
  <c r="B1605" i="5"/>
  <c r="A1605" i="5"/>
  <c r="B1604" i="5"/>
  <c r="A1604" i="5"/>
  <c r="B1603" i="5"/>
  <c r="A1603" i="5"/>
  <c r="B1602" i="5"/>
  <c r="A1602" i="5"/>
  <c r="B1601" i="5"/>
  <c r="A1601" i="5"/>
  <c r="B1600" i="5"/>
  <c r="A1600" i="5"/>
  <c r="B1599" i="5"/>
  <c r="A1599" i="5"/>
  <c r="B1598" i="5"/>
  <c r="A1598" i="5"/>
  <c r="B1597" i="5"/>
  <c r="A1597" i="5"/>
  <c r="B1596" i="5"/>
  <c r="A1596" i="5"/>
  <c r="B1595" i="5"/>
  <c r="A1595" i="5"/>
  <c r="B1594" i="5"/>
  <c r="A1594" i="5"/>
  <c r="B1593" i="5"/>
  <c r="A1593" i="5"/>
  <c r="B1592" i="5"/>
  <c r="A1592" i="5"/>
  <c r="B1591" i="5"/>
  <c r="A1591" i="5"/>
  <c r="B1590" i="5"/>
  <c r="A1590" i="5"/>
  <c r="B1589" i="5"/>
  <c r="A1589" i="5"/>
  <c r="B1588" i="5"/>
  <c r="A1588" i="5"/>
  <c r="B1587" i="5"/>
  <c r="A1587" i="5"/>
  <c r="B1586" i="5"/>
  <c r="A1586" i="5"/>
  <c r="B1585" i="5"/>
  <c r="A1585" i="5"/>
  <c r="B1584" i="5"/>
  <c r="A1584" i="5"/>
  <c r="B1583" i="5"/>
  <c r="A1583" i="5"/>
  <c r="B1582" i="5"/>
  <c r="A1582" i="5"/>
  <c r="B1581" i="5"/>
  <c r="A1581" i="5"/>
  <c r="B1580" i="5"/>
  <c r="A1580" i="5"/>
  <c r="B1579" i="5"/>
  <c r="A1579" i="5"/>
  <c r="B1578" i="5"/>
  <c r="A1578" i="5"/>
  <c r="B1577" i="5"/>
  <c r="A1577" i="5"/>
  <c r="B1576" i="5"/>
  <c r="A1576" i="5"/>
  <c r="B1575" i="5"/>
  <c r="A1575" i="5"/>
  <c r="B1574" i="5"/>
  <c r="A1574" i="5"/>
  <c r="B1573" i="5"/>
  <c r="A1573" i="5"/>
  <c r="B1572" i="5"/>
  <c r="A1572" i="5"/>
  <c r="B1571" i="5"/>
  <c r="A1571" i="5"/>
  <c r="B1570" i="5"/>
  <c r="A1570" i="5"/>
  <c r="B1569" i="5"/>
  <c r="A1569" i="5"/>
  <c r="B1568" i="5"/>
  <c r="A1568" i="5"/>
  <c r="B1567" i="5"/>
  <c r="A1567" i="5"/>
  <c r="B1566" i="5"/>
  <c r="A1566" i="5"/>
  <c r="B1565" i="5"/>
  <c r="A1565" i="5"/>
  <c r="B1564" i="5"/>
  <c r="A1564" i="5"/>
  <c r="B1563" i="5"/>
  <c r="A1563" i="5"/>
  <c r="B1562" i="5"/>
  <c r="A1562" i="5"/>
  <c r="B1561" i="5"/>
  <c r="A1561" i="5"/>
  <c r="B1560" i="5"/>
  <c r="A1560" i="5"/>
  <c r="B1559" i="5"/>
  <c r="A1559" i="5"/>
  <c r="B1558" i="5"/>
  <c r="A1558" i="5"/>
  <c r="B1557" i="5"/>
  <c r="A1557" i="5"/>
  <c r="B1556" i="5"/>
  <c r="A1556" i="5"/>
  <c r="B1555" i="5"/>
  <c r="A1555" i="5"/>
  <c r="B1554" i="5"/>
  <c r="A1554" i="5"/>
  <c r="B1553" i="5"/>
  <c r="A1553" i="5"/>
  <c r="B1552" i="5"/>
  <c r="A1552" i="5"/>
  <c r="B1551" i="5"/>
  <c r="A1551" i="5"/>
  <c r="B1550" i="5"/>
  <c r="A1550" i="5"/>
  <c r="B1549" i="5"/>
  <c r="A1549" i="5"/>
  <c r="B1548" i="5"/>
  <c r="A1548" i="5"/>
  <c r="B1547" i="5"/>
  <c r="A1547" i="5"/>
  <c r="B1546" i="5"/>
  <c r="A1546" i="5"/>
  <c r="B1545" i="5"/>
  <c r="A1545" i="5"/>
  <c r="B1544" i="5"/>
  <c r="A1544" i="5"/>
  <c r="B1543" i="5"/>
  <c r="A1543" i="5"/>
  <c r="B1542" i="5"/>
  <c r="A1542" i="5"/>
  <c r="B1541" i="5"/>
  <c r="A1541" i="5"/>
  <c r="B1540" i="5"/>
  <c r="A1540" i="5"/>
  <c r="B1539" i="5"/>
  <c r="A1539" i="5"/>
  <c r="B1538" i="5"/>
  <c r="A1538" i="5"/>
  <c r="B1537" i="5"/>
  <c r="A1537" i="5"/>
  <c r="B1536" i="5"/>
  <c r="A1536" i="5"/>
  <c r="B1535" i="5"/>
  <c r="A1535" i="5"/>
  <c r="B1534" i="5"/>
  <c r="A1534" i="5"/>
  <c r="B1533" i="5"/>
  <c r="A1533" i="5"/>
  <c r="B1532" i="5"/>
  <c r="A1532" i="5"/>
  <c r="B1531" i="5"/>
  <c r="A1531" i="5"/>
  <c r="B1530" i="5"/>
  <c r="A1530" i="5"/>
  <c r="B1529" i="5"/>
  <c r="A1529" i="5"/>
  <c r="B1528" i="5"/>
  <c r="A1528" i="5"/>
  <c r="B1527" i="5"/>
  <c r="A1527" i="5"/>
  <c r="B1526" i="5"/>
  <c r="A1526" i="5"/>
  <c r="B1525" i="5"/>
  <c r="A1525" i="5"/>
  <c r="B1524" i="5"/>
  <c r="A1524" i="5"/>
  <c r="B1523" i="5"/>
  <c r="A1523" i="5"/>
  <c r="B1522" i="5"/>
  <c r="A1522" i="5"/>
  <c r="B1521" i="5"/>
  <c r="A1521" i="5"/>
  <c r="B1520" i="5"/>
  <c r="A1520" i="5"/>
  <c r="B1519" i="5"/>
  <c r="A1519" i="5"/>
  <c r="B1518" i="5"/>
  <c r="A1518" i="5"/>
  <c r="B1517" i="5"/>
  <c r="A1517" i="5"/>
  <c r="B1516" i="5"/>
  <c r="A1516" i="5"/>
  <c r="B1515" i="5"/>
  <c r="A1515" i="5"/>
  <c r="B1514" i="5"/>
  <c r="A1514" i="5"/>
  <c r="B1513" i="5"/>
  <c r="A1513" i="5"/>
  <c r="B1512" i="5"/>
  <c r="A1512" i="5"/>
  <c r="B1511" i="5"/>
  <c r="A1511" i="5"/>
  <c r="B1510" i="5"/>
  <c r="A1510" i="5"/>
  <c r="B1509" i="5"/>
  <c r="A1509" i="5"/>
  <c r="B1508" i="5"/>
  <c r="A1508" i="5"/>
  <c r="B1507" i="5"/>
  <c r="A1507" i="5"/>
  <c r="B1506" i="5"/>
  <c r="A1506" i="5"/>
  <c r="B1505" i="5"/>
  <c r="A1505" i="5"/>
  <c r="B1504" i="5"/>
  <c r="A1504" i="5"/>
  <c r="B1503" i="5"/>
  <c r="A1503" i="5"/>
  <c r="B1502" i="5"/>
  <c r="A1502" i="5"/>
  <c r="B1501" i="5"/>
  <c r="A1501" i="5"/>
  <c r="B1500" i="5"/>
  <c r="A1500" i="5"/>
  <c r="B1499" i="5"/>
  <c r="A1499" i="5"/>
  <c r="B1498" i="5"/>
  <c r="A1498" i="5"/>
  <c r="B1497" i="5"/>
  <c r="A1497" i="5"/>
  <c r="B1496" i="5"/>
  <c r="A1496" i="5"/>
  <c r="B1495" i="5"/>
  <c r="A1495" i="5"/>
  <c r="B1494" i="5"/>
  <c r="A1494" i="5"/>
  <c r="B1493" i="5"/>
  <c r="A1493" i="5"/>
  <c r="B1492" i="5"/>
  <c r="A1492" i="5"/>
  <c r="B1491" i="5"/>
  <c r="A1491" i="5"/>
  <c r="B1490" i="5"/>
  <c r="A1490" i="5"/>
  <c r="B1489" i="5"/>
  <c r="A1489" i="5"/>
  <c r="B1488" i="5"/>
  <c r="A1488" i="5"/>
  <c r="B1487" i="5"/>
  <c r="A1487" i="5"/>
  <c r="B1486" i="5"/>
  <c r="A1486" i="5"/>
  <c r="B1485" i="5"/>
  <c r="A1485" i="5"/>
  <c r="B1484" i="5"/>
  <c r="A1484" i="5"/>
  <c r="B1483" i="5"/>
  <c r="A1483" i="5"/>
  <c r="B1482" i="5"/>
  <c r="A1482" i="5"/>
  <c r="B1481" i="5"/>
  <c r="A1481" i="5"/>
  <c r="B1480" i="5"/>
  <c r="A1480" i="5"/>
  <c r="B1479" i="5"/>
  <c r="A1479" i="5"/>
  <c r="B1478" i="5"/>
  <c r="A1478" i="5"/>
  <c r="B1477" i="5"/>
  <c r="A1477" i="5"/>
  <c r="B1476" i="5"/>
  <c r="A1476" i="5"/>
  <c r="B1475" i="5"/>
  <c r="A1475" i="5"/>
  <c r="B1474" i="5"/>
  <c r="A1474" i="5"/>
  <c r="B1473" i="5"/>
  <c r="A1473" i="5"/>
  <c r="B1472" i="5"/>
  <c r="A1472" i="5"/>
  <c r="B1471" i="5"/>
  <c r="A1471" i="5"/>
  <c r="B1470" i="5"/>
  <c r="A1470" i="5"/>
  <c r="B1469" i="5"/>
  <c r="A1469" i="5"/>
  <c r="B1468" i="5"/>
  <c r="A1468" i="5"/>
  <c r="B1467" i="5"/>
  <c r="A1467" i="5"/>
  <c r="B1466" i="5"/>
  <c r="A1466" i="5"/>
  <c r="B1465" i="5"/>
  <c r="A1465" i="5"/>
  <c r="B1464" i="5"/>
  <c r="A1464" i="5"/>
  <c r="B1463" i="5"/>
  <c r="A1463" i="5"/>
  <c r="B1462" i="5"/>
  <c r="A1462" i="5"/>
  <c r="B1461" i="5"/>
  <c r="A1461" i="5"/>
  <c r="B1460" i="5"/>
  <c r="A1460" i="5"/>
  <c r="B1459" i="5"/>
  <c r="A1459" i="5"/>
  <c r="B1458" i="5"/>
  <c r="A1458" i="5"/>
  <c r="B1457" i="5"/>
  <c r="A1457" i="5"/>
  <c r="B1456" i="5"/>
  <c r="A1456" i="5"/>
  <c r="B1455" i="5"/>
  <c r="A1455" i="5"/>
  <c r="B1454" i="5"/>
  <c r="A1454" i="5"/>
  <c r="B1453" i="5"/>
  <c r="A1453" i="5"/>
  <c r="B1452" i="5"/>
  <c r="A1452" i="5"/>
  <c r="B1451" i="5"/>
  <c r="A1451" i="5"/>
  <c r="B1450" i="5"/>
  <c r="A1450" i="5"/>
  <c r="B1449" i="5"/>
  <c r="A1449" i="5"/>
  <c r="B1448" i="5"/>
  <c r="A1448" i="5"/>
  <c r="B1447" i="5"/>
  <c r="A1447" i="5"/>
  <c r="B1446" i="5"/>
  <c r="A1446" i="5"/>
  <c r="B1445" i="5"/>
  <c r="A1445" i="5"/>
  <c r="B1444" i="5"/>
  <c r="A1444" i="5"/>
  <c r="B1443" i="5"/>
  <c r="A1443" i="5"/>
  <c r="B1442" i="5"/>
  <c r="A1442" i="5"/>
  <c r="B1441" i="5"/>
  <c r="A1441" i="5"/>
  <c r="B1440" i="5"/>
  <c r="A1440" i="5"/>
  <c r="B1439" i="5"/>
  <c r="A1439" i="5"/>
  <c r="B1438" i="5"/>
  <c r="A1438" i="5"/>
  <c r="B1437" i="5"/>
  <c r="A1437" i="5"/>
  <c r="B1436" i="5"/>
  <c r="A1436" i="5"/>
  <c r="B1435" i="5"/>
  <c r="A1435" i="5"/>
  <c r="B1434" i="5"/>
  <c r="A1434" i="5"/>
  <c r="B1433" i="5"/>
  <c r="A1433" i="5"/>
  <c r="B1432" i="5"/>
  <c r="A1432" i="5"/>
  <c r="B1431" i="5"/>
  <c r="A1431" i="5"/>
  <c r="B1430" i="5"/>
  <c r="A1430" i="5"/>
  <c r="B1429" i="5"/>
  <c r="A1429" i="5"/>
  <c r="B1428" i="5"/>
  <c r="A1428" i="5"/>
  <c r="B1427" i="5"/>
  <c r="A1427" i="5"/>
  <c r="B1426" i="5"/>
  <c r="A1426" i="5"/>
  <c r="B1425" i="5"/>
  <c r="A1425" i="5"/>
  <c r="B1424" i="5"/>
  <c r="A1424" i="5"/>
  <c r="B1423" i="5"/>
  <c r="A1423" i="5"/>
  <c r="B1422" i="5"/>
  <c r="A1422" i="5"/>
  <c r="B1421" i="5"/>
  <c r="A1421" i="5"/>
  <c r="B1420" i="5"/>
  <c r="A1420" i="5"/>
  <c r="B1419" i="5"/>
  <c r="A1419" i="5"/>
  <c r="B1418" i="5"/>
  <c r="A1418" i="5"/>
  <c r="B1417" i="5"/>
  <c r="A1417" i="5"/>
  <c r="B1416" i="5"/>
  <c r="A1416" i="5"/>
  <c r="B1415" i="5"/>
  <c r="A1415" i="5"/>
  <c r="B1414" i="5"/>
  <c r="A1414" i="5"/>
  <c r="B1413" i="5"/>
  <c r="A1413" i="5"/>
  <c r="B1412" i="5"/>
  <c r="A1412" i="5"/>
  <c r="B1411" i="5"/>
  <c r="A1411" i="5"/>
  <c r="B1410" i="5"/>
  <c r="A1410" i="5"/>
  <c r="B1409" i="5"/>
  <c r="A1409" i="5"/>
  <c r="B1408" i="5"/>
  <c r="A1408" i="5"/>
  <c r="B1407" i="5"/>
  <c r="A1407" i="5"/>
  <c r="B1406" i="5"/>
  <c r="A1406" i="5"/>
  <c r="B1405" i="5"/>
  <c r="A1405" i="5"/>
  <c r="B1404" i="5"/>
  <c r="A1404" i="5"/>
  <c r="B1403" i="5"/>
  <c r="A1403" i="5"/>
  <c r="B1402" i="5"/>
  <c r="A1402" i="5"/>
  <c r="B1401" i="5"/>
  <c r="A1401" i="5"/>
  <c r="B1400" i="5"/>
  <c r="A1400" i="5"/>
  <c r="B1399" i="5"/>
  <c r="A1399" i="5"/>
  <c r="B1398" i="5"/>
  <c r="A1398" i="5"/>
  <c r="B1397" i="5"/>
  <c r="A1397" i="5"/>
  <c r="B1396" i="5"/>
  <c r="A1396" i="5"/>
  <c r="B1395" i="5"/>
  <c r="A1395" i="5"/>
  <c r="B1394" i="5"/>
  <c r="A1394" i="5"/>
  <c r="B1393" i="5"/>
  <c r="A1393" i="5"/>
  <c r="B1392" i="5"/>
  <c r="A1392" i="5"/>
  <c r="B1391" i="5"/>
  <c r="A1391" i="5"/>
  <c r="B1390" i="5"/>
  <c r="A1390" i="5"/>
  <c r="B1389" i="5"/>
  <c r="A1389" i="5"/>
  <c r="B1388" i="5"/>
  <c r="A1388" i="5"/>
  <c r="B1387" i="5"/>
  <c r="A1387" i="5"/>
  <c r="B1386" i="5"/>
  <c r="A1386" i="5"/>
  <c r="B1385" i="5"/>
  <c r="A1385" i="5"/>
  <c r="B1384" i="5"/>
  <c r="A1384" i="5"/>
  <c r="B1383" i="5"/>
  <c r="A1383" i="5"/>
  <c r="B1382" i="5"/>
  <c r="A1382" i="5"/>
  <c r="B1381" i="5"/>
  <c r="A1381" i="5"/>
  <c r="B1380" i="5"/>
  <c r="A1380" i="5"/>
  <c r="B1379" i="5"/>
  <c r="A1379" i="5"/>
  <c r="B1378" i="5"/>
  <c r="A1378" i="5"/>
  <c r="B1377" i="5"/>
  <c r="A1377" i="5"/>
  <c r="B1376" i="5"/>
  <c r="A1376" i="5"/>
  <c r="B1375" i="5"/>
  <c r="A1375" i="5"/>
  <c r="B1374" i="5"/>
  <c r="A1374" i="5"/>
  <c r="B1373" i="5"/>
  <c r="A1373" i="5"/>
  <c r="B1372" i="5"/>
  <c r="A1372" i="5"/>
  <c r="B1371" i="5"/>
  <c r="A1371" i="5"/>
  <c r="B1370" i="5"/>
  <c r="A1370" i="5"/>
  <c r="B1369" i="5"/>
  <c r="A1369" i="5"/>
  <c r="B1368" i="5"/>
  <c r="A1368" i="5"/>
  <c r="B1367" i="5"/>
  <c r="A1367" i="5"/>
  <c r="B1366" i="5"/>
  <c r="A1366" i="5"/>
  <c r="B1365" i="5"/>
  <c r="A1365" i="5"/>
  <c r="B1364" i="5"/>
  <c r="A1364" i="5"/>
  <c r="B1363" i="5"/>
  <c r="A1363" i="5"/>
  <c r="B1362" i="5"/>
  <c r="A1362" i="5"/>
  <c r="B1361" i="5"/>
  <c r="A1361" i="5"/>
  <c r="B1360" i="5"/>
  <c r="A1360" i="5"/>
  <c r="B1359" i="5"/>
  <c r="A1359" i="5"/>
  <c r="B1358" i="5"/>
  <c r="A1358" i="5"/>
  <c r="B1357" i="5"/>
  <c r="A1357" i="5"/>
  <c r="B1356" i="5"/>
  <c r="A1356" i="5"/>
  <c r="B1355" i="5"/>
  <c r="A1355" i="5"/>
  <c r="B1354" i="5"/>
  <c r="A1354" i="5"/>
  <c r="B1353" i="5"/>
  <c r="A1353" i="5"/>
  <c r="B1352" i="5"/>
  <c r="A1352" i="5"/>
  <c r="B1351" i="5"/>
  <c r="A1351" i="5"/>
  <c r="B1350" i="5"/>
  <c r="A1350" i="5"/>
  <c r="B1349" i="5"/>
  <c r="A1349" i="5"/>
  <c r="B1348" i="5"/>
  <c r="A1348" i="5"/>
  <c r="B1347" i="5"/>
  <c r="A1347" i="5"/>
  <c r="B1346" i="5"/>
  <c r="A1346" i="5"/>
  <c r="B1345" i="5"/>
  <c r="A1345" i="5"/>
  <c r="D1344" i="5"/>
  <c r="C1344" i="5"/>
  <c r="B1344" i="5"/>
  <c r="A1344" i="5"/>
  <c r="D1343" i="5"/>
  <c r="C1343" i="5"/>
  <c r="B1343" i="5"/>
  <c r="A1343" i="5"/>
  <c r="D1342" i="5"/>
  <c r="C1342" i="5"/>
  <c r="B1342" i="5"/>
  <c r="A1342" i="5"/>
  <c r="D1341" i="5"/>
  <c r="C1341" i="5"/>
  <c r="B1341" i="5"/>
  <c r="A1341" i="5"/>
  <c r="D1340" i="5"/>
  <c r="C1340" i="5"/>
  <c r="B1340" i="5"/>
  <c r="A1340" i="5"/>
  <c r="D1339" i="5"/>
  <c r="C1339" i="5"/>
  <c r="B1339" i="5"/>
  <c r="A1339" i="5"/>
  <c r="D1338" i="5"/>
  <c r="C1338" i="5"/>
  <c r="B1338" i="5"/>
  <c r="A1338" i="5"/>
  <c r="D1337" i="5"/>
  <c r="C1337" i="5"/>
  <c r="B1337" i="5"/>
  <c r="A1337" i="5"/>
  <c r="D1336" i="5"/>
  <c r="C1336" i="5"/>
  <c r="B1336" i="5"/>
  <c r="A1336" i="5"/>
  <c r="D1335" i="5"/>
  <c r="C1335" i="5"/>
  <c r="B1335" i="5"/>
  <c r="A1335" i="5"/>
  <c r="D1334" i="5"/>
  <c r="C1334" i="5"/>
  <c r="B1334" i="5"/>
  <c r="A1334" i="5"/>
  <c r="D1333" i="5"/>
  <c r="C1333" i="5"/>
  <c r="B1333" i="5"/>
  <c r="A1333" i="5"/>
  <c r="D1332" i="5"/>
  <c r="C1332" i="5"/>
  <c r="B1332" i="5"/>
  <c r="A1332" i="5"/>
  <c r="D1331" i="5"/>
  <c r="C1331" i="5"/>
  <c r="B1331" i="5"/>
  <c r="A1331" i="5"/>
  <c r="D1330" i="5"/>
  <c r="C1330" i="5"/>
  <c r="B1330" i="5"/>
  <c r="A1330" i="5"/>
  <c r="D1329" i="5"/>
  <c r="C1329" i="5"/>
  <c r="B1329" i="5"/>
  <c r="A1329" i="5"/>
  <c r="D1328" i="5"/>
  <c r="C1328" i="5"/>
  <c r="B1328" i="5"/>
  <c r="A1328" i="5"/>
  <c r="D1327" i="5"/>
  <c r="C1327" i="5"/>
  <c r="B1327" i="5"/>
  <c r="A1327" i="5"/>
  <c r="D1326" i="5"/>
  <c r="C1326" i="5"/>
  <c r="B1326" i="5"/>
  <c r="A1326" i="5"/>
  <c r="D1325" i="5"/>
  <c r="C1325" i="5"/>
  <c r="B1325" i="5"/>
  <c r="A1325" i="5"/>
  <c r="D1324" i="5"/>
  <c r="C1324" i="5"/>
  <c r="B1324" i="5"/>
  <c r="A1324" i="5"/>
  <c r="D1323" i="5"/>
  <c r="C1323" i="5"/>
  <c r="B1323" i="5"/>
  <c r="A1323" i="5"/>
  <c r="D1322" i="5"/>
  <c r="C1322" i="5"/>
  <c r="B1322" i="5"/>
  <c r="A1322" i="5"/>
  <c r="D1321" i="5"/>
  <c r="C1321" i="5"/>
  <c r="B1321" i="5"/>
  <c r="A1321" i="5"/>
  <c r="D1320" i="5"/>
  <c r="C1320" i="5"/>
  <c r="B1320" i="5"/>
  <c r="A1320" i="5"/>
  <c r="D1319" i="5"/>
  <c r="C1319" i="5"/>
  <c r="B1319" i="5"/>
  <c r="A1319" i="5"/>
  <c r="D1318" i="5"/>
  <c r="C1318" i="5"/>
  <c r="B1318" i="5"/>
  <c r="A1318" i="5"/>
  <c r="D1317" i="5"/>
  <c r="C1317" i="5"/>
  <c r="B1317" i="5"/>
  <c r="A1317" i="5"/>
  <c r="D1316" i="5"/>
  <c r="C1316" i="5"/>
  <c r="B1316" i="5"/>
  <c r="A1316" i="5"/>
  <c r="D1315" i="5"/>
  <c r="C1315" i="5"/>
  <c r="B1315" i="5"/>
  <c r="A1315" i="5"/>
  <c r="D1314" i="5"/>
  <c r="C1314" i="5"/>
  <c r="B1314" i="5"/>
  <c r="A1314" i="5"/>
  <c r="D1313" i="5"/>
  <c r="C1313" i="5"/>
  <c r="B1313" i="5"/>
  <c r="A1313" i="5"/>
  <c r="D1312" i="5"/>
  <c r="C1312" i="5"/>
  <c r="B1312" i="5"/>
  <c r="A1312" i="5"/>
  <c r="D1311" i="5"/>
  <c r="C1311" i="5"/>
  <c r="B1311" i="5"/>
  <c r="A1311" i="5"/>
  <c r="D1310" i="5"/>
  <c r="C1310" i="5"/>
  <c r="B1310" i="5"/>
  <c r="A1310" i="5"/>
  <c r="D1309" i="5"/>
  <c r="C1309" i="5"/>
  <c r="B1309" i="5"/>
  <c r="A1309" i="5"/>
  <c r="D1308" i="5"/>
  <c r="C1308" i="5"/>
  <c r="B1308" i="5"/>
  <c r="A1308" i="5"/>
  <c r="D1307" i="5"/>
  <c r="C1307" i="5"/>
  <c r="B1307" i="5"/>
  <c r="A1307" i="5"/>
  <c r="D1306" i="5"/>
  <c r="C1306" i="5"/>
  <c r="B1306" i="5"/>
  <c r="A1306" i="5"/>
  <c r="D1305" i="5"/>
  <c r="C1305" i="5"/>
  <c r="B1305" i="5"/>
  <c r="A1305" i="5"/>
  <c r="D1304" i="5"/>
  <c r="C1304" i="5"/>
  <c r="B1304" i="5"/>
  <c r="A1304" i="5"/>
  <c r="D1303" i="5"/>
  <c r="C1303" i="5"/>
  <c r="B1303" i="5"/>
  <c r="A1303" i="5"/>
  <c r="D1302" i="5"/>
  <c r="C1302" i="5"/>
  <c r="B1302" i="5"/>
  <c r="A1302" i="5"/>
  <c r="D1301" i="5"/>
  <c r="C1301" i="5"/>
  <c r="B1301" i="5"/>
  <c r="A1301" i="5"/>
  <c r="D1300" i="5"/>
  <c r="C1300" i="5"/>
  <c r="B1300" i="5"/>
  <c r="A1300" i="5"/>
  <c r="D1299" i="5"/>
  <c r="C1299" i="5"/>
  <c r="B1299" i="5"/>
  <c r="A1299" i="5"/>
  <c r="D1298" i="5"/>
  <c r="C1298" i="5"/>
  <c r="B1298" i="5"/>
  <c r="A1298" i="5"/>
  <c r="D1297" i="5"/>
  <c r="C1297" i="5"/>
  <c r="B1297" i="5"/>
  <c r="A1297" i="5"/>
  <c r="D1296" i="5"/>
  <c r="C1296" i="5"/>
  <c r="B1296" i="5"/>
  <c r="A1296" i="5"/>
  <c r="D1295" i="5"/>
  <c r="C1295" i="5"/>
  <c r="B1295" i="5"/>
  <c r="A1295" i="5"/>
  <c r="D1294" i="5"/>
  <c r="C1294" i="5"/>
  <c r="B1294" i="5"/>
  <c r="A1294" i="5"/>
  <c r="D1293" i="5"/>
  <c r="C1293" i="5"/>
  <c r="B1293" i="5"/>
  <c r="A1293" i="5"/>
  <c r="D1292" i="5"/>
  <c r="C1292" i="5"/>
  <c r="B1292" i="5"/>
  <c r="A1292" i="5"/>
  <c r="D1291" i="5"/>
  <c r="C1291" i="5"/>
  <c r="B1291" i="5"/>
  <c r="A1291" i="5"/>
  <c r="D1290" i="5"/>
  <c r="C1290" i="5"/>
  <c r="B1290" i="5"/>
  <c r="A1290" i="5"/>
  <c r="D1289" i="5"/>
  <c r="C1289" i="5"/>
  <c r="B1289" i="5"/>
  <c r="A1289" i="5"/>
  <c r="D1288" i="5"/>
  <c r="C1288" i="5"/>
  <c r="B1288" i="5"/>
  <c r="A1288" i="5"/>
  <c r="D1287" i="5"/>
  <c r="C1287" i="5"/>
  <c r="B1287" i="5"/>
  <c r="A1287" i="5"/>
  <c r="D1286" i="5"/>
  <c r="C1286" i="5"/>
  <c r="B1286" i="5"/>
  <c r="A1286" i="5"/>
  <c r="D1285" i="5"/>
  <c r="C1285" i="5"/>
  <c r="B1285" i="5"/>
  <c r="A1285" i="5"/>
  <c r="D1284" i="5"/>
  <c r="C1284" i="5"/>
  <c r="B1284" i="5"/>
  <c r="A1284" i="5"/>
  <c r="D1283" i="5"/>
  <c r="C1283" i="5"/>
  <c r="B1283" i="5"/>
  <c r="A1283" i="5"/>
  <c r="D1282" i="5"/>
  <c r="C1282" i="5"/>
  <c r="B1282" i="5"/>
  <c r="A1282" i="5"/>
  <c r="D1281" i="5"/>
  <c r="C1281" i="5"/>
  <c r="B1281" i="5"/>
  <c r="A1281" i="5"/>
  <c r="D1280" i="5"/>
  <c r="C1280" i="5"/>
  <c r="B1280" i="5"/>
  <c r="A1280" i="5"/>
  <c r="D1279" i="5"/>
  <c r="C1279" i="5"/>
  <c r="B1279" i="5"/>
  <c r="A1279" i="5"/>
  <c r="D1278" i="5"/>
  <c r="C1278" i="5"/>
  <c r="B1278" i="5"/>
  <c r="A1278" i="5"/>
  <c r="D1277" i="5"/>
  <c r="C1277" i="5"/>
  <c r="B1277" i="5"/>
  <c r="A1277" i="5"/>
  <c r="D1276" i="5"/>
  <c r="C1276" i="5"/>
  <c r="B1276" i="5"/>
  <c r="A1276" i="5"/>
  <c r="D1275" i="5"/>
  <c r="C1275" i="5"/>
  <c r="B1275" i="5"/>
  <c r="A1275" i="5"/>
  <c r="D1274" i="5"/>
  <c r="C1274" i="5"/>
  <c r="B1274" i="5"/>
  <c r="A1274" i="5"/>
  <c r="D1273" i="5"/>
  <c r="C1273" i="5"/>
  <c r="B1273" i="5"/>
  <c r="A1273" i="5"/>
  <c r="D1272" i="5"/>
  <c r="C1272" i="5"/>
  <c r="B1272" i="5"/>
  <c r="A1272" i="5"/>
  <c r="D1271" i="5"/>
  <c r="C1271" i="5"/>
  <c r="B1271" i="5"/>
  <c r="A1271" i="5"/>
  <c r="D1270" i="5"/>
  <c r="C1270" i="5"/>
  <c r="B1270" i="5"/>
  <c r="A1270" i="5"/>
  <c r="D1269" i="5"/>
  <c r="C1269" i="5"/>
  <c r="B1269" i="5"/>
  <c r="A1269" i="5"/>
  <c r="D1268" i="5"/>
  <c r="C1268" i="5"/>
  <c r="B1268" i="5"/>
  <c r="A1268" i="5"/>
  <c r="D1267" i="5"/>
  <c r="C1267" i="5"/>
  <c r="B1267" i="5"/>
  <c r="A1267" i="5"/>
  <c r="D1266" i="5"/>
  <c r="C1266" i="5"/>
  <c r="B1266" i="5"/>
  <c r="A1266" i="5"/>
  <c r="D1265" i="5"/>
  <c r="C1265" i="5"/>
  <c r="B1265" i="5"/>
  <c r="A1265" i="5"/>
  <c r="D1264" i="5"/>
  <c r="C1264" i="5"/>
  <c r="B1264" i="5"/>
  <c r="A1264" i="5"/>
  <c r="D1263" i="5"/>
  <c r="C1263" i="5"/>
  <c r="B1263" i="5"/>
  <c r="A1263" i="5"/>
  <c r="D1262" i="5"/>
  <c r="C1262" i="5"/>
  <c r="B1262" i="5"/>
  <c r="A1262" i="5"/>
  <c r="D1261" i="5"/>
  <c r="C1261" i="5"/>
  <c r="B1261" i="5"/>
  <c r="A1261" i="5"/>
  <c r="D1260" i="5"/>
  <c r="C1260" i="5"/>
  <c r="B1260" i="5"/>
  <c r="A1260" i="5"/>
  <c r="D1259" i="5"/>
  <c r="C1259" i="5"/>
  <c r="B1259" i="5"/>
  <c r="A1259" i="5"/>
  <c r="D1258" i="5"/>
  <c r="C1258" i="5"/>
  <c r="B1258" i="5"/>
  <c r="A1258" i="5"/>
  <c r="D1257" i="5"/>
  <c r="C1257" i="5"/>
  <c r="B1257" i="5"/>
  <c r="A1257" i="5"/>
  <c r="D1256" i="5"/>
  <c r="C1256" i="5"/>
  <c r="B1256" i="5"/>
  <c r="A1256" i="5"/>
  <c r="D1255" i="5"/>
  <c r="C1255" i="5"/>
  <c r="B1255" i="5"/>
  <c r="A1255" i="5"/>
  <c r="D1254" i="5"/>
  <c r="C1254" i="5"/>
  <c r="B1254" i="5"/>
  <c r="A1254" i="5"/>
  <c r="D1253" i="5"/>
  <c r="C1253" i="5"/>
  <c r="B1253" i="5"/>
  <c r="A1253" i="5"/>
  <c r="D1252" i="5"/>
  <c r="C1252" i="5"/>
  <c r="B1252" i="5"/>
  <c r="A1252" i="5"/>
  <c r="D1251" i="5"/>
  <c r="C1251" i="5"/>
  <c r="B1251" i="5"/>
  <c r="A1251" i="5"/>
  <c r="D1250" i="5"/>
  <c r="C1250" i="5"/>
  <c r="B1250" i="5"/>
  <c r="A1250" i="5"/>
  <c r="D1249" i="5"/>
  <c r="C1249" i="5"/>
  <c r="B1249" i="5"/>
  <c r="A1249" i="5"/>
  <c r="D1248" i="5"/>
  <c r="C1248" i="5"/>
  <c r="B1248" i="5"/>
  <c r="A1248" i="5"/>
  <c r="D1247" i="5"/>
  <c r="C1247" i="5"/>
  <c r="B1247" i="5"/>
  <c r="A1247" i="5"/>
  <c r="D1246" i="5"/>
  <c r="C1246" i="5"/>
  <c r="B1246" i="5"/>
  <c r="A1246" i="5"/>
  <c r="D1245" i="5"/>
  <c r="C1245" i="5"/>
  <c r="B1245" i="5"/>
  <c r="A1245" i="5"/>
  <c r="D1244" i="5"/>
  <c r="C1244" i="5"/>
  <c r="B1244" i="5"/>
  <c r="A1244" i="5"/>
  <c r="D1243" i="5"/>
  <c r="C1243" i="5"/>
  <c r="B1243" i="5"/>
  <c r="A1243" i="5"/>
  <c r="D1242" i="5"/>
  <c r="C1242" i="5"/>
  <c r="B1242" i="5"/>
  <c r="A1242" i="5"/>
  <c r="D1241" i="5"/>
  <c r="C1241" i="5"/>
  <c r="B1241" i="5"/>
  <c r="A1241" i="5"/>
  <c r="D1240" i="5"/>
  <c r="C1240" i="5"/>
  <c r="B1240" i="5"/>
  <c r="A1240" i="5"/>
  <c r="D1239" i="5"/>
  <c r="C1239" i="5"/>
  <c r="B1239" i="5"/>
  <c r="A1239" i="5"/>
  <c r="D1238" i="5"/>
  <c r="C1238" i="5"/>
  <c r="B1238" i="5"/>
  <c r="A1238" i="5"/>
  <c r="D1237" i="5"/>
  <c r="C1237" i="5"/>
  <c r="B1237" i="5"/>
  <c r="A1237" i="5"/>
  <c r="D1236" i="5"/>
  <c r="C1236" i="5"/>
  <c r="B1236" i="5"/>
  <c r="A1236" i="5"/>
  <c r="D1235" i="5"/>
  <c r="C1235" i="5"/>
  <c r="B1235" i="5"/>
  <c r="A1235" i="5"/>
  <c r="D1234" i="5"/>
  <c r="C1234" i="5"/>
  <c r="B1234" i="5"/>
  <c r="A1234" i="5"/>
  <c r="D1233" i="5"/>
  <c r="C1233" i="5"/>
  <c r="B1233" i="5"/>
  <c r="A1233" i="5"/>
  <c r="D1232" i="5"/>
  <c r="C1232" i="5"/>
  <c r="B1232" i="5"/>
  <c r="A1232" i="5"/>
  <c r="D1231" i="5"/>
  <c r="C1231" i="5"/>
  <c r="B1231" i="5"/>
  <c r="A1231" i="5"/>
  <c r="D1230" i="5"/>
  <c r="C1230" i="5"/>
  <c r="B1230" i="5"/>
  <c r="A1230" i="5"/>
  <c r="D1229" i="5"/>
  <c r="C1229" i="5"/>
  <c r="B1229" i="5"/>
  <c r="A1229" i="5"/>
  <c r="D1228" i="5"/>
  <c r="C1228" i="5"/>
  <c r="B1228" i="5"/>
  <c r="A1228" i="5"/>
  <c r="D1227" i="5"/>
  <c r="C1227" i="5"/>
  <c r="B1227" i="5"/>
  <c r="A1227" i="5"/>
  <c r="D1226" i="5"/>
  <c r="C1226" i="5"/>
  <c r="B1226" i="5"/>
  <c r="A1226" i="5"/>
  <c r="D1225" i="5"/>
  <c r="C1225" i="5"/>
  <c r="B1225" i="5"/>
  <c r="A1225" i="5"/>
  <c r="D1224" i="5"/>
  <c r="C1224" i="5"/>
  <c r="B1224" i="5"/>
  <c r="A1224" i="5"/>
  <c r="D1223" i="5"/>
  <c r="C1223" i="5"/>
  <c r="B1223" i="5"/>
  <c r="A1223" i="5"/>
  <c r="D1222" i="5"/>
  <c r="C1222" i="5"/>
  <c r="B1222" i="5"/>
  <c r="A1222" i="5"/>
  <c r="D1221" i="5"/>
  <c r="C1221" i="5"/>
  <c r="B1221" i="5"/>
  <c r="A1221" i="5"/>
  <c r="D1220" i="5"/>
  <c r="C1220" i="5"/>
  <c r="B1220" i="5"/>
  <c r="A1220" i="5"/>
  <c r="D1219" i="5"/>
  <c r="C1219" i="5"/>
  <c r="B1219" i="5"/>
  <c r="A1219" i="5"/>
  <c r="D1218" i="5"/>
  <c r="C1218" i="5"/>
  <c r="B1218" i="5"/>
  <c r="A1218" i="5"/>
  <c r="D1217" i="5"/>
  <c r="C1217" i="5"/>
  <c r="B1217" i="5"/>
  <c r="A1217" i="5"/>
  <c r="D1216" i="5"/>
  <c r="C1216" i="5"/>
  <c r="B1216" i="5"/>
  <c r="A1216" i="5"/>
  <c r="D1215" i="5"/>
  <c r="C1215" i="5"/>
  <c r="B1215" i="5"/>
  <c r="A1215" i="5"/>
  <c r="D1214" i="5"/>
  <c r="C1214" i="5"/>
  <c r="B1214" i="5"/>
  <c r="A1214" i="5"/>
  <c r="D1213" i="5"/>
  <c r="C1213" i="5"/>
  <c r="B1213" i="5"/>
  <c r="A1213" i="5"/>
  <c r="D1212" i="5"/>
  <c r="C1212" i="5"/>
  <c r="B1212" i="5"/>
  <c r="A1212" i="5"/>
  <c r="D1211" i="5"/>
  <c r="C1211" i="5"/>
  <c r="B1211" i="5"/>
  <c r="A1211" i="5"/>
  <c r="D1210" i="5"/>
  <c r="C1210" i="5"/>
  <c r="B1210" i="5"/>
  <c r="A1210" i="5"/>
  <c r="D1209" i="5"/>
  <c r="C1209" i="5"/>
  <c r="B1209" i="5"/>
  <c r="A1209" i="5"/>
  <c r="D1208" i="5"/>
  <c r="C1208" i="5"/>
  <c r="B1208" i="5"/>
  <c r="A1208" i="5"/>
  <c r="D1207" i="5"/>
  <c r="C1207" i="5"/>
  <c r="B1207" i="5"/>
  <c r="A1207" i="5"/>
  <c r="D1206" i="5"/>
  <c r="C1206" i="5"/>
  <c r="B1206" i="5"/>
  <c r="A1206" i="5"/>
  <c r="D1205" i="5"/>
  <c r="C1205" i="5"/>
  <c r="B1205" i="5"/>
  <c r="A1205" i="5"/>
  <c r="D1204" i="5"/>
  <c r="C1204" i="5"/>
  <c r="B1204" i="5"/>
  <c r="A1204" i="5"/>
  <c r="D1203" i="5"/>
  <c r="C1203" i="5"/>
  <c r="B1203" i="5"/>
  <c r="A1203" i="5"/>
  <c r="D1202" i="5"/>
  <c r="C1202" i="5"/>
  <c r="B1202" i="5"/>
  <c r="A1202" i="5"/>
  <c r="D1201" i="5"/>
  <c r="C1201" i="5"/>
  <c r="B1201" i="5"/>
  <c r="A1201" i="5"/>
  <c r="D1200" i="5"/>
  <c r="C1200" i="5"/>
  <c r="B1200" i="5"/>
  <c r="A1200" i="5"/>
  <c r="D1199" i="5"/>
  <c r="C1199" i="5"/>
  <c r="B1199" i="5"/>
  <c r="A1199" i="5"/>
  <c r="D1198" i="5"/>
  <c r="C1198" i="5"/>
  <c r="B1198" i="5"/>
  <c r="A1198" i="5"/>
  <c r="D1197" i="5"/>
  <c r="C1197" i="5"/>
  <c r="B1197" i="5"/>
  <c r="A1197" i="5"/>
  <c r="D1196" i="5"/>
  <c r="C1196" i="5"/>
  <c r="B1196" i="5"/>
  <c r="A1196" i="5"/>
  <c r="D1195" i="5"/>
  <c r="C1195" i="5"/>
  <c r="B1195" i="5"/>
  <c r="A1195" i="5"/>
  <c r="D1194" i="5"/>
  <c r="C1194" i="5"/>
  <c r="B1194" i="5"/>
  <c r="A1194" i="5"/>
  <c r="D1193" i="5"/>
  <c r="C1193" i="5"/>
  <c r="B1193" i="5"/>
  <c r="A1193" i="5"/>
  <c r="D1192" i="5"/>
  <c r="C1192" i="5"/>
  <c r="B1192" i="5"/>
  <c r="A1192" i="5"/>
  <c r="D1191" i="5"/>
  <c r="C1191" i="5"/>
  <c r="B1191" i="5"/>
  <c r="A1191" i="5"/>
  <c r="D1190" i="5"/>
  <c r="C1190" i="5"/>
  <c r="B1190" i="5"/>
  <c r="A1190" i="5"/>
  <c r="D1189" i="5"/>
  <c r="C1189" i="5"/>
  <c r="B1189" i="5"/>
  <c r="A1189" i="5"/>
  <c r="D1188" i="5"/>
  <c r="C1188" i="5"/>
  <c r="B1188" i="5"/>
  <c r="A1188" i="5"/>
  <c r="D1187" i="5"/>
  <c r="C1187" i="5"/>
  <c r="B1187" i="5"/>
  <c r="A1187" i="5"/>
  <c r="D1186" i="5"/>
  <c r="C1186" i="5"/>
  <c r="B1186" i="5"/>
  <c r="A1186" i="5"/>
  <c r="D1185" i="5"/>
  <c r="C1185" i="5"/>
  <c r="B1185" i="5"/>
  <c r="A1185" i="5"/>
  <c r="D1184" i="5"/>
  <c r="C1184" i="5"/>
  <c r="B1184" i="5"/>
  <c r="A1184" i="5"/>
  <c r="D1183" i="5"/>
  <c r="C1183" i="5"/>
  <c r="B1183" i="5"/>
  <c r="A1183" i="5"/>
  <c r="D1182" i="5"/>
  <c r="C1182" i="5"/>
  <c r="B1182" i="5"/>
  <c r="A1182" i="5"/>
  <c r="D1181" i="5"/>
  <c r="C1181" i="5"/>
  <c r="B1181" i="5"/>
  <c r="A1181" i="5"/>
  <c r="D1180" i="5"/>
  <c r="C1180" i="5"/>
  <c r="B1180" i="5"/>
  <c r="A1180" i="5"/>
  <c r="D1179" i="5"/>
  <c r="C1179" i="5"/>
  <c r="B1179" i="5"/>
  <c r="A1179" i="5"/>
  <c r="D1178" i="5"/>
  <c r="C1178" i="5"/>
  <c r="B1178" i="5"/>
  <c r="A1178" i="5"/>
  <c r="D1177" i="5"/>
  <c r="C1177" i="5"/>
  <c r="B1177" i="5"/>
  <c r="A1177" i="5"/>
  <c r="D1176" i="5"/>
  <c r="C1176" i="5"/>
  <c r="B1176" i="5"/>
  <c r="A1176" i="5"/>
  <c r="D1175" i="5"/>
  <c r="C1175" i="5"/>
  <c r="B1175" i="5"/>
  <c r="A1175" i="5"/>
  <c r="D1174" i="5"/>
  <c r="C1174" i="5"/>
  <c r="B1174" i="5"/>
  <c r="A1174" i="5"/>
  <c r="D1173" i="5"/>
  <c r="C1173" i="5"/>
  <c r="B1173" i="5"/>
  <c r="A1173" i="5"/>
  <c r="D1172" i="5"/>
  <c r="C1172" i="5"/>
  <c r="B1172" i="5"/>
  <c r="A1172" i="5"/>
  <c r="D1171" i="5"/>
  <c r="C1171" i="5"/>
  <c r="B1171" i="5"/>
  <c r="A1171" i="5"/>
  <c r="D1170" i="5"/>
  <c r="C1170" i="5"/>
  <c r="B1170" i="5"/>
  <c r="A1170" i="5"/>
  <c r="D1169" i="5"/>
  <c r="C1169" i="5"/>
  <c r="B1169" i="5"/>
  <c r="A1169" i="5"/>
  <c r="D1168" i="5"/>
  <c r="C1168" i="5"/>
  <c r="B1168" i="5"/>
  <c r="A1168" i="5"/>
  <c r="D1167" i="5"/>
  <c r="C1167" i="5"/>
  <c r="B1167" i="5"/>
  <c r="A1167" i="5"/>
  <c r="D1166" i="5"/>
  <c r="C1166" i="5"/>
  <c r="B1166" i="5"/>
  <c r="A1166" i="5"/>
  <c r="D1165" i="5"/>
  <c r="C1165" i="5"/>
  <c r="B1165" i="5"/>
  <c r="A1165" i="5"/>
  <c r="D1164" i="5"/>
  <c r="C1164" i="5"/>
  <c r="B1164" i="5"/>
  <c r="A1164" i="5"/>
  <c r="D1163" i="5"/>
  <c r="C1163" i="5"/>
  <c r="B1163" i="5"/>
  <c r="A1163" i="5"/>
  <c r="D1162" i="5"/>
  <c r="C1162" i="5"/>
  <c r="B1162" i="5"/>
  <c r="A1162" i="5"/>
  <c r="D1161" i="5"/>
  <c r="C1161" i="5"/>
  <c r="B1161" i="5"/>
  <c r="A1161" i="5"/>
  <c r="D1160" i="5"/>
  <c r="C1160" i="5"/>
  <c r="B1160" i="5"/>
  <c r="A1160" i="5"/>
  <c r="D1159" i="5"/>
  <c r="C1159" i="5"/>
  <c r="B1159" i="5"/>
  <c r="A1159" i="5"/>
  <c r="D1158" i="5"/>
  <c r="C1158" i="5"/>
  <c r="B1158" i="5"/>
  <c r="A1158" i="5"/>
  <c r="D1157" i="5"/>
  <c r="C1157" i="5"/>
  <c r="B1157" i="5"/>
  <c r="A1157" i="5"/>
  <c r="D1156" i="5"/>
  <c r="C1156" i="5"/>
  <c r="B1156" i="5"/>
  <c r="A1156" i="5"/>
  <c r="D1155" i="5"/>
  <c r="C1155" i="5"/>
  <c r="B1155" i="5"/>
  <c r="A1155" i="5"/>
  <c r="D1154" i="5"/>
  <c r="C1154" i="5"/>
  <c r="B1154" i="5"/>
  <c r="A1154" i="5"/>
  <c r="D1153" i="5"/>
  <c r="C1153" i="5"/>
  <c r="B1153" i="5"/>
  <c r="A1153" i="5"/>
  <c r="D1152" i="5"/>
  <c r="C1152" i="5"/>
  <c r="B1152" i="5"/>
  <c r="A1152" i="5"/>
  <c r="D1151" i="5"/>
  <c r="C1151" i="5"/>
  <c r="B1151" i="5"/>
  <c r="A1151" i="5"/>
  <c r="D1150" i="5"/>
  <c r="C1150" i="5"/>
  <c r="B1150" i="5"/>
  <c r="A1150" i="5"/>
  <c r="D1149" i="5"/>
  <c r="C1149" i="5"/>
  <c r="B1149" i="5"/>
  <c r="A1149" i="5"/>
  <c r="D1148" i="5"/>
  <c r="C1148" i="5"/>
  <c r="B1148" i="5"/>
  <c r="A1148" i="5"/>
  <c r="D1147" i="5"/>
  <c r="C1147" i="5"/>
  <c r="B1147" i="5"/>
  <c r="A1147" i="5"/>
  <c r="D1146" i="5"/>
  <c r="C1146" i="5"/>
  <c r="B1146" i="5"/>
  <c r="A1146" i="5"/>
  <c r="D1145" i="5"/>
  <c r="C1145" i="5"/>
  <c r="B1145" i="5"/>
  <c r="A1145" i="5"/>
  <c r="D1144" i="5"/>
  <c r="C1144" i="5"/>
  <c r="B1144" i="5"/>
  <c r="A1144" i="5"/>
  <c r="D1143" i="5"/>
  <c r="C1143" i="5"/>
  <c r="B1143" i="5"/>
  <c r="A1143" i="5"/>
  <c r="D1142" i="5"/>
  <c r="C1142" i="5"/>
  <c r="B1142" i="5"/>
  <c r="A1142" i="5"/>
  <c r="D1141" i="5"/>
  <c r="C1141" i="5"/>
  <c r="B1141" i="5"/>
  <c r="A1141" i="5"/>
  <c r="D1140" i="5"/>
  <c r="C1140" i="5"/>
  <c r="B1140" i="5"/>
  <c r="A1140" i="5"/>
  <c r="D1139" i="5"/>
  <c r="C1139" i="5"/>
  <c r="B1139" i="5"/>
  <c r="A1139" i="5"/>
  <c r="D1138" i="5"/>
  <c r="C1138" i="5"/>
  <c r="B1138" i="5"/>
  <c r="A1138" i="5"/>
  <c r="D1137" i="5"/>
  <c r="C1137" i="5"/>
  <c r="B1137" i="5"/>
  <c r="A1137" i="5"/>
  <c r="D1136" i="5"/>
  <c r="C1136" i="5"/>
  <c r="B1136" i="5"/>
  <c r="A1136" i="5"/>
  <c r="D1135" i="5"/>
  <c r="C1135" i="5"/>
  <c r="B1135" i="5"/>
  <c r="A1135" i="5"/>
  <c r="D1134" i="5"/>
  <c r="C1134" i="5"/>
  <c r="B1134" i="5"/>
  <c r="A1134" i="5"/>
  <c r="D1133" i="5"/>
  <c r="C1133" i="5"/>
  <c r="B1133" i="5"/>
  <c r="A1133" i="5"/>
  <c r="D1132" i="5"/>
  <c r="C1132" i="5"/>
  <c r="B1132" i="5"/>
  <c r="A1132" i="5"/>
  <c r="D1131" i="5"/>
  <c r="C1131" i="5"/>
  <c r="B1131" i="5"/>
  <c r="A1131" i="5"/>
  <c r="D1130" i="5"/>
  <c r="C1130" i="5"/>
  <c r="B1130" i="5"/>
  <c r="A1130" i="5"/>
  <c r="D1129" i="5"/>
  <c r="C1129" i="5"/>
  <c r="B1129" i="5"/>
  <c r="A1129" i="5"/>
  <c r="D1128" i="5"/>
  <c r="C1128" i="5"/>
  <c r="B1128" i="5"/>
  <c r="A1128" i="5"/>
  <c r="D1127" i="5"/>
  <c r="C1127" i="5"/>
  <c r="B1127" i="5"/>
  <c r="A1127" i="5"/>
  <c r="D1126" i="5"/>
  <c r="C1126" i="5"/>
  <c r="B1126" i="5"/>
  <c r="A1126" i="5"/>
  <c r="D1125" i="5"/>
  <c r="C1125" i="5"/>
  <c r="B1125" i="5"/>
  <c r="A1125" i="5"/>
  <c r="D1124" i="5"/>
  <c r="C1124" i="5"/>
  <c r="B1124" i="5"/>
  <c r="A1124" i="5"/>
  <c r="D1123" i="5"/>
  <c r="C1123" i="5"/>
  <c r="B1123" i="5"/>
  <c r="A1123" i="5"/>
  <c r="D1122" i="5"/>
  <c r="C1122" i="5"/>
  <c r="B1122" i="5"/>
  <c r="A1122" i="5"/>
  <c r="D1121" i="5"/>
  <c r="C1121" i="5"/>
  <c r="B1121" i="5"/>
  <c r="A1121" i="5"/>
  <c r="D1120" i="5"/>
  <c r="C1120" i="5"/>
  <c r="B1120" i="5"/>
  <c r="A1120" i="5"/>
  <c r="D1119" i="5"/>
  <c r="C1119" i="5"/>
  <c r="B1119" i="5"/>
  <c r="A1119" i="5"/>
  <c r="D1118" i="5"/>
  <c r="C1118" i="5"/>
  <c r="B1118" i="5"/>
  <c r="A1118" i="5"/>
  <c r="D1117" i="5"/>
  <c r="C1117" i="5"/>
  <c r="B1117" i="5"/>
  <c r="A1117" i="5"/>
  <c r="D1116" i="5"/>
  <c r="C1116" i="5"/>
  <c r="B1116" i="5"/>
  <c r="A1116" i="5"/>
  <c r="D1115" i="5"/>
  <c r="C1115" i="5"/>
  <c r="B1115" i="5"/>
  <c r="A1115" i="5"/>
  <c r="D1114" i="5"/>
  <c r="C1114" i="5"/>
  <c r="B1114" i="5"/>
  <c r="A1114" i="5"/>
  <c r="D1113" i="5"/>
  <c r="C1113" i="5"/>
  <c r="B1113" i="5"/>
  <c r="A1113" i="5"/>
  <c r="D1112" i="5"/>
  <c r="C1112" i="5"/>
  <c r="B1112" i="5"/>
  <c r="A1112" i="5"/>
  <c r="D1111" i="5"/>
  <c r="C1111" i="5"/>
  <c r="B1111" i="5"/>
  <c r="A1111" i="5"/>
  <c r="D1110" i="5"/>
  <c r="C1110" i="5"/>
  <c r="B1110" i="5"/>
  <c r="A1110" i="5"/>
  <c r="D1109" i="5"/>
  <c r="C1109" i="5"/>
  <c r="B1109" i="5"/>
  <c r="A1109" i="5"/>
  <c r="D1108" i="5"/>
  <c r="C1108" i="5"/>
  <c r="B1108" i="5"/>
  <c r="A1108" i="5"/>
  <c r="D1107" i="5"/>
  <c r="C1107" i="5"/>
  <c r="B1107" i="5"/>
  <c r="A1107" i="5"/>
  <c r="D1106" i="5"/>
  <c r="C1106" i="5"/>
  <c r="B1106" i="5"/>
  <c r="A1106" i="5"/>
  <c r="D1105" i="5"/>
  <c r="C1105" i="5"/>
  <c r="B1105" i="5"/>
  <c r="A1105" i="5"/>
  <c r="D1104" i="5"/>
  <c r="C1104" i="5"/>
  <c r="B1104" i="5"/>
  <c r="A1104" i="5"/>
  <c r="D1103" i="5"/>
  <c r="C1103" i="5"/>
  <c r="B1103" i="5"/>
  <c r="A1103" i="5"/>
  <c r="D1102" i="5"/>
  <c r="C1102" i="5"/>
  <c r="B1102" i="5"/>
  <c r="A1102" i="5"/>
  <c r="D1101" i="5"/>
  <c r="C1101" i="5"/>
  <c r="B1101" i="5"/>
  <c r="A1101" i="5"/>
  <c r="D1100" i="5"/>
  <c r="C1100" i="5"/>
  <c r="B1100" i="5"/>
  <c r="A1100" i="5"/>
  <c r="D1099" i="5"/>
  <c r="C1099" i="5"/>
  <c r="B1099" i="5"/>
  <c r="A1099" i="5"/>
  <c r="D1098" i="5"/>
  <c r="C1098" i="5"/>
  <c r="B1098" i="5"/>
  <c r="A1098" i="5"/>
  <c r="D1097" i="5"/>
  <c r="C1097" i="5"/>
  <c r="B1097" i="5"/>
  <c r="A1097" i="5"/>
  <c r="D1096" i="5"/>
  <c r="C1096" i="5"/>
  <c r="B1096" i="5"/>
  <c r="A1096" i="5"/>
  <c r="D1095" i="5"/>
  <c r="C1095" i="5"/>
  <c r="B1095" i="5"/>
  <c r="A1095" i="5"/>
  <c r="D1094" i="5"/>
  <c r="C1094" i="5"/>
  <c r="B1094" i="5"/>
  <c r="A1094" i="5"/>
  <c r="D1093" i="5"/>
  <c r="C1093" i="5"/>
  <c r="B1093" i="5"/>
  <c r="A1093" i="5"/>
  <c r="D1092" i="5"/>
  <c r="C1092" i="5"/>
  <c r="B1092" i="5"/>
  <c r="A1092" i="5"/>
  <c r="D1091" i="5"/>
  <c r="C1091" i="5"/>
  <c r="B1091" i="5"/>
  <c r="A1091" i="5"/>
  <c r="D1090" i="5"/>
  <c r="C1090" i="5"/>
  <c r="B1090" i="5"/>
  <c r="A1090" i="5"/>
  <c r="D1089" i="5"/>
  <c r="C1089" i="5"/>
  <c r="B1089" i="5"/>
  <c r="A1089" i="5"/>
  <c r="D1088" i="5"/>
  <c r="C1088" i="5"/>
  <c r="B1088" i="5"/>
  <c r="A1088" i="5"/>
  <c r="D1087" i="5"/>
  <c r="C1087" i="5"/>
  <c r="B1087" i="5"/>
  <c r="A1087" i="5"/>
  <c r="D1086" i="5"/>
  <c r="C1086" i="5"/>
  <c r="B1086" i="5"/>
  <c r="A1086" i="5"/>
  <c r="D1085" i="5"/>
  <c r="C1085" i="5"/>
  <c r="B1085" i="5"/>
  <c r="A1085" i="5"/>
  <c r="D1084" i="5"/>
  <c r="C1084" i="5"/>
  <c r="B1084" i="5"/>
  <c r="A1084" i="5"/>
  <c r="D1083" i="5"/>
  <c r="C1083" i="5"/>
  <c r="B1083" i="5"/>
  <c r="A1083" i="5"/>
  <c r="D1082" i="5"/>
  <c r="C1082" i="5"/>
  <c r="B1082" i="5"/>
  <c r="A1082" i="5"/>
  <c r="D1081" i="5"/>
  <c r="C1081" i="5"/>
  <c r="B1081" i="5"/>
  <c r="A1081" i="5"/>
  <c r="D1080" i="5"/>
  <c r="C1080" i="5"/>
  <c r="B1080" i="5"/>
  <c r="A1080" i="5"/>
  <c r="D1079" i="5"/>
  <c r="C1079" i="5"/>
  <c r="B1079" i="5"/>
  <c r="A1079" i="5"/>
  <c r="D1078" i="5"/>
  <c r="C1078" i="5"/>
  <c r="B1078" i="5"/>
  <c r="A1078" i="5"/>
  <c r="D1077" i="5"/>
  <c r="C1077" i="5"/>
  <c r="B1077" i="5"/>
  <c r="A1077" i="5"/>
  <c r="D1076" i="5"/>
  <c r="C1076" i="5"/>
  <c r="B1076" i="5"/>
  <c r="A1076" i="5"/>
  <c r="D1075" i="5"/>
  <c r="C1075" i="5"/>
  <c r="B1075" i="5"/>
  <c r="A1075" i="5"/>
  <c r="D1074" i="5"/>
  <c r="C1074" i="5"/>
  <c r="B1074" i="5"/>
  <c r="A1074" i="5"/>
  <c r="D1073" i="5"/>
  <c r="C1073" i="5"/>
  <c r="B1073" i="5"/>
  <c r="A1073" i="5"/>
  <c r="D1072" i="5"/>
  <c r="C1072" i="5"/>
  <c r="B1072" i="5"/>
  <c r="A1072" i="5"/>
  <c r="D1071" i="5"/>
  <c r="C1071" i="5"/>
  <c r="B1071" i="5"/>
  <c r="A1071" i="5"/>
  <c r="D1070" i="5"/>
  <c r="C1070" i="5"/>
  <c r="B1070" i="5"/>
  <c r="A1070" i="5"/>
  <c r="D1069" i="5"/>
  <c r="C1069" i="5"/>
  <c r="B1069" i="5"/>
  <c r="A1069" i="5"/>
  <c r="D1068" i="5"/>
  <c r="C1068" i="5"/>
  <c r="B1068" i="5"/>
  <c r="A1068" i="5"/>
  <c r="D1067" i="5"/>
  <c r="C1067" i="5"/>
  <c r="B1067" i="5"/>
  <c r="A1067" i="5"/>
  <c r="D1066" i="5"/>
  <c r="C1066" i="5"/>
  <c r="B1066" i="5"/>
  <c r="A1066" i="5"/>
  <c r="D1065" i="5"/>
  <c r="C1065" i="5"/>
  <c r="B1065" i="5"/>
  <c r="A1065" i="5"/>
  <c r="D1064" i="5"/>
  <c r="C1064" i="5"/>
  <c r="B1064" i="5"/>
  <c r="A1064" i="5"/>
  <c r="D1063" i="5"/>
  <c r="C1063" i="5"/>
  <c r="B1063" i="5"/>
  <c r="A1063" i="5"/>
  <c r="D1062" i="5"/>
  <c r="C1062" i="5"/>
  <c r="B1062" i="5"/>
  <c r="A1062" i="5"/>
  <c r="D1061" i="5"/>
  <c r="C1061" i="5"/>
  <c r="B1061" i="5"/>
  <c r="A1061" i="5"/>
  <c r="D1060" i="5"/>
  <c r="C1060" i="5"/>
  <c r="B1060" i="5"/>
  <c r="A1060" i="5"/>
  <c r="D1059" i="5"/>
  <c r="C1059" i="5"/>
  <c r="B1059" i="5"/>
  <c r="A1059" i="5"/>
  <c r="D1058" i="5"/>
  <c r="C1058" i="5"/>
  <c r="B1058" i="5"/>
  <c r="A1058" i="5"/>
  <c r="D1057" i="5"/>
  <c r="C1057" i="5"/>
  <c r="B1057" i="5"/>
  <c r="A1057" i="5"/>
  <c r="D1056" i="5"/>
  <c r="C1056" i="5"/>
  <c r="B1056" i="5"/>
  <c r="A1056" i="5"/>
  <c r="D1055" i="5"/>
  <c r="C1055" i="5"/>
  <c r="B1055" i="5"/>
  <c r="A1055" i="5"/>
  <c r="D1054" i="5"/>
  <c r="C1054" i="5"/>
  <c r="B1054" i="5"/>
  <c r="A1054" i="5"/>
  <c r="D1053" i="5"/>
  <c r="C1053" i="5"/>
  <c r="B1053" i="5"/>
  <c r="A1053" i="5"/>
  <c r="D1052" i="5"/>
  <c r="C1052" i="5"/>
  <c r="B1052" i="5"/>
  <c r="A1052" i="5"/>
  <c r="D1051" i="5"/>
  <c r="C1051" i="5"/>
  <c r="B1051" i="5"/>
  <c r="A1051" i="5"/>
  <c r="D1050" i="5"/>
  <c r="C1050" i="5"/>
  <c r="B1050" i="5"/>
  <c r="A1050" i="5"/>
  <c r="D1049" i="5"/>
  <c r="C1049" i="5"/>
  <c r="B1049" i="5"/>
  <c r="A1049" i="5"/>
  <c r="D1048" i="5"/>
  <c r="C1048" i="5"/>
  <c r="B1048" i="5"/>
  <c r="A1048" i="5"/>
  <c r="D1047" i="5"/>
  <c r="C1047" i="5"/>
  <c r="B1047" i="5"/>
  <c r="A1047" i="5"/>
  <c r="D1046" i="5"/>
  <c r="C1046" i="5"/>
  <c r="B1046" i="5"/>
  <c r="A1046" i="5"/>
  <c r="D1045" i="5"/>
  <c r="C1045" i="5"/>
  <c r="B1045" i="5"/>
  <c r="A1045" i="5"/>
  <c r="D1044" i="5"/>
  <c r="C1044" i="5"/>
  <c r="B1044" i="5"/>
  <c r="A1044" i="5"/>
  <c r="D1043" i="5"/>
  <c r="C1043" i="5"/>
  <c r="B1043" i="5"/>
  <c r="A1043" i="5"/>
  <c r="D1042" i="5"/>
  <c r="C1042" i="5"/>
  <c r="B1042" i="5"/>
  <c r="A1042" i="5"/>
  <c r="D1041" i="5"/>
  <c r="C1041" i="5"/>
  <c r="B1041" i="5"/>
  <c r="A1041" i="5"/>
  <c r="D1040" i="5"/>
  <c r="C1040" i="5"/>
  <c r="B1040" i="5"/>
  <c r="A1040" i="5"/>
  <c r="D1039" i="5"/>
  <c r="C1039" i="5"/>
  <c r="B1039" i="5"/>
  <c r="A1039" i="5"/>
  <c r="D1038" i="5"/>
  <c r="C1038" i="5"/>
  <c r="B1038" i="5"/>
  <c r="A1038" i="5"/>
  <c r="D1037" i="5"/>
  <c r="C1037" i="5"/>
  <c r="B1037" i="5"/>
  <c r="A1037" i="5"/>
  <c r="D1036" i="5"/>
  <c r="C1036" i="5"/>
  <c r="B1036" i="5"/>
  <c r="A1036" i="5"/>
  <c r="D1035" i="5"/>
  <c r="C1035" i="5"/>
  <c r="B1035" i="5"/>
  <c r="A1035" i="5"/>
  <c r="D1034" i="5"/>
  <c r="C1034" i="5"/>
  <c r="B1034" i="5"/>
  <c r="A1034" i="5"/>
  <c r="D1033" i="5"/>
  <c r="C1033" i="5"/>
  <c r="B1033" i="5"/>
  <c r="A1033" i="5"/>
  <c r="D1032" i="5"/>
  <c r="C1032" i="5"/>
  <c r="B1032" i="5"/>
  <c r="A1032" i="5"/>
  <c r="D1031" i="5"/>
  <c r="C1031" i="5"/>
  <c r="B1031" i="5"/>
  <c r="A1031" i="5"/>
  <c r="D1030" i="5"/>
  <c r="C1030" i="5"/>
  <c r="B1030" i="5"/>
  <c r="A1030" i="5"/>
  <c r="D1029" i="5"/>
  <c r="C1029" i="5"/>
  <c r="B1029" i="5"/>
  <c r="A1029" i="5"/>
  <c r="D1028" i="5"/>
  <c r="C1028" i="5"/>
  <c r="B1028" i="5"/>
  <c r="A1028" i="5"/>
  <c r="D1027" i="5"/>
  <c r="C1027" i="5"/>
  <c r="B1027" i="5"/>
  <c r="A1027" i="5"/>
  <c r="D1026" i="5"/>
  <c r="C1026" i="5"/>
  <c r="B1026" i="5"/>
  <c r="A1026" i="5"/>
  <c r="D1025" i="5"/>
  <c r="C1025" i="5"/>
  <c r="B1025" i="5"/>
  <c r="A1025" i="5"/>
  <c r="D1024" i="5"/>
  <c r="C1024" i="5"/>
  <c r="B1024" i="5"/>
  <c r="A1024" i="5"/>
  <c r="D1023" i="5"/>
  <c r="C1023" i="5"/>
  <c r="B1023" i="5"/>
  <c r="A1023" i="5"/>
  <c r="D1022" i="5"/>
  <c r="C1022" i="5"/>
  <c r="B1022" i="5"/>
  <c r="A1022" i="5"/>
  <c r="D1021" i="5"/>
  <c r="C1021" i="5"/>
  <c r="B1021" i="5"/>
  <c r="A1021" i="5"/>
  <c r="D1020" i="5"/>
  <c r="C1020" i="5"/>
  <c r="B1020" i="5"/>
  <c r="A1020" i="5"/>
  <c r="D1019" i="5"/>
  <c r="C1019" i="5"/>
  <c r="B1019" i="5"/>
  <c r="A1019" i="5"/>
  <c r="D1018" i="5"/>
  <c r="C1018" i="5"/>
  <c r="B1018" i="5"/>
  <c r="A1018" i="5"/>
  <c r="D1017" i="5"/>
  <c r="C1017" i="5"/>
  <c r="B1017" i="5"/>
  <c r="A1017" i="5"/>
  <c r="D1016" i="5"/>
  <c r="C1016" i="5"/>
  <c r="B1016" i="5"/>
  <c r="A1016" i="5"/>
  <c r="D1015" i="5"/>
  <c r="C1015" i="5"/>
  <c r="B1015" i="5"/>
  <c r="A1015" i="5"/>
  <c r="D1014" i="5"/>
  <c r="C1014" i="5"/>
  <c r="B1014" i="5"/>
  <c r="A1014" i="5"/>
  <c r="D1013" i="5"/>
  <c r="C1013" i="5"/>
  <c r="B1013" i="5"/>
  <c r="A1013" i="5"/>
  <c r="D1012" i="5"/>
  <c r="C1012" i="5"/>
  <c r="B1012" i="5"/>
  <c r="A1012" i="5"/>
  <c r="D1011" i="5"/>
  <c r="C1011" i="5"/>
  <c r="B1011" i="5"/>
  <c r="A1011" i="5"/>
  <c r="D1010" i="5"/>
  <c r="C1010" i="5"/>
  <c r="B1010" i="5"/>
  <c r="A1010" i="5"/>
  <c r="D1009" i="5"/>
  <c r="C1009" i="5"/>
  <c r="B1009" i="5"/>
  <c r="A1009" i="5"/>
  <c r="D1008" i="5"/>
  <c r="C1008" i="5"/>
  <c r="B1008" i="5"/>
  <c r="A1008" i="5"/>
  <c r="D1007" i="5"/>
  <c r="C1007" i="5"/>
  <c r="B1007" i="5"/>
  <c r="A1007" i="5"/>
  <c r="D1006" i="5"/>
  <c r="C1006" i="5"/>
  <c r="B1006" i="5"/>
  <c r="A1006" i="5"/>
  <c r="D1005" i="5"/>
  <c r="C1005" i="5"/>
  <c r="B1005" i="5"/>
  <c r="A1005" i="5"/>
  <c r="D1004" i="5"/>
  <c r="C1004" i="5"/>
  <c r="B1004" i="5"/>
  <c r="A1004" i="5"/>
  <c r="D1003" i="5"/>
  <c r="C1003" i="5"/>
  <c r="B1003" i="5"/>
  <c r="A1003" i="5"/>
  <c r="D1002" i="5"/>
  <c r="C1002" i="5"/>
  <c r="B1002" i="5"/>
  <c r="A1002" i="5"/>
  <c r="D1001" i="5"/>
  <c r="C1001" i="5"/>
  <c r="B1001" i="5"/>
  <c r="A1001" i="5"/>
  <c r="D1000" i="5"/>
  <c r="C1000" i="5"/>
  <c r="B1000" i="5"/>
  <c r="A1000" i="5"/>
  <c r="D999" i="5"/>
  <c r="C999" i="5"/>
  <c r="B999" i="5"/>
  <c r="A999" i="5"/>
  <c r="D998" i="5"/>
  <c r="C998" i="5"/>
  <c r="B998" i="5"/>
  <c r="A998" i="5"/>
  <c r="D997" i="5"/>
  <c r="C997" i="5"/>
  <c r="B997" i="5"/>
  <c r="A997" i="5"/>
  <c r="D996" i="5"/>
  <c r="C996" i="5"/>
  <c r="B996" i="5"/>
  <c r="A996" i="5"/>
  <c r="D995" i="5"/>
  <c r="C995" i="5"/>
  <c r="B995" i="5"/>
  <c r="A995" i="5"/>
  <c r="D994" i="5"/>
  <c r="C994" i="5"/>
  <c r="B994" i="5"/>
  <c r="A994" i="5"/>
  <c r="D993" i="5"/>
  <c r="C993" i="5"/>
  <c r="B993" i="5"/>
  <c r="A993" i="5"/>
  <c r="D992" i="5"/>
  <c r="C992" i="5"/>
  <c r="B992" i="5"/>
  <c r="A992" i="5"/>
  <c r="D991" i="5"/>
  <c r="C991" i="5"/>
  <c r="B991" i="5"/>
  <c r="A991" i="5"/>
  <c r="D990" i="5"/>
  <c r="C990" i="5"/>
  <c r="B990" i="5"/>
  <c r="A990" i="5"/>
  <c r="D989" i="5"/>
  <c r="C989" i="5"/>
  <c r="B989" i="5"/>
  <c r="A989" i="5"/>
  <c r="D988" i="5"/>
  <c r="C988" i="5"/>
  <c r="B988" i="5"/>
  <c r="A988" i="5"/>
  <c r="D987" i="5"/>
  <c r="C987" i="5"/>
  <c r="B987" i="5"/>
  <c r="A987" i="5"/>
  <c r="D986" i="5"/>
  <c r="C986" i="5"/>
  <c r="B986" i="5"/>
  <c r="A986" i="5"/>
  <c r="D985" i="5"/>
  <c r="C985" i="5"/>
  <c r="B985" i="5"/>
  <c r="A985" i="5"/>
  <c r="D984" i="5"/>
  <c r="C984" i="5"/>
  <c r="B984" i="5"/>
  <c r="A984" i="5"/>
  <c r="D983" i="5"/>
  <c r="C983" i="5"/>
  <c r="B983" i="5"/>
  <c r="A983" i="5"/>
  <c r="D982" i="5"/>
  <c r="C982" i="5"/>
  <c r="B982" i="5"/>
  <c r="A982" i="5"/>
  <c r="D981" i="5"/>
  <c r="C981" i="5"/>
  <c r="B981" i="5"/>
  <c r="A981" i="5"/>
  <c r="D980" i="5"/>
  <c r="C980" i="5"/>
  <c r="B980" i="5"/>
  <c r="A980" i="5"/>
  <c r="D979" i="5"/>
  <c r="C979" i="5"/>
  <c r="B979" i="5"/>
  <c r="A979" i="5"/>
  <c r="D978" i="5"/>
  <c r="C978" i="5"/>
  <c r="B978" i="5"/>
  <c r="A978" i="5"/>
  <c r="D977" i="5"/>
  <c r="C977" i="5"/>
  <c r="B977" i="5"/>
  <c r="A977" i="5"/>
  <c r="D976" i="5"/>
  <c r="C976" i="5"/>
  <c r="B976" i="5"/>
  <c r="A976" i="5"/>
  <c r="D975" i="5"/>
  <c r="C975" i="5"/>
  <c r="B975" i="5"/>
  <c r="A975" i="5"/>
  <c r="D974" i="5"/>
  <c r="C974" i="5"/>
  <c r="B974" i="5"/>
  <c r="A974" i="5"/>
  <c r="D973" i="5"/>
  <c r="C973" i="5"/>
  <c r="B973" i="5"/>
  <c r="A973" i="5"/>
  <c r="D972" i="5"/>
  <c r="C972" i="5"/>
  <c r="B972" i="5"/>
  <c r="A972" i="5"/>
  <c r="D971" i="5"/>
  <c r="C971" i="5"/>
  <c r="B971" i="5"/>
  <c r="A971" i="5"/>
  <c r="D970" i="5"/>
  <c r="C970" i="5"/>
  <c r="B970" i="5"/>
  <c r="A970" i="5"/>
  <c r="D969" i="5"/>
  <c r="C969" i="5"/>
  <c r="B969" i="5"/>
  <c r="A969" i="5"/>
  <c r="D968" i="5"/>
  <c r="C968" i="5"/>
  <c r="B968" i="5"/>
  <c r="A968" i="5"/>
  <c r="D967" i="5"/>
  <c r="C967" i="5"/>
  <c r="B967" i="5"/>
  <c r="A967" i="5"/>
  <c r="D966" i="5"/>
  <c r="C966" i="5"/>
  <c r="B966" i="5"/>
  <c r="A966" i="5"/>
  <c r="D965" i="5"/>
  <c r="C965" i="5"/>
  <c r="B965" i="5"/>
  <c r="A965" i="5"/>
  <c r="D964" i="5"/>
  <c r="C964" i="5"/>
  <c r="B964" i="5"/>
  <c r="A964" i="5"/>
  <c r="D963" i="5"/>
  <c r="C963" i="5"/>
  <c r="B963" i="5"/>
  <c r="A963" i="5"/>
  <c r="D962" i="5"/>
  <c r="C962" i="5"/>
  <c r="B962" i="5"/>
  <c r="A962" i="5"/>
  <c r="D961" i="5"/>
  <c r="C961" i="5"/>
  <c r="B961" i="5"/>
  <c r="A961" i="5"/>
  <c r="D960" i="5"/>
  <c r="C960" i="5"/>
  <c r="B960" i="5"/>
  <c r="A960" i="5"/>
  <c r="D959" i="5"/>
  <c r="C959" i="5"/>
  <c r="B959" i="5"/>
  <c r="A959" i="5"/>
  <c r="D958" i="5"/>
  <c r="C958" i="5"/>
  <c r="B958" i="5"/>
  <c r="A958" i="5"/>
  <c r="D957" i="5"/>
  <c r="C957" i="5"/>
  <c r="B957" i="5"/>
  <c r="A957" i="5"/>
  <c r="D956" i="5"/>
  <c r="C956" i="5"/>
  <c r="B956" i="5"/>
  <c r="A956" i="5"/>
  <c r="D955" i="5"/>
  <c r="C955" i="5"/>
  <c r="B955" i="5"/>
  <c r="A955" i="5"/>
  <c r="D954" i="5"/>
  <c r="C954" i="5"/>
  <c r="B954" i="5"/>
  <c r="A954" i="5"/>
  <c r="D953" i="5"/>
  <c r="C953" i="5"/>
  <c r="B953" i="5"/>
  <c r="A953" i="5"/>
  <c r="D952" i="5"/>
  <c r="C952" i="5"/>
  <c r="B952" i="5"/>
  <c r="A952" i="5"/>
  <c r="D951" i="5"/>
  <c r="C951" i="5"/>
  <c r="B951" i="5"/>
  <c r="A951" i="5"/>
  <c r="D950" i="5"/>
  <c r="C950" i="5"/>
  <c r="B950" i="5"/>
  <c r="A950" i="5"/>
  <c r="D949" i="5"/>
  <c r="C949" i="5"/>
  <c r="B949" i="5"/>
  <c r="A949" i="5"/>
  <c r="D948" i="5"/>
  <c r="C948" i="5"/>
  <c r="B948" i="5"/>
  <c r="A948" i="5"/>
  <c r="D947" i="5"/>
  <c r="C947" i="5"/>
  <c r="B947" i="5"/>
  <c r="A947" i="5"/>
  <c r="D946" i="5"/>
  <c r="C946" i="5"/>
  <c r="B946" i="5"/>
  <c r="A946" i="5"/>
  <c r="D945" i="5"/>
  <c r="C945" i="5"/>
  <c r="B945" i="5"/>
  <c r="A945" i="5"/>
  <c r="D944" i="5"/>
  <c r="C944" i="5"/>
  <c r="B944" i="5"/>
  <c r="A944" i="5"/>
  <c r="D943" i="5"/>
  <c r="C943" i="5"/>
  <c r="B943" i="5"/>
  <c r="A943" i="5"/>
  <c r="D942" i="5"/>
  <c r="C942" i="5"/>
  <c r="B942" i="5"/>
  <c r="A942" i="5"/>
  <c r="D941" i="5"/>
  <c r="C941" i="5"/>
  <c r="B941" i="5"/>
  <c r="A941" i="5"/>
  <c r="D940" i="5"/>
  <c r="C940" i="5"/>
  <c r="B940" i="5"/>
  <c r="A940" i="5"/>
  <c r="D939" i="5"/>
  <c r="C939" i="5"/>
  <c r="B939" i="5"/>
  <c r="A939" i="5"/>
  <c r="D938" i="5"/>
  <c r="C938" i="5"/>
  <c r="B938" i="5"/>
  <c r="A938" i="5"/>
  <c r="D937" i="5"/>
  <c r="C937" i="5"/>
  <c r="B937" i="5"/>
  <c r="A937" i="5"/>
  <c r="D936" i="5"/>
  <c r="C936" i="5"/>
  <c r="B936" i="5"/>
  <c r="A936" i="5"/>
  <c r="D935" i="5"/>
  <c r="C935" i="5"/>
  <c r="B935" i="5"/>
  <c r="A935" i="5"/>
  <c r="D934" i="5"/>
  <c r="C934" i="5"/>
  <c r="B934" i="5"/>
  <c r="A934" i="5"/>
  <c r="D933" i="5"/>
  <c r="C933" i="5"/>
  <c r="B933" i="5"/>
  <c r="A933" i="5"/>
  <c r="D932" i="5"/>
  <c r="C932" i="5"/>
  <c r="B932" i="5"/>
  <c r="A932" i="5"/>
  <c r="D931" i="5"/>
  <c r="C931" i="5"/>
  <c r="B931" i="5"/>
  <c r="A931" i="5"/>
  <c r="D930" i="5"/>
  <c r="C930" i="5"/>
  <c r="B930" i="5"/>
  <c r="A930" i="5"/>
  <c r="D929" i="5"/>
  <c r="C929" i="5"/>
  <c r="B929" i="5"/>
  <c r="A929" i="5"/>
  <c r="D928" i="5"/>
  <c r="C928" i="5"/>
  <c r="B928" i="5"/>
  <c r="A928" i="5"/>
  <c r="D927" i="5"/>
  <c r="C927" i="5"/>
  <c r="B927" i="5"/>
  <c r="A927" i="5"/>
  <c r="D926" i="5"/>
  <c r="C926" i="5"/>
  <c r="B926" i="5"/>
  <c r="A926" i="5"/>
  <c r="D925" i="5"/>
  <c r="C925" i="5"/>
  <c r="B925" i="5"/>
  <c r="A925" i="5"/>
  <c r="D924" i="5"/>
  <c r="C924" i="5"/>
  <c r="B924" i="5"/>
  <c r="A924" i="5"/>
  <c r="D923" i="5"/>
  <c r="C923" i="5"/>
  <c r="B923" i="5"/>
  <c r="A923" i="5"/>
  <c r="D922" i="5"/>
  <c r="C922" i="5"/>
  <c r="B922" i="5"/>
  <c r="A922" i="5"/>
  <c r="D921" i="5"/>
  <c r="C921" i="5"/>
  <c r="B921" i="5"/>
  <c r="A921" i="5"/>
  <c r="D920" i="5"/>
  <c r="C920" i="5"/>
  <c r="B920" i="5"/>
  <c r="A920" i="5"/>
  <c r="D919" i="5"/>
  <c r="C919" i="5"/>
  <c r="B919" i="5"/>
  <c r="A919" i="5"/>
  <c r="D918" i="5"/>
  <c r="C918" i="5"/>
  <c r="B918" i="5"/>
  <c r="A918" i="5"/>
  <c r="D917" i="5"/>
  <c r="C917" i="5"/>
  <c r="B917" i="5"/>
  <c r="A917" i="5"/>
  <c r="D916" i="5"/>
  <c r="C916" i="5"/>
  <c r="B916" i="5"/>
  <c r="A916" i="5"/>
  <c r="D915" i="5"/>
  <c r="C915" i="5"/>
  <c r="B915" i="5"/>
  <c r="A915" i="5"/>
  <c r="D914" i="5"/>
  <c r="C914" i="5"/>
  <c r="B914" i="5"/>
  <c r="A914" i="5"/>
  <c r="D913" i="5"/>
  <c r="C913" i="5"/>
  <c r="B913" i="5"/>
  <c r="A913" i="5"/>
  <c r="D912" i="5"/>
  <c r="C912" i="5"/>
  <c r="B912" i="5"/>
  <c r="A912" i="5"/>
  <c r="D911" i="5"/>
  <c r="C911" i="5"/>
  <c r="B911" i="5"/>
  <c r="A911" i="5"/>
  <c r="D910" i="5"/>
  <c r="C910" i="5"/>
  <c r="B910" i="5"/>
  <c r="A910" i="5"/>
  <c r="D909" i="5"/>
  <c r="C909" i="5"/>
  <c r="B909" i="5"/>
  <c r="A909" i="5"/>
  <c r="D908" i="5"/>
  <c r="C908" i="5"/>
  <c r="B908" i="5"/>
  <c r="A908" i="5"/>
  <c r="D907" i="5"/>
  <c r="C907" i="5"/>
  <c r="B907" i="5"/>
  <c r="A907" i="5"/>
  <c r="D906" i="5"/>
  <c r="C906" i="5"/>
  <c r="B906" i="5"/>
  <c r="A906" i="5"/>
  <c r="D905" i="5"/>
  <c r="C905" i="5"/>
  <c r="B905" i="5"/>
  <c r="A905" i="5"/>
  <c r="D904" i="5"/>
  <c r="C904" i="5"/>
  <c r="B904" i="5"/>
  <c r="A904" i="5"/>
  <c r="D903" i="5"/>
  <c r="C903" i="5"/>
  <c r="B903" i="5"/>
  <c r="A903" i="5"/>
  <c r="D902" i="5"/>
  <c r="C902" i="5"/>
  <c r="B902" i="5"/>
  <c r="A902" i="5"/>
  <c r="D901" i="5"/>
  <c r="C901" i="5"/>
  <c r="B901" i="5"/>
  <c r="A901" i="5"/>
  <c r="D900" i="5"/>
  <c r="C900" i="5"/>
  <c r="B900" i="5"/>
  <c r="A900" i="5"/>
  <c r="D899" i="5"/>
  <c r="C899" i="5"/>
  <c r="B899" i="5"/>
  <c r="A899" i="5"/>
  <c r="D898" i="5"/>
  <c r="C898" i="5"/>
  <c r="B898" i="5"/>
  <c r="A898" i="5"/>
  <c r="D897" i="5"/>
  <c r="C897" i="5"/>
  <c r="B897" i="5"/>
  <c r="A897" i="5"/>
  <c r="D896" i="5"/>
  <c r="C896" i="5"/>
  <c r="B896" i="5"/>
  <c r="A896" i="5"/>
  <c r="D895" i="5"/>
  <c r="C895" i="5"/>
  <c r="B895" i="5"/>
  <c r="A895" i="5"/>
  <c r="D894" i="5"/>
  <c r="C894" i="5"/>
  <c r="B894" i="5"/>
  <c r="A894" i="5"/>
  <c r="D893" i="5"/>
  <c r="C893" i="5"/>
  <c r="B893" i="5"/>
  <c r="A893" i="5"/>
  <c r="D892" i="5"/>
  <c r="C892" i="5"/>
  <c r="B892" i="5"/>
  <c r="A892" i="5"/>
  <c r="D891" i="5"/>
  <c r="C891" i="5"/>
  <c r="B891" i="5"/>
  <c r="A891" i="5"/>
  <c r="D890" i="5"/>
  <c r="C890" i="5"/>
  <c r="B890" i="5"/>
  <c r="A890" i="5"/>
  <c r="D889" i="5"/>
  <c r="C889" i="5"/>
  <c r="B889" i="5"/>
  <c r="A889" i="5"/>
  <c r="D888" i="5"/>
  <c r="C888" i="5"/>
  <c r="B888" i="5"/>
  <c r="A888" i="5"/>
  <c r="D887" i="5"/>
  <c r="C887" i="5"/>
  <c r="B887" i="5"/>
  <c r="A887" i="5"/>
  <c r="D886" i="5"/>
  <c r="C886" i="5"/>
  <c r="B886" i="5"/>
  <c r="A886" i="5"/>
  <c r="D885" i="5"/>
  <c r="C885" i="5"/>
  <c r="B885" i="5"/>
  <c r="A885" i="5"/>
  <c r="D884" i="5"/>
  <c r="C884" i="5"/>
  <c r="B884" i="5"/>
  <c r="A884" i="5"/>
  <c r="D883" i="5"/>
  <c r="C883" i="5"/>
  <c r="B883" i="5"/>
  <c r="A883" i="5"/>
  <c r="D882" i="5"/>
  <c r="C882" i="5"/>
  <c r="B882" i="5"/>
  <c r="A882" i="5"/>
  <c r="D881" i="5"/>
  <c r="C881" i="5"/>
  <c r="B881" i="5"/>
  <c r="A881" i="5"/>
  <c r="D880" i="5"/>
  <c r="C880" i="5"/>
  <c r="B880" i="5"/>
  <c r="A880" i="5"/>
  <c r="D879" i="5"/>
  <c r="C879" i="5"/>
  <c r="B879" i="5"/>
  <c r="A879" i="5"/>
  <c r="D878" i="5"/>
  <c r="C878" i="5"/>
  <c r="B878" i="5"/>
  <c r="A878" i="5"/>
  <c r="D877" i="5"/>
  <c r="C877" i="5"/>
  <c r="B877" i="5"/>
  <c r="A877" i="5"/>
  <c r="D876" i="5"/>
  <c r="C876" i="5"/>
  <c r="B876" i="5"/>
  <c r="A876" i="5"/>
  <c r="D875" i="5"/>
  <c r="C875" i="5"/>
  <c r="B875" i="5"/>
  <c r="A875" i="5"/>
  <c r="D874" i="5"/>
  <c r="C874" i="5"/>
  <c r="B874" i="5"/>
  <c r="A874" i="5"/>
  <c r="D873" i="5"/>
  <c r="C873" i="5"/>
  <c r="B873" i="5"/>
  <c r="A873" i="5"/>
  <c r="D872" i="5"/>
  <c r="C872" i="5"/>
  <c r="B872" i="5"/>
  <c r="A872" i="5"/>
  <c r="D871" i="5"/>
  <c r="C871" i="5"/>
  <c r="B871" i="5"/>
  <c r="A871" i="5"/>
  <c r="D870" i="5"/>
  <c r="C870" i="5"/>
  <c r="B870" i="5"/>
  <c r="A870" i="5"/>
  <c r="D869" i="5"/>
  <c r="C869" i="5"/>
  <c r="B869" i="5"/>
  <c r="A869" i="5"/>
  <c r="D868" i="5"/>
  <c r="C868" i="5"/>
  <c r="B868" i="5"/>
  <c r="A868" i="5"/>
  <c r="D867" i="5"/>
  <c r="C867" i="5"/>
  <c r="B867" i="5"/>
  <c r="A867" i="5"/>
  <c r="D866" i="5"/>
  <c r="C866" i="5"/>
  <c r="B866" i="5"/>
  <c r="A866" i="5"/>
  <c r="D865" i="5"/>
  <c r="C865" i="5"/>
  <c r="B865" i="5"/>
  <c r="A865" i="5"/>
  <c r="D864" i="5"/>
  <c r="C864" i="5"/>
  <c r="B864" i="5"/>
  <c r="A864" i="5"/>
  <c r="D863" i="5"/>
  <c r="C863" i="5"/>
  <c r="B863" i="5"/>
  <c r="A863" i="5"/>
  <c r="D862" i="5"/>
  <c r="C862" i="5"/>
  <c r="B862" i="5"/>
  <c r="A862" i="5"/>
  <c r="D861" i="5"/>
  <c r="C861" i="5"/>
  <c r="B861" i="5"/>
  <c r="A861" i="5"/>
  <c r="D860" i="5"/>
  <c r="C860" i="5"/>
  <c r="B860" i="5"/>
  <c r="A860" i="5"/>
  <c r="D859" i="5"/>
  <c r="C859" i="5"/>
  <c r="B859" i="5"/>
  <c r="A859" i="5"/>
  <c r="D858" i="5"/>
  <c r="C858" i="5"/>
  <c r="B858" i="5"/>
  <c r="A858" i="5"/>
  <c r="D857" i="5"/>
  <c r="C857" i="5"/>
  <c r="B857" i="5"/>
  <c r="A857" i="5"/>
  <c r="D856" i="5"/>
  <c r="C856" i="5"/>
  <c r="B856" i="5"/>
  <c r="A856" i="5"/>
  <c r="D855" i="5"/>
  <c r="C855" i="5"/>
  <c r="B855" i="5"/>
  <c r="A855" i="5"/>
  <c r="D854" i="5"/>
  <c r="C854" i="5"/>
  <c r="B854" i="5"/>
  <c r="A854" i="5"/>
  <c r="D853" i="5"/>
  <c r="C853" i="5"/>
  <c r="B853" i="5"/>
  <c r="A853" i="5"/>
  <c r="D852" i="5"/>
  <c r="C852" i="5"/>
  <c r="B852" i="5"/>
  <c r="A852" i="5"/>
  <c r="D851" i="5"/>
  <c r="C851" i="5"/>
  <c r="B851" i="5"/>
  <c r="A851" i="5"/>
  <c r="D850" i="5"/>
  <c r="C850" i="5"/>
  <c r="B850" i="5"/>
  <c r="A850" i="5"/>
  <c r="D849" i="5"/>
  <c r="C849" i="5"/>
  <c r="B849" i="5"/>
  <c r="A849" i="5"/>
  <c r="D848" i="5"/>
  <c r="C848" i="5"/>
  <c r="B848" i="5"/>
  <c r="A848" i="5"/>
  <c r="D847" i="5"/>
  <c r="C847" i="5"/>
  <c r="B847" i="5"/>
  <c r="A847" i="5"/>
  <c r="D846" i="5"/>
  <c r="C846" i="5"/>
  <c r="B846" i="5"/>
  <c r="A846" i="5"/>
  <c r="D845" i="5"/>
  <c r="C845" i="5"/>
  <c r="B845" i="5"/>
  <c r="A845" i="5"/>
  <c r="D844" i="5"/>
  <c r="C844" i="5"/>
  <c r="B844" i="5"/>
  <c r="A844" i="5"/>
  <c r="D843" i="5"/>
  <c r="C843" i="5"/>
  <c r="B843" i="5"/>
  <c r="A843" i="5"/>
  <c r="D842" i="5"/>
  <c r="C842" i="5"/>
  <c r="B842" i="5"/>
  <c r="A842" i="5"/>
  <c r="D841" i="5"/>
  <c r="C841" i="5"/>
  <c r="B841" i="5"/>
  <c r="A841" i="5"/>
  <c r="D840" i="5"/>
  <c r="C840" i="5"/>
  <c r="B840" i="5"/>
  <c r="A840" i="5"/>
  <c r="D839" i="5"/>
  <c r="C839" i="5"/>
  <c r="B839" i="5"/>
  <c r="A839" i="5"/>
  <c r="D838" i="5"/>
  <c r="C838" i="5"/>
  <c r="B838" i="5"/>
  <c r="A838" i="5"/>
  <c r="D837" i="5"/>
  <c r="C837" i="5"/>
  <c r="B837" i="5"/>
  <c r="A837" i="5"/>
  <c r="D836" i="5"/>
  <c r="C836" i="5"/>
  <c r="B836" i="5"/>
  <c r="A836" i="5"/>
  <c r="D835" i="5"/>
  <c r="C835" i="5"/>
  <c r="B835" i="5"/>
  <c r="A835" i="5"/>
  <c r="D834" i="5"/>
  <c r="C834" i="5"/>
  <c r="B834" i="5"/>
  <c r="A834" i="5"/>
  <c r="D833" i="5"/>
  <c r="C833" i="5"/>
  <c r="B833" i="5"/>
  <c r="A833" i="5"/>
  <c r="D832" i="5"/>
  <c r="C832" i="5"/>
  <c r="B832" i="5"/>
  <c r="A832" i="5"/>
  <c r="D831" i="5"/>
  <c r="C831" i="5"/>
  <c r="B831" i="5"/>
  <c r="A831" i="5"/>
  <c r="D830" i="5"/>
  <c r="C830" i="5"/>
  <c r="B830" i="5"/>
  <c r="A830" i="5"/>
  <c r="D829" i="5"/>
  <c r="C829" i="5"/>
  <c r="B829" i="5"/>
  <c r="A829" i="5"/>
  <c r="D828" i="5"/>
  <c r="C828" i="5"/>
  <c r="B828" i="5"/>
  <c r="A828" i="5"/>
  <c r="D827" i="5"/>
  <c r="C827" i="5"/>
  <c r="B827" i="5"/>
  <c r="A827" i="5"/>
  <c r="D826" i="5"/>
  <c r="C826" i="5"/>
  <c r="B826" i="5"/>
  <c r="A826" i="5"/>
  <c r="D825" i="5"/>
  <c r="C825" i="5"/>
  <c r="B825" i="5"/>
  <c r="A825" i="5"/>
  <c r="D824" i="5"/>
  <c r="C824" i="5"/>
  <c r="B824" i="5"/>
  <c r="A824" i="5"/>
  <c r="D823" i="5"/>
  <c r="C823" i="5"/>
  <c r="B823" i="5"/>
  <c r="A823" i="5"/>
  <c r="D822" i="5"/>
  <c r="C822" i="5"/>
  <c r="B822" i="5"/>
  <c r="A822" i="5"/>
  <c r="D821" i="5"/>
  <c r="C821" i="5"/>
  <c r="B821" i="5"/>
  <c r="A821" i="5"/>
  <c r="D820" i="5"/>
  <c r="C820" i="5"/>
  <c r="B820" i="5"/>
  <c r="A820" i="5"/>
  <c r="D819" i="5"/>
  <c r="C819" i="5"/>
  <c r="B819" i="5"/>
  <c r="A819" i="5"/>
  <c r="D818" i="5"/>
  <c r="C818" i="5"/>
  <c r="B818" i="5"/>
  <c r="A818" i="5"/>
  <c r="D817" i="5"/>
  <c r="C817" i="5"/>
  <c r="B817" i="5"/>
  <c r="A817" i="5"/>
  <c r="D816" i="5"/>
  <c r="C816" i="5"/>
  <c r="B816" i="5"/>
  <c r="A816" i="5"/>
  <c r="D815" i="5"/>
  <c r="C815" i="5"/>
  <c r="B815" i="5"/>
  <c r="A815" i="5"/>
  <c r="D814" i="5"/>
  <c r="C814" i="5"/>
  <c r="B814" i="5"/>
  <c r="A814" i="5"/>
  <c r="D813" i="5"/>
  <c r="C813" i="5"/>
  <c r="B813" i="5"/>
  <c r="A813" i="5"/>
  <c r="D812" i="5"/>
  <c r="C812" i="5"/>
  <c r="B812" i="5"/>
  <c r="A812" i="5"/>
  <c r="D811" i="5"/>
  <c r="C811" i="5"/>
  <c r="B811" i="5"/>
  <c r="A811" i="5"/>
  <c r="D810" i="5"/>
  <c r="C810" i="5"/>
  <c r="B810" i="5"/>
  <c r="A810" i="5"/>
  <c r="D809" i="5"/>
  <c r="C809" i="5"/>
  <c r="B809" i="5"/>
  <c r="A809" i="5"/>
  <c r="D808" i="5"/>
  <c r="C808" i="5"/>
  <c r="B808" i="5"/>
  <c r="A808" i="5"/>
  <c r="D807" i="5"/>
  <c r="C807" i="5"/>
  <c r="B807" i="5"/>
  <c r="A807" i="5"/>
  <c r="D806" i="5"/>
  <c r="C806" i="5"/>
  <c r="B806" i="5"/>
  <c r="A806" i="5"/>
  <c r="D805" i="5"/>
  <c r="C805" i="5"/>
  <c r="B805" i="5"/>
  <c r="A805" i="5"/>
  <c r="D804" i="5"/>
  <c r="C804" i="5"/>
  <c r="B804" i="5"/>
  <c r="A804" i="5"/>
  <c r="D803" i="5"/>
  <c r="C803" i="5"/>
  <c r="B803" i="5"/>
  <c r="A803" i="5"/>
  <c r="D802" i="5"/>
  <c r="C802" i="5"/>
  <c r="B802" i="5"/>
  <c r="A802" i="5"/>
  <c r="D801" i="5"/>
  <c r="C801" i="5"/>
  <c r="B801" i="5"/>
  <c r="A801" i="5"/>
  <c r="D800" i="5"/>
  <c r="C800" i="5"/>
  <c r="B800" i="5"/>
  <c r="A800" i="5"/>
  <c r="D799" i="5"/>
  <c r="C799" i="5"/>
  <c r="B799" i="5"/>
  <c r="A799" i="5"/>
  <c r="D798" i="5"/>
  <c r="C798" i="5"/>
  <c r="B798" i="5"/>
  <c r="A798" i="5"/>
  <c r="D797" i="5"/>
  <c r="C797" i="5"/>
  <c r="B797" i="5"/>
  <c r="A797" i="5"/>
  <c r="D796" i="5"/>
  <c r="C796" i="5"/>
  <c r="B796" i="5"/>
  <c r="A796" i="5"/>
  <c r="D795" i="5"/>
  <c r="C795" i="5"/>
  <c r="B795" i="5"/>
  <c r="A795" i="5"/>
  <c r="D794" i="5"/>
  <c r="C794" i="5"/>
  <c r="B794" i="5"/>
  <c r="A794" i="5"/>
  <c r="D793" i="5"/>
  <c r="C793" i="5"/>
  <c r="B793" i="5"/>
  <c r="A793" i="5"/>
  <c r="D792" i="5"/>
  <c r="C792" i="5"/>
  <c r="B792" i="5"/>
  <c r="A792" i="5"/>
  <c r="D791" i="5"/>
  <c r="C791" i="5"/>
  <c r="B791" i="5"/>
  <c r="A791" i="5"/>
  <c r="D790" i="5"/>
  <c r="C790" i="5"/>
  <c r="B790" i="5"/>
  <c r="A790" i="5"/>
  <c r="D789" i="5"/>
  <c r="C789" i="5"/>
  <c r="B789" i="5"/>
  <c r="A789" i="5"/>
  <c r="D788" i="5"/>
  <c r="C788" i="5"/>
  <c r="B788" i="5"/>
  <c r="A788" i="5"/>
  <c r="D787" i="5"/>
  <c r="C787" i="5"/>
  <c r="B787" i="5"/>
  <c r="A787" i="5"/>
  <c r="D786" i="5"/>
  <c r="C786" i="5"/>
  <c r="B786" i="5"/>
  <c r="A786" i="5"/>
  <c r="D785" i="5"/>
  <c r="C785" i="5"/>
  <c r="B785" i="5"/>
  <c r="A785" i="5"/>
  <c r="D784" i="5"/>
  <c r="C784" i="5"/>
  <c r="B784" i="5"/>
  <c r="A784" i="5"/>
  <c r="D783" i="5"/>
  <c r="C783" i="5"/>
  <c r="B783" i="5"/>
  <c r="A783" i="5"/>
  <c r="D782" i="5"/>
  <c r="C782" i="5"/>
  <c r="B782" i="5"/>
  <c r="A782" i="5"/>
  <c r="D781" i="5"/>
  <c r="C781" i="5"/>
  <c r="B781" i="5"/>
  <c r="A781" i="5"/>
  <c r="D780" i="5"/>
  <c r="C780" i="5"/>
  <c r="B780" i="5"/>
  <c r="A780" i="5"/>
  <c r="D779" i="5"/>
  <c r="C779" i="5"/>
  <c r="B779" i="5"/>
  <c r="A779" i="5"/>
  <c r="D778" i="5"/>
  <c r="C778" i="5"/>
  <c r="B778" i="5"/>
  <c r="A778" i="5"/>
  <c r="D777" i="5"/>
  <c r="C777" i="5"/>
  <c r="B777" i="5"/>
  <c r="A777" i="5"/>
  <c r="D776" i="5"/>
  <c r="C776" i="5"/>
  <c r="B776" i="5"/>
  <c r="A776" i="5"/>
  <c r="D775" i="5"/>
  <c r="C775" i="5"/>
  <c r="B775" i="5"/>
  <c r="A775" i="5"/>
  <c r="D774" i="5"/>
  <c r="C774" i="5"/>
  <c r="B774" i="5"/>
  <c r="A774" i="5"/>
  <c r="D773" i="5"/>
  <c r="C773" i="5"/>
  <c r="B773" i="5"/>
  <c r="A773" i="5"/>
  <c r="D772" i="5"/>
  <c r="C772" i="5"/>
  <c r="B772" i="5"/>
  <c r="A772" i="5"/>
  <c r="D771" i="5"/>
  <c r="C771" i="5"/>
  <c r="B771" i="5"/>
  <c r="A771" i="5"/>
  <c r="D770" i="5"/>
  <c r="C770" i="5"/>
  <c r="B770" i="5"/>
  <c r="A770" i="5"/>
  <c r="D769" i="5"/>
  <c r="C769" i="5"/>
  <c r="B769" i="5"/>
  <c r="A769" i="5"/>
  <c r="D768" i="5"/>
  <c r="C768" i="5"/>
  <c r="B768" i="5"/>
  <c r="A768" i="5"/>
  <c r="D767" i="5"/>
  <c r="C767" i="5"/>
  <c r="B767" i="5"/>
  <c r="A767" i="5"/>
  <c r="D766" i="5"/>
  <c r="C766" i="5"/>
  <c r="B766" i="5"/>
  <c r="A766" i="5"/>
  <c r="D765" i="5"/>
  <c r="C765" i="5"/>
  <c r="B765" i="5"/>
  <c r="A765" i="5"/>
  <c r="D764" i="5"/>
  <c r="C764" i="5"/>
  <c r="B764" i="5"/>
  <c r="A764" i="5"/>
  <c r="D763" i="5"/>
  <c r="C763" i="5"/>
  <c r="B763" i="5"/>
  <c r="A763" i="5"/>
  <c r="D762" i="5"/>
  <c r="C762" i="5"/>
  <c r="B762" i="5"/>
  <c r="A762" i="5"/>
  <c r="D761" i="5"/>
  <c r="C761" i="5"/>
  <c r="B761" i="5"/>
  <c r="A761" i="5"/>
  <c r="D760" i="5"/>
  <c r="C760" i="5"/>
  <c r="B760" i="5"/>
  <c r="A760" i="5"/>
  <c r="D759" i="5"/>
  <c r="C759" i="5"/>
  <c r="B759" i="5"/>
  <c r="A759" i="5"/>
  <c r="D758" i="5"/>
  <c r="C758" i="5"/>
  <c r="B758" i="5"/>
  <c r="A758" i="5"/>
  <c r="D757" i="5"/>
  <c r="C757" i="5"/>
  <c r="B757" i="5"/>
  <c r="A757" i="5"/>
  <c r="D756" i="5"/>
  <c r="C756" i="5"/>
  <c r="B756" i="5"/>
  <c r="A756" i="5"/>
  <c r="D755" i="5"/>
  <c r="C755" i="5"/>
  <c r="B755" i="5"/>
  <c r="A755" i="5"/>
  <c r="D754" i="5"/>
  <c r="C754" i="5"/>
  <c r="B754" i="5"/>
  <c r="A754" i="5"/>
  <c r="D753" i="5"/>
  <c r="C753" i="5"/>
  <c r="B753" i="5"/>
  <c r="A753" i="5"/>
  <c r="D752" i="5"/>
  <c r="C752" i="5"/>
  <c r="B752" i="5"/>
  <c r="A752" i="5"/>
  <c r="D751" i="5"/>
  <c r="C751" i="5"/>
  <c r="B751" i="5"/>
  <c r="A751" i="5"/>
  <c r="D750" i="5"/>
  <c r="C750" i="5"/>
  <c r="B750" i="5"/>
  <c r="A750" i="5"/>
  <c r="D749" i="5"/>
  <c r="C749" i="5"/>
  <c r="B749" i="5"/>
  <c r="A749" i="5"/>
  <c r="D748" i="5"/>
  <c r="C748" i="5"/>
  <c r="B748" i="5"/>
  <c r="A748" i="5"/>
  <c r="D747" i="5"/>
  <c r="C747" i="5"/>
  <c r="B747" i="5"/>
  <c r="A747" i="5"/>
  <c r="D746" i="5"/>
  <c r="C746" i="5"/>
  <c r="B746" i="5"/>
  <c r="A746" i="5"/>
  <c r="D745" i="5"/>
  <c r="C745" i="5"/>
  <c r="B745" i="5"/>
  <c r="A745" i="5"/>
  <c r="D744" i="5"/>
  <c r="C744" i="5"/>
  <c r="B744" i="5"/>
  <c r="A744" i="5"/>
  <c r="D743" i="5"/>
  <c r="C743" i="5"/>
  <c r="B743" i="5"/>
  <c r="A743" i="5"/>
  <c r="D742" i="5"/>
  <c r="C742" i="5"/>
  <c r="B742" i="5"/>
  <c r="A742" i="5"/>
  <c r="D741" i="5"/>
  <c r="C741" i="5"/>
  <c r="B741" i="5"/>
  <c r="A741" i="5"/>
  <c r="D740" i="5"/>
  <c r="C740" i="5"/>
  <c r="B740" i="5"/>
  <c r="A740" i="5"/>
  <c r="D739" i="5"/>
  <c r="C739" i="5"/>
  <c r="B739" i="5"/>
  <c r="A739" i="5"/>
  <c r="D738" i="5"/>
  <c r="C738" i="5"/>
  <c r="B738" i="5"/>
  <c r="A738" i="5"/>
  <c r="D737" i="5"/>
  <c r="C737" i="5"/>
  <c r="B737" i="5"/>
  <c r="A737" i="5"/>
  <c r="D736" i="5"/>
  <c r="C736" i="5"/>
  <c r="B736" i="5"/>
  <c r="A736" i="5"/>
  <c r="D735" i="5"/>
  <c r="C735" i="5"/>
  <c r="B735" i="5"/>
  <c r="A735" i="5"/>
  <c r="D734" i="5"/>
  <c r="C734" i="5"/>
  <c r="B734" i="5"/>
  <c r="A734" i="5"/>
  <c r="D733" i="5"/>
  <c r="C733" i="5"/>
  <c r="B733" i="5"/>
  <c r="A733" i="5"/>
  <c r="D732" i="5"/>
  <c r="C732" i="5"/>
  <c r="B732" i="5"/>
  <c r="A732" i="5"/>
  <c r="D731" i="5"/>
  <c r="C731" i="5"/>
  <c r="B731" i="5"/>
  <c r="A731" i="5"/>
  <c r="D730" i="5"/>
  <c r="C730" i="5"/>
  <c r="B730" i="5"/>
  <c r="A730" i="5"/>
  <c r="D729" i="5"/>
  <c r="C729" i="5"/>
  <c r="B729" i="5"/>
  <c r="A729" i="5"/>
  <c r="D728" i="5"/>
  <c r="C728" i="5"/>
  <c r="B728" i="5"/>
  <c r="A728" i="5"/>
  <c r="D727" i="5"/>
  <c r="C727" i="5"/>
  <c r="B727" i="5"/>
  <c r="A727" i="5"/>
  <c r="D726" i="5"/>
  <c r="C726" i="5"/>
  <c r="B726" i="5"/>
  <c r="A726" i="5"/>
  <c r="D725" i="5"/>
  <c r="C725" i="5"/>
  <c r="B725" i="5"/>
  <c r="A725" i="5"/>
  <c r="D724" i="5"/>
  <c r="C724" i="5"/>
  <c r="B724" i="5"/>
  <c r="A724" i="5"/>
  <c r="D723" i="5"/>
  <c r="C723" i="5"/>
  <c r="B723" i="5"/>
  <c r="A723" i="5"/>
  <c r="D722" i="5"/>
  <c r="C722" i="5"/>
  <c r="B722" i="5"/>
  <c r="A722" i="5"/>
  <c r="D721" i="5"/>
  <c r="C721" i="5"/>
  <c r="B721" i="5"/>
  <c r="A721" i="5"/>
  <c r="D720" i="5"/>
  <c r="C720" i="5"/>
  <c r="B720" i="5"/>
  <c r="A720" i="5"/>
  <c r="D719" i="5"/>
  <c r="C719" i="5"/>
  <c r="B719" i="5"/>
  <c r="A719" i="5"/>
  <c r="D718" i="5"/>
  <c r="C718" i="5"/>
  <c r="B718" i="5"/>
  <c r="A718" i="5"/>
  <c r="D717" i="5"/>
  <c r="C717" i="5"/>
  <c r="B717" i="5"/>
  <c r="A717" i="5"/>
  <c r="D716" i="5"/>
  <c r="C716" i="5"/>
  <c r="B716" i="5"/>
  <c r="A716" i="5"/>
  <c r="D715" i="5"/>
  <c r="C715" i="5"/>
  <c r="B715" i="5"/>
  <c r="A715" i="5"/>
  <c r="D714" i="5"/>
  <c r="C714" i="5"/>
  <c r="B714" i="5"/>
  <c r="A714" i="5"/>
  <c r="D713" i="5"/>
  <c r="C713" i="5"/>
  <c r="B713" i="5"/>
  <c r="A713" i="5"/>
  <c r="D712" i="5"/>
  <c r="C712" i="5"/>
  <c r="B712" i="5"/>
  <c r="A712" i="5"/>
  <c r="D711" i="5"/>
  <c r="C711" i="5"/>
  <c r="B711" i="5"/>
  <c r="A711" i="5"/>
  <c r="D710" i="5"/>
  <c r="C710" i="5"/>
  <c r="B710" i="5"/>
  <c r="A710" i="5"/>
  <c r="D709" i="5"/>
  <c r="C709" i="5"/>
  <c r="B709" i="5"/>
  <c r="A709" i="5"/>
  <c r="D708" i="5"/>
  <c r="C708" i="5"/>
  <c r="B708" i="5"/>
  <c r="A708" i="5"/>
  <c r="D707" i="5"/>
  <c r="C707" i="5"/>
  <c r="B707" i="5"/>
  <c r="A707" i="5"/>
  <c r="D706" i="5"/>
  <c r="C706" i="5"/>
  <c r="B706" i="5"/>
  <c r="A706" i="5"/>
  <c r="D705" i="5"/>
  <c r="C705" i="5"/>
  <c r="B705" i="5"/>
  <c r="A705" i="5"/>
  <c r="D704" i="5"/>
  <c r="C704" i="5"/>
  <c r="B704" i="5"/>
  <c r="A704" i="5"/>
  <c r="D703" i="5"/>
  <c r="C703" i="5"/>
  <c r="B703" i="5"/>
  <c r="A703" i="5"/>
  <c r="D702" i="5"/>
  <c r="C702" i="5"/>
  <c r="B702" i="5"/>
  <c r="A702" i="5"/>
  <c r="D701" i="5"/>
  <c r="C701" i="5"/>
  <c r="B701" i="5"/>
  <c r="A701" i="5"/>
  <c r="D700" i="5"/>
  <c r="C700" i="5"/>
  <c r="B700" i="5"/>
  <c r="A700" i="5"/>
  <c r="D699" i="5"/>
  <c r="C699" i="5"/>
  <c r="B699" i="5"/>
  <c r="A699" i="5"/>
  <c r="D698" i="5"/>
  <c r="C698" i="5"/>
  <c r="B698" i="5"/>
  <c r="A698" i="5"/>
  <c r="D697" i="5"/>
  <c r="C697" i="5"/>
  <c r="B697" i="5"/>
  <c r="A697" i="5"/>
  <c r="D696" i="5"/>
  <c r="C696" i="5"/>
  <c r="B696" i="5"/>
  <c r="A696" i="5"/>
  <c r="D695" i="5"/>
  <c r="C695" i="5"/>
  <c r="B695" i="5"/>
  <c r="A695" i="5"/>
  <c r="D694" i="5"/>
  <c r="C694" i="5"/>
  <c r="B694" i="5"/>
  <c r="A694" i="5"/>
  <c r="D693" i="5"/>
  <c r="C693" i="5"/>
  <c r="B693" i="5"/>
  <c r="A693" i="5"/>
  <c r="D692" i="5"/>
  <c r="C692" i="5"/>
  <c r="B692" i="5"/>
  <c r="A692" i="5"/>
  <c r="D691" i="5"/>
  <c r="C691" i="5"/>
  <c r="B691" i="5"/>
  <c r="A691" i="5"/>
  <c r="D690" i="5"/>
  <c r="C690" i="5"/>
  <c r="B690" i="5"/>
  <c r="A690" i="5"/>
  <c r="D689" i="5"/>
  <c r="C689" i="5"/>
  <c r="B689" i="5"/>
  <c r="A689" i="5"/>
  <c r="D688" i="5"/>
  <c r="C688" i="5"/>
  <c r="B688" i="5"/>
  <c r="A688" i="5"/>
  <c r="D687" i="5"/>
  <c r="C687" i="5"/>
  <c r="B687" i="5"/>
  <c r="A687" i="5"/>
  <c r="D686" i="5"/>
  <c r="C686" i="5"/>
  <c r="B686" i="5"/>
  <c r="A686" i="5"/>
  <c r="D685" i="5"/>
  <c r="C685" i="5"/>
  <c r="B685" i="5"/>
  <c r="A685" i="5"/>
  <c r="D684" i="5"/>
  <c r="C684" i="5"/>
  <c r="B684" i="5"/>
  <c r="A684" i="5"/>
  <c r="D683" i="5"/>
  <c r="C683" i="5"/>
  <c r="B683" i="5"/>
  <c r="A683" i="5"/>
  <c r="D682" i="5"/>
  <c r="C682" i="5"/>
  <c r="B682" i="5"/>
  <c r="A682" i="5"/>
  <c r="D681" i="5"/>
  <c r="C681" i="5"/>
  <c r="B681" i="5"/>
  <c r="A681" i="5"/>
  <c r="D680" i="5"/>
  <c r="C680" i="5"/>
  <c r="B680" i="5"/>
  <c r="A680" i="5"/>
  <c r="D679" i="5"/>
  <c r="C679" i="5"/>
  <c r="B679" i="5"/>
  <c r="A679" i="5"/>
  <c r="D678" i="5"/>
  <c r="C678" i="5"/>
  <c r="B678" i="5"/>
  <c r="A678" i="5"/>
  <c r="D677" i="5"/>
  <c r="C677" i="5"/>
  <c r="B677" i="5"/>
  <c r="A677" i="5"/>
  <c r="D676" i="5"/>
  <c r="C676" i="5"/>
  <c r="B676" i="5"/>
  <c r="A676" i="5"/>
  <c r="D675" i="5"/>
  <c r="C675" i="5"/>
  <c r="B675" i="5"/>
  <c r="A675" i="5"/>
  <c r="D674" i="5"/>
  <c r="C674" i="5"/>
  <c r="B674" i="5"/>
  <c r="A674" i="5"/>
  <c r="D673" i="5"/>
  <c r="C673" i="5"/>
  <c r="B673" i="5"/>
  <c r="A673" i="5"/>
  <c r="D672" i="5"/>
  <c r="C672" i="5"/>
  <c r="B672" i="5"/>
  <c r="A672" i="5"/>
  <c r="D671" i="5"/>
  <c r="C671" i="5"/>
  <c r="B671" i="5"/>
  <c r="A671" i="5"/>
  <c r="D670" i="5"/>
  <c r="C670" i="5"/>
  <c r="B670" i="5"/>
  <c r="A670" i="5"/>
  <c r="D669" i="5"/>
  <c r="C669" i="5"/>
  <c r="B669" i="5"/>
  <c r="A669" i="5"/>
  <c r="D668" i="5"/>
  <c r="C668" i="5"/>
  <c r="B668" i="5"/>
  <c r="A668" i="5"/>
  <c r="D667" i="5"/>
  <c r="C667" i="5"/>
  <c r="B667" i="5"/>
  <c r="A667" i="5"/>
  <c r="D666" i="5"/>
  <c r="C666" i="5"/>
  <c r="B666" i="5"/>
  <c r="A666" i="5"/>
  <c r="D665" i="5"/>
  <c r="C665" i="5"/>
  <c r="B665" i="5"/>
  <c r="A665" i="5"/>
  <c r="D664" i="5"/>
  <c r="C664" i="5"/>
  <c r="B664" i="5"/>
  <c r="A664" i="5"/>
  <c r="D663" i="5"/>
  <c r="C663" i="5"/>
  <c r="B663" i="5"/>
  <c r="A663" i="5"/>
  <c r="D662" i="5"/>
  <c r="C662" i="5"/>
  <c r="B662" i="5"/>
  <c r="A662" i="5"/>
  <c r="D661" i="5"/>
  <c r="C661" i="5"/>
  <c r="B661" i="5"/>
  <c r="A661" i="5"/>
  <c r="D660" i="5"/>
  <c r="C660" i="5"/>
  <c r="B660" i="5"/>
  <c r="A660" i="5"/>
  <c r="D659" i="5"/>
  <c r="C659" i="5"/>
  <c r="B659" i="5"/>
  <c r="A659" i="5"/>
  <c r="D658" i="5"/>
  <c r="C658" i="5"/>
  <c r="B658" i="5"/>
  <c r="A658" i="5"/>
  <c r="D657" i="5"/>
  <c r="C657" i="5"/>
  <c r="B657" i="5"/>
  <c r="A657" i="5"/>
  <c r="D656" i="5"/>
  <c r="C656" i="5"/>
  <c r="B656" i="5"/>
  <c r="A656" i="5"/>
  <c r="D655" i="5"/>
  <c r="C655" i="5"/>
  <c r="B655" i="5"/>
  <c r="A655" i="5"/>
  <c r="D654" i="5"/>
  <c r="C654" i="5"/>
  <c r="B654" i="5"/>
  <c r="A654" i="5"/>
  <c r="D653" i="5"/>
  <c r="C653" i="5"/>
  <c r="B653" i="5"/>
  <c r="A653" i="5"/>
  <c r="D652" i="5"/>
  <c r="C652" i="5"/>
  <c r="B652" i="5"/>
  <c r="A652" i="5"/>
  <c r="D651" i="5"/>
  <c r="C651" i="5"/>
  <c r="B651" i="5"/>
  <c r="A651" i="5"/>
  <c r="D650" i="5"/>
  <c r="C650" i="5"/>
  <c r="B650" i="5"/>
  <c r="A650" i="5"/>
  <c r="D649" i="5"/>
  <c r="C649" i="5"/>
  <c r="B649" i="5"/>
  <c r="A649" i="5"/>
  <c r="D648" i="5"/>
  <c r="C648" i="5"/>
  <c r="B648" i="5"/>
  <c r="A648" i="5"/>
  <c r="D647" i="5"/>
  <c r="C647" i="5"/>
  <c r="B647" i="5"/>
  <c r="A647" i="5"/>
  <c r="D646" i="5"/>
  <c r="C646" i="5"/>
  <c r="B646" i="5"/>
  <c r="A646" i="5"/>
  <c r="D645" i="5"/>
  <c r="C645" i="5"/>
  <c r="B645" i="5"/>
  <c r="A645" i="5"/>
  <c r="D644" i="5"/>
  <c r="C644" i="5"/>
  <c r="B644" i="5"/>
  <c r="A644" i="5"/>
  <c r="D643" i="5"/>
  <c r="C643" i="5"/>
  <c r="B643" i="5"/>
  <c r="A643" i="5"/>
  <c r="D642" i="5"/>
  <c r="C642" i="5"/>
  <c r="B642" i="5"/>
  <c r="A642" i="5"/>
  <c r="D641" i="5"/>
  <c r="C641" i="5"/>
  <c r="B641" i="5"/>
  <c r="A641" i="5"/>
  <c r="D640" i="5"/>
  <c r="C640" i="5"/>
  <c r="B640" i="5"/>
  <c r="A640" i="5"/>
  <c r="D639" i="5"/>
  <c r="C639" i="5"/>
  <c r="B639" i="5"/>
  <c r="A639" i="5"/>
  <c r="D638" i="5"/>
  <c r="C638" i="5"/>
  <c r="B638" i="5"/>
  <c r="A638" i="5"/>
  <c r="D637" i="5"/>
  <c r="C637" i="5"/>
  <c r="B637" i="5"/>
  <c r="A637" i="5"/>
  <c r="D636" i="5"/>
  <c r="C636" i="5"/>
  <c r="B636" i="5"/>
  <c r="A636" i="5"/>
  <c r="D635" i="5"/>
  <c r="C635" i="5"/>
  <c r="B635" i="5"/>
  <c r="A635" i="5"/>
  <c r="D634" i="5"/>
  <c r="C634" i="5"/>
  <c r="B634" i="5"/>
  <c r="A634" i="5"/>
  <c r="D633" i="5"/>
  <c r="C633" i="5"/>
  <c r="B633" i="5"/>
  <c r="A633" i="5"/>
  <c r="D632" i="5"/>
  <c r="C632" i="5"/>
  <c r="B632" i="5"/>
  <c r="A632" i="5"/>
  <c r="D631" i="5"/>
  <c r="C631" i="5"/>
  <c r="B631" i="5"/>
  <c r="A631" i="5"/>
  <c r="D630" i="5"/>
  <c r="C630" i="5"/>
  <c r="B630" i="5"/>
  <c r="A630" i="5"/>
  <c r="D629" i="5"/>
  <c r="C629" i="5"/>
  <c r="B629" i="5"/>
  <c r="A629" i="5"/>
  <c r="D628" i="5"/>
  <c r="C628" i="5"/>
  <c r="B628" i="5"/>
  <c r="A628" i="5"/>
  <c r="D627" i="5"/>
  <c r="C627" i="5"/>
  <c r="B627" i="5"/>
  <c r="A627" i="5"/>
  <c r="D626" i="5"/>
  <c r="C626" i="5"/>
  <c r="B626" i="5"/>
  <c r="A626" i="5"/>
  <c r="D625" i="5"/>
  <c r="C625" i="5"/>
  <c r="B625" i="5"/>
  <c r="A625" i="5"/>
  <c r="D624" i="5"/>
  <c r="C624" i="5"/>
  <c r="B624" i="5"/>
  <c r="A624" i="5"/>
  <c r="D623" i="5"/>
  <c r="C623" i="5"/>
  <c r="B623" i="5"/>
  <c r="A623" i="5"/>
  <c r="D622" i="5"/>
  <c r="C622" i="5"/>
  <c r="B622" i="5"/>
  <c r="A622" i="5"/>
  <c r="D621" i="5"/>
  <c r="C621" i="5"/>
  <c r="B621" i="5"/>
  <c r="A621" i="5"/>
  <c r="D620" i="5"/>
  <c r="C620" i="5"/>
  <c r="B620" i="5"/>
  <c r="A620" i="5"/>
  <c r="D619" i="5"/>
  <c r="C619" i="5"/>
  <c r="B619" i="5"/>
  <c r="A619" i="5"/>
  <c r="D618" i="5"/>
  <c r="C618" i="5"/>
  <c r="B618" i="5"/>
  <c r="A618" i="5"/>
  <c r="D617" i="5"/>
  <c r="C617" i="5"/>
  <c r="B617" i="5"/>
  <c r="A617" i="5"/>
  <c r="D616" i="5"/>
  <c r="C616" i="5"/>
  <c r="B616" i="5"/>
  <c r="A616" i="5"/>
  <c r="D615" i="5"/>
  <c r="C615" i="5"/>
  <c r="B615" i="5"/>
  <c r="A615" i="5"/>
  <c r="D614" i="5"/>
  <c r="C614" i="5"/>
  <c r="B614" i="5"/>
  <c r="A614" i="5"/>
  <c r="D613" i="5"/>
  <c r="C613" i="5"/>
  <c r="B613" i="5"/>
  <c r="A613" i="5"/>
  <c r="D612" i="5"/>
  <c r="C612" i="5"/>
  <c r="B612" i="5"/>
  <c r="A612" i="5"/>
  <c r="D611" i="5"/>
  <c r="C611" i="5"/>
  <c r="B611" i="5"/>
  <c r="A611" i="5"/>
  <c r="D610" i="5"/>
  <c r="C610" i="5"/>
  <c r="B610" i="5"/>
  <c r="A610" i="5"/>
  <c r="D609" i="5"/>
  <c r="C609" i="5"/>
  <c r="B609" i="5"/>
  <c r="A609" i="5"/>
  <c r="D608" i="5"/>
  <c r="C608" i="5"/>
  <c r="B608" i="5"/>
  <c r="A608" i="5"/>
  <c r="D607" i="5"/>
  <c r="C607" i="5"/>
  <c r="B607" i="5"/>
  <c r="A607" i="5"/>
  <c r="D606" i="5"/>
  <c r="C606" i="5"/>
  <c r="B606" i="5"/>
  <c r="A606" i="5"/>
  <c r="D605" i="5"/>
  <c r="C605" i="5"/>
  <c r="B605" i="5"/>
  <c r="A605" i="5"/>
  <c r="D604" i="5"/>
  <c r="C604" i="5"/>
  <c r="B604" i="5"/>
  <c r="A604" i="5"/>
  <c r="D603" i="5"/>
  <c r="C603" i="5"/>
  <c r="B603" i="5"/>
  <c r="A603" i="5"/>
  <c r="D602" i="5"/>
  <c r="C602" i="5"/>
  <c r="B602" i="5"/>
  <c r="A602" i="5"/>
  <c r="D601" i="5"/>
  <c r="C601" i="5"/>
  <c r="B601" i="5"/>
  <c r="A601" i="5"/>
  <c r="D600" i="5"/>
  <c r="C600" i="5"/>
  <c r="B600" i="5"/>
  <c r="A600" i="5"/>
  <c r="D599" i="5"/>
  <c r="C599" i="5"/>
  <c r="B599" i="5"/>
  <c r="A599" i="5"/>
  <c r="D598" i="5"/>
  <c r="C598" i="5"/>
  <c r="B598" i="5"/>
  <c r="A598" i="5"/>
  <c r="D597" i="5"/>
  <c r="C597" i="5"/>
  <c r="B597" i="5"/>
  <c r="A597" i="5"/>
  <c r="D596" i="5"/>
  <c r="C596" i="5"/>
  <c r="B596" i="5"/>
  <c r="A596" i="5"/>
  <c r="D595" i="5"/>
  <c r="C595" i="5"/>
  <c r="B595" i="5"/>
  <c r="A595" i="5"/>
  <c r="D594" i="5"/>
  <c r="C594" i="5"/>
  <c r="B594" i="5"/>
  <c r="A594" i="5"/>
  <c r="D593" i="5"/>
  <c r="C593" i="5"/>
  <c r="B593" i="5"/>
  <c r="A593" i="5"/>
  <c r="D592" i="5"/>
  <c r="C592" i="5"/>
  <c r="B592" i="5"/>
  <c r="A592" i="5"/>
  <c r="D591" i="5"/>
  <c r="C591" i="5"/>
  <c r="B591" i="5"/>
  <c r="A591" i="5"/>
  <c r="D590" i="5"/>
  <c r="C590" i="5"/>
  <c r="B590" i="5"/>
  <c r="A590" i="5"/>
  <c r="D589" i="5"/>
  <c r="C589" i="5"/>
  <c r="B589" i="5"/>
  <c r="A589" i="5"/>
  <c r="D588" i="5"/>
  <c r="C588" i="5"/>
  <c r="B588" i="5"/>
  <c r="A588" i="5"/>
  <c r="D587" i="5"/>
  <c r="C587" i="5"/>
  <c r="B587" i="5"/>
  <c r="A587" i="5"/>
  <c r="D586" i="5"/>
  <c r="C586" i="5"/>
  <c r="B586" i="5"/>
  <c r="A586" i="5"/>
  <c r="D585" i="5"/>
  <c r="C585" i="5"/>
  <c r="B585" i="5"/>
  <c r="A585" i="5"/>
  <c r="D584" i="5"/>
  <c r="C584" i="5"/>
  <c r="B584" i="5"/>
  <c r="A584" i="5"/>
  <c r="D583" i="5"/>
  <c r="C583" i="5"/>
  <c r="B583" i="5"/>
  <c r="A583" i="5"/>
  <c r="D582" i="5"/>
  <c r="C582" i="5"/>
  <c r="B582" i="5"/>
  <c r="A582" i="5"/>
  <c r="D581" i="5"/>
  <c r="C581" i="5"/>
  <c r="B581" i="5"/>
  <c r="A581" i="5"/>
  <c r="D580" i="5"/>
  <c r="C580" i="5"/>
  <c r="B580" i="5"/>
  <c r="A580" i="5"/>
  <c r="D579" i="5"/>
  <c r="C579" i="5"/>
  <c r="B579" i="5"/>
  <c r="A579" i="5"/>
  <c r="D578" i="5"/>
  <c r="C578" i="5"/>
  <c r="B578" i="5"/>
  <c r="A578" i="5"/>
  <c r="D577" i="5"/>
  <c r="C577" i="5"/>
  <c r="B577" i="5"/>
  <c r="A577" i="5"/>
  <c r="D576" i="5"/>
  <c r="C576" i="5"/>
  <c r="B576" i="5"/>
  <c r="A576" i="5"/>
  <c r="D575" i="5"/>
  <c r="C575" i="5"/>
  <c r="B575" i="5"/>
  <c r="A575" i="5"/>
  <c r="D574" i="5"/>
  <c r="C574" i="5"/>
  <c r="B574" i="5"/>
  <c r="A574" i="5"/>
  <c r="D573" i="5"/>
  <c r="C573" i="5"/>
  <c r="B573" i="5"/>
  <c r="A573" i="5"/>
  <c r="D572" i="5"/>
  <c r="C572" i="5"/>
  <c r="B572" i="5"/>
  <c r="A572" i="5"/>
  <c r="D571" i="5"/>
  <c r="C571" i="5"/>
  <c r="B571" i="5"/>
  <c r="A571" i="5"/>
  <c r="D570" i="5"/>
  <c r="C570" i="5"/>
  <c r="B570" i="5"/>
  <c r="A570" i="5"/>
  <c r="D569" i="5"/>
  <c r="C569" i="5"/>
  <c r="B569" i="5"/>
  <c r="A569" i="5"/>
  <c r="D568" i="5"/>
  <c r="C568" i="5"/>
  <c r="B568" i="5"/>
  <c r="A568" i="5"/>
  <c r="D567" i="5"/>
  <c r="C567" i="5"/>
  <c r="B567" i="5"/>
  <c r="A567" i="5"/>
  <c r="D566" i="5"/>
  <c r="C566" i="5"/>
  <c r="B566" i="5"/>
  <c r="A566" i="5"/>
  <c r="D565" i="5"/>
  <c r="C565" i="5"/>
  <c r="B565" i="5"/>
  <c r="A565" i="5"/>
  <c r="D564" i="5"/>
  <c r="C564" i="5"/>
  <c r="B564" i="5"/>
  <c r="A564" i="5"/>
  <c r="D563" i="5"/>
  <c r="C563" i="5"/>
  <c r="B563" i="5"/>
  <c r="A563" i="5"/>
  <c r="D562" i="5"/>
  <c r="C562" i="5"/>
  <c r="B562" i="5"/>
  <c r="A562" i="5"/>
  <c r="D561" i="5"/>
  <c r="C561" i="5"/>
  <c r="B561" i="5"/>
  <c r="A561" i="5"/>
  <c r="D560" i="5"/>
  <c r="C560" i="5"/>
  <c r="B560" i="5"/>
  <c r="A560" i="5"/>
  <c r="D559" i="5"/>
  <c r="C559" i="5"/>
  <c r="B559" i="5"/>
  <c r="A559" i="5"/>
  <c r="D558" i="5"/>
  <c r="C558" i="5"/>
  <c r="B558" i="5"/>
  <c r="A558" i="5"/>
  <c r="D557" i="5"/>
  <c r="C557" i="5"/>
  <c r="B557" i="5"/>
  <c r="A557" i="5"/>
  <c r="D556" i="5"/>
  <c r="C556" i="5"/>
  <c r="B556" i="5"/>
  <c r="A556" i="5"/>
  <c r="D555" i="5"/>
  <c r="C555" i="5"/>
  <c r="B555" i="5"/>
  <c r="A555" i="5"/>
  <c r="D554" i="5"/>
  <c r="C554" i="5"/>
  <c r="B554" i="5"/>
  <c r="A554" i="5"/>
  <c r="D553" i="5"/>
  <c r="C553" i="5"/>
  <c r="B553" i="5"/>
  <c r="A553" i="5"/>
  <c r="D552" i="5"/>
  <c r="C552" i="5"/>
  <c r="B552" i="5"/>
  <c r="A552" i="5"/>
  <c r="D551" i="5"/>
  <c r="C551" i="5"/>
  <c r="B551" i="5"/>
  <c r="A551" i="5"/>
  <c r="D550" i="5"/>
  <c r="C550" i="5"/>
  <c r="B550" i="5"/>
  <c r="A550" i="5"/>
  <c r="D549" i="5"/>
  <c r="C549" i="5"/>
  <c r="B549" i="5"/>
  <c r="A549" i="5"/>
  <c r="D548" i="5"/>
  <c r="C548" i="5"/>
  <c r="B548" i="5"/>
  <c r="A548" i="5"/>
  <c r="D547" i="5"/>
  <c r="C547" i="5"/>
  <c r="B547" i="5"/>
  <c r="A547" i="5"/>
  <c r="D546" i="5"/>
  <c r="C546" i="5"/>
  <c r="B546" i="5"/>
  <c r="A546" i="5"/>
  <c r="D545" i="5"/>
  <c r="C545" i="5"/>
  <c r="B545" i="5"/>
  <c r="A545" i="5"/>
  <c r="D544" i="5"/>
  <c r="C544" i="5"/>
  <c r="B544" i="5"/>
  <c r="A544" i="5"/>
  <c r="D543" i="5"/>
  <c r="C543" i="5"/>
  <c r="B543" i="5"/>
  <c r="A543" i="5"/>
  <c r="D542" i="5"/>
  <c r="C542" i="5"/>
  <c r="B542" i="5"/>
  <c r="A542" i="5"/>
  <c r="D541" i="5"/>
  <c r="C541" i="5"/>
  <c r="B541" i="5"/>
  <c r="A541" i="5"/>
  <c r="D540" i="5"/>
  <c r="C540" i="5"/>
  <c r="B540" i="5"/>
  <c r="A540" i="5"/>
  <c r="D539" i="5"/>
  <c r="C539" i="5"/>
  <c r="B539" i="5"/>
  <c r="A539" i="5"/>
  <c r="D538" i="5"/>
  <c r="C538" i="5"/>
  <c r="B538" i="5"/>
  <c r="A538" i="5"/>
  <c r="D537" i="5"/>
  <c r="C537" i="5"/>
  <c r="B537" i="5"/>
  <c r="A537" i="5"/>
  <c r="D536" i="5"/>
  <c r="C536" i="5"/>
  <c r="B536" i="5"/>
  <c r="A536" i="5"/>
  <c r="D535" i="5"/>
  <c r="C535" i="5"/>
  <c r="B535" i="5"/>
  <c r="A535" i="5"/>
  <c r="D534" i="5"/>
  <c r="C534" i="5"/>
  <c r="B534" i="5"/>
  <c r="A534" i="5"/>
  <c r="D533" i="5"/>
  <c r="C533" i="5"/>
  <c r="B533" i="5"/>
  <c r="A533" i="5"/>
  <c r="D532" i="5"/>
  <c r="C532" i="5"/>
  <c r="B532" i="5"/>
  <c r="A532" i="5"/>
  <c r="D531" i="5"/>
  <c r="C531" i="5"/>
  <c r="B531" i="5"/>
  <c r="A531" i="5"/>
  <c r="D530" i="5"/>
  <c r="C530" i="5"/>
  <c r="B530" i="5"/>
  <c r="A530" i="5"/>
  <c r="D529" i="5"/>
  <c r="C529" i="5"/>
  <c r="B529" i="5"/>
  <c r="A529" i="5"/>
  <c r="D528" i="5"/>
  <c r="C528" i="5"/>
  <c r="B528" i="5"/>
  <c r="A528" i="5"/>
  <c r="D527" i="5"/>
  <c r="C527" i="5"/>
  <c r="B527" i="5"/>
  <c r="A527" i="5"/>
  <c r="D526" i="5"/>
  <c r="C526" i="5"/>
  <c r="B526" i="5"/>
  <c r="A526" i="5"/>
  <c r="D525" i="5"/>
  <c r="C525" i="5"/>
  <c r="B525" i="5"/>
  <c r="A525" i="5"/>
  <c r="D524" i="5"/>
  <c r="C524" i="5"/>
  <c r="B524" i="5"/>
  <c r="A524" i="5"/>
  <c r="D523" i="5"/>
  <c r="C523" i="5"/>
  <c r="B523" i="5"/>
  <c r="A523" i="5"/>
  <c r="D522" i="5"/>
  <c r="C522" i="5"/>
  <c r="B522" i="5"/>
  <c r="A522" i="5"/>
  <c r="D521" i="5"/>
  <c r="C521" i="5"/>
  <c r="B521" i="5"/>
  <c r="A521" i="5"/>
  <c r="D520" i="5"/>
  <c r="C520" i="5"/>
  <c r="B520" i="5"/>
  <c r="A520" i="5"/>
  <c r="D519" i="5"/>
  <c r="C519" i="5"/>
  <c r="B519" i="5"/>
  <c r="A519" i="5"/>
  <c r="D518" i="5"/>
  <c r="C518" i="5"/>
  <c r="B518" i="5"/>
  <c r="A518" i="5"/>
  <c r="D517" i="5"/>
  <c r="C517" i="5"/>
  <c r="B517" i="5"/>
  <c r="A517" i="5"/>
  <c r="D516" i="5"/>
  <c r="C516" i="5"/>
  <c r="B516" i="5"/>
  <c r="A516" i="5"/>
  <c r="D515" i="5"/>
  <c r="C515" i="5"/>
  <c r="B515" i="5"/>
  <c r="A515" i="5"/>
  <c r="D514" i="5"/>
  <c r="C514" i="5"/>
  <c r="B514" i="5"/>
  <c r="A514" i="5"/>
  <c r="D513" i="5"/>
  <c r="C513" i="5"/>
  <c r="B513" i="5"/>
  <c r="A513" i="5"/>
  <c r="D512" i="5"/>
  <c r="C512" i="5"/>
  <c r="B512" i="5"/>
  <c r="A512" i="5"/>
  <c r="D511" i="5"/>
  <c r="C511" i="5"/>
  <c r="B511" i="5"/>
  <c r="A511" i="5"/>
  <c r="D510" i="5"/>
  <c r="C510" i="5"/>
  <c r="B510" i="5"/>
  <c r="A510" i="5"/>
  <c r="D509" i="5"/>
  <c r="C509" i="5"/>
  <c r="B509" i="5"/>
  <c r="A509" i="5"/>
  <c r="D508" i="5"/>
  <c r="C508" i="5"/>
  <c r="B508" i="5"/>
  <c r="A508" i="5"/>
  <c r="D507" i="5"/>
  <c r="C507" i="5"/>
  <c r="B507" i="5"/>
  <c r="A507" i="5"/>
  <c r="D506" i="5"/>
  <c r="C506" i="5"/>
  <c r="B506" i="5"/>
  <c r="A506" i="5"/>
  <c r="D505" i="5"/>
  <c r="C505" i="5"/>
  <c r="B505" i="5"/>
  <c r="A505" i="5"/>
  <c r="D504" i="5"/>
  <c r="C504" i="5"/>
  <c r="B504" i="5"/>
  <c r="A504" i="5"/>
  <c r="D503" i="5"/>
  <c r="C503" i="5"/>
  <c r="B503" i="5"/>
  <c r="A503" i="5"/>
  <c r="D502" i="5"/>
  <c r="C502" i="5"/>
  <c r="B502" i="5"/>
  <c r="A502" i="5"/>
  <c r="D501" i="5"/>
  <c r="C501" i="5"/>
  <c r="B501" i="5"/>
  <c r="A501" i="5"/>
  <c r="D500" i="5"/>
  <c r="C500" i="5"/>
  <c r="B500" i="5"/>
  <c r="A500" i="5"/>
  <c r="D499" i="5"/>
  <c r="C499" i="5"/>
  <c r="B499" i="5"/>
  <c r="A499" i="5"/>
  <c r="D498" i="5"/>
  <c r="C498" i="5"/>
  <c r="B498" i="5"/>
  <c r="A498" i="5"/>
  <c r="D497" i="5"/>
  <c r="C497" i="5"/>
  <c r="B497" i="5"/>
  <c r="A497" i="5"/>
  <c r="D496" i="5"/>
  <c r="C496" i="5"/>
  <c r="B496" i="5"/>
  <c r="A496" i="5"/>
  <c r="D495" i="5"/>
  <c r="C495" i="5"/>
  <c r="B495" i="5"/>
  <c r="A495" i="5"/>
  <c r="D494" i="5"/>
  <c r="C494" i="5"/>
  <c r="B494" i="5"/>
  <c r="A494" i="5"/>
  <c r="D493" i="5"/>
  <c r="C493" i="5"/>
  <c r="B493" i="5"/>
  <c r="A493" i="5"/>
  <c r="D492" i="5"/>
  <c r="C492" i="5"/>
  <c r="B492" i="5"/>
  <c r="A492" i="5"/>
  <c r="D491" i="5"/>
  <c r="C491" i="5"/>
  <c r="B491" i="5"/>
  <c r="A491" i="5"/>
  <c r="D490" i="5"/>
  <c r="C490" i="5"/>
  <c r="B490" i="5"/>
  <c r="A490" i="5"/>
  <c r="D489" i="5"/>
  <c r="C489" i="5"/>
  <c r="B489" i="5"/>
  <c r="A489" i="5"/>
  <c r="D488" i="5"/>
  <c r="C488" i="5"/>
  <c r="B488" i="5"/>
  <c r="A488" i="5"/>
  <c r="D487" i="5"/>
  <c r="C487" i="5"/>
  <c r="B487" i="5"/>
  <c r="A487" i="5"/>
  <c r="D486" i="5"/>
  <c r="C486" i="5"/>
  <c r="B486" i="5"/>
  <c r="A486" i="5"/>
  <c r="D485" i="5"/>
  <c r="C485" i="5"/>
  <c r="B485" i="5"/>
  <c r="A485" i="5"/>
  <c r="D484" i="5"/>
  <c r="C484" i="5"/>
  <c r="B484" i="5"/>
  <c r="A484" i="5"/>
  <c r="D483" i="5"/>
  <c r="C483" i="5"/>
  <c r="B483" i="5"/>
  <c r="A483" i="5"/>
  <c r="D482" i="5"/>
  <c r="C482" i="5"/>
  <c r="B482" i="5"/>
  <c r="A482" i="5"/>
  <c r="D481" i="5"/>
  <c r="C481" i="5"/>
  <c r="B481" i="5"/>
  <c r="A481" i="5"/>
  <c r="D480" i="5"/>
  <c r="C480" i="5"/>
  <c r="B480" i="5"/>
  <c r="A480" i="5"/>
  <c r="D479" i="5"/>
  <c r="C479" i="5"/>
  <c r="B479" i="5"/>
  <c r="A479" i="5"/>
  <c r="D478" i="5"/>
  <c r="C478" i="5"/>
  <c r="B478" i="5"/>
  <c r="A478" i="5"/>
  <c r="D477" i="5"/>
  <c r="C477" i="5"/>
  <c r="B477" i="5"/>
  <c r="A477" i="5"/>
  <c r="D476" i="5"/>
  <c r="C476" i="5"/>
  <c r="B476" i="5"/>
  <c r="A476" i="5"/>
  <c r="D475" i="5"/>
  <c r="C475" i="5"/>
  <c r="B475" i="5"/>
  <c r="A475" i="5"/>
  <c r="D474" i="5"/>
  <c r="C474" i="5"/>
  <c r="B474" i="5"/>
  <c r="A474" i="5"/>
  <c r="D473" i="5"/>
  <c r="C473" i="5"/>
  <c r="B473" i="5"/>
  <c r="A473" i="5"/>
  <c r="D472" i="5"/>
  <c r="C472" i="5"/>
  <c r="B472" i="5"/>
  <c r="A472" i="5"/>
  <c r="D471" i="5"/>
  <c r="C471" i="5"/>
  <c r="B471" i="5"/>
  <c r="A471" i="5"/>
  <c r="D470" i="5"/>
  <c r="C470" i="5"/>
  <c r="B470" i="5"/>
  <c r="A470" i="5"/>
  <c r="D469" i="5"/>
  <c r="C469" i="5"/>
  <c r="B469" i="5"/>
  <c r="A469" i="5"/>
  <c r="D468" i="5"/>
  <c r="C468" i="5"/>
  <c r="B468" i="5"/>
  <c r="A468" i="5"/>
  <c r="D467" i="5"/>
  <c r="C467" i="5"/>
  <c r="B467" i="5"/>
  <c r="A467" i="5"/>
  <c r="D466" i="5"/>
  <c r="C466" i="5"/>
  <c r="B466" i="5"/>
  <c r="A466" i="5"/>
  <c r="D465" i="5"/>
  <c r="C465" i="5"/>
  <c r="B465" i="5"/>
  <c r="A465" i="5"/>
  <c r="D464" i="5"/>
  <c r="C464" i="5"/>
  <c r="B464" i="5"/>
  <c r="A464" i="5"/>
  <c r="D463" i="5"/>
  <c r="C463" i="5"/>
  <c r="B463" i="5"/>
  <c r="A463" i="5"/>
  <c r="D462" i="5"/>
  <c r="C462" i="5"/>
  <c r="B462" i="5"/>
  <c r="A462" i="5"/>
  <c r="D461" i="5"/>
  <c r="C461" i="5"/>
  <c r="B461" i="5"/>
  <c r="A461" i="5"/>
  <c r="D460" i="5"/>
  <c r="C460" i="5"/>
  <c r="B460" i="5"/>
  <c r="A460" i="5"/>
  <c r="D459" i="5"/>
  <c r="C459" i="5"/>
  <c r="B459" i="5"/>
  <c r="A459" i="5"/>
  <c r="D458" i="5"/>
  <c r="C458" i="5"/>
  <c r="B458" i="5"/>
  <c r="A458" i="5"/>
  <c r="D457" i="5"/>
  <c r="C457" i="5"/>
  <c r="B457" i="5"/>
  <c r="A457" i="5"/>
  <c r="D456" i="5"/>
  <c r="C456" i="5"/>
  <c r="B456" i="5"/>
  <c r="A456" i="5"/>
  <c r="D455" i="5"/>
  <c r="C455" i="5"/>
  <c r="B455" i="5"/>
  <c r="A455" i="5"/>
  <c r="D454" i="5"/>
  <c r="C454" i="5"/>
  <c r="B454" i="5"/>
  <c r="A454" i="5"/>
  <c r="D453" i="5"/>
  <c r="C453" i="5"/>
  <c r="B453" i="5"/>
  <c r="A453" i="5"/>
  <c r="D452" i="5"/>
  <c r="C452" i="5"/>
  <c r="B452" i="5"/>
  <c r="A452" i="5"/>
  <c r="D451" i="5"/>
  <c r="C451" i="5"/>
  <c r="B451" i="5"/>
  <c r="A451" i="5"/>
  <c r="D450" i="5"/>
  <c r="C450" i="5"/>
  <c r="B450" i="5"/>
  <c r="A450" i="5"/>
  <c r="D449" i="5"/>
  <c r="C449" i="5"/>
  <c r="B449" i="5"/>
  <c r="A449" i="5"/>
  <c r="D448" i="5"/>
  <c r="C448" i="5"/>
  <c r="B448" i="5"/>
  <c r="A448" i="5"/>
  <c r="D447" i="5"/>
  <c r="C447" i="5"/>
  <c r="B447" i="5"/>
  <c r="A447" i="5"/>
  <c r="D446" i="5"/>
  <c r="C446" i="5"/>
  <c r="B446" i="5"/>
  <c r="A446" i="5"/>
  <c r="D445" i="5"/>
  <c r="C445" i="5"/>
  <c r="B445" i="5"/>
  <c r="A445" i="5"/>
  <c r="D444" i="5"/>
  <c r="C444" i="5"/>
  <c r="B444" i="5"/>
  <c r="A444" i="5"/>
  <c r="D443" i="5"/>
  <c r="C443" i="5"/>
  <c r="B443" i="5"/>
  <c r="A443" i="5"/>
  <c r="D442" i="5"/>
  <c r="C442" i="5"/>
  <c r="B442" i="5"/>
  <c r="A442" i="5"/>
  <c r="D441" i="5"/>
  <c r="C441" i="5"/>
  <c r="B441" i="5"/>
  <c r="A441" i="5"/>
  <c r="D440" i="5"/>
  <c r="C440" i="5"/>
  <c r="B440" i="5"/>
  <c r="A440" i="5"/>
  <c r="D439" i="5"/>
  <c r="C439" i="5"/>
  <c r="B439" i="5"/>
  <c r="A439" i="5"/>
  <c r="D438" i="5"/>
  <c r="C438" i="5"/>
  <c r="B438" i="5"/>
  <c r="A438" i="5"/>
  <c r="D437" i="5"/>
  <c r="C437" i="5"/>
  <c r="B437" i="5"/>
  <c r="A437" i="5"/>
  <c r="D436" i="5"/>
  <c r="C436" i="5"/>
  <c r="B436" i="5"/>
  <c r="A436" i="5"/>
  <c r="D435" i="5"/>
  <c r="C435" i="5"/>
  <c r="B435" i="5"/>
  <c r="A435" i="5"/>
  <c r="D434" i="5"/>
  <c r="C434" i="5"/>
  <c r="B434" i="5"/>
  <c r="A434" i="5"/>
  <c r="D433" i="5"/>
  <c r="C433" i="5"/>
  <c r="B433" i="5"/>
  <c r="A433" i="5"/>
  <c r="D432" i="5"/>
  <c r="C432" i="5"/>
  <c r="B432" i="5"/>
  <c r="A432" i="5"/>
  <c r="D431" i="5"/>
  <c r="C431" i="5"/>
  <c r="B431" i="5"/>
  <c r="A431" i="5"/>
  <c r="D430" i="5"/>
  <c r="C430" i="5"/>
  <c r="B430" i="5"/>
  <c r="A430" i="5"/>
  <c r="D429" i="5"/>
  <c r="C429" i="5"/>
  <c r="B429" i="5"/>
  <c r="A429" i="5"/>
  <c r="D428" i="5"/>
  <c r="C428" i="5"/>
  <c r="B428" i="5"/>
  <c r="A428" i="5"/>
  <c r="D427" i="5"/>
  <c r="C427" i="5"/>
  <c r="B427" i="5"/>
  <c r="A427" i="5"/>
  <c r="D426" i="5"/>
  <c r="C426" i="5"/>
  <c r="B426" i="5"/>
  <c r="A426" i="5"/>
  <c r="D425" i="5"/>
  <c r="C425" i="5"/>
  <c r="B425" i="5"/>
  <c r="A425" i="5"/>
  <c r="D424" i="5"/>
  <c r="C424" i="5"/>
  <c r="B424" i="5"/>
  <c r="A424" i="5"/>
  <c r="D423" i="5"/>
  <c r="C423" i="5"/>
  <c r="B423" i="5"/>
  <c r="A423" i="5"/>
  <c r="D422" i="5"/>
  <c r="C422" i="5"/>
  <c r="B422" i="5"/>
  <c r="A422" i="5"/>
  <c r="D421" i="5"/>
  <c r="C421" i="5"/>
  <c r="B421" i="5"/>
  <c r="A421" i="5"/>
  <c r="D420" i="5"/>
  <c r="C420" i="5"/>
  <c r="B420" i="5"/>
  <c r="A420" i="5"/>
  <c r="D419" i="5"/>
  <c r="C419" i="5"/>
  <c r="B419" i="5"/>
  <c r="A419" i="5"/>
  <c r="D418" i="5"/>
  <c r="C418" i="5"/>
  <c r="B418" i="5"/>
  <c r="A418" i="5"/>
  <c r="D417" i="5"/>
  <c r="C417" i="5"/>
  <c r="B417" i="5"/>
  <c r="A417" i="5"/>
  <c r="D416" i="5"/>
  <c r="C416" i="5"/>
  <c r="B416" i="5"/>
  <c r="A416" i="5"/>
  <c r="D415" i="5"/>
  <c r="C415" i="5"/>
  <c r="B415" i="5"/>
  <c r="A415" i="5"/>
  <c r="D414" i="5"/>
  <c r="C414" i="5"/>
  <c r="B414" i="5"/>
  <c r="A414" i="5"/>
  <c r="D413" i="5"/>
  <c r="C413" i="5"/>
  <c r="B413" i="5"/>
  <c r="A413" i="5"/>
  <c r="D412" i="5"/>
  <c r="C412" i="5"/>
  <c r="B412" i="5"/>
  <c r="A412" i="5"/>
  <c r="D411" i="5"/>
  <c r="C411" i="5"/>
  <c r="B411" i="5"/>
  <c r="A411" i="5"/>
  <c r="D410" i="5"/>
  <c r="C410" i="5"/>
  <c r="B410" i="5"/>
  <c r="A410" i="5"/>
  <c r="D409" i="5"/>
  <c r="C409" i="5"/>
  <c r="B409" i="5"/>
  <c r="A409" i="5"/>
  <c r="D408" i="5"/>
  <c r="C408" i="5"/>
  <c r="B408" i="5"/>
  <c r="A408" i="5"/>
  <c r="D407" i="5"/>
  <c r="C407" i="5"/>
  <c r="B407" i="5"/>
  <c r="A407" i="5"/>
  <c r="D406" i="5"/>
  <c r="C406" i="5"/>
  <c r="B406" i="5"/>
  <c r="A406" i="5"/>
  <c r="D405" i="5"/>
  <c r="C405" i="5"/>
  <c r="B405" i="5"/>
  <c r="A405" i="5"/>
  <c r="D404" i="5"/>
  <c r="C404" i="5"/>
  <c r="B404" i="5"/>
  <c r="A404" i="5"/>
  <c r="D403" i="5"/>
  <c r="C403" i="5"/>
  <c r="B403" i="5"/>
  <c r="A403" i="5"/>
  <c r="D402" i="5"/>
  <c r="C402" i="5"/>
  <c r="B402" i="5"/>
  <c r="A402" i="5"/>
  <c r="D401" i="5"/>
  <c r="C401" i="5"/>
  <c r="B401" i="5"/>
  <c r="A401" i="5"/>
  <c r="D400" i="5"/>
  <c r="C400" i="5"/>
  <c r="B400" i="5"/>
  <c r="A400" i="5"/>
  <c r="D399" i="5"/>
  <c r="C399" i="5"/>
  <c r="B399" i="5"/>
  <c r="A399" i="5"/>
  <c r="D398" i="5"/>
  <c r="C398" i="5"/>
  <c r="B398" i="5"/>
  <c r="A398" i="5"/>
  <c r="D397" i="5"/>
  <c r="C397" i="5"/>
  <c r="B397" i="5"/>
  <c r="A397" i="5"/>
  <c r="D396" i="5"/>
  <c r="C396" i="5"/>
  <c r="B396" i="5"/>
  <c r="A396" i="5"/>
  <c r="D395" i="5"/>
  <c r="C395" i="5"/>
  <c r="B395" i="5"/>
  <c r="A395" i="5"/>
  <c r="D394" i="5"/>
  <c r="C394" i="5"/>
  <c r="B394" i="5"/>
  <c r="A394" i="5"/>
  <c r="D393" i="5"/>
  <c r="C393" i="5"/>
  <c r="B393" i="5"/>
  <c r="A393" i="5"/>
  <c r="D392" i="5"/>
  <c r="C392" i="5"/>
  <c r="B392" i="5"/>
  <c r="A392" i="5"/>
  <c r="D391" i="5"/>
  <c r="C391" i="5"/>
  <c r="B391" i="5"/>
  <c r="A391" i="5"/>
  <c r="D390" i="5"/>
  <c r="C390" i="5"/>
  <c r="B390" i="5"/>
  <c r="A390" i="5"/>
  <c r="D389" i="5"/>
  <c r="C389" i="5"/>
  <c r="B389" i="5"/>
  <c r="A389" i="5"/>
  <c r="D388" i="5"/>
  <c r="C388" i="5"/>
  <c r="B388" i="5"/>
  <c r="A388" i="5"/>
  <c r="D387" i="5"/>
  <c r="C387" i="5"/>
  <c r="B387" i="5"/>
  <c r="A387" i="5"/>
  <c r="D386" i="5"/>
  <c r="C386" i="5"/>
  <c r="B386" i="5"/>
  <c r="A386" i="5"/>
  <c r="D385" i="5"/>
  <c r="C385" i="5"/>
  <c r="B385" i="5"/>
  <c r="A385" i="5"/>
  <c r="D384" i="5"/>
  <c r="C384" i="5"/>
  <c r="B384" i="5"/>
  <c r="A384" i="5"/>
  <c r="D383" i="5"/>
  <c r="C383" i="5"/>
  <c r="B383" i="5"/>
  <c r="A383" i="5"/>
  <c r="D382" i="5"/>
  <c r="C382" i="5"/>
  <c r="B382" i="5"/>
  <c r="A382" i="5"/>
  <c r="D381" i="5"/>
  <c r="C381" i="5"/>
  <c r="B381" i="5"/>
  <c r="A381" i="5"/>
  <c r="D380" i="5"/>
  <c r="C380" i="5"/>
  <c r="B380" i="5"/>
  <c r="A380" i="5"/>
  <c r="D379" i="5"/>
  <c r="C379" i="5"/>
  <c r="B379" i="5"/>
  <c r="A379" i="5"/>
  <c r="D378" i="5"/>
  <c r="C378" i="5"/>
  <c r="B378" i="5"/>
  <c r="A378" i="5"/>
  <c r="D377" i="5"/>
  <c r="C377" i="5"/>
  <c r="B377" i="5"/>
  <c r="A377" i="5"/>
  <c r="D376" i="5"/>
  <c r="C376" i="5"/>
  <c r="B376" i="5"/>
  <c r="A376" i="5"/>
  <c r="D375" i="5"/>
  <c r="C375" i="5"/>
  <c r="B375" i="5"/>
  <c r="A375" i="5"/>
  <c r="D374" i="5"/>
  <c r="C374" i="5"/>
  <c r="B374" i="5"/>
  <c r="A374" i="5"/>
  <c r="D373" i="5"/>
  <c r="C373" i="5"/>
  <c r="B373" i="5"/>
  <c r="A373" i="5"/>
  <c r="D372" i="5"/>
  <c r="C372" i="5"/>
  <c r="B372" i="5"/>
  <c r="A372" i="5"/>
  <c r="D371" i="5"/>
  <c r="C371" i="5"/>
  <c r="B371" i="5"/>
  <c r="A371" i="5"/>
  <c r="D370" i="5"/>
  <c r="C370" i="5"/>
  <c r="B370" i="5"/>
  <c r="A370" i="5"/>
  <c r="D369" i="5"/>
  <c r="C369" i="5"/>
  <c r="B369" i="5"/>
  <c r="A369" i="5"/>
  <c r="D368" i="5"/>
  <c r="C368" i="5"/>
  <c r="B368" i="5"/>
  <c r="A368" i="5"/>
  <c r="D367" i="5"/>
  <c r="C367" i="5"/>
  <c r="B367" i="5"/>
  <c r="A367" i="5"/>
  <c r="D366" i="5"/>
  <c r="C366" i="5"/>
  <c r="B366" i="5"/>
  <c r="A366" i="5"/>
  <c r="D365" i="5"/>
  <c r="C365" i="5"/>
  <c r="B365" i="5"/>
  <c r="A365" i="5"/>
  <c r="D364" i="5"/>
  <c r="C364" i="5"/>
  <c r="B364" i="5"/>
  <c r="A364" i="5"/>
  <c r="D363" i="5"/>
  <c r="C363" i="5"/>
  <c r="B363" i="5"/>
  <c r="A363" i="5"/>
  <c r="D362" i="5"/>
  <c r="C362" i="5"/>
  <c r="B362" i="5"/>
  <c r="A362" i="5"/>
  <c r="D361" i="5"/>
  <c r="C361" i="5"/>
  <c r="B361" i="5"/>
  <c r="A361" i="5"/>
  <c r="D360" i="5"/>
  <c r="C360" i="5"/>
  <c r="B360" i="5"/>
  <c r="A360" i="5"/>
  <c r="D359" i="5"/>
  <c r="C359" i="5"/>
  <c r="B359" i="5"/>
  <c r="A359" i="5"/>
  <c r="D358" i="5"/>
  <c r="C358" i="5"/>
  <c r="B358" i="5"/>
  <c r="A358" i="5"/>
  <c r="D357" i="5"/>
  <c r="C357" i="5"/>
  <c r="B357" i="5"/>
  <c r="A357" i="5"/>
  <c r="D356" i="5"/>
  <c r="C356" i="5"/>
  <c r="B356" i="5"/>
  <c r="A356" i="5"/>
  <c r="D355" i="5"/>
  <c r="C355" i="5"/>
  <c r="B355" i="5"/>
  <c r="A355" i="5"/>
  <c r="D354" i="5"/>
  <c r="C354" i="5"/>
  <c r="B354" i="5"/>
  <c r="A354" i="5"/>
  <c r="D353" i="5"/>
  <c r="C353" i="5"/>
  <c r="B353" i="5"/>
  <c r="A353" i="5"/>
  <c r="D352" i="5"/>
  <c r="C352" i="5"/>
  <c r="B352" i="5"/>
  <c r="A352" i="5"/>
  <c r="D351" i="5"/>
  <c r="C351" i="5"/>
  <c r="B351" i="5"/>
  <c r="A351" i="5"/>
  <c r="D350" i="5"/>
  <c r="C350" i="5"/>
  <c r="B350" i="5"/>
  <c r="A350" i="5"/>
  <c r="D349" i="5"/>
  <c r="C349" i="5"/>
  <c r="B349" i="5"/>
  <c r="A349" i="5"/>
  <c r="D348" i="5"/>
  <c r="C348" i="5"/>
  <c r="B348" i="5"/>
  <c r="A348" i="5"/>
  <c r="D347" i="5"/>
  <c r="C347" i="5"/>
  <c r="B347" i="5"/>
  <c r="A347" i="5"/>
  <c r="D346" i="5"/>
  <c r="C346" i="5"/>
  <c r="B346" i="5"/>
  <c r="A346" i="5"/>
  <c r="D345" i="5"/>
  <c r="C345" i="5"/>
  <c r="B345" i="5"/>
  <c r="A345" i="5"/>
  <c r="D344" i="5"/>
  <c r="C344" i="5"/>
  <c r="B344" i="5"/>
  <c r="A344" i="5"/>
  <c r="D343" i="5"/>
  <c r="C343" i="5"/>
  <c r="B343" i="5"/>
  <c r="A343" i="5"/>
  <c r="D342" i="5"/>
  <c r="C342" i="5"/>
  <c r="B342" i="5"/>
  <c r="A342" i="5"/>
  <c r="D341" i="5"/>
  <c r="C341" i="5"/>
  <c r="B341" i="5"/>
  <c r="A341" i="5"/>
  <c r="D340" i="5"/>
  <c r="C340" i="5"/>
  <c r="B340" i="5"/>
  <c r="A340" i="5"/>
  <c r="D339" i="5"/>
  <c r="C339" i="5"/>
  <c r="B339" i="5"/>
  <c r="A339" i="5"/>
  <c r="D338" i="5"/>
  <c r="C338" i="5"/>
  <c r="B338" i="5"/>
  <c r="A338" i="5"/>
  <c r="D337" i="5"/>
  <c r="C337" i="5"/>
  <c r="B337" i="5"/>
  <c r="A337" i="5"/>
  <c r="D336" i="5"/>
  <c r="C336" i="5"/>
  <c r="B336" i="5"/>
  <c r="A336" i="5"/>
  <c r="D335" i="5"/>
  <c r="C335" i="5"/>
  <c r="B335" i="5"/>
  <c r="A335" i="5"/>
  <c r="D334" i="5"/>
  <c r="C334" i="5"/>
  <c r="B334" i="5"/>
  <c r="A334" i="5"/>
  <c r="D333" i="5"/>
  <c r="C333" i="5"/>
  <c r="B333" i="5"/>
  <c r="A333" i="5"/>
  <c r="D332" i="5"/>
  <c r="C332" i="5"/>
  <c r="B332" i="5"/>
  <c r="A332" i="5"/>
  <c r="D331" i="5"/>
  <c r="C331" i="5"/>
  <c r="B331" i="5"/>
  <c r="A331" i="5"/>
  <c r="D330" i="5"/>
  <c r="C330" i="5"/>
  <c r="B330" i="5"/>
  <c r="A330" i="5"/>
  <c r="D329" i="5"/>
  <c r="C329" i="5"/>
  <c r="B329" i="5"/>
  <c r="A329" i="5"/>
  <c r="D328" i="5"/>
  <c r="C328" i="5"/>
  <c r="B328" i="5"/>
  <c r="A328" i="5"/>
  <c r="D327" i="5"/>
  <c r="C327" i="5"/>
  <c r="B327" i="5"/>
  <c r="A327" i="5"/>
  <c r="D326" i="5"/>
  <c r="C326" i="5"/>
  <c r="B326" i="5"/>
  <c r="A326" i="5"/>
  <c r="D325" i="5"/>
  <c r="C325" i="5"/>
  <c r="B325" i="5"/>
  <c r="A325" i="5"/>
  <c r="D324" i="5"/>
  <c r="C324" i="5"/>
  <c r="B324" i="5"/>
  <c r="A324" i="5"/>
  <c r="D323" i="5"/>
  <c r="C323" i="5"/>
  <c r="B323" i="5"/>
  <c r="A323" i="5"/>
  <c r="D322" i="5"/>
  <c r="C322" i="5"/>
  <c r="B322" i="5"/>
  <c r="A322" i="5"/>
  <c r="D321" i="5"/>
  <c r="C321" i="5"/>
  <c r="B321" i="5"/>
  <c r="A321" i="5"/>
  <c r="D320" i="5"/>
  <c r="C320" i="5"/>
  <c r="B320" i="5"/>
  <c r="A320" i="5"/>
  <c r="D319" i="5"/>
  <c r="C319" i="5"/>
  <c r="B319" i="5"/>
  <c r="A319" i="5"/>
  <c r="D318" i="5"/>
  <c r="C318" i="5"/>
  <c r="B318" i="5"/>
  <c r="A318" i="5"/>
  <c r="D317" i="5"/>
  <c r="C317" i="5"/>
  <c r="B317" i="5"/>
  <c r="A317" i="5"/>
  <c r="D316" i="5"/>
  <c r="C316" i="5"/>
  <c r="B316" i="5"/>
  <c r="A316" i="5"/>
  <c r="D315" i="5"/>
  <c r="C315" i="5"/>
  <c r="B315" i="5"/>
  <c r="A315" i="5"/>
  <c r="D314" i="5"/>
  <c r="C314" i="5"/>
  <c r="B314" i="5"/>
  <c r="A314" i="5"/>
  <c r="D313" i="5"/>
  <c r="C313" i="5"/>
  <c r="B313" i="5"/>
  <c r="A313" i="5"/>
  <c r="D312" i="5"/>
  <c r="C312" i="5"/>
  <c r="B312" i="5"/>
  <c r="A312" i="5"/>
  <c r="D311" i="5"/>
  <c r="C311" i="5"/>
  <c r="B311" i="5"/>
  <c r="A311" i="5"/>
  <c r="D310" i="5"/>
  <c r="C310" i="5"/>
  <c r="B310" i="5"/>
  <c r="A310" i="5"/>
  <c r="D309" i="5"/>
  <c r="C309" i="5"/>
  <c r="B309" i="5"/>
  <c r="A309" i="5"/>
  <c r="D308" i="5"/>
  <c r="C308" i="5"/>
  <c r="B308" i="5"/>
  <c r="A308" i="5"/>
  <c r="D307" i="5"/>
  <c r="C307" i="5"/>
  <c r="B307" i="5"/>
  <c r="A307" i="5"/>
  <c r="D306" i="5"/>
  <c r="C306" i="5"/>
  <c r="B306" i="5"/>
  <c r="A306" i="5"/>
  <c r="D305" i="5"/>
  <c r="C305" i="5"/>
  <c r="B305" i="5"/>
  <c r="A305" i="5"/>
  <c r="D304" i="5"/>
  <c r="C304" i="5"/>
  <c r="B304" i="5"/>
  <c r="A304" i="5"/>
  <c r="D303" i="5"/>
  <c r="C303" i="5"/>
  <c r="B303" i="5"/>
  <c r="A303" i="5"/>
  <c r="D302" i="5"/>
  <c r="C302" i="5"/>
  <c r="B302" i="5"/>
  <c r="A302" i="5"/>
  <c r="D301" i="5"/>
  <c r="C301" i="5"/>
  <c r="B301" i="5"/>
  <c r="A301" i="5"/>
  <c r="D300" i="5"/>
  <c r="C300" i="5"/>
  <c r="B300" i="5"/>
  <c r="A300" i="5"/>
  <c r="D299" i="5"/>
  <c r="C299" i="5"/>
  <c r="B299" i="5"/>
  <c r="A299" i="5"/>
  <c r="D298" i="5"/>
  <c r="C298" i="5"/>
  <c r="B298" i="5"/>
  <c r="A298" i="5"/>
  <c r="D297" i="5"/>
  <c r="C297" i="5"/>
  <c r="B297" i="5"/>
  <c r="A297" i="5"/>
  <c r="D296" i="5"/>
  <c r="C296" i="5"/>
  <c r="B296" i="5"/>
  <c r="A296" i="5"/>
  <c r="D295" i="5"/>
  <c r="C295" i="5"/>
  <c r="B295" i="5"/>
  <c r="A295" i="5"/>
  <c r="D294" i="5"/>
  <c r="C294" i="5"/>
  <c r="B294" i="5"/>
  <c r="A294" i="5"/>
  <c r="D293" i="5"/>
  <c r="C293" i="5"/>
  <c r="B293" i="5"/>
  <c r="A293" i="5"/>
  <c r="D292" i="5"/>
  <c r="C292" i="5"/>
  <c r="B292" i="5"/>
  <c r="A292" i="5"/>
  <c r="D291" i="5"/>
  <c r="C291" i="5"/>
  <c r="B291" i="5"/>
  <c r="A291" i="5"/>
  <c r="D290" i="5"/>
  <c r="C290" i="5"/>
  <c r="B290" i="5"/>
  <c r="A290" i="5"/>
  <c r="D289" i="5"/>
  <c r="C289" i="5"/>
  <c r="B289" i="5"/>
  <c r="A289" i="5"/>
  <c r="D288" i="5"/>
  <c r="C288" i="5"/>
  <c r="B288" i="5"/>
  <c r="A288" i="5"/>
  <c r="D287" i="5"/>
  <c r="C287" i="5"/>
  <c r="B287" i="5"/>
  <c r="A287" i="5"/>
  <c r="D286" i="5"/>
  <c r="C286" i="5"/>
  <c r="B286" i="5"/>
  <c r="A286" i="5"/>
  <c r="D285" i="5"/>
  <c r="C285" i="5"/>
  <c r="B285" i="5"/>
  <c r="A285" i="5"/>
  <c r="D284" i="5"/>
  <c r="C284" i="5"/>
  <c r="B284" i="5"/>
  <c r="A284" i="5"/>
  <c r="D283" i="5"/>
  <c r="C283" i="5"/>
  <c r="B283" i="5"/>
  <c r="A283" i="5"/>
  <c r="D282" i="5"/>
  <c r="C282" i="5"/>
  <c r="B282" i="5"/>
  <c r="A282" i="5"/>
  <c r="D281" i="5"/>
  <c r="C281" i="5"/>
  <c r="B281" i="5"/>
  <c r="A281" i="5"/>
  <c r="D280" i="5"/>
  <c r="C280" i="5"/>
  <c r="B280" i="5"/>
  <c r="A280" i="5"/>
  <c r="D279" i="5"/>
  <c r="C279" i="5"/>
  <c r="B279" i="5"/>
  <c r="A279" i="5"/>
  <c r="D278" i="5"/>
  <c r="C278" i="5"/>
  <c r="B278" i="5"/>
  <c r="A278" i="5"/>
  <c r="D277" i="5"/>
  <c r="C277" i="5"/>
  <c r="B277" i="5"/>
  <c r="A277" i="5"/>
  <c r="D276" i="5"/>
  <c r="C276" i="5"/>
  <c r="B276" i="5"/>
  <c r="A276" i="5"/>
  <c r="D275" i="5"/>
  <c r="C275" i="5"/>
  <c r="B275" i="5"/>
  <c r="A275" i="5"/>
  <c r="D274" i="5"/>
  <c r="C274" i="5"/>
  <c r="B274" i="5"/>
  <c r="A274" i="5"/>
  <c r="D273" i="5"/>
  <c r="C273" i="5"/>
  <c r="B273" i="5"/>
  <c r="A273" i="5"/>
  <c r="D272" i="5"/>
  <c r="C272" i="5"/>
  <c r="B272" i="5"/>
  <c r="A272" i="5"/>
  <c r="D271" i="5"/>
  <c r="C271" i="5"/>
  <c r="B271" i="5"/>
  <c r="A271" i="5"/>
  <c r="D270" i="5"/>
  <c r="C270" i="5"/>
  <c r="B270" i="5"/>
  <c r="A270" i="5"/>
  <c r="D269" i="5"/>
  <c r="C269" i="5"/>
  <c r="B269" i="5"/>
  <c r="A269" i="5"/>
  <c r="D268" i="5"/>
  <c r="C268" i="5"/>
  <c r="B268" i="5"/>
  <c r="A268" i="5"/>
  <c r="D267" i="5"/>
  <c r="C267" i="5"/>
  <c r="B267" i="5"/>
  <c r="A267" i="5"/>
  <c r="D266" i="5"/>
  <c r="C266" i="5"/>
  <c r="B266" i="5"/>
  <c r="A266" i="5"/>
  <c r="D265" i="5"/>
  <c r="C265" i="5"/>
  <c r="B265" i="5"/>
  <c r="A265" i="5"/>
  <c r="D264" i="5"/>
  <c r="C264" i="5"/>
  <c r="B264" i="5"/>
  <c r="A264" i="5"/>
  <c r="D263" i="5"/>
  <c r="C263" i="5"/>
  <c r="B263" i="5"/>
  <c r="A263" i="5"/>
  <c r="D262" i="5"/>
  <c r="C262" i="5"/>
  <c r="B262" i="5"/>
  <c r="A262" i="5"/>
  <c r="D261" i="5"/>
  <c r="C261" i="5"/>
  <c r="B261" i="5"/>
  <c r="A261" i="5"/>
  <c r="D260" i="5"/>
  <c r="C260" i="5"/>
  <c r="B260" i="5"/>
  <c r="A260" i="5"/>
  <c r="D259" i="5"/>
  <c r="C259" i="5"/>
  <c r="B259" i="5"/>
  <c r="A259" i="5"/>
  <c r="D258" i="5"/>
  <c r="C258" i="5"/>
  <c r="B258" i="5"/>
  <c r="A258" i="5"/>
  <c r="D257" i="5"/>
  <c r="C257" i="5"/>
  <c r="B257" i="5"/>
  <c r="A257" i="5"/>
  <c r="D256" i="5"/>
  <c r="C256" i="5"/>
  <c r="B256" i="5"/>
  <c r="A256" i="5"/>
  <c r="D255" i="5"/>
  <c r="C255" i="5"/>
  <c r="B255" i="5"/>
  <c r="A255" i="5"/>
  <c r="D254" i="5"/>
  <c r="C254" i="5"/>
  <c r="B254" i="5"/>
  <c r="A254" i="5"/>
  <c r="D253" i="5"/>
  <c r="C253" i="5"/>
  <c r="B253" i="5"/>
  <c r="A253" i="5"/>
  <c r="D252" i="5"/>
  <c r="C252" i="5"/>
  <c r="B252" i="5"/>
  <c r="A252" i="5"/>
  <c r="D251" i="5"/>
  <c r="C251" i="5"/>
  <c r="B251" i="5"/>
  <c r="A251" i="5"/>
  <c r="D250" i="5"/>
  <c r="C250" i="5"/>
  <c r="B250" i="5"/>
  <c r="A250" i="5"/>
  <c r="D249" i="5"/>
  <c r="C249" i="5"/>
  <c r="B249" i="5"/>
  <c r="A249" i="5"/>
  <c r="D248" i="5"/>
  <c r="C248" i="5"/>
  <c r="B248" i="5"/>
  <c r="A248" i="5"/>
  <c r="D247" i="5"/>
  <c r="C247" i="5"/>
  <c r="B247" i="5"/>
  <c r="A247" i="5"/>
  <c r="D246" i="5"/>
  <c r="C246" i="5"/>
  <c r="B246" i="5"/>
  <c r="A246" i="5"/>
  <c r="D245" i="5"/>
  <c r="C245" i="5"/>
  <c r="B245" i="5"/>
  <c r="A245" i="5"/>
  <c r="D244" i="5"/>
  <c r="C244" i="5"/>
  <c r="B244" i="5"/>
  <c r="A244" i="5"/>
  <c r="D243" i="5"/>
  <c r="C243" i="5"/>
  <c r="B243" i="5"/>
  <c r="A243" i="5"/>
  <c r="D242" i="5"/>
  <c r="C242" i="5"/>
  <c r="B242" i="5"/>
  <c r="A242" i="5"/>
  <c r="D241" i="5"/>
  <c r="C241" i="5"/>
  <c r="B241" i="5"/>
  <c r="A241" i="5"/>
  <c r="D240" i="5"/>
  <c r="C240" i="5"/>
  <c r="B240" i="5"/>
  <c r="A240" i="5"/>
  <c r="D239" i="5"/>
  <c r="C239" i="5"/>
  <c r="B239" i="5"/>
  <c r="A239" i="5"/>
  <c r="D238" i="5"/>
  <c r="C238" i="5"/>
  <c r="B238" i="5"/>
  <c r="A238" i="5"/>
  <c r="D237" i="5"/>
  <c r="C237" i="5"/>
  <c r="B237" i="5"/>
  <c r="A237" i="5"/>
  <c r="D236" i="5"/>
  <c r="C236" i="5"/>
  <c r="B236" i="5"/>
  <c r="A236" i="5"/>
  <c r="D235" i="5"/>
  <c r="C235" i="5"/>
  <c r="B235" i="5"/>
  <c r="A235" i="5"/>
  <c r="D234" i="5"/>
  <c r="C234" i="5"/>
  <c r="B234" i="5"/>
  <c r="A234" i="5"/>
  <c r="D233" i="5"/>
  <c r="C233" i="5"/>
  <c r="B233" i="5"/>
  <c r="A233" i="5"/>
  <c r="D232" i="5"/>
  <c r="C232" i="5"/>
  <c r="B232" i="5"/>
  <c r="A232" i="5"/>
  <c r="D231" i="5"/>
  <c r="C231" i="5"/>
  <c r="B231" i="5"/>
  <c r="A231" i="5"/>
  <c r="D230" i="5"/>
  <c r="C230" i="5"/>
  <c r="B230" i="5"/>
  <c r="A230" i="5"/>
  <c r="D229" i="5"/>
  <c r="C229" i="5"/>
  <c r="B229" i="5"/>
  <c r="A229" i="5"/>
  <c r="D228" i="5"/>
  <c r="C228" i="5"/>
  <c r="B228" i="5"/>
  <c r="A228" i="5"/>
  <c r="D227" i="5"/>
  <c r="C227" i="5"/>
  <c r="B227" i="5"/>
  <c r="A227" i="5"/>
  <c r="D226" i="5"/>
  <c r="C226" i="5"/>
  <c r="B226" i="5"/>
  <c r="A226" i="5"/>
  <c r="D225" i="5"/>
  <c r="C225" i="5"/>
  <c r="B225" i="5"/>
  <c r="A225" i="5"/>
  <c r="D224" i="5"/>
  <c r="C224" i="5"/>
  <c r="B224" i="5"/>
  <c r="A224" i="5"/>
  <c r="D223" i="5"/>
  <c r="C223" i="5"/>
  <c r="B223" i="5"/>
  <c r="A223" i="5"/>
  <c r="D222" i="5"/>
  <c r="C222" i="5"/>
  <c r="B222" i="5"/>
  <c r="A222" i="5"/>
  <c r="D221" i="5"/>
  <c r="C221" i="5"/>
  <c r="B221" i="5"/>
  <c r="A221" i="5"/>
  <c r="D220" i="5"/>
  <c r="C220" i="5"/>
  <c r="B220" i="5"/>
  <c r="A220" i="5"/>
  <c r="D219" i="5"/>
  <c r="C219" i="5"/>
  <c r="B219" i="5"/>
  <c r="A219" i="5"/>
  <c r="D218" i="5"/>
  <c r="C218" i="5"/>
  <c r="B218" i="5"/>
  <c r="A218" i="5"/>
  <c r="D217" i="5"/>
  <c r="C217" i="5"/>
  <c r="B217" i="5"/>
  <c r="A217" i="5"/>
  <c r="D216" i="5"/>
  <c r="C216" i="5"/>
  <c r="B216" i="5"/>
  <c r="A216" i="5"/>
  <c r="D215" i="5"/>
  <c r="C215" i="5"/>
  <c r="B215" i="5"/>
  <c r="A215" i="5"/>
  <c r="D214" i="5"/>
  <c r="C214" i="5"/>
  <c r="B214" i="5"/>
  <c r="A214" i="5"/>
  <c r="D213" i="5"/>
  <c r="C213" i="5"/>
  <c r="B213" i="5"/>
  <c r="A213" i="5"/>
  <c r="D212" i="5"/>
  <c r="C212" i="5"/>
  <c r="B212" i="5"/>
  <c r="A212" i="5"/>
  <c r="D211" i="5"/>
  <c r="C211" i="5"/>
  <c r="B211" i="5"/>
  <c r="A211" i="5"/>
  <c r="D210" i="5"/>
  <c r="C210" i="5"/>
  <c r="B210" i="5"/>
  <c r="A210" i="5"/>
  <c r="D209" i="5"/>
  <c r="C209" i="5"/>
  <c r="B209" i="5"/>
  <c r="A209" i="5"/>
  <c r="D208" i="5"/>
  <c r="C208" i="5"/>
  <c r="B208" i="5"/>
  <c r="A208" i="5"/>
  <c r="D207" i="5"/>
  <c r="C207" i="5"/>
  <c r="B207" i="5"/>
  <c r="A207" i="5"/>
  <c r="D206" i="5"/>
  <c r="C206" i="5"/>
  <c r="B206" i="5"/>
  <c r="A206" i="5"/>
  <c r="D205" i="5"/>
  <c r="C205" i="5"/>
  <c r="B205" i="5"/>
  <c r="A205" i="5"/>
  <c r="D204" i="5"/>
  <c r="C204" i="5"/>
  <c r="B204" i="5"/>
  <c r="A204" i="5"/>
  <c r="D203" i="5"/>
  <c r="C203" i="5"/>
  <c r="B203" i="5"/>
  <c r="A203" i="5"/>
  <c r="D202" i="5"/>
  <c r="C202" i="5"/>
  <c r="B202" i="5"/>
  <c r="A202" i="5"/>
  <c r="D201" i="5"/>
  <c r="C201" i="5"/>
  <c r="B201" i="5"/>
  <c r="A201" i="5"/>
  <c r="D200" i="5"/>
  <c r="C200" i="5"/>
  <c r="B200" i="5"/>
  <c r="A200" i="5"/>
  <c r="D199" i="5"/>
  <c r="C199" i="5"/>
  <c r="B199" i="5"/>
  <c r="A199" i="5"/>
  <c r="D198" i="5"/>
  <c r="C198" i="5"/>
  <c r="B198" i="5"/>
  <c r="A198" i="5"/>
  <c r="D197" i="5"/>
  <c r="C197" i="5"/>
  <c r="B197" i="5"/>
  <c r="A197" i="5"/>
  <c r="D196" i="5"/>
  <c r="C196" i="5"/>
  <c r="B196" i="5"/>
  <c r="A196" i="5"/>
  <c r="D195" i="5"/>
  <c r="C195" i="5"/>
  <c r="B195" i="5"/>
  <c r="A195" i="5"/>
  <c r="D194" i="5"/>
  <c r="C194" i="5"/>
  <c r="B194" i="5"/>
  <c r="A194" i="5"/>
  <c r="D193" i="5"/>
  <c r="C193" i="5"/>
  <c r="B193" i="5"/>
  <c r="A193" i="5"/>
  <c r="D192" i="5"/>
  <c r="C192" i="5"/>
  <c r="B192" i="5"/>
  <c r="A192" i="5"/>
  <c r="D191" i="5"/>
  <c r="C191" i="5"/>
  <c r="B191" i="5"/>
  <c r="A191" i="5"/>
  <c r="D190" i="5"/>
  <c r="C190" i="5"/>
  <c r="B190" i="5"/>
  <c r="A190" i="5"/>
  <c r="D189" i="5"/>
  <c r="C189" i="5"/>
  <c r="B189" i="5"/>
  <c r="A189" i="5"/>
  <c r="D188" i="5"/>
  <c r="C188" i="5"/>
  <c r="B188" i="5"/>
  <c r="A188" i="5"/>
  <c r="D187" i="5"/>
  <c r="C187" i="5"/>
  <c r="B187" i="5"/>
  <c r="A187" i="5"/>
  <c r="D186" i="5"/>
  <c r="C186" i="5"/>
  <c r="B186" i="5"/>
  <c r="A186" i="5"/>
  <c r="D185" i="5"/>
  <c r="C185" i="5"/>
  <c r="B185" i="5"/>
  <c r="A185" i="5"/>
  <c r="D184" i="5"/>
  <c r="C184" i="5"/>
  <c r="B184" i="5"/>
  <c r="A184" i="5"/>
  <c r="D183" i="5"/>
  <c r="C183" i="5"/>
  <c r="B183" i="5"/>
  <c r="A183" i="5"/>
  <c r="D182" i="5"/>
  <c r="C182" i="5"/>
  <c r="B182" i="5"/>
  <c r="A182" i="5"/>
  <c r="D181" i="5"/>
  <c r="C181" i="5"/>
  <c r="B181" i="5"/>
  <c r="A181" i="5"/>
  <c r="D180" i="5"/>
  <c r="C180" i="5"/>
  <c r="B180" i="5"/>
  <c r="A180" i="5"/>
  <c r="D179" i="5"/>
  <c r="C179" i="5"/>
  <c r="B179" i="5"/>
  <c r="A179" i="5"/>
  <c r="D178" i="5"/>
  <c r="C178" i="5"/>
  <c r="B178" i="5"/>
  <c r="A178" i="5"/>
  <c r="D177" i="5"/>
  <c r="C177" i="5"/>
  <c r="B177" i="5"/>
  <c r="A177" i="5"/>
  <c r="D176" i="5"/>
  <c r="C176" i="5"/>
  <c r="B176" i="5"/>
  <c r="A176" i="5"/>
  <c r="D175" i="5"/>
  <c r="C175" i="5"/>
  <c r="B175" i="5"/>
  <c r="A175" i="5"/>
  <c r="D174" i="5"/>
  <c r="C174" i="5"/>
  <c r="B174" i="5"/>
  <c r="A174" i="5"/>
  <c r="D173" i="5"/>
  <c r="C173" i="5"/>
  <c r="B173" i="5"/>
  <c r="A173" i="5"/>
  <c r="D172" i="5"/>
  <c r="C172" i="5"/>
  <c r="B172" i="5"/>
  <c r="A172" i="5"/>
  <c r="D171" i="5"/>
  <c r="C171" i="5"/>
  <c r="B171" i="5"/>
  <c r="A171" i="5"/>
  <c r="D170" i="5"/>
  <c r="C170" i="5"/>
  <c r="B170" i="5"/>
  <c r="A170" i="5"/>
  <c r="D169" i="5"/>
  <c r="C169" i="5"/>
  <c r="B169" i="5"/>
  <c r="A169" i="5"/>
  <c r="D168" i="5"/>
  <c r="C168" i="5"/>
  <c r="B168" i="5"/>
  <c r="A168" i="5"/>
  <c r="D167" i="5"/>
  <c r="C167" i="5"/>
  <c r="B167" i="5"/>
  <c r="A167" i="5"/>
  <c r="D166" i="5"/>
  <c r="C166" i="5"/>
  <c r="B166" i="5"/>
  <c r="A166" i="5"/>
  <c r="D165" i="5"/>
  <c r="C165" i="5"/>
  <c r="B165" i="5"/>
  <c r="A165" i="5"/>
  <c r="D164" i="5"/>
  <c r="C164" i="5"/>
  <c r="B164" i="5"/>
  <c r="A164" i="5"/>
  <c r="D163" i="5"/>
  <c r="C163" i="5"/>
  <c r="B163" i="5"/>
  <c r="A163" i="5"/>
  <c r="D162" i="5"/>
  <c r="C162" i="5"/>
  <c r="B162" i="5"/>
  <c r="A162" i="5"/>
  <c r="D161" i="5"/>
  <c r="C161" i="5"/>
  <c r="B161" i="5"/>
  <c r="A161" i="5"/>
  <c r="D160" i="5"/>
  <c r="C160" i="5"/>
  <c r="B160" i="5"/>
  <c r="A160" i="5"/>
  <c r="D159" i="5"/>
  <c r="C159" i="5"/>
  <c r="B159" i="5"/>
  <c r="A159" i="5"/>
  <c r="D158" i="5"/>
  <c r="C158" i="5"/>
  <c r="B158" i="5"/>
  <c r="A158" i="5"/>
  <c r="D157" i="5"/>
  <c r="C157" i="5"/>
  <c r="B157" i="5"/>
  <c r="A157" i="5"/>
  <c r="D156" i="5"/>
  <c r="C156" i="5"/>
  <c r="B156" i="5"/>
  <c r="A156" i="5"/>
  <c r="D155" i="5"/>
  <c r="C155" i="5"/>
  <c r="B155" i="5"/>
  <c r="A155" i="5"/>
  <c r="D154" i="5"/>
  <c r="C154" i="5"/>
  <c r="B154" i="5"/>
  <c r="A154" i="5"/>
  <c r="D153" i="5"/>
  <c r="C153" i="5"/>
  <c r="B153" i="5"/>
  <c r="A153" i="5"/>
  <c r="D152" i="5"/>
  <c r="C152" i="5"/>
  <c r="B152" i="5"/>
  <c r="A152" i="5"/>
  <c r="D151" i="5"/>
  <c r="C151" i="5"/>
  <c r="B151" i="5"/>
  <c r="A151" i="5"/>
  <c r="D150" i="5"/>
  <c r="C150" i="5"/>
  <c r="B150" i="5"/>
  <c r="A150" i="5"/>
  <c r="D149" i="5"/>
  <c r="C149" i="5"/>
  <c r="B149" i="5"/>
  <c r="A149" i="5"/>
  <c r="D148" i="5"/>
  <c r="C148" i="5"/>
  <c r="B148" i="5"/>
  <c r="A148" i="5"/>
  <c r="D147" i="5"/>
  <c r="C147" i="5"/>
  <c r="B147" i="5"/>
  <c r="A147" i="5"/>
  <c r="D146" i="5"/>
  <c r="C146" i="5"/>
  <c r="B146" i="5"/>
  <c r="A146" i="5"/>
  <c r="D145" i="5"/>
  <c r="C145" i="5"/>
  <c r="B145" i="5"/>
  <c r="A145" i="5"/>
  <c r="D144" i="5"/>
  <c r="C144" i="5"/>
  <c r="B144" i="5"/>
  <c r="A144" i="5"/>
  <c r="D143" i="5"/>
  <c r="C143" i="5"/>
  <c r="B143" i="5"/>
  <c r="A143" i="5"/>
  <c r="D142" i="5"/>
  <c r="C142" i="5"/>
  <c r="B142" i="5"/>
  <c r="A142" i="5"/>
  <c r="D141" i="5"/>
  <c r="C141" i="5"/>
  <c r="B141" i="5"/>
  <c r="A141" i="5"/>
  <c r="D140" i="5"/>
  <c r="C140" i="5"/>
  <c r="B140" i="5"/>
  <c r="A140" i="5"/>
  <c r="D139" i="5"/>
  <c r="C139" i="5"/>
  <c r="B139" i="5"/>
  <c r="A139" i="5"/>
  <c r="D138" i="5"/>
  <c r="C138" i="5"/>
  <c r="B138" i="5"/>
  <c r="A138" i="5"/>
  <c r="D137" i="5"/>
  <c r="C137" i="5"/>
  <c r="B137" i="5"/>
  <c r="A137" i="5"/>
  <c r="D136" i="5"/>
  <c r="C136" i="5"/>
  <c r="B136" i="5"/>
  <c r="A136" i="5"/>
  <c r="D135" i="5"/>
  <c r="C135" i="5"/>
  <c r="B135" i="5"/>
  <c r="A135" i="5"/>
  <c r="D134" i="5"/>
  <c r="C134" i="5"/>
  <c r="B134" i="5"/>
  <c r="A134" i="5"/>
  <c r="D133" i="5"/>
  <c r="C133" i="5"/>
  <c r="B133" i="5"/>
  <c r="A133" i="5"/>
  <c r="D132" i="5"/>
  <c r="C132" i="5"/>
  <c r="B132" i="5"/>
  <c r="A132" i="5"/>
  <c r="D131" i="5"/>
  <c r="C131" i="5"/>
  <c r="B131" i="5"/>
  <c r="A131" i="5"/>
  <c r="D130" i="5"/>
  <c r="C130" i="5"/>
  <c r="B130" i="5"/>
  <c r="A130" i="5"/>
  <c r="D129" i="5"/>
  <c r="C129" i="5"/>
  <c r="B129" i="5"/>
  <c r="A129" i="5"/>
  <c r="D128" i="5"/>
  <c r="C128" i="5"/>
  <c r="B128" i="5"/>
  <c r="A128" i="5"/>
  <c r="D127" i="5"/>
  <c r="C127" i="5"/>
  <c r="B127" i="5"/>
  <c r="A127" i="5"/>
  <c r="D126" i="5"/>
  <c r="C126" i="5"/>
  <c r="B126" i="5"/>
  <c r="A126" i="5"/>
  <c r="D125" i="5"/>
  <c r="C125" i="5"/>
  <c r="B125" i="5"/>
  <c r="A125" i="5"/>
  <c r="D124" i="5"/>
  <c r="C124" i="5"/>
  <c r="B124" i="5"/>
  <c r="A124" i="5"/>
  <c r="D123" i="5"/>
  <c r="C123" i="5"/>
  <c r="B123" i="5"/>
  <c r="A123" i="5"/>
  <c r="D122" i="5"/>
  <c r="C122" i="5"/>
  <c r="B122" i="5"/>
  <c r="A122" i="5"/>
  <c r="D121" i="5"/>
  <c r="C121" i="5"/>
  <c r="B121" i="5"/>
  <c r="A121" i="5"/>
  <c r="D120" i="5"/>
  <c r="C120" i="5"/>
  <c r="B120" i="5"/>
  <c r="A120" i="5"/>
  <c r="D119" i="5"/>
  <c r="C119" i="5"/>
  <c r="B119" i="5"/>
  <c r="A119" i="5"/>
  <c r="D118" i="5"/>
  <c r="C118" i="5"/>
  <c r="B118" i="5"/>
  <c r="A118" i="5"/>
  <c r="D117" i="5"/>
  <c r="C117" i="5"/>
  <c r="B117" i="5"/>
  <c r="A117" i="5"/>
  <c r="D116" i="5"/>
  <c r="C116" i="5"/>
  <c r="B116" i="5"/>
  <c r="A116" i="5"/>
  <c r="D115" i="5"/>
  <c r="C115" i="5"/>
  <c r="B115" i="5"/>
  <c r="A115" i="5"/>
  <c r="D114" i="5"/>
  <c r="C114" i="5"/>
  <c r="B114" i="5"/>
  <c r="A114" i="5"/>
  <c r="D113" i="5"/>
  <c r="C113" i="5"/>
  <c r="B113" i="5"/>
  <c r="A113" i="5"/>
  <c r="D112" i="5"/>
  <c r="C112" i="5"/>
  <c r="B112" i="5"/>
  <c r="A112" i="5"/>
  <c r="D111" i="5"/>
  <c r="C111" i="5"/>
  <c r="B111" i="5"/>
  <c r="A111" i="5"/>
  <c r="D110" i="5"/>
  <c r="C110" i="5"/>
  <c r="B110" i="5"/>
  <c r="A110" i="5"/>
  <c r="D109" i="5"/>
  <c r="C109" i="5"/>
  <c r="B109" i="5"/>
  <c r="A109" i="5"/>
  <c r="D108" i="5"/>
  <c r="C108" i="5"/>
  <c r="B108" i="5"/>
  <c r="A108" i="5"/>
  <c r="D107" i="5"/>
  <c r="C107" i="5"/>
  <c r="B107" i="5"/>
  <c r="A107" i="5"/>
  <c r="D106" i="5"/>
  <c r="C106" i="5"/>
  <c r="B106" i="5"/>
  <c r="A106" i="5"/>
  <c r="D105" i="5"/>
  <c r="C105" i="5"/>
  <c r="B105" i="5"/>
  <c r="A105" i="5"/>
  <c r="D104" i="5"/>
  <c r="C104" i="5"/>
  <c r="B104" i="5"/>
  <c r="A104" i="5"/>
  <c r="D103" i="5"/>
  <c r="C103" i="5"/>
  <c r="B103" i="5"/>
  <c r="A103" i="5"/>
  <c r="D102" i="5"/>
  <c r="C102" i="5"/>
  <c r="B102" i="5"/>
  <c r="A102" i="5"/>
  <c r="D101" i="5"/>
  <c r="C101" i="5"/>
  <c r="B101" i="5"/>
  <c r="A101" i="5"/>
  <c r="D100" i="5"/>
  <c r="C100" i="5"/>
  <c r="B100" i="5"/>
  <c r="A100" i="5"/>
  <c r="D99" i="5"/>
  <c r="C99" i="5"/>
  <c r="B99" i="5"/>
  <c r="A99" i="5"/>
  <c r="D98" i="5"/>
  <c r="C98" i="5"/>
  <c r="B98" i="5"/>
  <c r="A98" i="5"/>
  <c r="D97" i="5"/>
  <c r="C97" i="5"/>
  <c r="B97" i="5"/>
  <c r="A97" i="5"/>
  <c r="D96" i="5"/>
  <c r="C96" i="5"/>
  <c r="B96" i="5"/>
  <c r="A96" i="5"/>
  <c r="D95" i="5"/>
  <c r="C95" i="5"/>
  <c r="B95" i="5"/>
  <c r="A95" i="5"/>
  <c r="D94" i="5"/>
  <c r="C94" i="5"/>
  <c r="B94" i="5"/>
  <c r="A94" i="5"/>
  <c r="D93" i="5"/>
  <c r="C93" i="5"/>
  <c r="B93" i="5"/>
  <c r="A93" i="5"/>
  <c r="D92" i="5"/>
  <c r="C92" i="5"/>
  <c r="B92" i="5"/>
  <c r="A92" i="5"/>
  <c r="D91" i="5"/>
  <c r="C91" i="5"/>
  <c r="B91" i="5"/>
  <c r="A91" i="5"/>
  <c r="D90" i="5"/>
  <c r="C90" i="5"/>
  <c r="B90" i="5"/>
  <c r="A90" i="5"/>
  <c r="D89" i="5"/>
  <c r="C89" i="5"/>
  <c r="B89" i="5"/>
  <c r="A89" i="5"/>
  <c r="D88" i="5"/>
  <c r="C88" i="5"/>
  <c r="B88" i="5"/>
  <c r="A88" i="5"/>
  <c r="D87" i="5"/>
  <c r="C87" i="5"/>
  <c r="B87" i="5"/>
  <c r="A87" i="5"/>
  <c r="D86" i="5"/>
  <c r="C86" i="5"/>
  <c r="B86" i="5"/>
  <c r="A86" i="5"/>
  <c r="D85" i="5"/>
  <c r="C85" i="5"/>
  <c r="B85" i="5"/>
  <c r="A85" i="5"/>
  <c r="D84" i="5"/>
  <c r="C84" i="5"/>
  <c r="B84" i="5"/>
  <c r="A84" i="5"/>
  <c r="D83" i="5"/>
  <c r="C83" i="5"/>
  <c r="B83" i="5"/>
  <c r="A83" i="5"/>
  <c r="D82" i="5"/>
  <c r="C82" i="5"/>
  <c r="B82" i="5"/>
  <c r="A82" i="5"/>
  <c r="D81" i="5"/>
  <c r="C81" i="5"/>
  <c r="B81" i="5"/>
  <c r="A81" i="5"/>
  <c r="D80" i="5"/>
  <c r="C80" i="5"/>
  <c r="B80" i="5"/>
  <c r="A80" i="5"/>
  <c r="D79" i="5"/>
  <c r="C79" i="5"/>
  <c r="B79" i="5"/>
  <c r="A79" i="5"/>
  <c r="D78" i="5"/>
  <c r="C78" i="5"/>
  <c r="B78" i="5"/>
  <c r="A78" i="5"/>
  <c r="D77" i="5"/>
  <c r="C77" i="5"/>
  <c r="B77" i="5"/>
  <c r="A77" i="5"/>
  <c r="D76" i="5"/>
  <c r="C76" i="5"/>
  <c r="B76" i="5"/>
  <c r="A76" i="5"/>
  <c r="D75" i="5"/>
  <c r="C75" i="5"/>
  <c r="B75" i="5"/>
  <c r="A75" i="5"/>
  <c r="D74" i="5"/>
  <c r="C74" i="5"/>
  <c r="B74" i="5"/>
  <c r="A74" i="5"/>
  <c r="D73" i="5"/>
  <c r="C73" i="5"/>
  <c r="B73" i="5"/>
  <c r="A73" i="5"/>
  <c r="D72" i="5"/>
  <c r="C72" i="5"/>
  <c r="B72" i="5"/>
  <c r="A72" i="5"/>
  <c r="D71" i="5"/>
  <c r="C71" i="5"/>
  <c r="B71" i="5"/>
  <c r="A71" i="5"/>
  <c r="D70" i="5"/>
  <c r="C70" i="5"/>
  <c r="B70" i="5"/>
  <c r="A70" i="5"/>
  <c r="D69" i="5"/>
  <c r="C69" i="5"/>
  <c r="B69" i="5"/>
  <c r="A69" i="5"/>
  <c r="D68" i="5"/>
  <c r="C68" i="5"/>
  <c r="B68" i="5"/>
  <c r="A68" i="5"/>
  <c r="D67" i="5"/>
  <c r="C67" i="5"/>
  <c r="B67" i="5"/>
  <c r="A67" i="5"/>
  <c r="D66" i="5"/>
  <c r="C66" i="5"/>
  <c r="B66" i="5"/>
  <c r="A66" i="5"/>
  <c r="D65" i="5"/>
  <c r="C65" i="5"/>
  <c r="B65" i="5"/>
  <c r="A65" i="5"/>
  <c r="D64" i="5"/>
  <c r="C64" i="5"/>
  <c r="B64" i="5"/>
  <c r="A64" i="5"/>
  <c r="D63" i="5"/>
  <c r="C63" i="5"/>
  <c r="B63" i="5"/>
  <c r="A63" i="5"/>
  <c r="D62" i="5"/>
  <c r="C62" i="5"/>
  <c r="B62" i="5"/>
  <c r="A62" i="5"/>
  <c r="D61" i="5"/>
  <c r="C61" i="5"/>
  <c r="B61" i="5"/>
  <c r="A61" i="5"/>
  <c r="D60" i="5"/>
  <c r="C60" i="5"/>
  <c r="B60" i="5"/>
  <c r="A60" i="5"/>
  <c r="D59" i="5"/>
  <c r="C59" i="5"/>
  <c r="B59" i="5"/>
  <c r="A59" i="5"/>
  <c r="D58" i="5"/>
  <c r="C58" i="5"/>
  <c r="B58" i="5"/>
  <c r="A58" i="5"/>
  <c r="D57" i="5"/>
  <c r="C57" i="5"/>
  <c r="B57" i="5"/>
  <c r="A57" i="5"/>
  <c r="D56" i="5"/>
  <c r="C56" i="5"/>
  <c r="B56" i="5"/>
  <c r="A56" i="5"/>
  <c r="D55" i="5"/>
  <c r="C55" i="5"/>
  <c r="B55" i="5"/>
  <c r="A55" i="5"/>
  <c r="D54" i="5"/>
  <c r="C54" i="5"/>
  <c r="B54" i="5"/>
  <c r="A54" i="5"/>
  <c r="D53" i="5"/>
  <c r="C53" i="5"/>
  <c r="B53" i="5"/>
  <c r="A53" i="5"/>
  <c r="D52" i="5"/>
  <c r="C52" i="5"/>
  <c r="B52" i="5"/>
  <c r="A52" i="5"/>
  <c r="D51" i="5"/>
  <c r="C51" i="5"/>
  <c r="B51" i="5"/>
  <c r="A51" i="5"/>
  <c r="D50" i="5"/>
  <c r="C50" i="5"/>
  <c r="B50" i="5"/>
  <c r="A50" i="5"/>
  <c r="D49" i="5"/>
  <c r="C49" i="5"/>
  <c r="B49" i="5"/>
  <c r="A49" i="5"/>
  <c r="D48" i="5"/>
  <c r="C48" i="5"/>
  <c r="B48" i="5"/>
  <c r="A48" i="5"/>
  <c r="D47" i="5"/>
  <c r="C47" i="5"/>
  <c r="B47" i="5"/>
  <c r="A47" i="5"/>
  <c r="D46" i="5"/>
  <c r="C46" i="5"/>
  <c r="B46" i="5"/>
  <c r="A46" i="5"/>
  <c r="D45" i="5"/>
  <c r="C45" i="5"/>
  <c r="B45" i="5"/>
  <c r="A45" i="5"/>
  <c r="D44" i="5"/>
  <c r="C44" i="5"/>
  <c r="B44" i="5"/>
  <c r="A44" i="5"/>
  <c r="D43" i="5"/>
  <c r="C43" i="5"/>
  <c r="B43" i="5"/>
  <c r="A43" i="5"/>
  <c r="D42" i="5"/>
  <c r="C42" i="5"/>
  <c r="B42" i="5"/>
  <c r="A42" i="5"/>
  <c r="D41" i="5"/>
  <c r="C41" i="5"/>
  <c r="B41" i="5"/>
  <c r="A41" i="5"/>
  <c r="D40" i="5"/>
  <c r="C40" i="5"/>
  <c r="B40" i="5"/>
  <c r="A40" i="5"/>
  <c r="D39" i="5"/>
  <c r="C39" i="5"/>
  <c r="B39" i="5"/>
  <c r="A39" i="5"/>
  <c r="D38" i="5"/>
  <c r="C38" i="5"/>
  <c r="B38" i="5"/>
  <c r="A38" i="5"/>
  <c r="D37" i="5"/>
  <c r="C37" i="5"/>
  <c r="B37" i="5"/>
  <c r="A37" i="5"/>
  <c r="D36" i="5"/>
  <c r="C36" i="5"/>
  <c r="B36" i="5"/>
  <c r="A36" i="5"/>
  <c r="D35" i="5"/>
  <c r="C35" i="5"/>
  <c r="B35" i="5"/>
  <c r="A35" i="5"/>
  <c r="D34" i="5"/>
  <c r="C34" i="5"/>
  <c r="B34" i="5"/>
  <c r="A34" i="5"/>
  <c r="D33" i="5"/>
  <c r="C33" i="5"/>
  <c r="B33" i="5"/>
  <c r="A33" i="5"/>
  <c r="D32" i="5"/>
  <c r="C32" i="5"/>
  <c r="B32" i="5"/>
  <c r="A32" i="5"/>
  <c r="D31" i="5"/>
  <c r="C31" i="5"/>
  <c r="B31" i="5"/>
  <c r="A31" i="5"/>
  <c r="D30" i="5"/>
  <c r="C30" i="5"/>
  <c r="B30" i="5"/>
  <c r="A30" i="5"/>
  <c r="D29" i="5"/>
  <c r="C29" i="5"/>
  <c r="B29" i="5"/>
  <c r="A29" i="5"/>
  <c r="D28" i="5"/>
  <c r="C28" i="5"/>
  <c r="B28" i="5"/>
  <c r="A28" i="5"/>
  <c r="D27" i="5"/>
  <c r="C27" i="5"/>
  <c r="B27" i="5"/>
  <c r="A27" i="5"/>
  <c r="D26" i="5"/>
  <c r="C26" i="5"/>
  <c r="B26" i="5"/>
  <c r="A26" i="5"/>
  <c r="D25" i="5"/>
  <c r="C25" i="5"/>
  <c r="B25" i="5"/>
  <c r="A25" i="5"/>
  <c r="D24" i="5"/>
  <c r="C24" i="5"/>
  <c r="B24" i="5"/>
  <c r="A24" i="5"/>
  <c r="D23" i="5"/>
  <c r="C23" i="5"/>
  <c r="B23" i="5"/>
  <c r="A23" i="5"/>
  <c r="D22" i="5"/>
  <c r="C22" i="5"/>
  <c r="B22" i="5"/>
  <c r="A22" i="5"/>
  <c r="D21" i="5"/>
  <c r="C21" i="5"/>
  <c r="B21" i="5"/>
  <c r="A21" i="5"/>
  <c r="D20" i="5"/>
  <c r="C20" i="5"/>
  <c r="B20" i="5"/>
  <c r="A20" i="5"/>
  <c r="D19" i="5"/>
  <c r="C19" i="5"/>
  <c r="B19" i="5"/>
  <c r="A19" i="5"/>
  <c r="D18" i="5"/>
  <c r="C18" i="5"/>
  <c r="B18" i="5"/>
  <c r="A18" i="5"/>
  <c r="D17" i="5"/>
  <c r="C17" i="5"/>
  <c r="B17" i="5"/>
  <c r="A17" i="5"/>
  <c r="D16" i="5"/>
  <c r="C16" i="5"/>
  <c r="B16" i="5"/>
  <c r="A16" i="5"/>
  <c r="D15" i="5"/>
  <c r="C15" i="5"/>
  <c r="B15" i="5"/>
  <c r="A15" i="5"/>
  <c r="D14" i="5"/>
  <c r="C14" i="5"/>
  <c r="B14" i="5"/>
  <c r="A14" i="5"/>
  <c r="D13" i="5"/>
  <c r="C13" i="5"/>
  <c r="B13" i="5"/>
  <c r="A13" i="5"/>
  <c r="D12" i="5"/>
  <c r="C12" i="5"/>
  <c r="B12" i="5"/>
  <c r="A12" i="5"/>
  <c r="D11" i="5"/>
  <c r="C11" i="5"/>
  <c r="B11" i="5"/>
  <c r="A11" i="5"/>
  <c r="D10" i="5"/>
  <c r="C10" i="5"/>
  <c r="B10" i="5"/>
  <c r="A10" i="5"/>
  <c r="D9" i="5"/>
  <c r="C9" i="5"/>
  <c r="B9" i="5"/>
  <c r="A9" i="5"/>
  <c r="D8" i="5"/>
  <c r="C8" i="5"/>
  <c r="B8" i="5"/>
  <c r="A8" i="5"/>
  <c r="D7" i="5"/>
  <c r="C7" i="5"/>
  <c r="B7" i="5"/>
  <c r="A7" i="5"/>
  <c r="D6" i="5"/>
  <c r="C6" i="5"/>
  <c r="B6" i="5"/>
  <c r="A6" i="5"/>
  <c r="D5" i="5"/>
  <c r="C5" i="5"/>
  <c r="B5" i="5"/>
  <c r="A5" i="5"/>
  <c r="D4" i="5"/>
  <c r="C4" i="5"/>
  <c r="B4" i="5"/>
  <c r="A4" i="5"/>
  <c r="D3" i="5"/>
  <c r="C3" i="5"/>
  <c r="B3" i="5"/>
  <c r="A3" i="5"/>
  <c r="D2" i="5"/>
  <c r="C2" i="5"/>
  <c r="B2" i="5"/>
  <c r="A2" i="5"/>
  <c r="D1" i="5"/>
  <c r="C1" i="5"/>
  <c r="B1" i="5"/>
  <c r="A1" i="5"/>
  <c r="BK2" i="4"/>
  <c r="BK3" i="4"/>
  <c r="BK4" i="4"/>
  <c r="BK5" i="4"/>
  <c r="BK6" i="4"/>
  <c r="BK7" i="4"/>
  <c r="BK8" i="4"/>
  <c r="BK9" i="4"/>
  <c r="BK10" i="4"/>
  <c r="BK11" i="4"/>
  <c r="BK12" i="4"/>
  <c r="BK13" i="4"/>
  <c r="BK14" i="4"/>
  <c r="BK15" i="4"/>
  <c r="BK16" i="4"/>
  <c r="BK17" i="4"/>
  <c r="BK18" i="4"/>
  <c r="BK19" i="4"/>
  <c r="BK20" i="4"/>
  <c r="BK21" i="4"/>
  <c r="BK22" i="4"/>
  <c r="BK23" i="4"/>
  <c r="BK24" i="4"/>
  <c r="BK25" i="4"/>
  <c r="BK26" i="4"/>
  <c r="BK27" i="4"/>
  <c r="BK28" i="4"/>
  <c r="BK29" i="4"/>
  <c r="BK30" i="4"/>
  <c r="BK31" i="4"/>
  <c r="BK32" i="4"/>
  <c r="BK33" i="4"/>
  <c r="BK34" i="4"/>
  <c r="BK35" i="4"/>
  <c r="BK36" i="4"/>
  <c r="BK37" i="4"/>
  <c r="BK38" i="4"/>
  <c r="BJ2" i="4"/>
  <c r="BJ3" i="4"/>
  <c r="BJ4" i="4"/>
  <c r="BJ5" i="4"/>
  <c r="BJ6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I2" i="4"/>
  <c r="BI3" i="4"/>
  <c r="BI4" i="4"/>
  <c r="BI5" i="4"/>
  <c r="BI6" i="4"/>
  <c r="BI7" i="4"/>
  <c r="BI8" i="4"/>
  <c r="BI9" i="4"/>
  <c r="BI10" i="4"/>
  <c r="BI11" i="4"/>
  <c r="BI12" i="4"/>
  <c r="BI13" i="4"/>
  <c r="BI14" i="4"/>
  <c r="BI15" i="4"/>
  <c r="BI16" i="4"/>
  <c r="BI17" i="4"/>
  <c r="BI18" i="4"/>
  <c r="BI19" i="4"/>
  <c r="BI20" i="4"/>
  <c r="BI21" i="4"/>
  <c r="BI22" i="4"/>
  <c r="BI23" i="4"/>
  <c r="BI24" i="4"/>
  <c r="BI25" i="4"/>
  <c r="BI26" i="4"/>
  <c r="BI27" i="4"/>
  <c r="BI28" i="4"/>
  <c r="BI29" i="4"/>
  <c r="BI30" i="4"/>
  <c r="BI31" i="4"/>
  <c r="BI32" i="4"/>
  <c r="BI33" i="4"/>
  <c r="BI34" i="4"/>
  <c r="BI35" i="4"/>
  <c r="BI36" i="4"/>
  <c r="BI37" i="4"/>
  <c r="BI38" i="4"/>
  <c r="BH2" i="4"/>
  <c r="BH3" i="4"/>
  <c r="BH4" i="4"/>
  <c r="BH5" i="4"/>
  <c r="BH6" i="4"/>
  <c r="BH7" i="4"/>
  <c r="BH8" i="4"/>
  <c r="BH9" i="4"/>
  <c r="BH10" i="4"/>
  <c r="BH11" i="4"/>
  <c r="BH12" i="4"/>
  <c r="BH13" i="4"/>
  <c r="BH14" i="4"/>
  <c r="BH15" i="4"/>
  <c r="BH16" i="4"/>
  <c r="BH17" i="4"/>
  <c r="BH18" i="4"/>
  <c r="BH19" i="4"/>
  <c r="BH20" i="4"/>
  <c r="BH21" i="4"/>
  <c r="BH22" i="4"/>
  <c r="BH23" i="4"/>
  <c r="BH24" i="4"/>
  <c r="BH25" i="4"/>
  <c r="BH26" i="4"/>
  <c r="BH27" i="4"/>
  <c r="BH28" i="4"/>
  <c r="BH29" i="4"/>
  <c r="BH30" i="4"/>
  <c r="BH31" i="4"/>
  <c r="BH32" i="4"/>
  <c r="BH33" i="4"/>
  <c r="BH34" i="4"/>
  <c r="BH35" i="4"/>
  <c r="BH36" i="4"/>
  <c r="BH37" i="4"/>
  <c r="BH38" i="4"/>
  <c r="BG2" i="4"/>
  <c r="BG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F2" i="4"/>
  <c r="BF3" i="4"/>
  <c r="BF4" i="4"/>
  <c r="BF5" i="4"/>
  <c r="BF6" i="4"/>
  <c r="BF7" i="4"/>
  <c r="BF8" i="4"/>
  <c r="BF9" i="4"/>
  <c r="BF10" i="4"/>
  <c r="BF11" i="4"/>
  <c r="BF12" i="4"/>
  <c r="BF13" i="4"/>
  <c r="BF14" i="4"/>
  <c r="BF15" i="4"/>
  <c r="BF16" i="4"/>
  <c r="BF17" i="4"/>
  <c r="BF18" i="4"/>
  <c r="BF19" i="4"/>
  <c r="BF20" i="4"/>
  <c r="BF21" i="4"/>
  <c r="BF22" i="4"/>
  <c r="BF23" i="4"/>
  <c r="BF24" i="4"/>
  <c r="BF25" i="4"/>
  <c r="BF26" i="4"/>
  <c r="BF27" i="4"/>
  <c r="BF28" i="4"/>
  <c r="BF29" i="4"/>
  <c r="BF30" i="4"/>
  <c r="BF31" i="4"/>
  <c r="BF32" i="4"/>
  <c r="BF33" i="4"/>
  <c r="BF34" i="4"/>
  <c r="BF35" i="4"/>
  <c r="BF36" i="4"/>
  <c r="BF37" i="4"/>
  <c r="BF38" i="4"/>
  <c r="BE2" i="4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D2" i="4"/>
  <c r="BD3" i="4"/>
  <c r="BD4" i="4"/>
  <c r="BD5" i="4"/>
  <c r="BD6" i="4"/>
  <c r="BD7" i="4"/>
  <c r="BD8" i="4"/>
  <c r="BD9" i="4"/>
  <c r="BD10" i="4"/>
  <c r="BD11" i="4"/>
  <c r="BD12" i="4"/>
  <c r="BD13" i="4"/>
  <c r="BD14" i="4"/>
  <c r="BD15" i="4"/>
  <c r="BD16" i="4"/>
  <c r="BD17" i="4"/>
  <c r="BD18" i="4"/>
  <c r="BD19" i="4"/>
  <c r="BD20" i="4"/>
  <c r="BD21" i="4"/>
  <c r="BD22" i="4"/>
  <c r="BD23" i="4"/>
  <c r="BD24" i="4"/>
  <c r="BD25" i="4"/>
  <c r="BD26" i="4"/>
  <c r="BD27" i="4"/>
  <c r="BD28" i="4"/>
  <c r="BD29" i="4"/>
  <c r="BD30" i="4"/>
  <c r="BD31" i="4"/>
  <c r="BD32" i="4"/>
  <c r="BD33" i="4"/>
  <c r="BD34" i="4"/>
  <c r="BD35" i="4"/>
  <c r="BD36" i="4"/>
  <c r="BD37" i="4"/>
  <c r="BD38" i="4"/>
  <c r="BC2" i="4"/>
  <c r="BC3" i="4"/>
  <c r="BC4" i="4"/>
  <c r="BC5" i="4"/>
  <c r="BC6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B2" i="4"/>
  <c r="BB3" i="4"/>
  <c r="BB4" i="4"/>
  <c r="BB5" i="4"/>
  <c r="BB6" i="4"/>
  <c r="BB7" i="4"/>
  <c r="BB8" i="4"/>
  <c r="BB9" i="4"/>
  <c r="BB10" i="4"/>
  <c r="BB11" i="4"/>
  <c r="BB12" i="4"/>
  <c r="BB13" i="4"/>
  <c r="BB14" i="4"/>
  <c r="BB15" i="4"/>
  <c r="BB16" i="4"/>
  <c r="BB17" i="4"/>
  <c r="BB18" i="4"/>
  <c r="BB19" i="4"/>
  <c r="BB20" i="4"/>
  <c r="BB21" i="4"/>
  <c r="BB22" i="4"/>
  <c r="BB23" i="4"/>
  <c r="BB24" i="4"/>
  <c r="BB25" i="4"/>
  <c r="BB26" i="4"/>
  <c r="BB27" i="4"/>
  <c r="BB28" i="4"/>
  <c r="BB29" i="4"/>
  <c r="BB30" i="4"/>
  <c r="BB31" i="4"/>
  <c r="BB32" i="4"/>
  <c r="BB33" i="4"/>
  <c r="BB34" i="4"/>
  <c r="BB35" i="4"/>
  <c r="BB36" i="4"/>
  <c r="BB37" i="4"/>
  <c r="BB38" i="4"/>
  <c r="BA2" i="4"/>
  <c r="BA3" i="4"/>
  <c r="BA4" i="4"/>
  <c r="BA5" i="4"/>
  <c r="BA6" i="4"/>
  <c r="BA7" i="4"/>
  <c r="BA8" i="4"/>
  <c r="BA9" i="4"/>
  <c r="BA10" i="4"/>
  <c r="BA11" i="4"/>
  <c r="BA12" i="4"/>
  <c r="BA13" i="4"/>
  <c r="BA14" i="4"/>
  <c r="BA15" i="4"/>
  <c r="BA16" i="4"/>
  <c r="BA17" i="4"/>
  <c r="BA18" i="4"/>
  <c r="BA19" i="4"/>
  <c r="BA20" i="4"/>
  <c r="BA21" i="4"/>
  <c r="BA22" i="4"/>
  <c r="BA23" i="4"/>
  <c r="BA24" i="4"/>
  <c r="BA25" i="4"/>
  <c r="BA26" i="4"/>
  <c r="BA27" i="4"/>
  <c r="BA28" i="4"/>
  <c r="BA29" i="4"/>
  <c r="BA30" i="4"/>
  <c r="BA31" i="4"/>
  <c r="BA32" i="4"/>
  <c r="BA33" i="4"/>
  <c r="BA34" i="4"/>
  <c r="BA35" i="4"/>
  <c r="BA36" i="4"/>
  <c r="BA37" i="4"/>
  <c r="BA38" i="4"/>
  <c r="AZ2" i="4"/>
  <c r="AZ3" i="4"/>
  <c r="AZ4" i="4"/>
  <c r="AZ5" i="4"/>
  <c r="AZ6" i="4"/>
  <c r="AZ7" i="4"/>
  <c r="AZ8" i="4"/>
  <c r="AZ9" i="4"/>
  <c r="AZ10" i="4"/>
  <c r="AZ11" i="4"/>
  <c r="AZ12" i="4"/>
  <c r="AZ13" i="4"/>
  <c r="AZ14" i="4"/>
  <c r="AZ15" i="4"/>
  <c r="AZ16" i="4"/>
  <c r="AZ17" i="4"/>
  <c r="AZ18" i="4"/>
  <c r="AZ19" i="4"/>
  <c r="AZ20" i="4"/>
  <c r="AZ21" i="4"/>
  <c r="AZ22" i="4"/>
  <c r="AZ23" i="4"/>
  <c r="AZ24" i="4"/>
  <c r="AZ25" i="4"/>
  <c r="AZ26" i="4"/>
  <c r="AZ27" i="4"/>
  <c r="AZ28" i="4"/>
  <c r="AZ29" i="4"/>
  <c r="AZ30" i="4"/>
  <c r="AZ31" i="4"/>
  <c r="AZ32" i="4"/>
  <c r="AZ33" i="4"/>
  <c r="AZ34" i="4"/>
  <c r="AZ35" i="4"/>
  <c r="AZ36" i="4"/>
  <c r="AZ37" i="4"/>
  <c r="AZ38" i="4"/>
  <c r="AY2" i="4"/>
  <c r="AY3" i="4"/>
  <c r="AY4" i="4"/>
  <c r="AY5" i="4"/>
  <c r="AY6" i="4"/>
  <c r="AY7" i="4"/>
  <c r="AY8" i="4"/>
  <c r="AY9" i="4"/>
  <c r="AY10" i="4"/>
  <c r="AY11" i="4"/>
  <c r="AY12" i="4"/>
  <c r="AY13" i="4"/>
  <c r="AY14" i="4"/>
  <c r="AY15" i="4"/>
  <c r="AY16" i="4"/>
  <c r="AY17" i="4"/>
  <c r="AY18" i="4"/>
  <c r="AY19" i="4"/>
  <c r="AY20" i="4"/>
  <c r="AY21" i="4"/>
  <c r="AY22" i="4"/>
  <c r="AY23" i="4"/>
  <c r="AY24" i="4"/>
  <c r="AY25" i="4"/>
  <c r="AY26" i="4"/>
  <c r="AY27" i="4"/>
  <c r="AY28" i="4"/>
  <c r="AY29" i="4"/>
  <c r="AY30" i="4"/>
  <c r="AY31" i="4"/>
  <c r="AY32" i="4"/>
  <c r="AY33" i="4"/>
  <c r="AY34" i="4"/>
  <c r="AY35" i="4"/>
  <c r="AY36" i="4"/>
  <c r="AY37" i="4"/>
  <c r="AY38" i="4"/>
  <c r="AX2" i="4"/>
  <c r="AX3" i="4"/>
  <c r="AX4" i="4"/>
  <c r="AX5" i="4"/>
  <c r="AX6" i="4"/>
  <c r="AX7" i="4"/>
  <c r="AX8" i="4"/>
  <c r="AX9" i="4"/>
  <c r="AX10" i="4"/>
  <c r="AX11" i="4"/>
  <c r="AX12" i="4"/>
  <c r="AX13" i="4"/>
  <c r="AX14" i="4"/>
  <c r="AX15" i="4"/>
  <c r="AX16" i="4"/>
  <c r="AX17" i="4"/>
  <c r="AX18" i="4"/>
  <c r="AX19" i="4"/>
  <c r="AX20" i="4"/>
  <c r="AX21" i="4"/>
  <c r="AX22" i="4"/>
  <c r="AX23" i="4"/>
  <c r="AX24" i="4"/>
  <c r="AX25" i="4"/>
  <c r="AX26" i="4"/>
  <c r="AX27" i="4"/>
  <c r="AX28" i="4"/>
  <c r="AX29" i="4"/>
  <c r="AX30" i="4"/>
  <c r="AX31" i="4"/>
  <c r="AX32" i="4"/>
  <c r="AX33" i="4"/>
  <c r="AX34" i="4"/>
  <c r="AX35" i="4"/>
  <c r="AX36" i="4"/>
  <c r="AX37" i="4"/>
  <c r="AX38" i="4"/>
  <c r="AW2" i="4"/>
  <c r="AW3" i="4"/>
  <c r="AW4" i="4"/>
  <c r="AW5" i="4"/>
  <c r="AW6" i="4"/>
  <c r="AW7" i="4"/>
  <c r="AW8" i="4"/>
  <c r="AW9" i="4"/>
  <c r="AW10" i="4"/>
  <c r="AW11" i="4"/>
  <c r="AW12" i="4"/>
  <c r="AW13" i="4"/>
  <c r="AW14" i="4"/>
  <c r="AW15" i="4"/>
  <c r="AW16" i="4"/>
  <c r="AW17" i="4"/>
  <c r="AW18" i="4"/>
  <c r="AW19" i="4"/>
  <c r="AW20" i="4"/>
  <c r="AW21" i="4"/>
  <c r="AW22" i="4"/>
  <c r="AW23" i="4"/>
  <c r="AW24" i="4"/>
  <c r="AW25" i="4"/>
  <c r="AW26" i="4"/>
  <c r="AW27" i="4"/>
  <c r="AW28" i="4"/>
  <c r="AW29" i="4"/>
  <c r="AW30" i="4"/>
  <c r="AW31" i="4"/>
  <c r="AW32" i="4"/>
  <c r="AW33" i="4"/>
  <c r="AW34" i="4"/>
  <c r="AW35" i="4"/>
  <c r="AW36" i="4"/>
  <c r="AW37" i="4"/>
  <c r="AW38" i="4"/>
  <c r="AV2" i="4"/>
  <c r="AV3" i="4"/>
  <c r="AV4" i="4"/>
  <c r="AV5" i="4"/>
  <c r="AV6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U2" i="4"/>
  <c r="AU3" i="4"/>
  <c r="AU4" i="4"/>
  <c r="AU5" i="4"/>
  <c r="AU6" i="4"/>
  <c r="AU7" i="4"/>
  <c r="AU8" i="4"/>
  <c r="AU9" i="4"/>
  <c r="AU10" i="4"/>
  <c r="AU11" i="4"/>
  <c r="AU12" i="4"/>
  <c r="AU13" i="4"/>
  <c r="AU14" i="4"/>
  <c r="AU15" i="4"/>
  <c r="AU16" i="4"/>
  <c r="AU17" i="4"/>
  <c r="AU18" i="4"/>
  <c r="AU19" i="4"/>
  <c r="AU20" i="4"/>
  <c r="AU21" i="4"/>
  <c r="AU22" i="4"/>
  <c r="AU23" i="4"/>
  <c r="AU24" i="4"/>
  <c r="AU25" i="4"/>
  <c r="AU26" i="4"/>
  <c r="AU27" i="4"/>
  <c r="AU28" i="4"/>
  <c r="AU29" i="4"/>
  <c r="AU30" i="4"/>
  <c r="AU31" i="4"/>
  <c r="AU32" i="4"/>
  <c r="AU33" i="4"/>
  <c r="AU34" i="4"/>
  <c r="AU35" i="4"/>
  <c r="AU36" i="4"/>
  <c r="AU37" i="4"/>
  <c r="AU38" i="4"/>
  <c r="AT2" i="4"/>
  <c r="AT3" i="4"/>
  <c r="AT4" i="4"/>
  <c r="AT5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S2" i="4"/>
  <c r="AS3" i="4"/>
  <c r="AS4" i="4"/>
  <c r="AS5" i="4"/>
  <c r="AS6" i="4"/>
  <c r="AS7" i="4"/>
  <c r="AS8" i="4"/>
  <c r="AS9" i="4"/>
  <c r="AS10" i="4"/>
  <c r="AS11" i="4"/>
  <c r="AS12" i="4"/>
  <c r="AS13" i="4"/>
  <c r="AS14" i="4"/>
  <c r="AS15" i="4"/>
  <c r="AS16" i="4"/>
  <c r="AS17" i="4"/>
  <c r="AS18" i="4"/>
  <c r="AS19" i="4"/>
  <c r="AS20" i="4"/>
  <c r="AS21" i="4"/>
  <c r="AS22" i="4"/>
  <c r="AS23" i="4"/>
  <c r="AS24" i="4"/>
  <c r="AS25" i="4"/>
  <c r="AS26" i="4"/>
  <c r="AS27" i="4"/>
  <c r="AS28" i="4"/>
  <c r="AS29" i="4"/>
  <c r="AS30" i="4"/>
  <c r="AS31" i="4"/>
  <c r="AS32" i="4"/>
  <c r="AS33" i="4"/>
  <c r="AS34" i="4"/>
  <c r="AS35" i="4"/>
  <c r="AS36" i="4"/>
  <c r="AS37" i="4"/>
  <c r="AS38" i="4"/>
  <c r="AR2" i="4"/>
  <c r="AR3" i="4"/>
  <c r="AR4" i="4"/>
  <c r="AR5" i="4"/>
  <c r="AR6" i="4"/>
  <c r="AR7" i="4"/>
  <c r="AR8" i="4"/>
  <c r="AR9" i="4"/>
  <c r="AR10" i="4"/>
  <c r="AR11" i="4"/>
  <c r="AR12" i="4"/>
  <c r="AR13" i="4"/>
  <c r="AR14" i="4"/>
  <c r="AR15" i="4"/>
  <c r="AR16" i="4"/>
  <c r="AR17" i="4"/>
  <c r="AR18" i="4"/>
  <c r="AR19" i="4"/>
  <c r="AR20" i="4"/>
  <c r="AR21" i="4"/>
  <c r="AR22" i="4"/>
  <c r="AR23" i="4"/>
  <c r="AR24" i="4"/>
  <c r="AR25" i="4"/>
  <c r="AR26" i="4"/>
  <c r="AR27" i="4"/>
  <c r="AR28" i="4"/>
  <c r="AR29" i="4"/>
  <c r="AR30" i="4"/>
  <c r="AR31" i="4"/>
  <c r="AR32" i="4"/>
  <c r="AR33" i="4"/>
  <c r="AR34" i="4"/>
  <c r="AR35" i="4"/>
  <c r="AR36" i="4"/>
  <c r="AR37" i="4"/>
  <c r="AR38" i="4"/>
  <c r="AQ2" i="4"/>
  <c r="AQ3" i="4"/>
  <c r="AQ4" i="4"/>
  <c r="AQ5" i="4"/>
  <c r="AQ6" i="4"/>
  <c r="AQ7" i="4"/>
  <c r="AQ8" i="4"/>
  <c r="AQ9" i="4"/>
  <c r="AQ10" i="4"/>
  <c r="AQ11" i="4"/>
  <c r="AQ12" i="4"/>
  <c r="AQ13" i="4"/>
  <c r="AQ14" i="4"/>
  <c r="AQ15" i="4"/>
  <c r="AQ16" i="4"/>
  <c r="AQ17" i="4"/>
  <c r="AQ18" i="4"/>
  <c r="AQ19" i="4"/>
  <c r="AQ20" i="4"/>
  <c r="AQ21" i="4"/>
  <c r="AQ22" i="4"/>
  <c r="AQ23" i="4"/>
  <c r="AQ24" i="4"/>
  <c r="AQ25" i="4"/>
  <c r="AQ26" i="4"/>
  <c r="AQ27" i="4"/>
  <c r="AQ28" i="4"/>
  <c r="AQ29" i="4"/>
  <c r="AQ30" i="4"/>
  <c r="AQ31" i="4"/>
  <c r="AQ32" i="4"/>
  <c r="AQ33" i="4"/>
  <c r="AQ34" i="4"/>
  <c r="AQ35" i="4"/>
  <c r="AQ36" i="4"/>
  <c r="AQ37" i="4"/>
  <c r="AQ38" i="4"/>
  <c r="AP2" i="4"/>
  <c r="AP3" i="4"/>
  <c r="AP4" i="4"/>
  <c r="AP5" i="4"/>
  <c r="AP6" i="4"/>
  <c r="AP7" i="4"/>
  <c r="AP8" i="4"/>
  <c r="AP9" i="4"/>
  <c r="AP10" i="4"/>
  <c r="AP11" i="4"/>
  <c r="AP12" i="4"/>
  <c r="AP13" i="4"/>
  <c r="AP14" i="4"/>
  <c r="AP15" i="4"/>
  <c r="AP16" i="4"/>
  <c r="AP17" i="4"/>
  <c r="AP18" i="4"/>
  <c r="AP19" i="4"/>
  <c r="AP20" i="4"/>
  <c r="AP21" i="4"/>
  <c r="AP22" i="4"/>
  <c r="AP23" i="4"/>
  <c r="AP24" i="4"/>
  <c r="AP25" i="4"/>
  <c r="AP26" i="4"/>
  <c r="AP27" i="4"/>
  <c r="AP28" i="4"/>
  <c r="AP29" i="4"/>
  <c r="AP30" i="4"/>
  <c r="AP31" i="4"/>
  <c r="AP32" i="4"/>
  <c r="AP33" i="4"/>
  <c r="AP34" i="4"/>
  <c r="AP35" i="4"/>
  <c r="AP36" i="4"/>
  <c r="AP37" i="4"/>
  <c r="AP38" i="4"/>
  <c r="AO2" i="4"/>
  <c r="AO3" i="4"/>
  <c r="AO4" i="4"/>
  <c r="AO5" i="4"/>
  <c r="AO6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N2" i="4"/>
  <c r="AN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M2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L2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K2" i="4"/>
  <c r="AK3" i="4"/>
  <c r="AK4" i="4"/>
  <c r="AK5" i="4"/>
  <c r="AK6" i="4"/>
  <c r="AK7" i="4"/>
  <c r="AK8" i="4"/>
  <c r="AK9" i="4"/>
  <c r="AK10" i="4"/>
  <c r="AK11" i="4"/>
  <c r="AK12" i="4"/>
  <c r="AK13" i="4"/>
  <c r="AK14" i="4"/>
  <c r="AK15" i="4"/>
  <c r="AK16" i="4"/>
  <c r="AK17" i="4"/>
  <c r="AK18" i="4"/>
  <c r="AK19" i="4"/>
  <c r="AK20" i="4"/>
  <c r="AK21" i="4"/>
  <c r="AK22" i="4"/>
  <c r="AK23" i="4"/>
  <c r="AK24" i="4"/>
  <c r="AK25" i="4"/>
  <c r="AK26" i="4"/>
  <c r="AK27" i="4"/>
  <c r="AK28" i="4"/>
  <c r="AK29" i="4"/>
  <c r="AK30" i="4"/>
  <c r="AK31" i="4"/>
  <c r="AK32" i="4"/>
  <c r="AK33" i="4"/>
  <c r="AK34" i="4"/>
  <c r="AK35" i="4"/>
  <c r="AK36" i="4"/>
  <c r="AK37" i="4"/>
  <c r="AK38" i="4"/>
  <c r="AI38" i="4"/>
  <c r="AH38" i="4"/>
  <c r="AG38" i="4"/>
  <c r="AF38" i="4"/>
  <c r="AE38" i="4"/>
  <c r="AD38" i="4"/>
  <c r="AC38" i="4"/>
  <c r="AB38" i="4"/>
  <c r="AA38" i="4"/>
  <c r="Z38" i="4"/>
  <c r="Y38" i="4"/>
  <c r="X38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BM2" i="3"/>
  <c r="BM3" i="3"/>
  <c r="BM4" i="3"/>
  <c r="BM5" i="3"/>
  <c r="BM6" i="3"/>
  <c r="BM7" i="3"/>
  <c r="BM8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L2" i="3"/>
  <c r="BL3" i="3"/>
  <c r="BL4" i="3"/>
  <c r="BL5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K2" i="3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J2" i="3"/>
  <c r="BJ3" i="3"/>
  <c r="BJ4" i="3"/>
  <c r="BJ5" i="3"/>
  <c r="BJ6" i="3"/>
  <c r="BJ7" i="3"/>
  <c r="BJ8" i="3"/>
  <c r="BJ9" i="3"/>
  <c r="BJ10" i="3"/>
  <c r="BJ11" i="3"/>
  <c r="BJ12" i="3"/>
  <c r="BJ13" i="3"/>
  <c r="BJ14" i="3"/>
  <c r="BJ15" i="3"/>
  <c r="BJ16" i="3"/>
  <c r="BJ17" i="3"/>
  <c r="BJ18" i="3"/>
  <c r="BJ19" i="3"/>
  <c r="BJ20" i="3"/>
  <c r="BJ21" i="3"/>
  <c r="BJ22" i="3"/>
  <c r="BJ23" i="3"/>
  <c r="BJ24" i="3"/>
  <c r="BJ25" i="3"/>
  <c r="BJ26" i="3"/>
  <c r="BJ27" i="3"/>
  <c r="BJ28" i="3"/>
  <c r="BJ29" i="3"/>
  <c r="BJ30" i="3"/>
  <c r="BJ31" i="3"/>
  <c r="BJ32" i="3"/>
  <c r="BJ33" i="3"/>
  <c r="BJ34" i="3"/>
  <c r="BJ35" i="3"/>
  <c r="BJ36" i="3"/>
  <c r="BJ37" i="3"/>
  <c r="BJ38" i="3"/>
  <c r="BI2" i="3"/>
  <c r="BI3" i="3"/>
  <c r="BI4" i="3"/>
  <c r="BI5" i="3"/>
  <c r="BI6" i="3"/>
  <c r="BI7" i="3"/>
  <c r="BI8" i="3"/>
  <c r="BI9" i="3"/>
  <c r="BI10" i="3"/>
  <c r="BI11" i="3"/>
  <c r="BI12" i="3"/>
  <c r="BI13" i="3"/>
  <c r="BI14" i="3"/>
  <c r="BI15" i="3"/>
  <c r="BI16" i="3"/>
  <c r="BI17" i="3"/>
  <c r="BI18" i="3"/>
  <c r="BI19" i="3"/>
  <c r="BI20" i="3"/>
  <c r="BI21" i="3"/>
  <c r="BI22" i="3"/>
  <c r="BI23" i="3"/>
  <c r="BI24" i="3"/>
  <c r="BI25" i="3"/>
  <c r="BI26" i="3"/>
  <c r="BI27" i="3"/>
  <c r="BI28" i="3"/>
  <c r="BI29" i="3"/>
  <c r="BI30" i="3"/>
  <c r="BI31" i="3"/>
  <c r="BI32" i="3"/>
  <c r="BI33" i="3"/>
  <c r="BI34" i="3"/>
  <c r="BI35" i="3"/>
  <c r="BI36" i="3"/>
  <c r="BI37" i="3"/>
  <c r="BI38" i="3"/>
  <c r="BH2" i="3"/>
  <c r="BH3" i="3"/>
  <c r="BH4" i="3"/>
  <c r="BH5" i="3"/>
  <c r="BH6" i="3"/>
  <c r="BH7" i="3"/>
  <c r="BH8" i="3"/>
  <c r="BH9" i="3"/>
  <c r="BH10" i="3"/>
  <c r="BH11" i="3"/>
  <c r="BH12" i="3"/>
  <c r="BH13" i="3"/>
  <c r="BH14" i="3"/>
  <c r="BH15" i="3"/>
  <c r="BH16" i="3"/>
  <c r="BH17" i="3"/>
  <c r="BH18" i="3"/>
  <c r="BH19" i="3"/>
  <c r="BH20" i="3"/>
  <c r="BH21" i="3"/>
  <c r="BH22" i="3"/>
  <c r="BH23" i="3"/>
  <c r="BH24" i="3"/>
  <c r="BH25" i="3"/>
  <c r="BH26" i="3"/>
  <c r="BH27" i="3"/>
  <c r="BH28" i="3"/>
  <c r="BH29" i="3"/>
  <c r="BH30" i="3"/>
  <c r="BH31" i="3"/>
  <c r="BH32" i="3"/>
  <c r="BH33" i="3"/>
  <c r="BH34" i="3"/>
  <c r="BH35" i="3"/>
  <c r="BH36" i="3"/>
  <c r="BH37" i="3"/>
  <c r="BH38" i="3"/>
  <c r="BG2" i="3"/>
  <c r="BG3" i="3"/>
  <c r="BG4" i="3"/>
  <c r="BG5" i="3"/>
  <c r="BG6" i="3"/>
  <c r="BG7" i="3"/>
  <c r="BG8" i="3"/>
  <c r="BG9" i="3"/>
  <c r="BG10" i="3"/>
  <c r="BG11" i="3"/>
  <c r="BG12" i="3"/>
  <c r="BG13" i="3"/>
  <c r="BG14" i="3"/>
  <c r="BG15" i="3"/>
  <c r="BG16" i="3"/>
  <c r="BG17" i="3"/>
  <c r="BG18" i="3"/>
  <c r="BG19" i="3"/>
  <c r="BG20" i="3"/>
  <c r="BG21" i="3"/>
  <c r="BG22" i="3"/>
  <c r="BG23" i="3"/>
  <c r="BG24" i="3"/>
  <c r="BG25" i="3"/>
  <c r="BG26" i="3"/>
  <c r="BG27" i="3"/>
  <c r="BG28" i="3"/>
  <c r="BG29" i="3"/>
  <c r="BG30" i="3"/>
  <c r="BG31" i="3"/>
  <c r="BG32" i="3"/>
  <c r="BG33" i="3"/>
  <c r="BG34" i="3"/>
  <c r="BG35" i="3"/>
  <c r="BG36" i="3"/>
  <c r="BG37" i="3"/>
  <c r="BG38" i="3"/>
  <c r="BF2" i="3"/>
  <c r="BF3" i="3"/>
  <c r="BF4" i="3"/>
  <c r="BF5" i="3"/>
  <c r="BF6" i="3"/>
  <c r="BF7" i="3"/>
  <c r="BF8" i="3"/>
  <c r="BF9" i="3"/>
  <c r="BF10" i="3"/>
  <c r="BF11" i="3"/>
  <c r="BF12" i="3"/>
  <c r="BF13" i="3"/>
  <c r="BF14" i="3"/>
  <c r="BF15" i="3"/>
  <c r="BF16" i="3"/>
  <c r="BF17" i="3"/>
  <c r="BF18" i="3"/>
  <c r="BF19" i="3"/>
  <c r="BF20" i="3"/>
  <c r="BF21" i="3"/>
  <c r="BF22" i="3"/>
  <c r="BF23" i="3"/>
  <c r="BF24" i="3"/>
  <c r="BF25" i="3"/>
  <c r="BF26" i="3"/>
  <c r="BF27" i="3"/>
  <c r="BF28" i="3"/>
  <c r="BF29" i="3"/>
  <c r="BF30" i="3"/>
  <c r="BF31" i="3"/>
  <c r="BF32" i="3"/>
  <c r="BF33" i="3"/>
  <c r="BF34" i="3"/>
  <c r="BF35" i="3"/>
  <c r="BF36" i="3"/>
  <c r="BF37" i="3"/>
  <c r="BF38" i="3"/>
  <c r="BE2" i="3"/>
  <c r="BE3" i="3"/>
  <c r="BE4" i="3"/>
  <c r="BE5" i="3"/>
  <c r="BE6" i="3"/>
  <c r="BE7" i="3"/>
  <c r="BE8" i="3"/>
  <c r="BE9" i="3"/>
  <c r="BE10" i="3"/>
  <c r="BE11" i="3"/>
  <c r="BE12" i="3"/>
  <c r="BE13" i="3"/>
  <c r="BE14" i="3"/>
  <c r="BE15" i="3"/>
  <c r="BE16" i="3"/>
  <c r="BE17" i="3"/>
  <c r="BE18" i="3"/>
  <c r="BE19" i="3"/>
  <c r="BE20" i="3"/>
  <c r="BE21" i="3"/>
  <c r="BE22" i="3"/>
  <c r="BE23" i="3"/>
  <c r="BE24" i="3"/>
  <c r="BE25" i="3"/>
  <c r="BE26" i="3"/>
  <c r="BE27" i="3"/>
  <c r="BE28" i="3"/>
  <c r="BE29" i="3"/>
  <c r="BE30" i="3"/>
  <c r="BE31" i="3"/>
  <c r="BE32" i="3"/>
  <c r="BE33" i="3"/>
  <c r="BE34" i="3"/>
  <c r="BE35" i="3"/>
  <c r="BE36" i="3"/>
  <c r="BE37" i="3"/>
  <c r="BE38" i="3"/>
  <c r="BD2" i="3"/>
  <c r="BD3" i="3"/>
  <c r="BD4" i="3"/>
  <c r="BD5" i="3"/>
  <c r="BD6" i="3"/>
  <c r="BD7" i="3"/>
  <c r="BD8" i="3"/>
  <c r="BD9" i="3"/>
  <c r="BD10" i="3"/>
  <c r="BD11" i="3"/>
  <c r="BD12" i="3"/>
  <c r="BD13" i="3"/>
  <c r="BD14" i="3"/>
  <c r="BD15" i="3"/>
  <c r="BD16" i="3"/>
  <c r="BD17" i="3"/>
  <c r="BD18" i="3"/>
  <c r="BD19" i="3"/>
  <c r="BD20" i="3"/>
  <c r="BD21" i="3"/>
  <c r="BD22" i="3"/>
  <c r="BD23" i="3"/>
  <c r="BD24" i="3"/>
  <c r="BD25" i="3"/>
  <c r="BD26" i="3"/>
  <c r="BD27" i="3"/>
  <c r="BD28" i="3"/>
  <c r="BD29" i="3"/>
  <c r="BD30" i="3"/>
  <c r="BD31" i="3"/>
  <c r="BD32" i="3"/>
  <c r="BD33" i="3"/>
  <c r="BD34" i="3"/>
  <c r="BD35" i="3"/>
  <c r="BD36" i="3"/>
  <c r="BD37" i="3"/>
  <c r="BD38" i="3"/>
  <c r="BC2" i="3"/>
  <c r="BC3" i="3"/>
  <c r="BC4" i="3"/>
  <c r="BC5" i="3"/>
  <c r="BC6" i="3"/>
  <c r="BC7" i="3"/>
  <c r="BC8" i="3"/>
  <c r="BC9" i="3"/>
  <c r="BC10" i="3"/>
  <c r="BC11" i="3"/>
  <c r="BC12" i="3"/>
  <c r="BC13" i="3"/>
  <c r="BC14" i="3"/>
  <c r="BC15" i="3"/>
  <c r="BC16" i="3"/>
  <c r="BC17" i="3"/>
  <c r="BC18" i="3"/>
  <c r="BC19" i="3"/>
  <c r="BC20" i="3"/>
  <c r="BC21" i="3"/>
  <c r="BC22" i="3"/>
  <c r="BC23" i="3"/>
  <c r="BC24" i="3"/>
  <c r="BC25" i="3"/>
  <c r="BC26" i="3"/>
  <c r="BC27" i="3"/>
  <c r="BC28" i="3"/>
  <c r="BC29" i="3"/>
  <c r="BC30" i="3"/>
  <c r="BC31" i="3"/>
  <c r="BC32" i="3"/>
  <c r="BC33" i="3"/>
  <c r="BC34" i="3"/>
  <c r="BC35" i="3"/>
  <c r="BC36" i="3"/>
  <c r="BC37" i="3"/>
  <c r="BC38" i="3"/>
  <c r="BB2" i="3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A2" i="3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AZ2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Y2" i="3"/>
  <c r="AY3" i="3"/>
  <c r="AY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X2" i="3"/>
  <c r="AX3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W2" i="3"/>
  <c r="AW3" i="3"/>
  <c r="AW4" i="3"/>
  <c r="AW5" i="3"/>
  <c r="AW6" i="3"/>
  <c r="AW7" i="3"/>
  <c r="AW8" i="3"/>
  <c r="AW9" i="3"/>
  <c r="AW10" i="3"/>
  <c r="AW11" i="3"/>
  <c r="AW12" i="3"/>
  <c r="AW13" i="3"/>
  <c r="AW14" i="3"/>
  <c r="AW15" i="3"/>
  <c r="AW16" i="3"/>
  <c r="AW17" i="3"/>
  <c r="AW18" i="3"/>
  <c r="AW19" i="3"/>
  <c r="AW20" i="3"/>
  <c r="AW21" i="3"/>
  <c r="AW22" i="3"/>
  <c r="AW23" i="3"/>
  <c r="AW24" i="3"/>
  <c r="AW25" i="3"/>
  <c r="AW26" i="3"/>
  <c r="AW27" i="3"/>
  <c r="AW28" i="3"/>
  <c r="AW29" i="3"/>
  <c r="AW30" i="3"/>
  <c r="AW31" i="3"/>
  <c r="AW32" i="3"/>
  <c r="AW33" i="3"/>
  <c r="AW34" i="3"/>
  <c r="AW35" i="3"/>
  <c r="AW36" i="3"/>
  <c r="AW37" i="3"/>
  <c r="AW38" i="3"/>
  <c r="AV2" i="3"/>
  <c r="AV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U2" i="3"/>
  <c r="AU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T2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S2" i="3"/>
  <c r="AS3" i="3"/>
  <c r="AS4" i="3"/>
  <c r="AS5" i="3"/>
  <c r="AS6" i="3"/>
  <c r="AS7" i="3"/>
  <c r="AS8" i="3"/>
  <c r="AS9" i="3"/>
  <c r="AS10" i="3"/>
  <c r="AS11" i="3"/>
  <c r="AS12" i="3"/>
  <c r="AS13" i="3"/>
  <c r="AS14" i="3"/>
  <c r="AS15" i="3"/>
  <c r="AS16" i="3"/>
  <c r="AS17" i="3"/>
  <c r="AS18" i="3"/>
  <c r="AS19" i="3"/>
  <c r="AS20" i="3"/>
  <c r="AS21" i="3"/>
  <c r="AS22" i="3"/>
  <c r="AS23" i="3"/>
  <c r="AS24" i="3"/>
  <c r="AS25" i="3"/>
  <c r="AS26" i="3"/>
  <c r="AS27" i="3"/>
  <c r="AS28" i="3"/>
  <c r="AS29" i="3"/>
  <c r="AS30" i="3"/>
  <c r="AS31" i="3"/>
  <c r="AS32" i="3"/>
  <c r="AS33" i="3"/>
  <c r="AS34" i="3"/>
  <c r="AS35" i="3"/>
  <c r="AS36" i="3"/>
  <c r="AS37" i="3"/>
  <c r="AS38" i="3"/>
  <c r="AR2" i="3"/>
  <c r="AR3" i="3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Q2" i="3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P2" i="3"/>
  <c r="AP3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O2" i="3"/>
  <c r="AO3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N2" i="3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M2" i="3"/>
  <c r="AM3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L2" i="3"/>
  <c r="AL3" i="3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K2" i="3"/>
  <c r="AK3" i="3"/>
  <c r="AK4" i="3"/>
  <c r="AK5" i="3"/>
  <c r="AK6" i="3"/>
  <c r="AK7" i="3"/>
  <c r="AK8" i="3"/>
  <c r="AK9" i="3"/>
  <c r="AK10" i="3"/>
  <c r="AK11" i="3"/>
  <c r="AK12" i="3"/>
  <c r="AK13" i="3"/>
  <c r="AK14" i="3"/>
  <c r="AK15" i="3"/>
  <c r="AK16" i="3"/>
  <c r="AK17" i="3"/>
  <c r="AK18" i="3"/>
  <c r="AK19" i="3"/>
  <c r="AK20" i="3"/>
  <c r="AK21" i="3"/>
  <c r="AK22" i="3"/>
  <c r="AK23" i="3"/>
  <c r="AK24" i="3"/>
  <c r="AK25" i="3"/>
  <c r="AK26" i="3"/>
  <c r="AK27" i="3"/>
  <c r="AK28" i="3"/>
  <c r="AK29" i="3"/>
  <c r="AK30" i="3"/>
  <c r="AK31" i="3"/>
  <c r="AK32" i="3"/>
  <c r="AK33" i="3"/>
  <c r="AK34" i="3"/>
  <c r="AK35" i="3"/>
  <c r="AK36" i="3"/>
  <c r="AK37" i="3"/>
  <c r="AK38" i="3"/>
  <c r="AJ2" i="3"/>
  <c r="AJ3" i="3"/>
  <c r="AJ4" i="3"/>
  <c r="AJ5" i="3"/>
  <c r="AJ6" i="3"/>
  <c r="AJ7" i="3"/>
  <c r="AJ8" i="3"/>
  <c r="AJ9" i="3"/>
  <c r="AJ10" i="3"/>
  <c r="AJ11" i="3"/>
  <c r="AJ12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I2" i="3"/>
  <c r="AI3" i="3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H2" i="3"/>
  <c r="AH3" i="3"/>
  <c r="AH4" i="3"/>
  <c r="AH5" i="3"/>
  <c r="AH6" i="3"/>
  <c r="AH7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G2" i="3"/>
  <c r="AG3" i="3"/>
  <c r="AG4" i="3"/>
  <c r="AG5" i="3"/>
  <c r="AG6" i="3"/>
  <c r="AG7" i="3"/>
  <c r="AG8" i="3"/>
  <c r="AG9" i="3"/>
  <c r="AG10" i="3"/>
  <c r="AG11" i="3"/>
  <c r="AG12" i="3"/>
  <c r="AG13" i="3"/>
  <c r="AG14" i="3"/>
  <c r="AG15" i="3"/>
  <c r="AG16" i="3"/>
  <c r="AG17" i="3"/>
  <c r="AG18" i="3"/>
  <c r="AG19" i="3"/>
  <c r="AG20" i="3"/>
  <c r="AG21" i="3"/>
  <c r="AG22" i="3"/>
  <c r="AG23" i="3"/>
  <c r="AG24" i="3"/>
  <c r="AG25" i="3"/>
  <c r="AG26" i="3"/>
  <c r="AG27" i="3"/>
  <c r="AG28" i="3"/>
  <c r="AG29" i="3"/>
  <c r="AG30" i="3"/>
  <c r="AG31" i="3"/>
  <c r="AG32" i="3"/>
  <c r="AG33" i="3"/>
  <c r="AG34" i="3"/>
  <c r="AG35" i="3"/>
  <c r="AG36" i="3"/>
  <c r="AG37" i="3"/>
  <c r="AG38" i="3"/>
  <c r="AF2" i="3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E2" i="3"/>
  <c r="AE3" i="3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C2" i="3"/>
  <c r="AC3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B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A2" i="3"/>
  <c r="AA3" i="3"/>
  <c r="AA4" i="3"/>
  <c r="AA5" i="3"/>
  <c r="AA6" i="3"/>
  <c r="AA7" i="3"/>
  <c r="AA8" i="3"/>
  <c r="AA9" i="3"/>
  <c r="AA10" i="3"/>
  <c r="AA11" i="3"/>
  <c r="AA12" i="3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34" i="3"/>
  <c r="AA35" i="3"/>
  <c r="AA36" i="3"/>
  <c r="AA37" i="3"/>
  <c r="AA38" i="3"/>
  <c r="Z2" i="3"/>
  <c r="Z3" i="3"/>
  <c r="Z4" i="3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Y2" i="3"/>
  <c r="Y3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X2" i="3"/>
  <c r="X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W2" i="3"/>
  <c r="W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V2" i="3"/>
  <c r="V3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U2" i="3"/>
  <c r="U3" i="3"/>
  <c r="U4" i="3"/>
  <c r="U5" i="3"/>
  <c r="U6" i="3"/>
  <c r="U7" i="3"/>
  <c r="U8" i="3"/>
  <c r="U9" i="3"/>
  <c r="U10" i="3"/>
  <c r="U11" i="3"/>
  <c r="U12" i="3"/>
  <c r="U13" i="3"/>
  <c r="U14" i="3"/>
  <c r="U15" i="3"/>
  <c r="U16" i="3"/>
  <c r="U17" i="3"/>
  <c r="U18" i="3"/>
  <c r="U19" i="3"/>
  <c r="U20" i="3"/>
  <c r="U21" i="3"/>
  <c r="U22" i="3"/>
  <c r="U23" i="3"/>
  <c r="U24" i="3"/>
  <c r="U25" i="3"/>
  <c r="U26" i="3"/>
  <c r="U27" i="3"/>
  <c r="U28" i="3"/>
  <c r="U29" i="3"/>
  <c r="U30" i="3"/>
  <c r="U31" i="3"/>
  <c r="U32" i="3"/>
  <c r="U33" i="3"/>
  <c r="U34" i="3"/>
  <c r="U35" i="3"/>
  <c r="U36" i="3"/>
  <c r="U37" i="3"/>
  <c r="U38" i="3"/>
  <c r="T2" i="3"/>
  <c r="T3" i="3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S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R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Q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H2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G2" i="3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F2" i="3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E2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B126" i="2"/>
  <c r="B83" i="2"/>
  <c r="B82" i="2"/>
  <c r="B79" i="2"/>
  <c r="B78" i="2"/>
  <c r="B77" i="2"/>
  <c r="B76" i="2"/>
  <c r="B75" i="2"/>
  <c r="B74" i="2"/>
  <c r="B73" i="2"/>
  <c r="B72" i="2"/>
  <c r="B71" i="2"/>
  <c r="B70" i="2"/>
  <c r="B66" i="2"/>
  <c r="B65" i="2"/>
  <c r="B64" i="2"/>
  <c r="B63" i="2"/>
  <c r="B61" i="2"/>
  <c r="B60" i="2"/>
  <c r="B59" i="2"/>
  <c r="B58" i="2"/>
  <c r="B57" i="2"/>
  <c r="B56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1" i="2"/>
  <c r="B30" i="2"/>
  <c r="B29" i="2"/>
  <c r="B27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I2" i="2"/>
  <c r="K2" i="2"/>
  <c r="J2" i="2"/>
  <c r="B2" i="2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G1834" i="1"/>
  <c r="G1833" i="1"/>
  <c r="G1832" i="1"/>
  <c r="G1831" i="1"/>
  <c r="G1830" i="1"/>
  <c r="G1829" i="1"/>
  <c r="G1828" i="1"/>
  <c r="G1827" i="1"/>
  <c r="G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G1734" i="1"/>
  <c r="G1733" i="1"/>
  <c r="G1732" i="1"/>
  <c r="G1731" i="1"/>
  <c r="G1730" i="1"/>
  <c r="G1729" i="1"/>
  <c r="G1728" i="1"/>
  <c r="G1727" i="1"/>
  <c r="G1726" i="1"/>
  <c r="G1725" i="1"/>
  <c r="G1724" i="1"/>
  <c r="G1723" i="1"/>
  <c r="G1722" i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G1667" i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G1605" i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G1590" i="1"/>
  <c r="G1589" i="1"/>
  <c r="G1588" i="1"/>
  <c r="G1587" i="1"/>
  <c r="G1586" i="1"/>
  <c r="G1585" i="1"/>
  <c r="G1584" i="1"/>
  <c r="G1583" i="1"/>
  <c r="G1582" i="1"/>
  <c r="G1581" i="1"/>
  <c r="G1580" i="1"/>
  <c r="G1579" i="1"/>
  <c r="G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G1432" i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G1406" i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G1288" i="1"/>
  <c r="G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G1111" i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G674" i="1"/>
  <c r="G673" i="1"/>
  <c r="G672" i="1"/>
  <c r="G671" i="1"/>
  <c r="G670" i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G648" i="1"/>
  <c r="G647" i="1"/>
  <c r="G646" i="1"/>
  <c r="G645" i="1"/>
  <c r="G644" i="1"/>
  <c r="G643" i="1"/>
  <c r="G642" i="1"/>
  <c r="G641" i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E464" i="1"/>
  <c r="G463" i="1"/>
  <c r="E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G420" i="1"/>
  <c r="G419" i="1"/>
  <c r="G418" i="1"/>
  <c r="G417" i="1"/>
  <c r="G416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5" i="1"/>
  <c r="G364" i="1"/>
  <c r="G363" i="1"/>
  <c r="G362" i="1"/>
  <c r="G361" i="1"/>
  <c r="G360" i="1"/>
  <c r="G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G310" i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G292" i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E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E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</calcChain>
</file>

<file path=xl/comments1.xml><?xml version="1.0" encoding="utf-8"?>
<comments xmlns="http://schemas.openxmlformats.org/spreadsheetml/2006/main">
  <authors>
    <author/>
  </authors>
  <commentList>
    <comment ref="C932" authorId="0">
      <text>
        <r>
          <rPr>
            <sz val="12"/>
            <color rgb="FF000000"/>
            <rFont val="PMingLiu"/>
          </rPr>
          <t>待翻譯英文AG報告
	-YUNLIN TIEN
先出繁中版
	-YUNLIN TIEN</t>
        </r>
      </text>
    </comment>
    <comment ref="C938" authorId="0">
      <text>
        <r>
          <rPr>
            <sz val="12"/>
            <color rgb="FF000000"/>
            <rFont val="PMingLiu"/>
          </rPr>
          <t>待OMG英文版
	-YUNLIN TIEN</t>
        </r>
      </text>
    </comment>
    <comment ref="C939" authorId="0">
      <text>
        <r>
          <rPr>
            <sz val="12"/>
            <color rgb="FF000000"/>
            <rFont val="PMingLiu"/>
          </rPr>
          <t>待OMG英文版
	-YUNLIN TIEN</t>
        </r>
      </text>
    </comment>
    <comment ref="C1007" authorId="0">
      <text>
        <r>
          <rPr>
            <sz val="12"/>
            <color rgb="FF000000"/>
            <rFont val="PMingLiu"/>
          </rPr>
          <t>10/22確認入帳可出報告
	-YUNLIN TIEN</t>
        </r>
      </text>
    </comment>
    <comment ref="C1008" authorId="0">
      <text>
        <r>
          <rPr>
            <sz val="12"/>
            <color rgb="FF000000"/>
            <rFont val="PMingLiu"/>
          </rPr>
          <t>10/22確認入帳可出報告
	-YUNLIN TIEN</t>
        </r>
      </text>
    </comment>
    <comment ref="C1058" authorId="0">
      <text>
        <r>
          <rPr>
            <sz val="12"/>
            <color rgb="FF000000"/>
            <rFont val="PMingLiu"/>
          </rPr>
          <t>10/22確認入帳可出報告
	-YUNLIN TIEN</t>
        </r>
      </text>
    </comment>
    <comment ref="C1059" authorId="0">
      <text>
        <r>
          <rPr>
            <sz val="12"/>
            <color rgb="FF000000"/>
            <rFont val="PMingLiu"/>
          </rPr>
          <t>10/22確認入帳可出報告
	-YUNLIN TIEN</t>
        </r>
      </text>
    </comment>
    <comment ref="C1062" authorId="0">
      <text>
        <r>
          <rPr>
            <sz val="12"/>
            <color rgb="FF000000"/>
            <rFont val="PMingLiu"/>
          </rPr>
          <t>10/22確認入帳可出報告
	-YUNLIN TIEN</t>
        </r>
      </text>
    </comment>
    <comment ref="C1063" authorId="0">
      <text>
        <r>
          <rPr>
            <sz val="12"/>
            <color rgb="FF000000"/>
            <rFont val="PMingLiu"/>
          </rPr>
          <t>10/22確認入帳可出報告
	-YUNLIN TIEN</t>
        </r>
      </text>
    </comment>
    <comment ref="B1083" authorId="0">
      <text>
        <r>
          <rPr>
            <sz val="12"/>
            <color rgb="FF000000"/>
            <rFont val="PMingLiu"/>
          </rPr>
          <t>電子檔已品檢
	-YUNLIN TIEN</t>
        </r>
      </text>
    </comment>
    <comment ref="B1084" authorId="0">
      <text>
        <r>
          <rPr>
            <sz val="12"/>
            <color rgb="FF000000"/>
            <rFont val="PMingLiu"/>
          </rPr>
          <t>電子檔已品檢
	-YUNLIN TIEN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N1" authorId="0">
      <text>
        <r>
          <rPr>
            <sz val="12"/>
            <color rgb="FF000000"/>
            <rFont val="PMingLiu"/>
          </rPr>
          <t>項目名稱統一,同銷售名稱
TCI-1
TCI-2
R1動態基因科技 (癌症)
R1動態基因科技(心血管)
R1動態基因科技(肝病變)
R1動態基因科技(老化)
R1動態基因科技 (腦神經退化)
R1動態基因科技 (腦血管)
R1動態基因科技 (免疫)
	-YUNLIN TIEN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B25" authorId="0">
      <text>
        <r>
          <rPr>
            <sz val="12"/>
            <color rgb="FF000000"/>
            <rFont val="PMingLiu"/>
          </rPr>
          <t>陳佳琪(201704-20-1)
邱矞(201704-20-2)
孫欽蔚(201704-20-3)
吳浩(201704-20-4)
李智男-谷崧(201704-20-5)
謝雪秀-谷崧(201704-20-6)
饒春紅-谷崧(201704-20-7)
張孜旋-福展(201704-20-8)
劉智冬-福展(201704-20-9)
高敬堯-福展(201704-20-10)
林素惠-福展(201704-20-11)
陳明瑜(201704-28-12)
章文剛(201705-05-13)
徐瑞敏(201705-05-14)
羅兆琮(201705-05-15)
黃詩倫(201705-05-16)
張原嘉(201705-05-17)
張志強(201705-05-18)
李善瑜G2+BS(201705-25-19、20)</t>
        </r>
      </text>
    </comment>
    <comment ref="G58" authorId="0">
      <text>
        <r>
          <rPr>
            <sz val="12"/>
            <color rgb="FF000000"/>
            <rFont val="PMingLiu"/>
          </rPr>
          <t>Sharon.Chang:
釋法定(30-1)吉林
藍右杰(30-2)吉林
郝身幸(30-3)吉林
方立行(30-4)
潘向陽(30-5)
何國明(30-6)
姚洁(30-7)
吳斌(30-8)
陳向宏(30-9)
倪阿毛(30-10)
陳瑜(30-11)
陳彥妘(30-12)吉林
陳怡臻(30-13)吉林
劉士維(30-14)吉林
陳康(30-15)
郭書政(30-16)
待補*14</t>
        </r>
      </text>
    </comment>
  </commentList>
</comments>
</file>

<file path=xl/sharedStrings.xml><?xml version="1.0" encoding="utf-8"?>
<sst xmlns="http://schemas.openxmlformats.org/spreadsheetml/2006/main" count="18008" uniqueCount="5530">
  <si>
    <t>檢測名稱</t>
  </si>
  <si>
    <t>訂單編號</t>
  </si>
  <si>
    <t>報告書實驗室認訂</t>
  </si>
  <si>
    <t>料號</t>
  </si>
  <si>
    <t>品項</t>
  </si>
  <si>
    <t>檢測部出貨
請填日期</t>
  </si>
  <si>
    <t xml:space="preserve">業務出貨                          請填日期  </t>
  </si>
  <si>
    <t>類別</t>
  </si>
  <si>
    <t>G2</t>
  </si>
  <si>
    <t>來案人</t>
  </si>
  <si>
    <t>客服</t>
  </si>
  <si>
    <t>出貨日期</t>
  </si>
  <si>
    <t>D43GN001</t>
  </si>
  <si>
    <t>來案日期</t>
  </si>
  <si>
    <t>檢體報告 (10天)</t>
  </si>
  <si>
    <t>G2 全檢</t>
  </si>
  <si>
    <t>動態基因科技報告 (12 天)</t>
  </si>
  <si>
    <t>預計甲基化基因
報告 (14 天)</t>
  </si>
  <si>
    <t>會員編號</t>
  </si>
  <si>
    <t>顧客姓名</t>
  </si>
  <si>
    <t>檢測項目
(R1/B1)</t>
  </si>
  <si>
    <t>性別</t>
  </si>
  <si>
    <t>採檢人員</t>
  </si>
  <si>
    <t>實驗人員</t>
  </si>
  <si>
    <t>檢體編號</t>
  </si>
  <si>
    <t>採血時間</t>
  </si>
  <si>
    <t>分離血漿</t>
  </si>
  <si>
    <t>分離PBMC</t>
  </si>
  <si>
    <t>血漿送檢</t>
  </si>
  <si>
    <t>cfDNA萃取</t>
  </si>
  <si>
    <t>湊件上機</t>
  </si>
  <si>
    <t>AFP進度</t>
  </si>
  <si>
    <t>TCI報告</t>
  </si>
  <si>
    <t>醫療院所          (報告書抬頭)</t>
  </si>
  <si>
    <t>家屬關係</t>
  </si>
  <si>
    <t>預定寄出日</t>
  </si>
  <si>
    <t>會員編號
(系統匯出)</t>
  </si>
  <si>
    <t>範例</t>
  </si>
  <si>
    <t>檢測專案
(訂購表查詢)</t>
  </si>
  <si>
    <t>以前做過檢驗項目</t>
  </si>
  <si>
    <t>報告型式</t>
  </si>
  <si>
    <t>報告語言</t>
  </si>
  <si>
    <t>BS報告書DM需求   請打V</t>
  </si>
  <si>
    <t>異常</t>
  </si>
  <si>
    <t>備註</t>
  </si>
  <si>
    <t>PA000052</t>
  </si>
  <si>
    <t>EX: DP0008431752T</t>
  </si>
  <si>
    <t>2019/04/09</t>
  </si>
  <si>
    <r>
      <rPr>
        <sz val="12"/>
        <color rgb="FF000000"/>
        <rFont val="微軟正黑體"/>
      </rPr>
      <t>林詠翔</t>
    </r>
  </si>
  <si>
    <t>阿茲海默症(B1)</t>
  </si>
  <si>
    <t>Vivian</t>
  </si>
  <si>
    <t>男</t>
  </si>
  <si>
    <t>Verna</t>
  </si>
  <si>
    <t>Sophie</t>
  </si>
  <si>
    <t>訂單</t>
  </si>
  <si>
    <t>Lucas</t>
  </si>
  <si>
    <t>B1171225-01</t>
  </si>
  <si>
    <t>2019/04/01</t>
  </si>
  <si>
    <t>DP0114143416T</t>
  </si>
  <si>
    <t>V</t>
  </si>
  <si>
    <t>袁淑玲</t>
  </si>
  <si>
    <t>全檢-2</t>
  </si>
  <si>
    <t>女</t>
  </si>
  <si>
    <t>G2190401-01</t>
  </si>
  <si>
    <t>紙本</t>
  </si>
  <si>
    <t>公關</t>
  </si>
  <si>
    <t>PA000002</t>
  </si>
  <si>
    <t>Rebecca</t>
  </si>
  <si>
    <t xml:space="preserve">DP0017558747T </t>
  </si>
  <si>
    <t>蔡智誠</t>
  </si>
  <si>
    <t>R1七大平台</t>
  </si>
  <si>
    <t>R1190111-01</t>
  </si>
  <si>
    <t>Bei,Lillan</t>
  </si>
  <si>
    <t>張水玉</t>
  </si>
  <si>
    <t>R1190122-01</t>
  </si>
  <si>
    <t>sophie</t>
  </si>
  <si>
    <t>訂單-健康養身展(陳復華)</t>
  </si>
  <si>
    <t>謝承翃</t>
  </si>
  <si>
    <t>R1190211-01</t>
  </si>
  <si>
    <t>陳敬亭</t>
  </si>
  <si>
    <t>R1190211-02</t>
  </si>
  <si>
    <t xml:space="preserve"> FP0114159522T</t>
  </si>
  <si>
    <t xml:space="preserve">林小貞 </t>
  </si>
  <si>
    <t>傅珍珍</t>
  </si>
  <si>
    <t>G2190401-02</t>
  </si>
  <si>
    <t>R1190212-01</t>
  </si>
  <si>
    <t>DP0008431752T</t>
  </si>
  <si>
    <t>林詠翔</t>
  </si>
  <si>
    <t>R1190213-01</t>
  </si>
  <si>
    <t>李東維</t>
  </si>
  <si>
    <t>R1190213-02</t>
  </si>
  <si>
    <t>DP0015815923T</t>
  </si>
  <si>
    <t>王文昭</t>
  </si>
  <si>
    <t>R1190213-03</t>
  </si>
  <si>
    <t>許志邑</t>
  </si>
  <si>
    <t>R1190214-01</t>
  </si>
  <si>
    <t>DP0008426754T</t>
  </si>
  <si>
    <t>江政憲</t>
  </si>
  <si>
    <t>R1190214-02</t>
  </si>
  <si>
    <t xml:space="preserve"> FP0114166566T</t>
  </si>
  <si>
    <t>陳芷芸</t>
  </si>
  <si>
    <t>G2190401-03</t>
  </si>
  <si>
    <t>DP0051520371T</t>
  </si>
  <si>
    <t>林慧敏</t>
  </si>
  <si>
    <t>R1190215-01</t>
  </si>
  <si>
    <t>RD0005240990T</t>
  </si>
  <si>
    <t>王淑靜</t>
  </si>
  <si>
    <t>R1190218-01</t>
  </si>
  <si>
    <t>FP0114171775T</t>
  </si>
  <si>
    <t>許曉宜</t>
  </si>
  <si>
    <t>G2190401-04</t>
  </si>
  <si>
    <t>FP0114184470T</t>
  </si>
  <si>
    <t xml:space="preserve"> 黃靜</t>
  </si>
  <si>
    <t>G2190401-05</t>
  </si>
  <si>
    <t>DP0018380016T</t>
  </si>
  <si>
    <t>陳信良</t>
  </si>
  <si>
    <t>LiverMet早期肝癌篩檢</t>
  </si>
  <si>
    <t>Ray</t>
  </si>
  <si>
    <t>L190424-01</t>
  </si>
  <si>
    <t>FP0114199403T</t>
  </si>
  <si>
    <t>李吉川</t>
  </si>
  <si>
    <t>G2190401-06</t>
  </si>
  <si>
    <t>DP0000184824T</t>
  </si>
  <si>
    <t>吳瑞益</t>
  </si>
  <si>
    <t>L190424-02</t>
  </si>
  <si>
    <t>AB001214</t>
  </si>
  <si>
    <t>FP0114204516T</t>
  </si>
  <si>
    <t>陳曉芸</t>
  </si>
  <si>
    <t>G2190401-07</t>
  </si>
  <si>
    <t xml:space="preserve"> FP0114214472T</t>
  </si>
  <si>
    <t>劉廣祥</t>
  </si>
  <si>
    <t>G2190401-08</t>
  </si>
  <si>
    <t>2019/04/10</t>
  </si>
  <si>
    <t>DP0060919102T</t>
  </si>
  <si>
    <t>2019/04/02</t>
  </si>
  <si>
    <t>FP0114229339T</t>
  </si>
  <si>
    <t>黃詠橞</t>
  </si>
  <si>
    <t>徐若水</t>
  </si>
  <si>
    <t>G2190402-01</t>
  </si>
  <si>
    <t>L190425-03</t>
  </si>
  <si>
    <t>FP0114230733T</t>
  </si>
  <si>
    <t>DP0011327387T</t>
  </si>
  <si>
    <t>王東山</t>
  </si>
  <si>
    <t>粘富傑</t>
  </si>
  <si>
    <t>G2190402-02</t>
  </si>
  <si>
    <t>王隆昇(家人), 陳曉芸(家人)</t>
  </si>
  <si>
    <t>L190425-04</t>
  </si>
  <si>
    <t>AB001212</t>
  </si>
  <si>
    <t>2019/04/15</t>
  </si>
  <si>
    <t>FP0114242507T</t>
  </si>
  <si>
    <t>陳品恬</t>
  </si>
  <si>
    <t>Vincent</t>
  </si>
  <si>
    <t>G2190402-03</t>
  </si>
  <si>
    <t>傅曉美(家人)</t>
  </si>
  <si>
    <t>周曉駿</t>
  </si>
  <si>
    <t>L190425-05</t>
  </si>
  <si>
    <t xml:space="preserve"> FP0114253216T</t>
  </si>
  <si>
    <t>林雲婷</t>
  </si>
  <si>
    <t>G2190402-04</t>
  </si>
  <si>
    <t>陳秀真</t>
  </si>
  <si>
    <t>L190426-06</t>
  </si>
  <si>
    <t>FP0114260848T</t>
  </si>
  <si>
    <t>張同伊</t>
  </si>
  <si>
    <t>Lauren</t>
  </si>
  <si>
    <t>G2190402-05</t>
  </si>
  <si>
    <t>DP0051033097T</t>
  </si>
  <si>
    <t>陳康良</t>
  </si>
  <si>
    <t>張庭慈(家人), 張庭偉(家人)</t>
  </si>
  <si>
    <t>L190429-07</t>
  </si>
  <si>
    <t>DP0010949250T</t>
  </si>
  <si>
    <t>魯建宇</t>
  </si>
  <si>
    <t>L190430-08</t>
  </si>
  <si>
    <t>FP0114271719T</t>
  </si>
  <si>
    <t>李小聯</t>
  </si>
  <si>
    <t>G2190402-06</t>
  </si>
  <si>
    <t>特調專案</t>
  </si>
  <si>
    <t>FP0114289453T</t>
  </si>
  <si>
    <t>王隆昇</t>
  </si>
  <si>
    <t>G2190402-07</t>
  </si>
  <si>
    <t>王東山(家人), 陳曉芸(家人)</t>
  </si>
  <si>
    <t>FP0112586259T</t>
  </si>
  <si>
    <t>楊雯</t>
  </si>
  <si>
    <t>TCI-A10 (女)</t>
  </si>
  <si>
    <t>R1190502-01</t>
  </si>
  <si>
    <t>FP0114293885T</t>
  </si>
  <si>
    <t>程微</t>
  </si>
  <si>
    <t>G2190402-08</t>
  </si>
  <si>
    <t>Lillian</t>
  </si>
  <si>
    <t>Renee</t>
  </si>
  <si>
    <t>張云瑄</t>
  </si>
  <si>
    <t>R1190503-01</t>
  </si>
  <si>
    <t>FP0114303128T</t>
  </si>
  <si>
    <t>內部免出</t>
  </si>
  <si>
    <t>黃定鈞</t>
  </si>
  <si>
    <t>公關 (青春錠試驗)</t>
  </si>
  <si>
    <t>G2190402-09</t>
  </si>
  <si>
    <t>黃嘉豪(家人), 白雅云(家人)</t>
  </si>
  <si>
    <t>TCI-4</t>
  </si>
  <si>
    <t>R1190503-02</t>
  </si>
  <si>
    <t>AB001039</t>
  </si>
  <si>
    <t>FP0114310129T</t>
  </si>
  <si>
    <t>黃嘉豪</t>
  </si>
  <si>
    <t>G2190402-10</t>
  </si>
  <si>
    <t>黃定鈞(家人), 白雅云(家人)</t>
  </si>
  <si>
    <t>FP0114652038T</t>
  </si>
  <si>
    <t>曾悟明</t>
  </si>
  <si>
    <t>FP0114329500T</t>
  </si>
  <si>
    <t>白雅云</t>
  </si>
  <si>
    <t>L190506-09</t>
  </si>
  <si>
    <t>G2190402-11</t>
  </si>
  <si>
    <t>林世華</t>
  </si>
  <si>
    <t>HLA-B27</t>
  </si>
  <si>
    <t>FP0114331214T</t>
  </si>
  <si>
    <t>高載星</t>
  </si>
  <si>
    <t>G2190402-12</t>
  </si>
  <si>
    <t>高仁恩(家人), 張蓉(家人)</t>
  </si>
  <si>
    <t>CZ0000868076T</t>
  </si>
  <si>
    <t>林詠皓</t>
  </si>
  <si>
    <t>L190508-10</t>
  </si>
  <si>
    <t>FP0114349469T</t>
  </si>
  <si>
    <t>高仁恩</t>
  </si>
  <si>
    <t>G2190402-13</t>
  </si>
  <si>
    <t>高載星(家人), 張蓉(家人)</t>
  </si>
  <si>
    <t>DP0094931912T</t>
  </si>
  <si>
    <t>李政穎</t>
  </si>
  <si>
    <t>L190508-11</t>
  </si>
  <si>
    <t xml:space="preserve"> FP0114367402T</t>
  </si>
  <si>
    <t>張蓉</t>
  </si>
  <si>
    <t>G2190402-14</t>
  </si>
  <si>
    <t>高仁恩(家人), 高載星(家人)</t>
  </si>
  <si>
    <t>FP0079581516T</t>
  </si>
  <si>
    <t>王金良</t>
  </si>
  <si>
    <t>L190509-12</t>
  </si>
  <si>
    <t>藍淑慧</t>
  </si>
  <si>
    <t>FP0114386929T</t>
  </si>
  <si>
    <t xml:space="preserve"> 許匯廷</t>
  </si>
  <si>
    <t>R1190510-02</t>
  </si>
  <si>
    <t>G2190402-15</t>
  </si>
  <si>
    <t>R1190510-03</t>
  </si>
  <si>
    <t>FP0114409207T</t>
  </si>
  <si>
    <t>張妍希</t>
  </si>
  <si>
    <t>G2190402-16</t>
  </si>
  <si>
    <t>R1190510-04</t>
  </si>
  <si>
    <t>張嘉瑋(家人), 丘佳佳(家人)</t>
  </si>
  <si>
    <t>歐森正</t>
  </si>
  <si>
    <t>R1190510-05</t>
  </si>
  <si>
    <t>FP0114418588T</t>
  </si>
  <si>
    <t>丘佳佳</t>
  </si>
  <si>
    <t>G2190402-17</t>
  </si>
  <si>
    <t>TCI-1</t>
  </si>
  <si>
    <t>張嘉瑋(家人), 張妍希(家人)</t>
  </si>
  <si>
    <t>R1_肝,心血管,癌症</t>
  </si>
  <si>
    <t>R1190510-06</t>
  </si>
  <si>
    <t>FP0114421211T</t>
  </si>
  <si>
    <t>張嘉瑋</t>
  </si>
  <si>
    <t>DP0071963669T</t>
  </si>
  <si>
    <t>楊蕙霞</t>
  </si>
  <si>
    <t>G2190402-18</t>
  </si>
  <si>
    <t>R1190510-01</t>
  </si>
  <si>
    <t>邱佳佳(家人), 張妍希(家人)</t>
  </si>
  <si>
    <t>FP0114443237T</t>
  </si>
  <si>
    <t>MP0000800205T</t>
  </si>
  <si>
    <t>林芬英</t>
  </si>
  <si>
    <t>G2190402-19</t>
  </si>
  <si>
    <t>L190510-13</t>
  </si>
  <si>
    <t>DP0011411465T</t>
  </si>
  <si>
    <t>王月卿</t>
  </si>
  <si>
    <t>L190510-14</t>
  </si>
  <si>
    <t>FP0114462232T</t>
  </si>
  <si>
    <t>陳昱維</t>
  </si>
  <si>
    <t>G2190402-20</t>
  </si>
  <si>
    <t>陳復華(家人), 楊惠琴(家人), 陳宗伯(家人)</t>
  </si>
  <si>
    <t>L190515-15</t>
  </si>
  <si>
    <t>FP0114493224T</t>
  </si>
  <si>
    <t>梁偉</t>
  </si>
  <si>
    <t>G2190402-21</t>
  </si>
  <si>
    <t>DP0117727248T</t>
  </si>
  <si>
    <t>L190524-16</t>
  </si>
  <si>
    <t xml:space="preserve"> FP0114502149T</t>
  </si>
  <si>
    <t>謝婀玲</t>
  </si>
  <si>
    <t>G2190402-22</t>
  </si>
  <si>
    <t>吳佩蓉</t>
  </si>
  <si>
    <t>L190524-17</t>
  </si>
  <si>
    <t>內部未測</t>
  </si>
  <si>
    <t>FP0114527121T</t>
  </si>
  <si>
    <t>成若曼</t>
  </si>
  <si>
    <t>G2190402-23</t>
  </si>
  <si>
    <t>FP0114542546T</t>
  </si>
  <si>
    <t>鄭自在</t>
  </si>
  <si>
    <t>G2190402-24</t>
  </si>
  <si>
    <t>周義泰</t>
  </si>
  <si>
    <t>L190524-18</t>
  </si>
  <si>
    <t>AB001231</t>
  </si>
  <si>
    <t>FP0114575434T</t>
  </si>
  <si>
    <t>傅曉美</t>
  </si>
  <si>
    <t>G2190402-25</t>
  </si>
  <si>
    <t>陳品恬(家人)</t>
  </si>
  <si>
    <t>DP0107679226T</t>
  </si>
  <si>
    <t>林素菁</t>
  </si>
  <si>
    <t>FP0114582201T</t>
  </si>
  <si>
    <t>L190527-19</t>
  </si>
  <si>
    <t>趙曉涵</t>
  </si>
  <si>
    <t>G2190402-26</t>
  </si>
  <si>
    <t>DP0056502229T</t>
  </si>
  <si>
    <t>邱國欽</t>
  </si>
  <si>
    <t>L190528-20</t>
  </si>
  <si>
    <t>5:00下午</t>
  </si>
  <si>
    <t>FP0114612389T</t>
  </si>
  <si>
    <t>陳宗伯</t>
  </si>
  <si>
    <t>G2190402-27</t>
  </si>
  <si>
    <t>陳復華(家人), 楊惠琴(家人), 陳昱維(家人)</t>
  </si>
  <si>
    <t>DP0117717740T</t>
  </si>
  <si>
    <t>L190528-21</t>
  </si>
  <si>
    <t>陳巧婷</t>
  </si>
  <si>
    <t>L190528-22</t>
  </si>
  <si>
    <t>FP0114639592T</t>
  </si>
  <si>
    <t>張郁</t>
  </si>
  <si>
    <t>G2190402-28</t>
  </si>
  <si>
    <t>謝瑀心</t>
  </si>
  <si>
    <t>L190529-23</t>
  </si>
  <si>
    <t>2019/04/03</t>
  </si>
  <si>
    <t>黃信瑋</t>
  </si>
  <si>
    <t>FP0114351758T</t>
  </si>
  <si>
    <t>郭月明</t>
  </si>
  <si>
    <t>L190529-24</t>
  </si>
  <si>
    <t>G2190403-01</t>
  </si>
  <si>
    <t>不聽報告</t>
  </si>
  <si>
    <t>楊恩加</t>
  </si>
  <si>
    <t>L190529-25</t>
  </si>
  <si>
    <t>AB001270</t>
  </si>
  <si>
    <t>FP0115002079T</t>
  </si>
  <si>
    <t>鄭于真</t>
  </si>
  <si>
    <t>FP0114370089T</t>
  </si>
  <si>
    <t>王海泉</t>
  </si>
  <si>
    <t>L190530-26</t>
  </si>
  <si>
    <t>G2190403-02</t>
  </si>
  <si>
    <t>AB001248</t>
  </si>
  <si>
    <t>DP0116609383T</t>
  </si>
  <si>
    <t>陳盈瑞</t>
  </si>
  <si>
    <t>L190605-27</t>
  </si>
  <si>
    <t>FP0114397982T</t>
  </si>
  <si>
    <t>李志峯</t>
  </si>
  <si>
    <t>G2190403-03</t>
  </si>
  <si>
    <t>DP0115285627T</t>
  </si>
  <si>
    <t>R1_肝,腦神經,抗衰老</t>
  </si>
  <si>
    <t>R1190605_01</t>
  </si>
  <si>
    <t>DP0110390885T</t>
  </si>
  <si>
    <t>TCI-1+TCI-6(癌篩)</t>
  </si>
  <si>
    <t>FP0114431125T</t>
  </si>
  <si>
    <t>楊育晴</t>
  </si>
  <si>
    <t>AB001312</t>
  </si>
  <si>
    <t>G2190403-04</t>
  </si>
  <si>
    <t>王玫蘭(家人)</t>
  </si>
  <si>
    <t>亞東</t>
  </si>
  <si>
    <t>DP0116809402T</t>
  </si>
  <si>
    <t>李凌華</t>
  </si>
  <si>
    <t>L190606-28</t>
  </si>
  <si>
    <t>3:00下午</t>
  </si>
  <si>
    <t>楊至正</t>
  </si>
  <si>
    <t>FP0114452231T</t>
  </si>
  <si>
    <t>王玫蘭</t>
  </si>
  <si>
    <t>L190612-29</t>
  </si>
  <si>
    <t>G2190403-05</t>
  </si>
  <si>
    <t>陳業皓</t>
  </si>
  <si>
    <t>L190612-30</t>
  </si>
  <si>
    <t>侯佳君</t>
  </si>
  <si>
    <t>Wilson</t>
  </si>
  <si>
    <t>L190612-31</t>
  </si>
  <si>
    <t>楊育晴(家人)</t>
  </si>
  <si>
    <t>盧恩平</t>
  </si>
  <si>
    <t>L190612-32</t>
  </si>
  <si>
    <t>蔡秋鴻</t>
  </si>
  <si>
    <t>R1190612_01</t>
  </si>
  <si>
    <t>AB001320</t>
  </si>
  <si>
    <t>FP0114475742T</t>
  </si>
  <si>
    <t>陳美樂</t>
  </si>
  <si>
    <t>G2190403-06</t>
  </si>
  <si>
    <t>張凱文、張小玉(家人)</t>
  </si>
  <si>
    <t>DP0118648527T</t>
  </si>
  <si>
    <t>林榮利</t>
  </si>
  <si>
    <t>L190613-33</t>
  </si>
  <si>
    <t>AB001321</t>
  </si>
  <si>
    <t>FP0114486073T</t>
  </si>
  <si>
    <t>張小玉</t>
  </si>
  <si>
    <t>G2190403-07</t>
  </si>
  <si>
    <t>張凱文、陳美樂(家人)</t>
  </si>
  <si>
    <t>馬俊平</t>
  </si>
  <si>
    <t>L190613-34</t>
  </si>
  <si>
    <t>L190614-35</t>
  </si>
  <si>
    <t>FP0114511214T</t>
  </si>
  <si>
    <t>張凱文</t>
  </si>
  <si>
    <t>G2190403-08</t>
  </si>
  <si>
    <t>R1_癌症,肝病變,免疫</t>
  </si>
  <si>
    <t>張小玉、陳美樂(家人)</t>
  </si>
  <si>
    <t>FP0114532663T</t>
  </si>
  <si>
    <t>李勝利</t>
  </si>
  <si>
    <t>G2190403-09</t>
  </si>
  <si>
    <t>TCI-1+癌篩(男)+NSE+甲狀腺+B肝+C肝</t>
  </si>
  <si>
    <t>AB001035</t>
  </si>
  <si>
    <t>FP0114551673T</t>
  </si>
  <si>
    <t>吳奚松</t>
  </si>
  <si>
    <t>G2190403-10</t>
  </si>
  <si>
    <t>陳宗正</t>
  </si>
  <si>
    <t>L190625-36</t>
  </si>
  <si>
    <t>AB001258</t>
  </si>
  <si>
    <t>DP0115981236T</t>
  </si>
  <si>
    <t>胡穗薑</t>
  </si>
  <si>
    <t>5:30下午</t>
  </si>
  <si>
    <t>FP0114566876T</t>
  </si>
  <si>
    <t>王明其</t>
  </si>
  <si>
    <t>G2190403-11</t>
  </si>
  <si>
    <t>R1190628_01</t>
  </si>
  <si>
    <t>TCI-1+癌篩(男)</t>
  </si>
  <si>
    <t>DP0116068213T</t>
  </si>
  <si>
    <t>R1_癌症,腦神經,心血管</t>
  </si>
  <si>
    <t>R1190628_02</t>
  </si>
  <si>
    <t>TCI-1+癌篩(女)</t>
  </si>
  <si>
    <t>DA000136</t>
  </si>
  <si>
    <t>FP0119636087T</t>
  </si>
  <si>
    <t>王柔方</t>
  </si>
  <si>
    <t>急慢性過敏源224項檢測 (基龍米克斯)</t>
  </si>
  <si>
    <t>AB001257</t>
  </si>
  <si>
    <t>DP0115837740T</t>
  </si>
  <si>
    <t>FP0114595140T</t>
  </si>
  <si>
    <t>黃一芳</t>
  </si>
  <si>
    <t>鄭南星</t>
  </si>
  <si>
    <t>G2190403-12</t>
  </si>
  <si>
    <t>AB001376</t>
  </si>
  <si>
    <t>FP0114603528T</t>
  </si>
  <si>
    <t>張小芬</t>
  </si>
  <si>
    <t>G2190403-13</t>
  </si>
  <si>
    <t>DP0119392637T</t>
  </si>
  <si>
    <t>林品翰</t>
  </si>
  <si>
    <t>Chelsea</t>
  </si>
  <si>
    <t>FP0114621206T</t>
  </si>
  <si>
    <t>L190713-37</t>
  </si>
  <si>
    <t>鍾樹</t>
  </si>
  <si>
    <t>G2190403-14</t>
  </si>
  <si>
    <t>AB001377</t>
  </si>
  <si>
    <t>DP0087223263T</t>
  </si>
  <si>
    <t>陳瓊茹</t>
  </si>
  <si>
    <t>L190715-38</t>
  </si>
  <si>
    <t>FP0114644508T</t>
  </si>
  <si>
    <t>張俊烈</t>
  </si>
  <si>
    <t>G2190403-15</t>
  </si>
  <si>
    <t>TCI-1+癌篩(男)+甲狀腺+B肝+C肝+RA factor</t>
  </si>
  <si>
    <t>G2190403-16</t>
  </si>
  <si>
    <t>林彥儒</t>
  </si>
  <si>
    <t>L190718-39</t>
  </si>
  <si>
    <t>待處理</t>
  </si>
  <si>
    <t>AB001393</t>
  </si>
  <si>
    <t>FP0114663120T</t>
  </si>
  <si>
    <t>陳一傑</t>
  </si>
  <si>
    <t>G2190403-17</t>
  </si>
  <si>
    <t>DP0118655571T</t>
  </si>
  <si>
    <t>謝富旭</t>
  </si>
  <si>
    <t>L190722-40</t>
  </si>
  <si>
    <t>AB001388</t>
  </si>
  <si>
    <t xml:space="preserve">DP0116303160T </t>
  </si>
  <si>
    <t>沈縈瑄</t>
  </si>
  <si>
    <t>TCI-2</t>
  </si>
  <si>
    <t>FP0114676704T</t>
  </si>
  <si>
    <t>簡又新</t>
  </si>
  <si>
    <t>G2190403-18</t>
  </si>
  <si>
    <t>AB001036</t>
  </si>
  <si>
    <t>R1_抗衰老,肝病變,腦</t>
  </si>
  <si>
    <t>FP0114685807T</t>
  </si>
  <si>
    <t>黃紫雲</t>
  </si>
  <si>
    <t>G2190403-19</t>
  </si>
  <si>
    <t>AB001474</t>
  </si>
  <si>
    <t>DP0098558567T</t>
  </si>
  <si>
    <t>陳羚嫻</t>
  </si>
  <si>
    <t>AB001453</t>
  </si>
  <si>
    <t>FP0114696328T</t>
  </si>
  <si>
    <t>李有慧</t>
  </si>
  <si>
    <t>FP0121521864T</t>
  </si>
  <si>
    <t>蔡清泉</t>
  </si>
  <si>
    <t>G2190403-20</t>
  </si>
  <si>
    <t>PA000199</t>
  </si>
  <si>
    <t>Sandra</t>
  </si>
  <si>
    <t>FP0122212515T</t>
  </si>
  <si>
    <t>劉學強</t>
  </si>
  <si>
    <t>R1_抗衰老</t>
  </si>
  <si>
    <t>FP0114703621T</t>
  </si>
  <si>
    <t>林一</t>
  </si>
  <si>
    <t>G2190403-21</t>
  </si>
  <si>
    <t>FP0122204997T</t>
  </si>
  <si>
    <t>SAT CHUI WAN</t>
  </si>
  <si>
    <t>AB001203</t>
  </si>
  <si>
    <t>FP0114710603T</t>
  </si>
  <si>
    <t>佛俞利思</t>
  </si>
  <si>
    <t>G2190403-22</t>
  </si>
  <si>
    <t>PA000299</t>
  </si>
  <si>
    <t>佛來得、呂海倫(家人)</t>
  </si>
  <si>
    <t>Bei</t>
  </si>
  <si>
    <t>FP0122800004T</t>
  </si>
  <si>
    <t>毛瑄庭</t>
  </si>
  <si>
    <t>FP0122810005T</t>
  </si>
  <si>
    <t>FP0114721115T</t>
  </si>
  <si>
    <t>黃麗珍</t>
  </si>
  <si>
    <t>佛來得</t>
  </si>
  <si>
    <t>G2190403-23</t>
  </si>
  <si>
    <t>佛俞利思、呂海倫(家人)</t>
  </si>
  <si>
    <t>FP0122820006T</t>
  </si>
  <si>
    <t>陳逸芬</t>
  </si>
  <si>
    <t>FP0114731218T</t>
  </si>
  <si>
    <t>林永鍾</t>
  </si>
  <si>
    <t>G2190403-24</t>
  </si>
  <si>
    <t>FP0122830007T</t>
  </si>
  <si>
    <t>游怡芬</t>
  </si>
  <si>
    <t>FP0122840008T</t>
  </si>
  <si>
    <t>蔡孟菁</t>
  </si>
  <si>
    <t>FP0114746117T</t>
  </si>
  <si>
    <t>戴阿禎</t>
  </si>
  <si>
    <t>G2190403-25</t>
  </si>
  <si>
    <t>PA000300</t>
  </si>
  <si>
    <t>FP0114750222T</t>
  </si>
  <si>
    <t>呂海倫</t>
  </si>
  <si>
    <t>G2190403-26</t>
  </si>
  <si>
    <t>佛來得、佛俞利思(家人)</t>
  </si>
  <si>
    <t>AB001053</t>
  </si>
  <si>
    <t>2019/04/12</t>
  </si>
  <si>
    <t>Andrew</t>
  </si>
  <si>
    <t>Holly</t>
  </si>
  <si>
    <t>訂單-醫療</t>
  </si>
  <si>
    <t>2019/04/08</t>
  </si>
  <si>
    <t>DP0114768054T</t>
  </si>
  <si>
    <t>羅陳美玲</t>
  </si>
  <si>
    <t>AB001491</t>
  </si>
  <si>
    <t>G2190408-01</t>
  </si>
  <si>
    <t>TCI-2+Fe,TIBC,Ferritin</t>
  </si>
  <si>
    <t>羅錦祥(家人)、呂芯螢(家人)、羅曉雯(家人)</t>
  </si>
  <si>
    <t>AA030803</t>
  </si>
  <si>
    <t>DP0114778795T</t>
  </si>
  <si>
    <t>羅錦祥</t>
  </si>
  <si>
    <t>G2190408-02</t>
  </si>
  <si>
    <t>羅陳美玲(家人)、呂芯螢(家人)、羅曉雯(家人)</t>
  </si>
  <si>
    <t>DP0114789983T</t>
  </si>
  <si>
    <t>羅曉雯</t>
  </si>
  <si>
    <t>G2190408-03</t>
  </si>
  <si>
    <t>羅陳美玲(家人)、呂芯螢(家人)、羅錦祥(家人)</t>
  </si>
  <si>
    <t>R1_癌症,肝病變,腦神經</t>
  </si>
  <si>
    <t>AB001316</t>
  </si>
  <si>
    <t>Webber</t>
  </si>
  <si>
    <t>DP0123391961T</t>
  </si>
  <si>
    <t>FP0114910123T</t>
  </si>
  <si>
    <t>來憶德</t>
  </si>
  <si>
    <t>呂芯螢</t>
  </si>
  <si>
    <t>R1_抗衰老,腦神經</t>
  </si>
  <si>
    <t>G2190408-04</t>
  </si>
  <si>
    <t>小孩剛滿一歲，還沒有領身分證…</t>
  </si>
  <si>
    <t>PA000171</t>
  </si>
  <si>
    <t>陳宗澤</t>
  </si>
  <si>
    <t>PA000310</t>
  </si>
  <si>
    <t>PA000007</t>
  </si>
  <si>
    <t>徐偉哲</t>
  </si>
  <si>
    <t>R1動態基因科技 (老化)</t>
  </si>
  <si>
    <t>員購</t>
  </si>
  <si>
    <t>AB001517</t>
  </si>
  <si>
    <t>DP0114791280T</t>
  </si>
  <si>
    <t>喬文婕</t>
  </si>
  <si>
    <t>G2190408-05</t>
  </si>
  <si>
    <t>公關-個人</t>
  </si>
  <si>
    <t xml:space="preserve"> DP0114806594T</t>
  </si>
  <si>
    <t>G2190408-06</t>
  </si>
  <si>
    <t>Jacky/Vincent</t>
  </si>
  <si>
    <t>TCI-6(男)</t>
  </si>
  <si>
    <t>訂單-亞東</t>
  </si>
  <si>
    <t>甲狀腺-T4</t>
  </si>
  <si>
    <t>DP0114817178T</t>
  </si>
  <si>
    <t>蘇亭文</t>
  </si>
  <si>
    <t>G2190408-07</t>
  </si>
  <si>
    <t>甲狀腺-T3</t>
  </si>
  <si>
    <t>甲狀腺-TSH</t>
  </si>
  <si>
    <t>甲狀腺-FT4</t>
  </si>
  <si>
    <t>甲狀腺-Free T3</t>
  </si>
  <si>
    <t xml:space="preserve"> DP0114823397T(尚無訂單紀錄)</t>
  </si>
  <si>
    <t>肝膽功能檢查-Albumin</t>
  </si>
  <si>
    <t>劉素琴</t>
  </si>
  <si>
    <t>快篩系列-粉紅-2</t>
  </si>
  <si>
    <t>肝膽功能檢查- T-Bilirubin</t>
  </si>
  <si>
    <t>肝膽功能檢查-SGOT</t>
  </si>
  <si>
    <t>P190408-08</t>
  </si>
  <si>
    <t>肝膽功能檢查-SGPT</t>
  </si>
  <si>
    <t>肝膽功能檢查-Alk-p</t>
  </si>
  <si>
    <t>訂單-亞東(贈品)</t>
  </si>
  <si>
    <t>肝膽功能檢查-γ-GT</t>
  </si>
  <si>
    <t>DP0114838995T</t>
  </si>
  <si>
    <t>劉二榛</t>
  </si>
  <si>
    <t>P190408-09</t>
  </si>
  <si>
    <t>類風濕性關節炎-RA factor</t>
  </si>
  <si>
    <t xml:space="preserve"> DP0114906307T</t>
  </si>
  <si>
    <t>柳林慧爽</t>
  </si>
  <si>
    <t>OMG-2</t>
  </si>
  <si>
    <t>OMG190408-10</t>
  </si>
  <si>
    <t>AA001303</t>
  </si>
  <si>
    <t>DP0114840679T</t>
  </si>
  <si>
    <t>蘇筱雯</t>
  </si>
  <si>
    <t>AB001527</t>
  </si>
  <si>
    <t>OMG190408-11</t>
  </si>
  <si>
    <t>訂單-養身展</t>
  </si>
  <si>
    <t>FP0106080107T</t>
  </si>
  <si>
    <t>蔣柳霞</t>
  </si>
  <si>
    <t>OB檢測服務-0</t>
  </si>
  <si>
    <t>DP0123860030T</t>
  </si>
  <si>
    <t>李冠瑩</t>
  </si>
  <si>
    <t>B1 (癌症)</t>
  </si>
  <si>
    <t>OB190408-12</t>
  </si>
  <si>
    <t>做過G2181112-02, BS190318-01</t>
  </si>
  <si>
    <t>AB001619</t>
  </si>
  <si>
    <t>DP0123210343T</t>
  </si>
  <si>
    <t>柯玉耘</t>
  </si>
  <si>
    <t>B1 (阿茲海默蛋白檢測)</t>
  </si>
  <si>
    <t>AB001620</t>
  </si>
  <si>
    <t>FP0112810843T</t>
  </si>
  <si>
    <t>楊惠琴</t>
  </si>
  <si>
    <t>BS檢測服務-0</t>
  </si>
  <si>
    <t>DP0123208257T</t>
  </si>
  <si>
    <t>柯智元</t>
  </si>
  <si>
    <t>I04急慢性過敏源224項檢測(基龍米克斯)</t>
  </si>
  <si>
    <t>BS190408-13</t>
  </si>
  <si>
    <t>做過G2190318-03</t>
  </si>
  <si>
    <t>AA031113</t>
  </si>
  <si>
    <t>FP0112536458T</t>
  </si>
  <si>
    <t>王樂安</t>
  </si>
  <si>
    <t>五行-0</t>
  </si>
  <si>
    <t>R1動態基因科技(肝病變)</t>
  </si>
  <si>
    <t>R1動態基因科技 (腦神經退化)</t>
  </si>
  <si>
    <t>FP190408-14</t>
  </si>
  <si>
    <t>AB001558</t>
  </si>
  <si>
    <t>做過G21903014-02
LH190314-03</t>
  </si>
  <si>
    <t>訂單-角聲</t>
  </si>
  <si>
    <t>DP0114894040T</t>
  </si>
  <si>
    <t>謝麗珠</t>
  </si>
  <si>
    <t>G2190409-01</t>
  </si>
  <si>
    <t xml:space="preserve"> DP0114863234T</t>
  </si>
  <si>
    <t>陳登楓</t>
  </si>
  <si>
    <t>G2190409-02</t>
  </si>
  <si>
    <t>訂單-保險</t>
  </si>
  <si>
    <t xml:space="preserve"> DP0114877129T</t>
  </si>
  <si>
    <t>王明珠</t>
  </si>
  <si>
    <t>AD快篩-2</t>
  </si>
  <si>
    <t>AD190409-03</t>
  </si>
  <si>
    <t>Jade</t>
  </si>
  <si>
    <t>DP0114881491T</t>
  </si>
  <si>
    <t>劉礎皓</t>
  </si>
  <si>
    <t>AD190409-04</t>
  </si>
  <si>
    <t>肺癌肝癌-0</t>
  </si>
  <si>
    <t>LH190409-05</t>
  </si>
  <si>
    <t>Wilson/Nancy</t>
  </si>
  <si>
    <t>訂單-企業(艾米瑞可國際)</t>
  </si>
  <si>
    <t>DP0113181346T</t>
  </si>
  <si>
    <t>陳珮欣</t>
  </si>
  <si>
    <t>BS190409-06</t>
  </si>
  <si>
    <t>做過G2190319-03</t>
  </si>
  <si>
    <t>2019/04/16</t>
  </si>
  <si>
    <t>DP0114926367T</t>
  </si>
  <si>
    <t>謝忠勳</t>
  </si>
  <si>
    <t>G2190410-01</t>
  </si>
  <si>
    <t>謝旻樺(家人)</t>
  </si>
  <si>
    <t>DP0114939950T</t>
  </si>
  <si>
    <t>謝旻樺</t>
  </si>
  <si>
    <t>G2190410-02</t>
  </si>
  <si>
    <t>謝忠勳(家人)</t>
  </si>
  <si>
    <t>AB001060</t>
  </si>
  <si>
    <t>Danny</t>
  </si>
  <si>
    <t xml:space="preserve"> DP0114947891T</t>
  </si>
  <si>
    <t>潘維君</t>
  </si>
  <si>
    <t>G2190410-03</t>
  </si>
  <si>
    <t>DP0114952771T</t>
  </si>
  <si>
    <t>張寧</t>
  </si>
  <si>
    <t>G2190410-04</t>
  </si>
  <si>
    <t>AB001055</t>
  </si>
  <si>
    <t>2019/04/17</t>
  </si>
  <si>
    <t>2019/04/11</t>
  </si>
  <si>
    <t>DP0114967262T</t>
  </si>
  <si>
    <t>顏青慧</t>
  </si>
  <si>
    <t>G2190411-01</t>
  </si>
  <si>
    <t>AB001014</t>
  </si>
  <si>
    <t>Bei,Sophie</t>
  </si>
  <si>
    <t>FP0114975321T</t>
  </si>
  <si>
    <t>張庭慈</t>
  </si>
  <si>
    <t>G2190411-02</t>
  </si>
  <si>
    <t>FP0114989041T</t>
  </si>
  <si>
    <t>張庭瑋</t>
  </si>
  <si>
    <t>G2190411-03</t>
  </si>
  <si>
    <t>FP0114994517T</t>
  </si>
  <si>
    <t>張益順</t>
  </si>
  <si>
    <t>G2190411-04</t>
  </si>
  <si>
    <t>G2190411-05</t>
  </si>
  <si>
    <t>FP0115010688T</t>
  </si>
  <si>
    <t>MIGO</t>
  </si>
  <si>
    <t>G2190411-06</t>
  </si>
  <si>
    <t>FP0115026902T</t>
  </si>
  <si>
    <t>鄭駿</t>
  </si>
  <si>
    <t>G2190411-07</t>
  </si>
  <si>
    <t>查不到</t>
  </si>
  <si>
    <t>訂單-舊客回購</t>
  </si>
  <si>
    <t>FP0115031429T</t>
  </si>
  <si>
    <t>崔強</t>
  </si>
  <si>
    <t>BS190411-08</t>
  </si>
  <si>
    <t>AA000966</t>
  </si>
  <si>
    <t>2019/04/18</t>
  </si>
  <si>
    <t>DP0115049682T</t>
  </si>
  <si>
    <t>許佳惠</t>
  </si>
  <si>
    <t>G2190412-01</t>
  </si>
  <si>
    <t>DP0115057471T</t>
  </si>
  <si>
    <t>張雅嫃</t>
  </si>
  <si>
    <t>G2190412-02</t>
  </si>
  <si>
    <t>DP0115068049T</t>
  </si>
  <si>
    <t>鄭榆瀞</t>
  </si>
  <si>
    <t>G2190412-03</t>
  </si>
  <si>
    <t>DP0115077714T</t>
  </si>
  <si>
    <t>羅信忠</t>
  </si>
  <si>
    <t>G2190412-04</t>
  </si>
  <si>
    <t>DP0115083909T</t>
  </si>
  <si>
    <t>林婉葳</t>
  </si>
  <si>
    <t>G2190412-05</t>
  </si>
  <si>
    <t>AB001131</t>
  </si>
  <si>
    <t>Caridee, sophie</t>
  </si>
  <si>
    <t>DP0115096346T</t>
  </si>
  <si>
    <t>邵啟鳳</t>
  </si>
  <si>
    <t>G2190412-06</t>
  </si>
  <si>
    <t>AB001130</t>
  </si>
  <si>
    <t>DP0115104888T</t>
  </si>
  <si>
    <t>吳鈺芳</t>
  </si>
  <si>
    <t>G2190412-07</t>
  </si>
  <si>
    <t>AB001127</t>
  </si>
  <si>
    <t>DP0115120659T</t>
  </si>
  <si>
    <t>謝育村</t>
  </si>
  <si>
    <t>G2190412-08</t>
  </si>
  <si>
    <t>PA000029</t>
  </si>
  <si>
    <t>公關-保險</t>
  </si>
  <si>
    <t>DP0115119512T</t>
  </si>
  <si>
    <t>林佩宜</t>
  </si>
  <si>
    <t>AD190412-09</t>
  </si>
  <si>
    <t>AB001120</t>
  </si>
  <si>
    <t>FP0106075786T</t>
  </si>
  <si>
    <t>高雅婷</t>
  </si>
  <si>
    <t>BS190412-10</t>
  </si>
  <si>
    <t>FP0110895255T</t>
  </si>
  <si>
    <t>李燕雯</t>
  </si>
  <si>
    <t>BS190412-11</t>
  </si>
  <si>
    <t>2019/04/19</t>
  </si>
  <si>
    <t>DP0115133066T</t>
  </si>
  <si>
    <t>梁瑋莉</t>
  </si>
  <si>
    <t>G2190415-01</t>
  </si>
  <si>
    <t>DP0115144589T</t>
  </si>
  <si>
    <t>梁祐榕</t>
  </si>
  <si>
    <t>G2190415-02</t>
  </si>
  <si>
    <t>DP0115150206T</t>
  </si>
  <si>
    <t>梁明雄</t>
  </si>
  <si>
    <t>G2190415-03</t>
  </si>
  <si>
    <t>DP0115169791T</t>
  </si>
  <si>
    <t>梁淑芬</t>
  </si>
  <si>
    <t>G2190415-04</t>
  </si>
  <si>
    <t>DP0115179044T</t>
  </si>
  <si>
    <t>梁筑涵</t>
  </si>
  <si>
    <t>G2190415-05</t>
  </si>
  <si>
    <t>2019/04/18(急件)</t>
  </si>
  <si>
    <t>DP0115189947T</t>
  </si>
  <si>
    <t>梁淑惠</t>
  </si>
  <si>
    <t>G2190415-06</t>
  </si>
  <si>
    <t>DP0115199938T</t>
  </si>
  <si>
    <t>梁淑卿</t>
  </si>
  <si>
    <t>G2190415-07</t>
  </si>
  <si>
    <t>AB001070</t>
  </si>
  <si>
    <t>DP0115225968T</t>
  </si>
  <si>
    <t>黃建智</t>
  </si>
  <si>
    <t>G2190415-08</t>
  </si>
  <si>
    <t>AB001056</t>
  </si>
  <si>
    <t>DP0115205483T</t>
  </si>
  <si>
    <t>林顯書</t>
  </si>
  <si>
    <t>G2190415-09</t>
  </si>
  <si>
    <t>DP0115239557T</t>
  </si>
  <si>
    <t>鄭渝潔</t>
  </si>
  <si>
    <t>G2190415-10</t>
  </si>
  <si>
    <t>PA000041</t>
  </si>
  <si>
    <t>DP0115217353T</t>
  </si>
  <si>
    <t>林圻曄</t>
  </si>
  <si>
    <t>AD190415-11</t>
  </si>
  <si>
    <t>2019/04/23</t>
  </si>
  <si>
    <t>DP0115240630T</t>
  </si>
  <si>
    <t>吳承洲</t>
  </si>
  <si>
    <t>G2190417-01</t>
  </si>
  <si>
    <t>AB001106</t>
  </si>
  <si>
    <t>DP0115263165T</t>
  </si>
  <si>
    <t>陳立弦</t>
  </si>
  <si>
    <t>G2190417-02</t>
  </si>
  <si>
    <t>Jack</t>
  </si>
  <si>
    <t>公關-大江生醫</t>
  </si>
  <si>
    <t>DP0115259497T</t>
  </si>
  <si>
    <t>潘志恆</t>
  </si>
  <si>
    <t>G2190417-03</t>
  </si>
  <si>
    <t>AB001057</t>
  </si>
  <si>
    <t>Webber, Vincent</t>
  </si>
  <si>
    <t>2019/04/24</t>
  </si>
  <si>
    <t>DP0115276196T</t>
  </si>
  <si>
    <t>楊俊泓</t>
  </si>
  <si>
    <t>G2190418-01</t>
  </si>
  <si>
    <t>AB001064</t>
  </si>
  <si>
    <t>G2190418-02</t>
  </si>
  <si>
    <t>PA000061</t>
  </si>
  <si>
    <t>公關-醫療</t>
  </si>
  <si>
    <t>DP0115298414T</t>
  </si>
  <si>
    <t>張雪虹</t>
  </si>
  <si>
    <t>G2190418-03</t>
  </si>
  <si>
    <t>Jae</t>
  </si>
  <si>
    <t>訂單-天資</t>
  </si>
  <si>
    <t>FP011530801AT</t>
  </si>
  <si>
    <t>陳榮生</t>
  </si>
  <si>
    <t>G2190418-04</t>
  </si>
  <si>
    <t>FP011531836OT</t>
  </si>
  <si>
    <t>Pang Hop Kwai</t>
  </si>
  <si>
    <t>G2190418-05</t>
  </si>
  <si>
    <t>AB001146</t>
  </si>
  <si>
    <t>2019/4/26</t>
  </si>
  <si>
    <t>訂單-企業</t>
  </si>
  <si>
    <t>2019/04/25</t>
  </si>
  <si>
    <t>DP0115329123T</t>
  </si>
  <si>
    <t>黎書綿</t>
  </si>
  <si>
    <t>G2190419-01</t>
  </si>
  <si>
    <t>AB001147</t>
  </si>
  <si>
    <t>DP0115337617T</t>
  </si>
  <si>
    <t>陳玉芬</t>
  </si>
  <si>
    <t>G2190419-02</t>
  </si>
  <si>
    <t>DP0115346929T</t>
  </si>
  <si>
    <t>梁雅萍</t>
  </si>
  <si>
    <t>G2190419-03</t>
  </si>
  <si>
    <t>DP0115358225T</t>
  </si>
  <si>
    <t>葛栯安</t>
  </si>
  <si>
    <t>G2190419-04</t>
  </si>
  <si>
    <t>DP0115368052T</t>
  </si>
  <si>
    <t>葛哲瑞</t>
  </si>
  <si>
    <t>G2190419-05</t>
  </si>
  <si>
    <t>DP0115371272T</t>
  </si>
  <si>
    <t>葛乃斌</t>
  </si>
  <si>
    <t>G2190419-06</t>
  </si>
  <si>
    <t>DP0115380918T</t>
  </si>
  <si>
    <t>梁明照</t>
  </si>
  <si>
    <t>G2190419-07</t>
  </si>
  <si>
    <t>AB001061</t>
  </si>
  <si>
    <t>DP0115393263T</t>
  </si>
  <si>
    <t>蔣明曉</t>
  </si>
  <si>
    <t>G2190419-08</t>
  </si>
  <si>
    <t>AB001065</t>
  </si>
  <si>
    <t>DP0115407244T</t>
  </si>
  <si>
    <t>柯珮瑩</t>
  </si>
  <si>
    <t>G2190419-09</t>
  </si>
  <si>
    <t>AB001066</t>
  </si>
  <si>
    <t>DP0115410255T</t>
  </si>
  <si>
    <t>林美寶</t>
  </si>
  <si>
    <t>G2190419-10</t>
  </si>
  <si>
    <t>AB001145</t>
  </si>
  <si>
    <t>訂單-福爾摩沙</t>
  </si>
  <si>
    <t>DP0115428698T</t>
  </si>
  <si>
    <t>林天和</t>
  </si>
  <si>
    <t>G2190419-11</t>
  </si>
  <si>
    <t>DP0115430591T</t>
  </si>
  <si>
    <t>林芳品</t>
  </si>
  <si>
    <t>G2190419-12</t>
  </si>
  <si>
    <t>DP0115448521T</t>
  </si>
  <si>
    <t>林恩至</t>
  </si>
  <si>
    <t>G2190419-13</t>
  </si>
  <si>
    <t>DP0115456256T</t>
  </si>
  <si>
    <t>陳映秀</t>
  </si>
  <si>
    <t>G2190419-14</t>
  </si>
  <si>
    <t>DP0115464403T</t>
  </si>
  <si>
    <t>張月鳳</t>
  </si>
  <si>
    <t>G2190419-15</t>
  </si>
  <si>
    <t>DP0115475114T</t>
  </si>
  <si>
    <t>蘇秀雲</t>
  </si>
  <si>
    <t>G2190419-16</t>
  </si>
  <si>
    <t>DP0115482847T</t>
  </si>
  <si>
    <t>林雲菊</t>
  </si>
  <si>
    <t>G2190419-17</t>
  </si>
  <si>
    <t>DP0115492751T</t>
  </si>
  <si>
    <t>蔡明典</t>
  </si>
  <si>
    <t>G2190419-18</t>
  </si>
  <si>
    <t>DP0115502406T</t>
  </si>
  <si>
    <t>林亭汝</t>
  </si>
  <si>
    <t>G2190419-19</t>
  </si>
  <si>
    <t>DP0115513747T</t>
  </si>
  <si>
    <t>林京燕</t>
  </si>
  <si>
    <t>G2190419-20</t>
  </si>
  <si>
    <t>DP0115521576T</t>
  </si>
  <si>
    <t>廖仁豐</t>
  </si>
  <si>
    <t>G2190419-21</t>
  </si>
  <si>
    <t>DP0115533901T</t>
  </si>
  <si>
    <t>臧婉喬</t>
  </si>
  <si>
    <t>G2190419-22</t>
  </si>
  <si>
    <t>DP0115547489T</t>
  </si>
  <si>
    <t>蔡瓊珠</t>
  </si>
  <si>
    <t>G2190419-23</t>
  </si>
  <si>
    <t>DP0115558373T</t>
  </si>
  <si>
    <t>沈均倩</t>
  </si>
  <si>
    <t>G2190419-24</t>
  </si>
  <si>
    <t>DP0115567385T</t>
  </si>
  <si>
    <t>黃柏銘</t>
  </si>
  <si>
    <t>G2190419-25</t>
  </si>
  <si>
    <t>DP0115573891T</t>
  </si>
  <si>
    <t xml:space="preserve">黃郁絜 </t>
  </si>
  <si>
    <t>G2190419-26</t>
  </si>
  <si>
    <t>DP0115588857T</t>
  </si>
  <si>
    <t>吳惠蓮</t>
  </si>
  <si>
    <t>G2190419-27</t>
  </si>
  <si>
    <t>DP0115590509T</t>
  </si>
  <si>
    <t>陳秀慧</t>
  </si>
  <si>
    <t>G2190419-28</t>
  </si>
  <si>
    <t>DP0115605842T</t>
  </si>
  <si>
    <t>賴玥潔</t>
  </si>
  <si>
    <t>G2190419-29</t>
  </si>
  <si>
    <t>DP0115616818T</t>
  </si>
  <si>
    <t>陳淑真</t>
  </si>
  <si>
    <t>G2190419-30</t>
  </si>
  <si>
    <t>DP0115626105T</t>
  </si>
  <si>
    <t>張儀鋒</t>
  </si>
  <si>
    <t>G2190419-31</t>
  </si>
  <si>
    <t>DP0115633620T</t>
  </si>
  <si>
    <t>楊美惠</t>
  </si>
  <si>
    <t>G2190419-32</t>
  </si>
  <si>
    <t>DP0115645658T</t>
  </si>
  <si>
    <t>廖庭萱</t>
  </si>
  <si>
    <t>G2190419-33</t>
  </si>
  <si>
    <t>DP0115651407T</t>
  </si>
  <si>
    <t>廖芷儀</t>
  </si>
  <si>
    <t>G2190419-34</t>
  </si>
  <si>
    <t>PA000042</t>
  </si>
  <si>
    <t>公關-企業</t>
  </si>
  <si>
    <t>FP0115660992T</t>
  </si>
  <si>
    <t>陳慧霙</t>
  </si>
  <si>
    <t>AD190419-35</t>
  </si>
  <si>
    <t>PA000023</t>
  </si>
  <si>
    <t>2019/04/22</t>
  </si>
  <si>
    <t>2019/04/26</t>
  </si>
  <si>
    <t>DP0115671119T</t>
  </si>
  <si>
    <t>溫秀暇</t>
  </si>
  <si>
    <t>G2190422-01</t>
  </si>
  <si>
    <t>AB001067</t>
  </si>
  <si>
    <t>2019/04/29</t>
  </si>
  <si>
    <t>DP0115683060T</t>
  </si>
  <si>
    <t>鄭寶猜</t>
  </si>
  <si>
    <t>G2190423-01</t>
  </si>
  <si>
    <t>AB001026</t>
  </si>
  <si>
    <t>訂單-股東</t>
  </si>
  <si>
    <t>DP0115691310T</t>
  </si>
  <si>
    <t>曾語涵</t>
  </si>
  <si>
    <t>G2190423-02</t>
  </si>
  <si>
    <t>PA000017</t>
  </si>
  <si>
    <t>公關件</t>
  </si>
  <si>
    <t>DP0115700802T</t>
  </si>
  <si>
    <t>林明睿</t>
  </si>
  <si>
    <t>G2190423-03</t>
  </si>
  <si>
    <t>PA000016</t>
  </si>
  <si>
    <t>DP0115713901T</t>
  </si>
  <si>
    <t>楊芬芳</t>
  </si>
  <si>
    <t>全檢-2+BS檢測服務-0</t>
  </si>
  <si>
    <t>HB190423-04</t>
  </si>
  <si>
    <t>PA000063</t>
  </si>
  <si>
    <t>2019/04/30</t>
  </si>
  <si>
    <t>訂單-股東升級</t>
  </si>
  <si>
    <t>DP0115724663T</t>
  </si>
  <si>
    <t>許利昌</t>
  </si>
  <si>
    <t>OB檢測服務-2</t>
  </si>
  <si>
    <t>OB190424-01</t>
  </si>
  <si>
    <t>10702-0034</t>
  </si>
  <si>
    <t>2019/5/2</t>
  </si>
  <si>
    <t>FP011573737OT</t>
  </si>
  <si>
    <t>劉芷晴</t>
  </si>
  <si>
    <t>G2190425-01</t>
  </si>
  <si>
    <t>AB001071</t>
  </si>
  <si>
    <t>DP0115743645T</t>
  </si>
  <si>
    <t>封秋霞</t>
  </si>
  <si>
    <t>G2190425-02</t>
  </si>
  <si>
    <t>PA000044</t>
  </si>
  <si>
    <t>股東</t>
  </si>
  <si>
    <t>DP0093190887T</t>
  </si>
  <si>
    <t>李少妍</t>
  </si>
  <si>
    <t>OB190425-03</t>
  </si>
  <si>
    <t>DP0093189839T</t>
  </si>
  <si>
    <t>鄧娜</t>
  </si>
  <si>
    <t>OB190425-04</t>
  </si>
  <si>
    <t>PA000065</t>
  </si>
  <si>
    <t>DP0115756605T</t>
  </si>
  <si>
    <t>廖紫廷</t>
  </si>
  <si>
    <t>OB190425-05</t>
  </si>
  <si>
    <t>AB001068</t>
  </si>
  <si>
    <t>2019/05/03</t>
  </si>
  <si>
    <t>2019/5/3</t>
  </si>
  <si>
    <t>DP0115762245T</t>
  </si>
  <si>
    <t>朱錦文</t>
  </si>
  <si>
    <t>G2190426-01</t>
  </si>
  <si>
    <t>AB001069</t>
  </si>
  <si>
    <t>DP0115773652T</t>
  </si>
  <si>
    <t>邱盈米</t>
  </si>
  <si>
    <t>G2190426-02</t>
  </si>
  <si>
    <t>DP0115780694T</t>
  </si>
  <si>
    <t>廖慧鈞</t>
  </si>
  <si>
    <t>G2190426-03</t>
  </si>
  <si>
    <t>PA000066</t>
  </si>
  <si>
    <t>DP0115794714T</t>
  </si>
  <si>
    <t>王碧珠</t>
  </si>
  <si>
    <t>OB190426-04</t>
  </si>
  <si>
    <t>Caridee,Sophie</t>
  </si>
  <si>
    <t>DP0115806336T</t>
  </si>
  <si>
    <t>葉貴香</t>
  </si>
  <si>
    <t>AD190426-05</t>
  </si>
  <si>
    <t>PA000049</t>
  </si>
  <si>
    <t>2019/05/06</t>
  </si>
  <si>
    <t>2019/5/6</t>
  </si>
  <si>
    <t>DP0115819335T</t>
  </si>
  <si>
    <t>余振昌</t>
  </si>
  <si>
    <t>OB190429-01</t>
  </si>
  <si>
    <t>AB001201</t>
  </si>
  <si>
    <t>行銷</t>
  </si>
  <si>
    <t>DP0115828054T</t>
  </si>
  <si>
    <t>劉彥伯</t>
  </si>
  <si>
    <t>OB190429-02</t>
  </si>
  <si>
    <t>AB001202</t>
  </si>
  <si>
    <t>全檢-2 + OB檢測服務-0</t>
  </si>
  <si>
    <t>HO190429-03</t>
  </si>
  <si>
    <t>PA000033</t>
  </si>
  <si>
    <t>DP0115843110T</t>
  </si>
  <si>
    <t>羅亞惟</t>
  </si>
  <si>
    <t>HO190429-04</t>
  </si>
  <si>
    <t>DP0115853343T</t>
  </si>
  <si>
    <t>王詩萍</t>
  </si>
  <si>
    <t>G2190429-05</t>
  </si>
  <si>
    <t>2019/05/07</t>
  </si>
  <si>
    <t>Caridee</t>
  </si>
  <si>
    <t>2019/5/7</t>
  </si>
  <si>
    <t>DP0115861103T</t>
  </si>
  <si>
    <t>馮麗萍</t>
  </si>
  <si>
    <t>G2190430-01</t>
  </si>
  <si>
    <t>AB001204</t>
  </si>
  <si>
    <t>DP0115879286T</t>
  </si>
  <si>
    <t>周麗美</t>
  </si>
  <si>
    <t>G2190430-02</t>
  </si>
  <si>
    <t>DP0115880898T</t>
  </si>
  <si>
    <t>吳卿綿</t>
  </si>
  <si>
    <t>G2190430-03</t>
  </si>
  <si>
    <t>2019/05/08</t>
  </si>
  <si>
    <t>DP0115899755T</t>
  </si>
  <si>
    <t>黃慧敏</t>
  </si>
  <si>
    <t>G2190430-04</t>
  </si>
  <si>
    <t>DP0115900082T</t>
  </si>
  <si>
    <t>梅德生</t>
  </si>
  <si>
    <t>G2190430-05</t>
  </si>
  <si>
    <t>DP0115916795T</t>
  </si>
  <si>
    <t>林卿凰</t>
  </si>
  <si>
    <t>G2190430-06</t>
  </si>
  <si>
    <t>DP0115921581T</t>
  </si>
  <si>
    <t>李思賢</t>
  </si>
  <si>
    <t>G2190430-07</t>
  </si>
  <si>
    <t>DP0115932453T</t>
  </si>
  <si>
    <t>李亮霆</t>
  </si>
  <si>
    <t>G2190430-08</t>
  </si>
  <si>
    <t>DP0115949427T</t>
  </si>
  <si>
    <t>陳玉媛</t>
  </si>
  <si>
    <t>G2190430-09</t>
  </si>
  <si>
    <t>FP0115954869T</t>
  </si>
  <si>
    <t>林彥冶</t>
  </si>
  <si>
    <t>G2190430-10</t>
  </si>
  <si>
    <t>AB001028-2</t>
  </si>
  <si>
    <t>DP0115967008T</t>
  </si>
  <si>
    <t>李添益</t>
  </si>
  <si>
    <t>G2190430-11</t>
  </si>
  <si>
    <t>AB001072</t>
  </si>
  <si>
    <t>DP0115974608T</t>
  </si>
  <si>
    <t>許哲銘</t>
  </si>
  <si>
    <t>G2190430-12</t>
  </si>
  <si>
    <t>HO190430-13</t>
  </si>
  <si>
    <t>PA000045</t>
  </si>
  <si>
    <t>DP0115996568T</t>
  </si>
  <si>
    <t>羅筱雲</t>
  </si>
  <si>
    <t>OB190430-14</t>
  </si>
  <si>
    <t>DP0116005613T</t>
  </si>
  <si>
    <t>施陳來琴</t>
  </si>
  <si>
    <t>OB190430-15</t>
  </si>
  <si>
    <t>10705-0067</t>
  </si>
  <si>
    <t>訂單-威尼斯</t>
  </si>
  <si>
    <t>DP0116010680T</t>
  </si>
  <si>
    <t>陳琬其</t>
  </si>
  <si>
    <t>OB190430-16</t>
  </si>
  <si>
    <t>個資不完整</t>
  </si>
  <si>
    <t>DP0119122315T</t>
  </si>
  <si>
    <t>簡苙筑</t>
  </si>
  <si>
    <t>OB190430-17</t>
  </si>
  <si>
    <t>6/25補體重,報告待出</t>
  </si>
  <si>
    <t>DP0087884781T</t>
  </si>
  <si>
    <t>羅家蓁</t>
  </si>
  <si>
    <t>BS190430-18</t>
  </si>
  <si>
    <t>10604-0096</t>
  </si>
  <si>
    <t>2019/05/09</t>
  </si>
  <si>
    <t>2019/5/8</t>
  </si>
  <si>
    <t>DP0116023482T</t>
  </si>
  <si>
    <t>李明松</t>
  </si>
  <si>
    <t>G2190502-01</t>
  </si>
  <si>
    <t>DP0116032325T</t>
  </si>
  <si>
    <t>李育維</t>
  </si>
  <si>
    <t>G2190502-02</t>
  </si>
  <si>
    <t>AB001076-1</t>
  </si>
  <si>
    <t>DP0116103660T</t>
  </si>
  <si>
    <t>呂欣湉</t>
  </si>
  <si>
    <t>G2190502-03</t>
  </si>
  <si>
    <t>訂單-同陽牙醫</t>
  </si>
  <si>
    <t>DP0116041252T</t>
  </si>
  <si>
    <t>陳如珍</t>
  </si>
  <si>
    <t>G2190502-04</t>
  </si>
  <si>
    <t>DP0116055494T</t>
  </si>
  <si>
    <t>陳小玲</t>
  </si>
  <si>
    <t>G2190502-05</t>
  </si>
  <si>
    <t>AA001935(待補單)</t>
  </si>
  <si>
    <t>Peipei</t>
  </si>
  <si>
    <t>訂單 - 員購</t>
  </si>
  <si>
    <t>HB190502-06</t>
  </si>
  <si>
    <t>PA000068</t>
  </si>
  <si>
    <t>FP0116078664T</t>
  </si>
  <si>
    <t>李如鑠</t>
  </si>
  <si>
    <t>OB190502-07</t>
  </si>
  <si>
    <t>DP0116082904T</t>
  </si>
  <si>
    <t>林沛青</t>
  </si>
  <si>
    <t>OB190502-08</t>
  </si>
  <si>
    <t>DP0116096245T</t>
  </si>
  <si>
    <t>余淑鈴</t>
  </si>
  <si>
    <t>OB190502-09</t>
  </si>
  <si>
    <t>AA000316</t>
  </si>
  <si>
    <t>DP0116115167T</t>
  </si>
  <si>
    <t>詹靓文</t>
  </si>
  <si>
    <t>全檢-2+BS檢測服務-0 + OB檢測服務-2</t>
  </si>
  <si>
    <t>HBO190503-01</t>
  </si>
  <si>
    <t>AA000314</t>
  </si>
  <si>
    <t>DP0116123159T</t>
  </si>
  <si>
    <t>郭泰偉</t>
  </si>
  <si>
    <t>HBO190503-02</t>
  </si>
  <si>
    <t>2019/5/9</t>
  </si>
  <si>
    <t>DP0116135183T</t>
  </si>
  <si>
    <t>陳秋如</t>
  </si>
  <si>
    <t>G2190503-03</t>
  </si>
  <si>
    <t>PA000064</t>
  </si>
  <si>
    <t>DP0116149535T</t>
  </si>
  <si>
    <t>張紅梅</t>
  </si>
  <si>
    <t>G2190503-04</t>
  </si>
  <si>
    <t>AB001059</t>
  </si>
  <si>
    <t>DP0116158615T</t>
  </si>
  <si>
    <t>賴柏芬</t>
  </si>
  <si>
    <t>G2190503-05</t>
  </si>
  <si>
    <t>DP0116160362T</t>
  </si>
  <si>
    <t>廖于晴</t>
  </si>
  <si>
    <t>OB190503-06</t>
  </si>
  <si>
    <t>DP0116178975T</t>
  </si>
  <si>
    <t>蔡美雲</t>
  </si>
  <si>
    <t xml:space="preserve"> 粉紅</t>
  </si>
  <si>
    <t>P190503-07</t>
  </si>
  <si>
    <t>DP0116187751T</t>
  </si>
  <si>
    <t>陳泰雄</t>
  </si>
  <si>
    <t>AD190503-08</t>
  </si>
  <si>
    <t>AB001077-1</t>
  </si>
  <si>
    <t>2019/05/10</t>
  </si>
  <si>
    <t>DP0116197571T</t>
  </si>
  <si>
    <t>蔡旺錫</t>
  </si>
  <si>
    <t>G2190506-01</t>
  </si>
  <si>
    <t>AB001058</t>
  </si>
  <si>
    <t>DP0116206097T</t>
  </si>
  <si>
    <t>蕭雅月</t>
  </si>
  <si>
    <t>G2190506-02</t>
  </si>
  <si>
    <t>AB001133</t>
  </si>
  <si>
    <t>DP0116213341T</t>
  </si>
  <si>
    <t>林聖凱</t>
  </si>
  <si>
    <t>G2190506-03</t>
  </si>
  <si>
    <t>DP0116228720T</t>
  </si>
  <si>
    <t>楊荏捷</t>
  </si>
  <si>
    <t>G2190506-04</t>
  </si>
  <si>
    <t>DP0116239925T</t>
  </si>
  <si>
    <t>黃育亭</t>
  </si>
  <si>
    <t>G2190506-05</t>
  </si>
  <si>
    <t>DP0116241353T</t>
  </si>
  <si>
    <t>許麗萍</t>
  </si>
  <si>
    <t>G2190506-06</t>
  </si>
  <si>
    <t>10702-0016</t>
  </si>
  <si>
    <t>DP0116253553T</t>
  </si>
  <si>
    <t>蔡志欣</t>
  </si>
  <si>
    <t>G2190506-07</t>
  </si>
  <si>
    <t>DP0116262545T</t>
  </si>
  <si>
    <t>蔡昀珊</t>
  </si>
  <si>
    <t>G2190506-08</t>
  </si>
  <si>
    <t>DP0116277115T</t>
  </si>
  <si>
    <t>林育麗</t>
  </si>
  <si>
    <t>G2190506-09</t>
  </si>
  <si>
    <t>AB001078</t>
  </si>
  <si>
    <t>2019/05/13</t>
  </si>
  <si>
    <t>訂單-信義邱婦產科</t>
  </si>
  <si>
    <t>DP0116360345T</t>
  </si>
  <si>
    <t>楊麗玲</t>
  </si>
  <si>
    <t>G2190507-01</t>
  </si>
  <si>
    <t>DP0116303160T</t>
  </si>
  <si>
    <t>G2190507-02</t>
  </si>
  <si>
    <t>10704-0048</t>
  </si>
  <si>
    <t>訂單-現代美容</t>
  </si>
  <si>
    <t>FP0116314604T</t>
  </si>
  <si>
    <t>LEE WAI KWUN</t>
  </si>
  <si>
    <t>BS190507-03</t>
  </si>
  <si>
    <t>PA000069</t>
  </si>
  <si>
    <t>公關 - 天資</t>
  </si>
  <si>
    <t>FP0116321482T</t>
  </si>
  <si>
    <t>黃彩婷</t>
  </si>
  <si>
    <t>BS190507-04</t>
  </si>
  <si>
    <t>電子</t>
  </si>
  <si>
    <t>FP0116337043T</t>
  </si>
  <si>
    <t>陳雲利</t>
  </si>
  <si>
    <t>BS190507-05</t>
  </si>
  <si>
    <t>PA000047</t>
  </si>
  <si>
    <t>Michael</t>
  </si>
  <si>
    <t>股東會公關</t>
  </si>
  <si>
    <t>DP0055056482T</t>
  </si>
  <si>
    <t>李秀惠</t>
  </si>
  <si>
    <t>OB190507-06</t>
  </si>
  <si>
    <t>(G1)  105.06.08-診所公關 (股東)-claire</t>
  </si>
  <si>
    <t>DP0116341360T</t>
  </si>
  <si>
    <t>何忠義</t>
  </si>
  <si>
    <t>OB190507-07</t>
  </si>
  <si>
    <t>DP0116354450T</t>
  </si>
  <si>
    <t>陳佳琳</t>
  </si>
  <si>
    <t>OB190507-08</t>
  </si>
  <si>
    <t>2019/05/14</t>
  </si>
  <si>
    <t>DP0116741790T</t>
  </si>
  <si>
    <t>楊素芳</t>
  </si>
  <si>
    <t>OB190508-01</t>
  </si>
  <si>
    <t>個資不完整(無電話地址)</t>
  </si>
  <si>
    <t>AA001326</t>
  </si>
  <si>
    <t>DP0116292895T</t>
  </si>
  <si>
    <t>鄭暐澄</t>
  </si>
  <si>
    <t>G2190508-02</t>
  </si>
  <si>
    <t>AB001023</t>
  </si>
  <si>
    <t>DP0116289037T</t>
  </si>
  <si>
    <t>陳俊良</t>
  </si>
  <si>
    <t>HO190508-03</t>
  </si>
  <si>
    <t>2019/05/15</t>
  </si>
  <si>
    <t>DP0116398697T</t>
  </si>
  <si>
    <t>陳寧安</t>
  </si>
  <si>
    <t>G2190509-01</t>
  </si>
  <si>
    <t>DP0116402913T</t>
  </si>
  <si>
    <t>李素伶</t>
  </si>
  <si>
    <t>G2190509-02</t>
  </si>
  <si>
    <t>DP0116417009T</t>
  </si>
  <si>
    <t>謝豐全</t>
  </si>
  <si>
    <t>G2190509-03</t>
  </si>
  <si>
    <t>DP0116425369T</t>
  </si>
  <si>
    <t>傅金龍</t>
  </si>
  <si>
    <t>G2190509-04</t>
  </si>
  <si>
    <t>DP0116435094T</t>
  </si>
  <si>
    <t>傅美華</t>
  </si>
  <si>
    <t>G2190509-05</t>
  </si>
  <si>
    <t>DP0116448319T</t>
  </si>
  <si>
    <t>葉芳岭</t>
  </si>
  <si>
    <t>G2190509-06</t>
  </si>
  <si>
    <t>DP0116456429T</t>
  </si>
  <si>
    <t>陳韡甄</t>
  </si>
  <si>
    <t>G2190509-07</t>
  </si>
  <si>
    <t>DP0116460942T</t>
  </si>
  <si>
    <t>陳惠珍</t>
  </si>
  <si>
    <t>G2190509-08</t>
  </si>
  <si>
    <t>DP0116477623T</t>
  </si>
  <si>
    <t>簡瑞希</t>
  </si>
  <si>
    <t>G2190509-09</t>
  </si>
  <si>
    <t>DP0116488681T</t>
  </si>
  <si>
    <t>施凱仁</t>
  </si>
  <si>
    <t>G2190509-10</t>
  </si>
  <si>
    <t>DP0116492374T</t>
  </si>
  <si>
    <t>洪秀梅</t>
  </si>
  <si>
    <t>G2190509-11</t>
  </si>
  <si>
    <t>DP0116509592T</t>
  </si>
  <si>
    <t>許育慈</t>
  </si>
  <si>
    <t>G2190509-12</t>
  </si>
  <si>
    <t>DP0116518342T</t>
  </si>
  <si>
    <t>許嘉云</t>
  </si>
  <si>
    <t>G2190509-13</t>
  </si>
  <si>
    <t>20190517˙</t>
  </si>
  <si>
    <t>DP0116528962T</t>
  </si>
  <si>
    <t>許金柱</t>
  </si>
  <si>
    <t>G2190509-14</t>
  </si>
  <si>
    <t>DP0116533856T</t>
  </si>
  <si>
    <t>許爾倫</t>
  </si>
  <si>
    <t>G2190509-15</t>
  </si>
  <si>
    <t>DP0116542836T</t>
  </si>
  <si>
    <t>許娟萍</t>
  </si>
  <si>
    <t>G2190509-16</t>
  </si>
  <si>
    <t>AB001042</t>
  </si>
  <si>
    <t>G2190509-17</t>
  </si>
  <si>
    <t>DP0116550760T</t>
  </si>
  <si>
    <t>張偉誠</t>
  </si>
  <si>
    <t>G2190509-18</t>
  </si>
  <si>
    <t>AA030511</t>
  </si>
  <si>
    <t>Jiarung</t>
  </si>
  <si>
    <t>員購-生醫</t>
  </si>
  <si>
    <t>DP0116560913T</t>
  </si>
  <si>
    <t>林晉安</t>
  </si>
  <si>
    <t>G2190509-19</t>
  </si>
  <si>
    <t>DP0116570523T</t>
  </si>
  <si>
    <t>鍾玉蘭</t>
  </si>
  <si>
    <t>G2190509-20</t>
  </si>
  <si>
    <t>AB001029</t>
  </si>
  <si>
    <t>DP0116586978T</t>
  </si>
  <si>
    <t>林秀青</t>
  </si>
  <si>
    <t>HO190509-21</t>
  </si>
  <si>
    <t>DP0116596451T</t>
  </si>
  <si>
    <t>何國瑞</t>
  </si>
  <si>
    <t>HO190509-22</t>
  </si>
  <si>
    <t>AB001043</t>
  </si>
  <si>
    <t>HO190509-23</t>
  </si>
  <si>
    <t>AB001032</t>
  </si>
  <si>
    <t>DP0116618329T</t>
  </si>
  <si>
    <t>劉俐君</t>
  </si>
  <si>
    <t>HO190509-24</t>
  </si>
  <si>
    <t>PA000034</t>
  </si>
  <si>
    <t>DP0116783792T</t>
  </si>
  <si>
    <t>張淑媚</t>
  </si>
  <si>
    <t>HB190509-25</t>
  </si>
  <si>
    <t>個資不完整(無電話)</t>
  </si>
  <si>
    <t>AB001122</t>
  </si>
  <si>
    <t>2019/05/16</t>
  </si>
  <si>
    <t>peipei.Ou</t>
  </si>
  <si>
    <t>FP0116370736T</t>
  </si>
  <si>
    <t>楊雅妮</t>
  </si>
  <si>
    <t>G2190510-01</t>
  </si>
  <si>
    <t>DP0116387483T</t>
  </si>
  <si>
    <t>彭道鈞</t>
  </si>
  <si>
    <t>G2190510-02</t>
  </si>
  <si>
    <t>PA000035</t>
  </si>
  <si>
    <t>Alex</t>
  </si>
  <si>
    <t>DP0116622464T</t>
  </si>
  <si>
    <t>G2190510-03</t>
  </si>
  <si>
    <t>AB001073</t>
  </si>
  <si>
    <t>DP0116631924T</t>
  </si>
  <si>
    <t>葉又仁</t>
  </si>
  <si>
    <t>G2190513-01</t>
  </si>
  <si>
    <t>電子+紙本</t>
  </si>
  <si>
    <t>AB001215</t>
  </si>
  <si>
    <t>DP0116643861T</t>
  </si>
  <si>
    <t>林宏儒</t>
  </si>
  <si>
    <t>HO190513-02</t>
  </si>
  <si>
    <t>AA001936</t>
  </si>
  <si>
    <t>DP0116657110T</t>
  </si>
  <si>
    <t>陳柏仁</t>
  </si>
  <si>
    <t>HO190513-03</t>
  </si>
  <si>
    <t>PA000108</t>
  </si>
  <si>
    <t>與上列同一人</t>
  </si>
  <si>
    <t>DP0116664136T</t>
  </si>
  <si>
    <t>呂秋蓮</t>
  </si>
  <si>
    <t>AD190513-04</t>
  </si>
  <si>
    <t>DP0116677157T</t>
  </si>
  <si>
    <t>翁綉珮</t>
  </si>
  <si>
    <t>P190513-05</t>
  </si>
  <si>
    <t>DP0116685106T</t>
  </si>
  <si>
    <t>陳映帆</t>
  </si>
  <si>
    <t>G2190513-06</t>
  </si>
  <si>
    <t>DP0116694480T</t>
  </si>
  <si>
    <t>陳柏州</t>
  </si>
  <si>
    <t>G2190513-07</t>
  </si>
  <si>
    <t>AB001045</t>
  </si>
  <si>
    <t>FP0116701788T</t>
  </si>
  <si>
    <t>鍾清林</t>
  </si>
  <si>
    <t>HO190514-01</t>
  </si>
  <si>
    <t>FP0116714321T</t>
  </si>
  <si>
    <t>詹素聘</t>
  </si>
  <si>
    <t>G2190514-02</t>
  </si>
  <si>
    <t>AB001135</t>
  </si>
  <si>
    <t>DP0116727673T</t>
  </si>
  <si>
    <t>陳詩婷</t>
  </si>
  <si>
    <t>G2190514-03</t>
  </si>
  <si>
    <t>DP0116733661T</t>
  </si>
  <si>
    <t>邱美如</t>
  </si>
  <si>
    <t>G2190514-04</t>
  </si>
  <si>
    <t>AA001843</t>
  </si>
  <si>
    <t>待重新採檢</t>
  </si>
  <si>
    <t>DP0116751509T</t>
  </si>
  <si>
    <t>陳穎元</t>
  </si>
  <si>
    <t>G2190515-01</t>
  </si>
  <si>
    <t>DP0116766281T</t>
  </si>
  <si>
    <t>王則閎</t>
  </si>
  <si>
    <t>HO檢測服務-2</t>
  </si>
  <si>
    <t>HO190515-02</t>
  </si>
  <si>
    <t>原為OB股東贈與，後加費升級為G2+OB，訂單已確認，報告書已出。</t>
  </si>
  <si>
    <t>10706-0080</t>
  </si>
  <si>
    <t>訂單-修身堂</t>
  </si>
  <si>
    <t>FP0116776769T</t>
  </si>
  <si>
    <t>趙林利</t>
  </si>
  <si>
    <t>OB190515-03</t>
  </si>
  <si>
    <t>BS190515-04</t>
  </si>
  <si>
    <t>AB001040</t>
  </si>
  <si>
    <t>FP0116845314T</t>
  </si>
  <si>
    <t xml:space="preserve">芮筠深 </t>
  </si>
  <si>
    <t>G2190516-01</t>
  </si>
  <si>
    <t>FP0116835302T</t>
  </si>
  <si>
    <t>芮茜媛</t>
  </si>
  <si>
    <t>G2190516-02</t>
  </si>
  <si>
    <t>AB001137</t>
  </si>
  <si>
    <t>DP0116826445T</t>
  </si>
  <si>
    <t>李素貞</t>
  </si>
  <si>
    <t>G2190516-03</t>
  </si>
  <si>
    <t>AB001079</t>
  </si>
  <si>
    <t>DP0116815857T</t>
  </si>
  <si>
    <t>孟軒</t>
  </si>
  <si>
    <t>G2190516-04</t>
  </si>
  <si>
    <t>Caridee/Jacky</t>
  </si>
  <si>
    <t>G2190516-05</t>
  </si>
  <si>
    <t>DP0116796693T</t>
  </si>
  <si>
    <t>黃麗敏</t>
  </si>
  <si>
    <t>G2190516-06</t>
  </si>
  <si>
    <t>DP0116858930T</t>
  </si>
  <si>
    <t>鄭百芬</t>
  </si>
  <si>
    <t>G2190517-01</t>
  </si>
  <si>
    <t>DP0116860490T</t>
  </si>
  <si>
    <t>鄭正雄</t>
  </si>
  <si>
    <t>G2190517-02</t>
  </si>
  <si>
    <t>Jacky</t>
  </si>
  <si>
    <t>DP0116874077T</t>
  </si>
  <si>
    <t>王春彤</t>
  </si>
  <si>
    <t>P190517-03</t>
  </si>
  <si>
    <t>DP0116881511T</t>
  </si>
  <si>
    <t>蘇靖雅</t>
  </si>
  <si>
    <t>G2190517-04</t>
  </si>
  <si>
    <t>AB001218</t>
  </si>
  <si>
    <t>企業</t>
  </si>
  <si>
    <t>DP0116899588T</t>
  </si>
  <si>
    <t>游雅惠</t>
  </si>
  <si>
    <t>G2190517-05</t>
  </si>
  <si>
    <t>OB</t>
  </si>
  <si>
    <t>DP0116904286T</t>
  </si>
  <si>
    <t>魏亨洲</t>
  </si>
  <si>
    <t>GN0000001</t>
  </si>
  <si>
    <t>G2190517-06</t>
  </si>
  <si>
    <t>DP0116918869T</t>
  </si>
  <si>
    <t>張簡子琪</t>
  </si>
  <si>
    <t>G2190517-07</t>
  </si>
  <si>
    <t>DP0116928897T</t>
  </si>
  <si>
    <t>黃聖展</t>
  </si>
  <si>
    <t>G2190517-08</t>
  </si>
  <si>
    <t>DP0116938686T</t>
  </si>
  <si>
    <t>陳麒文</t>
  </si>
  <si>
    <t>G2190517-09</t>
  </si>
  <si>
    <t>DP0116949304T</t>
  </si>
  <si>
    <t>薛沂薰</t>
  </si>
  <si>
    <t>G2190517-10</t>
  </si>
  <si>
    <t>DP0116958384T</t>
  </si>
  <si>
    <t>王宥樺</t>
  </si>
  <si>
    <t>G2190517-11</t>
  </si>
  <si>
    <t>DP0116961269T</t>
  </si>
  <si>
    <t>龔靖雅</t>
  </si>
  <si>
    <t>G2190517-12</t>
  </si>
  <si>
    <t>DP0116971898T</t>
  </si>
  <si>
    <t>盧宥安</t>
  </si>
  <si>
    <t>G2190517-13</t>
  </si>
  <si>
    <t>DP0116987626T</t>
  </si>
  <si>
    <t>謝美任</t>
  </si>
  <si>
    <t>G2190517-14</t>
  </si>
  <si>
    <t>DP0116996142T</t>
  </si>
  <si>
    <t>林聖萍</t>
  </si>
  <si>
    <t>G2190517-15</t>
  </si>
  <si>
    <t>DP0117003106T</t>
  </si>
  <si>
    <t>李碧珍</t>
  </si>
  <si>
    <t>G2190517-16</t>
  </si>
  <si>
    <t>DP0117016937T</t>
  </si>
  <si>
    <t>邱洧澤</t>
  </si>
  <si>
    <t>G2190517-17</t>
  </si>
  <si>
    <t>DP0117027971T</t>
  </si>
  <si>
    <t>楊春菊</t>
  </si>
  <si>
    <t>G2190517-18</t>
  </si>
  <si>
    <t>DP0117034111T</t>
  </si>
  <si>
    <t>林啟敏</t>
  </si>
  <si>
    <t>G2190517-19</t>
  </si>
  <si>
    <t>DP0117041691T</t>
  </si>
  <si>
    <t>游恆基</t>
  </si>
  <si>
    <t>G2190517-20</t>
  </si>
  <si>
    <t>DP0117053349T</t>
  </si>
  <si>
    <t>張偉群</t>
  </si>
  <si>
    <t>G2190517-21</t>
  </si>
  <si>
    <t>DP0117066685T</t>
  </si>
  <si>
    <t>林煥天</t>
  </si>
  <si>
    <t>G2190517-22</t>
  </si>
  <si>
    <t>DP0117075647T</t>
  </si>
  <si>
    <t>游舒晴</t>
  </si>
  <si>
    <t>G2190517-23</t>
  </si>
  <si>
    <t>DP0117085304T</t>
  </si>
  <si>
    <t>陳淑惠</t>
  </si>
  <si>
    <t>G2190517-24</t>
  </si>
  <si>
    <t>DP0117116577T</t>
  </si>
  <si>
    <t>張佳惠</t>
  </si>
  <si>
    <t>G2190517-25</t>
  </si>
  <si>
    <t>DP0117090872T</t>
  </si>
  <si>
    <t>鄭美惠</t>
  </si>
  <si>
    <t>G2190517-26</t>
  </si>
  <si>
    <t>DP0117109103T</t>
  </si>
  <si>
    <t>何頡瑩</t>
  </si>
  <si>
    <t>G2190517-27</t>
  </si>
  <si>
    <t>FP0117136285T</t>
  </si>
  <si>
    <t>王秀嬌</t>
  </si>
  <si>
    <t>G2190520-01</t>
  </si>
  <si>
    <t>中英電子報告</t>
  </si>
  <si>
    <t>FP0117120447T</t>
  </si>
  <si>
    <t>戴坤泉</t>
  </si>
  <si>
    <t>G2190520-02</t>
  </si>
  <si>
    <t>AB001228</t>
  </si>
  <si>
    <t>DP0117148197T</t>
  </si>
  <si>
    <t>陳子軒</t>
  </si>
  <si>
    <t>G2190521-01</t>
  </si>
  <si>
    <t>FP0117150489T</t>
  </si>
  <si>
    <t>阮曼瑄</t>
  </si>
  <si>
    <t>G2190521-02</t>
  </si>
  <si>
    <t>AB001227</t>
  </si>
  <si>
    <t>DP0117162064T</t>
  </si>
  <si>
    <t>曾予薰</t>
  </si>
  <si>
    <t>G2190521-03</t>
  </si>
  <si>
    <t>DP0117171345T</t>
  </si>
  <si>
    <t>羅銘元</t>
  </si>
  <si>
    <t>G2190521-04</t>
  </si>
  <si>
    <t>19052006</t>
  </si>
  <si>
    <t>DP0117233984T</t>
  </si>
  <si>
    <t>張羽彤</t>
  </si>
  <si>
    <t>G2190521-05</t>
  </si>
  <si>
    <t>19052007</t>
  </si>
  <si>
    <t>DP0117248726T</t>
  </si>
  <si>
    <t>張嘉存</t>
  </si>
  <si>
    <t>G2190521-06</t>
  </si>
  <si>
    <t>19052008</t>
  </si>
  <si>
    <t>DP0117252130T</t>
  </si>
  <si>
    <t>G2190521-07</t>
  </si>
  <si>
    <t>DP0117187754T</t>
  </si>
  <si>
    <t>劉耀文</t>
  </si>
  <si>
    <t>G2190521-08</t>
  </si>
  <si>
    <t>AB001020</t>
  </si>
  <si>
    <t>DP0117395806T</t>
  </si>
  <si>
    <t>毛章同</t>
  </si>
  <si>
    <t>HB190521-09</t>
  </si>
  <si>
    <t>DP0117197567T</t>
  </si>
  <si>
    <t>毛章丞</t>
  </si>
  <si>
    <t>HB190521-10</t>
  </si>
  <si>
    <t>AB001259</t>
  </si>
  <si>
    <t>DP0117202662T</t>
  </si>
  <si>
    <t>郭宣宏</t>
  </si>
  <si>
    <t>HO190521-11</t>
  </si>
  <si>
    <t>AB001254</t>
  </si>
  <si>
    <t>Josh</t>
  </si>
  <si>
    <t>訂單-黛寶拉</t>
  </si>
  <si>
    <t>DP0117217998T</t>
  </si>
  <si>
    <t>曾婉婷</t>
  </si>
  <si>
    <t>全檢-2+BS檢測服務-0+OB檢測服務-0</t>
  </si>
  <si>
    <t>HBO190521-12</t>
  </si>
  <si>
    <t>客服聯繫客人前請先跟Josh聯絡</t>
  </si>
  <si>
    <t>DP0117220285T</t>
  </si>
  <si>
    <t>李育庭</t>
  </si>
  <si>
    <t>HBO190521-13</t>
  </si>
  <si>
    <t>DP0117260908T</t>
  </si>
  <si>
    <t>江進坤</t>
  </si>
  <si>
    <t>G2190522-01</t>
  </si>
  <si>
    <t>醫療-同陽牙醫</t>
  </si>
  <si>
    <t>DP0117277314T</t>
  </si>
  <si>
    <t>郭獻聰</t>
  </si>
  <si>
    <t>G2190522-02</t>
  </si>
  <si>
    <t>AB001083</t>
  </si>
  <si>
    <t>醫療-保險</t>
  </si>
  <si>
    <t>DP0117280203T</t>
  </si>
  <si>
    <t>丘皓升</t>
  </si>
  <si>
    <t>G2190522-03</t>
  </si>
  <si>
    <t>AB001759</t>
  </si>
  <si>
    <t>醫療-力納</t>
  </si>
  <si>
    <t>DP0117290499T</t>
  </si>
  <si>
    <t>曹律榛</t>
  </si>
  <si>
    <t>G2190522-04</t>
  </si>
  <si>
    <t>醫療</t>
  </si>
  <si>
    <t>DP0117300171T</t>
  </si>
  <si>
    <t>蕭偉利</t>
  </si>
  <si>
    <t>G2190522-05</t>
  </si>
  <si>
    <t>DP0117311103T</t>
  </si>
  <si>
    <t>葉政</t>
  </si>
  <si>
    <t>G2190522-06</t>
  </si>
  <si>
    <t>AB001260</t>
  </si>
  <si>
    <t>josh</t>
  </si>
  <si>
    <t>其他-百岳特-密芽</t>
  </si>
  <si>
    <t>FP0117320948T</t>
  </si>
  <si>
    <t>丁贇</t>
  </si>
  <si>
    <t>G2190522-07</t>
  </si>
  <si>
    <t>紙本+電子</t>
  </si>
  <si>
    <t>DP0117332669T</t>
  </si>
  <si>
    <t>江妍儀</t>
  </si>
  <si>
    <t>OB190522-08</t>
  </si>
  <si>
    <t>PA000074</t>
  </si>
  <si>
    <t>股東公關</t>
  </si>
  <si>
    <t>DP0117349483T</t>
  </si>
  <si>
    <t>譚孟穎</t>
  </si>
  <si>
    <t>OB190522-09</t>
  </si>
  <si>
    <t>PA000126</t>
  </si>
  <si>
    <t>FP0117353186T</t>
  </si>
  <si>
    <t>吳振暉</t>
  </si>
  <si>
    <t>OB190522-10</t>
  </si>
  <si>
    <t>AB001081</t>
  </si>
  <si>
    <t>DP0117369816T</t>
  </si>
  <si>
    <t>蔡旻巧</t>
  </si>
  <si>
    <t>AD190522-11</t>
  </si>
  <si>
    <t>AB001082</t>
  </si>
  <si>
    <t>DP0117370801T</t>
  </si>
  <si>
    <t>陳裕慎</t>
  </si>
  <si>
    <t>AD190522-12</t>
  </si>
  <si>
    <t>AB001229</t>
  </si>
  <si>
    <t>DP0117380624T</t>
  </si>
  <si>
    <t>徐巧穎</t>
  </si>
  <si>
    <t>P190522-13</t>
  </si>
  <si>
    <t>AB001263</t>
  </si>
  <si>
    <t>DP0113722716T</t>
  </si>
  <si>
    <t>吳台林</t>
  </si>
  <si>
    <t>G2190523-01</t>
  </si>
  <si>
    <t>AD190328-04</t>
  </si>
  <si>
    <t>AB001301</t>
  </si>
  <si>
    <t>SOPHIE</t>
  </si>
  <si>
    <t>舊客回購</t>
  </si>
  <si>
    <t>DP0117408514T</t>
  </si>
  <si>
    <t>陶宇安</t>
  </si>
  <si>
    <t>G2190523-02</t>
  </si>
  <si>
    <t>AB001080</t>
  </si>
  <si>
    <t>DP0117418505T</t>
  </si>
  <si>
    <t>莊祐銓</t>
  </si>
  <si>
    <t>G2190523-03</t>
  </si>
  <si>
    <t>DP0117423143T</t>
  </si>
  <si>
    <t>許榮成</t>
  </si>
  <si>
    <t>G2190523-04</t>
  </si>
  <si>
    <t>英文紙本</t>
  </si>
  <si>
    <t>AB001262</t>
  </si>
  <si>
    <t>FP0117430721T</t>
  </si>
  <si>
    <t>童彤</t>
  </si>
  <si>
    <t>G2190523-05</t>
  </si>
  <si>
    <t>簡體紙本+放TCI產品DM</t>
  </si>
  <si>
    <t>FP0117445524T</t>
  </si>
  <si>
    <t>李靜</t>
  </si>
  <si>
    <t>G2190523-06</t>
  </si>
  <si>
    <t>FP0117450021T</t>
  </si>
  <si>
    <t>劉宇</t>
  </si>
  <si>
    <t>G2190523-07</t>
  </si>
  <si>
    <t>FP0117460046T</t>
  </si>
  <si>
    <t>張文瑞</t>
  </si>
  <si>
    <t>G2190523-08</t>
  </si>
  <si>
    <t>FP0117470361T</t>
  </si>
  <si>
    <t>呂雙利</t>
  </si>
  <si>
    <t>G2190523-09</t>
  </si>
  <si>
    <t>FP0117486932T</t>
  </si>
  <si>
    <t>楊紅</t>
  </si>
  <si>
    <t>G2190523-10</t>
  </si>
  <si>
    <t>FP0117499500T</t>
  </si>
  <si>
    <t>陶玲</t>
  </si>
  <si>
    <t>G2190523-11</t>
  </si>
  <si>
    <t>FP0117501049T</t>
  </si>
  <si>
    <t>彭靜</t>
  </si>
  <si>
    <t>G2190523-12</t>
  </si>
  <si>
    <t>FP0117512932T</t>
  </si>
  <si>
    <t>悅薇</t>
  </si>
  <si>
    <t>G2190523-13</t>
  </si>
  <si>
    <t>PA000073</t>
  </si>
  <si>
    <t>父:羅銘元、母:曾予薰</t>
  </si>
  <si>
    <t>DP0117528119T</t>
  </si>
  <si>
    <t>羅之岑</t>
  </si>
  <si>
    <t>OB190523-14</t>
  </si>
  <si>
    <t>DP0117539292T</t>
  </si>
  <si>
    <t>羅之彤</t>
  </si>
  <si>
    <t>OB190523-15</t>
  </si>
  <si>
    <t>DP0117543855T</t>
  </si>
  <si>
    <t>羅之希</t>
  </si>
  <si>
    <t>OB190523-16</t>
  </si>
  <si>
    <t>AA001133</t>
  </si>
  <si>
    <t>其他-康之萊</t>
  </si>
  <si>
    <t>FP0117559066T</t>
  </si>
  <si>
    <t>繆燕如</t>
  </si>
  <si>
    <t>G2190524-01</t>
  </si>
  <si>
    <t>FP0117569353T</t>
  </si>
  <si>
    <t>SO CHEUK YAN</t>
  </si>
  <si>
    <t>G2190524-02</t>
  </si>
  <si>
    <t>10703-0048</t>
  </si>
  <si>
    <t>FP0117577670T</t>
  </si>
  <si>
    <t>Hui Wing Yi</t>
  </si>
  <si>
    <t>OB190524-03</t>
  </si>
  <si>
    <t>林姿杏&amp;馬俊平是夫妻</t>
  </si>
  <si>
    <t>DP0117583599T</t>
  </si>
  <si>
    <t>林姿杏</t>
  </si>
  <si>
    <t>G2190527-01</t>
  </si>
  <si>
    <t>DP0117591311T</t>
  </si>
  <si>
    <t>G2190527-02</t>
  </si>
  <si>
    <t>DP0117601512T</t>
  </si>
  <si>
    <t>戴曼如</t>
  </si>
  <si>
    <t>G2190527-03</t>
  </si>
  <si>
    <t>10702-0055</t>
  </si>
  <si>
    <t>DP0117619225T</t>
  </si>
  <si>
    <t>鄧惠中</t>
  </si>
  <si>
    <t>G2190527-04</t>
  </si>
  <si>
    <t>10606-0069</t>
  </si>
  <si>
    <t>FP0117625975T</t>
  </si>
  <si>
    <t>樂愛華</t>
  </si>
  <si>
    <t>G2190527-05</t>
  </si>
  <si>
    <t>現代美容(有公版)</t>
  </si>
  <si>
    <t>FP0117638554T</t>
  </si>
  <si>
    <t xml:space="preserve"> Lee Yim Wah</t>
  </si>
  <si>
    <t>OB190527-06</t>
  </si>
  <si>
    <t>中文繁體電子報告書(不加密)</t>
  </si>
  <si>
    <t>DP0117644103T</t>
  </si>
  <si>
    <t>章淳涵</t>
  </si>
  <si>
    <t>G2190528-01</t>
  </si>
  <si>
    <t>DP0117656184T</t>
  </si>
  <si>
    <t>鄭碧蓮</t>
  </si>
  <si>
    <t>G2190528-02</t>
  </si>
  <si>
    <t>DP0117660339T</t>
  </si>
  <si>
    <t>潘塗盛</t>
  </si>
  <si>
    <t>G2190528-03</t>
  </si>
  <si>
    <t>天資基因</t>
  </si>
  <si>
    <t>FP0117673324T</t>
  </si>
  <si>
    <t>周翠敏</t>
  </si>
  <si>
    <t>G2190528-04</t>
  </si>
  <si>
    <t>PA000078</t>
  </si>
  <si>
    <t>DP0117686440T</t>
  </si>
  <si>
    <t>蕭雲中</t>
  </si>
  <si>
    <t>OB190528-05</t>
  </si>
  <si>
    <t>FP0117697999T</t>
  </si>
  <si>
    <t>李姿婷</t>
  </si>
  <si>
    <t>P190528-06</t>
  </si>
  <si>
    <t>AD190528-07</t>
  </si>
  <si>
    <t>DP0117708959T</t>
  </si>
  <si>
    <t>詹麗珠</t>
  </si>
  <si>
    <t>肝肺快篩</t>
  </si>
  <si>
    <t>LH190528-08</t>
  </si>
  <si>
    <t>DP0117738496T</t>
  </si>
  <si>
    <t>劉煥麒</t>
  </si>
  <si>
    <t>G2190529-01</t>
  </si>
  <si>
    <t>與鄭百芬、鄭正雄是家人</t>
  </si>
  <si>
    <t>DP0117748921T</t>
  </si>
  <si>
    <t>鄭晶華</t>
  </si>
  <si>
    <t>G2190529-02</t>
  </si>
  <si>
    <t>DP0117754129T</t>
  </si>
  <si>
    <t>曾景娟</t>
  </si>
  <si>
    <t>G2190529-03</t>
  </si>
  <si>
    <t>DP0117763208T</t>
  </si>
  <si>
    <t>陳錦鳳</t>
  </si>
  <si>
    <t>G2190529-04</t>
  </si>
  <si>
    <t>AB001303</t>
  </si>
  <si>
    <t>JOSH</t>
  </si>
  <si>
    <t>DP0117773412T</t>
  </si>
  <si>
    <t>平出莊司</t>
  </si>
  <si>
    <t>G2190530-01</t>
  </si>
  <si>
    <t xml:space="preserve">紙本+電子 </t>
  </si>
  <si>
    <t>AB001234</t>
  </si>
  <si>
    <t>保險</t>
  </si>
  <si>
    <t xml:space="preserve">   DP0112108231T</t>
  </si>
  <si>
    <t>施惠月</t>
  </si>
  <si>
    <t>G2190530-02</t>
  </si>
  <si>
    <t>108.03.08-公關-粉紅-Jade</t>
  </si>
  <si>
    <t>AB001219</t>
  </si>
  <si>
    <t>醫療-板橋好萊塢診所</t>
  </si>
  <si>
    <t>板橋好萊塢診所</t>
  </si>
  <si>
    <t>DP0117781185T</t>
  </si>
  <si>
    <t>李文丰</t>
  </si>
  <si>
    <t>G2190530-03</t>
  </si>
  <si>
    <t>親送 勿轉客服，勿聯客人</t>
  </si>
  <si>
    <t>DP0117799131T</t>
  </si>
  <si>
    <t>李小菁</t>
  </si>
  <si>
    <t>G2190530-04</t>
  </si>
  <si>
    <t>AB001232</t>
  </si>
  <si>
    <t>企業-福爾摩沙</t>
  </si>
  <si>
    <t>DP0117804974T</t>
  </si>
  <si>
    <t>楊桂香</t>
  </si>
  <si>
    <t>G2190530-05</t>
  </si>
  <si>
    <t>DP0117819099T</t>
  </si>
  <si>
    <t>王得祥</t>
  </si>
  <si>
    <t>G2190530-06</t>
  </si>
  <si>
    <t>DP0117827406T</t>
  </si>
  <si>
    <t>陳憶文</t>
  </si>
  <si>
    <t>G2190530-07</t>
  </si>
  <si>
    <t>DP0117892435T</t>
  </si>
  <si>
    <t>陳華川</t>
  </si>
  <si>
    <t>G2190530-08</t>
  </si>
  <si>
    <t>DP0117836560T</t>
  </si>
  <si>
    <t>陳彥綸</t>
  </si>
  <si>
    <t>G2190530-09</t>
  </si>
  <si>
    <t>DP0117846215T</t>
  </si>
  <si>
    <t>陳楷霏</t>
  </si>
  <si>
    <t>G2190530-10</t>
  </si>
  <si>
    <t>DP0117856170T</t>
  </si>
  <si>
    <t>余昕樺</t>
  </si>
  <si>
    <t>G2190530-11</t>
  </si>
  <si>
    <t>DP0117868415T</t>
  </si>
  <si>
    <t>陳玥縈</t>
  </si>
  <si>
    <t>G2190530-12</t>
  </si>
  <si>
    <t>DP0117875393T</t>
  </si>
  <si>
    <t>戴卉淳</t>
  </si>
  <si>
    <t>G2190530-13</t>
  </si>
  <si>
    <t>DP0117889696T</t>
  </si>
  <si>
    <t>劉佳銘</t>
  </si>
  <si>
    <t>G2190530-14</t>
  </si>
  <si>
    <t>AB001074</t>
  </si>
  <si>
    <t>DP0117900434T</t>
  </si>
  <si>
    <t>黃以琳</t>
  </si>
  <si>
    <t>G2190531-01</t>
  </si>
  <si>
    <t>AB001235</t>
  </si>
  <si>
    <t>DP0117916213T</t>
  </si>
  <si>
    <t>楊馥寧</t>
  </si>
  <si>
    <t>G2190531-02</t>
  </si>
  <si>
    <t>DP0117921533T</t>
  </si>
  <si>
    <t>陳美慧</t>
  </si>
  <si>
    <t>G2190531-03</t>
  </si>
  <si>
    <t>DP0117932193T</t>
  </si>
  <si>
    <t>G2190531-04</t>
  </si>
  <si>
    <t>DP0117947847T</t>
  </si>
  <si>
    <t>陳秀珠</t>
  </si>
  <si>
    <t>G2190531-05</t>
  </si>
  <si>
    <t>DP0117958437T</t>
  </si>
  <si>
    <t>吳佳玲</t>
  </si>
  <si>
    <t>G2190531-06</t>
  </si>
  <si>
    <t>母親:蘇慧文</t>
  </si>
  <si>
    <t>DP0117961490T</t>
  </si>
  <si>
    <t>楊子嫻</t>
  </si>
  <si>
    <t>G2190531-07</t>
  </si>
  <si>
    <t>DP0117976581T</t>
  </si>
  <si>
    <t>李昌霖</t>
  </si>
  <si>
    <t>G2190531-08</t>
  </si>
  <si>
    <t>DP0117985827T</t>
  </si>
  <si>
    <t>王雯頤</t>
  </si>
  <si>
    <t>G2190531-09</t>
  </si>
  <si>
    <t>BS</t>
  </si>
  <si>
    <t>D43GN002</t>
  </si>
  <si>
    <t>DP0117999083T</t>
  </si>
  <si>
    <t>蔡月琴</t>
  </si>
  <si>
    <t>G2190531-10</t>
  </si>
  <si>
    <t>DP0118008032T</t>
  </si>
  <si>
    <t>呂韋傑</t>
  </si>
  <si>
    <t>G2190531-11</t>
  </si>
  <si>
    <t>DP0118019005T</t>
  </si>
  <si>
    <t>孫志芬</t>
  </si>
  <si>
    <t>G2190531-12</t>
  </si>
  <si>
    <t>DP0118026460T</t>
  </si>
  <si>
    <t>詹惠雯</t>
  </si>
  <si>
    <t>G2190531-13</t>
  </si>
  <si>
    <t>母親:戴珮竹</t>
  </si>
  <si>
    <t>DP0118038397T</t>
  </si>
  <si>
    <t>黃于庭</t>
  </si>
  <si>
    <t>G2190531-14</t>
  </si>
  <si>
    <t>DP0118048423T</t>
  </si>
  <si>
    <t>林丞軒</t>
  </si>
  <si>
    <t>G2190531-15</t>
  </si>
  <si>
    <t>DP0118057924T</t>
  </si>
  <si>
    <t>林丞敏</t>
  </si>
  <si>
    <t>G2190531-16</t>
  </si>
  <si>
    <t>AB001084</t>
  </si>
  <si>
    <t>DP0118069902T</t>
  </si>
  <si>
    <t>沈竹譽</t>
  </si>
  <si>
    <t>G2190531-17</t>
  </si>
  <si>
    <t>AB001086</t>
  </si>
  <si>
    <t>溫奕忻</t>
  </si>
  <si>
    <t>DP0118075672T</t>
  </si>
  <si>
    <t>溫奕淳</t>
  </si>
  <si>
    <t>G2190531-18</t>
  </si>
  <si>
    <t>DP0118080686T</t>
  </si>
  <si>
    <t>G2190531-19</t>
  </si>
  <si>
    <t>AB001087</t>
  </si>
  <si>
    <t>蕭君芮、蕭郁儒、蕭聯達</t>
  </si>
  <si>
    <t>DP0118091350T</t>
  </si>
  <si>
    <t>林秀月</t>
  </si>
  <si>
    <t>G2190531-20</t>
  </si>
  <si>
    <t>林秀月、蕭聯達、蕭郁儒</t>
  </si>
  <si>
    <t>DP0118100487T</t>
  </si>
  <si>
    <t>蕭君芮</t>
  </si>
  <si>
    <t>G2190531-21</t>
  </si>
  <si>
    <t>林秀月、蕭聯達、蕭君芮</t>
  </si>
  <si>
    <t>DP0118116534T</t>
  </si>
  <si>
    <t>蕭郁儒</t>
  </si>
  <si>
    <t>G2190531-22</t>
  </si>
  <si>
    <t>蕭君芮、蕭郁儒、林秀月</t>
  </si>
  <si>
    <t>DP0118120322T</t>
  </si>
  <si>
    <t>蕭聯達</t>
  </si>
  <si>
    <t>G2190531-23</t>
  </si>
  <si>
    <t>DP0118136085T</t>
  </si>
  <si>
    <t>林煥章</t>
  </si>
  <si>
    <t>AD190531-24</t>
  </si>
  <si>
    <t>DP0118142657T</t>
  </si>
  <si>
    <t>沈府清</t>
  </si>
  <si>
    <t>AD190531-25</t>
  </si>
  <si>
    <t>DP0118157516T</t>
  </si>
  <si>
    <t>李筱甄</t>
  </si>
  <si>
    <t>G2190531-26</t>
  </si>
  <si>
    <t>FP0118163010T</t>
  </si>
  <si>
    <t>Lau Sau Ying</t>
  </si>
  <si>
    <t>G2190603-01</t>
  </si>
  <si>
    <t>繁體中文</t>
  </si>
  <si>
    <t>FP0118174529T</t>
  </si>
  <si>
    <t>蘇敏</t>
  </si>
  <si>
    <t>G2190603-02</t>
  </si>
  <si>
    <t>AB001267</t>
  </si>
  <si>
    <t>FP0118186882T</t>
  </si>
  <si>
    <t>劉丹丹</t>
  </si>
  <si>
    <t>G2190603-03</t>
  </si>
  <si>
    <t>簡體中文</t>
  </si>
  <si>
    <t>簡體</t>
  </si>
  <si>
    <t>AB001271</t>
  </si>
  <si>
    <t>FP0118190905T</t>
  </si>
  <si>
    <t>李嘉慧</t>
  </si>
  <si>
    <t>G2190603-04</t>
  </si>
  <si>
    <t>DP0118206224T</t>
  </si>
  <si>
    <t>張瓊瑤</t>
  </si>
  <si>
    <t>G2190603-05</t>
  </si>
  <si>
    <t>與黃淑華是夫妻</t>
  </si>
  <si>
    <t>DP0118215359T</t>
  </si>
  <si>
    <t>王鼎立</t>
  </si>
  <si>
    <t>HB190603-06</t>
  </si>
  <si>
    <t>與王鼎立是夫妻</t>
  </si>
  <si>
    <t>DP0118222706T</t>
  </si>
  <si>
    <t>黃淑華</t>
  </si>
  <si>
    <t>HB190603-07</t>
  </si>
  <si>
    <t>Peipei.Ou</t>
  </si>
  <si>
    <t>集團-大江生醫職工福利委員會</t>
  </si>
  <si>
    <t>DP0118239637T</t>
  </si>
  <si>
    <t>官琮瑋</t>
  </si>
  <si>
    <t>HB190603-08</t>
  </si>
  <si>
    <t>AB001239</t>
  </si>
  <si>
    <t>LINE</t>
  </si>
  <si>
    <t>DP0118241755T</t>
  </si>
  <si>
    <t>何采凌</t>
  </si>
  <si>
    <t>P190603-09</t>
  </si>
  <si>
    <t>DP0118251440T</t>
  </si>
  <si>
    <t>徐儷齡</t>
  </si>
  <si>
    <t>G2190604-01</t>
  </si>
  <si>
    <t>DP0118263079T</t>
  </si>
  <si>
    <t>王相予</t>
  </si>
  <si>
    <t>G2190604-02</t>
  </si>
  <si>
    <t>AB001241</t>
  </si>
  <si>
    <t>舊客介紹</t>
  </si>
  <si>
    <t>FP0118272791T</t>
  </si>
  <si>
    <t>張雪婷</t>
  </si>
  <si>
    <t>G2190604-03</t>
  </si>
  <si>
    <t>紙本&amp;電子</t>
  </si>
  <si>
    <t>AB001242</t>
  </si>
  <si>
    <t>FP0118288158T</t>
  </si>
  <si>
    <t>徐展圖</t>
  </si>
  <si>
    <t>G2190604-04</t>
  </si>
  <si>
    <t>DP0118294510T</t>
  </si>
  <si>
    <t>楊翊瑞</t>
  </si>
  <si>
    <t>G2190604-05</t>
  </si>
  <si>
    <t>DP0118305329T</t>
  </si>
  <si>
    <t>楊曉勤</t>
  </si>
  <si>
    <t>G2190604-06</t>
  </si>
  <si>
    <t>DP0118316314T</t>
  </si>
  <si>
    <t>王盈量</t>
  </si>
  <si>
    <t>G2190604-07</t>
  </si>
  <si>
    <t>DP0118327145T</t>
  </si>
  <si>
    <t>楊瑞芬</t>
  </si>
  <si>
    <t>G2190604-08</t>
  </si>
  <si>
    <t>DP0118336684T</t>
  </si>
  <si>
    <t>林鳳美</t>
  </si>
  <si>
    <t>G2190604-09</t>
  </si>
  <si>
    <t>AB001240</t>
  </si>
  <si>
    <t>DP0118347901T</t>
  </si>
  <si>
    <t>林淑英</t>
  </si>
  <si>
    <t>LH190604-10</t>
  </si>
  <si>
    <t>抗老快篩</t>
  </si>
  <si>
    <t>AG190604-11</t>
  </si>
  <si>
    <t>紙本+電子
AG預計2019/06/06正式上線</t>
  </si>
  <si>
    <t>AG190604-12</t>
  </si>
  <si>
    <t>AA030707</t>
  </si>
  <si>
    <t>2019/6/6(急件)</t>
  </si>
  <si>
    <t>DP0113000518T</t>
  </si>
  <si>
    <t>林群翔</t>
  </si>
  <si>
    <t>全檢-0</t>
  </si>
  <si>
    <t>G2190604-13</t>
  </si>
  <si>
    <t>G2190320-04</t>
  </si>
  <si>
    <t>AB001245</t>
  </si>
  <si>
    <t>DP0118350235T</t>
  </si>
  <si>
    <t>黃孝親</t>
  </si>
  <si>
    <t>G2190605-01</t>
  </si>
  <si>
    <t>DP0118360531T</t>
  </si>
  <si>
    <t>蘇成富</t>
  </si>
  <si>
    <t>HO190605-02</t>
  </si>
  <si>
    <t>妻子:楊曉勤 兒子:高士凱</t>
  </si>
  <si>
    <t>DP0118374784T</t>
  </si>
  <si>
    <t>高培銘</t>
  </si>
  <si>
    <t>G2190606-01</t>
  </si>
  <si>
    <t>父親:高培銘  母親:楊曉勤</t>
  </si>
  <si>
    <t>DP0118383190T</t>
  </si>
  <si>
    <t>高士凱</t>
  </si>
  <si>
    <t>G2190606-02</t>
  </si>
  <si>
    <t xml:space="preserve">妻子:郭淑珍 女兒:楊曉勤 </t>
  </si>
  <si>
    <t>DP0118399282T</t>
  </si>
  <si>
    <t>楊大中</t>
  </si>
  <si>
    <t>G2190606-03</t>
  </si>
  <si>
    <t>母親:潘玉柳 女兒:楊曉勤</t>
  </si>
  <si>
    <t>DP0118400264T</t>
  </si>
  <si>
    <t>郭淑珍</t>
  </si>
  <si>
    <t>G2190606-04</t>
  </si>
  <si>
    <t>女兒:郭淑珍 孫女:楊曉勤</t>
  </si>
  <si>
    <t>DP0118419211T</t>
  </si>
  <si>
    <t>潘玉柳</t>
  </si>
  <si>
    <t>G2190606-05</t>
  </si>
  <si>
    <t>女兒:張雪婷</t>
  </si>
  <si>
    <t>FP0118427527T</t>
  </si>
  <si>
    <t>陳瑞雲</t>
  </si>
  <si>
    <t>AD190606-06</t>
  </si>
  <si>
    <t>FP0118438032T</t>
  </si>
  <si>
    <t>張啟明</t>
  </si>
  <si>
    <t>AD190606-07</t>
  </si>
  <si>
    <t>LH190606-08</t>
  </si>
  <si>
    <t>P190606-09</t>
  </si>
  <si>
    <t>母親:黃瑋茹</t>
  </si>
  <si>
    <t>DP0118440713T</t>
  </si>
  <si>
    <t>黃柏文</t>
  </si>
  <si>
    <t>G2190611-01</t>
  </si>
  <si>
    <t>兒子:黃柏文</t>
  </si>
  <si>
    <t>DP0118453891T</t>
  </si>
  <si>
    <t>黃瑋茹</t>
  </si>
  <si>
    <t>G2190611-02</t>
  </si>
  <si>
    <t>DP0118465061T</t>
  </si>
  <si>
    <t>鍾美平</t>
  </si>
  <si>
    <t>G2190611-03</t>
  </si>
  <si>
    <t>DP0118477037T</t>
  </si>
  <si>
    <t>宋元雄</t>
  </si>
  <si>
    <t>G2190611-04</t>
  </si>
  <si>
    <t>DP0118480957T</t>
  </si>
  <si>
    <t>周銘漢</t>
  </si>
  <si>
    <t>G2190611-05</t>
  </si>
  <si>
    <t>DP0118496932T</t>
  </si>
  <si>
    <t>洪家新</t>
  </si>
  <si>
    <t>G2190611-06</t>
  </si>
  <si>
    <t>業務親送報告</t>
  </si>
  <si>
    <t>DP0118504893T</t>
  </si>
  <si>
    <t>徐偉智</t>
  </si>
  <si>
    <t>G2190611-07</t>
  </si>
  <si>
    <t>DP0118516028T</t>
  </si>
  <si>
    <t>黃聖閔</t>
  </si>
  <si>
    <t>G2190611-08</t>
  </si>
  <si>
    <t>安瑞婷</t>
  </si>
  <si>
    <t>DP0118526104T</t>
  </si>
  <si>
    <t>蕭梅杏</t>
  </si>
  <si>
    <t>G2190611-09</t>
  </si>
  <si>
    <t>FP0118539485T</t>
  </si>
  <si>
    <t>謝苗秀</t>
  </si>
  <si>
    <t>G2190611-10</t>
  </si>
  <si>
    <t>FP0118547376T</t>
  </si>
  <si>
    <t>Man Lai Sim</t>
  </si>
  <si>
    <t>BS檢測服務-2</t>
  </si>
  <si>
    <t>BS190611-11</t>
  </si>
  <si>
    <t>PA000104</t>
  </si>
  <si>
    <t>Michael.Chou</t>
  </si>
  <si>
    <t>DP0118554205T</t>
  </si>
  <si>
    <t>羅淑憶</t>
  </si>
  <si>
    <t>OB190611-12</t>
  </si>
  <si>
    <t>DP0118569156T</t>
  </si>
  <si>
    <t>施秉成</t>
  </si>
  <si>
    <t>OB190611-13</t>
  </si>
  <si>
    <t>PA000156</t>
  </si>
  <si>
    <t>醫療應用部</t>
  </si>
  <si>
    <t>DP0093594670T</t>
  </si>
  <si>
    <t>賴柏如</t>
  </si>
  <si>
    <t>AG190611-14</t>
  </si>
  <si>
    <t>業務親送報告 備註        G2180521-02</t>
  </si>
  <si>
    <t>DP0118575999T</t>
  </si>
  <si>
    <t>謝佳憲</t>
  </si>
  <si>
    <t>AG190611-15</t>
  </si>
  <si>
    <t>DP0118589071T</t>
  </si>
  <si>
    <t>蔡家濬</t>
  </si>
  <si>
    <t>G2190612-01</t>
  </si>
  <si>
    <t>AB001256</t>
  </si>
  <si>
    <t>DP0118596383T</t>
  </si>
  <si>
    <t>劉冠葳</t>
  </si>
  <si>
    <t>G2190613-01</t>
  </si>
  <si>
    <t>FP0118600021T</t>
  </si>
  <si>
    <t>白華</t>
  </si>
  <si>
    <t>G2190613-02</t>
  </si>
  <si>
    <t>FP0118691087T</t>
  </si>
  <si>
    <t>胡丹</t>
  </si>
  <si>
    <t>G2190613-03</t>
  </si>
  <si>
    <t>FP0118701543T</t>
  </si>
  <si>
    <t>高嘉陽</t>
  </si>
  <si>
    <t>G2190613-04</t>
  </si>
  <si>
    <t xml:space="preserve"> DP0118619278T</t>
  </si>
  <si>
    <t>G2190614-01</t>
  </si>
  <si>
    <t>英文</t>
  </si>
  <si>
    <t>DP0118628891T</t>
  </si>
  <si>
    <t>丘明中</t>
  </si>
  <si>
    <t>G2190614-02</t>
  </si>
  <si>
    <t>AB001261</t>
  </si>
  <si>
    <t>羅鈺慧</t>
  </si>
  <si>
    <t>DP0118634089T</t>
  </si>
  <si>
    <t>張薾双</t>
  </si>
  <si>
    <t>全檢-2 + BS檢測服務-0</t>
  </si>
  <si>
    <t>HB190614-03</t>
  </si>
  <si>
    <t>AB001320-1</t>
  </si>
  <si>
    <t>G2190617-01</t>
  </si>
  <si>
    <t>AB001284</t>
  </si>
  <si>
    <t>G2190617-02</t>
  </si>
  <si>
    <t>AB001285</t>
  </si>
  <si>
    <t>Rocky</t>
  </si>
  <si>
    <t>其他</t>
  </si>
  <si>
    <t>FP0118666632T</t>
  </si>
  <si>
    <t>徐池</t>
  </si>
  <si>
    <t>G2190617-03</t>
  </si>
  <si>
    <t>原出電子檔6/24補紙本</t>
  </si>
  <si>
    <t>DP0118672617T</t>
  </si>
  <si>
    <t>尤澤安</t>
  </si>
  <si>
    <t>G2190617-04</t>
  </si>
  <si>
    <t>原出紙本6/24補電子檔</t>
  </si>
  <si>
    <t>FP0118717725T</t>
  </si>
  <si>
    <t>鄭卓輝</t>
  </si>
  <si>
    <t>G2190617-05</t>
  </si>
  <si>
    <t>修身堂</t>
  </si>
  <si>
    <t>FP0118681048T</t>
  </si>
  <si>
    <t>Pun Ka Kwan</t>
  </si>
  <si>
    <t>OB190617-06</t>
  </si>
  <si>
    <t>AB001322</t>
  </si>
  <si>
    <t>張啟明 張芯瑜</t>
  </si>
  <si>
    <t>DP0118721131T</t>
  </si>
  <si>
    <t>潘忻玥</t>
  </si>
  <si>
    <t>G2190618-01</t>
  </si>
  <si>
    <t>潘忻玥 張芯瑜</t>
  </si>
  <si>
    <t>DP0118732968T</t>
  </si>
  <si>
    <t>G2190618-02</t>
  </si>
  <si>
    <t>潘忻玥 張啟明</t>
  </si>
  <si>
    <t>DP0118748311T</t>
  </si>
  <si>
    <t>張芯瑜</t>
  </si>
  <si>
    <t>G2190618-03</t>
  </si>
  <si>
    <t>DP0118754760T</t>
  </si>
  <si>
    <t>陳伯卿</t>
  </si>
  <si>
    <t>G2190618-04</t>
  </si>
  <si>
    <t>DP0118767951T</t>
  </si>
  <si>
    <t>陳治睿</t>
  </si>
  <si>
    <t>G2190618-05</t>
  </si>
  <si>
    <t>7/25報告重製OK</t>
  </si>
  <si>
    <t>女兒:鄺筠筑</t>
  </si>
  <si>
    <t>DP0118773245T</t>
  </si>
  <si>
    <t>潘玥辰</t>
  </si>
  <si>
    <t>G2190618-06</t>
  </si>
  <si>
    <t>報告與女兒:鄺筠筑同一袋一起寄</t>
  </si>
  <si>
    <t>母:潘玥辰</t>
  </si>
  <si>
    <t>DP0118788710T</t>
  </si>
  <si>
    <t>鄺筠筑</t>
  </si>
  <si>
    <t>G2190618-07</t>
  </si>
  <si>
    <t>報告與母:潘玥辰同一袋一起寄</t>
  </si>
  <si>
    <t>DP0118794326T</t>
  </si>
  <si>
    <t>陳亭蓉</t>
  </si>
  <si>
    <t>G2190618-08</t>
  </si>
  <si>
    <t>DT</t>
  </si>
  <si>
    <t>GN0000031</t>
  </si>
  <si>
    <t>DP0118809139T</t>
  </si>
  <si>
    <t>潘昱霖</t>
  </si>
  <si>
    <t>DT排毒基因檢測</t>
  </si>
  <si>
    <t>G2190618-09</t>
  </si>
  <si>
    <t>女兒:黃于庭</t>
  </si>
  <si>
    <t>DP0118811001T</t>
  </si>
  <si>
    <t>戴珮竹</t>
  </si>
  <si>
    <t>G2190618-10</t>
  </si>
  <si>
    <t>女兒:王佳瑜</t>
  </si>
  <si>
    <t>DP0118821778T</t>
  </si>
  <si>
    <t>劉宥伶</t>
  </si>
  <si>
    <t>G2190618-11</t>
  </si>
  <si>
    <t>母:劉宥伶</t>
  </si>
  <si>
    <t>DP0118830670T</t>
  </si>
  <si>
    <t>王佳瑜</t>
  </si>
  <si>
    <t>G2190618-12</t>
  </si>
  <si>
    <t>DP0118841634T</t>
  </si>
  <si>
    <t>姜亮妤</t>
  </si>
  <si>
    <t>G2190618-13</t>
  </si>
  <si>
    <t>DP0118854759T</t>
  </si>
  <si>
    <t>朱哲儒</t>
  </si>
  <si>
    <t>G2190618-14</t>
  </si>
  <si>
    <t>DP0118868911T</t>
  </si>
  <si>
    <t>李文孝</t>
  </si>
  <si>
    <t>G2190618-15</t>
  </si>
  <si>
    <t>DP0118876556T</t>
  </si>
  <si>
    <t>陳佩玉</t>
  </si>
  <si>
    <t>G2190618-16</t>
  </si>
  <si>
    <t>DP0118883664T</t>
  </si>
  <si>
    <t>蔡昀祐</t>
  </si>
  <si>
    <t>G2190618-17</t>
  </si>
  <si>
    <t>DP0118896458T</t>
  </si>
  <si>
    <t>邱啟彥</t>
  </si>
  <si>
    <t>G2190618-18</t>
  </si>
  <si>
    <t>DP0118903684T</t>
  </si>
  <si>
    <t>許必惠</t>
  </si>
  <si>
    <t>G2190618-19</t>
  </si>
  <si>
    <t>DP0118910076T</t>
  </si>
  <si>
    <t>黃秋桂</t>
  </si>
  <si>
    <t>G2190618-20</t>
  </si>
  <si>
    <t>6/26修改顧客姓名</t>
  </si>
  <si>
    <t>DP0118928294T</t>
  </si>
  <si>
    <t>王月女</t>
  </si>
  <si>
    <t>G2190618-21</t>
  </si>
  <si>
    <t>DP0118938826T</t>
  </si>
  <si>
    <t>莊佩璿</t>
  </si>
  <si>
    <t>G2190618-22</t>
  </si>
  <si>
    <t>DP0118942872T</t>
  </si>
  <si>
    <t>蔡富美</t>
  </si>
  <si>
    <t>LH190618-23</t>
  </si>
  <si>
    <t>報告由營養師或客服帶至亞東</t>
  </si>
  <si>
    <t>DP0118956932T</t>
  </si>
  <si>
    <t>黃瓈葳</t>
  </si>
  <si>
    <t>G2190619-01</t>
  </si>
  <si>
    <t>DP0118961635T</t>
  </si>
  <si>
    <t>謝典熹</t>
  </si>
  <si>
    <t>G2190619-02</t>
  </si>
  <si>
    <t>PA000135</t>
  </si>
  <si>
    <t>DP0118979071T</t>
  </si>
  <si>
    <t>徐芷雯</t>
  </si>
  <si>
    <t xml:space="preserve"> BS檢測服務-2</t>
  </si>
  <si>
    <t>BS190619-03</t>
  </si>
  <si>
    <t>FP0119116862T</t>
  </si>
  <si>
    <t>NG CHIU YIN</t>
  </si>
  <si>
    <t>G2190620-01</t>
  </si>
  <si>
    <t>6/24修正會編</t>
  </si>
  <si>
    <t>AB001286</t>
  </si>
  <si>
    <t>DP0119023691T</t>
  </si>
  <si>
    <t>榮峻賢</t>
  </si>
  <si>
    <t>G2190620-02</t>
  </si>
  <si>
    <t>DP0119012015T</t>
  </si>
  <si>
    <t>章智傑</t>
  </si>
  <si>
    <t>G2190620-03</t>
  </si>
  <si>
    <t>DP0119002920T</t>
  </si>
  <si>
    <t>許郁柔</t>
  </si>
  <si>
    <t>G2190620-04</t>
  </si>
  <si>
    <t>AA030510</t>
  </si>
  <si>
    <t>海外-MY GENE</t>
  </si>
  <si>
    <t>FP0118995682T</t>
  </si>
  <si>
    <t>TAN HUI LI</t>
  </si>
  <si>
    <t>G2190620-05</t>
  </si>
  <si>
    <t>簡體電子</t>
  </si>
  <si>
    <t>AB001323</t>
  </si>
  <si>
    <t>DP0118984888T</t>
  </si>
  <si>
    <t>傅世慧</t>
  </si>
  <si>
    <t>P190620-06</t>
  </si>
  <si>
    <t>FP0119041621T</t>
  </si>
  <si>
    <t>葉瑋婷</t>
  </si>
  <si>
    <t>DT190621-01</t>
  </si>
  <si>
    <t>亞東門市聽報告</t>
  </si>
  <si>
    <t>DP0119055506T</t>
  </si>
  <si>
    <t>范馨方</t>
  </si>
  <si>
    <t>DT190621-02</t>
  </si>
  <si>
    <t>AB001275</t>
  </si>
  <si>
    <t>G2190621-03</t>
  </si>
  <si>
    <t>DP0119062986T</t>
  </si>
  <si>
    <t>廖彥智</t>
  </si>
  <si>
    <t>G2190621-04</t>
  </si>
  <si>
    <t>DP0119078291T</t>
  </si>
  <si>
    <t>廖閔紘</t>
  </si>
  <si>
    <t>G2190621-05</t>
  </si>
  <si>
    <t>AB001351</t>
  </si>
  <si>
    <t>DP0119089534T</t>
  </si>
  <si>
    <t>何孟娟</t>
  </si>
  <si>
    <t>P190621-06</t>
  </si>
  <si>
    <t>AB001302</t>
  </si>
  <si>
    <t>醫療-愛爾麗</t>
  </si>
  <si>
    <t>FP0119090029T</t>
  </si>
  <si>
    <t>余琛</t>
  </si>
  <si>
    <t>G2190621-07</t>
  </si>
  <si>
    <t>報告由業務親送勿聯絡</t>
  </si>
  <si>
    <t>FP0119107461T</t>
  </si>
  <si>
    <t>侯小娟</t>
  </si>
  <si>
    <t>G2190624-01</t>
  </si>
  <si>
    <t>PA000158</t>
  </si>
  <si>
    <t>威尼斯美學</t>
  </si>
  <si>
    <t>DP0090478636T</t>
  </si>
  <si>
    <t>張玉津</t>
  </si>
  <si>
    <t>AG190625-01</t>
  </si>
  <si>
    <t>DP0092439440T</t>
  </si>
  <si>
    <t>高筱雯</t>
  </si>
  <si>
    <t>AG190625-02</t>
  </si>
  <si>
    <t>AB001141</t>
  </si>
  <si>
    <t>耐斯診所</t>
  </si>
  <si>
    <t>DP0119135467T</t>
  </si>
  <si>
    <t>吳虹萱</t>
  </si>
  <si>
    <t>AG190625-03</t>
  </si>
  <si>
    <t>DP0119142338T</t>
  </si>
  <si>
    <t>林蔚東</t>
  </si>
  <si>
    <t>AG190625-04</t>
  </si>
  <si>
    <t>A10605-0048</t>
  </si>
  <si>
    <t>DP0074958849T</t>
  </si>
  <si>
    <t>梁永煌</t>
  </si>
  <si>
    <t>G2190625-05</t>
  </si>
  <si>
    <t>報告書重制G2170601-01</t>
  </si>
  <si>
    <t>醫療-好萊塢診所京站</t>
  </si>
  <si>
    <t>DP0119154907T</t>
  </si>
  <si>
    <t>李玉冠</t>
  </si>
  <si>
    <t>G2190625-06</t>
  </si>
  <si>
    <t>DP0119161225T</t>
  </si>
  <si>
    <t>陳志青</t>
  </si>
  <si>
    <t>G2190625-07</t>
  </si>
  <si>
    <t>AB001326</t>
  </si>
  <si>
    <t>集團- 大江生醫股份有限公司農科分公司</t>
  </si>
  <si>
    <t>DP0119175757T</t>
  </si>
  <si>
    <t>楊秀琴</t>
  </si>
  <si>
    <t>G2190625-08</t>
  </si>
  <si>
    <t>DP0119186446T</t>
  </si>
  <si>
    <t>王炳揚</t>
  </si>
  <si>
    <t>G2190625-09</t>
  </si>
  <si>
    <t>DP0119197669T</t>
  </si>
  <si>
    <t>吳玟霆</t>
  </si>
  <si>
    <t>G2190625-10</t>
  </si>
  <si>
    <t>DP0119207629T</t>
  </si>
  <si>
    <t>卜啟祥</t>
  </si>
  <si>
    <t>G2190625-11</t>
  </si>
  <si>
    <t>DP0119218042T</t>
  </si>
  <si>
    <t>陳麗美</t>
  </si>
  <si>
    <t>G2190625-12</t>
  </si>
  <si>
    <t>DP0119223462T</t>
  </si>
  <si>
    <t>陳南州</t>
  </si>
  <si>
    <t>G2190625-13</t>
  </si>
  <si>
    <t>PA000087</t>
  </si>
  <si>
    <t>個人</t>
  </si>
  <si>
    <t>OB190625-14</t>
  </si>
  <si>
    <t>G2190122-06</t>
  </si>
  <si>
    <t>威尼斯美學診所</t>
  </si>
  <si>
    <t>DP0119236127T</t>
  </si>
  <si>
    <t>楊茹欣</t>
  </si>
  <si>
    <t>OB190625-15</t>
  </si>
  <si>
    <t>DP0119246807T</t>
  </si>
  <si>
    <t>黃美花</t>
  </si>
  <si>
    <t>OB190625-16</t>
  </si>
  <si>
    <t>PA000120</t>
  </si>
  <si>
    <t>DP0015163636T</t>
  </si>
  <si>
    <t>陳芳雯</t>
  </si>
  <si>
    <t>AG190626-01</t>
  </si>
  <si>
    <t>溫奕淳、溫奕忻</t>
  </si>
  <si>
    <t>DP0119252883T</t>
  </si>
  <si>
    <t>邱齡玉</t>
  </si>
  <si>
    <t>AD190626-02</t>
  </si>
  <si>
    <t>DP0119264500T</t>
  </si>
  <si>
    <t>溫吉志</t>
  </si>
  <si>
    <t>AD190626-03</t>
  </si>
  <si>
    <t>AB001255</t>
  </si>
  <si>
    <t>FB</t>
  </si>
  <si>
    <t>DP0119277435T</t>
  </si>
  <si>
    <t>何幸芝</t>
  </si>
  <si>
    <t>HB190626-04</t>
  </si>
  <si>
    <t>AB001088</t>
  </si>
  <si>
    <t>DP0119285918T</t>
  </si>
  <si>
    <t>陳登第</t>
  </si>
  <si>
    <t>G2190626-05</t>
  </si>
  <si>
    <t>DP0119296831T</t>
  </si>
  <si>
    <t>陳米秦</t>
  </si>
  <si>
    <t>G2190626-06</t>
  </si>
  <si>
    <t>DP0119300000T</t>
  </si>
  <si>
    <t>黃昭維</t>
  </si>
  <si>
    <t>G2190626-07</t>
  </si>
  <si>
    <t>DP0119319284T</t>
  </si>
  <si>
    <t>朱晴暖</t>
  </si>
  <si>
    <t>G2190626-08</t>
  </si>
  <si>
    <t>AA001940</t>
  </si>
  <si>
    <t>DP0119327663T</t>
  </si>
  <si>
    <t>東峻平</t>
  </si>
  <si>
    <t>G2190626-09</t>
  </si>
  <si>
    <t>DP0119330512T</t>
  </si>
  <si>
    <t>楊仁豪</t>
  </si>
  <si>
    <t>G2190626-10</t>
  </si>
  <si>
    <t>DP0119346785T</t>
  </si>
  <si>
    <t>常正中</t>
  </si>
  <si>
    <t>G2190626-11</t>
  </si>
  <si>
    <t>DP0119353692T</t>
  </si>
  <si>
    <t>鄒裕弘</t>
  </si>
  <si>
    <t>G2190626-12</t>
  </si>
  <si>
    <t>DP0119366516T</t>
  </si>
  <si>
    <t>賴文智</t>
  </si>
  <si>
    <t>G2190626-13</t>
  </si>
  <si>
    <t>DP0119379392T</t>
  </si>
  <si>
    <t>陳璽倫</t>
  </si>
  <si>
    <t>G2190626-14</t>
  </si>
  <si>
    <t>DP0119382733T</t>
  </si>
  <si>
    <t>顏瑜珞</t>
  </si>
  <si>
    <t>G2190626-15</t>
  </si>
  <si>
    <t>Andrew.Liu</t>
  </si>
  <si>
    <t>G2190627-01</t>
  </si>
  <si>
    <t>DP0119403715T</t>
  </si>
  <si>
    <t>陳仁奇</t>
  </si>
  <si>
    <t>G2190627-02</t>
  </si>
  <si>
    <t>DP0119418613T</t>
  </si>
  <si>
    <t>黃富美</t>
  </si>
  <si>
    <t>G2190627-03</t>
  </si>
  <si>
    <t>DP0119421683T</t>
  </si>
  <si>
    <t>林秋吟</t>
  </si>
  <si>
    <t>G2190627-04</t>
  </si>
  <si>
    <t>DP0119433393T</t>
  </si>
  <si>
    <t>鍾伃婷</t>
  </si>
  <si>
    <t>G2190627-05</t>
  </si>
  <si>
    <t>DP0119446982T</t>
  </si>
  <si>
    <t>張欣萍</t>
  </si>
  <si>
    <t>G2190627-06</t>
  </si>
  <si>
    <t>DP0119455269T</t>
  </si>
  <si>
    <t>姚文</t>
  </si>
  <si>
    <t>G2190627-07</t>
  </si>
  <si>
    <t>DP0119463645T</t>
  </si>
  <si>
    <t>張哲源</t>
  </si>
  <si>
    <t>G2190627-08</t>
  </si>
  <si>
    <t>DP0119515339T</t>
  </si>
  <si>
    <t>林鴈峯</t>
  </si>
  <si>
    <t>G2190627-09</t>
  </si>
  <si>
    <t>DP0119479699T</t>
  </si>
  <si>
    <t>陳品妤</t>
  </si>
  <si>
    <t>G2190627-10</t>
  </si>
  <si>
    <t>DP0119486902T</t>
  </si>
  <si>
    <t>許冠偉</t>
  </si>
  <si>
    <t>G2190627-11</t>
  </si>
  <si>
    <t>DP0119491175T</t>
  </si>
  <si>
    <t>洪思婷</t>
  </si>
  <si>
    <t>G2190627-12</t>
  </si>
  <si>
    <t>DP0119500155T</t>
  </si>
  <si>
    <t>陳盈伸</t>
  </si>
  <si>
    <t>G2190627-13</t>
  </si>
  <si>
    <t>AB001356</t>
  </si>
  <si>
    <t>DP0119523132T</t>
  </si>
  <si>
    <t>蔣慶華</t>
  </si>
  <si>
    <t>G2190628-01</t>
  </si>
  <si>
    <t>DP0119535968T</t>
  </si>
  <si>
    <t>劉秀珠</t>
  </si>
  <si>
    <t>G2190628-02</t>
  </si>
  <si>
    <t>AB001357</t>
  </si>
  <si>
    <t>DP0119545162T</t>
  </si>
  <si>
    <t>吳怡臻</t>
  </si>
  <si>
    <t>G2190628-03</t>
  </si>
  <si>
    <t>AB001358</t>
  </si>
  <si>
    <t>DP0119553840T</t>
  </si>
  <si>
    <t>林珀采</t>
  </si>
  <si>
    <t>G2190628-04</t>
  </si>
  <si>
    <t>DP0119565351T</t>
  </si>
  <si>
    <t>何家蓉</t>
  </si>
  <si>
    <t>G2190628-05</t>
  </si>
  <si>
    <t>DP0119577983T</t>
  </si>
  <si>
    <t xml:space="preserve"> 鄭信文</t>
  </si>
  <si>
    <t>G2190628-06</t>
  </si>
  <si>
    <t>PA000132</t>
  </si>
  <si>
    <t>AG190628-07</t>
  </si>
  <si>
    <t>紀黎霞 陳宇芯</t>
  </si>
  <si>
    <t>DP0119584133T</t>
  </si>
  <si>
    <t>陳福林</t>
  </si>
  <si>
    <t>G2190701-01</t>
  </si>
  <si>
    <t>陳福林 陳宇芯</t>
  </si>
  <si>
    <t>DP0119594469T</t>
  </si>
  <si>
    <t>紀黎霞</t>
  </si>
  <si>
    <t>G2190701-02</t>
  </si>
  <si>
    <t>總計</t>
  </si>
  <si>
    <t>紀黎霞 陳福林</t>
  </si>
  <si>
    <t>DP0010764228T</t>
  </si>
  <si>
    <t>陳宇芯</t>
  </si>
  <si>
    <t>G2190701-03</t>
  </si>
  <si>
    <t>AA001938</t>
  </si>
  <si>
    <t>DP0119609007T</t>
  </si>
  <si>
    <t>郭湘鈴</t>
  </si>
  <si>
    <t>G2190701-04</t>
  </si>
  <si>
    <t>DP0119614000T</t>
  </si>
  <si>
    <t>鄭怡升</t>
  </si>
  <si>
    <t>G2190701-05</t>
  </si>
  <si>
    <t>DP0100359882T</t>
  </si>
  <si>
    <t>陳聖偉</t>
  </si>
  <si>
    <t>G2190701-06</t>
  </si>
  <si>
    <t>PA19062903</t>
  </si>
  <si>
    <t>DP0119626579T</t>
  </si>
  <si>
    <t>陳美鳳</t>
  </si>
  <si>
    <t>AD190701-07</t>
  </si>
  <si>
    <t>PA000136</t>
  </si>
  <si>
    <t>OB190701-08</t>
  </si>
  <si>
    <t>DT190701-09</t>
  </si>
  <si>
    <t>P190701-10</t>
  </si>
  <si>
    <t>AB001360</t>
  </si>
  <si>
    <t>DP0119752397T</t>
  </si>
  <si>
    <t>劉沛翰</t>
  </si>
  <si>
    <t>G2190702-01</t>
  </si>
  <si>
    <t>DP0119748559T</t>
  </si>
  <si>
    <t>黃慧昀</t>
  </si>
  <si>
    <t>G2190702-02</t>
  </si>
  <si>
    <t>DP0119739560T</t>
  </si>
  <si>
    <t>柯貞夙</t>
  </si>
  <si>
    <t>G2190702-03</t>
  </si>
  <si>
    <t>DP0119725417T</t>
  </si>
  <si>
    <t>王秀玲</t>
  </si>
  <si>
    <t>G2190702-04</t>
  </si>
  <si>
    <t>DP0119718951T</t>
  </si>
  <si>
    <t>林淑惠</t>
  </si>
  <si>
    <t>G2190702-05</t>
  </si>
  <si>
    <t>DP0119708305T</t>
  </si>
  <si>
    <t>劉乃瑞</t>
  </si>
  <si>
    <t>G2190702-06</t>
  </si>
  <si>
    <t>FP</t>
  </si>
  <si>
    <t>GN0000014</t>
  </si>
  <si>
    <t>FP五行基因檢測</t>
  </si>
  <si>
    <t>DP0119692747T</t>
  </si>
  <si>
    <t>蕭巧麗</t>
  </si>
  <si>
    <t>G2190702-07</t>
  </si>
  <si>
    <t>DP0119684886T</t>
  </si>
  <si>
    <t>康惠卿</t>
  </si>
  <si>
    <t>G2190702-08</t>
  </si>
  <si>
    <t>呂宣慧 楊璨瑉</t>
  </si>
  <si>
    <t>DP0119673305T</t>
  </si>
  <si>
    <t>任見歡</t>
  </si>
  <si>
    <t>G2190702-09</t>
  </si>
  <si>
    <t>呂宣慧 任見歡</t>
  </si>
  <si>
    <t>DP0119661695T</t>
  </si>
  <si>
    <t>楊璨瑉</t>
  </si>
  <si>
    <t>G2190702-10</t>
  </si>
  <si>
    <t>任見歡 楊璨瑉</t>
  </si>
  <si>
    <t>DP0119653696T</t>
  </si>
  <si>
    <t>呂宣慧</t>
  </si>
  <si>
    <t>G2190702-11</t>
  </si>
  <si>
    <t>DP0119649340T</t>
  </si>
  <si>
    <t>張幸枝</t>
  </si>
  <si>
    <t>OB190702-12</t>
  </si>
  <si>
    <t>AB001290</t>
  </si>
  <si>
    <t>DP0088524651T</t>
  </si>
  <si>
    <t>王阿美</t>
  </si>
  <si>
    <t>抗老快篩-2</t>
  </si>
  <si>
    <t>AG190703-01</t>
  </si>
  <si>
    <t>G2180213-01</t>
  </si>
  <si>
    <t>DP0119764673T</t>
  </si>
  <si>
    <t>陳建英</t>
  </si>
  <si>
    <t>CG癌症風險基因檢測-2</t>
  </si>
  <si>
    <t>G2D190703-02</t>
  </si>
  <si>
    <t>FG女性疾病基因檢測-0</t>
  </si>
  <si>
    <t>醫療-悠美診所(松阪)</t>
  </si>
  <si>
    <t>DP0119771041T</t>
  </si>
  <si>
    <t>陶德嫻</t>
  </si>
  <si>
    <t>G2190704-01</t>
  </si>
  <si>
    <t>Julia直寄7/9</t>
  </si>
  <si>
    <t>DP0119782078T</t>
  </si>
  <si>
    <t>汪寧詩</t>
  </si>
  <si>
    <t>G2190704-02</t>
  </si>
  <si>
    <t>DP0119790291T</t>
  </si>
  <si>
    <t>陳怡瑈</t>
  </si>
  <si>
    <t>G2190704-03</t>
  </si>
  <si>
    <t>DP0119804841T</t>
  </si>
  <si>
    <t>劉麗淳</t>
  </si>
  <si>
    <t>G2190704-CG04-IS05</t>
  </si>
  <si>
    <t>IS免疫風險基因檢測-0</t>
  </si>
  <si>
    <t>AB001327</t>
  </si>
  <si>
    <t>海外-現代美容</t>
  </si>
  <si>
    <t>FP0119818922T</t>
  </si>
  <si>
    <t>LEE KA YI</t>
  </si>
  <si>
    <t>BS190705-01</t>
  </si>
  <si>
    <t>中英</t>
  </si>
  <si>
    <t>請7/9下午前提供電子檔</t>
  </si>
  <si>
    <t>FP0119824622T</t>
  </si>
  <si>
    <t>HO MEE KUEN</t>
  </si>
  <si>
    <t>BS190705-02</t>
  </si>
  <si>
    <t>PA000140</t>
  </si>
  <si>
    <t>FP0054175058T</t>
  </si>
  <si>
    <t>鄭明龍</t>
  </si>
  <si>
    <t>AG190705-03</t>
  </si>
  <si>
    <t>DP0119836171T</t>
  </si>
  <si>
    <t>時上恒</t>
  </si>
  <si>
    <t>G2190708-01</t>
  </si>
  <si>
    <t>DP0119849139T</t>
  </si>
  <si>
    <t>廖佑寅</t>
  </si>
  <si>
    <t>G2190708-02</t>
  </si>
  <si>
    <t>林睦潔(女)</t>
  </si>
  <si>
    <t>DP0119857041T</t>
  </si>
  <si>
    <t>黃慈惠</t>
  </si>
  <si>
    <t>CG癌症風險基因檢測</t>
  </si>
  <si>
    <t>G2190708-CG03</t>
  </si>
  <si>
    <t>黃慈惠(母)</t>
  </si>
  <si>
    <t>DP0119862899T</t>
  </si>
  <si>
    <t>林睦潔</t>
  </si>
  <si>
    <t>FG女性疾病基因檢測</t>
  </si>
  <si>
    <t>FG190708-04</t>
  </si>
  <si>
    <t>醫療-好萊塢診所板橋店</t>
  </si>
  <si>
    <t>DP0119874442T</t>
  </si>
  <si>
    <t>蘇文吉</t>
  </si>
  <si>
    <t>G2190708-05</t>
  </si>
  <si>
    <t>勿聯繫</t>
  </si>
  <si>
    <t>陳奕璋</t>
  </si>
  <si>
    <t>DP0119883584T</t>
  </si>
  <si>
    <t>王虞鈞</t>
  </si>
  <si>
    <t>G2190709-01</t>
  </si>
  <si>
    <t>陳雁怡 陳榮崑</t>
  </si>
  <si>
    <t>DP0119899973T</t>
  </si>
  <si>
    <t>陳翊琪</t>
  </si>
  <si>
    <t>G2190709-02</t>
  </si>
  <si>
    <t>陳翊琪 陳榮崑</t>
  </si>
  <si>
    <t>DP0119907406T</t>
  </si>
  <si>
    <t>陳雁怡</t>
  </si>
  <si>
    <t>G2190709-03</t>
  </si>
  <si>
    <t>DP0119916409T</t>
  </si>
  <si>
    <t>陳彥君</t>
  </si>
  <si>
    <t>G2190709-04</t>
  </si>
  <si>
    <t>陳雁怡 陳翊琪</t>
  </si>
  <si>
    <t>DP0119921432T</t>
  </si>
  <si>
    <t>陳榮崑</t>
  </si>
  <si>
    <t>G2190709-05</t>
  </si>
  <si>
    <t>DP0119938821T</t>
  </si>
  <si>
    <t>G2190709-06</t>
  </si>
  <si>
    <t>蔡依靜 蔡依玲 蔡易澄</t>
  </si>
  <si>
    <t>FP0120018892T</t>
  </si>
  <si>
    <t>莊雅惠</t>
  </si>
  <si>
    <t>G2190709-07</t>
  </si>
  <si>
    <t>報告出來請確認身分證</t>
  </si>
  <si>
    <t>莊雅惠 蔡全中</t>
  </si>
  <si>
    <t>DP0119947137T</t>
  </si>
  <si>
    <t>蔡依靜</t>
  </si>
  <si>
    <t>G2190709-08</t>
  </si>
  <si>
    <t xml:space="preserve">莊雅惠 蔡全中 </t>
  </si>
  <si>
    <t>DP0119953262T</t>
  </si>
  <si>
    <t>蔡易澄</t>
  </si>
  <si>
    <t>G2190709-09</t>
  </si>
  <si>
    <t>DP0119966468T</t>
  </si>
  <si>
    <t>蔡依玲</t>
  </si>
  <si>
    <t>G2190709-10</t>
  </si>
  <si>
    <t>蔡依靜 莊雅惠</t>
  </si>
  <si>
    <t>DP0119977309T</t>
  </si>
  <si>
    <t>蔡全中</t>
  </si>
  <si>
    <t>G2190709-11</t>
  </si>
  <si>
    <t>蔡文賢 蔡孟勳</t>
  </si>
  <si>
    <t>DP0119982357T</t>
  </si>
  <si>
    <t>蔡欣樺</t>
  </si>
  <si>
    <t>G2190709-12</t>
  </si>
  <si>
    <t>蔡欣樺 蔡孟勳</t>
  </si>
  <si>
    <t>DP0120023084T</t>
  </si>
  <si>
    <t>蔡文賢</t>
  </si>
  <si>
    <t>G2190709-13</t>
  </si>
  <si>
    <t>蔡欣樺 蔡文賢</t>
  </si>
  <si>
    <t>DP0119998173T</t>
  </si>
  <si>
    <t>蔡孟勳</t>
  </si>
  <si>
    <t>G2190709-14</t>
  </si>
  <si>
    <t>G2190709-15</t>
  </si>
  <si>
    <t>已做過G2 G2190619-02</t>
  </si>
  <si>
    <t>FP0120000187T</t>
  </si>
  <si>
    <t>林昕冉</t>
  </si>
  <si>
    <t>G2190709-16</t>
  </si>
  <si>
    <t>DP0120038993T</t>
  </si>
  <si>
    <t>林盈君</t>
  </si>
  <si>
    <t>G2190710-01</t>
  </si>
  <si>
    <t>業務親送,已跟業務確認需要紙本</t>
  </si>
  <si>
    <t>AB001142</t>
  </si>
  <si>
    <t>DP0120046324T</t>
  </si>
  <si>
    <t>陳冠霖</t>
  </si>
  <si>
    <t>G2190711-01</t>
  </si>
  <si>
    <t>悠美診所-忠孝</t>
  </si>
  <si>
    <t>DP0120055352T</t>
  </si>
  <si>
    <t>石聿妡</t>
  </si>
  <si>
    <t>G2190712-01</t>
  </si>
  <si>
    <t>悠美忠孝Julia直寄</t>
  </si>
  <si>
    <t>AB001089</t>
  </si>
  <si>
    <t>DP0120062916T</t>
  </si>
  <si>
    <t>賴思陵</t>
  </si>
  <si>
    <t>G2190712-02</t>
  </si>
  <si>
    <t>AB001371</t>
  </si>
  <si>
    <t>DP0120071627T</t>
  </si>
  <si>
    <t>許慧敏</t>
  </si>
  <si>
    <t>G2190712-03</t>
  </si>
  <si>
    <t>DP0120086020T</t>
  </si>
  <si>
    <t xml:space="preserve">黃靖淳 </t>
  </si>
  <si>
    <t>G2190712-04</t>
  </si>
  <si>
    <t>DP0120090688T</t>
  </si>
  <si>
    <t>莊干儀</t>
  </si>
  <si>
    <t>G2190712-05</t>
  </si>
  <si>
    <t>林昱申</t>
  </si>
  <si>
    <t>DP0120106290T</t>
  </si>
  <si>
    <t>陳玟菊</t>
  </si>
  <si>
    <t>G2190712-06</t>
  </si>
  <si>
    <t>DP0120114377T</t>
  </si>
  <si>
    <t>羅浿晶</t>
  </si>
  <si>
    <t>G2190712-07</t>
  </si>
  <si>
    <t>DP0120127818T</t>
  </si>
  <si>
    <t>黃詩圓</t>
  </si>
  <si>
    <t>G2190712-08</t>
  </si>
  <si>
    <t>DP0120134135T</t>
  </si>
  <si>
    <t>林均</t>
  </si>
  <si>
    <t>G2190712-09</t>
  </si>
  <si>
    <t>DP0120149603T</t>
  </si>
  <si>
    <t>林主峯</t>
  </si>
  <si>
    <t>G2190712-10</t>
  </si>
  <si>
    <t>DP0120154884T</t>
  </si>
  <si>
    <t>林盛章</t>
  </si>
  <si>
    <t>G2190712-11</t>
  </si>
  <si>
    <t>DP0120161640T</t>
  </si>
  <si>
    <t>鍾幸儒</t>
  </si>
  <si>
    <t>G2190712-12</t>
  </si>
  <si>
    <t>DP0120170440T</t>
  </si>
  <si>
    <t>李佳霖</t>
  </si>
  <si>
    <t>G2190712-13</t>
  </si>
  <si>
    <t>DP0120189596T</t>
  </si>
  <si>
    <t>G2190712-14</t>
  </si>
  <si>
    <t>DP0120195024T</t>
  </si>
  <si>
    <t>黃國晉</t>
  </si>
  <si>
    <t>G2190712-15</t>
  </si>
  <si>
    <t>DP0120208576T</t>
  </si>
  <si>
    <t>施國庭</t>
  </si>
  <si>
    <t>G2190712-16</t>
  </si>
  <si>
    <t>DP0120216012T</t>
  </si>
  <si>
    <t>劉佳媛</t>
  </si>
  <si>
    <t>G2190712-17</t>
  </si>
  <si>
    <t>DP0120228888T</t>
  </si>
  <si>
    <t>王仕遠</t>
  </si>
  <si>
    <t>G2190712-18</t>
  </si>
  <si>
    <t>AB000147</t>
  </si>
  <si>
    <t>客服部</t>
  </si>
  <si>
    <t>DP0120234849T</t>
  </si>
  <si>
    <t xml:space="preserve">王國威 </t>
  </si>
  <si>
    <t>G2190712-19</t>
  </si>
  <si>
    <t>DP0120244443T</t>
  </si>
  <si>
    <t>謝官俸</t>
  </si>
  <si>
    <t>G2190712-20</t>
  </si>
  <si>
    <t>Julia</t>
  </si>
  <si>
    <t>FP0120441548T</t>
  </si>
  <si>
    <t>Cheung Ling Chu Sally</t>
  </si>
  <si>
    <t>OB190715-01</t>
  </si>
  <si>
    <t>已mail給Sandra</t>
  </si>
  <si>
    <t>同陽牙醫</t>
  </si>
  <si>
    <t>DP0120258304T</t>
  </si>
  <si>
    <t>蔡劉淑珠</t>
  </si>
  <si>
    <t>G2190716-01</t>
  </si>
  <si>
    <t>7/24已寄送</t>
  </si>
  <si>
    <t>DP0120269231T</t>
  </si>
  <si>
    <t>莊承翰</t>
  </si>
  <si>
    <t>G2190716-02</t>
  </si>
  <si>
    <t>DP0120277837T</t>
  </si>
  <si>
    <t>王韻慈</t>
  </si>
  <si>
    <t>G2190716-03</t>
  </si>
  <si>
    <t>業務親送</t>
  </si>
  <si>
    <t xml:space="preserve"> 周榮枝、周何森、傅微蘋</t>
  </si>
  <si>
    <t>DP0120283901T</t>
  </si>
  <si>
    <t>周軍成</t>
  </si>
  <si>
    <t>G2190716-04</t>
  </si>
  <si>
    <t>DP0120395832T</t>
  </si>
  <si>
    <t>周榮枝</t>
  </si>
  <si>
    <t>G2190716-05</t>
  </si>
  <si>
    <t xml:space="preserve"> 周軍成、周榮枝、傅微蘋</t>
  </si>
  <si>
    <t>DP0120292149T</t>
  </si>
  <si>
    <t>周何森</t>
  </si>
  <si>
    <t>G2190716-06</t>
  </si>
  <si>
    <t xml:space="preserve"> 周軍成、周榮枝、周何森</t>
  </si>
  <si>
    <t>DP0120303290T</t>
  </si>
  <si>
    <t>傅微蘋</t>
  </si>
  <si>
    <t>G2190716-07</t>
  </si>
  <si>
    <t>傅微哲、周靚軒</t>
  </si>
  <si>
    <t>DP0120311024T</t>
  </si>
  <si>
    <t>白瓊芬</t>
  </si>
  <si>
    <t>G2190716-08</t>
  </si>
  <si>
    <t>白瓊芳、周靚軒</t>
  </si>
  <si>
    <t>DP0120326845T</t>
  </si>
  <si>
    <t>傅微哲</t>
  </si>
  <si>
    <t>G2190716-09</t>
  </si>
  <si>
    <t>白瓊芳、傅微哲</t>
  </si>
  <si>
    <t>DP0120334298T</t>
  </si>
  <si>
    <t>周靚軒</t>
  </si>
  <si>
    <t>全檢-1</t>
  </si>
  <si>
    <t>G2190716-10</t>
  </si>
  <si>
    <t>AA001943</t>
  </si>
  <si>
    <t>Victor Khen</t>
  </si>
  <si>
    <t>FP0120349603T</t>
  </si>
  <si>
    <t>陳佳佳</t>
  </si>
  <si>
    <t>G2190716-11</t>
  </si>
  <si>
    <t>員購Julia直寄</t>
  </si>
  <si>
    <t>FP0120358088T</t>
  </si>
  <si>
    <t>G2190716-12</t>
  </si>
  <si>
    <t>醫療-優瑞牙醫</t>
  </si>
  <si>
    <t>蕭桂媛</t>
  </si>
  <si>
    <t>DP0120367455T</t>
  </si>
  <si>
    <t>范嘉麟</t>
  </si>
  <si>
    <t>OMG190716-13</t>
  </si>
  <si>
    <t>7/24寄 台北市大安區安和路一段69號</t>
  </si>
  <si>
    <t>DP0120372857T</t>
  </si>
  <si>
    <t>OMG190716-14</t>
  </si>
  <si>
    <t>醫療-富麗牙醫</t>
  </si>
  <si>
    <t>DP0120388649T</t>
  </si>
  <si>
    <t>賴麗卿</t>
  </si>
  <si>
    <t>OMG190716-15</t>
  </si>
  <si>
    <t>7/24寄 台北市和平西路一段69號</t>
  </si>
  <si>
    <t>晶鑽時尚診所</t>
  </si>
  <si>
    <t>張若穎</t>
  </si>
  <si>
    <t>DP0120406581T</t>
  </si>
  <si>
    <t>王傳甯</t>
  </si>
  <si>
    <t>G2190717-01</t>
  </si>
  <si>
    <t>抬頭-晶鑽時尚診所 勿聯繫</t>
  </si>
  <si>
    <t>DP0120410036T</t>
  </si>
  <si>
    <t>G2190717-02</t>
  </si>
  <si>
    <t>王慕翰</t>
  </si>
  <si>
    <t>DP0120427399T</t>
  </si>
  <si>
    <t>黃文慧</t>
  </si>
  <si>
    <t>G2190717-03</t>
  </si>
  <si>
    <t>DP0120431197T</t>
  </si>
  <si>
    <t>G2190717-04</t>
  </si>
  <si>
    <t>FP0120453185T</t>
  </si>
  <si>
    <t>劉永德</t>
  </si>
  <si>
    <t>G2190718-01</t>
  </si>
  <si>
    <t>7/22已mail給客戶</t>
  </si>
  <si>
    <t>FP0120467030T</t>
  </si>
  <si>
    <t>Chan Fung Ping</t>
  </si>
  <si>
    <t>BS190718-02</t>
  </si>
  <si>
    <t>客戶指定Vincent Hsieh講解7/22已mail給客戶</t>
  </si>
  <si>
    <t>FP0120470031T</t>
  </si>
  <si>
    <t>Wong Pui Ling</t>
  </si>
  <si>
    <t>BS190718-03</t>
  </si>
  <si>
    <t>FP0120480676T</t>
  </si>
  <si>
    <t>Hui Lai Yin</t>
  </si>
  <si>
    <t>BS190718-04</t>
  </si>
  <si>
    <t>OB190718-05</t>
  </si>
  <si>
    <t>OB190718-06</t>
  </si>
  <si>
    <t>OB190718-07</t>
  </si>
  <si>
    <t>PA000141</t>
  </si>
  <si>
    <t>天下論壇展會</t>
  </si>
  <si>
    <t>FP0120491801T</t>
  </si>
  <si>
    <t>張大磊</t>
  </si>
  <si>
    <t>G2190718-08</t>
  </si>
  <si>
    <t>7/19已給Ray提給客戶</t>
  </si>
  <si>
    <t>DP0120507539T</t>
  </si>
  <si>
    <t>王伯莉</t>
  </si>
  <si>
    <t>AD190718-09</t>
  </si>
  <si>
    <t>7/18mail給客戶</t>
  </si>
  <si>
    <t>DP0120512339T</t>
  </si>
  <si>
    <t>張志華</t>
  </si>
  <si>
    <t>AD190718-10</t>
  </si>
  <si>
    <t>DP0120521461T</t>
  </si>
  <si>
    <t>方明達</t>
  </si>
  <si>
    <t>AD190718-11</t>
  </si>
  <si>
    <t>DP0120530984T</t>
  </si>
  <si>
    <t>楊隆炘</t>
  </si>
  <si>
    <t>AD190718-12</t>
  </si>
  <si>
    <t>DP0120541288T</t>
  </si>
  <si>
    <t>楊香芸</t>
  </si>
  <si>
    <t>AD190718-13</t>
  </si>
  <si>
    <t>AB001413</t>
  </si>
  <si>
    <t>DP0120550627T</t>
  </si>
  <si>
    <t>葉雲</t>
  </si>
  <si>
    <t>AD190718-14</t>
  </si>
  <si>
    <t>7/19mail給客戶</t>
  </si>
  <si>
    <t>FP0120567529T</t>
  </si>
  <si>
    <t>施濟濤</t>
  </si>
  <si>
    <t>G2190719-01</t>
  </si>
  <si>
    <t>7/23給報告Josh</t>
  </si>
  <si>
    <t>Aaron</t>
  </si>
  <si>
    <t>DP0120576836T</t>
  </si>
  <si>
    <t>吳君婷</t>
  </si>
  <si>
    <t>G2190719-02</t>
  </si>
  <si>
    <t>DP0120588432T</t>
  </si>
  <si>
    <t>林莉婷</t>
  </si>
  <si>
    <t>AD190719-03</t>
  </si>
  <si>
    <t>DP0120596846T</t>
  </si>
  <si>
    <t>曹祐誠</t>
  </si>
  <si>
    <t>AD190719-04</t>
  </si>
  <si>
    <t>DP0120605770T</t>
  </si>
  <si>
    <t>楊蔚晴</t>
  </si>
  <si>
    <t>AD190719-05</t>
  </si>
  <si>
    <t>Alex 親送</t>
  </si>
  <si>
    <t>DP0120613669T</t>
  </si>
  <si>
    <t>陳廣蓮</t>
  </si>
  <si>
    <t>AD190719-06</t>
  </si>
  <si>
    <t>DP0120627854T</t>
  </si>
  <si>
    <t>李洛梅</t>
  </si>
  <si>
    <t>AD190719-07</t>
  </si>
  <si>
    <t>FP0120639359T</t>
  </si>
  <si>
    <t>曾惠瑾</t>
  </si>
  <si>
    <t>AD190719-08</t>
  </si>
  <si>
    <t>DP0120649985T</t>
  </si>
  <si>
    <t>林佳蓉</t>
  </si>
  <si>
    <t>AD190719-09</t>
  </si>
  <si>
    <t>DP0120657432T</t>
  </si>
  <si>
    <t>蘇貞如</t>
  </si>
  <si>
    <t>AD190719-10</t>
  </si>
  <si>
    <t>DP0120666292T</t>
  </si>
  <si>
    <t>吳琬瑜</t>
  </si>
  <si>
    <t>AD190719-11</t>
  </si>
  <si>
    <t>DP0120670425T</t>
  </si>
  <si>
    <t>黃靖雅</t>
  </si>
  <si>
    <t>AD190719-12</t>
  </si>
  <si>
    <t>DP0120680559T</t>
  </si>
  <si>
    <t>陳崗熒</t>
  </si>
  <si>
    <t>AD190719-13</t>
  </si>
  <si>
    <t>DP0120694515T</t>
  </si>
  <si>
    <t>汪世堯</t>
  </si>
  <si>
    <t>AD190719-14</t>
  </si>
  <si>
    <t>PA000099</t>
  </si>
  <si>
    <t>HB</t>
  </si>
  <si>
    <t>GN0000009</t>
  </si>
  <si>
    <t>HB(G2+BS)G2升級免費BS</t>
  </si>
  <si>
    <t>DP0120704802T</t>
  </si>
  <si>
    <t>李冠蓁</t>
  </si>
  <si>
    <t>OB190722-01</t>
  </si>
  <si>
    <t xml:space="preserve"> BS檢測服務-0</t>
  </si>
  <si>
    <t>BS190722-02</t>
  </si>
  <si>
    <t>Rafael Ryzen</t>
  </si>
  <si>
    <t>FP0120742883T</t>
  </si>
  <si>
    <t>戴夆晏</t>
  </si>
  <si>
    <t>G2190722-03</t>
  </si>
  <si>
    <t>報告提供給Brian7/24已mail</t>
  </si>
  <si>
    <t>戴夆晏 Ryzen</t>
  </si>
  <si>
    <t>FP0120756335T</t>
  </si>
  <si>
    <t>Rafael Hartanto</t>
  </si>
  <si>
    <t>G2190722-04</t>
  </si>
  <si>
    <t>戴夆晏 Rafael</t>
  </si>
  <si>
    <t>FP0120767838T</t>
  </si>
  <si>
    <t>Ryzen Hartanto</t>
  </si>
  <si>
    <t>G2190722-05</t>
  </si>
  <si>
    <t>AB001408</t>
  </si>
  <si>
    <t>集團-大江生醫股份有限公司</t>
  </si>
  <si>
    <t>FP0120773489T</t>
  </si>
  <si>
    <t>Lusia Mihawati Batihalim</t>
  </si>
  <si>
    <t>G2190722-06</t>
  </si>
  <si>
    <t>FP0120786329T</t>
  </si>
  <si>
    <t>Renny Hioe</t>
  </si>
  <si>
    <t>G2190722-07</t>
  </si>
  <si>
    <t>FP0120790012T</t>
  </si>
  <si>
    <t>Stephanie Dewi</t>
  </si>
  <si>
    <t>G2190722-08</t>
  </si>
  <si>
    <t>FP0120800001T</t>
  </si>
  <si>
    <t>Ronald Adiwijaya</t>
  </si>
  <si>
    <t>G2190722-09</t>
  </si>
  <si>
    <t>紙本報告提供給Brian7/24</t>
  </si>
  <si>
    <t>DP0120813299T</t>
  </si>
  <si>
    <t>蘇敏菁</t>
  </si>
  <si>
    <t>G2190722-10</t>
  </si>
  <si>
    <t>DP0120828237T</t>
  </si>
  <si>
    <t>李亘凱</t>
  </si>
  <si>
    <t>G2190722-11</t>
  </si>
  <si>
    <t>DP0120839872T</t>
  </si>
  <si>
    <t>李奇璋</t>
  </si>
  <si>
    <t>G2190722-12</t>
  </si>
  <si>
    <t>DP0120849065T</t>
  </si>
  <si>
    <t>曹孟茹</t>
  </si>
  <si>
    <t>G2190722-13</t>
  </si>
  <si>
    <t>DP0120855657T</t>
  </si>
  <si>
    <t>高典</t>
  </si>
  <si>
    <t>G2190722-14</t>
  </si>
  <si>
    <t>DP0120866891T</t>
  </si>
  <si>
    <t>黃培瑞</t>
  </si>
  <si>
    <t>G2190722-15</t>
  </si>
  <si>
    <t>DP0120894594T</t>
  </si>
  <si>
    <t>吳家德</t>
  </si>
  <si>
    <t>G2190722-16</t>
  </si>
  <si>
    <t>DP0120872082T</t>
  </si>
  <si>
    <t>王立垚</t>
  </si>
  <si>
    <t>G2190722-17</t>
  </si>
  <si>
    <t>DP0120887496T</t>
  </si>
  <si>
    <t>許新曼</t>
  </si>
  <si>
    <t>G2190722-18</t>
  </si>
  <si>
    <t>PA000090</t>
  </si>
  <si>
    <t>DP0093026630T</t>
  </si>
  <si>
    <t>楊清堯</t>
  </si>
  <si>
    <t>OB190722-19</t>
  </si>
  <si>
    <t>晶鑽生醫(抬頭-好萊塢診所)</t>
  </si>
  <si>
    <t>梁學錫</t>
  </si>
  <si>
    <t>DP0120903066T</t>
  </si>
  <si>
    <t>陳麗娟</t>
  </si>
  <si>
    <t>G2190723-01</t>
  </si>
  <si>
    <t>勿聯繫 抬頭-好萊塢診所</t>
  </si>
  <si>
    <t>DP0120910074T</t>
  </si>
  <si>
    <t>G2190723-02</t>
  </si>
  <si>
    <t>AB001380</t>
  </si>
  <si>
    <t>林正宗婦產科</t>
  </si>
  <si>
    <t>黃室傑</t>
  </si>
  <si>
    <t>DP0120716410T</t>
  </si>
  <si>
    <t>邱比辰</t>
  </si>
  <si>
    <t>G2190724-01</t>
  </si>
  <si>
    <t>直接寄送診所台北市大安區和平東路三段100號2F(電話27337008)</t>
  </si>
  <si>
    <t>DP0120729309T</t>
  </si>
  <si>
    <t>G2190724-02</t>
  </si>
  <si>
    <t>AB001381</t>
  </si>
  <si>
    <t>DP0120923922T</t>
  </si>
  <si>
    <t>趙雲鳳</t>
  </si>
  <si>
    <t>G2190724-03</t>
  </si>
  <si>
    <t>DP0120930878T</t>
  </si>
  <si>
    <t>王林淑媛</t>
  </si>
  <si>
    <t>DT190724-04</t>
  </si>
  <si>
    <t>悠美診所-松阪</t>
  </si>
  <si>
    <t>DP0120946777T</t>
  </si>
  <si>
    <t>潘美含</t>
  </si>
  <si>
    <t>G2190725-01</t>
  </si>
  <si>
    <t>直接寄送診所</t>
  </si>
  <si>
    <t>DP0120958876T</t>
  </si>
  <si>
    <t>朱芃年</t>
  </si>
  <si>
    <t>G2190725-02</t>
  </si>
  <si>
    <t>DP0120966652T</t>
  </si>
  <si>
    <t>李佳軒</t>
  </si>
  <si>
    <t>G2190725-03</t>
  </si>
  <si>
    <t>PA000100</t>
  </si>
  <si>
    <t>DP0120977998T</t>
  </si>
  <si>
    <t>許維芸</t>
  </si>
  <si>
    <t>P190725-04</t>
  </si>
  <si>
    <t>陳暤彣</t>
  </si>
  <si>
    <t>DP0120981321T</t>
  </si>
  <si>
    <t>黃慈貞</t>
  </si>
  <si>
    <t>G2190729-CG01</t>
  </si>
  <si>
    <t>快篩系列-粉紅-0</t>
  </si>
  <si>
    <t>P190729-02</t>
  </si>
  <si>
    <t>DP0120990343T</t>
  </si>
  <si>
    <t>FG女性疾病基因檢測-2</t>
  </si>
  <si>
    <t>G2190729-FG03</t>
  </si>
  <si>
    <t>DP0121001131T</t>
  </si>
  <si>
    <t>向志賢</t>
  </si>
  <si>
    <t>G2190729-CG04</t>
  </si>
  <si>
    <t>DP0121015634T</t>
  </si>
  <si>
    <t>李文瑩</t>
  </si>
  <si>
    <t>G2190730-01</t>
  </si>
  <si>
    <t>繁中紙本+英文電子, 報告書直接給Vincent</t>
  </si>
  <si>
    <t>AB001382</t>
  </si>
  <si>
    <t>DP0121029619T</t>
  </si>
  <si>
    <t>林定憲</t>
  </si>
  <si>
    <t>G2190730-02</t>
  </si>
  <si>
    <t>PA000098</t>
  </si>
  <si>
    <t>DP0121036286T</t>
  </si>
  <si>
    <t>呂怡臻</t>
  </si>
  <si>
    <t>OB190730-03</t>
  </si>
  <si>
    <t>DP0121042313T</t>
  </si>
  <si>
    <t>曾晨光</t>
  </si>
  <si>
    <t>OB190730-04</t>
  </si>
  <si>
    <t>業務親送勿聯繫</t>
  </si>
  <si>
    <t>FP0121057067T</t>
  </si>
  <si>
    <t>李淑貞</t>
  </si>
  <si>
    <t>OB190730-05</t>
  </si>
  <si>
    <t>FP0121060611T</t>
  </si>
  <si>
    <t>林天賜</t>
  </si>
  <si>
    <t>OB190730-06</t>
  </si>
  <si>
    <t>BS190730-07</t>
  </si>
  <si>
    <t>DP0121072086T</t>
  </si>
  <si>
    <t>洪國証</t>
  </si>
  <si>
    <t>G2190731-01</t>
  </si>
  <si>
    <t>DP0121084342T</t>
  </si>
  <si>
    <t>陳瑋凡</t>
  </si>
  <si>
    <t>G2190731-02</t>
  </si>
  <si>
    <t>DP0121092588T</t>
  </si>
  <si>
    <t>王家茂</t>
  </si>
  <si>
    <t>G2190731-03</t>
  </si>
  <si>
    <t>DP0121107388T</t>
  </si>
  <si>
    <t>王志文</t>
  </si>
  <si>
    <t>G2190731-04</t>
  </si>
  <si>
    <t>DP0121116083T</t>
  </si>
  <si>
    <t>王勢雲</t>
  </si>
  <si>
    <t>G2190731-05</t>
  </si>
  <si>
    <t>DP0121121091T</t>
  </si>
  <si>
    <t>陳俊吉</t>
  </si>
  <si>
    <t>G2190731-06</t>
  </si>
  <si>
    <t>DP0121130004T</t>
  </si>
  <si>
    <t>林子軒</t>
  </si>
  <si>
    <t>G2190731-07</t>
  </si>
  <si>
    <t>DP0121144685T</t>
  </si>
  <si>
    <t>謝在得</t>
  </si>
  <si>
    <t>G2190731-08</t>
  </si>
  <si>
    <t>DP0121151924T</t>
  </si>
  <si>
    <t>吳家坤</t>
  </si>
  <si>
    <t>G2190731-09</t>
  </si>
  <si>
    <t>DP0121161986T</t>
  </si>
  <si>
    <t>許靜慧</t>
  </si>
  <si>
    <t>G2190731-10</t>
  </si>
  <si>
    <t>AB001308</t>
  </si>
  <si>
    <t>醫療-海亞大健康管理診所</t>
  </si>
  <si>
    <t>DP0121176426T</t>
  </si>
  <si>
    <t>劉小嘉</t>
  </si>
  <si>
    <t>G2190731-11</t>
  </si>
  <si>
    <t>8/2給Josh</t>
  </si>
  <si>
    <t>DP0121189872T</t>
  </si>
  <si>
    <t>朱語熙</t>
  </si>
  <si>
    <t>G2190731-12</t>
  </si>
  <si>
    <t>AB001314</t>
  </si>
  <si>
    <t>FP0120733140T</t>
  </si>
  <si>
    <t>董云龍</t>
  </si>
  <si>
    <t>G2190731-13</t>
  </si>
  <si>
    <t>AB001383</t>
  </si>
  <si>
    <t>許世龍</t>
  </si>
  <si>
    <t>DP0121193161T</t>
  </si>
  <si>
    <t>沈林晶</t>
  </si>
  <si>
    <t>G2190801-01</t>
  </si>
  <si>
    <t>8/5直接寄送診所台北市大安區和平東路三段100號2F(電話27337008)</t>
  </si>
  <si>
    <t>DP0121207308T</t>
  </si>
  <si>
    <t>G2190801-02</t>
  </si>
  <si>
    <t>AB001395</t>
  </si>
  <si>
    <t>DP0121450459T</t>
  </si>
  <si>
    <t>謝宗諺</t>
  </si>
  <si>
    <t>G2190801-03</t>
  </si>
  <si>
    <t>DP0121211603T</t>
  </si>
  <si>
    <t>林志璋</t>
  </si>
  <si>
    <t>G2190801-04</t>
  </si>
  <si>
    <t>DP0121224027T</t>
  </si>
  <si>
    <t>丁格鳳</t>
  </si>
  <si>
    <t>G2190801-05</t>
  </si>
  <si>
    <t>DP0121231500T</t>
  </si>
  <si>
    <t>牛立宇</t>
  </si>
  <si>
    <t>G2190801-06</t>
  </si>
  <si>
    <t>DP0121243521T</t>
  </si>
  <si>
    <t>莊喬茵</t>
  </si>
  <si>
    <t>G2190801-07</t>
  </si>
  <si>
    <t>DP0121259534T</t>
  </si>
  <si>
    <t>潘丕芬</t>
  </si>
  <si>
    <t>G2190801-08</t>
  </si>
  <si>
    <t>DP0121264643T</t>
  </si>
  <si>
    <t>蕭季軒</t>
  </si>
  <si>
    <t>G2190801-09</t>
  </si>
  <si>
    <t>DP0121277681T</t>
  </si>
  <si>
    <t>賴雲任</t>
  </si>
  <si>
    <t>G2190801-10</t>
  </si>
  <si>
    <t>DP0121280535T</t>
  </si>
  <si>
    <t>G2190801-11</t>
  </si>
  <si>
    <t>DP0121294919T</t>
  </si>
  <si>
    <t>吳佩青</t>
  </si>
  <si>
    <t>G2190801-12</t>
  </si>
  <si>
    <t>DP0121301305T</t>
  </si>
  <si>
    <t>李國清</t>
  </si>
  <si>
    <t>G2190801-13</t>
  </si>
  <si>
    <t>DP0121319723T</t>
  </si>
  <si>
    <t>林姵瑩</t>
  </si>
  <si>
    <t>G2190801-14</t>
  </si>
  <si>
    <t>田予晰 田予晶 蔣卉姍</t>
  </si>
  <si>
    <t>DP0121325630T</t>
  </si>
  <si>
    <t>田雅各</t>
  </si>
  <si>
    <t>G2190801-15</t>
  </si>
  <si>
    <t>台中市北屯區東山路二段250巷19號</t>
  </si>
  <si>
    <t>田雅各田予晶 蔣卉姍</t>
  </si>
  <si>
    <t>DP0121337681T</t>
  </si>
  <si>
    <t>田予晰</t>
  </si>
  <si>
    <t>G2190801-16</t>
  </si>
  <si>
    <t>田雅各田予晰 蔣卉姍</t>
  </si>
  <si>
    <t>DP0121341899T</t>
  </si>
  <si>
    <t>田予晴</t>
  </si>
  <si>
    <t>G2190801-17</t>
  </si>
  <si>
    <t>田雅各田予晰  田予晴 蔣卉姍</t>
  </si>
  <si>
    <t>DP0121357128T</t>
  </si>
  <si>
    <t>田予晶</t>
  </si>
  <si>
    <t>G2190801-18</t>
  </si>
  <si>
    <t>田雅各 田予晰 田予晶 田予晴</t>
  </si>
  <si>
    <t>DP0121361844T</t>
  </si>
  <si>
    <t>蔣卉姍</t>
  </si>
  <si>
    <t>G2190801-19</t>
  </si>
  <si>
    <t>DP0121375888T</t>
  </si>
  <si>
    <t>張明惠</t>
  </si>
  <si>
    <t>G2190801-20</t>
  </si>
  <si>
    <t>DP0121387258T</t>
  </si>
  <si>
    <t>郭淑清</t>
  </si>
  <si>
    <t>G2190801-21</t>
  </si>
  <si>
    <t>DP0121397419T</t>
  </si>
  <si>
    <t>黃永鴻</t>
  </si>
  <si>
    <t>G2190801-22</t>
  </si>
  <si>
    <t>DP0121402503T</t>
  </si>
  <si>
    <t>王振盟</t>
  </si>
  <si>
    <t>G2190801-23</t>
  </si>
  <si>
    <t>DP0121410451T</t>
  </si>
  <si>
    <t>葉宗瓚</t>
  </si>
  <si>
    <t>G2190801-24</t>
  </si>
  <si>
    <t>DP0121425728T</t>
  </si>
  <si>
    <t>李靜宜</t>
  </si>
  <si>
    <t>G2190801-25</t>
  </si>
  <si>
    <t>DP0121437969T</t>
  </si>
  <si>
    <t>郭濬豐</t>
  </si>
  <si>
    <t>G2190801-26</t>
  </si>
  <si>
    <t>DP0121446658T</t>
  </si>
  <si>
    <t>黃垂文</t>
  </si>
  <si>
    <t>G2190801-27</t>
  </si>
  <si>
    <t>DP0121465124T</t>
  </si>
  <si>
    <t>嚴秋燕</t>
  </si>
  <si>
    <t>AD190802-01</t>
  </si>
  <si>
    <t>DP0121472385T</t>
  </si>
  <si>
    <t>嚴婕予</t>
  </si>
  <si>
    <t>AD190802-02</t>
  </si>
  <si>
    <t>DP0121489064T</t>
  </si>
  <si>
    <t>鄭清馨</t>
  </si>
  <si>
    <t>AD190802-03</t>
  </si>
  <si>
    <t>DP0121497284T</t>
  </si>
  <si>
    <t>盧濟材</t>
  </si>
  <si>
    <t>AD190802-04</t>
  </si>
  <si>
    <t>DP0121502188T</t>
  </si>
  <si>
    <t>黃秀芳</t>
  </si>
  <si>
    <t>MD先天代謝不良檢測-2</t>
  </si>
  <si>
    <t>G2190802-MD05-FG06</t>
  </si>
  <si>
    <t>AB001309</t>
  </si>
  <si>
    <t>醫療-星醫美學股份有限公司</t>
  </si>
  <si>
    <t>古亦琳</t>
  </si>
  <si>
    <t>DP0121512510T</t>
  </si>
  <si>
    <t>古若綺</t>
  </si>
  <si>
    <t>PW精神老化基因檢測</t>
  </si>
  <si>
    <t>G2190802-PW07</t>
  </si>
  <si>
    <t>AB001400</t>
  </si>
  <si>
    <t>P190802-08</t>
  </si>
  <si>
    <t>HO190805-01</t>
  </si>
  <si>
    <t>DT排毒基因檢測-2</t>
  </si>
  <si>
    <t>DT190805-02</t>
  </si>
  <si>
    <t>AB001452</t>
  </si>
  <si>
    <t>CG癌症基因檢測-02+FG女性基因檢測-0</t>
  </si>
  <si>
    <t>G2190805-CG03-FG04</t>
  </si>
  <si>
    <t>DP0121532350T</t>
  </si>
  <si>
    <t>游雅婷</t>
  </si>
  <si>
    <t>G2190805-MD05-FG06</t>
  </si>
  <si>
    <t>DP0121542341T</t>
  </si>
  <si>
    <t>游婉萍</t>
  </si>
  <si>
    <t>G2190805-MD07-FG08</t>
  </si>
  <si>
    <t>DP0121553224T</t>
  </si>
  <si>
    <t>薛靖勳</t>
  </si>
  <si>
    <t>OB190805-09</t>
  </si>
  <si>
    <t>PA000077</t>
  </si>
  <si>
    <t>DP0121562181T</t>
  </si>
  <si>
    <t>魏佳儀</t>
  </si>
  <si>
    <t>P190805-10</t>
  </si>
  <si>
    <t>DP0121578383T</t>
  </si>
  <si>
    <t>王姿方</t>
  </si>
  <si>
    <t>OMG190805-11</t>
  </si>
  <si>
    <t>FP0121580610T</t>
  </si>
  <si>
    <t>P190805-12</t>
  </si>
  <si>
    <t>PA000142</t>
  </si>
  <si>
    <t>兒科醫學會</t>
  </si>
  <si>
    <t>DP0121603454T</t>
  </si>
  <si>
    <t>蕭建州</t>
  </si>
  <si>
    <t>G2190805-13</t>
  </si>
  <si>
    <t>報告直接給Bei</t>
  </si>
  <si>
    <t>PA000179</t>
  </si>
  <si>
    <t>DP0121594711T</t>
  </si>
  <si>
    <t>沈仲敏</t>
  </si>
  <si>
    <t>G2190805-14</t>
  </si>
  <si>
    <t>PA000143</t>
  </si>
  <si>
    <t>FP0121610816T</t>
  </si>
  <si>
    <t>楊樹文</t>
  </si>
  <si>
    <t>G2190805-15</t>
  </si>
  <si>
    <t>AG快篩-0</t>
  </si>
  <si>
    <t>AG190805-16</t>
  </si>
  <si>
    <t>AA001948</t>
  </si>
  <si>
    <t>DP0121626962T</t>
  </si>
  <si>
    <t>詹博婷</t>
  </si>
  <si>
    <t>G2190806-01</t>
  </si>
  <si>
    <t>DP0121637076T</t>
  </si>
  <si>
    <t>王士豪</t>
  </si>
  <si>
    <t>G2190806-02</t>
  </si>
  <si>
    <t>DP0121641732T</t>
  </si>
  <si>
    <t>張綵蜨</t>
  </si>
  <si>
    <t>G2190806-03</t>
  </si>
  <si>
    <t>DP0121651802T</t>
  </si>
  <si>
    <t>林思妤</t>
  </si>
  <si>
    <t>G2190806-04</t>
  </si>
  <si>
    <t>DP0121668453T</t>
  </si>
  <si>
    <t>胡肇良</t>
  </si>
  <si>
    <t>G2190806-05</t>
  </si>
  <si>
    <t>HO</t>
  </si>
  <si>
    <t>GN0000008</t>
  </si>
  <si>
    <t>HO(G2+OB)G2升級免費OB</t>
  </si>
  <si>
    <t>DP0121679205T</t>
  </si>
  <si>
    <t>林宗衛</t>
  </si>
  <si>
    <t>G2190806-06</t>
  </si>
  <si>
    <t>DP0121688671T</t>
  </si>
  <si>
    <t>張哲維</t>
  </si>
  <si>
    <t>G2190806-07</t>
  </si>
  <si>
    <t>AB001365</t>
  </si>
  <si>
    <t>DP0121695976T</t>
  </si>
  <si>
    <t>李冠瑋</t>
  </si>
  <si>
    <t>G2190807-01</t>
  </si>
  <si>
    <t>DP0121704237T</t>
  </si>
  <si>
    <t>張鈺青</t>
  </si>
  <si>
    <t>G2190807-02</t>
  </si>
  <si>
    <t>DP0121714320T</t>
  </si>
  <si>
    <t>李文川</t>
  </si>
  <si>
    <t>G2190807-03</t>
  </si>
  <si>
    <t>DP0121726406T</t>
  </si>
  <si>
    <t>G2190807-04</t>
  </si>
  <si>
    <t>DP0121731853T</t>
  </si>
  <si>
    <t>林軒如</t>
  </si>
  <si>
    <t>G2190807-05</t>
  </si>
  <si>
    <t>PA000181</t>
  </si>
  <si>
    <t>晶鑽生醫股份有限公司</t>
  </si>
  <si>
    <t>DP0121746674T</t>
  </si>
  <si>
    <t>程堃益</t>
  </si>
  <si>
    <t>G2190807-06</t>
  </si>
  <si>
    <t>DP0121754512T</t>
  </si>
  <si>
    <t>魏衣瑄</t>
  </si>
  <si>
    <t>G2190807-07</t>
  </si>
  <si>
    <t>DP0121764536T</t>
  </si>
  <si>
    <t>韓麗鳳</t>
  </si>
  <si>
    <t>G2190807-08</t>
  </si>
  <si>
    <t>DP0121774545T</t>
  </si>
  <si>
    <t>韓麗琴</t>
  </si>
  <si>
    <t>G2190807-09</t>
  </si>
  <si>
    <t>PA000180</t>
  </si>
  <si>
    <t>FP0121781731T</t>
  </si>
  <si>
    <t>董書芬</t>
  </si>
  <si>
    <t>AD190807-10</t>
  </si>
  <si>
    <t>DP0121797150T</t>
  </si>
  <si>
    <t>許純芳</t>
  </si>
  <si>
    <t>OB190807-11</t>
  </si>
  <si>
    <t>FP0121800774T</t>
  </si>
  <si>
    <t>Ng Na Wai Rebecca</t>
  </si>
  <si>
    <t>OB190807-12</t>
  </si>
  <si>
    <t>FP0121810508T</t>
  </si>
  <si>
    <t>Yang Nan</t>
  </si>
  <si>
    <t>OB190807-13</t>
  </si>
  <si>
    <t>FP0121820578T</t>
  </si>
  <si>
    <t>Yuen Wing Yan</t>
  </si>
  <si>
    <t>OB190807-14</t>
  </si>
  <si>
    <t>FP0121830873T</t>
  </si>
  <si>
    <t>Law Fong Fong</t>
  </si>
  <si>
    <t>OB190807-15</t>
  </si>
  <si>
    <t>BS190807-16</t>
  </si>
  <si>
    <t>BS190807-17</t>
  </si>
  <si>
    <t>BS190807-18</t>
  </si>
  <si>
    <t>BS190807-19</t>
  </si>
  <si>
    <t>P190807-20</t>
  </si>
  <si>
    <t>DP0121874874T</t>
  </si>
  <si>
    <t>張芯毓</t>
  </si>
  <si>
    <t>G2190808-01</t>
  </si>
  <si>
    <t>DP0121866574T</t>
  </si>
  <si>
    <t>溫晉湟</t>
  </si>
  <si>
    <t>G2190808-02</t>
  </si>
  <si>
    <t>DP0121858345T</t>
  </si>
  <si>
    <t>邱明良</t>
  </si>
  <si>
    <t>G2190808-03</t>
  </si>
  <si>
    <t>已做過G2</t>
  </si>
  <si>
    <t>DP0100878732T</t>
  </si>
  <si>
    <t>潘文章</t>
  </si>
  <si>
    <t>G2190808-04</t>
  </si>
  <si>
    <t>G2180822-23</t>
  </si>
  <si>
    <t>DP0121849786T</t>
  </si>
  <si>
    <t>洪佳秀</t>
  </si>
  <si>
    <t>G2190808-05</t>
  </si>
  <si>
    <t>PA000187</t>
  </si>
  <si>
    <t>DP0121887396T</t>
  </si>
  <si>
    <t>侯家瑋</t>
  </si>
  <si>
    <t>G2190812-01</t>
  </si>
  <si>
    <t>G2190813-01</t>
  </si>
  <si>
    <t>AB001466</t>
  </si>
  <si>
    <t>集團</t>
  </si>
  <si>
    <t>孫奇德 范美嬌 孫晟鈞</t>
  </si>
  <si>
    <t>DP0121892865T</t>
  </si>
  <si>
    <t>鄭采婷</t>
  </si>
  <si>
    <t>G2190813-02</t>
  </si>
  <si>
    <t>鄭采婷 范美嬌 孫晟鈞</t>
  </si>
  <si>
    <t>DP0121906608T</t>
  </si>
  <si>
    <t>孫奇德</t>
  </si>
  <si>
    <t>G2190813-03</t>
  </si>
  <si>
    <t>鄭采婷 孫奇德 孫晟鈞</t>
  </si>
  <si>
    <t>DP0121913410T</t>
  </si>
  <si>
    <t>范美嬌</t>
  </si>
  <si>
    <t>G2190813-04</t>
  </si>
  <si>
    <t>鄭采婷 范美嬌 孫奇德</t>
  </si>
  <si>
    <t>DP0121926601T</t>
  </si>
  <si>
    <t>孫晟鈞</t>
  </si>
  <si>
    <t>G2190813-05</t>
  </si>
  <si>
    <t>AB001465</t>
  </si>
  <si>
    <t>天下論壇</t>
  </si>
  <si>
    <t>G2190813-06</t>
  </si>
  <si>
    <t>AB001415</t>
  </si>
  <si>
    <t>官網</t>
  </si>
  <si>
    <t>DP0121937311T</t>
  </si>
  <si>
    <t>林嘉鈴</t>
  </si>
  <si>
    <t>G2190813-07</t>
  </si>
  <si>
    <t>AB001478</t>
  </si>
  <si>
    <t>Remi客戶</t>
  </si>
  <si>
    <t>FP0121941341T</t>
  </si>
  <si>
    <t>Ann Shin</t>
  </si>
  <si>
    <t>G2190814-01</t>
  </si>
  <si>
    <t>FP0121956951T</t>
  </si>
  <si>
    <t>雷聲祥</t>
  </si>
  <si>
    <t>G2190814-02</t>
  </si>
  <si>
    <t>PA000198</t>
  </si>
  <si>
    <t>DP0121967579T</t>
  </si>
  <si>
    <t>陳健</t>
  </si>
  <si>
    <t>OB190815-01</t>
  </si>
  <si>
    <t>PA000123</t>
  </si>
  <si>
    <t>DP0121976876T</t>
  </si>
  <si>
    <t>陳科伍</t>
  </si>
  <si>
    <t>G2190816-01</t>
  </si>
  <si>
    <t>DP0121987211T</t>
  </si>
  <si>
    <t>陳姵希</t>
  </si>
  <si>
    <t>G2190816-02</t>
  </si>
  <si>
    <t>DP0121992044T</t>
  </si>
  <si>
    <t>陳豐明</t>
  </si>
  <si>
    <t>G2190816-03</t>
  </si>
  <si>
    <t>DP0122003718T</t>
  </si>
  <si>
    <t>李雯如</t>
  </si>
  <si>
    <t>G2190816-04</t>
  </si>
  <si>
    <t>DP0122019478T</t>
  </si>
  <si>
    <t>葉時興</t>
  </si>
  <si>
    <t>G2190816-05</t>
  </si>
  <si>
    <t>AB001470</t>
  </si>
  <si>
    <t>DP0122026425T</t>
  </si>
  <si>
    <t>李日進</t>
  </si>
  <si>
    <t>G2190816-06</t>
  </si>
  <si>
    <t>DP0122038837T</t>
  </si>
  <si>
    <t>鍾佐委</t>
  </si>
  <si>
    <t>G2190816-07</t>
  </si>
  <si>
    <t>DP0122049380T</t>
  </si>
  <si>
    <t>許忻蕾</t>
  </si>
  <si>
    <t>G2190816-08</t>
  </si>
  <si>
    <t>DP0122056755T</t>
  </si>
  <si>
    <t>陳海藩</t>
  </si>
  <si>
    <t>G2190816-09</t>
  </si>
  <si>
    <t>DP0122067941T</t>
  </si>
  <si>
    <t>鄧淑姻</t>
  </si>
  <si>
    <t>G2190816-10</t>
  </si>
  <si>
    <t>陳貞伶</t>
  </si>
  <si>
    <t>DP0122077662T</t>
  </si>
  <si>
    <t>詹承珅</t>
  </si>
  <si>
    <t>G2190816-11</t>
  </si>
  <si>
    <t>DP0122081371T</t>
  </si>
  <si>
    <t>G2190816-12</t>
  </si>
  <si>
    <t>DP0122099766T</t>
  </si>
  <si>
    <t>黃淑婷</t>
  </si>
  <si>
    <t>G2190816-13</t>
  </si>
  <si>
    <t>DP0122108913T</t>
  </si>
  <si>
    <t>李凰華</t>
  </si>
  <si>
    <t>G2190816-14</t>
  </si>
  <si>
    <t>DP0122119372T</t>
  </si>
  <si>
    <t>胡淑華</t>
  </si>
  <si>
    <t>G2190816-15</t>
  </si>
  <si>
    <t>DP0122128090T</t>
  </si>
  <si>
    <t>劉曉霖</t>
  </si>
  <si>
    <t>G2190816-16</t>
  </si>
  <si>
    <t>DP0122132533T</t>
  </si>
  <si>
    <t>林宜蓁</t>
  </si>
  <si>
    <t>G2190816-17</t>
  </si>
  <si>
    <t>DP0122143685T</t>
  </si>
  <si>
    <t>王佳楨</t>
  </si>
  <si>
    <t>G2190816-18</t>
  </si>
  <si>
    <t>DP0122154336T</t>
  </si>
  <si>
    <t>呂金珠</t>
  </si>
  <si>
    <t>G2190816-19</t>
  </si>
  <si>
    <t>陳怡雰</t>
  </si>
  <si>
    <t>DP0122163763T</t>
  </si>
  <si>
    <t>程義揚</t>
  </si>
  <si>
    <t>G2190816-20</t>
  </si>
  <si>
    <t>DP0122176570T</t>
  </si>
  <si>
    <t>G2190816-21</t>
  </si>
  <si>
    <t>DP0122180102T</t>
  </si>
  <si>
    <t>方杏如</t>
  </si>
  <si>
    <t>G2190816-22</t>
  </si>
  <si>
    <t>AA001844</t>
  </si>
  <si>
    <t>力納</t>
  </si>
  <si>
    <t>DP0122199267T</t>
  </si>
  <si>
    <t>蕭旭芬</t>
  </si>
  <si>
    <t>G2190819-01</t>
  </si>
  <si>
    <t>G2190819-02</t>
  </si>
  <si>
    <t>G2190819-03</t>
  </si>
  <si>
    <t>醫療-悠美診所</t>
  </si>
  <si>
    <t>FP0122225126T</t>
  </si>
  <si>
    <t>劉殷殷</t>
  </si>
  <si>
    <t>G2190820-01</t>
  </si>
  <si>
    <t>敦南悠美</t>
  </si>
  <si>
    <t>FP0122232213T</t>
  </si>
  <si>
    <t>詹前輝</t>
  </si>
  <si>
    <t>G2190820-02</t>
  </si>
  <si>
    <t>PA000189</t>
  </si>
  <si>
    <t>DP0122249817T</t>
  </si>
  <si>
    <t>林正宗</t>
  </si>
  <si>
    <t>G2190820-03</t>
  </si>
  <si>
    <t>PA000200</t>
  </si>
  <si>
    <t>Riddle</t>
  </si>
  <si>
    <t>DP0122257184T</t>
  </si>
  <si>
    <t>鸞九辰</t>
  </si>
  <si>
    <t>G2190820-04</t>
  </si>
  <si>
    <t>DP0122260163T</t>
  </si>
  <si>
    <t>陳錦儒</t>
  </si>
  <si>
    <t>G2190820-05</t>
  </si>
  <si>
    <t>DP0122276534T</t>
  </si>
  <si>
    <t>何宗陶</t>
  </si>
  <si>
    <t>G2190820-06</t>
  </si>
  <si>
    <t>DP0122286880T</t>
  </si>
  <si>
    <t>徐宏</t>
  </si>
  <si>
    <t>OMG190820-07</t>
  </si>
  <si>
    <t>PA000251</t>
  </si>
  <si>
    <t>美容醫學會</t>
  </si>
  <si>
    <t>DP0122291678T</t>
  </si>
  <si>
    <t>郭菁松</t>
  </si>
  <si>
    <t>AG190820-08</t>
  </si>
  <si>
    <t>AB001477</t>
  </si>
  <si>
    <t>DP0122300948T</t>
  </si>
  <si>
    <t>詹秀蓮</t>
  </si>
  <si>
    <t>MD先天代謝不良檢測</t>
  </si>
  <si>
    <t>G2190820-MD09-PW10</t>
  </si>
  <si>
    <t>AB001384</t>
  </si>
  <si>
    <t>DP0122319612T</t>
  </si>
  <si>
    <t>古筱微</t>
  </si>
  <si>
    <t>G2190821-01</t>
  </si>
  <si>
    <t>AB001480</t>
  </si>
  <si>
    <t>吉林醫事檢驗所</t>
  </si>
  <si>
    <t>FP0122325927T</t>
  </si>
  <si>
    <t>劉潘玉英</t>
  </si>
  <si>
    <t>G2190821-02</t>
  </si>
  <si>
    <t>勿客服</t>
  </si>
  <si>
    <t>FP0122331438T</t>
  </si>
  <si>
    <t>陳婷婷</t>
  </si>
  <si>
    <t>G2190821-03</t>
  </si>
  <si>
    <t>AB001455</t>
  </si>
  <si>
    <t>DP0122346702T</t>
  </si>
  <si>
    <t>張基治</t>
  </si>
  <si>
    <t>G2190821-04</t>
  </si>
  <si>
    <t>AB001416</t>
  </si>
  <si>
    <t>鍾榮昌</t>
  </si>
  <si>
    <t>DP0122354166T</t>
  </si>
  <si>
    <t>鍾陳惠良</t>
  </si>
  <si>
    <t>G2拆項-CG癌症基因檢測-2</t>
  </si>
  <si>
    <t>G2190821-CG05-FG06</t>
  </si>
  <si>
    <t>G2拆項-FG女性基因檢測-2</t>
  </si>
  <si>
    <t>DP0122363931T</t>
  </si>
  <si>
    <t>G2190821-CG07-MG08</t>
  </si>
  <si>
    <t>G2拆項-MG男性基因檢測-2</t>
  </si>
  <si>
    <t>DP0122374595T</t>
  </si>
  <si>
    <t>林芓弘</t>
  </si>
  <si>
    <t>G2190822-01</t>
  </si>
  <si>
    <t>DP0122389723T</t>
  </si>
  <si>
    <t>黃佳祺</t>
  </si>
  <si>
    <t>G2190822-02</t>
  </si>
  <si>
    <t>DP0122397144T</t>
  </si>
  <si>
    <t>李綿綿</t>
  </si>
  <si>
    <t>G2190822-03</t>
  </si>
  <si>
    <t>DP0122407151T</t>
  </si>
  <si>
    <t>徐慧燕</t>
  </si>
  <si>
    <t>G2190822-04</t>
  </si>
  <si>
    <t>DP0122415888T</t>
  </si>
  <si>
    <t>陳瑞耀</t>
  </si>
  <si>
    <t>G2190822-05</t>
  </si>
  <si>
    <t>DP0122428320T</t>
  </si>
  <si>
    <t>張芯慈</t>
  </si>
  <si>
    <t>G2190822-06</t>
  </si>
  <si>
    <t>DP0122438984T</t>
  </si>
  <si>
    <t>朱柏葦</t>
  </si>
  <si>
    <t>G2190822-07</t>
  </si>
  <si>
    <t>DP0122444586T</t>
  </si>
  <si>
    <t>朱峰正</t>
  </si>
  <si>
    <t>G2190822-08</t>
  </si>
  <si>
    <t>DP0122469175T</t>
  </si>
  <si>
    <t>鍾佩君</t>
  </si>
  <si>
    <t>G2190823-CG01-FG02</t>
  </si>
  <si>
    <t>HBO</t>
  </si>
  <si>
    <t>GN0000007</t>
  </si>
  <si>
    <t>HBO(G2+BS+OB)</t>
  </si>
  <si>
    <t>DP0122477346T</t>
  </si>
  <si>
    <t>黃淑貞</t>
  </si>
  <si>
    <t>G2190823-03</t>
  </si>
  <si>
    <t>AB001483</t>
  </si>
  <si>
    <t>養身展</t>
  </si>
  <si>
    <t>DP0122489215T</t>
  </si>
  <si>
    <t>陳泓達</t>
  </si>
  <si>
    <t>G2190823-04</t>
  </si>
  <si>
    <t>FP0122457058T</t>
  </si>
  <si>
    <t>Lo Wing Yan Diane</t>
  </si>
  <si>
    <t>BS190826-01</t>
  </si>
  <si>
    <t>AB001486</t>
  </si>
  <si>
    <t>FP0122560002T</t>
  </si>
  <si>
    <t>陶明生</t>
  </si>
  <si>
    <t>G2190827-01</t>
  </si>
  <si>
    <t>客戶未提供身分證,以自編碼建</t>
  </si>
  <si>
    <t>AB001487</t>
  </si>
  <si>
    <t>FP0122490018T</t>
  </si>
  <si>
    <t>黃礼明</t>
  </si>
  <si>
    <t>G2190827-02</t>
  </si>
  <si>
    <t>AB001488</t>
  </si>
  <si>
    <t>FP0122507153T</t>
  </si>
  <si>
    <t>呂水興</t>
  </si>
  <si>
    <t>G2190827-03</t>
  </si>
  <si>
    <t>AB001489</t>
  </si>
  <si>
    <t>FP0122510624T</t>
  </si>
  <si>
    <t>陸艳</t>
  </si>
  <si>
    <t>G2190827-04</t>
  </si>
  <si>
    <t>8/28mail給客戶</t>
  </si>
  <si>
    <t>AB001385</t>
  </si>
  <si>
    <t>DP0122527630T</t>
  </si>
  <si>
    <t>李家慧</t>
  </si>
  <si>
    <t>G2190827-05</t>
  </si>
  <si>
    <t>直接寄送診8/30</t>
  </si>
  <si>
    <t>FP0122532040T</t>
  </si>
  <si>
    <t>羅錦榮</t>
  </si>
  <si>
    <t>G2190827-06</t>
  </si>
  <si>
    <t>陳穎之</t>
  </si>
  <si>
    <t>G2190827-07</t>
  </si>
  <si>
    <t>AB001485</t>
  </si>
  <si>
    <t>DP0122549621T</t>
  </si>
  <si>
    <t>楊麗觀</t>
  </si>
  <si>
    <t>G2190827-08</t>
  </si>
  <si>
    <t>DP0122555805T</t>
  </si>
  <si>
    <t>張櫻</t>
  </si>
  <si>
    <t>OMG190827-09</t>
  </si>
  <si>
    <t>直接寄送診所8/30</t>
  </si>
  <si>
    <t>AB001490</t>
  </si>
  <si>
    <t>DP0122570831T</t>
  </si>
  <si>
    <t>葉金鳳</t>
  </si>
  <si>
    <t>OB-2</t>
  </si>
  <si>
    <t>OB190830-01</t>
  </si>
  <si>
    <t>PA000259</t>
  </si>
  <si>
    <t>企業開發部</t>
  </si>
  <si>
    <t>DP0122583082T</t>
  </si>
  <si>
    <t>藍淑馨</t>
  </si>
  <si>
    <t>AG-1</t>
  </si>
  <si>
    <t>AG190830-02</t>
  </si>
  <si>
    <t>PA000262</t>
  </si>
  <si>
    <t>Josh.Chiu</t>
  </si>
  <si>
    <t>企業-東森得易購股份有限公司</t>
  </si>
  <si>
    <t>DP0122590145T</t>
  </si>
  <si>
    <t>廖尚文</t>
  </si>
  <si>
    <t>HBO-1</t>
  </si>
  <si>
    <t>HBO190903-01</t>
  </si>
  <si>
    <t>VVIP,連絡前通知業務</t>
  </si>
  <si>
    <t>AG190903-02</t>
  </si>
  <si>
    <t>DP0122604289T</t>
  </si>
  <si>
    <t>趙世亨</t>
  </si>
  <si>
    <t>HBO190903-03</t>
  </si>
  <si>
    <t>AG190903-04</t>
  </si>
  <si>
    <t>DP0122619491T</t>
  </si>
  <si>
    <t>王令麟</t>
  </si>
  <si>
    <t>HBO190903-05</t>
  </si>
  <si>
    <t>AG190903-06</t>
  </si>
  <si>
    <t>FP0122627275T</t>
  </si>
  <si>
    <t>胡曉菁</t>
  </si>
  <si>
    <t>HBO190903-07</t>
  </si>
  <si>
    <t>AG190903-08</t>
  </si>
  <si>
    <t>DP0122630600T</t>
  </si>
  <si>
    <t>紀坤傑</t>
  </si>
  <si>
    <t>HBO190903-09</t>
  </si>
  <si>
    <t>AG190903-10</t>
  </si>
  <si>
    <t>PA000263</t>
  </si>
  <si>
    <t>Sandra Wang</t>
  </si>
  <si>
    <t>DP0122647018T</t>
  </si>
  <si>
    <t>胡致莉</t>
  </si>
  <si>
    <t>G2-2</t>
  </si>
  <si>
    <t>G2190904-01</t>
  </si>
  <si>
    <t>醫療-晶鑽生醫股份有限公司(抬頭-好萊塢診所)</t>
  </si>
  <si>
    <t>DP0122657078T</t>
  </si>
  <si>
    <t>張倩怡</t>
  </si>
  <si>
    <t>G2190904-02</t>
  </si>
  <si>
    <t>G2190904-03</t>
  </si>
  <si>
    <t>DP0122663392T</t>
  </si>
  <si>
    <t>周威秀</t>
  </si>
  <si>
    <t>OMG190904-04</t>
  </si>
  <si>
    <t>DP0122675612T</t>
  </si>
  <si>
    <t>黃秀香</t>
  </si>
  <si>
    <t>OMG190904-05</t>
  </si>
  <si>
    <t>FP0122752760T</t>
  </si>
  <si>
    <t>麥麗儀</t>
  </si>
  <si>
    <t>G2190905-01</t>
  </si>
  <si>
    <t>PA000176</t>
  </si>
  <si>
    <t>個人-凱爾診所</t>
  </si>
  <si>
    <t>DP0122686068T</t>
  </si>
  <si>
    <t>陳淑蓉</t>
  </si>
  <si>
    <t>G2190905-02</t>
  </si>
  <si>
    <t>DP0122692313T</t>
  </si>
  <si>
    <t>劉仁溥</t>
  </si>
  <si>
    <t>G2190905-03</t>
  </si>
  <si>
    <t>AB001096</t>
  </si>
  <si>
    <t>FP0122705062T</t>
  </si>
  <si>
    <t>黃維薇</t>
  </si>
  <si>
    <t>G2190905-04</t>
  </si>
  <si>
    <t>簡中 業務親送</t>
  </si>
  <si>
    <t>FP0122715472T</t>
  </si>
  <si>
    <t>陳心琪</t>
  </si>
  <si>
    <t>G2190905-05</t>
  </si>
  <si>
    <t>FP0122725127T</t>
  </si>
  <si>
    <t>LAI JENN WUU賴貞吾</t>
  </si>
  <si>
    <t>G2190905-06</t>
  </si>
  <si>
    <t>FP0122737105T</t>
  </si>
  <si>
    <t>李洲憲</t>
  </si>
  <si>
    <t>G2190905-07</t>
  </si>
  <si>
    <t>FP0122745915T</t>
  </si>
  <si>
    <t>李永興</t>
  </si>
  <si>
    <t>HB-4</t>
  </si>
  <si>
    <t>HB190905-08</t>
  </si>
  <si>
    <t>AG-2</t>
  </si>
  <si>
    <t>AG190905-09</t>
  </si>
  <si>
    <t>AG190905-10</t>
  </si>
  <si>
    <t>AG190905-11</t>
  </si>
  <si>
    <t>AB001390</t>
  </si>
  <si>
    <t>FP0122762629T</t>
  </si>
  <si>
    <t>徐乙丹</t>
  </si>
  <si>
    <t>G2190906-01</t>
  </si>
  <si>
    <t>P</t>
  </si>
  <si>
    <t>GN0000020</t>
  </si>
  <si>
    <t>FP0122775145T</t>
  </si>
  <si>
    <t>王政興</t>
  </si>
  <si>
    <t>Pink</t>
  </si>
  <si>
    <t>G2190906-02</t>
  </si>
  <si>
    <t>AB001494</t>
  </si>
  <si>
    <t>FP0122786300T</t>
  </si>
  <si>
    <t>Minnie Yao</t>
  </si>
  <si>
    <t>G2190906-03</t>
  </si>
  <si>
    <t>OMG190906-04</t>
  </si>
  <si>
    <t>FP0122790003T</t>
  </si>
  <si>
    <t>Jen Alfrey</t>
  </si>
  <si>
    <t>OMG190906-05</t>
  </si>
  <si>
    <t>PA000271</t>
  </si>
  <si>
    <t xml:space="preserve">	DP0122854534T</t>
  </si>
  <si>
    <t>鐘光廷</t>
  </si>
  <si>
    <t>G2190909-01</t>
  </si>
  <si>
    <t>南基醫院院長,曾患肝癌 業務親送</t>
  </si>
  <si>
    <t>DP0122864331T</t>
  </si>
  <si>
    <t>楊淑惠</t>
  </si>
  <si>
    <t>G2190909-02</t>
  </si>
  <si>
    <t>DP0122875748T</t>
  </si>
  <si>
    <t>梁國強</t>
  </si>
  <si>
    <t>G2190909-03</t>
  </si>
  <si>
    <t>DP0122888033T</t>
  </si>
  <si>
    <t>羅仁浩</t>
  </si>
  <si>
    <t>G2190909-04</t>
  </si>
  <si>
    <t>DP0122899248T</t>
  </si>
  <si>
    <t>沈育娟</t>
  </si>
  <si>
    <t>G2190909-05</t>
  </si>
  <si>
    <t>DP0122902806T</t>
  </si>
  <si>
    <t>陳俊成</t>
  </si>
  <si>
    <t>G2190909-06</t>
  </si>
  <si>
    <t>DP0122910481T</t>
  </si>
  <si>
    <t>吳介甫</t>
  </si>
  <si>
    <t>G2190909-07</t>
  </si>
  <si>
    <t>高雄首席萊茵  業務親送</t>
  </si>
  <si>
    <t>DP0122927075T</t>
  </si>
  <si>
    <t>白正光</t>
  </si>
  <si>
    <t>G2190909-08</t>
  </si>
  <si>
    <t>院長 業務親送</t>
  </si>
  <si>
    <t>DP0122937429T</t>
  </si>
  <si>
    <t>陳麗雪</t>
  </si>
  <si>
    <t>G2190909-09</t>
  </si>
  <si>
    <t>Wilson親送</t>
  </si>
  <si>
    <t>DP0122944243T</t>
  </si>
  <si>
    <t>楊堯婷</t>
  </si>
  <si>
    <t>G2190909-10</t>
  </si>
  <si>
    <t>DP0122954669T</t>
  </si>
  <si>
    <t>蘇立安</t>
  </si>
  <si>
    <t>G2190909-11</t>
  </si>
  <si>
    <t>FP0122967039T</t>
  </si>
  <si>
    <t>索南多杰</t>
  </si>
  <si>
    <t>G2190909-12</t>
  </si>
  <si>
    <t>AG190909-13</t>
  </si>
  <si>
    <t>DP0122971363T</t>
  </si>
  <si>
    <t>張坤釗</t>
  </si>
  <si>
    <t>AG190909-14</t>
  </si>
  <si>
    <t>FP0122982684T</t>
  </si>
  <si>
    <t>曾漢棋</t>
  </si>
  <si>
    <t>AG190909-15</t>
  </si>
  <si>
    <t>美醫會理事長,康健做過長壽基因(很長壽九十幾分) 業務親送</t>
  </si>
  <si>
    <t>DP0122992598T</t>
  </si>
  <si>
    <t>陳金德</t>
  </si>
  <si>
    <t>AG190909-16</t>
  </si>
  <si>
    <t>DP0123006890T</t>
  </si>
  <si>
    <t>羅景家</t>
  </si>
  <si>
    <t>AG190909-17</t>
  </si>
  <si>
    <t>DP0123010470T</t>
  </si>
  <si>
    <t>林璟蕙</t>
  </si>
  <si>
    <t>AG190909-18</t>
  </si>
  <si>
    <t>DP0123022790T</t>
  </si>
  <si>
    <t>孫洪春</t>
  </si>
  <si>
    <t>AG190909-19</t>
  </si>
  <si>
    <t>DP0123030405T</t>
  </si>
  <si>
    <t>鄭正禮</t>
  </si>
  <si>
    <t>AG190909-20</t>
  </si>
  <si>
    <t>FP0123040009T</t>
  </si>
  <si>
    <t>王中原</t>
  </si>
  <si>
    <t>AG190909-21</t>
  </si>
  <si>
    <t>業務親送,未留身分證號 自動編碼</t>
  </si>
  <si>
    <t>FP0123057770T</t>
  </si>
  <si>
    <t>曾德朋</t>
  </si>
  <si>
    <t>AG190909-22</t>
  </si>
  <si>
    <t>DP0123063962T</t>
  </si>
  <si>
    <t>羅士偉</t>
  </si>
  <si>
    <t>OB190909-23</t>
  </si>
  <si>
    <t>新竹耳鼻喉科 業務親送</t>
  </si>
  <si>
    <t>DP0112241730T</t>
  </si>
  <si>
    <t>張勝鈞</t>
  </si>
  <si>
    <t>OB190909-24</t>
  </si>
  <si>
    <t>G2190311-03 業務親送</t>
  </si>
  <si>
    <t>DP0123076757T</t>
  </si>
  <si>
    <t>廖奇峰</t>
  </si>
  <si>
    <t>OB-1</t>
  </si>
  <si>
    <t>OB190909-25</t>
  </si>
  <si>
    <t>DP0112238104T</t>
  </si>
  <si>
    <t>施如珊</t>
  </si>
  <si>
    <t xml:space="preserve"> BS-2</t>
  </si>
  <si>
    <t>BS190909-26</t>
  </si>
  <si>
    <t>做過OB190311-06 業務親送</t>
  </si>
  <si>
    <t>DP0123083730T</t>
  </si>
  <si>
    <t>任庭儀</t>
  </si>
  <si>
    <t>IS-2</t>
  </si>
  <si>
    <t>G2190909-IS27</t>
  </si>
  <si>
    <t>AA001949</t>
  </si>
  <si>
    <t>員工家屬</t>
  </si>
  <si>
    <t>FP0123094920T</t>
  </si>
  <si>
    <t>謝忠良</t>
  </si>
  <si>
    <t>G2190910-01</t>
  </si>
  <si>
    <t>員工自取</t>
  </si>
  <si>
    <t>FP0123106341T</t>
  </si>
  <si>
    <t>楊莉莉</t>
  </si>
  <si>
    <t>G2190910-02</t>
  </si>
  <si>
    <t xml:space="preserve">	DP0123117726T</t>
  </si>
  <si>
    <t>徐維孝</t>
  </si>
  <si>
    <t>G2190910-03</t>
  </si>
  <si>
    <t>PA000265</t>
  </si>
  <si>
    <t>DP0123121201T</t>
  </si>
  <si>
    <t>陳德福</t>
  </si>
  <si>
    <t>G2190910-04</t>
  </si>
  <si>
    <t>AG190910-05</t>
  </si>
  <si>
    <t>DP0123131694T</t>
  </si>
  <si>
    <t>鄭惠文</t>
  </si>
  <si>
    <t>G2190912-01</t>
  </si>
  <si>
    <t>FP0123142921T</t>
  </si>
  <si>
    <t>孫漢龍</t>
  </si>
  <si>
    <t>G2190917-01</t>
  </si>
  <si>
    <t>FP0123154004T</t>
  </si>
  <si>
    <t>楊冬伲</t>
  </si>
  <si>
    <t>G2190917-02</t>
  </si>
  <si>
    <t>AB001386</t>
  </si>
  <si>
    <t>DP0123160153T</t>
  </si>
  <si>
    <t>倪宗甫</t>
  </si>
  <si>
    <t>G2190917-03</t>
  </si>
  <si>
    <t>直寄診所</t>
  </si>
  <si>
    <t>PA000288</t>
  </si>
  <si>
    <t>眾健</t>
  </si>
  <si>
    <t>FP0123180010T</t>
  </si>
  <si>
    <t>WILLY CHEUNG</t>
  </si>
  <si>
    <t>G2190918-01</t>
  </si>
  <si>
    <t>AG190918-02</t>
  </si>
  <si>
    <t>PA000290</t>
  </si>
  <si>
    <t>DP0123176999T</t>
  </si>
  <si>
    <t>陳彥孜</t>
  </si>
  <si>
    <t>AG190919-01</t>
  </si>
  <si>
    <t xml:space="preserve"> BS-1</t>
  </si>
  <si>
    <t>BS190919-02</t>
  </si>
  <si>
    <t>PA000292</t>
  </si>
  <si>
    <t>FP0123197481T</t>
  </si>
  <si>
    <t>馬惠芬</t>
  </si>
  <si>
    <t>PW-2</t>
  </si>
  <si>
    <t>G2190919-PW03</t>
  </si>
  <si>
    <t>G2190920-01</t>
  </si>
  <si>
    <t>G2190920-02</t>
  </si>
  <si>
    <t>AB001426</t>
  </si>
  <si>
    <t>DP0123226390T</t>
  </si>
  <si>
    <t>鍾淑珍</t>
  </si>
  <si>
    <t>HO-2</t>
  </si>
  <si>
    <t>HO190920-03</t>
  </si>
  <si>
    <t>DP0123236617T</t>
  </si>
  <si>
    <t>高舶元</t>
  </si>
  <si>
    <t>HO190920-04</t>
  </si>
  <si>
    <t>AB001462</t>
  </si>
  <si>
    <t>AD</t>
  </si>
  <si>
    <t>GN0000002</t>
  </si>
  <si>
    <t>DP0123246102T</t>
  </si>
  <si>
    <t>楊建道</t>
  </si>
  <si>
    <t>G2190923-01</t>
  </si>
  <si>
    <t>PA000293</t>
  </si>
  <si>
    <t>AG190923-02</t>
  </si>
  <si>
    <t>AG190923-03</t>
  </si>
  <si>
    <t>BS-1</t>
  </si>
  <si>
    <t>BS190923-04</t>
  </si>
  <si>
    <t>BS190923-05</t>
  </si>
  <si>
    <t>OB-0</t>
  </si>
  <si>
    <t>OB190923-06</t>
  </si>
  <si>
    <t>OB190923-07</t>
  </si>
  <si>
    <t>AB001502</t>
  </si>
  <si>
    <t xml:space="preserve">	FP0123254819T</t>
  </si>
  <si>
    <t>王玲</t>
  </si>
  <si>
    <t>HBO-2</t>
  </si>
  <si>
    <t>HBO190923-08</t>
  </si>
  <si>
    <t>報告書由Lauren領取</t>
  </si>
  <si>
    <t>AB001503</t>
  </si>
  <si>
    <t>FP0123266300T</t>
  </si>
  <si>
    <t>白洪秀</t>
  </si>
  <si>
    <t>HBO190923-09</t>
  </si>
  <si>
    <t>AB001504</t>
  </si>
  <si>
    <t>FP0123273229T</t>
  </si>
  <si>
    <t>张丽欢</t>
  </si>
  <si>
    <t>HB-2</t>
  </si>
  <si>
    <t>HB190923-10</t>
  </si>
  <si>
    <t>AB001505</t>
  </si>
  <si>
    <t>FP0123282823T</t>
  </si>
  <si>
    <t>陳思</t>
  </si>
  <si>
    <t>HB190923-11</t>
  </si>
  <si>
    <t>AB001506</t>
  </si>
  <si>
    <t>FP0123292524T</t>
  </si>
  <si>
    <t>黃曉雯</t>
  </si>
  <si>
    <t>HB190923-12</t>
  </si>
  <si>
    <t>AB001507</t>
  </si>
  <si>
    <t>FP0123305481T</t>
  </si>
  <si>
    <t>羅淑芬</t>
  </si>
  <si>
    <t>HB190923-13</t>
  </si>
  <si>
    <t>AB001436</t>
  </si>
  <si>
    <t>DP0123314532T</t>
  </si>
  <si>
    <t>G2190924-01</t>
  </si>
  <si>
    <t>AB001097</t>
  </si>
  <si>
    <t>王麗淑 劉芷淇</t>
  </si>
  <si>
    <t>DP0123323735T</t>
  </si>
  <si>
    <t>劉永泰</t>
  </si>
  <si>
    <t>G2190924-02</t>
  </si>
  <si>
    <t>同發票寄送 302新竹縣竹北市文興路一段31號</t>
  </si>
  <si>
    <t>劉永泰 劉芷淇</t>
  </si>
  <si>
    <t>DP0123336024T</t>
  </si>
  <si>
    <t>王麗淑</t>
  </si>
  <si>
    <t>G2190924-03</t>
  </si>
  <si>
    <t>DP0123349118T</t>
  </si>
  <si>
    <t>劉芷淇</t>
  </si>
  <si>
    <t>G2190924-04</t>
  </si>
  <si>
    <t>PA000294</t>
  </si>
  <si>
    <t>DP0123356158T</t>
  </si>
  <si>
    <t>楊秉恆</t>
  </si>
  <si>
    <t>G2190924-05</t>
  </si>
  <si>
    <t>PA000278</t>
  </si>
  <si>
    <t>DP0123365227T</t>
  </si>
  <si>
    <t>潘彥君</t>
  </si>
  <si>
    <t>G2190924-06</t>
  </si>
  <si>
    <t>DP0123376572T</t>
  </si>
  <si>
    <t>蔡友成</t>
  </si>
  <si>
    <t>G2190924-07</t>
  </si>
  <si>
    <t>AB001531</t>
  </si>
  <si>
    <t>醫療-日本元氣診所賴暉元</t>
  </si>
  <si>
    <t>FP0123380011T</t>
  </si>
  <si>
    <t>Justin Dunkle</t>
  </si>
  <si>
    <t>OB190924-08</t>
  </si>
  <si>
    <t>20191002改日本元氣診所繁中報告</t>
  </si>
  <si>
    <t>DT-2</t>
  </si>
  <si>
    <t>DT190924-09</t>
  </si>
  <si>
    <t>DP0123408602T</t>
  </si>
  <si>
    <t>吳紀瑩</t>
  </si>
  <si>
    <t>P-2</t>
  </si>
  <si>
    <t>P190926-01</t>
  </si>
  <si>
    <t>10/22確認入帳可出報告</t>
  </si>
  <si>
    <t>AB001495</t>
  </si>
  <si>
    <t>DP0123410694T</t>
  </si>
  <si>
    <t>莊欣樺</t>
  </si>
  <si>
    <t>LH-2</t>
  </si>
  <si>
    <t>LH190926-02</t>
  </si>
  <si>
    <t>DP0123428442T</t>
  </si>
  <si>
    <t>謝汎達</t>
  </si>
  <si>
    <t>AG190926-03</t>
  </si>
  <si>
    <t>AB001108</t>
  </si>
  <si>
    <t>聯絡人:施勻玹</t>
  </si>
  <si>
    <t>FP0123430013T</t>
  </si>
  <si>
    <t>郭軒宇</t>
  </si>
  <si>
    <t>G2190927-01</t>
  </si>
  <si>
    <t>無身份證用自編,體重無提供,經確認後欄位打無</t>
  </si>
  <si>
    <t>DP0123447352T</t>
  </si>
  <si>
    <t>施勻玹</t>
  </si>
  <si>
    <t>G2190927-02</t>
  </si>
  <si>
    <t>聯絡人:賴韋庭 許芝菱</t>
  </si>
  <si>
    <t>DP0123451977T</t>
  </si>
  <si>
    <t>許芝綺</t>
  </si>
  <si>
    <t>G2190927-03</t>
  </si>
  <si>
    <t>聯絡人:賴韋庭 許芝綺</t>
  </si>
  <si>
    <t>DP0123469049T</t>
  </si>
  <si>
    <t>許芝菱</t>
  </si>
  <si>
    <t>G2190927-04</t>
  </si>
  <si>
    <t>楊羿涵</t>
  </si>
  <si>
    <t>DP0123470072T</t>
  </si>
  <si>
    <t>楊羿嫻</t>
  </si>
  <si>
    <t>G2190927-05</t>
  </si>
  <si>
    <t>DP0123486282T</t>
  </si>
  <si>
    <t>G2190927-06</t>
  </si>
  <si>
    <t>田蕙慈 田宸瑋 田忠政 黃映君</t>
  </si>
  <si>
    <t>DP0123499429T</t>
  </si>
  <si>
    <t>田育豪</t>
  </si>
  <si>
    <t>G2190927-07</t>
  </si>
  <si>
    <t>田育豪 田宸瑋 田忠政 黃映君</t>
  </si>
  <si>
    <t>DP0123508012T</t>
  </si>
  <si>
    <t>田蕙慈</t>
  </si>
  <si>
    <t>G2190927-08</t>
  </si>
  <si>
    <t>田育豪 田蕙慈  田忠政 黃映君</t>
  </si>
  <si>
    <t>DP0123516821T</t>
  </si>
  <si>
    <t>田宸瑋</t>
  </si>
  <si>
    <t>G2190927-09</t>
  </si>
  <si>
    <t>田育豪 田蕙慈 田宸瑋 黃映君</t>
  </si>
  <si>
    <t>DP0123526507T</t>
  </si>
  <si>
    <t>田忠政</t>
  </si>
  <si>
    <t>G2190927-10</t>
  </si>
  <si>
    <t>田育豪 田蕙慈 田宸瑋 田忠政</t>
  </si>
  <si>
    <t>DP0123537841T</t>
  </si>
  <si>
    <t>黃映君</t>
  </si>
  <si>
    <t>G2190927-11</t>
  </si>
  <si>
    <t>DP0123547636T</t>
  </si>
  <si>
    <t>黃張桂香</t>
  </si>
  <si>
    <t>G2190927-12</t>
  </si>
  <si>
    <t>鍾奇邊</t>
  </si>
  <si>
    <t>DP0123550462T</t>
  </si>
  <si>
    <t>鍾沛均</t>
  </si>
  <si>
    <t>G2190927-13</t>
  </si>
  <si>
    <t>DP0123569796T</t>
  </si>
  <si>
    <t>鍾奇迅</t>
  </si>
  <si>
    <t>G2190927-14</t>
  </si>
  <si>
    <t>PA000279</t>
  </si>
  <si>
    <t>DP0123571169T</t>
  </si>
  <si>
    <t>張翠如</t>
  </si>
  <si>
    <t>G2190927-15</t>
  </si>
  <si>
    <t>DP0123587731T</t>
  </si>
  <si>
    <t>林文傳</t>
  </si>
  <si>
    <t>MD-2</t>
  </si>
  <si>
    <t>G2191001-MD01</t>
  </si>
  <si>
    <t>DP0123595361T</t>
  </si>
  <si>
    <t>洪寶得</t>
  </si>
  <si>
    <t>G2191003-01</t>
  </si>
  <si>
    <t>AB001098</t>
  </si>
  <si>
    <t>FP012364397BT</t>
  </si>
  <si>
    <t>CHEN YU HSIUNG</t>
  </si>
  <si>
    <t>G2191003-02</t>
  </si>
  <si>
    <t>FP0123615319T</t>
  </si>
  <si>
    <t>TEE SOON KIYET</t>
  </si>
  <si>
    <t>G2191003-03</t>
  </si>
  <si>
    <t>FP0123621122T</t>
  </si>
  <si>
    <t>NG CHENG THYE</t>
  </si>
  <si>
    <t>G2191003-04</t>
  </si>
  <si>
    <t>FP012363701JT</t>
  </si>
  <si>
    <t>NG JING JIE</t>
  </si>
  <si>
    <t>G2191003-05</t>
  </si>
  <si>
    <t>FP012365215HT</t>
  </si>
  <si>
    <t>TAN CHEW YAN</t>
  </si>
  <si>
    <t>G2191003-06</t>
  </si>
  <si>
    <t>FP0123667846T</t>
  </si>
  <si>
    <t>CHIN JOO HI</t>
  </si>
  <si>
    <t>G2191003-07</t>
  </si>
  <si>
    <t>FP0123676270T</t>
  </si>
  <si>
    <t>PUA SEAH FERN</t>
  </si>
  <si>
    <t>G2191003-08</t>
  </si>
  <si>
    <t>FP012368705DT</t>
  </si>
  <si>
    <t>Natalie Ng</t>
  </si>
  <si>
    <t>G2191003-09</t>
  </si>
  <si>
    <t>PA000281</t>
  </si>
  <si>
    <t>DP0123693057T</t>
  </si>
  <si>
    <t>許崇恩</t>
  </si>
  <si>
    <t>G2-1</t>
  </si>
  <si>
    <t>G2191003-10</t>
  </si>
  <si>
    <t>LH</t>
  </si>
  <si>
    <t>GN0000021</t>
  </si>
  <si>
    <t>LH肺癌與肝癌
 快篩(僅作兩點位)</t>
  </si>
  <si>
    <t>AG191003-11</t>
  </si>
  <si>
    <t>AB001387</t>
  </si>
  <si>
    <t>DP0123701127T</t>
  </si>
  <si>
    <t>謝子陵</t>
  </si>
  <si>
    <t>FG-2</t>
  </si>
  <si>
    <t>G2191003-FG12</t>
  </si>
  <si>
    <t>FP0123717151T</t>
  </si>
  <si>
    <t>楊丹妮</t>
  </si>
  <si>
    <t>BS-2</t>
  </si>
  <si>
    <t>BS191003-13</t>
  </si>
  <si>
    <t>FP0123721483T</t>
  </si>
  <si>
    <t>陳藝云</t>
  </si>
  <si>
    <t>G2191003-14</t>
  </si>
  <si>
    <t>現代美容</t>
  </si>
  <si>
    <t>FP0123731580T</t>
  </si>
  <si>
    <t>Lo Ka Yiu</t>
  </si>
  <si>
    <t>G2191004-01</t>
  </si>
  <si>
    <t>AB001140</t>
  </si>
  <si>
    <t>國醫節</t>
  </si>
  <si>
    <t>DP0123743128T</t>
  </si>
  <si>
    <t>吳岱穎</t>
  </si>
  <si>
    <t>G2191004-02</t>
  </si>
  <si>
    <t>DP0123753757T</t>
  </si>
  <si>
    <t>李佩琦</t>
  </si>
  <si>
    <t>G2191004-03</t>
  </si>
  <si>
    <t>吳明純</t>
  </si>
  <si>
    <t>DP0123763103T</t>
  </si>
  <si>
    <t>蔡佳昇</t>
  </si>
  <si>
    <t>G2191004-04</t>
  </si>
  <si>
    <t>DP0123777057T</t>
  </si>
  <si>
    <t>G2191004-05</t>
  </si>
  <si>
    <t>DP0123780025T</t>
  </si>
  <si>
    <t>侯惠卿</t>
  </si>
  <si>
    <t>G2191004-06</t>
  </si>
  <si>
    <t>陳韋弘 陳韋元 陳裕榕</t>
  </si>
  <si>
    <t>DP0123792165T</t>
  </si>
  <si>
    <t>唐嘉惠</t>
  </si>
  <si>
    <t>G2191004-07</t>
  </si>
  <si>
    <t>唐嘉惠 陳韋元 陳裕榕</t>
  </si>
  <si>
    <t>DP0123804558T</t>
  </si>
  <si>
    <t>陳韋弘</t>
  </si>
  <si>
    <t>G2191004-08</t>
  </si>
  <si>
    <t>唐嘉惠 陳韋弘  陳裕榕</t>
  </si>
  <si>
    <t>DP0123811180T</t>
  </si>
  <si>
    <t>陳韋元</t>
  </si>
  <si>
    <t>G2191004-09</t>
  </si>
  <si>
    <t xml:space="preserve">唐嘉惠 陳韋弘 陳韋元  </t>
  </si>
  <si>
    <t>DP0123828496T</t>
  </si>
  <si>
    <t>陳裕榮</t>
  </si>
  <si>
    <t>G2191004-10</t>
  </si>
  <si>
    <t>洪靖雅</t>
  </si>
  <si>
    <t>DP0123836294T</t>
  </si>
  <si>
    <t>林冠甫</t>
  </si>
  <si>
    <t>G2191004-11</t>
  </si>
  <si>
    <t>DP0123844804T</t>
  </si>
  <si>
    <t>G2191004-12</t>
  </si>
  <si>
    <t>DP0123852497T</t>
  </si>
  <si>
    <t>邱念宸</t>
  </si>
  <si>
    <t>G2191004-13</t>
  </si>
  <si>
    <t>G2191004-14</t>
  </si>
  <si>
    <t>DP0123879446T</t>
  </si>
  <si>
    <t>張師華</t>
  </si>
  <si>
    <t>PINK-2</t>
  </si>
  <si>
    <t>P191007-01</t>
  </si>
  <si>
    <t>鍼鼎善中醫診所</t>
  </si>
  <si>
    <t>DP0123885462T</t>
  </si>
  <si>
    <t>林俞廷</t>
  </si>
  <si>
    <t>G2191008-01</t>
  </si>
  <si>
    <t>PA000309</t>
  </si>
  <si>
    <t>DP0123893854T</t>
  </si>
  <si>
    <t>謝文憲</t>
  </si>
  <si>
    <t>G2191008-02</t>
  </si>
  <si>
    <t>AB001442</t>
  </si>
  <si>
    <t>P191008-03</t>
  </si>
  <si>
    <t>DP0123909670T</t>
  </si>
  <si>
    <t>蔡蕙如</t>
  </si>
  <si>
    <t>PINK-1</t>
  </si>
  <si>
    <t>P191008-04</t>
  </si>
  <si>
    <t>DP0123915103T</t>
  </si>
  <si>
    <t>胡曉瑜</t>
  </si>
  <si>
    <t>P191008-05</t>
  </si>
  <si>
    <t>PA000218</t>
  </si>
  <si>
    <t>FP0123925610T</t>
  </si>
  <si>
    <t>吳香樺</t>
  </si>
  <si>
    <t>LH191008-06</t>
  </si>
  <si>
    <t>AB001075</t>
  </si>
  <si>
    <t>DP0123933609T</t>
  </si>
  <si>
    <t>于光華</t>
  </si>
  <si>
    <t>G2191015-01</t>
  </si>
  <si>
    <t>DP0123946743T</t>
  </si>
  <si>
    <t>吳文英</t>
  </si>
  <si>
    <t>LH191015-02</t>
  </si>
  <si>
    <t>DP0123951325T</t>
  </si>
  <si>
    <t>廖志彬</t>
  </si>
  <si>
    <t>LH191015-03</t>
  </si>
  <si>
    <t>DP0123962413T</t>
  </si>
  <si>
    <t>劉卿卿</t>
  </si>
  <si>
    <t>G2191016-01</t>
  </si>
  <si>
    <t>PA000295</t>
  </si>
  <si>
    <t>FP0123978321T</t>
  </si>
  <si>
    <t>金思羽</t>
  </si>
  <si>
    <t>G2191017-01</t>
  </si>
  <si>
    <t>FP0123985421T</t>
  </si>
  <si>
    <t>赵桓彗</t>
  </si>
  <si>
    <t>G2191017-02</t>
  </si>
  <si>
    <t>PA000185</t>
  </si>
  <si>
    <t>集團-大江基因醫學股份有限公司</t>
  </si>
  <si>
    <t>DP0123992323T</t>
  </si>
  <si>
    <t>黃詩甯</t>
  </si>
  <si>
    <t>G2191017-03</t>
  </si>
  <si>
    <t>KD-0</t>
  </si>
  <si>
    <t>KD191017-04</t>
  </si>
  <si>
    <t>AB001317</t>
  </si>
  <si>
    <t>FP012400743CT</t>
  </si>
  <si>
    <t>NG JING SHUN</t>
  </si>
  <si>
    <t>G2191018-01</t>
  </si>
  <si>
    <t>FP0124010014T</t>
  </si>
  <si>
    <t>OH SENG KEE</t>
  </si>
  <si>
    <t>G2191018-02</t>
  </si>
  <si>
    <t>PA000296</t>
  </si>
  <si>
    <t>DP0124022010T</t>
  </si>
  <si>
    <t>沈恩銘</t>
  </si>
  <si>
    <t>G2191018-03</t>
  </si>
  <si>
    <t>10706-0010</t>
  </si>
  <si>
    <t>昇傑科技醫療器材有限公司</t>
  </si>
  <si>
    <t>DP0124030704T</t>
  </si>
  <si>
    <t>葉智超</t>
  </si>
  <si>
    <t>G2191018-04</t>
  </si>
  <si>
    <t>FP0124063046T</t>
  </si>
  <si>
    <t>閆杰</t>
  </si>
  <si>
    <t>G2191018-05</t>
  </si>
  <si>
    <t>FP0124053524T</t>
  </si>
  <si>
    <t>溫冠宏</t>
  </si>
  <si>
    <t>G2191018-06</t>
  </si>
  <si>
    <t>FP012404923AT</t>
  </si>
  <si>
    <t>賴建誠</t>
  </si>
  <si>
    <t>G2191018-07</t>
  </si>
  <si>
    <t>DP0124071519T</t>
  </si>
  <si>
    <t>林筑瑩</t>
  </si>
  <si>
    <t>G2191021-01</t>
  </si>
  <si>
    <t>AB001447</t>
  </si>
  <si>
    <t xml:space="preserve">官網 </t>
  </si>
  <si>
    <t>徐孟辰</t>
  </si>
  <si>
    <t>DP0124080496T</t>
  </si>
  <si>
    <t>李立元</t>
  </si>
  <si>
    <t>HBO191022-01</t>
  </si>
  <si>
    <t>DP0124098768T</t>
  </si>
  <si>
    <t>HBO191022-02</t>
  </si>
  <si>
    <t>PA000282</t>
  </si>
  <si>
    <t>DP0124105292T</t>
  </si>
  <si>
    <t>尹紅</t>
  </si>
  <si>
    <t>G2191022-03</t>
  </si>
  <si>
    <t>AB001533</t>
  </si>
  <si>
    <t>DP0124110454T</t>
  </si>
  <si>
    <t>蔡宇杰</t>
  </si>
  <si>
    <t>G2191022-04</t>
  </si>
  <si>
    <t>PA000221</t>
  </si>
  <si>
    <t>DP0124129155T</t>
  </si>
  <si>
    <t>吳宜庭</t>
  </si>
  <si>
    <t>LH191022-05</t>
  </si>
  <si>
    <t>PA000220</t>
  </si>
  <si>
    <t>DP0124137878T</t>
  </si>
  <si>
    <t>曾妍菱</t>
  </si>
  <si>
    <t>P191022-06</t>
  </si>
  <si>
    <t>PA000322</t>
  </si>
  <si>
    <t>DP0124140338T</t>
  </si>
  <si>
    <t xml:space="preserve">陳美齡 </t>
  </si>
  <si>
    <t>G2191023-01</t>
  </si>
  <si>
    <t>G13</t>
  </si>
  <si>
    <t>GN0000032</t>
  </si>
  <si>
    <t>孕媽咪檢測</t>
  </si>
  <si>
    <t>DP0124154195T</t>
  </si>
  <si>
    <t>張朝凱</t>
  </si>
  <si>
    <t>G2191023-02</t>
  </si>
  <si>
    <t>星醫美學股份有限公司</t>
  </si>
  <si>
    <t>DP0124162008T</t>
  </si>
  <si>
    <t>林芸安</t>
  </si>
  <si>
    <t>LH191024-01</t>
  </si>
  <si>
    <t>DP0124183280T</t>
  </si>
  <si>
    <t>陳碧兒</t>
  </si>
  <si>
    <t>G2191025-01</t>
  </si>
  <si>
    <t>DP0124198571T</t>
  </si>
  <si>
    <t>張志鵬</t>
  </si>
  <si>
    <t>G2191025-02</t>
  </si>
  <si>
    <t>AB001463</t>
  </si>
  <si>
    <t>FP0124170015T</t>
  </si>
  <si>
    <t>Ray Hung</t>
  </si>
  <si>
    <t>KD-2</t>
  </si>
  <si>
    <t>KD191025-03</t>
  </si>
  <si>
    <t>客戶未提供身分證,會編用自編碼</t>
  </si>
  <si>
    <t>FP0124201183T</t>
  </si>
  <si>
    <t>陳智豐</t>
  </si>
  <si>
    <t>G2191029-01</t>
  </si>
  <si>
    <t>PA000330</t>
  </si>
  <si>
    <t>DP0124219090T</t>
  </si>
  <si>
    <t>張思賢</t>
  </si>
  <si>
    <t>G2191030-01</t>
  </si>
  <si>
    <t>員工</t>
  </si>
  <si>
    <t>DP0124228723T</t>
  </si>
  <si>
    <t>郭湘盈</t>
  </si>
  <si>
    <t>G2191031-01</t>
  </si>
  <si>
    <t>DP0124237795T</t>
  </si>
  <si>
    <t>周莉珉</t>
  </si>
  <si>
    <t>OMG191031-02</t>
  </si>
  <si>
    <t>PA000327</t>
  </si>
  <si>
    <t>DP0124252932T</t>
  </si>
  <si>
    <t>曾致凱</t>
  </si>
  <si>
    <t>G2191022-07</t>
  </si>
  <si>
    <t>DP0124243559T</t>
  </si>
  <si>
    <t>周琬真</t>
  </si>
  <si>
    <t>G2191022-08</t>
  </si>
  <si>
    <t>BS2191022-09</t>
  </si>
  <si>
    <t>G2191022-07眾健版測試</t>
  </si>
  <si>
    <t>BS2191022-10</t>
  </si>
  <si>
    <t>G2191022-08眾健版測試</t>
  </si>
  <si>
    <t>FP0124269974T</t>
  </si>
  <si>
    <t>許家敏</t>
  </si>
  <si>
    <t>P191104-01</t>
  </si>
  <si>
    <t>DP0124273535T</t>
  </si>
  <si>
    <t>柳融迪</t>
  </si>
  <si>
    <t>G2191104-02</t>
  </si>
  <si>
    <t>AB001532</t>
  </si>
  <si>
    <t>醫療-愛麗生婦產科</t>
  </si>
  <si>
    <t>DP0124289667T</t>
  </si>
  <si>
    <t>博雅琪</t>
  </si>
  <si>
    <t>G2191105-01</t>
  </si>
  <si>
    <t>DP0124294754T</t>
  </si>
  <si>
    <t>王麗美</t>
  </si>
  <si>
    <t>G2191105-02</t>
  </si>
  <si>
    <t>DP0124303464T</t>
  </si>
  <si>
    <t>張志祥</t>
  </si>
  <si>
    <t>G2191105-03</t>
  </si>
  <si>
    <t>PA000214</t>
  </si>
  <si>
    <t>DP0124319451T</t>
  </si>
  <si>
    <t>張婷婷</t>
  </si>
  <si>
    <t>P-1</t>
  </si>
  <si>
    <t>P191105-04</t>
  </si>
  <si>
    <t>LH-1</t>
  </si>
  <si>
    <t>LH191105-05</t>
  </si>
  <si>
    <t>AB001616</t>
  </si>
  <si>
    <t>DP0124323529T</t>
  </si>
  <si>
    <t>張晏禎</t>
  </si>
  <si>
    <t>G2191106-01</t>
  </si>
  <si>
    <t>AB001617</t>
  </si>
  <si>
    <t>DP0124332984T</t>
  </si>
  <si>
    <t>梁傳杰</t>
  </si>
  <si>
    <t>G2191106-02</t>
  </si>
  <si>
    <t>DP0124346999T</t>
  </si>
  <si>
    <t>梁傳偉</t>
  </si>
  <si>
    <t>G2191106-03</t>
  </si>
  <si>
    <t>FP0124352517T</t>
  </si>
  <si>
    <t>梁傳易</t>
  </si>
  <si>
    <t>G2191106-04</t>
  </si>
  <si>
    <t>AB001618</t>
  </si>
  <si>
    <t>DP0124366192T</t>
  </si>
  <si>
    <t>梁見發</t>
  </si>
  <si>
    <t>G2191106-05</t>
  </si>
  <si>
    <t>DP0124378123T</t>
  </si>
  <si>
    <t>張建存</t>
  </si>
  <si>
    <t>HB191106-06</t>
  </si>
  <si>
    <t>DP0124389530T</t>
  </si>
  <si>
    <t>戴婉莉</t>
  </si>
  <si>
    <t>LH191106-07</t>
  </si>
  <si>
    <t>優瑞牙醫</t>
  </si>
  <si>
    <t>DP0124395042T</t>
  </si>
  <si>
    <t>吳美嬌</t>
  </si>
  <si>
    <t>OMG191106-08</t>
  </si>
  <si>
    <t>富麗牙醫</t>
  </si>
  <si>
    <t>DP0124401022T</t>
  </si>
  <si>
    <t>鍾兆文</t>
  </si>
  <si>
    <t>OMG191106-09</t>
  </si>
  <si>
    <t>FP012441T223T</t>
  </si>
  <si>
    <t>Chong Pui Hang</t>
  </si>
  <si>
    <t>OB191107-01</t>
  </si>
  <si>
    <t>AB001556</t>
  </si>
  <si>
    <t>健康展</t>
  </si>
  <si>
    <t>DP0124420391T</t>
  </si>
  <si>
    <t>劉素芬</t>
  </si>
  <si>
    <t>G2191107-02</t>
  </si>
  <si>
    <t>DP0124437033T</t>
  </si>
  <si>
    <t>羅有梁</t>
  </si>
  <si>
    <t>G2191107-03</t>
  </si>
  <si>
    <t>PA000227</t>
  </si>
  <si>
    <t>DP0124445839T</t>
  </si>
  <si>
    <t>廖慧珍</t>
  </si>
  <si>
    <t>G2191108-01</t>
  </si>
  <si>
    <t>DP0124459111T</t>
  </si>
  <si>
    <t>張曉翠</t>
  </si>
  <si>
    <t>G2191108-02</t>
  </si>
  <si>
    <t>DP0124465198T</t>
  </si>
  <si>
    <t>黃銘豪</t>
  </si>
  <si>
    <t>LH191108-03</t>
  </si>
  <si>
    <t>PA000339</t>
  </si>
  <si>
    <t xml:space="preserve"> DP0124472777T</t>
  </si>
  <si>
    <t>洪卿卿</t>
  </si>
  <si>
    <t>AG191111-01</t>
  </si>
  <si>
    <t>DP0124481338T</t>
  </si>
  <si>
    <t>許韻純</t>
  </si>
  <si>
    <t>G2191111-02</t>
  </si>
  <si>
    <t xml:space="preserve">	FP0124490019T</t>
  </si>
  <si>
    <t>VELL ONG</t>
  </si>
  <si>
    <t>G2191111-03</t>
  </si>
  <si>
    <t>FP0124500020T</t>
  </si>
  <si>
    <t>PHUA CHENG WAN</t>
  </si>
  <si>
    <t>G2191111-04</t>
  </si>
  <si>
    <t>DP0124519779T</t>
  </si>
  <si>
    <t>蔡芳曄</t>
  </si>
  <si>
    <t>G2191111-05</t>
  </si>
  <si>
    <t>HFP</t>
  </si>
  <si>
    <t>GN0000015</t>
  </si>
  <si>
    <t>HFP(G2+FP)</t>
  </si>
  <si>
    <t>DP0124520695T</t>
  </si>
  <si>
    <t>AD-2</t>
  </si>
  <si>
    <t>AD191111-06</t>
  </si>
  <si>
    <t>DP0124535414T</t>
  </si>
  <si>
    <t>施純堯</t>
  </si>
  <si>
    <t>AD191111-07</t>
  </si>
  <si>
    <t>DP0124540463T</t>
  </si>
  <si>
    <t>李文珍</t>
  </si>
  <si>
    <t>AD191111-08</t>
  </si>
  <si>
    <t>DP0124559399T</t>
  </si>
  <si>
    <t>張惟智</t>
  </si>
  <si>
    <t>AD191111-09</t>
  </si>
  <si>
    <t>FP0124561412T</t>
  </si>
  <si>
    <t>李一賢</t>
  </si>
  <si>
    <t>AD191111-10</t>
  </si>
  <si>
    <t>DP0124578784T</t>
  </si>
  <si>
    <t>邱麗芬</t>
  </si>
  <si>
    <t>AD191111-11</t>
  </si>
  <si>
    <t>FP0124582780T</t>
  </si>
  <si>
    <t>穆淑琪</t>
  </si>
  <si>
    <t>AD191111-12</t>
  </si>
  <si>
    <t>DP0124592231T</t>
  </si>
  <si>
    <t>蔡世偉</t>
  </si>
  <si>
    <t>AD191111-13</t>
  </si>
  <si>
    <t>DP0107363399T</t>
  </si>
  <si>
    <t>鄭堪宏</t>
  </si>
  <si>
    <t>AD191111-14</t>
  </si>
  <si>
    <t>FP0124602548T</t>
  </si>
  <si>
    <t>陳文發</t>
  </si>
  <si>
    <t>AD191111-15</t>
  </si>
  <si>
    <t>DP0124613294T</t>
  </si>
  <si>
    <t>曾慧菀</t>
  </si>
  <si>
    <t>AD191111-16</t>
  </si>
  <si>
    <t>DP0124621251T</t>
  </si>
  <si>
    <t>蘇亭毓</t>
  </si>
  <si>
    <t>AD191111-17</t>
  </si>
  <si>
    <t>DP0124631522T</t>
  </si>
  <si>
    <t>吳長芳</t>
  </si>
  <si>
    <t>AD191111-18</t>
  </si>
  <si>
    <t>DP0124642268T</t>
  </si>
  <si>
    <t>王弘傑</t>
  </si>
  <si>
    <t>AD191111-19</t>
  </si>
  <si>
    <t>DP0124652031T</t>
  </si>
  <si>
    <t>李樹勛</t>
  </si>
  <si>
    <t>AD191111-20</t>
  </si>
  <si>
    <t>FP0124666839T</t>
  </si>
  <si>
    <t>林澤民</t>
  </si>
  <si>
    <t>AD191111-21</t>
  </si>
  <si>
    <t>DP0124676772T</t>
  </si>
  <si>
    <t>許峻銘</t>
  </si>
  <si>
    <t>AD191111-22</t>
  </si>
  <si>
    <t>DP0124684451T</t>
  </si>
  <si>
    <t>李政鴻</t>
  </si>
  <si>
    <t>AD191111-23</t>
  </si>
  <si>
    <t>FP0124696750T</t>
  </si>
  <si>
    <t>林昌德</t>
  </si>
  <si>
    <t>AD191111-24</t>
  </si>
  <si>
    <t>PA000340</t>
  </si>
  <si>
    <t>報告註明非本人勿拆</t>
  </si>
  <si>
    <t>FP0124705330T</t>
  </si>
  <si>
    <t>蔡牧樵</t>
  </si>
  <si>
    <t>AD191112-01</t>
  </si>
  <si>
    <t>DP0124715852T</t>
  </si>
  <si>
    <t>何俊穎</t>
  </si>
  <si>
    <t>AD191112-02</t>
  </si>
  <si>
    <t>DP0124724892T</t>
  </si>
  <si>
    <t>謝禮印</t>
  </si>
  <si>
    <t>AD191112-03</t>
  </si>
  <si>
    <t>DP0124735471T</t>
  </si>
  <si>
    <t>曾光宏</t>
  </si>
  <si>
    <t>AD191112-04</t>
  </si>
  <si>
    <t>DP0124744438T</t>
  </si>
  <si>
    <t>吳湘堯</t>
  </si>
  <si>
    <t>AD191112-05</t>
  </si>
  <si>
    <t>FP0124757502T</t>
  </si>
  <si>
    <t>許家睿</t>
  </si>
  <si>
    <t>AD191112-06</t>
  </si>
  <si>
    <t>DP0124763943T</t>
  </si>
  <si>
    <t>趙婷</t>
  </si>
  <si>
    <t>AD191112-07</t>
  </si>
  <si>
    <t>DP0124770589T</t>
  </si>
  <si>
    <t>張峯榮</t>
  </si>
  <si>
    <t>AD191112-08</t>
  </si>
  <si>
    <t>DP0124784741T</t>
  </si>
  <si>
    <t>葉淑娟</t>
  </si>
  <si>
    <t>AD191112-09</t>
  </si>
  <si>
    <t>FP0124796495T</t>
  </si>
  <si>
    <t>陳幸津</t>
  </si>
  <si>
    <t>AD191112-10</t>
  </si>
  <si>
    <t>DP0124801255T</t>
  </si>
  <si>
    <t>陳行健</t>
  </si>
  <si>
    <t>AD191112-11</t>
  </si>
  <si>
    <t>DP0124819337T</t>
  </si>
  <si>
    <t>林淑敏</t>
  </si>
  <si>
    <t>AD191112-12</t>
  </si>
  <si>
    <t>DP0124824610T</t>
  </si>
  <si>
    <t>鄭素珠</t>
  </si>
  <si>
    <t>AD191112-13</t>
  </si>
  <si>
    <t>DP0124834787T</t>
  </si>
  <si>
    <t>楊瓔真</t>
  </si>
  <si>
    <t>AD191112-14</t>
  </si>
  <si>
    <t>DP0124842124T</t>
  </si>
  <si>
    <t>陳恩哲</t>
  </si>
  <si>
    <t>AD191112-15</t>
  </si>
  <si>
    <t>FP0124855172T</t>
  </si>
  <si>
    <t>施永泰</t>
  </si>
  <si>
    <t>AD191112-16</t>
  </si>
  <si>
    <t>FP0124869425T</t>
  </si>
  <si>
    <t>許庭榕</t>
  </si>
  <si>
    <t>AD191112-17</t>
  </si>
  <si>
    <t>DP0124871199T</t>
  </si>
  <si>
    <t>趙碧珠</t>
  </si>
  <si>
    <t>AD191112-18</t>
  </si>
  <si>
    <t>DP0124882652T</t>
  </si>
  <si>
    <t>宋家橙</t>
  </si>
  <si>
    <t>AD191112-19</t>
  </si>
  <si>
    <t>DP0124899080T</t>
  </si>
  <si>
    <t>劉慧燕</t>
  </si>
  <si>
    <t>AD191112-20</t>
  </si>
  <si>
    <t>DP0124905090T</t>
  </si>
  <si>
    <t>許傳賢</t>
  </si>
  <si>
    <t>AD191112-21</t>
  </si>
  <si>
    <t>DP0124918793T</t>
  </si>
  <si>
    <t>林眉</t>
  </si>
  <si>
    <t>AD191112-22</t>
  </si>
  <si>
    <t>FP0124926455T</t>
  </si>
  <si>
    <t>蕭昱凌</t>
  </si>
  <si>
    <t>AD191112-23</t>
  </si>
  <si>
    <t>FP0124934696T</t>
  </si>
  <si>
    <t>余達文</t>
  </si>
  <si>
    <t>AD191112-24</t>
  </si>
  <si>
    <t>DP0124946693T</t>
  </si>
  <si>
    <t>易曉芝</t>
  </si>
  <si>
    <t>BS191113-01</t>
  </si>
  <si>
    <t>DP0124953676T</t>
  </si>
  <si>
    <t>邱劍華</t>
  </si>
  <si>
    <t>AD-1</t>
  </si>
  <si>
    <t>AD191113-02</t>
  </si>
  <si>
    <t>DP0124961308T</t>
  </si>
  <si>
    <t>胡慕美</t>
  </si>
  <si>
    <t>AD191113-03</t>
  </si>
  <si>
    <t>DP0124979002T</t>
  </si>
  <si>
    <t>陳啟宇</t>
  </si>
  <si>
    <t>AD191113-04</t>
  </si>
  <si>
    <t>DP0124982503T</t>
  </si>
  <si>
    <t>黃俊斌</t>
  </si>
  <si>
    <t>AD191113-05</t>
  </si>
  <si>
    <t>MD</t>
  </si>
  <si>
    <t>DP0124999483T</t>
  </si>
  <si>
    <t>胡美華</t>
  </si>
  <si>
    <t>GN0000033</t>
  </si>
  <si>
    <t>AD191113-06</t>
  </si>
  <si>
    <t>G2拆項-MD先天代謝不良檢測</t>
  </si>
  <si>
    <t>DP0125007061T</t>
  </si>
  <si>
    <t>蔡宛婷</t>
  </si>
  <si>
    <t>AD191113-07</t>
  </si>
  <si>
    <t>DP0125010312T</t>
  </si>
  <si>
    <t>劉芳玲</t>
  </si>
  <si>
    <t>AD191113-08</t>
  </si>
  <si>
    <t>FP0125020023T</t>
  </si>
  <si>
    <t>陳秀民</t>
  </si>
  <si>
    <t>AD191113-09</t>
  </si>
  <si>
    <t>FP0030490333T</t>
  </si>
  <si>
    <t>徐正吉</t>
  </si>
  <si>
    <t>AD191113-10</t>
  </si>
  <si>
    <t>FP0125035915T</t>
  </si>
  <si>
    <t>楊爵源</t>
  </si>
  <si>
    <t>AD191113-11</t>
  </si>
  <si>
    <t>石賢彥</t>
  </si>
  <si>
    <t>AD191113-12</t>
  </si>
  <si>
    <t>許詹俊</t>
  </si>
  <si>
    <t>AD191113-13</t>
  </si>
  <si>
    <t>程𣈯竣</t>
  </si>
  <si>
    <t>AD191113-14</t>
  </si>
  <si>
    <t>蘇育禎</t>
  </si>
  <si>
    <t>AD191113-15</t>
  </si>
  <si>
    <t>管志成</t>
  </si>
  <si>
    <t>AD191113-16</t>
  </si>
  <si>
    <t>張簡文閔</t>
  </si>
  <si>
    <t>AD191113-17</t>
  </si>
  <si>
    <t>周言穎</t>
  </si>
  <si>
    <t>AD191113-18</t>
  </si>
  <si>
    <t>劉美坊</t>
  </si>
  <si>
    <t>AD191113-19</t>
  </si>
  <si>
    <t>張健昌</t>
  </si>
  <si>
    <t>AD191113-20</t>
  </si>
  <si>
    <t>陳錦江</t>
  </si>
  <si>
    <t>AD191113-21</t>
  </si>
  <si>
    <t>宋玉蘭</t>
  </si>
  <si>
    <t>AD191113-22</t>
  </si>
  <si>
    <t>陳孟妤</t>
  </si>
  <si>
    <t>AD191113-23</t>
  </si>
  <si>
    <t>陳嘉容</t>
  </si>
  <si>
    <t>AD191113-24</t>
  </si>
  <si>
    <t>PA000341</t>
  </si>
  <si>
    <t>仁心堂</t>
  </si>
  <si>
    <t>何秀春</t>
  </si>
  <si>
    <t>HBO191113-25</t>
  </si>
  <si>
    <t>AG191113-26</t>
  </si>
  <si>
    <t>吳佩靜</t>
  </si>
  <si>
    <t>OMG191113-27</t>
  </si>
  <si>
    <t>PA000334</t>
  </si>
  <si>
    <t>博翌如</t>
  </si>
  <si>
    <t>KD191113-28</t>
  </si>
  <si>
    <t>CG</t>
  </si>
  <si>
    <t>GN0000034</t>
  </si>
  <si>
    <t>G2拆項-CG癌症基因檢測</t>
  </si>
  <si>
    <t>PW</t>
  </si>
  <si>
    <t>GN0000035</t>
  </si>
  <si>
    <t>G2拆項-PW精神老化基因檢測</t>
  </si>
  <si>
    <t>IS</t>
  </si>
  <si>
    <t>GN0000036</t>
  </si>
  <si>
    <t>G2拆項-IS免疫基因檢測</t>
  </si>
  <si>
    <t>MG</t>
  </si>
  <si>
    <t>GN0000037</t>
  </si>
  <si>
    <t>G2拆項-MG男性基因檢測</t>
  </si>
  <si>
    <t>FG</t>
  </si>
  <si>
    <t>GN0000038</t>
  </si>
  <si>
    <t>G2拆項-FG女性基因檢測</t>
  </si>
  <si>
    <t>AG</t>
  </si>
  <si>
    <t>GN0000039</t>
  </si>
  <si>
    <t>抗衰老排毒檢測</t>
  </si>
  <si>
    <t>GM1</t>
  </si>
  <si>
    <t>GN0000040</t>
  </si>
  <si>
    <t>GM1腸道菌相檢測成本</t>
  </si>
  <si>
    <t>OMG</t>
  </si>
  <si>
    <t>GN0000013</t>
  </si>
  <si>
    <t>OMG口腔基因檢測</t>
  </si>
  <si>
    <t>HOM</t>
  </si>
  <si>
    <t>GN0000012</t>
  </si>
  <si>
    <t>HOM(G2+OMG)</t>
  </si>
  <si>
    <t>MPM</t>
  </si>
  <si>
    <t>GN0000030</t>
  </si>
  <si>
    <t>肝癌甲基化_MPM</t>
  </si>
  <si>
    <t>G37</t>
  </si>
  <si>
    <t>GN0000041</t>
  </si>
  <si>
    <t>第二型糖尿病</t>
  </si>
  <si>
    <t>G27</t>
  </si>
  <si>
    <t>GN0000028</t>
  </si>
  <si>
    <t>食道癌</t>
  </si>
  <si>
    <t>G28</t>
  </si>
  <si>
    <t>D43GN0042</t>
  </si>
  <si>
    <t>R1動態基因科技 (癌症)</t>
  </si>
  <si>
    <t>G29</t>
  </si>
  <si>
    <t>D43GN0043</t>
  </si>
  <si>
    <t>R1動態基因科技(心血管)</t>
  </si>
  <si>
    <t>G30</t>
  </si>
  <si>
    <t>D43GN0044</t>
  </si>
  <si>
    <t>G31</t>
  </si>
  <si>
    <t>D43GN0045</t>
  </si>
  <si>
    <t>R1動態基因科技(老化)</t>
  </si>
  <si>
    <t>G32</t>
  </si>
  <si>
    <t>D43GN0046</t>
  </si>
  <si>
    <t>G33</t>
  </si>
  <si>
    <t>D43GN0047</t>
  </si>
  <si>
    <t>R1動態基因科技 (腦血管)</t>
  </si>
  <si>
    <t>G34</t>
  </si>
  <si>
    <t>D43GN0048</t>
  </si>
  <si>
    <t>R1動態基因科技 (免疫)</t>
  </si>
  <si>
    <t>G35</t>
  </si>
  <si>
    <t>D43GN0049</t>
  </si>
  <si>
    <t>G36</t>
  </si>
  <si>
    <t>D43GN0050</t>
  </si>
  <si>
    <t>KD</t>
  </si>
  <si>
    <t>GN0000051</t>
  </si>
  <si>
    <t>KD兒童成長發育基因檢測</t>
  </si>
  <si>
    <t>公關所屬人</t>
  </si>
  <si>
    <t>預定
寄出日</t>
  </si>
  <si>
    <t>會員編號(系統匯出)</t>
  </si>
  <si>
    <t>檢測專案(系統匯出)</t>
  </si>
  <si>
    <t>性別(系統匯出)</t>
  </si>
  <si>
    <t>物流公司及單號</t>
  </si>
  <si>
    <t>收件人</t>
  </si>
  <si>
    <t>品名</t>
  </si>
  <si>
    <t>數量</t>
  </si>
  <si>
    <t>Sharon</t>
  </si>
  <si>
    <t>已做過</t>
  </si>
  <si>
    <t>DP0057719318T</t>
  </si>
  <si>
    <t>黃冠禎</t>
  </si>
  <si>
    <t>全檢</t>
  </si>
  <si>
    <t>2016/07/08做過HB</t>
  </si>
  <si>
    <t>G2170726-03</t>
  </si>
  <si>
    <t>離職</t>
  </si>
  <si>
    <t>FP0079204228T</t>
  </si>
  <si>
    <t>李红红</t>
  </si>
  <si>
    <t>G2170726-04</t>
  </si>
  <si>
    <t>FP0079210636T</t>
  </si>
  <si>
    <t>魏大帅</t>
  </si>
  <si>
    <t>G2180207-02</t>
  </si>
  <si>
    <t>G2170726-05，重採
G2171207-01，重採</t>
  </si>
  <si>
    <t>重採</t>
  </si>
  <si>
    <t>FP0079223324T</t>
  </si>
  <si>
    <t>颜苗苗</t>
  </si>
  <si>
    <t>G2170726-06</t>
  </si>
  <si>
    <t>FP0079231023T</t>
  </si>
  <si>
    <t>盛秋芳</t>
  </si>
  <si>
    <t>G2170726-07</t>
  </si>
  <si>
    <t>FP0079245021T</t>
  </si>
  <si>
    <t>趙艳春</t>
  </si>
  <si>
    <t>G2170726-08</t>
  </si>
  <si>
    <t>FP0079255068T</t>
  </si>
  <si>
    <t>罗玉梅</t>
  </si>
  <si>
    <t>G2170726-09</t>
  </si>
  <si>
    <t>FP0083615833T</t>
  </si>
  <si>
    <t>龚士博</t>
  </si>
  <si>
    <t>全檢-3</t>
  </si>
  <si>
    <t>G2180815-05</t>
  </si>
  <si>
    <t>G2170726-10，重採
G2171207-02，重採</t>
  </si>
  <si>
    <t>FP0079267227T</t>
  </si>
  <si>
    <t>吳巧玉</t>
  </si>
  <si>
    <t>G2170726-11</t>
  </si>
  <si>
    <t>FP0079272573T</t>
  </si>
  <si>
    <t>刘銀龙</t>
  </si>
  <si>
    <t>G2170726-12</t>
  </si>
  <si>
    <t>FP0079287270T</t>
  </si>
  <si>
    <t>樊敏</t>
  </si>
  <si>
    <t>G2170726-13</t>
  </si>
  <si>
    <t>FP0079293430T</t>
  </si>
  <si>
    <t>肖杰</t>
  </si>
  <si>
    <t>G2170726-14</t>
  </si>
  <si>
    <t>FP007930001XT</t>
  </si>
  <si>
    <t>叶文超</t>
  </si>
  <si>
    <t>G2170726-15</t>
  </si>
  <si>
    <t>12/7，補一管</t>
  </si>
  <si>
    <t>FP0079317327T</t>
  </si>
  <si>
    <t>周海燕</t>
  </si>
  <si>
    <t>G2170726-16</t>
  </si>
  <si>
    <t>FP0079322823T</t>
  </si>
  <si>
    <t>童兰秀</t>
  </si>
  <si>
    <t>G2170726-17</t>
  </si>
  <si>
    <t>FP0079331043T</t>
  </si>
  <si>
    <t>梁文靜</t>
  </si>
  <si>
    <t>G2170726-18</t>
  </si>
  <si>
    <t>FP0079341046T</t>
  </si>
  <si>
    <t>粟家艳</t>
  </si>
  <si>
    <t>G2170726-19</t>
  </si>
  <si>
    <t>FP0079351804T</t>
  </si>
  <si>
    <t>王进梅</t>
  </si>
  <si>
    <t>G2170726-20</t>
  </si>
  <si>
    <t>FP0079367819T</t>
  </si>
  <si>
    <t>张贵武</t>
  </si>
  <si>
    <t>G2170726-21</t>
  </si>
  <si>
    <t>FP008362108XT</t>
  </si>
  <si>
    <t>谢西梅</t>
  </si>
  <si>
    <t>G2170726-22</t>
  </si>
  <si>
    <t>FP0079386068T</t>
  </si>
  <si>
    <t>李大凤</t>
  </si>
  <si>
    <t>G2170727-01</t>
  </si>
  <si>
    <t>FP0079397220T</t>
  </si>
  <si>
    <t>陈秀英</t>
  </si>
  <si>
    <t>G2170727-02</t>
  </si>
  <si>
    <t>FP0079402867T</t>
  </si>
  <si>
    <t>李倩</t>
  </si>
  <si>
    <t>G2170727-03</t>
  </si>
  <si>
    <t>FP0079411041T</t>
  </si>
  <si>
    <t>郭丽</t>
  </si>
  <si>
    <t>G2170727-04</t>
  </si>
  <si>
    <t>FP0079421439T</t>
  </si>
  <si>
    <t>陆春浩</t>
  </si>
  <si>
    <t>G2170727-05</t>
  </si>
  <si>
    <t>FP0079432869T</t>
  </si>
  <si>
    <t>李雪</t>
  </si>
  <si>
    <t>G2170727-06</t>
  </si>
  <si>
    <t>FP007944142XT</t>
  </si>
  <si>
    <t>黎海霞</t>
  </si>
  <si>
    <t>G2170727-07</t>
  </si>
  <si>
    <t>FP0079450621T</t>
  </si>
  <si>
    <t>钟海兰</t>
  </si>
  <si>
    <t>G2170727-08</t>
  </si>
  <si>
    <t>FP0079465826T</t>
  </si>
  <si>
    <t>巫冰</t>
  </si>
  <si>
    <t>G2170727-09</t>
  </si>
  <si>
    <t>FP0079471526T</t>
  </si>
  <si>
    <t>秦国英</t>
  </si>
  <si>
    <t>G2170727-10</t>
  </si>
  <si>
    <t>FP0079482134T</t>
  </si>
  <si>
    <t>李松林</t>
  </si>
  <si>
    <t>G2170727-11</t>
  </si>
  <si>
    <t>FP0079497128T</t>
  </si>
  <si>
    <t>吕文兰</t>
  </si>
  <si>
    <t>G2170727-12</t>
  </si>
  <si>
    <t>FP0079501125T</t>
  </si>
  <si>
    <t>谢兰兰</t>
  </si>
  <si>
    <t>G2170727-13</t>
  </si>
  <si>
    <t>FP0079510049T</t>
  </si>
  <si>
    <t>赵瑞芹</t>
  </si>
  <si>
    <t>G2170727-14</t>
  </si>
  <si>
    <t>FP0079522721T</t>
  </si>
  <si>
    <t>赵秀兰</t>
  </si>
  <si>
    <t>G2170727-15</t>
  </si>
  <si>
    <t>FP0079537118T</t>
  </si>
  <si>
    <t>汤道兵</t>
  </si>
  <si>
    <t>G2170727-16</t>
  </si>
  <si>
    <t>FP0079541525T</t>
  </si>
  <si>
    <t>马飞飞</t>
  </si>
  <si>
    <t>G2170727-17</t>
  </si>
  <si>
    <t>FP0079554442T</t>
  </si>
  <si>
    <t>何紅妹</t>
  </si>
  <si>
    <t>G2170727-18</t>
  </si>
  <si>
    <t>FP007956544XT</t>
  </si>
  <si>
    <t>吕亚亚</t>
  </si>
  <si>
    <t>G2170727-19</t>
  </si>
  <si>
    <t>FP0079571364T</t>
  </si>
  <si>
    <t>巫桂兰</t>
  </si>
  <si>
    <t>G2170727-20</t>
  </si>
  <si>
    <t>G2170727-21</t>
  </si>
  <si>
    <t>FP0079591680T</t>
  </si>
  <si>
    <t>牛桂英</t>
  </si>
  <si>
    <t>G2170728-02</t>
  </si>
  <si>
    <t>FP0079600315T</t>
  </si>
  <si>
    <t>柯建</t>
  </si>
  <si>
    <t>G2170728-03</t>
  </si>
  <si>
    <t>FP008363044XT</t>
  </si>
  <si>
    <t>李伙努</t>
  </si>
  <si>
    <t>G2170728-04</t>
  </si>
  <si>
    <t>FP0079611925T</t>
  </si>
  <si>
    <t>郭海凤</t>
  </si>
  <si>
    <t>G2170728-05</t>
  </si>
  <si>
    <t>FP0079620934T</t>
  </si>
  <si>
    <t>项德友</t>
  </si>
  <si>
    <t>G2170728-06</t>
  </si>
  <si>
    <t>FP0079651609T</t>
  </si>
  <si>
    <t>朱宗利</t>
  </si>
  <si>
    <t>G2170728-07</t>
  </si>
  <si>
    <t>FP0079660936T</t>
  </si>
  <si>
    <t>夏地</t>
  </si>
  <si>
    <t>G2170728-08</t>
  </si>
  <si>
    <t>FP0079672426T</t>
  </si>
  <si>
    <t>柳丽黎</t>
  </si>
  <si>
    <t>G2170728-09</t>
  </si>
  <si>
    <t>DP0079682579T</t>
  </si>
  <si>
    <t>蔡弘斌</t>
  </si>
  <si>
    <t>G2170728-10</t>
  </si>
  <si>
    <t>FP0079697189T</t>
  </si>
  <si>
    <t>孙怀勇</t>
  </si>
  <si>
    <t>G2170728-11</t>
  </si>
  <si>
    <t>FP0079701525T</t>
  </si>
  <si>
    <t>黃权权</t>
  </si>
  <si>
    <t>G2170728-12</t>
  </si>
  <si>
    <t>FP0079715540T</t>
  </si>
  <si>
    <t>单卫霞</t>
  </si>
  <si>
    <t>G2170728-13</t>
  </si>
  <si>
    <t>DP0079728745T</t>
  </si>
  <si>
    <t>邱詠詮</t>
  </si>
  <si>
    <t>G2170728-14</t>
  </si>
  <si>
    <t>FP0079730348T</t>
  </si>
  <si>
    <t>廖红侠</t>
  </si>
  <si>
    <t>G2170728-15</t>
  </si>
  <si>
    <t>FP0079742086T</t>
  </si>
  <si>
    <t>张群</t>
  </si>
  <si>
    <t>G2170728-16</t>
  </si>
  <si>
    <t>FP0079751829T</t>
  </si>
  <si>
    <t>王洋</t>
  </si>
  <si>
    <t>G2170728-17</t>
  </si>
  <si>
    <t>FP007976062XT</t>
  </si>
  <si>
    <t>任照玉</t>
  </si>
  <si>
    <t>G2170728-18</t>
  </si>
  <si>
    <t>FP008365272XT</t>
  </si>
  <si>
    <t>王秀侠</t>
  </si>
  <si>
    <t>G2170728-19</t>
  </si>
  <si>
    <t>FP0079783504T</t>
  </si>
  <si>
    <t>程芳利</t>
  </si>
  <si>
    <t>G2170728-20</t>
  </si>
  <si>
    <t>FP0079792029T</t>
  </si>
  <si>
    <t>熊桂香</t>
  </si>
  <si>
    <t>G2180207-03</t>
  </si>
  <si>
    <t>G2170728-21，重採
G2171207-03，重採</t>
  </si>
  <si>
    <t>FP0079802562T</t>
  </si>
  <si>
    <t>贾立应</t>
  </si>
  <si>
    <t>G2170728-22</t>
  </si>
  <si>
    <t>FP0083647141T</t>
  </si>
  <si>
    <t>黄娣红</t>
  </si>
  <si>
    <t>G2170728-23</t>
  </si>
  <si>
    <t>106年5月【1650天晟專案-費用皆掛健樂士】來案暨出貨明細表(全寄公司：，天晟醫院-陳虹宇，320桃園市中壢區延平路155號-B1檢驗科，03-4629292#22117。12/8起改做全檢！10/26起出貨需放入1800折價諮詢券)</t>
  </si>
  <si>
    <t>106年5月出貨合計</t>
  </si>
  <si>
    <t>吉林檢驗所電話:25515494地址：台北市中山區吉林路244號1樓收件人：郭沂蓁他們的會掛在天晟</t>
  </si>
  <si>
    <t>檢測項目(系統匯出)</t>
  </si>
  <si>
    <t>特調品/安瓶型號</t>
  </si>
  <si>
    <t>特調品數量(罐/盒)</t>
  </si>
  <si>
    <t>生日</t>
  </si>
  <si>
    <t>地址</t>
  </si>
  <si>
    <t>電話</t>
  </si>
  <si>
    <t>身高</t>
  </si>
  <si>
    <t>體重</t>
  </si>
  <si>
    <t>BMI</t>
  </si>
  <si>
    <t>天晟</t>
  </si>
  <si>
    <t>05/02、5/3</t>
  </si>
  <si>
    <t>DP0072655305T</t>
  </si>
  <si>
    <t>彭觀光</t>
  </si>
  <si>
    <t>-</t>
  </si>
  <si>
    <t>G1170410-12</t>
  </si>
  <si>
    <t>便利帶-010141376720</t>
  </si>
  <si>
    <t>5/2業務自取，5/3改寄統一收件人</t>
  </si>
  <si>
    <t>239新北市鶯歌區二橋街83巷4號</t>
  </si>
  <si>
    <t>0926845919</t>
  </si>
  <si>
    <t>DP0072789559T</t>
  </si>
  <si>
    <t>陳佳琪</t>
  </si>
  <si>
    <t>G1170417-01</t>
  </si>
  <si>
    <t>便利帶-010141461779</t>
  </si>
  <si>
    <t>天晟醫院-陳虹宇</t>
  </si>
  <si>
    <t>116台北市文山區忠順街二段85巷15號2樓</t>
  </si>
  <si>
    <t>0915608218</t>
  </si>
  <si>
    <t>DP0072793800T</t>
  </si>
  <si>
    <t>邱矞</t>
  </si>
  <si>
    <t>G1170417-02</t>
  </si>
  <si>
    <t>特調品錠劑</t>
  </si>
  <si>
    <t>DP0072800214T</t>
  </si>
  <si>
    <t>孫欽蔚</t>
  </si>
  <si>
    <t>G1170417-03</t>
  </si>
  <si>
    <t>PDM特調品錠劑</t>
  </si>
  <si>
    <t>屏東縣長治鄉神農路12號收件人:陳思云</t>
  </si>
  <si>
    <t>FP0072812017T</t>
  </si>
  <si>
    <t>吳浩</t>
  </si>
  <si>
    <t>G1170417-04</t>
  </si>
  <si>
    <t>便利帶-010141376720(同彭觀光寄件)</t>
  </si>
  <si>
    <t>運費-便利帶</t>
  </si>
  <si>
    <t>重覆送檢，不送驗</t>
  </si>
  <si>
    <t>DP0050792733T</t>
  </si>
  <si>
    <t>李智男(重覆送檢）</t>
  </si>
  <si>
    <t>G1170417-05</t>
  </si>
  <si>
    <t>運費-神行快遞</t>
  </si>
  <si>
    <t>804高雄市鼓山區文信路335號3樓A室</t>
  </si>
  <si>
    <t>0975731489</t>
  </si>
  <si>
    <t>DP0072820072T</t>
  </si>
  <si>
    <t>謝雪秀</t>
  </si>
  <si>
    <t>G1170417-06</t>
  </si>
  <si>
    <t>便利帶-010141461779(同陳佳琪、邱矞、孫欽蔚寄件)</t>
  </si>
  <si>
    <t>運費-黑貓</t>
  </si>
  <si>
    <t>DP0077465679T</t>
  </si>
  <si>
    <t>DP0072981238T</t>
  </si>
  <si>
    <t>林俊銘</t>
  </si>
  <si>
    <t>張孜旋</t>
  </si>
  <si>
    <t>G1170420-01</t>
  </si>
  <si>
    <t>便利帶-010141765745</t>
  </si>
  <si>
    <t>到付運費-常溫</t>
  </si>
  <si>
    <t>G2170710-11</t>
  </si>
  <si>
    <t>DP0077479243T</t>
  </si>
  <si>
    <t>吳秀林</t>
  </si>
  <si>
    <t>G2170710-12</t>
  </si>
  <si>
    <t>DP0077487032T</t>
  </si>
  <si>
    <t>陳建榮</t>
  </si>
  <si>
    <t>G2170710-13</t>
  </si>
  <si>
    <t>DP0077492170T</t>
  </si>
  <si>
    <t>蔡佩璇</t>
  </si>
  <si>
    <t>G2170710-14</t>
  </si>
  <si>
    <t>DP0077502789T</t>
  </si>
  <si>
    <t>林郁豪</t>
  </si>
  <si>
    <t>DP0073015831T</t>
  </si>
  <si>
    <t>G2170710-15</t>
  </si>
  <si>
    <t>林素惠</t>
  </si>
  <si>
    <t>G1170420-04</t>
  </si>
  <si>
    <t>DP0077516266T</t>
  </si>
  <si>
    <t>林子玉</t>
  </si>
  <si>
    <t>便利帶-010141765745(同張孜旋寄件)</t>
  </si>
  <si>
    <t>G2170710-16</t>
  </si>
  <si>
    <t>DP0077526391T</t>
  </si>
  <si>
    <t>王彥鈞</t>
  </si>
  <si>
    <t>G2170710-17</t>
  </si>
  <si>
    <t>DP0077534590T</t>
  </si>
  <si>
    <t>鄭竤仁</t>
  </si>
  <si>
    <t>G2170710-18</t>
  </si>
  <si>
    <t>DP0077544666T</t>
  </si>
  <si>
    <t>賴軍村</t>
  </si>
  <si>
    <t>G2170710-19</t>
  </si>
  <si>
    <t>DP0077557735T</t>
  </si>
  <si>
    <t>陳柏仰</t>
  </si>
  <si>
    <t>G2170710-20</t>
  </si>
  <si>
    <t>DP0077567074T</t>
  </si>
  <si>
    <t>陳嘉鋐</t>
  </si>
  <si>
    <t>G2170711-01</t>
  </si>
  <si>
    <t>DP0077571359T</t>
  </si>
  <si>
    <t>莊政融</t>
  </si>
  <si>
    <t>重複寄送報告書工本費</t>
  </si>
  <si>
    <t>G2170711-02</t>
  </si>
  <si>
    <t>DP0077586558T</t>
  </si>
  <si>
    <t>涂莉美</t>
  </si>
  <si>
    <t>G2170711-03</t>
  </si>
  <si>
    <t>DP0077597988T</t>
  </si>
  <si>
    <t>劉文志</t>
  </si>
  <si>
    <t>G2170711-04</t>
  </si>
  <si>
    <t>DP0077601481T</t>
  </si>
  <si>
    <t>傅星源</t>
  </si>
  <si>
    <t>G2170711-05</t>
  </si>
  <si>
    <t>DP0077613746T</t>
  </si>
  <si>
    <t>郭祈顯</t>
  </si>
  <si>
    <t>G2170711-06</t>
  </si>
  <si>
    <t>DP0077621966T</t>
  </si>
  <si>
    <t>洪語謙</t>
  </si>
  <si>
    <t>DP0073692797T</t>
  </si>
  <si>
    <t>陳明瑜</t>
  </si>
  <si>
    <t>G2170711-07</t>
  </si>
  <si>
    <t>G2170504-21</t>
  </si>
  <si>
    <t>便利帶-010141956513</t>
  </si>
  <si>
    <t>242新北市新莊區西盛街171號3樓</t>
  </si>
  <si>
    <t>0919023228</t>
  </si>
  <si>
    <t>DP0077631660T</t>
  </si>
  <si>
    <t>吳品範</t>
  </si>
  <si>
    <t>G2170711-08</t>
  </si>
  <si>
    <t>15號前來案，15號後出貨(故出貨記錄登錄在下個月，含重新採檢)</t>
  </si>
  <si>
    <t>DP0077647105T</t>
  </si>
  <si>
    <t>林乃芬</t>
  </si>
  <si>
    <t>G2170711-09</t>
  </si>
  <si>
    <t>DP0077653792T</t>
  </si>
  <si>
    <t>薛智誠</t>
  </si>
  <si>
    <t>G2170711-10</t>
  </si>
  <si>
    <t>DP0077665594T</t>
  </si>
  <si>
    <t>黃家驊</t>
  </si>
  <si>
    <t>G2170711-11</t>
  </si>
  <si>
    <t>DP0077677694T</t>
  </si>
  <si>
    <t>張仲育</t>
  </si>
  <si>
    <t>G2170711-12</t>
  </si>
  <si>
    <t>DP0077686468T</t>
  </si>
  <si>
    <t>徐振榮</t>
  </si>
  <si>
    <t>G2170711-13</t>
  </si>
  <si>
    <t>DP0077693218T</t>
  </si>
  <si>
    <t>張雅雯</t>
  </si>
  <si>
    <t>G2170711-14</t>
  </si>
  <si>
    <t>DP0077705292T</t>
  </si>
  <si>
    <t>謝孟涓</t>
  </si>
  <si>
    <t>G2170711-15</t>
  </si>
  <si>
    <t>DP0077716691T</t>
  </si>
  <si>
    <t>張家成</t>
  </si>
  <si>
    <t>G2170711-16</t>
  </si>
  <si>
    <t>DP0077727300T</t>
  </si>
  <si>
    <t>廖家儀</t>
  </si>
  <si>
    <t>G2170711-17</t>
  </si>
  <si>
    <t>DP0077737731T</t>
  </si>
  <si>
    <t>賴愉蒨</t>
  </si>
  <si>
    <t>G2170711-18</t>
  </si>
  <si>
    <t>DP0073703756T</t>
  </si>
  <si>
    <t>章文剛</t>
  </si>
  <si>
    <t>G2170505-01</t>
  </si>
  <si>
    <t>神行-001170146054</t>
  </si>
  <si>
    <t>DP0073716242T</t>
  </si>
  <si>
    <t>徐瑞敏</t>
  </si>
  <si>
    <t>G2170505-02</t>
  </si>
  <si>
    <t>FP0077740481T</t>
  </si>
  <si>
    <t>羅冠力</t>
  </si>
  <si>
    <t>DP0073732498T</t>
  </si>
  <si>
    <t>黃詩倫</t>
  </si>
  <si>
    <t>G2170505-04</t>
  </si>
  <si>
    <t>神行-001170146054(同徐瑞敏寄件)</t>
  </si>
  <si>
    <t>G2170711-19</t>
  </si>
  <si>
    <t>DP0073745429T</t>
  </si>
  <si>
    <t>張原嘉</t>
  </si>
  <si>
    <t>G2170505-05</t>
  </si>
  <si>
    <t>DP0081760300T</t>
  </si>
  <si>
    <t>石蕙慈</t>
  </si>
  <si>
    <t>G2170822-03</t>
  </si>
  <si>
    <t>DP0073751322T</t>
  </si>
  <si>
    <t>張志強</t>
  </si>
  <si>
    <t>G2170505-06</t>
  </si>
  <si>
    <t>DP0081779902T</t>
  </si>
  <si>
    <t>王煥博</t>
  </si>
  <si>
    <t>DP0072839199T</t>
  </si>
  <si>
    <t>饒春紅</t>
  </si>
  <si>
    <t>G2170822-04</t>
  </si>
  <si>
    <t>G2170524-09</t>
  </si>
  <si>
    <t>便利帶-010143328062</t>
  </si>
  <si>
    <t>DP0081786320T</t>
  </si>
  <si>
    <t>陳昱邦</t>
  </si>
  <si>
    <t>G2170822-05</t>
  </si>
  <si>
    <t>DP0081791961T</t>
  </si>
  <si>
    <t>許智翔</t>
  </si>
  <si>
    <t>G2170822-06</t>
  </si>
  <si>
    <t>(04/17來案過，重採G2170417-07)</t>
  </si>
  <si>
    <t>DP0073720841T</t>
  </si>
  <si>
    <t>羅兆琮</t>
  </si>
  <si>
    <t>DP0081809110T</t>
  </si>
  <si>
    <t>杜政仁</t>
  </si>
  <si>
    <t>G2170524-10</t>
  </si>
  <si>
    <t>G2170822-07</t>
  </si>
  <si>
    <t>(05/05來案過，重採G2170505-03)</t>
  </si>
  <si>
    <t>DP0081818573T</t>
  </si>
  <si>
    <t>DP0072998575T</t>
  </si>
  <si>
    <t>陳朝立</t>
  </si>
  <si>
    <t>劉智冬</t>
  </si>
  <si>
    <t>G2170822-08</t>
  </si>
  <si>
    <t>G2170525-12</t>
  </si>
  <si>
    <t>便利帶-010143416183</t>
  </si>
  <si>
    <t>DP0081828215T</t>
  </si>
  <si>
    <t>賴文藝</t>
  </si>
  <si>
    <t>G2170822-09</t>
  </si>
  <si>
    <t>DP0081831795T</t>
  </si>
  <si>
    <t>郭詠綾</t>
  </si>
  <si>
    <t>G2170822-10</t>
  </si>
  <si>
    <t>DP0081844039T</t>
  </si>
  <si>
    <t>陳美如</t>
  </si>
  <si>
    <t>G2170822-11</t>
  </si>
  <si>
    <t>DP0081852331T</t>
  </si>
  <si>
    <t>林佳萱</t>
  </si>
  <si>
    <t>G2170822-12</t>
  </si>
  <si>
    <t>(04/20來案過，G1170420-02重採)</t>
  </si>
  <si>
    <t>DP0081869401T</t>
  </si>
  <si>
    <t>鍾鈞斌</t>
  </si>
  <si>
    <t>G2170822-13</t>
  </si>
  <si>
    <t>DP0073008689T</t>
  </si>
  <si>
    <t>高敬堯</t>
  </si>
  <si>
    <t>G2170525-13</t>
  </si>
  <si>
    <t>DP0081871450T</t>
  </si>
  <si>
    <t>(04/20來案過，G1170420-03重採)6/2WGA回來</t>
  </si>
  <si>
    <t>藍俊明</t>
  </si>
  <si>
    <t>G2170822-14</t>
  </si>
  <si>
    <t>DP0081881698T</t>
  </si>
  <si>
    <t>杜彥甫</t>
  </si>
  <si>
    <t>G2170822-15</t>
  </si>
  <si>
    <t>DP0081891775T</t>
  </si>
  <si>
    <t>石黃丞</t>
  </si>
  <si>
    <t>G2170822-16</t>
  </si>
  <si>
    <t>DP0081906932T</t>
  </si>
  <si>
    <t>DP0074830321T</t>
  </si>
  <si>
    <t>吳秋紜</t>
  </si>
  <si>
    <t>李善瑜</t>
  </si>
  <si>
    <t>G2170822-17</t>
  </si>
  <si>
    <t>HB170525-14</t>
  </si>
  <si>
    <t>DP0081918033T</t>
  </si>
  <si>
    <t>羅旭貝</t>
  </si>
  <si>
    <t>吉林</t>
  </si>
  <si>
    <t>G2170822-18</t>
  </si>
  <si>
    <t>DP0075738059T</t>
  </si>
  <si>
    <t>釋法定</t>
  </si>
  <si>
    <t>G2170614-11</t>
  </si>
  <si>
    <t>神行-001170146056</t>
  </si>
  <si>
    <t>DP0081923351T</t>
  </si>
  <si>
    <t>林子宏</t>
  </si>
  <si>
    <t>郭沂蓁</t>
  </si>
  <si>
    <t>G2170822-19</t>
  </si>
  <si>
    <t>DP0075744763T</t>
  </si>
  <si>
    <t>藍右杰</t>
  </si>
  <si>
    <t>G2170614-12</t>
  </si>
  <si>
    <t>DP0075781106T</t>
  </si>
  <si>
    <t>郝身幸</t>
  </si>
  <si>
    <t>G2170614-13</t>
  </si>
  <si>
    <t>DP0075830861T</t>
  </si>
  <si>
    <t>方立行</t>
  </si>
  <si>
    <t>G2170616-04</t>
  </si>
  <si>
    <t>便利帶-010144731303</t>
  </si>
  <si>
    <t>結案至6/30</t>
  </si>
  <si>
    <t>DP0082002020T</t>
  </si>
  <si>
    <t>李建賢</t>
  </si>
  <si>
    <t>G2170823-08</t>
  </si>
  <si>
    <t>DP0082012827T</t>
  </si>
  <si>
    <t>林哲宇</t>
  </si>
  <si>
    <t>G2170823-09</t>
  </si>
  <si>
    <t>DP0082022167T</t>
  </si>
  <si>
    <t>田家杭</t>
  </si>
  <si>
    <t>G2170823-10</t>
  </si>
  <si>
    <t>DP0082033571T</t>
  </si>
  <si>
    <t>鄭凱隆</t>
  </si>
  <si>
    <t>G2170823-11</t>
  </si>
  <si>
    <t>FP0077321119T</t>
  </si>
  <si>
    <t>潘向陽</t>
  </si>
  <si>
    <t>全檢-簡體</t>
  </si>
  <si>
    <t>男-生日19601119</t>
  </si>
  <si>
    <t>G2170703-01</t>
  </si>
  <si>
    <t>FP0077330815T</t>
  </si>
  <si>
    <t>何國明</t>
  </si>
  <si>
    <t>男-生日19670815</t>
  </si>
  <si>
    <t>G2170703-02</t>
  </si>
  <si>
    <t>DP0082049107T</t>
  </si>
  <si>
    <t>戴嘉樺</t>
  </si>
  <si>
    <t>G2170823-12</t>
  </si>
  <si>
    <t>FP0077340526T</t>
  </si>
  <si>
    <t>姚洁</t>
  </si>
  <si>
    <t>女-生日19810526</t>
  </si>
  <si>
    <t>G2170703-03</t>
  </si>
  <si>
    <t>DP0082151006T</t>
  </si>
  <si>
    <t>林雅玲</t>
  </si>
  <si>
    <t>G2170824-01</t>
  </si>
  <si>
    <t>FP0077350314T</t>
  </si>
  <si>
    <t>吳斌</t>
  </si>
  <si>
    <t>女-生日19660314</t>
  </si>
  <si>
    <t>G2170703-04</t>
  </si>
  <si>
    <t>DP0082169073T</t>
  </si>
  <si>
    <t>潘景志</t>
  </si>
  <si>
    <t>FP0077360725T</t>
  </si>
  <si>
    <t>G2170824-02</t>
  </si>
  <si>
    <t>陳向宏</t>
  </si>
  <si>
    <t>男-生日19630725</t>
  </si>
  <si>
    <t>G2170703-05</t>
  </si>
  <si>
    <t>DP0082173795T</t>
  </si>
  <si>
    <t>蔡旻憲</t>
  </si>
  <si>
    <t>G2170824-03</t>
  </si>
  <si>
    <t>FP0077370712T</t>
  </si>
  <si>
    <t>倪阿毛</t>
  </si>
  <si>
    <t>男-生日19630712</t>
  </si>
  <si>
    <t>G2170703-06</t>
  </si>
  <si>
    <t>DP0082180264T</t>
  </si>
  <si>
    <t>蕭婉晴</t>
  </si>
  <si>
    <t>G2170824-04</t>
  </si>
  <si>
    <t>FP0077380216T</t>
  </si>
  <si>
    <t>陳瑜</t>
  </si>
  <si>
    <t>女-生日19730216</t>
  </si>
  <si>
    <t>DP0082195252T</t>
  </si>
  <si>
    <t>張惠筑</t>
  </si>
  <si>
    <t>G2170824-05</t>
  </si>
  <si>
    <t>G2170703-07</t>
  </si>
  <si>
    <t>DP0082209672T</t>
  </si>
  <si>
    <t>林芩遙</t>
  </si>
  <si>
    <t>DP0077254742T</t>
  </si>
  <si>
    <t>陳彥妘</t>
  </si>
  <si>
    <t>G2170824-06</t>
  </si>
  <si>
    <t>G2170705-20</t>
  </si>
  <si>
    <t>DP0082341942T</t>
  </si>
  <si>
    <t>林羿詳</t>
  </si>
  <si>
    <t>G2170825-05</t>
  </si>
  <si>
    <t>DP0077267512T</t>
  </si>
  <si>
    <t>陳怡臻</t>
  </si>
  <si>
    <t>G2170705-21</t>
  </si>
  <si>
    <t>DP0082359527T</t>
  </si>
  <si>
    <t>曾維理</t>
  </si>
  <si>
    <t>G2170825-06</t>
  </si>
  <si>
    <t>DP0077272631T</t>
  </si>
  <si>
    <t>劉士維</t>
  </si>
  <si>
    <t>G2170705-22</t>
  </si>
  <si>
    <t>DP0082360799T</t>
  </si>
  <si>
    <t>曾鈞鴻</t>
  </si>
  <si>
    <t>G2170825-07</t>
  </si>
  <si>
    <t>DP0077846552T</t>
  </si>
  <si>
    <t>陳康</t>
  </si>
  <si>
    <t>G2170712-17</t>
  </si>
  <si>
    <t>DP0082376686T</t>
  </si>
  <si>
    <t>周佑宣</t>
  </si>
  <si>
    <t>G2170825-08</t>
  </si>
  <si>
    <t>DP0082381806T</t>
  </si>
  <si>
    <t>楊炙勳</t>
  </si>
  <si>
    <t>DP0078153273T</t>
  </si>
  <si>
    <t>郭書政</t>
  </si>
  <si>
    <t>G2170825-09</t>
  </si>
  <si>
    <t>G2170714-09</t>
  </si>
  <si>
    <t>便利帶-010146592500</t>
  </si>
  <si>
    <t>DP0082392877T</t>
  </si>
  <si>
    <t>劉中和</t>
  </si>
  <si>
    <t>G2170825-10</t>
  </si>
  <si>
    <t>DP0082401188T</t>
  </si>
  <si>
    <t>陳文彬</t>
  </si>
  <si>
    <t>G2170825-11</t>
  </si>
  <si>
    <t>DP0082411867T</t>
  </si>
  <si>
    <t>蔡文峰</t>
  </si>
  <si>
    <t>G2170825-12</t>
  </si>
  <si>
    <t>DP0082426021T</t>
  </si>
  <si>
    <t>陳景文</t>
  </si>
  <si>
    <t>G2170825-13</t>
  </si>
  <si>
    <t>DP0082436897T</t>
  </si>
  <si>
    <t>黃騰緯</t>
  </si>
  <si>
    <t>G2170825-14</t>
  </si>
  <si>
    <t>蘇雅君</t>
  </si>
  <si>
    <t>錯誤：106.4/17-診所訂單(谷崧)-全檢-Sharon
正確：106.4/17-1650天晟-全檢-Sharon</t>
  </si>
  <si>
    <t>劉俊盛</t>
  </si>
  <si>
    <t>羅逸純</t>
  </si>
  <si>
    <t>廖振佑</t>
  </si>
  <si>
    <t>10605-0063</t>
  </si>
  <si>
    <t>福展生物科技有限公司</t>
  </si>
  <si>
    <t>807高雄市三民區覺民路639號</t>
  </si>
  <si>
    <t>0956836054</t>
  </si>
  <si>
    <t>411台中市太平區新興路150號13樓-2</t>
  </si>
  <si>
    <t>0932955971</t>
  </si>
  <si>
    <t>802高雄市苓雅區樂仁路10號</t>
  </si>
  <si>
    <t>0928682926</t>
  </si>
  <si>
    <t>242新北市新莊區中原路197-6號10樓</t>
  </si>
  <si>
    <t>0920125146</t>
  </si>
  <si>
    <t>830高雄市鳳山區南京路385巷15之3號4樓</t>
  </si>
  <si>
    <t>0982085118</t>
  </si>
  <si>
    <t>330桃園市桃園區中正路1342號13樓</t>
  </si>
  <si>
    <t>0926033492</t>
  </si>
  <si>
    <t>814高雄市仁武區竹楠路33巷51號</t>
  </si>
  <si>
    <t>0916135611</t>
  </si>
  <si>
    <t>408台中市南屯區干城街240巷3弄10號</t>
  </si>
  <si>
    <t>0922439929</t>
  </si>
  <si>
    <t>330桃園市桃園區文中路126巷101弄10號</t>
  </si>
  <si>
    <t>0931919140</t>
  </si>
  <si>
    <t>200基隆市仁愛區劉銘傳路64巷8號4樓</t>
  </si>
  <si>
    <t>0938757185</t>
  </si>
  <si>
    <t>330桃園市桃園區同安街503巷20號</t>
  </si>
  <si>
    <t>03-317-8208</t>
  </si>
  <si>
    <t>106年5月【大誠專案-費用皆掛健樂士】來案暨出貨明細表(全寄：陳淑娟，104台北市中山區撫順街8號6樓，02-2585-3088#632，10/26起出貨需放入1800折價諮詢券)</t>
  </si>
  <si>
    <t>大誠</t>
  </si>
  <si>
    <t>Eva</t>
  </si>
  <si>
    <t>DP0073429472T</t>
  </si>
  <si>
    <t>林智清</t>
  </si>
  <si>
    <t>G1170426-08</t>
  </si>
  <si>
    <t>便利帶-010141900557</t>
  </si>
  <si>
    <t>陳淑娟</t>
  </si>
  <si>
    <t>附發票。寄指定地址</t>
  </si>
  <si>
    <t>Serena</t>
  </si>
  <si>
    <t>DP0071037854T</t>
  </si>
  <si>
    <t>何品蕙</t>
  </si>
  <si>
    <t>G2170508-01</t>
  </si>
  <si>
    <t>何東山&amp;蔡靜瑛-女</t>
  </si>
  <si>
    <t>寄公司(02/21來案，重新採檢)</t>
  </si>
  <si>
    <t>到付運費-冷藏</t>
  </si>
  <si>
    <t>cindy</t>
  </si>
  <si>
    <t>邱詩情*1(有發票)-楊鈞翔(同辜宥恩.謝榮彰.何佳貞.吳培誠.彭國臺.張鈞威.楊鈞翔.蔡宗學.王伊雯.張曉菁)</t>
  </si>
  <si>
    <t>黃麗蓉*1(待補*1)</t>
  </si>
  <si>
    <t>徐嘉彤</t>
  </si>
  <si>
    <t>徐嘉晨</t>
  </si>
  <si>
    <t>林子荃</t>
  </si>
  <si>
    <t>林俊斌&amp;邱詩晴-子</t>
  </si>
  <si>
    <t>江宸生(有發票)</t>
  </si>
  <si>
    <t>林宛菲</t>
  </si>
  <si>
    <t>邱詩情(待補*10)</t>
  </si>
  <si>
    <t>楊慧華*3(待補*3，同何東山、蔡靜瑛、何品蕙、何品君)</t>
  </si>
  <si>
    <t>出貨表名單多4位？？106年5月【1650星采專案-費用皆掛健樂士】來案暨出貨明細表(黃筱雯。
1.總公司：100台北市中正區重慶南路一段77號12樓，02-23892319。
2.大安：106台北市大安區復興南路二段27號2樓，02-23253678。
3.古亭：100台北市中正區羅斯福路一段32號2樓，02-23951167。
4.台北：100台北市中正區館前路2號6樓之1，02-23887778。
5.仁愛：106台北市大安區光復南路306號2樓，02-27117128。
6.桃園：330桃園縣桃園市中正路993號2樓，03-3552679。
7.竹北：302新竹縣竹北市光明一路236號2樓，03-6571179。
8.台中：407台中市西屯區惠來路二段232號，04-22598809。
9.台南：700台南市中西區和意路60號1、2樓，06-2131255。
10.高雄：813高雄市左營區博愛三路2號2樓，07-3431638。</t>
  </si>
  <si>
    <t>台北(原台中，4/19改)</t>
  </si>
  <si>
    <t>105/04/19</t>
  </si>
  <si>
    <t>105/04/06</t>
  </si>
  <si>
    <t>105/04/12</t>
  </si>
  <si>
    <t>DP0050264845T</t>
  </si>
  <si>
    <t>李宛澂(無個資表，補寄)</t>
  </si>
  <si>
    <t>G1160406-37</t>
  </si>
  <si>
    <t>郵局-928815-400451-70-10000-5</t>
  </si>
  <si>
    <t>黃筱雯</t>
  </si>
  <si>
    <t>DP0050278861T</t>
  </si>
  <si>
    <t>李嘉峻(無個資表，補寄)</t>
  </si>
  <si>
    <t>G1160406-38</t>
  </si>
  <si>
    <t>李宛澂-子</t>
  </si>
  <si>
    <t>DP0050282510T</t>
  </si>
  <si>
    <t>李岱樺(無個資表，補寄)</t>
  </si>
  <si>
    <t>G1160406-39</t>
  </si>
  <si>
    <t>李宛澂-女</t>
  </si>
  <si>
    <t>古亭</t>
  </si>
  <si>
    <t>邱于庭</t>
  </si>
  <si>
    <t>邱世加&amp;黃春祝-女</t>
  </si>
  <si>
    <t>黃春祝</t>
  </si>
  <si>
    <t>邱世加</t>
  </si>
  <si>
    <t>張哲豪</t>
  </si>
  <si>
    <t>總公司-業務一區</t>
  </si>
  <si>
    <t>張定豪</t>
  </si>
  <si>
    <t>桃園FB</t>
  </si>
  <si>
    <t>潘子琳</t>
  </si>
  <si>
    <t>大安</t>
  </si>
  <si>
    <t>楊峯彰</t>
  </si>
  <si>
    <t>吳婕榆</t>
  </si>
  <si>
    <t>顧碧君</t>
  </si>
  <si>
    <t>陳靖宣</t>
  </si>
  <si>
    <t>賴珊珊</t>
  </si>
  <si>
    <t>蔡易頻</t>
  </si>
  <si>
    <t>盧嘉豪</t>
  </si>
  <si>
    <t>陳怡伶</t>
  </si>
  <si>
    <t>陳緯蘋</t>
  </si>
  <si>
    <t>馮艾祺</t>
  </si>
  <si>
    <t>黃貞雯</t>
  </si>
  <si>
    <t>李宜眉</t>
  </si>
  <si>
    <t>陳晏湄</t>
  </si>
  <si>
    <t>王星云</t>
  </si>
  <si>
    <t>劉怡秋</t>
  </si>
  <si>
    <t>郭意璿</t>
  </si>
  <si>
    <t>鍾亞蕾</t>
  </si>
  <si>
    <t>楊戀喬</t>
  </si>
  <si>
    <t>郭席揚</t>
  </si>
  <si>
    <t>黃文怡</t>
  </si>
  <si>
    <t>竹北</t>
  </si>
  <si>
    <t>蔡安格</t>
  </si>
  <si>
    <t>盧盈芬</t>
  </si>
  <si>
    <t>陳盈儒</t>
  </si>
  <si>
    <t>黃少霞</t>
  </si>
  <si>
    <t>黃愛芳</t>
  </si>
  <si>
    <t>劉盈妘</t>
  </si>
  <si>
    <t>鄭建文</t>
  </si>
  <si>
    <t>張曲吟</t>
  </si>
  <si>
    <t>陳詹金蘭</t>
  </si>
  <si>
    <t>葉淑美</t>
  </si>
  <si>
    <t>劉淑惠</t>
  </si>
  <si>
    <t>廖美雲</t>
  </si>
  <si>
    <t>陳世芳</t>
  </si>
  <si>
    <t>湯韻竹</t>
  </si>
  <si>
    <t>黃瑞琪</t>
  </si>
  <si>
    <t>陳羽妍</t>
  </si>
  <si>
    <t>蕭雪琴</t>
  </si>
  <si>
    <t>楊淨雯</t>
  </si>
  <si>
    <t>王正維</t>
  </si>
  <si>
    <t>陳淑玲</t>
  </si>
  <si>
    <t>蕭玟瓊</t>
  </si>
  <si>
    <t>高雄</t>
  </si>
  <si>
    <t>顏雅鳳</t>
  </si>
  <si>
    <t>郝佳華</t>
  </si>
  <si>
    <t>游裕琪</t>
  </si>
  <si>
    <t>朱美芳</t>
  </si>
  <si>
    <t>鄭淑瑩</t>
  </si>
  <si>
    <t>徐元凡</t>
  </si>
  <si>
    <t>關煥文</t>
  </si>
  <si>
    <t>鄭秀婷</t>
  </si>
  <si>
    <t>謝承恩</t>
  </si>
  <si>
    <t>鄭秀婷-子</t>
  </si>
  <si>
    <t>謝金蓮</t>
  </si>
  <si>
    <t>106年5月【生醫】來案暨出貨明細表</t>
  </si>
  <si>
    <t>溫偉中</t>
  </si>
  <si>
    <t>陳秀娟</t>
  </si>
  <si>
    <t>陳明志</t>
  </si>
  <si>
    <t>王雅鈴</t>
  </si>
  <si>
    <t>許智強</t>
  </si>
  <si>
    <t>來案類別</t>
  </si>
  <si>
    <t>員工健檢*</t>
  </si>
  <si>
    <t>公關*</t>
  </si>
  <si>
    <t>攝護腺基因檢測(以全檢檢測)</t>
  </si>
  <si>
    <t>BS檢測服務</t>
  </si>
  <si>
    <t>BS5檢測服務</t>
  </si>
  <si>
    <t>BS3(IB3)</t>
  </si>
  <si>
    <t>OB檢測服務</t>
  </si>
  <si>
    <t>3H檢測服務</t>
  </si>
  <si>
    <t>MS檢測服務</t>
  </si>
  <si>
    <t>AD檢測服務</t>
  </si>
  <si>
    <t>MT檢測服務</t>
  </si>
  <si>
    <t>公關(十傑)</t>
  </si>
  <si>
    <t>vincent</t>
  </si>
  <si>
    <t>曾梅玲</t>
  </si>
  <si>
    <t>公關(顧問)</t>
  </si>
  <si>
    <t>venus</t>
  </si>
  <si>
    <t>min</t>
  </si>
  <si>
    <t>陳柏霖</t>
  </si>
  <si>
    <t>周仁明</t>
  </si>
  <si>
    <t>公關(上海宮神)</t>
  </si>
  <si>
    <t>emily陰</t>
  </si>
  <si>
    <t>上海宮神集團*2(李仙同批…)</t>
  </si>
  <si>
    <t>公關(亞緹)</t>
  </si>
  <si>
    <t>EmilyYin</t>
  </si>
  <si>
    <t>待補*1</t>
  </si>
  <si>
    <t>全檢(簡體版)</t>
  </si>
  <si>
    <t>電子檔forEmilyYin</t>
  </si>
  <si>
    <t>106年5月【電銷CS】來案暨出貨明細表</t>
  </si>
  <si>
    <t>額外出貨</t>
  </si>
  <si>
    <t>林國雄</t>
  </si>
  <si>
    <t>林貞祥</t>
  </si>
  <si>
    <t>曹永福</t>
  </si>
  <si>
    <t>陳欽明</t>
  </si>
  <si>
    <t>106年5月【電視購物】來案暨出貨明細表</t>
  </si>
  <si>
    <t>鄭茂南</t>
  </si>
  <si>
    <t>陳正枝</t>
  </si>
  <si>
    <t>鄭茂霖</t>
  </si>
  <si>
    <t>徐永珍</t>
  </si>
  <si>
    <t>歸檔，不出紙本報告</t>
  </si>
  <si>
    <t>王秀菊</t>
  </si>
  <si>
    <t>梁麗雪</t>
  </si>
  <si>
    <t>簡雯桂</t>
  </si>
  <si>
    <t>廖昭子</t>
  </si>
  <si>
    <t>李秋菊</t>
  </si>
  <si>
    <t>陳芷晴</t>
  </si>
  <si>
    <t>陳惠敏</t>
  </si>
  <si>
    <t>古榮梅</t>
  </si>
  <si>
    <t>林素蓮</t>
  </si>
  <si>
    <t>檢體前處理費</t>
  </si>
  <si>
    <t>郭盈伶</t>
  </si>
  <si>
    <t>劉碧霞</t>
  </si>
  <si>
    <t>王梨敏</t>
  </si>
  <si>
    <t>呂秋燕</t>
  </si>
  <si>
    <t>宋一冉</t>
  </si>
  <si>
    <t>彭錦華</t>
  </si>
  <si>
    <t>彭寶蓮</t>
  </si>
  <si>
    <t>陳晶晶</t>
  </si>
  <si>
    <t>何友光</t>
  </si>
  <si>
    <t>李杏柔</t>
  </si>
  <si>
    <t>余恬鑫</t>
  </si>
  <si>
    <t>鄭翠明</t>
  </si>
  <si>
    <t>許雅芬</t>
  </si>
  <si>
    <t>余葵霖</t>
  </si>
  <si>
    <t>陳淑貞</t>
  </si>
  <si>
    <t>向月端</t>
  </si>
  <si>
    <t>陳怡如</t>
  </si>
  <si>
    <t>羅貴美</t>
  </si>
  <si>
    <t>林佩樺</t>
  </si>
  <si>
    <t>楊麗美</t>
  </si>
  <si>
    <t>楊伯亞</t>
  </si>
  <si>
    <t>朱寶惠</t>
  </si>
  <si>
    <t>蔡靖娟</t>
  </si>
  <si>
    <t>黃吉美</t>
  </si>
  <si>
    <t>麥桂蘭</t>
  </si>
  <si>
    <t>張美蓮</t>
  </si>
  <si>
    <t>許梨珠</t>
  </si>
  <si>
    <t>許馨云</t>
  </si>
  <si>
    <t>羅裔淇</t>
  </si>
  <si>
    <t>汪姿伶</t>
  </si>
  <si>
    <t>詹桂鳳</t>
  </si>
  <si>
    <t>陳江秀琴</t>
  </si>
  <si>
    <t>張春嬌</t>
  </si>
  <si>
    <t>王麗華</t>
  </si>
  <si>
    <t>106年5月【1650保吉生專案-費用皆掛健樂士】來案暨出貨明細表(1.吉美員工：235新北市中和區中山路二段348巷8號11樓，02-22467799#663，朱雅芬收。2.台中醫院：403臺中市西區三民路一段199號11樓健康檢查中心，04-22279966，沈佩儀收。3.羅東聖母醫院：265宜蘭縣羅東市中正南路160號A棟7樓健康管理中心，03-9544106#7704，財團法人天主教靈醫會羅東聖母醫院-行政組長張雅茜收)</t>
  </si>
  <si>
    <t>吉美</t>
  </si>
  <si>
    <t>不送檢，檢體已寄回診所for筱婷</t>
  </si>
  <si>
    <t>105/06/15</t>
  </si>
  <si>
    <t>吳昆奇</t>
  </si>
  <si>
    <t>同8/221650乃嘉報告寄回診所</t>
  </si>
  <si>
    <t>吉美*</t>
  </si>
  <si>
    <t>中醫*</t>
  </si>
  <si>
    <t>聖母*</t>
  </si>
  <si>
    <t>羅東聖母醫院</t>
  </si>
  <si>
    <t>王湘甯</t>
  </si>
  <si>
    <t>鄧筑安</t>
  </si>
  <si>
    <t>台中醫院</t>
  </si>
  <si>
    <t>張琮卿</t>
  </si>
  <si>
    <t>830高雄市鳳山區華山街201之4號1樓</t>
  </si>
  <si>
    <t>0912168418</t>
  </si>
  <si>
    <t>X</t>
  </si>
  <si>
    <t>動力員工</t>
  </si>
  <si>
    <t>動力</t>
  </si>
  <si>
    <t>106年5月【1650台灣薄膜專案-費用皆掛健樂士】來案暨出貨明細表(除部份寄公司，其餘皆寄住家)</t>
  </si>
  <si>
    <t>台中*</t>
  </si>
  <si>
    <t>彰化*</t>
  </si>
  <si>
    <t>台南*</t>
  </si>
  <si>
    <t>內湖*</t>
  </si>
  <si>
    <t>瑞芳*</t>
  </si>
  <si>
    <t>聯和醫療內湖</t>
  </si>
  <si>
    <t>沈家漢</t>
  </si>
  <si>
    <t>台北市內湖區堤頂大道二段179號5樓，總務-鄒嘉蕙，02-87513328#701</t>
  </si>
  <si>
    <t>林吳忠</t>
  </si>
  <si>
    <t>周銘偉</t>
  </si>
  <si>
    <t>黃妍玲</t>
  </si>
  <si>
    <t>黃孝裕</t>
  </si>
  <si>
    <t>郭英彥</t>
  </si>
  <si>
    <t>葉光偉</t>
  </si>
  <si>
    <t>聯和醫療彰化</t>
  </si>
  <si>
    <t>雷政華</t>
  </si>
  <si>
    <t>張仁彥</t>
  </si>
  <si>
    <t>身高</t>
    <phoneticPr fontId="50" type="noConversion"/>
  </si>
  <si>
    <t>體重</t>
    <phoneticPr fontId="50" type="noConversion"/>
  </si>
  <si>
    <t>簡體中文</t>
    <phoneticPr fontId="50" type="noConversion"/>
  </si>
  <si>
    <t>PA000297</t>
  </si>
  <si>
    <t>優瑞牙醫診所</t>
  </si>
  <si>
    <t>FP0125201888T</t>
  </si>
  <si>
    <t>吳日紅</t>
  </si>
  <si>
    <t>G2191114-01</t>
  </si>
  <si>
    <t>FP0125210026T</t>
  </si>
  <si>
    <t>楊逸愷</t>
  </si>
  <si>
    <t>G2191114-02</t>
  </si>
  <si>
    <t>DP0125226570T</t>
  </si>
  <si>
    <t>蘇琬婷</t>
  </si>
  <si>
    <t>G2191114-03</t>
  </si>
  <si>
    <t>AB001461</t>
  </si>
  <si>
    <t>DP0125234289T</t>
  </si>
  <si>
    <t>陳虹靜</t>
  </si>
  <si>
    <t>G2191114-04</t>
  </si>
  <si>
    <t>DP0125249937T</t>
  </si>
  <si>
    <t>劉惠珍</t>
  </si>
  <si>
    <t>G2191114-05</t>
  </si>
  <si>
    <t>AB001633</t>
  </si>
  <si>
    <t>集團-大江學院</t>
  </si>
  <si>
    <t>大江學院-Aaron</t>
  </si>
  <si>
    <t>DP0125296289T</t>
  </si>
  <si>
    <t>張清風</t>
  </si>
  <si>
    <t>G2191115-01</t>
  </si>
  <si>
    <t>DP0125306358T</t>
  </si>
  <si>
    <t>孫藍天</t>
  </si>
  <si>
    <t>G2191115-02</t>
  </si>
  <si>
    <t>FP0125310027T</t>
  </si>
  <si>
    <t>孫宇光</t>
  </si>
  <si>
    <t>G2191115-03</t>
  </si>
  <si>
    <t>DP0125326693T</t>
  </si>
  <si>
    <t>吳彰哲</t>
  </si>
  <si>
    <t>G2191115-04</t>
  </si>
  <si>
    <t>DP0125260966T</t>
  </si>
  <si>
    <t>朱玲瑛</t>
  </si>
  <si>
    <t>G2191118-01</t>
  </si>
  <si>
    <t>DP0125278549T</t>
  </si>
  <si>
    <t>許桓芳</t>
  </si>
  <si>
    <t>P191118-02</t>
  </si>
  <si>
    <t>AB001632</t>
  </si>
  <si>
    <t>DP0125281485T</t>
  </si>
  <si>
    <t>王資惠</t>
  </si>
  <si>
    <t>LH191118-03</t>
  </si>
  <si>
    <t>DP0125258477T</t>
  </si>
  <si>
    <t>吳偉慈</t>
  </si>
  <si>
    <t>DT191118-04</t>
  </si>
  <si>
    <t>FP0125334748T</t>
  </si>
  <si>
    <t>王誌濤</t>
  </si>
  <si>
    <t>G2191119-01</t>
  </si>
  <si>
    <t>PA000335</t>
  </si>
  <si>
    <t>DP0125343065T</t>
  </si>
  <si>
    <t>李奕蓁</t>
  </si>
  <si>
    <t>AG191119-02</t>
  </si>
  <si>
    <t>DP0125357424T</t>
  </si>
  <si>
    <t>楊宏仁</t>
  </si>
  <si>
    <t>AG191119-03</t>
  </si>
  <si>
    <t>DP0125368945T</t>
  </si>
  <si>
    <t>鄭怡真</t>
  </si>
  <si>
    <t>AG191119-04</t>
  </si>
  <si>
    <t>DP0125379367T</t>
  </si>
  <si>
    <t>劉孟哲</t>
  </si>
  <si>
    <t>AG191119-05</t>
  </si>
  <si>
    <t>DP0125386899T</t>
  </si>
  <si>
    <t>魏士航</t>
  </si>
  <si>
    <t>AG191119-06</t>
  </si>
  <si>
    <t>DP0125399690T</t>
  </si>
  <si>
    <t>張元瀚</t>
  </si>
  <si>
    <t>AG191119-07</t>
  </si>
  <si>
    <t>DP0125409049T</t>
  </si>
  <si>
    <t>劉瑞霖</t>
  </si>
  <si>
    <t>AG191119-08</t>
  </si>
  <si>
    <t>DP0125411872T</t>
  </si>
  <si>
    <t>蕭慧德</t>
  </si>
  <si>
    <t>AG191119-09</t>
  </si>
  <si>
    <t>DP0125427058T</t>
  </si>
  <si>
    <t>鍾詩楓</t>
  </si>
  <si>
    <t>AG191119-10</t>
  </si>
  <si>
    <t>DP0125437749T</t>
  </si>
  <si>
    <t>傅惠敏</t>
  </si>
  <si>
    <t>AG191119-11</t>
  </si>
  <si>
    <t>DP0125447743T</t>
  </si>
  <si>
    <t>洪婉馨</t>
  </si>
  <si>
    <t>AG191119-12</t>
  </si>
  <si>
    <t>DP0125454866T</t>
  </si>
  <si>
    <t>邱永和</t>
  </si>
  <si>
    <t>AG191119-13</t>
  </si>
  <si>
    <t>DP0125460459T</t>
  </si>
  <si>
    <t>邱宥甄</t>
  </si>
  <si>
    <t>P191119-14</t>
  </si>
  <si>
    <t>DP0125483961T</t>
  </si>
  <si>
    <t>劉耀軍</t>
  </si>
  <si>
    <t>LH191120-01</t>
  </si>
  <si>
    <t>何秀春</t>
    <phoneticPr fontId="50" type="noConversion"/>
  </si>
  <si>
    <t>DP0125042425T</t>
  </si>
  <si>
    <t>FP0125053396T</t>
  </si>
  <si>
    <t>FP0125060025T</t>
  </si>
  <si>
    <t>DP0125071800T</t>
  </si>
  <si>
    <t>DP0125088526T</t>
  </si>
  <si>
    <t>FP0125091549T</t>
  </si>
  <si>
    <t>DP0125108339T</t>
  </si>
  <si>
    <t>DP0125113653T</t>
  </si>
  <si>
    <t>DP0125122915T</t>
  </si>
  <si>
    <t>DP0125135435T</t>
  </si>
  <si>
    <t>DP0125141023T</t>
  </si>
  <si>
    <t>DP0125152347T</t>
  </si>
  <si>
    <t>FP0125163461T</t>
  </si>
  <si>
    <t>DP0125170582T</t>
  </si>
  <si>
    <t>DP0125183659T</t>
  </si>
  <si>
    <t>DP0125192602T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</si>
</sst>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6" formatCode="m/d"/>
    <numFmt numFmtId="177" formatCode="[$-409]h:mm\ AM/PM"/>
    <numFmt numFmtId="178" formatCode="m&quot;月&quot;d&quot;日&quot;"/>
    <numFmt numFmtId="179" formatCode="0.00_);[Red]\(0.00\)"/>
    <numFmt numFmtId="180" formatCode="yyyy/mm/dd"/>
    <numFmt numFmtId="181" formatCode="_-* #,##0_-;\-* #,##0_-;_-* &quot;-&quot;_-;_-@"/>
    <numFmt numFmtId="182" formatCode="#,##0_ "/>
  </numFmts>
  <fonts count="53" x14ac:knownFonts="1">
    <font>
      <sz val="12"/>
      <color rgb="FF000000"/>
      <name val="PMingLiu"/>
    </font>
    <font>
      <sz val="12"/>
      <name val="PMingLiu"/>
    </font>
    <font>
      <sz val="12"/>
      <color rgb="FF000000"/>
      <name val="Microsoft JhengHei"/>
    </font>
    <font>
      <sz val="12"/>
      <color rgb="FF000000"/>
      <name val="MingLiu"/>
    </font>
    <font>
      <b/>
      <sz val="12"/>
      <color rgb="FF000000"/>
      <name val="Microsoft JhengHei"/>
    </font>
    <font>
      <b/>
      <sz val="10"/>
      <color rgb="FF000000"/>
      <name val="Microsoft JhengHei"/>
    </font>
    <font>
      <sz val="12"/>
      <color rgb="FF000000"/>
      <name val="微軟正黑體"/>
    </font>
    <font>
      <b/>
      <sz val="11"/>
      <color rgb="FF000000"/>
      <name val="Microsoft JhengHei"/>
    </font>
    <font>
      <sz val="12"/>
      <color rgb="FF000000"/>
      <name val="Times New Roman"/>
    </font>
    <font>
      <sz val="10"/>
      <color rgb="FF000000"/>
      <name val="Times New Roman"/>
    </font>
    <font>
      <b/>
      <sz val="11"/>
      <color rgb="FFFFFFFF"/>
      <name val="Microsoft JhengHei"/>
    </font>
    <font>
      <sz val="11"/>
      <color rgb="FF000000"/>
      <name val="Arial"/>
    </font>
    <font>
      <sz val="11"/>
      <color rgb="FF000000"/>
      <name val="Microsoft JhengHei"/>
    </font>
    <font>
      <sz val="10"/>
      <color rgb="FF000000"/>
      <name val="Microsoft JhengHei"/>
    </font>
    <font>
      <sz val="11"/>
      <name val="Microsoft JhengHei"/>
    </font>
    <font>
      <sz val="10"/>
      <color rgb="FF999999"/>
      <name val="Times New Roman"/>
    </font>
    <font>
      <sz val="12"/>
      <color rgb="FF000000"/>
      <name val="Arial"/>
    </font>
    <font>
      <sz val="12"/>
      <color rgb="FFFFFFFF"/>
      <name val="Microsoft JhengHei"/>
    </font>
    <font>
      <sz val="10"/>
      <name val="Microsoft JhengHei"/>
    </font>
    <font>
      <sz val="12"/>
      <color rgb="FF000000"/>
      <name val="Roboto"/>
    </font>
    <font>
      <sz val="12"/>
      <name val="Microsoft JhengHei"/>
    </font>
    <font>
      <u/>
      <sz val="12"/>
      <color rgb="FF0000FF"/>
      <name val="Microsoft JhengHei"/>
    </font>
    <font>
      <sz val="12"/>
      <color rgb="FFFF0000"/>
      <name val="Microsoft JhengHei"/>
    </font>
    <font>
      <sz val="10"/>
      <name val="MingLiu"/>
    </font>
    <font>
      <sz val="12"/>
      <color rgb="FF000000"/>
      <name val="MingLiu"/>
    </font>
    <font>
      <sz val="12"/>
      <name val="PMingLiu"/>
    </font>
    <font>
      <sz val="12"/>
      <color rgb="FF000000"/>
      <name val="PMingLiu"/>
    </font>
    <font>
      <sz val="12"/>
      <color rgb="FF000000"/>
      <name val="Microsoft JhengHei"/>
    </font>
    <font>
      <sz val="12"/>
      <color rgb="FF000000"/>
      <name val="Arial"/>
    </font>
    <font>
      <sz val="12"/>
      <name val="MingLiu"/>
    </font>
    <font>
      <u/>
      <sz val="12"/>
      <color rgb="FF000000"/>
      <name val="Microsoft JhengHei"/>
    </font>
    <font>
      <u/>
      <sz val="12"/>
      <color rgb="FF000000"/>
      <name val="Arial"/>
    </font>
    <font>
      <sz val="12"/>
      <name val="Microsoft JhengHei"/>
    </font>
    <font>
      <sz val="12"/>
      <color rgb="FF000000"/>
      <name val="新細明體"/>
    </font>
    <font>
      <sz val="11"/>
      <color rgb="FF000000"/>
      <name val="Inconsolata"/>
    </font>
    <font>
      <b/>
      <sz val="12"/>
      <color rgb="FFFFFFFF"/>
      <name val="Microsoft JhengHei"/>
    </font>
    <font>
      <sz val="13"/>
      <color rgb="FF000000"/>
      <name val="Microsoft JhengHei"/>
    </font>
    <font>
      <i/>
      <sz val="12"/>
      <color rgb="FF000000"/>
      <name val="Microsoft JhengHei"/>
    </font>
    <font>
      <sz val="12"/>
      <color rgb="FF000000"/>
      <name val="BiauKai"/>
    </font>
    <font>
      <b/>
      <sz val="12"/>
      <color rgb="FF000000"/>
      <name val="PMingLiu"/>
    </font>
    <font>
      <b/>
      <sz val="12"/>
      <color rgb="FFFFFFFF"/>
      <name val="PMingLiu"/>
    </font>
    <font>
      <sz val="13"/>
      <color rgb="FF000000"/>
      <name val="PMingLiu"/>
    </font>
    <font>
      <sz val="12"/>
      <color rgb="FFFF0000"/>
      <name val="PMingLiu"/>
    </font>
    <font>
      <sz val="12"/>
      <color rgb="FF7030A0"/>
      <name val="PMingLiu"/>
    </font>
    <font>
      <sz val="12"/>
      <color rgb="FFFF00FF"/>
      <name val="PMingLiu"/>
    </font>
    <font>
      <sz val="12"/>
      <color rgb="FF0C0C0C"/>
      <name val="PMingLiu"/>
    </font>
    <font>
      <b/>
      <sz val="14"/>
      <color rgb="FF000000"/>
      <name val="PMingLiu"/>
    </font>
    <font>
      <sz val="12"/>
      <color rgb="FF008000"/>
      <name val="PMingLiu"/>
    </font>
    <font>
      <b/>
      <sz val="12"/>
      <color rgb="FFFF0000"/>
      <name val="PMingLiu"/>
    </font>
    <font>
      <sz val="12"/>
      <color rgb="FF000000"/>
      <name val="Calibri"/>
    </font>
    <font>
      <sz val="9"/>
      <name val="PMingLiu"/>
    </font>
    <font>
      <sz val="10"/>
      <color rgb="FF000000"/>
      <name val="MingLiu"/>
    </font>
    <font>
      <u/>
      <sz val="12"/>
      <color theme="11"/>
      <name val="PMingLiu"/>
    </font>
  </fonts>
  <fills count="34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BFBFBF"/>
        <bgColor rgb="FFBFBFBF"/>
      </patternFill>
    </fill>
    <fill>
      <patternFill patternType="solid">
        <fgColor rgb="FF000000"/>
        <bgColor rgb="FF000000"/>
      </patternFill>
    </fill>
    <fill>
      <patternFill patternType="solid">
        <fgColor rgb="FFFF00FF"/>
        <bgColor rgb="FFFF00FF"/>
      </patternFill>
    </fill>
    <fill>
      <patternFill patternType="solid">
        <fgColor rgb="FFDBE5F1"/>
        <bgColor rgb="FFDBE5F1"/>
      </patternFill>
    </fill>
    <fill>
      <patternFill patternType="solid">
        <fgColor rgb="FFFFFFFF"/>
        <bgColor rgb="FFFFFFFF"/>
      </patternFill>
    </fill>
    <fill>
      <patternFill patternType="solid">
        <fgColor rgb="FF99CC00"/>
        <bgColor rgb="FF99CC00"/>
      </patternFill>
    </fill>
    <fill>
      <patternFill patternType="solid">
        <fgColor rgb="FFFF0000"/>
        <bgColor rgb="FFFF0000"/>
      </patternFill>
    </fill>
    <fill>
      <patternFill patternType="solid">
        <fgColor rgb="FFFBD4B4"/>
        <bgColor rgb="FFFBD4B4"/>
      </patternFill>
    </fill>
    <fill>
      <patternFill patternType="solid">
        <fgColor rgb="FFDDD9C3"/>
        <bgColor rgb="FFDDD9C3"/>
      </patternFill>
    </fill>
    <fill>
      <patternFill patternType="solid">
        <fgColor rgb="FFFF99CC"/>
        <bgColor rgb="FFFF99CC"/>
      </patternFill>
    </fill>
    <fill>
      <patternFill patternType="solid">
        <fgColor rgb="FF92CDDC"/>
        <bgColor rgb="FF92CDDC"/>
      </patternFill>
    </fill>
    <fill>
      <patternFill patternType="solid">
        <fgColor rgb="FF00B0F0"/>
        <bgColor rgb="FF00B0F0"/>
      </patternFill>
    </fill>
    <fill>
      <patternFill patternType="solid">
        <fgColor rgb="FFD9D9D9"/>
        <bgColor rgb="FFD9D9D9"/>
      </patternFill>
    </fill>
    <fill>
      <patternFill patternType="solid">
        <fgColor rgb="FFB7E1CD"/>
        <bgColor rgb="FFB7E1CD"/>
      </patternFill>
    </fill>
    <fill>
      <patternFill patternType="solid">
        <fgColor rgb="FFFF9900"/>
        <bgColor rgb="FFFF9900"/>
      </patternFill>
    </fill>
    <fill>
      <patternFill patternType="solid">
        <fgColor rgb="FFFCD5B4"/>
        <bgColor rgb="FFFCD5B4"/>
      </patternFill>
    </fill>
    <fill>
      <patternFill patternType="solid">
        <fgColor rgb="FFB2A1C7"/>
        <bgColor rgb="FFB2A1C7"/>
      </patternFill>
    </fill>
    <fill>
      <patternFill patternType="solid">
        <fgColor rgb="FFC2D69B"/>
        <bgColor rgb="FFC2D69B"/>
      </patternFill>
    </fill>
    <fill>
      <patternFill patternType="solid">
        <fgColor rgb="FF244061"/>
        <bgColor rgb="FF244061"/>
      </patternFill>
    </fill>
    <fill>
      <patternFill patternType="solid">
        <fgColor rgb="FF548DD4"/>
        <bgColor rgb="FF548DD4"/>
      </patternFill>
    </fill>
    <fill>
      <patternFill patternType="solid">
        <fgColor rgb="FF953734"/>
        <bgColor rgb="FF953734"/>
      </patternFill>
    </fill>
    <fill>
      <patternFill patternType="solid">
        <fgColor rgb="FF494429"/>
        <bgColor rgb="FF494429"/>
      </patternFill>
    </fill>
    <fill>
      <patternFill patternType="solid">
        <fgColor rgb="FFF2F2F2"/>
        <bgColor rgb="FFF2F2F2"/>
      </patternFill>
    </fill>
    <fill>
      <patternFill patternType="solid">
        <fgColor rgb="FFFDE9D9"/>
        <bgColor rgb="FFFDE9D9"/>
      </patternFill>
    </fill>
    <fill>
      <patternFill patternType="solid">
        <fgColor rgb="FFB6DDE8"/>
        <bgColor rgb="FFB6DDE8"/>
      </patternFill>
    </fill>
    <fill>
      <patternFill patternType="solid">
        <fgColor rgb="FFFF0066"/>
        <bgColor rgb="FFFF0066"/>
      </patternFill>
    </fill>
    <fill>
      <patternFill patternType="solid">
        <fgColor rgb="FFFBA3CB"/>
        <bgColor rgb="FFFBA3CB"/>
      </patternFill>
    </fill>
    <fill>
      <patternFill patternType="solid">
        <fgColor rgb="FFFABF8F"/>
        <bgColor rgb="FFFABF8F"/>
      </patternFill>
    </fill>
    <fill>
      <patternFill patternType="solid">
        <fgColor rgb="FF00B050"/>
        <bgColor rgb="FF00B050"/>
      </patternFill>
    </fill>
    <fill>
      <patternFill patternType="solid">
        <fgColor rgb="FFE36C09"/>
        <bgColor rgb="FFE36C09"/>
      </patternFill>
    </fill>
    <fill>
      <patternFill patternType="solid">
        <fgColor rgb="FF969696"/>
        <bgColor rgb="FF969696"/>
      </patternFill>
    </fill>
  </fills>
  <borders count="3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CCCCCC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CCCCCC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52" fillId="0" borderId="0" applyNumberFormat="0" applyFill="0" applyBorder="0" applyAlignment="0" applyProtection="0"/>
  </cellStyleXfs>
  <cellXfs count="449">
    <xf numFmtId="0" fontId="0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center" vertical="center"/>
    </xf>
    <xf numFmtId="176" fontId="1" fillId="0" borderId="0" xfId="0" applyNumberFormat="1" applyFont="1" applyAlignment="1">
      <alignment horizontal="center" vertical="center"/>
    </xf>
    <xf numFmtId="49" fontId="4" fillId="0" borderId="1" xfId="0" applyNumberFormat="1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49" fontId="7" fillId="0" borderId="1" xfId="0" applyNumberFormat="1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5" fillId="3" borderId="1" xfId="0" applyFont="1" applyFill="1" applyBorder="1" applyAlignment="1">
      <alignment horizontal="center" vertical="center"/>
    </xf>
    <xf numFmtId="0" fontId="6" fillId="0" borderId="2" xfId="0" applyFont="1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 wrapText="1"/>
    </xf>
    <xf numFmtId="49" fontId="7" fillId="2" borderId="1" xfId="0" applyNumberFormat="1" applyFont="1" applyFill="1" applyBorder="1" applyAlignment="1">
      <alignment horizontal="left" vertical="center"/>
    </xf>
    <xf numFmtId="49" fontId="7" fillId="0" borderId="1" xfId="0" applyNumberFormat="1" applyFont="1" applyBorder="1" applyAlignment="1">
      <alignment horizontal="left" vertical="center"/>
    </xf>
    <xf numFmtId="49" fontId="7" fillId="2" borderId="1" xfId="0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49" fontId="7" fillId="0" borderId="1" xfId="0" applyNumberFormat="1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/>
    </xf>
    <xf numFmtId="49" fontId="7" fillId="2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49" fontId="10" fillId="5" borderId="1" xfId="0" applyNumberFormat="1" applyFont="1" applyFill="1" applyBorder="1" applyAlignment="1">
      <alignment horizontal="center" vertical="center" wrapText="1"/>
    </xf>
    <xf numFmtId="0" fontId="3" fillId="6" borderId="1" xfId="0" applyFont="1" applyFill="1" applyBorder="1" applyAlignment="1">
      <alignment horizontal="left" vertical="center"/>
    </xf>
    <xf numFmtId="0" fontId="8" fillId="6" borderId="1" xfId="0" applyFont="1" applyFill="1" applyBorder="1" applyAlignment="1">
      <alignment horizontal="center" vertical="center"/>
    </xf>
    <xf numFmtId="49" fontId="10" fillId="5" borderId="1" xfId="0" applyNumberFormat="1" applyFont="1" applyFill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49" fontId="10" fillId="5" borderId="1" xfId="0" applyNumberFormat="1" applyFont="1" applyFill="1" applyBorder="1" applyAlignment="1">
      <alignment horizontal="center" vertical="center"/>
    </xf>
    <xf numFmtId="14" fontId="8" fillId="6" borderId="1" xfId="0" applyNumberFormat="1" applyFont="1" applyFill="1" applyBorder="1" applyAlignment="1">
      <alignment horizontal="center" vertical="center"/>
    </xf>
    <xf numFmtId="49" fontId="11" fillId="7" borderId="0" xfId="0" applyNumberFormat="1" applyFont="1" applyFill="1" applyAlignment="1">
      <alignment horizontal="left" vertical="center"/>
    </xf>
    <xf numFmtId="49" fontId="7" fillId="0" borderId="1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49" fontId="2" fillId="7" borderId="1" xfId="0" applyNumberFormat="1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left" vertical="center"/>
    </xf>
    <xf numFmtId="0" fontId="9" fillId="6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left" vertical="center"/>
    </xf>
    <xf numFmtId="177" fontId="9" fillId="6" borderId="1" xfId="0" applyNumberFormat="1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18" fontId="9" fillId="6" borderId="1" xfId="0" applyNumberFormat="1" applyFont="1" applyFill="1" applyBorder="1" applyAlignment="1">
      <alignment horizontal="center" vertical="center"/>
    </xf>
    <xf numFmtId="49" fontId="12" fillId="8" borderId="1" xfId="0" applyNumberFormat="1" applyFont="1" applyFill="1" applyBorder="1" applyAlignment="1">
      <alignment horizontal="center" vertical="center" wrapText="1"/>
    </xf>
    <xf numFmtId="14" fontId="8" fillId="0" borderId="1" xfId="0" applyNumberFormat="1" applyFont="1" applyBorder="1" applyAlignment="1">
      <alignment horizontal="center" vertical="center"/>
    </xf>
    <xf numFmtId="14" fontId="8" fillId="0" borderId="1" xfId="0" applyNumberFormat="1" applyFont="1" applyBorder="1" applyAlignment="1">
      <alignment vertical="center"/>
    </xf>
    <xf numFmtId="49" fontId="2" fillId="7" borderId="1" xfId="0" applyNumberFormat="1" applyFont="1" applyFill="1" applyBorder="1" applyAlignment="1">
      <alignment horizontal="left" vertical="center"/>
    </xf>
    <xf numFmtId="0" fontId="9" fillId="0" borderId="1" xfId="0" applyFont="1" applyBorder="1" applyAlignment="1">
      <alignment vertical="center"/>
    </xf>
    <xf numFmtId="0" fontId="2" fillId="7" borderId="3" xfId="0" applyFont="1" applyFill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vertical="center"/>
    </xf>
    <xf numFmtId="14" fontId="3" fillId="0" borderId="1" xfId="0" applyNumberFormat="1" applyFont="1" applyBorder="1" applyAlignment="1">
      <alignment horizontal="center" vertical="center"/>
    </xf>
    <xf numFmtId="49" fontId="13" fillId="7" borderId="1" xfId="0" applyNumberFormat="1" applyFont="1" applyFill="1" applyBorder="1" applyAlignment="1">
      <alignment horizontal="center" vertical="center"/>
    </xf>
    <xf numFmtId="177" fontId="9" fillId="0" borderId="1" xfId="0" applyNumberFormat="1" applyFont="1" applyBorder="1" applyAlignment="1">
      <alignment horizontal="center" vertical="center"/>
    </xf>
    <xf numFmtId="178" fontId="14" fillId="0" borderId="1" xfId="0" applyNumberFormat="1" applyFont="1" applyBorder="1" applyAlignment="1">
      <alignment horizontal="left" vertical="center"/>
    </xf>
    <xf numFmtId="0" fontId="2" fillId="7" borderId="1" xfId="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/>
    </xf>
    <xf numFmtId="180" fontId="8" fillId="0" borderId="1" xfId="0" applyNumberFormat="1" applyFont="1" applyBorder="1" applyAlignment="1">
      <alignment vertical="center"/>
    </xf>
    <xf numFmtId="180" fontId="8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6" fillId="7" borderId="1" xfId="0" applyFont="1" applyFill="1" applyBorder="1" applyAlignment="1">
      <alignment horizontal="center" vertical="center"/>
    </xf>
    <xf numFmtId="0" fontId="17" fillId="9" borderId="1" xfId="0" applyFont="1" applyFill="1" applyBorder="1" applyAlignment="1">
      <alignment horizontal="left" vertical="center"/>
    </xf>
    <xf numFmtId="180" fontId="9" fillId="0" borderId="1" xfId="0" applyNumberFormat="1" applyFont="1" applyBorder="1" applyAlignment="1">
      <alignment horizontal="center" vertical="center"/>
    </xf>
    <xf numFmtId="14" fontId="8" fillId="0" borderId="1" xfId="0" applyNumberFormat="1" applyFont="1" applyBorder="1" applyAlignment="1">
      <alignment vertical="center"/>
    </xf>
    <xf numFmtId="177" fontId="9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49" fontId="2" fillId="7" borderId="1" xfId="0" applyNumberFormat="1" applyFont="1" applyFill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8" fillId="2" borderId="1" xfId="0" applyFont="1" applyFill="1" applyBorder="1" applyAlignment="1">
      <alignment vertical="center"/>
    </xf>
    <xf numFmtId="181" fontId="18" fillId="0" borderId="1" xfId="0" applyNumberFormat="1" applyFont="1" applyBorder="1" applyAlignment="1">
      <alignment horizontal="left"/>
    </xf>
    <xf numFmtId="0" fontId="19" fillId="7" borderId="1" xfId="0" applyFont="1" applyFill="1" applyBorder="1" applyAlignment="1">
      <alignment vertical="center"/>
    </xf>
    <xf numFmtId="178" fontId="20" fillId="0" borderId="1" xfId="0" applyNumberFormat="1" applyFont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12" fillId="11" borderId="1" xfId="0" applyFont="1" applyFill="1" applyBorder="1" applyAlignment="1">
      <alignment horizontal="center" vertical="center"/>
    </xf>
    <xf numFmtId="14" fontId="8" fillId="0" borderId="1" xfId="0" applyNumberFormat="1" applyFont="1" applyBorder="1" applyAlignment="1">
      <alignment horizontal="center" vertical="center"/>
    </xf>
    <xf numFmtId="0" fontId="12" fillId="9" borderId="1" xfId="0" applyFont="1" applyFill="1" applyBorder="1" applyAlignment="1">
      <alignment horizontal="center" vertical="center"/>
    </xf>
    <xf numFmtId="0" fontId="20" fillId="7" borderId="1" xfId="0" applyFont="1" applyFill="1" applyBorder="1" applyAlignment="1">
      <alignment horizontal="center" vertical="center"/>
    </xf>
    <xf numFmtId="0" fontId="12" fillId="12" borderId="1" xfId="0" applyFont="1" applyFill="1" applyBorder="1" applyAlignment="1">
      <alignment horizontal="center" vertical="center" shrinkToFit="1"/>
    </xf>
    <xf numFmtId="49" fontId="12" fillId="2" borderId="1" xfId="0" applyNumberFormat="1" applyFont="1" applyFill="1" applyBorder="1" applyAlignment="1">
      <alignment horizontal="center" vertical="center" wrapText="1"/>
    </xf>
    <xf numFmtId="0" fontId="20" fillId="7" borderId="1" xfId="0" applyFont="1" applyFill="1" applyBorder="1" applyAlignment="1">
      <alignment horizontal="center" vertical="center" wrapText="1"/>
    </xf>
    <xf numFmtId="0" fontId="2" fillId="13" borderId="1" xfId="0" applyFont="1" applyFill="1" applyBorder="1" applyAlignment="1">
      <alignment horizontal="center" vertical="center"/>
    </xf>
    <xf numFmtId="49" fontId="2" fillId="14" borderId="1" xfId="0" applyNumberFormat="1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178" fontId="18" fillId="0" borderId="1" xfId="0" applyNumberFormat="1" applyFont="1" applyBorder="1" applyAlignment="1">
      <alignment horizontal="left" vertical="center"/>
    </xf>
    <xf numFmtId="0" fontId="2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" fillId="7" borderId="4" xfId="0" applyFont="1" applyFill="1" applyBorder="1" applyAlignment="1">
      <alignment horizontal="left" vertical="center"/>
    </xf>
    <xf numFmtId="0" fontId="2" fillId="0" borderId="5" xfId="0" applyFont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49" fontId="2" fillId="7" borderId="4" xfId="0" applyNumberFormat="1" applyFont="1" applyFill="1" applyBorder="1" applyAlignment="1">
      <alignment horizontal="center" vertical="center"/>
    </xf>
    <xf numFmtId="0" fontId="12" fillId="12" borderId="4" xfId="0" applyFont="1" applyFill="1" applyBorder="1" applyAlignment="1">
      <alignment horizontal="center" vertical="center" shrinkToFit="1"/>
    </xf>
    <xf numFmtId="0" fontId="2" fillId="7" borderId="4" xfId="0" applyFont="1" applyFill="1" applyBorder="1" applyAlignment="1">
      <alignment horizontal="center" vertical="center"/>
    </xf>
    <xf numFmtId="49" fontId="22" fillId="0" borderId="1" xfId="0" applyNumberFormat="1" applyFont="1" applyBorder="1" applyAlignment="1">
      <alignment horizontal="center" vertical="center"/>
    </xf>
    <xf numFmtId="178" fontId="23" fillId="0" borderId="1" xfId="0" applyNumberFormat="1" applyFont="1" applyBorder="1" applyAlignment="1">
      <alignment horizontal="left" vertical="center"/>
    </xf>
    <xf numFmtId="180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left" vertical="center"/>
    </xf>
    <xf numFmtId="14" fontId="2" fillId="0" borderId="1" xfId="0" applyNumberFormat="1" applyFont="1" applyBorder="1" applyAlignment="1">
      <alignment horizontal="center" vertical="center"/>
    </xf>
    <xf numFmtId="49" fontId="13" fillId="7" borderId="5" xfId="0" applyNumberFormat="1" applyFont="1" applyFill="1" applyBorder="1" applyAlignment="1">
      <alignment horizontal="center" vertical="center"/>
    </xf>
    <xf numFmtId="0" fontId="12" fillId="7" borderId="4" xfId="0" applyFont="1" applyFill="1" applyBorder="1" applyAlignment="1">
      <alignment horizontal="left" vertical="center"/>
    </xf>
    <xf numFmtId="0" fontId="6" fillId="0" borderId="6" xfId="0" applyFont="1" applyBorder="1" applyAlignment="1">
      <alignment horizontal="left" vertical="center"/>
    </xf>
    <xf numFmtId="49" fontId="13" fillId="7" borderId="4" xfId="0" applyNumberFormat="1" applyFont="1" applyFill="1" applyBorder="1" applyAlignment="1">
      <alignment horizontal="center" vertical="center"/>
    </xf>
    <xf numFmtId="49" fontId="12" fillId="8" borderId="4" xfId="0" applyNumberFormat="1" applyFont="1" applyFill="1" applyBorder="1" applyAlignment="1">
      <alignment horizontal="center" vertical="center" wrapText="1"/>
    </xf>
    <xf numFmtId="178" fontId="18" fillId="0" borderId="5" xfId="0" applyNumberFormat="1" applyFont="1" applyBorder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2" fillId="13" borderId="4" xfId="0" applyFont="1" applyFill="1" applyBorder="1" applyAlignment="1">
      <alignment horizontal="center" vertical="center"/>
    </xf>
    <xf numFmtId="49" fontId="12" fillId="6" borderId="1" xfId="0" applyNumberFormat="1" applyFont="1" applyFill="1" applyBorder="1" applyAlignment="1">
      <alignment horizontal="center" vertical="center" wrapText="1"/>
    </xf>
    <xf numFmtId="0" fontId="12" fillId="9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4" fillId="7" borderId="1" xfId="0" applyFont="1" applyFill="1" applyBorder="1" applyAlignment="1">
      <alignment horizontal="left" vertical="center"/>
    </xf>
    <xf numFmtId="0" fontId="0" fillId="7" borderId="1" xfId="0" applyFont="1" applyFill="1" applyBorder="1" applyAlignment="1">
      <alignment horizontal="left" vertical="center"/>
    </xf>
    <xf numFmtId="0" fontId="16" fillId="16" borderId="0" xfId="0" applyFont="1" applyFill="1" applyAlignment="1">
      <alignment horizontal="center" vertical="center"/>
    </xf>
    <xf numFmtId="14" fontId="25" fillId="0" borderId="1" xfId="0" applyNumberFormat="1" applyFont="1" applyBorder="1" applyAlignment="1">
      <alignment vertical="center"/>
    </xf>
    <xf numFmtId="0" fontId="26" fillId="7" borderId="1" xfId="0" applyFont="1" applyFill="1" applyBorder="1" applyAlignment="1">
      <alignment horizontal="left" vertical="center"/>
    </xf>
    <xf numFmtId="49" fontId="19" fillId="7" borderId="0" xfId="0" applyNumberFormat="1" applyFont="1" applyFill="1" applyAlignment="1">
      <alignment vertical="center"/>
    </xf>
    <xf numFmtId="180" fontId="19" fillId="7" borderId="0" xfId="0" applyNumberFormat="1" applyFont="1" applyFill="1" applyAlignment="1">
      <alignment vertical="center"/>
    </xf>
    <xf numFmtId="0" fontId="16" fillId="7" borderId="1" xfId="0" applyFont="1" applyFill="1" applyBorder="1" applyAlignment="1">
      <alignment horizontal="center" vertical="center"/>
    </xf>
    <xf numFmtId="14" fontId="16" fillId="16" borderId="0" xfId="0" applyNumberFormat="1" applyFont="1" applyFill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0" fontId="27" fillId="7" borderId="1" xfId="0" applyFont="1" applyFill="1" applyBorder="1" applyAlignment="1">
      <alignment horizontal="left" vertical="center"/>
    </xf>
    <xf numFmtId="0" fontId="28" fillId="7" borderId="1" xfId="0" applyFont="1" applyFill="1" applyBorder="1" applyAlignment="1">
      <alignment horizontal="left" vertical="center"/>
    </xf>
    <xf numFmtId="0" fontId="19" fillId="7" borderId="1" xfId="0" applyFont="1" applyFill="1" applyBorder="1" applyAlignment="1">
      <alignment horizontal="left" vertical="center"/>
    </xf>
    <xf numFmtId="0" fontId="2" fillId="17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left" vertical="center"/>
    </xf>
    <xf numFmtId="0" fontId="20" fillId="0" borderId="1" xfId="0" applyFont="1" applyBorder="1" applyAlignment="1">
      <alignment horizontal="left" vertical="center"/>
    </xf>
    <xf numFmtId="0" fontId="27" fillId="7" borderId="0" xfId="0" applyFont="1" applyFill="1" applyAlignment="1">
      <alignment horizontal="left" vertical="center"/>
    </xf>
    <xf numFmtId="0" fontId="22" fillId="0" borderId="1" xfId="0" applyFont="1" applyBorder="1" applyAlignment="1">
      <alignment horizontal="center" vertical="center"/>
    </xf>
    <xf numFmtId="49" fontId="2" fillId="7" borderId="4" xfId="0" applyNumberFormat="1" applyFont="1" applyFill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6" fillId="0" borderId="7" xfId="0" applyFont="1" applyBorder="1" applyAlignment="1">
      <alignment horizontal="left" vertical="center"/>
    </xf>
    <xf numFmtId="0" fontId="30" fillId="0" borderId="1" xfId="0" applyFont="1" applyBorder="1" applyAlignment="1">
      <alignment horizontal="left" vertical="center"/>
    </xf>
    <xf numFmtId="0" fontId="29" fillId="0" borderId="8" xfId="0" applyFont="1" applyBorder="1" applyAlignment="1">
      <alignment horizontal="left" vertical="center"/>
    </xf>
    <xf numFmtId="0" fontId="29" fillId="0" borderId="1" xfId="0" applyFont="1" applyBorder="1" applyAlignment="1">
      <alignment horizontal="center" vertical="center"/>
    </xf>
    <xf numFmtId="0" fontId="28" fillId="7" borderId="0" xfId="0" applyFont="1" applyFill="1" applyAlignment="1">
      <alignment horizontal="left" vertical="center"/>
    </xf>
    <xf numFmtId="0" fontId="23" fillId="0" borderId="5" xfId="0" applyFont="1" applyBorder="1" applyAlignment="1">
      <alignment horizontal="center" vertical="center"/>
    </xf>
    <xf numFmtId="0" fontId="23" fillId="0" borderId="5" xfId="0" applyFont="1" applyBorder="1" applyAlignment="1">
      <alignment horizontal="left"/>
    </xf>
    <xf numFmtId="0" fontId="23" fillId="0" borderId="5" xfId="0" applyFont="1" applyBorder="1" applyAlignment="1">
      <alignment horizontal="center"/>
    </xf>
    <xf numFmtId="0" fontId="28" fillId="7" borderId="0" xfId="0" applyFont="1" applyFill="1" applyAlignment="1">
      <alignment horizontal="center" vertical="center"/>
    </xf>
    <xf numFmtId="0" fontId="28" fillId="7" borderId="1" xfId="0" applyFont="1" applyFill="1" applyBorder="1" applyAlignment="1">
      <alignment horizontal="center" vertical="center"/>
    </xf>
    <xf numFmtId="49" fontId="28" fillId="7" borderId="0" xfId="0" applyNumberFormat="1" applyFont="1" applyFill="1" applyAlignment="1">
      <alignment vertical="center"/>
    </xf>
    <xf numFmtId="0" fontId="31" fillId="7" borderId="0" xfId="0" applyFont="1" applyFill="1" applyAlignment="1">
      <alignment horizontal="left" vertical="center"/>
    </xf>
    <xf numFmtId="0" fontId="28" fillId="0" borderId="0" xfId="0" applyFont="1" applyAlignment="1">
      <alignment horizontal="center" vertical="center"/>
    </xf>
    <xf numFmtId="49" fontId="12" fillId="8" borderId="1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/>
    </xf>
    <xf numFmtId="0" fontId="12" fillId="12" borderId="1" xfId="0" applyFont="1" applyFill="1" applyBorder="1" applyAlignment="1">
      <alignment horizontal="center" vertical="center" shrinkToFit="1"/>
    </xf>
    <xf numFmtId="0" fontId="28" fillId="7" borderId="0" xfId="0" applyFont="1" applyFill="1" applyAlignment="1">
      <alignment vertical="center"/>
    </xf>
    <xf numFmtId="0" fontId="2" fillId="0" borderId="1" xfId="0" applyFont="1" applyBorder="1" applyAlignment="1">
      <alignment horizontal="left" vertical="center"/>
    </xf>
    <xf numFmtId="0" fontId="2" fillId="7" borderId="1" xfId="0" applyFont="1" applyFill="1" applyBorder="1" applyAlignment="1">
      <alignment horizontal="left" vertical="center"/>
    </xf>
    <xf numFmtId="0" fontId="32" fillId="0" borderId="0" xfId="0" applyFont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10" xfId="0" applyFont="1" applyBorder="1" applyAlignment="1">
      <alignment horizontal="center" vertical="center"/>
    </xf>
    <xf numFmtId="176" fontId="0" fillId="0" borderId="9" xfId="0" applyNumberFormat="1" applyFont="1" applyBorder="1" applyAlignment="1">
      <alignment horizontal="center" vertical="center"/>
    </xf>
    <xf numFmtId="0" fontId="33" fillId="0" borderId="0" xfId="0" applyFont="1" applyAlignment="1">
      <alignment vertical="center"/>
    </xf>
    <xf numFmtId="0" fontId="16" fillId="0" borderId="9" xfId="0" applyFont="1" applyBorder="1" applyAlignment="1">
      <alignment horizontal="center" vertical="center"/>
    </xf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horizontal="center" vertical="center"/>
    </xf>
    <xf numFmtId="0" fontId="16" fillId="0" borderId="13" xfId="0" applyFont="1" applyBorder="1" applyAlignment="1">
      <alignment vertical="center"/>
    </xf>
    <xf numFmtId="0" fontId="33" fillId="0" borderId="0" xfId="0" applyFont="1" applyAlignment="1">
      <alignment horizontal="right" vertical="center"/>
    </xf>
    <xf numFmtId="0" fontId="20" fillId="0" borderId="1" xfId="0" applyFont="1" applyBorder="1" applyAlignment="1">
      <alignment horizontal="left" vertical="center"/>
    </xf>
    <xf numFmtId="0" fontId="16" fillId="7" borderId="0" xfId="0" applyFont="1" applyFill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" fillId="0" borderId="0" xfId="0" applyFont="1" applyAlignment="1">
      <alignment vertical="center"/>
    </xf>
    <xf numFmtId="0" fontId="0" fillId="2" borderId="9" xfId="0" applyFont="1" applyFill="1" applyBorder="1" applyAlignment="1">
      <alignment horizontal="center" vertical="center"/>
    </xf>
    <xf numFmtId="49" fontId="12" fillId="9" borderId="1" xfId="0" applyNumberFormat="1" applyFont="1" applyFill="1" applyBorder="1" applyAlignment="1">
      <alignment horizontal="center" vertical="center" wrapText="1"/>
    </xf>
    <xf numFmtId="0" fontId="26" fillId="7" borderId="1" xfId="0" applyFont="1" applyFill="1" applyBorder="1" applyAlignment="1">
      <alignment horizontal="center" vertical="center"/>
    </xf>
    <xf numFmtId="0" fontId="16" fillId="7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0" fontId="28" fillId="7" borderId="0" xfId="0" applyFont="1" applyFill="1" applyAlignment="1">
      <alignment horizontal="left" vertical="center"/>
    </xf>
    <xf numFmtId="0" fontId="16" fillId="0" borderId="1" xfId="0" applyFont="1" applyBorder="1" applyAlignment="1">
      <alignment vertical="center"/>
    </xf>
    <xf numFmtId="0" fontId="27" fillId="0" borderId="0" xfId="0" applyFont="1" applyAlignment="1">
      <alignment vertical="center"/>
    </xf>
    <xf numFmtId="0" fontId="2" fillId="8" borderId="1" xfId="0" applyFont="1" applyFill="1" applyBorder="1" applyAlignment="1">
      <alignment horizontal="center" vertical="center"/>
    </xf>
    <xf numFmtId="0" fontId="16" fillId="10" borderId="0" xfId="0" applyFont="1" applyFill="1" applyAlignment="1">
      <alignment horizontal="center" vertical="center"/>
    </xf>
    <xf numFmtId="0" fontId="2" fillId="13" borderId="1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left" vertical="center"/>
    </xf>
    <xf numFmtId="0" fontId="29" fillId="0" borderId="1" xfId="0" applyFont="1" applyBorder="1" applyAlignment="1">
      <alignment horizontal="left" vertical="center"/>
    </xf>
    <xf numFmtId="0" fontId="29" fillId="0" borderId="14" xfId="0" applyFont="1" applyBorder="1" applyAlignment="1">
      <alignment horizontal="left" vertical="center"/>
    </xf>
    <xf numFmtId="0" fontId="23" fillId="0" borderId="1" xfId="0" applyFont="1" applyBorder="1" applyAlignment="1">
      <alignment horizontal="center" vertical="center"/>
    </xf>
    <xf numFmtId="14" fontId="2" fillId="16" borderId="1" xfId="0" applyNumberFormat="1" applyFont="1" applyFill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49" fontId="12" fillId="12" borderId="1" xfId="0" applyNumberFormat="1" applyFont="1" applyFill="1" applyBorder="1" applyAlignment="1">
      <alignment horizontal="center" vertical="center" wrapText="1"/>
    </xf>
    <xf numFmtId="49" fontId="12" fillId="0" borderId="1" xfId="0" applyNumberFormat="1" applyFont="1" applyBorder="1" applyAlignment="1">
      <alignment horizontal="center" vertical="center" wrapText="1"/>
    </xf>
    <xf numFmtId="0" fontId="16" fillId="18" borderId="12" xfId="0" applyFont="1" applyFill="1" applyBorder="1" applyAlignment="1">
      <alignment horizontal="center" vertical="center"/>
    </xf>
    <xf numFmtId="0" fontId="0" fillId="0" borderId="15" xfId="0" applyFont="1" applyBorder="1" applyAlignment="1">
      <alignment horizontal="center" vertical="center"/>
    </xf>
    <xf numFmtId="0" fontId="0" fillId="0" borderId="9" xfId="0" applyFont="1" applyBorder="1" applyAlignment="1">
      <alignment horizontal="center" vertical="center"/>
    </xf>
    <xf numFmtId="0" fontId="0" fillId="0" borderId="11" xfId="0" applyFont="1" applyBorder="1" applyAlignment="1">
      <alignment horizontal="center" vertical="center"/>
    </xf>
    <xf numFmtId="0" fontId="0" fillId="0" borderId="13" xfId="0" applyFont="1" applyBorder="1" applyAlignment="1">
      <alignment horizontal="center" vertical="center"/>
    </xf>
    <xf numFmtId="0" fontId="0" fillId="0" borderId="16" xfId="0" applyFont="1" applyBorder="1" applyAlignment="1">
      <alignment horizontal="center" vertical="center"/>
    </xf>
    <xf numFmtId="0" fontId="33" fillId="0" borderId="0" xfId="0" applyFont="1" applyAlignment="1">
      <alignment vertical="center"/>
    </xf>
    <xf numFmtId="0" fontId="1" fillId="0" borderId="2" xfId="0" applyFont="1" applyBorder="1" applyAlignment="1">
      <alignment horizontal="center" vertical="center"/>
    </xf>
    <xf numFmtId="178" fontId="1" fillId="0" borderId="0" xfId="0" applyNumberFormat="1" applyFont="1" applyAlignment="1">
      <alignment vertical="center"/>
    </xf>
    <xf numFmtId="178" fontId="34" fillId="7" borderId="0" xfId="0" applyNumberFormat="1" applyFont="1" applyFill="1" applyAlignment="1">
      <alignment vertical="center"/>
    </xf>
    <xf numFmtId="178" fontId="1" fillId="0" borderId="0" xfId="0" applyNumberFormat="1" applyFont="1" applyAlignment="1">
      <alignment vertical="center"/>
    </xf>
    <xf numFmtId="179" fontId="1" fillId="0" borderId="0" xfId="0" applyNumberFormat="1" applyFont="1" applyAlignment="1">
      <alignment vertical="center"/>
    </xf>
    <xf numFmtId="14" fontId="1" fillId="0" borderId="0" xfId="0" applyNumberFormat="1" applyFont="1" applyAlignment="1">
      <alignment vertical="center"/>
    </xf>
    <xf numFmtId="0" fontId="11" fillId="7" borderId="0" xfId="0" applyFont="1" applyFill="1" applyAlignment="1">
      <alignment vertical="center"/>
    </xf>
    <xf numFmtId="0" fontId="34" fillId="7" borderId="0" xfId="0" applyFont="1" applyFill="1" applyAlignment="1">
      <alignment vertical="center"/>
    </xf>
    <xf numFmtId="0" fontId="19" fillId="7" borderId="0" xfId="0" applyFont="1" applyFill="1" applyAlignment="1">
      <alignment vertical="center"/>
    </xf>
    <xf numFmtId="178" fontId="34" fillId="7" borderId="0" xfId="0" applyNumberFormat="1" applyFont="1" applyFill="1" applyAlignment="1">
      <alignment vertical="center"/>
    </xf>
    <xf numFmtId="176" fontId="1" fillId="0" borderId="0" xfId="0" applyNumberFormat="1" applyFont="1" applyAlignment="1">
      <alignment vertical="center"/>
    </xf>
    <xf numFmtId="179" fontId="2" fillId="0" borderId="0" xfId="0" applyNumberFormat="1" applyFont="1" applyAlignment="1">
      <alignment horizontal="center" vertical="center"/>
    </xf>
    <xf numFmtId="182" fontId="1" fillId="0" borderId="0" xfId="0" applyNumberFormat="1" applyFont="1" applyAlignment="1">
      <alignment vertical="center"/>
    </xf>
    <xf numFmtId="0" fontId="4" fillId="0" borderId="1" xfId="0" applyFont="1" applyBorder="1" applyAlignment="1">
      <alignment horizontal="center" vertical="center" wrapText="1"/>
    </xf>
    <xf numFmtId="178" fontId="35" fillId="4" borderId="1" xfId="0" applyNumberFormat="1" applyFont="1" applyFill="1" applyBorder="1" applyAlignment="1">
      <alignment horizontal="center" vertical="center" wrapText="1"/>
    </xf>
    <xf numFmtId="0" fontId="4" fillId="5" borderId="1" xfId="0" applyFont="1" applyFill="1" applyBorder="1" applyAlignment="1">
      <alignment horizontal="center" vertical="center" wrapText="1"/>
    </xf>
    <xf numFmtId="0" fontId="35" fillId="5" borderId="1" xfId="0" applyFont="1" applyFill="1" applyBorder="1" applyAlignment="1">
      <alignment horizontal="center" vertical="center" wrapText="1"/>
    </xf>
    <xf numFmtId="0" fontId="35" fillId="4" borderId="1" xfId="0" applyFont="1" applyFill="1" applyBorder="1" applyAlignment="1">
      <alignment horizontal="center" vertical="center" wrapText="1"/>
    </xf>
    <xf numFmtId="0" fontId="36" fillId="0" borderId="1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78" fontId="2" fillId="0" borderId="1" xfId="0" applyNumberFormat="1" applyFont="1" applyBorder="1" applyAlignment="1">
      <alignment horizontal="center" vertical="center"/>
    </xf>
    <xf numFmtId="0" fontId="36" fillId="8" borderId="1" xfId="0" applyFont="1" applyFill="1" applyBorder="1" applyAlignment="1">
      <alignment horizontal="center" vertical="center" wrapText="1"/>
    </xf>
    <xf numFmtId="31" fontId="22" fillId="0" borderId="1" xfId="0" applyNumberFormat="1" applyFont="1" applyBorder="1" applyAlignment="1">
      <alignment horizontal="center" vertical="center"/>
    </xf>
    <xf numFmtId="0" fontId="22" fillId="0" borderId="1" xfId="0" applyFont="1" applyBorder="1" applyAlignment="1">
      <alignment vertical="center"/>
    </xf>
    <xf numFmtId="0" fontId="37" fillId="0" borderId="1" xfId="0" applyFont="1" applyBorder="1" applyAlignment="1">
      <alignment horizontal="center" vertical="center"/>
    </xf>
    <xf numFmtId="0" fontId="36" fillId="7" borderId="1" xfId="0" applyFont="1" applyFill="1" applyBorder="1" applyAlignment="1">
      <alignment horizontal="center" vertical="center" wrapText="1"/>
    </xf>
    <xf numFmtId="0" fontId="1" fillId="0" borderId="18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 wrapText="1"/>
    </xf>
    <xf numFmtId="0" fontId="39" fillId="0" borderId="1" xfId="0" applyFont="1" applyBorder="1" applyAlignment="1">
      <alignment vertical="center" wrapText="1"/>
    </xf>
    <xf numFmtId="0" fontId="39" fillId="0" borderId="1" xfId="0" applyFont="1" applyBorder="1" applyAlignment="1">
      <alignment horizontal="center" vertical="center" wrapText="1"/>
    </xf>
    <xf numFmtId="0" fontId="39" fillId="0" borderId="1" xfId="0" applyFont="1" applyBorder="1" applyAlignment="1">
      <alignment horizontal="center" vertical="center"/>
    </xf>
    <xf numFmtId="0" fontId="40" fillId="4" borderId="1" xfId="0" applyFont="1" applyFill="1" applyBorder="1" applyAlignment="1">
      <alignment horizontal="center" vertical="center" wrapText="1"/>
    </xf>
    <xf numFmtId="0" fontId="39" fillId="5" borderId="1" xfId="0" applyFont="1" applyFill="1" applyBorder="1" applyAlignment="1">
      <alignment horizontal="center" vertical="center" wrapText="1"/>
    </xf>
    <xf numFmtId="0" fontId="40" fillId="5" borderId="1" xfId="0" applyFont="1" applyFill="1" applyBorder="1" applyAlignment="1">
      <alignment horizontal="center" vertical="center" wrapText="1"/>
    </xf>
    <xf numFmtId="49" fontId="39" fillId="0" borderId="1" xfId="0" applyNumberFormat="1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178" fontId="0" fillId="0" borderId="1" xfId="0" applyNumberFormat="1" applyFont="1" applyBorder="1" applyAlignment="1">
      <alignment horizontal="center" vertical="center" wrapText="1"/>
    </xf>
    <xf numFmtId="0" fontId="0" fillId="8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 wrapText="1"/>
    </xf>
    <xf numFmtId="49" fontId="0" fillId="19" borderId="1" xfId="0" applyNumberFormat="1" applyFont="1" applyFill="1" applyBorder="1" applyAlignment="1">
      <alignment horizontal="center" vertical="center" wrapText="1"/>
    </xf>
    <xf numFmtId="0" fontId="41" fillId="20" borderId="1" xfId="0" applyFont="1" applyFill="1" applyBorder="1" applyAlignment="1">
      <alignment horizontal="center" vertical="center" shrinkToFit="1"/>
    </xf>
    <xf numFmtId="14" fontId="42" fillId="2" borderId="1" xfId="0" applyNumberFormat="1" applyFont="1" applyFill="1" applyBorder="1" applyAlignment="1">
      <alignment horizontal="center" vertical="center"/>
    </xf>
    <xf numFmtId="0" fontId="42" fillId="2" borderId="1" xfId="0" applyFont="1" applyFill="1" applyBorder="1" applyAlignment="1">
      <alignment vertical="center"/>
    </xf>
    <xf numFmtId="49" fontId="42" fillId="2" borderId="1" xfId="0" applyNumberFormat="1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center" vertical="center"/>
    </xf>
    <xf numFmtId="14" fontId="0" fillId="0" borderId="1" xfId="0" applyNumberFormat="1" applyFont="1" applyBorder="1" applyAlignment="1">
      <alignment horizontal="center" vertical="center" wrapText="1"/>
    </xf>
    <xf numFmtId="0" fontId="0" fillId="0" borderId="1" xfId="0" applyFont="1" applyBorder="1" applyAlignment="1">
      <alignment vertical="center"/>
    </xf>
    <xf numFmtId="49" fontId="0" fillId="0" borderId="1" xfId="0" applyNumberFormat="1" applyFont="1" applyBorder="1" applyAlignment="1">
      <alignment horizontal="center" vertical="center"/>
    </xf>
    <xf numFmtId="0" fontId="0" fillId="21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vertical="center"/>
    </xf>
    <xf numFmtId="49" fontId="0" fillId="2" borderId="1" xfId="0" applyNumberFormat="1" applyFont="1" applyFill="1" applyBorder="1" applyAlignment="1">
      <alignment horizontal="center" vertical="center"/>
    </xf>
    <xf numFmtId="0" fontId="0" fillId="22" borderId="1" xfId="0" applyFont="1" applyFill="1" applyBorder="1" applyAlignment="1">
      <alignment horizontal="center" vertical="center" shrinkToFit="1"/>
    </xf>
    <xf numFmtId="0" fontId="0" fillId="0" borderId="1" xfId="0" applyFont="1" applyBorder="1" applyAlignment="1">
      <alignment vertic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7" borderId="1" xfId="0" applyNumberFormat="1" applyFont="1" applyFill="1" applyBorder="1" applyAlignment="1">
      <alignment horizontal="center" vertical="center" wrapText="1"/>
    </xf>
    <xf numFmtId="0" fontId="0" fillId="0" borderId="0" xfId="0" applyFont="1" applyAlignment="1">
      <alignment horizontal="left" vertical="center"/>
    </xf>
    <xf numFmtId="0" fontId="0" fillId="19" borderId="1" xfId="0" applyFont="1" applyFill="1" applyBorder="1" applyAlignment="1">
      <alignment horizontal="center" vertical="center"/>
    </xf>
    <xf numFmtId="178" fontId="40" fillId="4" borderId="1" xfId="0" applyNumberFormat="1" applyFont="1" applyFill="1" applyBorder="1" applyAlignment="1">
      <alignment horizontal="center" vertical="center" wrapText="1"/>
    </xf>
    <xf numFmtId="0" fontId="43" fillId="0" borderId="1" xfId="0" applyFont="1" applyBorder="1" applyAlignment="1">
      <alignment horizontal="center" vertical="center" wrapText="1"/>
    </xf>
    <xf numFmtId="0" fontId="0" fillId="0" borderId="0" xfId="0" applyFont="1" applyAlignment="1">
      <alignment horizontal="center" vertical="center"/>
    </xf>
    <xf numFmtId="0" fontId="41" fillId="23" borderId="1" xfId="0" applyFont="1" applyFill="1" applyBorder="1" applyAlignment="1">
      <alignment horizontal="center" vertical="center" shrinkToFit="1"/>
    </xf>
    <xf numFmtId="0" fontId="0" fillId="0" borderId="1" xfId="0" quotePrefix="1" applyFont="1" applyBorder="1" applyAlignment="1">
      <alignment horizontal="center" vertical="center"/>
    </xf>
    <xf numFmtId="0" fontId="41" fillId="0" borderId="17" xfId="0" applyFont="1" applyBorder="1" applyAlignment="1">
      <alignment horizontal="center" vertical="center"/>
    </xf>
    <xf numFmtId="0" fontId="0" fillId="24" borderId="1" xfId="0" applyFont="1" applyFill="1" applyBorder="1" applyAlignment="1">
      <alignment horizontal="center" vertical="center" shrinkToFit="1"/>
    </xf>
    <xf numFmtId="0" fontId="0" fillId="0" borderId="0" xfId="0" applyFont="1" applyAlignment="1">
      <alignment horizontal="center" vertical="center" wrapText="1"/>
    </xf>
    <xf numFmtId="178" fontId="0" fillId="0" borderId="1" xfId="0" applyNumberFormat="1" applyFont="1" applyBorder="1" applyAlignment="1">
      <alignment horizontal="center" vertical="center"/>
    </xf>
    <xf numFmtId="0" fontId="41" fillId="8" borderId="1" xfId="0" applyFont="1" applyFill="1" applyBorder="1" applyAlignment="1">
      <alignment horizontal="center" vertical="center" wrapText="1"/>
    </xf>
    <xf numFmtId="0" fontId="0" fillId="3" borderId="1" xfId="0" applyFont="1" applyFill="1" applyBorder="1" applyAlignment="1">
      <alignment horizontal="center" vertical="center"/>
    </xf>
    <xf numFmtId="49" fontId="0" fillId="25" borderId="1" xfId="0" applyNumberFormat="1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shrinkToFit="1"/>
    </xf>
    <xf numFmtId="0" fontId="0" fillId="0" borderId="5" xfId="0" applyFont="1" applyBorder="1" applyAlignment="1">
      <alignment horizontal="center" vertical="center"/>
    </xf>
    <xf numFmtId="178" fontId="0" fillId="0" borderId="5" xfId="0" applyNumberFormat="1" applyFont="1" applyBorder="1" applyAlignment="1">
      <alignment horizontal="center" vertical="center"/>
    </xf>
    <xf numFmtId="0" fontId="41" fillId="8" borderId="4" xfId="0" applyFont="1" applyFill="1" applyBorder="1" applyAlignment="1">
      <alignment horizontal="center" vertical="center" wrapText="1"/>
    </xf>
    <xf numFmtId="0" fontId="0" fillId="0" borderId="18" xfId="0" applyFont="1" applyBorder="1" applyAlignment="1">
      <alignment horizontal="center" vertical="center"/>
    </xf>
    <xf numFmtId="0" fontId="0" fillId="0" borderId="8" xfId="0" applyFont="1" applyBorder="1" applyAlignment="1">
      <alignment horizontal="center" vertical="center"/>
    </xf>
    <xf numFmtId="0" fontId="0" fillId="0" borderId="14" xfId="0" applyFont="1" applyBorder="1" applyAlignment="1">
      <alignment horizontal="center" vertical="center"/>
    </xf>
    <xf numFmtId="178" fontId="0" fillId="0" borderId="14" xfId="0" applyNumberFormat="1" applyFont="1" applyBorder="1" applyAlignment="1">
      <alignment horizontal="center" vertical="center"/>
    </xf>
    <xf numFmtId="0" fontId="41" fillId="8" borderId="26" xfId="0" applyFont="1" applyFill="1" applyBorder="1" applyAlignment="1">
      <alignment horizontal="center" vertical="center" wrapText="1"/>
    </xf>
    <xf numFmtId="178" fontId="45" fillId="0" borderId="1" xfId="0" applyNumberFormat="1" applyFont="1" applyBorder="1" applyAlignment="1">
      <alignment horizontal="center" vertical="center" wrapText="1"/>
    </xf>
    <xf numFmtId="178" fontId="0" fillId="0" borderId="6" xfId="0" applyNumberFormat="1" applyFont="1" applyBorder="1" applyAlignment="1">
      <alignment horizontal="center" vertical="center"/>
    </xf>
    <xf numFmtId="0" fontId="0" fillId="0" borderId="6" xfId="0" applyFont="1" applyBorder="1" applyAlignment="1">
      <alignment horizontal="center" vertical="center"/>
    </xf>
    <xf numFmtId="0" fontId="0" fillId="12" borderId="1" xfId="0" applyFont="1" applyFill="1" applyBorder="1" applyAlignment="1">
      <alignment horizontal="center" vertical="center"/>
    </xf>
    <xf numFmtId="0" fontId="42" fillId="0" borderId="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/>
    </xf>
    <xf numFmtId="14" fontId="0" fillId="2" borderId="1" xfId="0" applyNumberFormat="1" applyFont="1" applyFill="1" applyBorder="1" applyAlignment="1">
      <alignment horizontal="center" vertical="center"/>
    </xf>
    <xf numFmtId="0" fontId="0" fillId="7" borderId="1" xfId="0" applyFont="1" applyFill="1" applyBorder="1" applyAlignment="1">
      <alignment horizontal="center" vertical="center"/>
    </xf>
    <xf numFmtId="0" fontId="0" fillId="7" borderId="1" xfId="0" applyFont="1" applyFill="1" applyBorder="1" applyAlignment="1">
      <alignment vertical="center"/>
    </xf>
    <xf numFmtId="49" fontId="0" fillId="7" borderId="1" xfId="0" applyNumberFormat="1" applyFont="1" applyFill="1" applyBorder="1" applyAlignment="1">
      <alignment horizontal="center" vertical="center"/>
    </xf>
    <xf numFmtId="0" fontId="25" fillId="2" borderId="1" xfId="0" applyFont="1" applyFill="1" applyBorder="1" applyAlignment="1">
      <alignment horizontal="center" vertical="center"/>
    </xf>
    <xf numFmtId="0" fontId="25" fillId="2" borderId="1" xfId="0" applyFont="1" applyFill="1" applyBorder="1" applyAlignment="1">
      <alignment vertical="center"/>
    </xf>
    <xf numFmtId="49" fontId="25" fillId="2" borderId="1" xfId="0" applyNumberFormat="1" applyFont="1" applyFill="1" applyBorder="1" applyAlignment="1">
      <alignment horizontal="center" vertical="center"/>
    </xf>
    <xf numFmtId="0" fontId="46" fillId="0" borderId="30" xfId="0" applyFont="1" applyBorder="1" applyAlignment="1">
      <alignment horizontal="center" vertical="center"/>
    </xf>
    <xf numFmtId="0" fontId="39" fillId="0" borderId="2" xfId="0" applyFont="1" applyBorder="1" applyAlignment="1">
      <alignment vertical="center" wrapText="1"/>
    </xf>
    <xf numFmtId="0" fontId="39" fillId="0" borderId="0" xfId="0" applyFont="1" applyAlignment="1">
      <alignment horizontal="center" vertical="center" wrapText="1"/>
    </xf>
    <xf numFmtId="0" fontId="39" fillId="0" borderId="0" xfId="0" applyFont="1" applyAlignment="1">
      <alignment horizontal="center" vertical="center"/>
    </xf>
    <xf numFmtId="0" fontId="40" fillId="4" borderId="4" xfId="0" applyFont="1" applyFill="1" applyBorder="1" applyAlignment="1">
      <alignment horizontal="center" vertical="center" wrapText="1"/>
    </xf>
    <xf numFmtId="0" fontId="39" fillId="5" borderId="4" xfId="0" applyFont="1" applyFill="1" applyBorder="1" applyAlignment="1">
      <alignment horizontal="center" vertical="center" wrapText="1"/>
    </xf>
    <xf numFmtId="0" fontId="40" fillId="5" borderId="4" xfId="0" applyFont="1" applyFill="1" applyBorder="1" applyAlignment="1">
      <alignment horizontal="center" vertical="center" wrapText="1"/>
    </xf>
    <xf numFmtId="0" fontId="39" fillId="0" borderId="5" xfId="0" applyFont="1" applyBorder="1" applyAlignment="1">
      <alignment horizontal="center" vertical="center" wrapText="1"/>
    </xf>
    <xf numFmtId="0" fontId="0" fillId="0" borderId="17" xfId="0" applyFont="1" applyBorder="1" applyAlignment="1">
      <alignment horizontal="center" vertical="center"/>
    </xf>
    <xf numFmtId="49" fontId="39" fillId="0" borderId="5" xfId="0" applyNumberFormat="1" applyFont="1" applyBorder="1" applyAlignment="1">
      <alignment horizontal="center" vertical="center" wrapText="1"/>
    </xf>
    <xf numFmtId="0" fontId="0" fillId="19" borderId="1" xfId="0" applyFont="1" applyFill="1" applyBorder="1" applyAlignment="1">
      <alignment horizontal="center" vertical="center" wrapText="1"/>
    </xf>
    <xf numFmtId="0" fontId="0" fillId="7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left" vertical="center"/>
    </xf>
    <xf numFmtId="0" fontId="0" fillId="8" borderId="17" xfId="0" applyFont="1" applyFill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49" fontId="0" fillId="0" borderId="0" xfId="0" applyNumberFormat="1" applyFont="1" applyAlignment="1">
      <alignment horizontal="center" vertical="center" wrapText="1"/>
    </xf>
    <xf numFmtId="0" fontId="42" fillId="0" borderId="1" xfId="0" applyFont="1" applyBorder="1" applyAlignment="1">
      <alignment horizontal="center" vertical="center"/>
    </xf>
    <xf numFmtId="0" fontId="0" fillId="21" borderId="17" xfId="0" applyFont="1" applyFill="1" applyBorder="1" applyAlignment="1">
      <alignment horizontal="center" vertical="center"/>
    </xf>
    <xf numFmtId="0" fontId="0" fillId="0" borderId="0" xfId="0" applyFont="1" applyAlignment="1">
      <alignment vertical="center"/>
    </xf>
    <xf numFmtId="0" fontId="0" fillId="19" borderId="17" xfId="0" applyFont="1" applyFill="1" applyBorder="1" applyAlignment="1">
      <alignment horizontal="center" vertical="center"/>
    </xf>
    <xf numFmtId="0" fontId="41" fillId="23" borderId="17" xfId="0" applyFont="1" applyFill="1" applyBorder="1" applyAlignment="1">
      <alignment horizontal="center" vertical="center" shrinkToFit="1"/>
    </xf>
    <xf numFmtId="0" fontId="0" fillId="0" borderId="17" xfId="0" quotePrefix="1" applyFont="1" applyBorder="1" applyAlignment="1">
      <alignment horizontal="center" vertical="center"/>
    </xf>
    <xf numFmtId="0" fontId="41" fillId="24" borderId="17" xfId="0" applyFont="1" applyFill="1" applyBorder="1" applyAlignment="1">
      <alignment horizontal="center" vertical="center" shrinkToFit="1"/>
    </xf>
    <xf numFmtId="0" fontId="0" fillId="3" borderId="17" xfId="0" applyFont="1" applyFill="1" applyBorder="1" applyAlignment="1">
      <alignment horizontal="center" vertical="center" shrinkToFit="1"/>
    </xf>
    <xf numFmtId="0" fontId="41" fillId="0" borderId="17" xfId="0" quotePrefix="1" applyFont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0" fillId="8" borderId="32" xfId="0" applyFont="1" applyFill="1" applyBorder="1" applyAlignment="1">
      <alignment horizontal="center" vertical="center" wrapText="1"/>
    </xf>
    <xf numFmtId="0" fontId="2" fillId="26" borderId="1" xfId="0" applyFont="1" applyFill="1" applyBorder="1" applyAlignment="1">
      <alignment horizontal="center" vertical="center" wrapText="1"/>
    </xf>
    <xf numFmtId="0" fontId="39" fillId="0" borderId="8" xfId="0" applyFont="1" applyBorder="1" applyAlignment="1">
      <alignment horizontal="left" vertical="center" wrapText="1"/>
    </xf>
    <xf numFmtId="0" fontId="0" fillId="2" borderId="3" xfId="0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33" xfId="0" applyFont="1" applyFill="1" applyBorder="1" applyAlignment="1">
      <alignment horizontal="center" vertical="center" wrapText="1"/>
    </xf>
    <xf numFmtId="0" fontId="42" fillId="2" borderId="32" xfId="0" applyFont="1" applyFill="1" applyBorder="1" applyAlignment="1">
      <alignment horizontal="center" vertical="center" wrapText="1"/>
    </xf>
    <xf numFmtId="0" fontId="0" fillId="2" borderId="1" xfId="0" quotePrefix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left" vertical="center" wrapText="1"/>
    </xf>
    <xf numFmtId="0" fontId="42" fillId="2" borderId="1" xfId="0" applyFont="1" applyFill="1" applyBorder="1" applyAlignment="1">
      <alignment horizontal="center" vertical="center" wrapText="1"/>
    </xf>
    <xf numFmtId="0" fontId="41" fillId="20" borderId="34" xfId="0" applyFont="1" applyFill="1" applyBorder="1" applyAlignment="1">
      <alignment horizontal="center" vertical="center" shrinkToFit="1"/>
    </xf>
    <xf numFmtId="0" fontId="0" fillId="22" borderId="17" xfId="0" applyFont="1" applyFill="1" applyBorder="1" applyAlignment="1">
      <alignment horizontal="center" vertical="center" shrinkToFit="1"/>
    </xf>
    <xf numFmtId="0" fontId="0" fillId="24" borderId="17" xfId="0" applyFont="1" applyFill="1" applyBorder="1" applyAlignment="1">
      <alignment horizontal="center" vertical="center" shrinkToFit="1"/>
    </xf>
    <xf numFmtId="0" fontId="0" fillId="0" borderId="0" xfId="0" applyFont="1" applyAlignment="1">
      <alignment horizontal="left" vertical="center" wrapText="1"/>
    </xf>
    <xf numFmtId="0" fontId="0" fillId="3" borderId="35" xfId="0" applyFont="1" applyFill="1" applyBorder="1" applyAlignment="1">
      <alignment horizontal="center" vertical="center"/>
    </xf>
    <xf numFmtId="0" fontId="0" fillId="0" borderId="17" xfId="0" applyFont="1" applyBorder="1" applyAlignment="1">
      <alignment horizontal="center" vertical="center" shrinkToFit="1"/>
    </xf>
    <xf numFmtId="14" fontId="0" fillId="2" borderId="3" xfId="0" applyNumberFormat="1" applyFont="1" applyFill="1" applyBorder="1" applyAlignment="1">
      <alignment horizontal="center" vertical="center"/>
    </xf>
    <xf numFmtId="0" fontId="42" fillId="2" borderId="3" xfId="0" applyFont="1" applyFill="1" applyBorder="1" applyAlignment="1">
      <alignment vertical="center"/>
    </xf>
    <xf numFmtId="49" fontId="0" fillId="2" borderId="3" xfId="0" applyNumberFormat="1" applyFont="1" applyFill="1" applyBorder="1" applyAlignment="1">
      <alignment horizontal="center" vertical="center"/>
    </xf>
    <xf numFmtId="0" fontId="0" fillId="2" borderId="3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 shrinkToFit="1"/>
    </xf>
    <xf numFmtId="0" fontId="41" fillId="0" borderId="0" xfId="0" applyFont="1" applyAlignment="1">
      <alignment horizontal="center" vertical="center"/>
    </xf>
    <xf numFmtId="0" fontId="0" fillId="7" borderId="3" xfId="0" applyFont="1" applyFill="1" applyBorder="1" applyAlignment="1">
      <alignment horizontal="center" vertical="center"/>
    </xf>
    <xf numFmtId="0" fontId="0" fillId="7" borderId="3" xfId="0" applyFont="1" applyFill="1" applyBorder="1" applyAlignment="1">
      <alignment vertical="center"/>
    </xf>
    <xf numFmtId="49" fontId="0" fillId="7" borderId="3" xfId="0" applyNumberFormat="1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36" xfId="0" applyFont="1" applyBorder="1" applyAlignment="1">
      <alignment horizontal="center" vertical="center" wrapText="1"/>
    </xf>
    <xf numFmtId="0" fontId="46" fillId="0" borderId="31" xfId="0" applyFont="1" applyBorder="1" applyAlignment="1">
      <alignment horizontal="center" vertical="center"/>
    </xf>
    <xf numFmtId="0" fontId="39" fillId="0" borderId="37" xfId="0" applyFont="1" applyBorder="1" applyAlignment="1">
      <alignment horizontal="center" vertical="center" wrapText="1"/>
    </xf>
    <xf numFmtId="49" fontId="0" fillId="0" borderId="1" xfId="0" quotePrefix="1" applyNumberFormat="1" applyFont="1" applyBorder="1" applyAlignment="1">
      <alignment horizontal="center" vertical="center"/>
    </xf>
    <xf numFmtId="0" fontId="41" fillId="8" borderId="17" xfId="0" applyFont="1" applyFill="1" applyBorder="1" applyAlignment="1">
      <alignment horizontal="center" vertical="center" shrinkToFit="1"/>
    </xf>
    <xf numFmtId="0" fontId="25" fillId="27" borderId="38" xfId="0" applyFont="1" applyFill="1" applyBorder="1" applyAlignment="1">
      <alignment horizontal="center" vertical="center" shrinkToFit="1"/>
    </xf>
    <xf numFmtId="0" fontId="41" fillId="28" borderId="17" xfId="0" applyFont="1" applyFill="1" applyBorder="1" applyAlignment="1">
      <alignment horizontal="center" vertical="center" shrinkToFit="1"/>
    </xf>
    <xf numFmtId="0" fontId="41" fillId="29" borderId="17" xfId="0" applyFont="1" applyFill="1" applyBorder="1" applyAlignment="1">
      <alignment horizontal="center" vertical="center" shrinkToFit="1"/>
    </xf>
    <xf numFmtId="0" fontId="25" fillId="30" borderId="34" xfId="0" applyFont="1" applyFill="1" applyBorder="1" applyAlignment="1">
      <alignment horizontal="center" vertical="center" shrinkToFit="1"/>
    </xf>
    <xf numFmtId="0" fontId="41" fillId="9" borderId="17" xfId="0" applyFont="1" applyFill="1" applyBorder="1" applyAlignment="1">
      <alignment horizontal="center" vertical="center" shrinkToFit="1"/>
    </xf>
    <xf numFmtId="0" fontId="25" fillId="2" borderId="3" xfId="0" applyFont="1" applyFill="1" applyBorder="1" applyAlignment="1">
      <alignment horizontal="center" vertical="center"/>
    </xf>
    <xf numFmtId="0" fontId="0" fillId="31" borderId="38" xfId="0" applyFont="1" applyFill="1" applyBorder="1" applyAlignment="1">
      <alignment horizontal="center" vertical="center" shrinkToFit="1"/>
    </xf>
    <xf numFmtId="0" fontId="25" fillId="2" borderId="3" xfId="0" applyFont="1" applyFill="1" applyBorder="1" applyAlignment="1">
      <alignment vertical="center"/>
    </xf>
    <xf numFmtId="0" fontId="41" fillId="2" borderId="17" xfId="0" applyFont="1" applyFill="1" applyBorder="1" applyAlignment="1">
      <alignment horizontal="center" vertical="center" shrinkToFit="1"/>
    </xf>
    <xf numFmtId="49" fontId="25" fillId="2" borderId="3" xfId="0" applyNumberFormat="1" applyFont="1" applyFill="1" applyBorder="1" applyAlignment="1">
      <alignment horizontal="center" vertical="center"/>
    </xf>
    <xf numFmtId="0" fontId="41" fillId="14" borderId="17" xfId="0" applyFont="1" applyFill="1" applyBorder="1" applyAlignment="1">
      <alignment horizontal="center" vertical="center" shrinkToFit="1"/>
    </xf>
    <xf numFmtId="0" fontId="41" fillId="32" borderId="17" xfId="0" applyFont="1" applyFill="1" applyBorder="1" applyAlignment="1">
      <alignment horizontal="center" vertical="center" shrinkToFit="1"/>
    </xf>
    <xf numFmtId="0" fontId="41" fillId="21" borderId="17" xfId="0" applyFont="1" applyFill="1" applyBorder="1" applyAlignment="1">
      <alignment horizontal="center" vertical="center" shrinkToFit="1"/>
    </xf>
    <xf numFmtId="0" fontId="41" fillId="22" borderId="17" xfId="0" applyFont="1" applyFill="1" applyBorder="1" applyAlignment="1">
      <alignment horizontal="center" vertical="center" shrinkToFit="1"/>
    </xf>
    <xf numFmtId="0" fontId="41" fillId="8" borderId="1" xfId="0" applyFont="1" applyFill="1" applyBorder="1" applyAlignment="1">
      <alignment horizontal="center" vertical="center" shrinkToFit="1"/>
    </xf>
    <xf numFmtId="0" fontId="0" fillId="7" borderId="1" xfId="0" quotePrefix="1" applyFont="1" applyFill="1" applyBorder="1" applyAlignment="1">
      <alignment horizontal="center" vertical="center"/>
    </xf>
    <xf numFmtId="0" fontId="41" fillId="19" borderId="17" xfId="0" applyFont="1" applyFill="1" applyBorder="1" applyAlignment="1">
      <alignment horizontal="center" vertical="center" shrinkToFit="1"/>
    </xf>
    <xf numFmtId="0" fontId="0" fillId="33" borderId="17" xfId="0" applyFont="1" applyFill="1" applyBorder="1" applyAlignment="1">
      <alignment horizontal="center" vertical="center" shrinkToFit="1"/>
    </xf>
    <xf numFmtId="0" fontId="47" fillId="0" borderId="1" xfId="0" applyFont="1" applyBorder="1" applyAlignment="1">
      <alignment vertical="center" wrapText="1"/>
    </xf>
    <xf numFmtId="0" fontId="0" fillId="0" borderId="37" xfId="0" applyFont="1" applyBorder="1" applyAlignment="1">
      <alignment vertical="center"/>
    </xf>
    <xf numFmtId="0" fontId="39" fillId="0" borderId="5" xfId="0" applyFont="1" applyBorder="1" applyAlignment="1">
      <alignment horizontal="center" vertical="center"/>
    </xf>
    <xf numFmtId="0" fontId="25" fillId="27" borderId="1" xfId="0" applyFont="1" applyFill="1" applyBorder="1" applyAlignment="1">
      <alignment horizontal="center" vertical="center"/>
    </xf>
    <xf numFmtId="0" fontId="39" fillId="0" borderId="37" xfId="0" applyFont="1" applyBorder="1" applyAlignment="1">
      <alignment horizontal="center" vertical="center"/>
    </xf>
    <xf numFmtId="0" fontId="25" fillId="27" borderId="4" xfId="0" applyFont="1" applyFill="1" applyBorder="1" applyAlignment="1">
      <alignment horizontal="center" vertical="center"/>
    </xf>
    <xf numFmtId="0" fontId="39" fillId="7" borderId="1" xfId="0" applyFont="1" applyFill="1" applyBorder="1" applyAlignment="1">
      <alignment horizontal="center" vertical="center" wrapText="1"/>
    </xf>
    <xf numFmtId="0" fontId="41" fillId="12" borderId="1" xfId="0" applyFont="1" applyFill="1" applyBorder="1" applyAlignment="1">
      <alignment horizontal="center" vertical="center" shrinkToFit="1"/>
    </xf>
    <xf numFmtId="0" fontId="48" fillId="0" borderId="0" xfId="0" applyFont="1" applyAlignment="1">
      <alignment horizontal="center" vertical="center" wrapText="1"/>
    </xf>
    <xf numFmtId="0" fontId="0" fillId="0" borderId="18" xfId="0" applyFont="1" applyBorder="1" applyAlignment="1">
      <alignment horizontal="center" vertical="center" wrapText="1"/>
    </xf>
    <xf numFmtId="176" fontId="0" fillId="0" borderId="0" xfId="0" applyNumberFormat="1" applyFont="1" applyAlignment="1">
      <alignment horizontal="center" vertical="center" wrapText="1"/>
    </xf>
    <xf numFmtId="0" fontId="42" fillId="0" borderId="0" xfId="0" applyFont="1" applyAlignment="1">
      <alignment horizontal="center" vertical="center" wrapText="1"/>
    </xf>
    <xf numFmtId="0" fontId="41" fillId="9" borderId="1" xfId="0" applyFont="1" applyFill="1" applyBorder="1" applyAlignment="1">
      <alignment horizontal="center" vertical="center" wrapText="1"/>
    </xf>
    <xf numFmtId="0" fontId="41" fillId="7" borderId="1" xfId="0" quotePrefix="1" applyFont="1" applyFill="1" applyBorder="1" applyAlignment="1">
      <alignment horizontal="center" vertical="center"/>
    </xf>
    <xf numFmtId="0" fontId="0" fillId="0" borderId="14" xfId="0" applyFont="1" applyBorder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47" fillId="0" borderId="0" xfId="0" applyFont="1" applyAlignment="1">
      <alignment horizontal="center" vertical="center" wrapText="1"/>
    </xf>
    <xf numFmtId="0" fontId="47" fillId="0" borderId="1" xfId="0" applyFont="1" applyBorder="1" applyAlignment="1">
      <alignment horizontal="center" vertical="center" wrapText="1"/>
    </xf>
    <xf numFmtId="0" fontId="41" fillId="21" borderId="17" xfId="0" applyFont="1" applyFill="1" applyBorder="1" applyAlignment="1">
      <alignment horizontal="center" vertical="center"/>
    </xf>
    <xf numFmtId="0" fontId="0" fillId="7" borderId="3" xfId="0" applyFont="1" applyFill="1" applyBorder="1" applyAlignment="1">
      <alignment horizontal="center" vertical="center" wrapText="1"/>
    </xf>
    <xf numFmtId="0" fontId="41" fillId="19" borderId="17" xfId="0" applyFont="1" applyFill="1" applyBorder="1" applyAlignment="1">
      <alignment horizontal="center" vertical="center"/>
    </xf>
    <xf numFmtId="0" fontId="49" fillId="0" borderId="1" xfId="0" applyFont="1" applyBorder="1" applyAlignment="1">
      <alignment horizontal="center" vertical="center"/>
    </xf>
    <xf numFmtId="0" fontId="2" fillId="7" borderId="1" xfId="0" applyFont="1" applyFill="1" applyBorder="1" applyAlignment="1">
      <alignment horizontal="center"/>
    </xf>
    <xf numFmtId="49" fontId="7" fillId="2" borderId="1" xfId="0" applyNumberFormat="1" applyFont="1" applyFill="1" applyBorder="1" applyAlignment="1">
      <alignment horizontal="center" vertical="center" wrapText="1"/>
    </xf>
    <xf numFmtId="49" fontId="12" fillId="7" borderId="1" xfId="0" applyNumberFormat="1" applyFont="1" applyFill="1" applyBorder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49" fontId="18" fillId="0" borderId="1" xfId="0" applyNumberFormat="1" applyFont="1" applyBorder="1" applyAlignment="1">
      <alignment horizontal="center"/>
    </xf>
    <xf numFmtId="49" fontId="20" fillId="0" borderId="1" xfId="0" applyNumberFormat="1" applyFont="1" applyBorder="1" applyAlignment="1">
      <alignment horizontal="center" vertical="center"/>
    </xf>
    <xf numFmtId="49" fontId="20" fillId="15" borderId="1" xfId="0" applyNumberFormat="1" applyFont="1" applyFill="1" applyBorder="1" applyAlignment="1">
      <alignment horizontal="center" vertical="center"/>
    </xf>
    <xf numFmtId="49" fontId="16" fillId="15" borderId="0" xfId="0" applyNumberFormat="1" applyFont="1" applyFill="1" applyAlignment="1">
      <alignment horizontal="center" vertical="center"/>
    </xf>
    <xf numFmtId="49" fontId="16" fillId="15" borderId="1" xfId="0" applyNumberFormat="1" applyFont="1" applyFill="1" applyBorder="1" applyAlignment="1">
      <alignment horizontal="center" vertical="center"/>
    </xf>
    <xf numFmtId="49" fontId="0" fillId="0" borderId="0" xfId="0" applyNumberFormat="1" applyFont="1" applyAlignment="1">
      <alignment vertical="center"/>
    </xf>
    <xf numFmtId="0" fontId="2" fillId="0" borderId="0" xfId="0" applyFont="1" applyAlignment="1">
      <alignment vertical="center"/>
    </xf>
    <xf numFmtId="14" fontId="2" fillId="0" borderId="0" xfId="0" applyNumberFormat="1" applyFont="1" applyAlignment="1">
      <alignment vertical="center"/>
    </xf>
    <xf numFmtId="0" fontId="12" fillId="0" borderId="0" xfId="0" applyFont="1" applyAlignment="1">
      <alignment vertical="center"/>
    </xf>
    <xf numFmtId="0" fontId="51" fillId="0" borderId="0" xfId="0" applyFont="1" applyAlignment="1">
      <alignment vertical="center"/>
    </xf>
    <xf numFmtId="0" fontId="10" fillId="4" borderId="1" xfId="0" applyNumberFormat="1" applyFont="1" applyFill="1" applyBorder="1" applyAlignment="1">
      <alignment horizontal="center" vertical="center"/>
    </xf>
    <xf numFmtId="0" fontId="2" fillId="7" borderId="1" xfId="0" applyNumberFormat="1" applyFont="1" applyFill="1" applyBorder="1" applyAlignment="1">
      <alignment horizontal="center" vertical="center" wrapText="1"/>
    </xf>
    <xf numFmtId="0" fontId="2" fillId="0" borderId="1" xfId="0" applyNumberFormat="1" applyFont="1" applyBorder="1" applyAlignment="1">
      <alignment horizontal="center" vertical="center"/>
    </xf>
    <xf numFmtId="0" fontId="2" fillId="0" borderId="5" xfId="0" applyNumberFormat="1" applyFont="1" applyBorder="1" applyAlignment="1">
      <alignment horizontal="center" vertical="center"/>
    </xf>
    <xf numFmtId="0" fontId="16" fillId="7" borderId="0" xfId="0" applyNumberFormat="1" applyFont="1" applyFill="1" applyAlignment="1">
      <alignment horizontal="center" vertical="center"/>
    </xf>
    <xf numFmtId="0" fontId="13" fillId="0" borderId="1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0" fontId="38" fillId="0" borderId="18" xfId="0" applyFont="1" applyBorder="1" applyAlignment="1">
      <alignment horizontal="center" vertical="center"/>
    </xf>
    <xf numFmtId="0" fontId="1" fillId="0" borderId="2" xfId="0" applyFont="1" applyBorder="1" applyAlignment="1">
      <alignment vertical="center"/>
    </xf>
    <xf numFmtId="0" fontId="1" fillId="0" borderId="8" xfId="0" applyFont="1" applyBorder="1" applyAlignment="1">
      <alignment vertical="center"/>
    </xf>
    <xf numFmtId="0" fontId="0" fillId="0" borderId="18" xfId="0" applyFont="1" applyBorder="1" applyAlignment="1">
      <alignment horizontal="left" vertical="center" wrapText="1"/>
    </xf>
    <xf numFmtId="49" fontId="0" fillId="19" borderId="5" xfId="0" applyNumberFormat="1" applyFont="1" applyFill="1" applyBorder="1" applyAlignment="1">
      <alignment horizontal="center" vertical="center" wrapText="1"/>
    </xf>
    <xf numFmtId="0" fontId="1" fillId="0" borderId="6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39" fillId="0" borderId="18" xfId="0" applyFont="1" applyBorder="1" applyAlignment="1">
      <alignment horizontal="center" vertical="center"/>
    </xf>
    <xf numFmtId="0" fontId="0" fillId="0" borderId="5" xfId="0" applyFont="1" applyBorder="1" applyAlignment="1">
      <alignment horizontal="center" vertical="center" wrapText="1"/>
    </xf>
    <xf numFmtId="0" fontId="41" fillId="23" borderId="5" xfId="0" applyFont="1" applyFill="1" applyBorder="1" applyAlignment="1">
      <alignment horizontal="center" vertical="center" shrinkToFit="1"/>
    </xf>
    <xf numFmtId="0" fontId="44" fillId="2" borderId="20" xfId="0" applyFont="1" applyFill="1" applyBorder="1" applyAlignment="1">
      <alignment horizontal="center" vertical="center" wrapText="1"/>
    </xf>
    <xf numFmtId="0" fontId="1" fillId="0" borderId="21" xfId="0" applyFont="1" applyBorder="1" applyAlignment="1">
      <alignment vertical="center"/>
    </xf>
    <xf numFmtId="0" fontId="1" fillId="0" borderId="22" xfId="0" applyFont="1" applyBorder="1" applyAlignment="1">
      <alignment vertical="center"/>
    </xf>
    <xf numFmtId="0" fontId="1" fillId="0" borderId="23" xfId="0" applyFont="1" applyBorder="1" applyAlignment="1">
      <alignment vertical="center"/>
    </xf>
    <xf numFmtId="0" fontId="1" fillId="0" borderId="7" xfId="0" applyFont="1" applyBorder="1" applyAlignment="1">
      <alignment vertical="center"/>
    </xf>
    <xf numFmtId="0" fontId="1" fillId="0" borderId="24" xfId="0" applyFont="1" applyBorder="1" applyAlignment="1">
      <alignment vertical="center"/>
    </xf>
    <xf numFmtId="0" fontId="41" fillId="0" borderId="5" xfId="0" applyFont="1" applyBorder="1" applyAlignment="1">
      <alignment horizontal="center" vertical="center" shrinkToFit="1"/>
    </xf>
    <xf numFmtId="0" fontId="39" fillId="2" borderId="25" xfId="0" applyFont="1" applyFill="1" applyBorder="1" applyAlignment="1">
      <alignment horizontal="left"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0" fillId="19" borderId="5" xfId="0" applyFont="1" applyFill="1" applyBorder="1" applyAlignment="1">
      <alignment horizontal="center" vertical="center" wrapText="1"/>
    </xf>
    <xf numFmtId="0" fontId="0" fillId="0" borderId="19" xfId="0" applyFont="1" applyBorder="1" applyAlignment="1">
      <alignment horizontal="left" vertical="center"/>
    </xf>
    <xf numFmtId="0" fontId="0" fillId="0" borderId="0" xfId="0" applyFont="1" applyAlignment="1">
      <alignment vertical="center"/>
    </xf>
    <xf numFmtId="0" fontId="46" fillId="0" borderId="30" xfId="0" applyFont="1" applyBorder="1" applyAlignment="1">
      <alignment horizontal="center" vertical="center"/>
    </xf>
    <xf numFmtId="0" fontId="1" fillId="0" borderId="31" xfId="0" applyFont="1" applyBorder="1" applyAlignment="1">
      <alignment vertical="center"/>
    </xf>
    <xf numFmtId="0" fontId="0" fillId="0" borderId="7" xfId="0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5" xfId="0" applyFont="1" applyBorder="1" applyAlignment="1">
      <alignment horizontal="center" vertical="center"/>
    </xf>
    <xf numFmtId="0" fontId="39" fillId="0" borderId="30" xfId="0" applyFont="1" applyBorder="1" applyAlignment="1">
      <alignment horizontal="center" vertical="center"/>
    </xf>
    <xf numFmtId="0" fontId="38" fillId="0" borderId="7" xfId="0" applyFont="1" applyBorder="1" applyAlignment="1">
      <alignment horizontal="center" vertical="center" wrapText="1"/>
    </xf>
    <xf numFmtId="0" fontId="0" fillId="0" borderId="0" xfId="0" applyFont="1" applyAlignment="1">
      <alignment vertical="center" wrapText="1"/>
    </xf>
    <xf numFmtId="0" fontId="38" fillId="0" borderId="0" xfId="0" applyFont="1" applyAlignment="1">
      <alignment horizontal="center" vertical="center"/>
    </xf>
    <xf numFmtId="0" fontId="38" fillId="0" borderId="7" xfId="0" applyFont="1" applyBorder="1" applyAlignment="1">
      <alignment horizontal="center" vertical="center"/>
    </xf>
    <xf numFmtId="0" fontId="38" fillId="0" borderId="7" xfId="0" applyFont="1" applyBorder="1" applyAlignment="1">
      <alignment vertical="center"/>
    </xf>
  </cellXfs>
  <cellStyles count="2">
    <cellStyle name="一般" xfId="0" builtinId="0"/>
    <cellStyle name="已瀏覽過的超連結" xfId="1" builtinId="9" hidden="1"/>
  </cellStyles>
  <dxfs count="8"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FFFF00"/>
          <bgColor rgb="FFFFFF00"/>
        </patternFill>
      </fill>
    </dxf>
    <dxf>
      <fill>
        <patternFill patternType="solid">
          <fgColor rgb="FFB7E1CD"/>
          <bgColor rgb="FFB7E1CD"/>
        </patternFill>
      </fill>
    </dxf>
  </dxfs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peipei.ou" TargetMode="External"/><Relationship Id="rId20" Type="http://schemas.openxmlformats.org/officeDocument/2006/relationships/hyperlink" Target="http://peipei.ou" TargetMode="External"/><Relationship Id="rId21" Type="http://schemas.openxmlformats.org/officeDocument/2006/relationships/hyperlink" Target="http://peipei.ou" TargetMode="External"/><Relationship Id="rId22" Type="http://schemas.openxmlformats.org/officeDocument/2006/relationships/hyperlink" Target="http://peipei.ou" TargetMode="External"/><Relationship Id="rId23" Type="http://schemas.openxmlformats.org/officeDocument/2006/relationships/hyperlink" Target="http://peipei.ou" TargetMode="External"/><Relationship Id="rId24" Type="http://schemas.openxmlformats.org/officeDocument/2006/relationships/hyperlink" Target="http://peipei.ou" TargetMode="External"/><Relationship Id="rId25" Type="http://schemas.openxmlformats.org/officeDocument/2006/relationships/hyperlink" Target="http://peipei.ou" TargetMode="External"/><Relationship Id="rId26" Type="http://schemas.openxmlformats.org/officeDocument/2006/relationships/hyperlink" Target="http://peipei.ou" TargetMode="External"/><Relationship Id="rId27" Type="http://schemas.openxmlformats.org/officeDocument/2006/relationships/hyperlink" Target="http://peipei.ou" TargetMode="External"/><Relationship Id="rId28" Type="http://schemas.openxmlformats.org/officeDocument/2006/relationships/vmlDrawing" Target="../drawings/vmlDrawing1.vml"/><Relationship Id="rId29" Type="http://schemas.openxmlformats.org/officeDocument/2006/relationships/comments" Target="../comments1.xml"/><Relationship Id="rId10" Type="http://schemas.openxmlformats.org/officeDocument/2006/relationships/hyperlink" Target="http://peipei.ou" TargetMode="External"/><Relationship Id="rId11" Type="http://schemas.openxmlformats.org/officeDocument/2006/relationships/hyperlink" Target="http://peipei.ou" TargetMode="External"/><Relationship Id="rId12" Type="http://schemas.openxmlformats.org/officeDocument/2006/relationships/hyperlink" Target="http://peipei.ou" TargetMode="External"/><Relationship Id="rId13" Type="http://schemas.openxmlformats.org/officeDocument/2006/relationships/hyperlink" Target="http://peipei.ou" TargetMode="External"/><Relationship Id="rId14" Type="http://schemas.openxmlformats.org/officeDocument/2006/relationships/hyperlink" Target="http://peipei.ou" TargetMode="External"/><Relationship Id="rId15" Type="http://schemas.openxmlformats.org/officeDocument/2006/relationships/hyperlink" Target="http://peipei.ou" TargetMode="External"/><Relationship Id="rId16" Type="http://schemas.openxmlformats.org/officeDocument/2006/relationships/hyperlink" Target="http://peipei.ou" TargetMode="External"/><Relationship Id="rId17" Type="http://schemas.openxmlformats.org/officeDocument/2006/relationships/hyperlink" Target="http://peipei.ou" TargetMode="External"/><Relationship Id="rId18" Type="http://schemas.openxmlformats.org/officeDocument/2006/relationships/hyperlink" Target="http://peipei.ou" TargetMode="External"/><Relationship Id="rId19" Type="http://schemas.openxmlformats.org/officeDocument/2006/relationships/hyperlink" Target="http://peipei.ou" TargetMode="External"/><Relationship Id="rId1" Type="http://schemas.openxmlformats.org/officeDocument/2006/relationships/hyperlink" Target="https://asap.tci-bio.com/TCI/GeNext/MemberInfo.asp?MemID=FP0114975321T" TargetMode="External"/><Relationship Id="rId2" Type="http://schemas.openxmlformats.org/officeDocument/2006/relationships/hyperlink" Target="http://peipei.ou" TargetMode="External"/><Relationship Id="rId3" Type="http://schemas.openxmlformats.org/officeDocument/2006/relationships/hyperlink" Target="http://peipei.ou" TargetMode="External"/><Relationship Id="rId4" Type="http://schemas.openxmlformats.org/officeDocument/2006/relationships/hyperlink" Target="http://peipei.ou/" TargetMode="External"/><Relationship Id="rId5" Type="http://schemas.openxmlformats.org/officeDocument/2006/relationships/hyperlink" Target="http://peipei.ou" TargetMode="External"/><Relationship Id="rId6" Type="http://schemas.openxmlformats.org/officeDocument/2006/relationships/hyperlink" Target="http://peipei.ou" TargetMode="External"/><Relationship Id="rId7" Type="http://schemas.openxmlformats.org/officeDocument/2006/relationships/hyperlink" Target="http://peipei.ou" TargetMode="External"/><Relationship Id="rId8" Type="http://schemas.openxmlformats.org/officeDocument/2006/relationships/hyperlink" Target="http://peipei.ou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C1987"/>
  <sheetViews>
    <sheetView tabSelected="1" workbookViewId="0">
      <pane ySplit="1" topLeftCell="A1179" activePane="bottomLeft" state="frozen"/>
      <selection pane="bottomLeft" activeCell="G1200" sqref="G1200"/>
    </sheetView>
  </sheetViews>
  <sheetFormatPr baseColWidth="10" defaultColWidth="11.28515625" defaultRowHeight="15" customHeight="1" x14ac:dyDescent="0"/>
  <cols>
    <col min="1" max="1" width="15.7109375" customWidth="1"/>
    <col min="2" max="2" width="11.7109375" customWidth="1"/>
    <col min="3" max="3" width="10.7109375" customWidth="1"/>
    <col min="4" max="4" width="13.28515625" customWidth="1"/>
    <col min="5" max="5" width="8.85546875" customWidth="1"/>
    <col min="6" max="6" width="27.28515625" customWidth="1"/>
    <col min="7" max="7" width="14.140625" style="402" customWidth="1"/>
    <col min="8" max="8" width="20.140625" customWidth="1"/>
    <col min="9" max="10" width="11" customWidth="1"/>
    <col min="11" max="11" width="14.28515625" customWidth="1"/>
    <col min="12" max="12" width="15.42578125" customWidth="1"/>
    <col min="13" max="13" width="12.7109375" customWidth="1"/>
    <col min="14" max="14" width="5" customWidth="1"/>
    <col min="15" max="15" width="1" customWidth="1"/>
    <col min="16" max="16" width="18.7109375" style="414" customWidth="1"/>
    <col min="17" max="17" width="11" customWidth="1"/>
    <col min="18" max="18" width="7.85546875" customWidth="1"/>
    <col min="19" max="19" width="11" customWidth="1"/>
    <col min="20" max="20" width="5.7109375" customWidth="1"/>
    <col min="21" max="21" width="28" customWidth="1"/>
    <col min="22" max="29" width="7" customWidth="1"/>
  </cols>
  <sheetData>
    <row r="1" spans="1:29" ht="39.75" customHeight="1">
      <c r="A1" s="2" t="s">
        <v>1</v>
      </c>
      <c r="B1" s="4" t="s">
        <v>5</v>
      </c>
      <c r="C1" s="11" t="s">
        <v>6</v>
      </c>
      <c r="D1" s="19" t="s">
        <v>9</v>
      </c>
      <c r="E1" s="20" t="s">
        <v>10</v>
      </c>
      <c r="F1" s="21"/>
      <c r="G1" s="393" t="s">
        <v>33</v>
      </c>
      <c r="H1" s="23" t="s">
        <v>34</v>
      </c>
      <c r="I1" s="25" t="s">
        <v>13</v>
      </c>
      <c r="J1" s="27" t="s">
        <v>35</v>
      </c>
      <c r="K1" s="29" t="s">
        <v>36</v>
      </c>
      <c r="L1" s="32" t="s">
        <v>19</v>
      </c>
      <c r="M1" s="29" t="s">
        <v>38</v>
      </c>
      <c r="N1" s="29"/>
      <c r="O1" s="34" t="s">
        <v>39</v>
      </c>
      <c r="P1" s="407" t="s">
        <v>24</v>
      </c>
      <c r="Q1" s="20" t="s">
        <v>40</v>
      </c>
      <c r="R1" s="36" t="s">
        <v>41</v>
      </c>
      <c r="S1" s="11" t="s">
        <v>42</v>
      </c>
      <c r="T1" s="37" t="s">
        <v>43</v>
      </c>
      <c r="U1" s="20" t="s">
        <v>44</v>
      </c>
      <c r="V1" s="38" t="s">
        <v>5418</v>
      </c>
      <c r="W1" s="38" t="s">
        <v>5419</v>
      </c>
      <c r="X1" s="38"/>
      <c r="Y1" s="38"/>
      <c r="Z1" s="38"/>
      <c r="AA1" s="38"/>
      <c r="AB1" s="38"/>
      <c r="AC1" s="38"/>
    </row>
    <row r="2" spans="1:29" ht="39.75" customHeight="1">
      <c r="A2" s="39" t="s">
        <v>45</v>
      </c>
      <c r="B2" s="40" t="s">
        <v>47</v>
      </c>
      <c r="C2" s="41"/>
      <c r="D2" s="43" t="s">
        <v>50</v>
      </c>
      <c r="E2" s="43" t="s">
        <v>53</v>
      </c>
      <c r="F2" s="41" t="s">
        <v>54</v>
      </c>
      <c r="G2" s="394"/>
      <c r="H2" s="45"/>
      <c r="I2" s="40" t="s">
        <v>57</v>
      </c>
      <c r="J2" s="40" t="s">
        <v>47</v>
      </c>
      <c r="K2" s="47" t="s">
        <v>58</v>
      </c>
      <c r="L2" s="45" t="s">
        <v>60</v>
      </c>
      <c r="M2" s="49" t="s">
        <v>61</v>
      </c>
      <c r="N2" s="47" t="s">
        <v>62</v>
      </c>
      <c r="O2" s="47"/>
      <c r="P2" s="408" t="s">
        <v>63</v>
      </c>
      <c r="Q2" s="52" t="s">
        <v>64</v>
      </c>
      <c r="R2" s="45"/>
      <c r="S2" s="47"/>
      <c r="T2" s="47"/>
      <c r="U2" s="45"/>
      <c r="V2" s="54"/>
      <c r="W2" s="54"/>
      <c r="X2" s="54"/>
      <c r="Y2" s="56"/>
      <c r="Z2" s="56"/>
      <c r="AA2" s="54"/>
      <c r="AB2" s="54"/>
      <c r="AC2" s="54"/>
    </row>
    <row r="3" spans="1:29" ht="36.75" customHeight="1">
      <c r="A3" s="39" t="s">
        <v>66</v>
      </c>
      <c r="B3" s="40" t="s">
        <v>47</v>
      </c>
      <c r="C3" s="60"/>
      <c r="D3" s="62" t="s">
        <v>72</v>
      </c>
      <c r="E3" s="45" t="s">
        <v>75</v>
      </c>
      <c r="F3" s="60" t="s">
        <v>76</v>
      </c>
      <c r="G3" s="395"/>
      <c r="H3" s="63"/>
      <c r="I3" s="40" t="s">
        <v>57</v>
      </c>
      <c r="J3" s="40" t="s">
        <v>47</v>
      </c>
      <c r="K3" s="47" t="s">
        <v>81</v>
      </c>
      <c r="L3" s="45" t="s">
        <v>82</v>
      </c>
      <c r="M3" s="49" t="s">
        <v>61</v>
      </c>
      <c r="N3" s="47" t="s">
        <v>62</v>
      </c>
      <c r="O3" s="47"/>
      <c r="P3" s="408" t="s">
        <v>84</v>
      </c>
      <c r="Q3" s="52" t="s">
        <v>64</v>
      </c>
      <c r="R3" s="45"/>
      <c r="S3" s="47"/>
      <c r="T3" s="47"/>
      <c r="U3" s="45"/>
      <c r="V3" s="54"/>
      <c r="W3" s="54"/>
      <c r="X3" s="54"/>
      <c r="Y3" s="56"/>
      <c r="Z3" s="56"/>
      <c r="AA3" s="54"/>
      <c r="AB3" s="54"/>
      <c r="AC3" s="54"/>
    </row>
    <row r="4" spans="1:29" ht="24.75" customHeight="1">
      <c r="A4" s="39" t="s">
        <v>66</v>
      </c>
      <c r="B4" s="40" t="s">
        <v>47</v>
      </c>
      <c r="C4" s="60"/>
      <c r="D4" s="62" t="s">
        <v>72</v>
      </c>
      <c r="E4" s="45" t="s">
        <v>75</v>
      </c>
      <c r="F4" s="60" t="s">
        <v>76</v>
      </c>
      <c r="G4" s="395"/>
      <c r="H4" s="45"/>
      <c r="I4" s="40" t="s">
        <v>57</v>
      </c>
      <c r="J4" s="40" t="s">
        <v>47</v>
      </c>
      <c r="K4" s="47" t="s">
        <v>99</v>
      </c>
      <c r="L4" s="45" t="s">
        <v>100</v>
      </c>
      <c r="M4" s="49" t="s">
        <v>61</v>
      </c>
      <c r="N4" s="47" t="s">
        <v>62</v>
      </c>
      <c r="O4" s="47"/>
      <c r="P4" s="408" t="s">
        <v>101</v>
      </c>
      <c r="Q4" s="52" t="s">
        <v>64</v>
      </c>
      <c r="R4" s="45"/>
      <c r="S4" s="47"/>
      <c r="T4" s="47"/>
      <c r="U4" s="45"/>
      <c r="V4" s="54"/>
      <c r="W4" s="54"/>
      <c r="X4" s="54"/>
      <c r="Y4" s="54"/>
      <c r="Z4" s="54"/>
      <c r="AA4" s="54"/>
      <c r="AB4" s="54"/>
      <c r="AC4" s="54"/>
    </row>
    <row r="5" spans="1:29" ht="15.75" customHeight="1">
      <c r="A5" s="39" t="s">
        <v>66</v>
      </c>
      <c r="B5" s="40" t="s">
        <v>47</v>
      </c>
      <c r="C5" s="60"/>
      <c r="D5" s="62" t="s">
        <v>72</v>
      </c>
      <c r="E5" s="45" t="s">
        <v>75</v>
      </c>
      <c r="F5" s="60" t="s">
        <v>76</v>
      </c>
      <c r="G5" s="395"/>
      <c r="H5" s="64"/>
      <c r="I5" s="40" t="s">
        <v>57</v>
      </c>
      <c r="J5" s="40" t="s">
        <v>47</v>
      </c>
      <c r="K5" s="24" t="s">
        <v>108</v>
      </c>
      <c r="L5" s="64" t="s">
        <v>109</v>
      </c>
      <c r="M5" s="49" t="s">
        <v>61</v>
      </c>
      <c r="N5" s="47" t="s">
        <v>62</v>
      </c>
      <c r="O5" s="24"/>
      <c r="P5" s="408" t="s">
        <v>110</v>
      </c>
      <c r="Q5" s="64"/>
      <c r="R5" s="64"/>
      <c r="S5" s="24"/>
      <c r="T5" s="24"/>
      <c r="U5" s="64"/>
      <c r="V5" s="56"/>
      <c r="W5" s="56"/>
      <c r="X5" s="56"/>
      <c r="Y5" s="56"/>
      <c r="Z5" s="56"/>
      <c r="AA5" s="56"/>
      <c r="AB5" s="56"/>
      <c r="AC5" s="56"/>
    </row>
    <row r="6" spans="1:29" ht="15.75" customHeight="1">
      <c r="A6" s="39" t="s">
        <v>66</v>
      </c>
      <c r="B6" s="40" t="s">
        <v>47</v>
      </c>
      <c r="C6" s="60"/>
      <c r="D6" s="62" t="s">
        <v>72</v>
      </c>
      <c r="E6" s="45" t="s">
        <v>75</v>
      </c>
      <c r="F6" s="60" t="s">
        <v>76</v>
      </c>
      <c r="G6" s="395"/>
      <c r="H6" s="64"/>
      <c r="I6" s="40" t="s">
        <v>57</v>
      </c>
      <c r="J6" s="40" t="s">
        <v>47</v>
      </c>
      <c r="K6" s="24" t="s">
        <v>111</v>
      </c>
      <c r="L6" s="64" t="s">
        <v>112</v>
      </c>
      <c r="M6" s="49" t="s">
        <v>61</v>
      </c>
      <c r="N6" s="47" t="s">
        <v>62</v>
      </c>
      <c r="O6" s="24"/>
      <c r="P6" s="408" t="s">
        <v>113</v>
      </c>
      <c r="Q6" s="64"/>
      <c r="R6" s="64"/>
      <c r="S6" s="24"/>
      <c r="T6" s="24"/>
      <c r="U6" s="64"/>
      <c r="V6" s="56"/>
      <c r="W6" s="56"/>
      <c r="X6" s="56"/>
      <c r="Y6" s="56"/>
      <c r="Z6" s="56"/>
      <c r="AA6" s="56"/>
      <c r="AB6" s="56"/>
      <c r="AC6" s="56"/>
    </row>
    <row r="7" spans="1:29" ht="15.75" customHeight="1">
      <c r="A7" s="39" t="s">
        <v>66</v>
      </c>
      <c r="B7" s="40" t="s">
        <v>47</v>
      </c>
      <c r="C7" s="60"/>
      <c r="D7" s="62" t="s">
        <v>72</v>
      </c>
      <c r="E7" s="45" t="s">
        <v>75</v>
      </c>
      <c r="F7" s="60" t="s">
        <v>76</v>
      </c>
      <c r="G7" s="395"/>
      <c r="H7" s="64"/>
      <c r="I7" s="40" t="s">
        <v>57</v>
      </c>
      <c r="J7" s="40" t="s">
        <v>47</v>
      </c>
      <c r="K7" s="24" t="s">
        <v>119</v>
      </c>
      <c r="L7" s="64" t="s">
        <v>120</v>
      </c>
      <c r="M7" s="49" t="s">
        <v>61</v>
      </c>
      <c r="N7" s="24" t="s">
        <v>51</v>
      </c>
      <c r="O7" s="24"/>
      <c r="P7" s="408" t="s">
        <v>121</v>
      </c>
      <c r="Q7" s="64"/>
      <c r="R7" s="64"/>
      <c r="S7" s="24"/>
      <c r="T7" s="24"/>
      <c r="U7" s="64"/>
      <c r="V7" s="56"/>
      <c r="W7" s="56"/>
      <c r="X7" s="56"/>
      <c r="Y7" s="56"/>
      <c r="Z7" s="56"/>
      <c r="AA7" s="56"/>
      <c r="AB7" s="56"/>
      <c r="AC7" s="56"/>
    </row>
    <row r="8" spans="1:29" ht="15.75" customHeight="1">
      <c r="A8" s="39" t="s">
        <v>66</v>
      </c>
      <c r="B8" s="40" t="s">
        <v>47</v>
      </c>
      <c r="C8" s="60"/>
      <c r="D8" s="62" t="s">
        <v>72</v>
      </c>
      <c r="E8" s="45" t="s">
        <v>75</v>
      </c>
      <c r="F8" s="60" t="s">
        <v>76</v>
      </c>
      <c r="G8" s="395"/>
      <c r="H8" s="64"/>
      <c r="I8" s="40" t="s">
        <v>57</v>
      </c>
      <c r="J8" s="40" t="s">
        <v>47</v>
      </c>
      <c r="K8" s="24" t="s">
        <v>126</v>
      </c>
      <c r="L8" s="64" t="s">
        <v>127</v>
      </c>
      <c r="M8" s="49" t="s">
        <v>61</v>
      </c>
      <c r="N8" s="47" t="s">
        <v>62</v>
      </c>
      <c r="O8" s="24"/>
      <c r="P8" s="408" t="s">
        <v>128</v>
      </c>
      <c r="Q8" s="64"/>
      <c r="R8" s="64"/>
      <c r="S8" s="24"/>
      <c r="T8" s="24"/>
      <c r="U8" s="64"/>
      <c r="V8" s="56"/>
      <c r="W8" s="56"/>
      <c r="X8" s="56"/>
      <c r="Y8" s="56"/>
      <c r="Z8" s="56"/>
      <c r="AA8" s="56"/>
      <c r="AB8" s="56"/>
      <c r="AC8" s="56"/>
    </row>
    <row r="9" spans="1:29" ht="15.75" customHeight="1">
      <c r="A9" s="39" t="s">
        <v>66</v>
      </c>
      <c r="B9" s="40" t="s">
        <v>47</v>
      </c>
      <c r="C9" s="60"/>
      <c r="D9" s="62" t="s">
        <v>72</v>
      </c>
      <c r="E9" s="45" t="s">
        <v>75</v>
      </c>
      <c r="F9" s="60" t="s">
        <v>76</v>
      </c>
      <c r="G9" s="395"/>
      <c r="H9" s="64"/>
      <c r="I9" s="40" t="s">
        <v>57</v>
      </c>
      <c r="J9" s="40" t="s">
        <v>47</v>
      </c>
      <c r="K9" s="24" t="s">
        <v>129</v>
      </c>
      <c r="L9" s="64" t="s">
        <v>130</v>
      </c>
      <c r="M9" s="49" t="s">
        <v>61</v>
      </c>
      <c r="N9" s="24" t="s">
        <v>51</v>
      </c>
      <c r="O9" s="24"/>
      <c r="P9" s="408" t="s">
        <v>131</v>
      </c>
      <c r="Q9" s="64"/>
      <c r="R9" s="64"/>
      <c r="S9" s="24"/>
      <c r="T9" s="24"/>
      <c r="U9" s="64"/>
      <c r="V9" s="56"/>
      <c r="W9" s="56"/>
      <c r="X9" s="56"/>
      <c r="Y9" s="56"/>
      <c r="Z9" s="56"/>
      <c r="AA9" s="56"/>
      <c r="AB9" s="56"/>
      <c r="AC9" s="56"/>
    </row>
    <row r="10" spans="1:29" ht="15.75" customHeight="1">
      <c r="A10" s="39" t="s">
        <v>66</v>
      </c>
      <c r="B10" s="40" t="s">
        <v>132</v>
      </c>
      <c r="C10" s="60"/>
      <c r="D10" s="62" t="s">
        <v>72</v>
      </c>
      <c r="E10" s="45" t="s">
        <v>75</v>
      </c>
      <c r="F10" s="60" t="s">
        <v>76</v>
      </c>
      <c r="G10" s="395"/>
      <c r="H10" s="64"/>
      <c r="I10" s="40" t="s">
        <v>134</v>
      </c>
      <c r="J10" s="40" t="s">
        <v>132</v>
      </c>
      <c r="K10" s="24" t="s">
        <v>135</v>
      </c>
      <c r="L10" s="64" t="s">
        <v>137</v>
      </c>
      <c r="M10" s="49" t="s">
        <v>61</v>
      </c>
      <c r="N10" s="24" t="s">
        <v>51</v>
      </c>
      <c r="O10" s="24"/>
      <c r="P10" s="408" t="s">
        <v>138</v>
      </c>
      <c r="Q10" s="64"/>
      <c r="R10" s="64"/>
      <c r="S10" s="24"/>
      <c r="T10" s="24"/>
      <c r="U10" s="64"/>
      <c r="V10" s="56"/>
      <c r="W10" s="56"/>
      <c r="X10" s="56"/>
      <c r="Y10" s="56"/>
      <c r="Z10" s="56"/>
      <c r="AA10" s="56"/>
      <c r="AB10" s="56"/>
      <c r="AC10" s="56"/>
    </row>
    <row r="11" spans="1:29" ht="15.75" customHeight="1">
      <c r="A11" s="39" t="s">
        <v>66</v>
      </c>
      <c r="B11" s="40" t="s">
        <v>132</v>
      </c>
      <c r="C11" s="60"/>
      <c r="D11" s="62" t="s">
        <v>72</v>
      </c>
      <c r="E11" s="45" t="s">
        <v>75</v>
      </c>
      <c r="F11" s="60" t="s">
        <v>76</v>
      </c>
      <c r="G11" s="395"/>
      <c r="H11" s="64"/>
      <c r="I11" s="40" t="s">
        <v>134</v>
      </c>
      <c r="J11" s="40" t="s">
        <v>132</v>
      </c>
      <c r="K11" s="24" t="s">
        <v>140</v>
      </c>
      <c r="L11" s="64" t="s">
        <v>142</v>
      </c>
      <c r="M11" s="49" t="s">
        <v>61</v>
      </c>
      <c r="N11" s="24" t="s">
        <v>51</v>
      </c>
      <c r="O11" s="24"/>
      <c r="P11" s="408" t="s">
        <v>144</v>
      </c>
      <c r="Q11" s="64"/>
      <c r="R11" s="64"/>
      <c r="S11" s="24"/>
      <c r="T11" s="24"/>
      <c r="U11" s="64" t="s">
        <v>145</v>
      </c>
      <c r="V11" s="56"/>
      <c r="W11" s="56"/>
      <c r="X11" s="56"/>
      <c r="Y11" s="56"/>
      <c r="Z11" s="56"/>
      <c r="AA11" s="56"/>
      <c r="AB11" s="56"/>
      <c r="AC11" s="56"/>
    </row>
    <row r="12" spans="1:29" ht="15.75" customHeight="1">
      <c r="A12" s="39" t="s">
        <v>66</v>
      </c>
      <c r="B12" s="40" t="s">
        <v>148</v>
      </c>
      <c r="C12" s="60"/>
      <c r="D12" s="62" t="s">
        <v>72</v>
      </c>
      <c r="E12" s="45" t="s">
        <v>75</v>
      </c>
      <c r="F12" s="60" t="s">
        <v>76</v>
      </c>
      <c r="G12" s="395"/>
      <c r="H12" s="64"/>
      <c r="I12" s="40" t="s">
        <v>134</v>
      </c>
      <c r="J12" s="40" t="s">
        <v>148</v>
      </c>
      <c r="K12" s="24" t="s">
        <v>149</v>
      </c>
      <c r="L12" s="64" t="s">
        <v>150</v>
      </c>
      <c r="M12" s="49" t="s">
        <v>61</v>
      </c>
      <c r="N12" s="47" t="s">
        <v>62</v>
      </c>
      <c r="O12" s="24"/>
      <c r="P12" s="408" t="s">
        <v>152</v>
      </c>
      <c r="Q12" s="64"/>
      <c r="R12" s="64"/>
      <c r="S12" s="24"/>
      <c r="T12" s="24"/>
      <c r="U12" s="64" t="s">
        <v>153</v>
      </c>
      <c r="V12" s="56"/>
      <c r="W12" s="56"/>
      <c r="X12" s="56"/>
      <c r="Y12" s="56"/>
      <c r="Z12" s="56"/>
      <c r="AA12" s="56"/>
      <c r="AB12" s="56"/>
      <c r="AC12" s="56"/>
    </row>
    <row r="13" spans="1:29" ht="15.75" customHeight="1">
      <c r="A13" s="39" t="s">
        <v>66</v>
      </c>
      <c r="B13" s="40" t="s">
        <v>148</v>
      </c>
      <c r="C13" s="60"/>
      <c r="D13" s="62" t="s">
        <v>72</v>
      </c>
      <c r="E13" s="45" t="s">
        <v>75</v>
      </c>
      <c r="F13" s="60" t="s">
        <v>76</v>
      </c>
      <c r="G13" s="395"/>
      <c r="H13" s="64"/>
      <c r="I13" s="40" t="s">
        <v>134</v>
      </c>
      <c r="J13" s="40" t="s">
        <v>148</v>
      </c>
      <c r="K13" s="24" t="s">
        <v>156</v>
      </c>
      <c r="L13" s="64" t="s">
        <v>157</v>
      </c>
      <c r="M13" s="49" t="s">
        <v>61</v>
      </c>
      <c r="N13" s="47" t="s">
        <v>62</v>
      </c>
      <c r="O13" s="24"/>
      <c r="P13" s="408" t="s">
        <v>158</v>
      </c>
      <c r="Q13" s="64"/>
      <c r="R13" s="64"/>
      <c r="S13" s="24"/>
      <c r="T13" s="24"/>
      <c r="U13" s="64"/>
      <c r="V13" s="56"/>
      <c r="W13" s="56"/>
      <c r="X13" s="56"/>
      <c r="Y13" s="56"/>
      <c r="Z13" s="56"/>
      <c r="AA13" s="56"/>
      <c r="AB13" s="56"/>
      <c r="AC13" s="56"/>
    </row>
    <row r="14" spans="1:29" ht="15.75" customHeight="1">
      <c r="A14" s="39" t="s">
        <v>66</v>
      </c>
      <c r="B14" s="40" t="s">
        <v>148</v>
      </c>
      <c r="C14" s="60"/>
      <c r="D14" s="62" t="s">
        <v>72</v>
      </c>
      <c r="E14" s="45" t="s">
        <v>75</v>
      </c>
      <c r="F14" s="60" t="s">
        <v>76</v>
      </c>
      <c r="G14" s="395"/>
      <c r="H14" s="64"/>
      <c r="I14" s="40" t="s">
        <v>134</v>
      </c>
      <c r="J14" s="40" t="s">
        <v>148</v>
      </c>
      <c r="K14" s="24" t="s">
        <v>161</v>
      </c>
      <c r="L14" s="64" t="s">
        <v>162</v>
      </c>
      <c r="M14" s="49" t="s">
        <v>61</v>
      </c>
      <c r="N14" s="47" t="s">
        <v>62</v>
      </c>
      <c r="O14" s="24"/>
      <c r="P14" s="408" t="s">
        <v>164</v>
      </c>
      <c r="Q14" s="64"/>
      <c r="R14" s="64"/>
      <c r="S14" s="24"/>
      <c r="T14" s="24"/>
      <c r="U14" s="64" t="s">
        <v>167</v>
      </c>
      <c r="V14" s="56"/>
      <c r="W14" s="56"/>
      <c r="X14" s="56"/>
      <c r="Y14" s="56"/>
      <c r="Z14" s="56"/>
      <c r="AA14" s="56"/>
      <c r="AB14" s="56"/>
      <c r="AC14" s="56"/>
    </row>
    <row r="15" spans="1:29" ht="15.75" customHeight="1">
      <c r="A15" s="39" t="s">
        <v>66</v>
      </c>
      <c r="B15" s="40" t="s">
        <v>148</v>
      </c>
      <c r="C15" s="60"/>
      <c r="D15" s="62" t="s">
        <v>72</v>
      </c>
      <c r="E15" s="45" t="s">
        <v>75</v>
      </c>
      <c r="F15" s="60" t="s">
        <v>76</v>
      </c>
      <c r="G15" s="395"/>
      <c r="H15" s="64"/>
      <c r="I15" s="40" t="s">
        <v>134</v>
      </c>
      <c r="J15" s="40" t="s">
        <v>148</v>
      </c>
      <c r="K15" s="24" t="s">
        <v>172</v>
      </c>
      <c r="L15" s="64" t="s">
        <v>173</v>
      </c>
      <c r="M15" s="49" t="s">
        <v>61</v>
      </c>
      <c r="N15" s="47" t="s">
        <v>62</v>
      </c>
      <c r="O15" s="24"/>
      <c r="P15" s="408" t="s">
        <v>174</v>
      </c>
      <c r="Q15" s="64"/>
      <c r="R15" s="64"/>
      <c r="S15" s="24"/>
      <c r="T15" s="24"/>
      <c r="U15" s="64"/>
      <c r="V15" s="56"/>
      <c r="W15" s="56"/>
      <c r="X15" s="56"/>
      <c r="Y15" s="56"/>
      <c r="Z15" s="56"/>
      <c r="AA15" s="56"/>
      <c r="AB15" s="56"/>
      <c r="AC15" s="56"/>
    </row>
    <row r="16" spans="1:29" ht="15.75" customHeight="1">
      <c r="A16" s="39" t="s">
        <v>66</v>
      </c>
      <c r="B16" s="40" t="s">
        <v>148</v>
      </c>
      <c r="C16" s="60"/>
      <c r="D16" s="62" t="s">
        <v>72</v>
      </c>
      <c r="E16" s="45" t="s">
        <v>75</v>
      </c>
      <c r="F16" s="60" t="s">
        <v>76</v>
      </c>
      <c r="G16" s="395"/>
      <c r="H16" s="64"/>
      <c r="I16" s="40" t="s">
        <v>134</v>
      </c>
      <c r="J16" s="40" t="s">
        <v>148</v>
      </c>
      <c r="K16" s="24" t="s">
        <v>176</v>
      </c>
      <c r="L16" s="64" t="s">
        <v>177</v>
      </c>
      <c r="M16" s="49" t="s">
        <v>61</v>
      </c>
      <c r="N16" s="24" t="s">
        <v>51</v>
      </c>
      <c r="O16" s="24"/>
      <c r="P16" s="408" t="s">
        <v>178</v>
      </c>
      <c r="Q16" s="64"/>
      <c r="R16" s="64"/>
      <c r="S16" s="24"/>
      <c r="T16" s="24"/>
      <c r="U16" s="64" t="s">
        <v>179</v>
      </c>
      <c r="V16" s="56"/>
      <c r="W16" s="56"/>
      <c r="X16" s="56"/>
      <c r="Y16" s="56"/>
      <c r="Z16" s="56"/>
      <c r="AA16" s="56"/>
      <c r="AB16" s="56"/>
      <c r="AC16" s="56"/>
    </row>
    <row r="17" spans="1:29" ht="15.75" customHeight="1">
      <c r="A17" s="39" t="s">
        <v>66</v>
      </c>
      <c r="B17" s="40" t="s">
        <v>148</v>
      </c>
      <c r="C17" s="60"/>
      <c r="D17" s="62" t="s">
        <v>72</v>
      </c>
      <c r="E17" s="45" t="s">
        <v>75</v>
      </c>
      <c r="F17" s="60" t="s">
        <v>76</v>
      </c>
      <c r="G17" s="395"/>
      <c r="H17" s="64"/>
      <c r="I17" s="40" t="s">
        <v>134</v>
      </c>
      <c r="J17" s="40" t="s">
        <v>148</v>
      </c>
      <c r="K17" s="24" t="s">
        <v>184</v>
      </c>
      <c r="L17" s="64" t="s">
        <v>185</v>
      </c>
      <c r="M17" s="49" t="s">
        <v>61</v>
      </c>
      <c r="N17" s="47" t="s">
        <v>62</v>
      </c>
      <c r="O17" s="24"/>
      <c r="P17" s="408" t="s">
        <v>186</v>
      </c>
      <c r="Q17" s="64"/>
      <c r="R17" s="64"/>
      <c r="S17" s="24"/>
      <c r="T17" s="24"/>
      <c r="U17" s="64"/>
      <c r="V17" s="56"/>
      <c r="W17" s="56"/>
      <c r="X17" s="56"/>
      <c r="Y17" s="56"/>
      <c r="Z17" s="56"/>
      <c r="AA17" s="56"/>
      <c r="AB17" s="56"/>
      <c r="AC17" s="56"/>
    </row>
    <row r="18" spans="1:29" ht="15.75" customHeight="1">
      <c r="A18" s="39" t="s">
        <v>66</v>
      </c>
      <c r="B18" s="40" t="s">
        <v>148</v>
      </c>
      <c r="C18" s="60"/>
      <c r="D18" s="62" t="s">
        <v>72</v>
      </c>
      <c r="E18" s="45" t="s">
        <v>75</v>
      </c>
      <c r="F18" s="60" t="s">
        <v>76</v>
      </c>
      <c r="G18" s="395"/>
      <c r="H18" s="64"/>
      <c r="I18" s="40" t="s">
        <v>134</v>
      </c>
      <c r="J18" s="40" t="s">
        <v>148</v>
      </c>
      <c r="K18" s="24" t="s">
        <v>191</v>
      </c>
      <c r="L18" s="64" t="s">
        <v>193</v>
      </c>
      <c r="M18" s="49" t="s">
        <v>61</v>
      </c>
      <c r="N18" s="24" t="s">
        <v>51</v>
      </c>
      <c r="O18" s="24"/>
      <c r="P18" s="408" t="s">
        <v>195</v>
      </c>
      <c r="Q18" s="64"/>
      <c r="R18" s="64"/>
      <c r="S18" s="24"/>
      <c r="T18" s="24"/>
      <c r="U18" s="64" t="s">
        <v>196</v>
      </c>
      <c r="V18" s="56"/>
      <c r="W18" s="56"/>
      <c r="X18" s="56"/>
      <c r="Y18" s="56"/>
      <c r="Z18" s="56"/>
      <c r="AA18" s="56"/>
      <c r="AB18" s="56"/>
      <c r="AC18" s="56"/>
    </row>
    <row r="19" spans="1:29" ht="15.75" customHeight="1">
      <c r="A19" s="39" t="s">
        <v>66</v>
      </c>
      <c r="B19" s="40" t="s">
        <v>148</v>
      </c>
      <c r="C19" s="60"/>
      <c r="D19" s="62" t="s">
        <v>72</v>
      </c>
      <c r="E19" s="45" t="s">
        <v>75</v>
      </c>
      <c r="F19" s="60" t="s">
        <v>76</v>
      </c>
      <c r="G19" s="395"/>
      <c r="H19" s="64"/>
      <c r="I19" s="40" t="s">
        <v>134</v>
      </c>
      <c r="J19" s="40" t="s">
        <v>148</v>
      </c>
      <c r="K19" s="24" t="s">
        <v>200</v>
      </c>
      <c r="L19" s="64" t="s">
        <v>201</v>
      </c>
      <c r="M19" s="49" t="s">
        <v>61</v>
      </c>
      <c r="N19" s="24" t="s">
        <v>51</v>
      </c>
      <c r="O19" s="24"/>
      <c r="P19" s="408" t="s">
        <v>202</v>
      </c>
      <c r="Q19" s="64"/>
      <c r="R19" s="64"/>
      <c r="S19" s="24"/>
      <c r="T19" s="24"/>
      <c r="U19" s="64" t="s">
        <v>203</v>
      </c>
      <c r="V19" s="56"/>
      <c r="W19" s="56"/>
      <c r="X19" s="56"/>
      <c r="Y19" s="56"/>
      <c r="Z19" s="56"/>
      <c r="AA19" s="56"/>
      <c r="AB19" s="56"/>
      <c r="AC19" s="56"/>
    </row>
    <row r="20" spans="1:29" ht="15.75" customHeight="1">
      <c r="A20" s="39" t="s">
        <v>66</v>
      </c>
      <c r="B20" s="40" t="s">
        <v>148</v>
      </c>
      <c r="C20" s="60"/>
      <c r="D20" s="62" t="s">
        <v>72</v>
      </c>
      <c r="E20" s="45" t="s">
        <v>75</v>
      </c>
      <c r="F20" s="60" t="s">
        <v>76</v>
      </c>
      <c r="G20" s="395"/>
      <c r="H20" s="64"/>
      <c r="I20" s="40" t="s">
        <v>134</v>
      </c>
      <c r="J20" s="40" t="s">
        <v>148</v>
      </c>
      <c r="K20" s="24" t="s">
        <v>206</v>
      </c>
      <c r="L20" s="64" t="s">
        <v>207</v>
      </c>
      <c r="M20" s="49" t="s">
        <v>61</v>
      </c>
      <c r="N20" s="47" t="s">
        <v>62</v>
      </c>
      <c r="O20" s="24"/>
      <c r="P20" s="408" t="s">
        <v>209</v>
      </c>
      <c r="Q20" s="64"/>
      <c r="R20" s="64"/>
      <c r="S20" s="24"/>
      <c r="T20" s="24"/>
      <c r="U20" s="64"/>
      <c r="V20" s="56"/>
      <c r="W20" s="56"/>
      <c r="X20" s="56"/>
      <c r="Y20" s="56"/>
      <c r="Z20" s="56"/>
      <c r="AA20" s="56"/>
      <c r="AB20" s="56"/>
      <c r="AC20" s="56"/>
    </row>
    <row r="21" spans="1:29" ht="15.75" customHeight="1">
      <c r="A21" s="39" t="s">
        <v>66</v>
      </c>
      <c r="B21" s="40" t="s">
        <v>148</v>
      </c>
      <c r="C21" s="60"/>
      <c r="D21" s="62" t="s">
        <v>72</v>
      </c>
      <c r="E21" s="45" t="s">
        <v>75</v>
      </c>
      <c r="F21" s="60" t="s">
        <v>76</v>
      </c>
      <c r="G21" s="395"/>
      <c r="H21" s="64"/>
      <c r="I21" s="40" t="s">
        <v>134</v>
      </c>
      <c r="J21" s="40" t="s">
        <v>148</v>
      </c>
      <c r="K21" s="24" t="s">
        <v>212</v>
      </c>
      <c r="L21" s="64" t="s">
        <v>213</v>
      </c>
      <c r="M21" s="49" t="s">
        <v>61</v>
      </c>
      <c r="N21" s="24" t="s">
        <v>51</v>
      </c>
      <c r="O21" s="24"/>
      <c r="P21" s="408" t="s">
        <v>214</v>
      </c>
      <c r="Q21" s="64"/>
      <c r="R21" s="64"/>
      <c r="S21" s="24"/>
      <c r="T21" s="24"/>
      <c r="U21" s="64" t="s">
        <v>215</v>
      </c>
      <c r="V21" s="56"/>
      <c r="W21" s="56"/>
      <c r="X21" s="56"/>
      <c r="Y21" s="56"/>
      <c r="Z21" s="56"/>
      <c r="AA21" s="56"/>
      <c r="AB21" s="56"/>
      <c r="AC21" s="56"/>
    </row>
    <row r="22" spans="1:29" ht="15.75" customHeight="1">
      <c r="A22" s="39" t="s">
        <v>66</v>
      </c>
      <c r="B22" s="40" t="s">
        <v>148</v>
      </c>
      <c r="C22" s="60"/>
      <c r="D22" s="62" t="s">
        <v>72</v>
      </c>
      <c r="E22" s="45" t="s">
        <v>75</v>
      </c>
      <c r="F22" s="60" t="s">
        <v>76</v>
      </c>
      <c r="G22" s="395"/>
      <c r="H22" s="64"/>
      <c r="I22" s="40" t="s">
        <v>134</v>
      </c>
      <c r="J22" s="40" t="s">
        <v>148</v>
      </c>
      <c r="K22" s="24" t="s">
        <v>219</v>
      </c>
      <c r="L22" s="64" t="s">
        <v>220</v>
      </c>
      <c r="M22" s="49" t="s">
        <v>61</v>
      </c>
      <c r="N22" s="24" t="s">
        <v>51</v>
      </c>
      <c r="O22" s="24"/>
      <c r="P22" s="408" t="s">
        <v>221</v>
      </c>
      <c r="Q22" s="64"/>
      <c r="R22" s="64"/>
      <c r="S22" s="24"/>
      <c r="T22" s="24"/>
      <c r="U22" s="64" t="s">
        <v>222</v>
      </c>
      <c r="V22" s="56"/>
      <c r="W22" s="56"/>
      <c r="X22" s="56"/>
      <c r="Y22" s="56"/>
      <c r="Z22" s="56"/>
      <c r="AA22" s="56"/>
      <c r="AB22" s="56"/>
      <c r="AC22" s="56"/>
    </row>
    <row r="23" spans="1:29" ht="15.75" customHeight="1">
      <c r="A23" s="39" t="s">
        <v>66</v>
      </c>
      <c r="B23" s="40" t="s">
        <v>148</v>
      </c>
      <c r="C23" s="60"/>
      <c r="D23" s="62" t="s">
        <v>72</v>
      </c>
      <c r="E23" s="45" t="s">
        <v>75</v>
      </c>
      <c r="F23" s="60" t="s">
        <v>76</v>
      </c>
      <c r="G23" s="395"/>
      <c r="H23" s="64"/>
      <c r="I23" s="40" t="s">
        <v>134</v>
      </c>
      <c r="J23" s="40" t="s">
        <v>148</v>
      </c>
      <c r="K23" s="24" t="s">
        <v>226</v>
      </c>
      <c r="L23" s="64" t="s">
        <v>227</v>
      </c>
      <c r="M23" s="49" t="s">
        <v>61</v>
      </c>
      <c r="N23" s="47" t="s">
        <v>62</v>
      </c>
      <c r="O23" s="24"/>
      <c r="P23" s="408" t="s">
        <v>228</v>
      </c>
      <c r="Q23" s="64"/>
      <c r="R23" s="64"/>
      <c r="S23" s="24"/>
      <c r="T23" s="24"/>
      <c r="U23" s="64" t="s">
        <v>229</v>
      </c>
      <c r="V23" s="56"/>
      <c r="W23" s="56"/>
      <c r="X23" s="56"/>
      <c r="Y23" s="56"/>
      <c r="Z23" s="56"/>
      <c r="AA23" s="56"/>
      <c r="AB23" s="56"/>
      <c r="AC23" s="56"/>
    </row>
    <row r="24" spans="1:29" ht="15.75" customHeight="1">
      <c r="A24" s="39" t="s">
        <v>66</v>
      </c>
      <c r="B24" s="40" t="s">
        <v>148</v>
      </c>
      <c r="C24" s="60"/>
      <c r="D24" s="62" t="s">
        <v>72</v>
      </c>
      <c r="E24" s="45" t="s">
        <v>75</v>
      </c>
      <c r="F24" s="60" t="s">
        <v>76</v>
      </c>
      <c r="G24" s="395"/>
      <c r="H24" s="64"/>
      <c r="I24" s="40" t="s">
        <v>134</v>
      </c>
      <c r="J24" s="40" t="s">
        <v>148</v>
      </c>
      <c r="K24" s="24" t="s">
        <v>234</v>
      </c>
      <c r="L24" s="64" t="s">
        <v>235</v>
      </c>
      <c r="M24" s="49" t="s">
        <v>61</v>
      </c>
      <c r="N24" s="47" t="s">
        <v>62</v>
      </c>
      <c r="O24" s="24"/>
      <c r="P24" s="408" t="s">
        <v>237</v>
      </c>
      <c r="Q24" s="64"/>
      <c r="R24" s="64"/>
      <c r="S24" s="24"/>
      <c r="T24" s="24"/>
      <c r="U24" s="64"/>
      <c r="V24" s="56"/>
      <c r="W24" s="56"/>
      <c r="X24" s="56"/>
      <c r="Y24" s="56"/>
      <c r="Z24" s="56"/>
      <c r="AA24" s="56"/>
      <c r="AB24" s="56"/>
      <c r="AC24" s="56"/>
    </row>
    <row r="25" spans="1:29" ht="15.75" customHeight="1">
      <c r="A25" s="39" t="s">
        <v>66</v>
      </c>
      <c r="B25" s="40" t="s">
        <v>148</v>
      </c>
      <c r="C25" s="60"/>
      <c r="D25" s="62" t="s">
        <v>72</v>
      </c>
      <c r="E25" s="45" t="s">
        <v>75</v>
      </c>
      <c r="F25" s="60" t="s">
        <v>76</v>
      </c>
      <c r="G25" s="395"/>
      <c r="H25" s="64"/>
      <c r="I25" s="40" t="s">
        <v>134</v>
      </c>
      <c r="J25" s="40" t="s">
        <v>148</v>
      </c>
      <c r="K25" s="24" t="s">
        <v>239</v>
      </c>
      <c r="L25" s="64" t="s">
        <v>240</v>
      </c>
      <c r="M25" s="49" t="s">
        <v>61</v>
      </c>
      <c r="N25" s="47" t="s">
        <v>62</v>
      </c>
      <c r="O25" s="24"/>
      <c r="P25" s="408" t="s">
        <v>241</v>
      </c>
      <c r="Q25" s="64"/>
      <c r="R25" s="64"/>
      <c r="S25" s="24"/>
      <c r="T25" s="24"/>
      <c r="U25" s="64" t="s">
        <v>243</v>
      </c>
      <c r="V25" s="56"/>
      <c r="W25" s="56"/>
      <c r="X25" s="56"/>
      <c r="Y25" s="56"/>
      <c r="Z25" s="56"/>
      <c r="AA25" s="56"/>
      <c r="AB25" s="56"/>
      <c r="AC25" s="56"/>
    </row>
    <row r="26" spans="1:29" ht="15.75" customHeight="1">
      <c r="A26" s="39" t="s">
        <v>66</v>
      </c>
      <c r="B26" s="40" t="s">
        <v>148</v>
      </c>
      <c r="C26" s="60"/>
      <c r="D26" s="62" t="s">
        <v>72</v>
      </c>
      <c r="E26" s="45" t="s">
        <v>75</v>
      </c>
      <c r="F26" s="60" t="s">
        <v>76</v>
      </c>
      <c r="G26" s="395"/>
      <c r="H26" s="64"/>
      <c r="I26" s="40" t="s">
        <v>134</v>
      </c>
      <c r="J26" s="40" t="s">
        <v>148</v>
      </c>
      <c r="K26" s="24" t="s">
        <v>246</v>
      </c>
      <c r="L26" s="64" t="s">
        <v>247</v>
      </c>
      <c r="M26" s="49" t="s">
        <v>61</v>
      </c>
      <c r="N26" s="47" t="s">
        <v>62</v>
      </c>
      <c r="O26" s="24"/>
      <c r="P26" s="408" t="s">
        <v>248</v>
      </c>
      <c r="Q26" s="64"/>
      <c r="R26" s="64"/>
      <c r="S26" s="24"/>
      <c r="T26" s="24"/>
      <c r="U26" s="64" t="s">
        <v>250</v>
      </c>
      <c r="V26" s="56"/>
      <c r="W26" s="56"/>
      <c r="X26" s="56"/>
      <c r="Y26" s="56"/>
      <c r="Z26" s="56"/>
      <c r="AA26" s="56"/>
      <c r="AB26" s="56"/>
      <c r="AC26" s="56"/>
    </row>
    <row r="27" spans="1:29" ht="15.75" customHeight="1">
      <c r="A27" s="39" t="s">
        <v>66</v>
      </c>
      <c r="B27" s="40" t="s">
        <v>148</v>
      </c>
      <c r="C27" s="60"/>
      <c r="D27" s="62" t="s">
        <v>72</v>
      </c>
      <c r="E27" s="45" t="s">
        <v>75</v>
      </c>
      <c r="F27" s="60" t="s">
        <v>76</v>
      </c>
      <c r="G27" s="395"/>
      <c r="H27" s="64"/>
      <c r="I27" s="40" t="s">
        <v>134</v>
      </c>
      <c r="J27" s="40" t="s">
        <v>148</v>
      </c>
      <c r="K27" s="24" t="s">
        <v>253</v>
      </c>
      <c r="L27" s="64" t="s">
        <v>254</v>
      </c>
      <c r="M27" s="49" t="s">
        <v>61</v>
      </c>
      <c r="N27" s="24" t="s">
        <v>51</v>
      </c>
      <c r="O27" s="24"/>
      <c r="P27" s="408" t="s">
        <v>257</v>
      </c>
      <c r="Q27" s="64"/>
      <c r="R27" s="64"/>
      <c r="S27" s="24"/>
      <c r="T27" s="24"/>
      <c r="U27" s="64" t="s">
        <v>259</v>
      </c>
      <c r="V27" s="56"/>
      <c r="W27" s="56"/>
      <c r="X27" s="56"/>
      <c r="Y27" s="56"/>
      <c r="Z27" s="56"/>
      <c r="AA27" s="56"/>
      <c r="AB27" s="56"/>
      <c r="AC27" s="56"/>
    </row>
    <row r="28" spans="1:29" ht="15.75" customHeight="1">
      <c r="A28" s="39" t="s">
        <v>66</v>
      </c>
      <c r="B28" s="40" t="s">
        <v>148</v>
      </c>
      <c r="C28" s="60"/>
      <c r="D28" s="62" t="s">
        <v>72</v>
      </c>
      <c r="E28" s="45" t="s">
        <v>75</v>
      </c>
      <c r="F28" s="60" t="s">
        <v>76</v>
      </c>
      <c r="G28" s="395"/>
      <c r="H28" s="64"/>
      <c r="I28" s="40" t="s">
        <v>134</v>
      </c>
      <c r="J28" s="40" t="s">
        <v>148</v>
      </c>
      <c r="K28" s="24" t="s">
        <v>260</v>
      </c>
      <c r="L28" s="64" t="s">
        <v>262</v>
      </c>
      <c r="M28" s="49" t="s">
        <v>61</v>
      </c>
      <c r="N28" s="47" t="s">
        <v>62</v>
      </c>
      <c r="O28" s="24"/>
      <c r="P28" s="408" t="s">
        <v>263</v>
      </c>
      <c r="Q28" s="64"/>
      <c r="R28" s="64"/>
      <c r="S28" s="24"/>
      <c r="T28" s="24"/>
      <c r="U28" s="64"/>
      <c r="V28" s="56"/>
      <c r="W28" s="56"/>
      <c r="X28" s="56"/>
      <c r="Y28" s="56"/>
      <c r="Z28" s="56"/>
      <c r="AA28" s="56"/>
      <c r="AB28" s="56"/>
      <c r="AC28" s="56"/>
    </row>
    <row r="29" spans="1:29" ht="15.75" customHeight="1">
      <c r="A29" s="39" t="s">
        <v>66</v>
      </c>
      <c r="B29" s="40" t="s">
        <v>148</v>
      </c>
      <c r="C29" s="60"/>
      <c r="D29" s="62" t="s">
        <v>72</v>
      </c>
      <c r="E29" s="45" t="s">
        <v>75</v>
      </c>
      <c r="F29" s="60" t="s">
        <v>76</v>
      </c>
      <c r="G29" s="395"/>
      <c r="H29" s="64"/>
      <c r="I29" s="40" t="s">
        <v>134</v>
      </c>
      <c r="J29" s="40" t="s">
        <v>148</v>
      </c>
      <c r="K29" s="24" t="s">
        <v>268</v>
      </c>
      <c r="L29" s="64" t="s">
        <v>269</v>
      </c>
      <c r="M29" s="49" t="s">
        <v>61</v>
      </c>
      <c r="N29" s="24" t="s">
        <v>51</v>
      </c>
      <c r="O29" s="24"/>
      <c r="P29" s="408" t="s">
        <v>270</v>
      </c>
      <c r="Q29" s="64"/>
      <c r="R29" s="64"/>
      <c r="S29" s="24"/>
      <c r="T29" s="24"/>
      <c r="U29" s="64" t="s">
        <v>271</v>
      </c>
      <c r="V29" s="56"/>
      <c r="W29" s="56"/>
      <c r="X29" s="56"/>
      <c r="Y29" s="56"/>
      <c r="Z29" s="56"/>
      <c r="AA29" s="56"/>
      <c r="AB29" s="56"/>
      <c r="AC29" s="56"/>
    </row>
    <row r="30" spans="1:29" ht="15.75" customHeight="1">
      <c r="A30" s="39" t="s">
        <v>66</v>
      </c>
      <c r="B30" s="40" t="s">
        <v>148</v>
      </c>
      <c r="C30" s="60"/>
      <c r="D30" s="62" t="s">
        <v>72</v>
      </c>
      <c r="E30" s="45" t="s">
        <v>75</v>
      </c>
      <c r="F30" s="60" t="s">
        <v>76</v>
      </c>
      <c r="G30" s="395"/>
      <c r="H30" s="64"/>
      <c r="I30" s="40" t="s">
        <v>134</v>
      </c>
      <c r="J30" s="40" t="s">
        <v>148</v>
      </c>
      <c r="K30" s="24" t="s">
        <v>273</v>
      </c>
      <c r="L30" s="64" t="s">
        <v>274</v>
      </c>
      <c r="M30" s="49" t="s">
        <v>61</v>
      </c>
      <c r="N30" s="24" t="s">
        <v>51</v>
      </c>
      <c r="O30" s="24"/>
      <c r="P30" s="408" t="s">
        <v>275</v>
      </c>
      <c r="Q30" s="64"/>
      <c r="R30" s="64"/>
      <c r="S30" s="24"/>
      <c r="T30" s="24"/>
      <c r="U30" s="64"/>
      <c r="V30" s="56"/>
      <c r="W30" s="56"/>
      <c r="X30" s="56"/>
      <c r="Y30" s="56"/>
      <c r="Z30" s="56"/>
      <c r="AA30" s="56"/>
      <c r="AB30" s="56"/>
      <c r="AC30" s="56"/>
    </row>
    <row r="31" spans="1:29" ht="15.75" customHeight="1">
      <c r="A31" s="39" t="s">
        <v>66</v>
      </c>
      <c r="B31" s="40" t="s">
        <v>148</v>
      </c>
      <c r="C31" s="60"/>
      <c r="D31" s="62" t="s">
        <v>72</v>
      </c>
      <c r="E31" s="45" t="s">
        <v>75</v>
      </c>
      <c r="F31" s="60" t="s">
        <v>76</v>
      </c>
      <c r="G31" s="395"/>
      <c r="H31" s="64"/>
      <c r="I31" s="40" t="s">
        <v>134</v>
      </c>
      <c r="J31" s="40" t="s">
        <v>148</v>
      </c>
      <c r="K31" s="24" t="s">
        <v>278</v>
      </c>
      <c r="L31" s="64" t="s">
        <v>279</v>
      </c>
      <c r="M31" s="49" t="s">
        <v>61</v>
      </c>
      <c r="N31" s="47" t="s">
        <v>62</v>
      </c>
      <c r="O31" s="24"/>
      <c r="P31" s="408" t="s">
        <v>280</v>
      </c>
      <c r="Q31" s="64"/>
      <c r="R31" s="64"/>
      <c r="S31" s="24"/>
      <c r="T31" s="24"/>
      <c r="U31" s="64"/>
      <c r="V31" s="56"/>
      <c r="W31" s="56"/>
      <c r="X31" s="56"/>
      <c r="Y31" s="56"/>
      <c r="Z31" s="56"/>
      <c r="AA31" s="56"/>
      <c r="AB31" s="56"/>
      <c r="AC31" s="56"/>
    </row>
    <row r="32" spans="1:29" ht="15.75" customHeight="1">
      <c r="A32" s="39" t="s">
        <v>66</v>
      </c>
      <c r="B32" s="40" t="s">
        <v>148</v>
      </c>
      <c r="C32" s="60"/>
      <c r="D32" s="62" t="s">
        <v>72</v>
      </c>
      <c r="E32" s="45" t="s">
        <v>75</v>
      </c>
      <c r="F32" s="60" t="s">
        <v>76</v>
      </c>
      <c r="G32" s="395"/>
      <c r="H32" s="64"/>
      <c r="I32" s="40" t="s">
        <v>134</v>
      </c>
      <c r="J32" s="40" t="s">
        <v>148</v>
      </c>
      <c r="K32" s="24" t="s">
        <v>284</v>
      </c>
      <c r="L32" s="64" t="s">
        <v>285</v>
      </c>
      <c r="M32" s="49" t="s">
        <v>61</v>
      </c>
      <c r="N32" s="47" t="s">
        <v>62</v>
      </c>
      <c r="O32" s="24"/>
      <c r="P32" s="408" t="s">
        <v>286</v>
      </c>
      <c r="Q32" s="64"/>
      <c r="R32" s="64"/>
      <c r="S32" s="24"/>
      <c r="T32" s="24"/>
      <c r="U32" s="64"/>
      <c r="V32" s="56"/>
      <c r="W32" s="56"/>
      <c r="X32" s="56"/>
      <c r="Y32" s="56"/>
      <c r="Z32" s="56"/>
      <c r="AA32" s="56"/>
      <c r="AB32" s="56"/>
      <c r="AC32" s="56"/>
    </row>
    <row r="33" spans="1:29" ht="15.75" customHeight="1">
      <c r="A33" s="39" t="s">
        <v>66</v>
      </c>
      <c r="B33" s="40" t="s">
        <v>148</v>
      </c>
      <c r="C33" s="60"/>
      <c r="D33" s="62" t="s">
        <v>72</v>
      </c>
      <c r="E33" s="45" t="s">
        <v>75</v>
      </c>
      <c r="F33" s="60" t="s">
        <v>76</v>
      </c>
      <c r="G33" s="395"/>
      <c r="H33" s="64"/>
      <c r="I33" s="40" t="s">
        <v>134</v>
      </c>
      <c r="J33" s="40" t="s">
        <v>148</v>
      </c>
      <c r="K33" s="24" t="s">
        <v>287</v>
      </c>
      <c r="L33" s="64" t="s">
        <v>288</v>
      </c>
      <c r="M33" s="49" t="s">
        <v>61</v>
      </c>
      <c r="N33" s="24" t="s">
        <v>51</v>
      </c>
      <c r="O33" s="24"/>
      <c r="P33" s="408" t="s">
        <v>289</v>
      </c>
      <c r="Q33" s="64"/>
      <c r="R33" s="64"/>
      <c r="S33" s="24"/>
      <c r="T33" s="24"/>
      <c r="U33" s="64"/>
      <c r="V33" s="56"/>
      <c r="W33" s="56"/>
      <c r="X33" s="56"/>
      <c r="Y33" s="56"/>
      <c r="Z33" s="56"/>
      <c r="AA33" s="56"/>
      <c r="AB33" s="56"/>
      <c r="AC33" s="56"/>
    </row>
    <row r="34" spans="1:29" ht="15.75" customHeight="1">
      <c r="A34" s="39" t="s">
        <v>66</v>
      </c>
      <c r="B34" s="40" t="s">
        <v>148</v>
      </c>
      <c r="C34" s="60"/>
      <c r="D34" s="62" t="s">
        <v>72</v>
      </c>
      <c r="E34" s="45" t="s">
        <v>75</v>
      </c>
      <c r="F34" s="60" t="s">
        <v>76</v>
      </c>
      <c r="G34" s="395"/>
      <c r="H34" s="64"/>
      <c r="I34" s="40" t="s">
        <v>134</v>
      </c>
      <c r="J34" s="40" t="s">
        <v>148</v>
      </c>
      <c r="K34" s="24" t="s">
        <v>293</v>
      </c>
      <c r="L34" s="64" t="s">
        <v>294</v>
      </c>
      <c r="M34" s="49" t="s">
        <v>61</v>
      </c>
      <c r="N34" s="47" t="s">
        <v>62</v>
      </c>
      <c r="O34" s="24"/>
      <c r="P34" s="408" t="s">
        <v>295</v>
      </c>
      <c r="Q34" s="64"/>
      <c r="R34" s="64"/>
      <c r="S34" s="24"/>
      <c r="T34" s="24"/>
      <c r="U34" s="64" t="s">
        <v>296</v>
      </c>
      <c r="V34" s="56"/>
      <c r="W34" s="56"/>
      <c r="X34" s="56"/>
      <c r="Y34" s="56"/>
      <c r="Z34" s="56"/>
      <c r="AA34" s="56"/>
      <c r="AB34" s="56"/>
      <c r="AC34" s="56"/>
    </row>
    <row r="35" spans="1:29" ht="15.75" customHeight="1">
      <c r="A35" s="39" t="s">
        <v>66</v>
      </c>
      <c r="B35" s="40" t="s">
        <v>148</v>
      </c>
      <c r="C35" s="60"/>
      <c r="D35" s="62" t="s">
        <v>72</v>
      </c>
      <c r="E35" s="45" t="s">
        <v>75</v>
      </c>
      <c r="F35" s="60" t="s">
        <v>76</v>
      </c>
      <c r="G35" s="395"/>
      <c r="H35" s="64"/>
      <c r="I35" s="40" t="s">
        <v>134</v>
      </c>
      <c r="J35" s="40" t="s">
        <v>148</v>
      </c>
      <c r="K35" s="24" t="s">
        <v>299</v>
      </c>
      <c r="L35" s="64" t="s">
        <v>301</v>
      </c>
      <c r="M35" s="49" t="s">
        <v>61</v>
      </c>
      <c r="N35" s="47" t="s">
        <v>62</v>
      </c>
      <c r="O35" s="24"/>
      <c r="P35" s="408" t="s">
        <v>302</v>
      </c>
      <c r="Q35" s="64"/>
      <c r="R35" s="64"/>
      <c r="S35" s="24"/>
      <c r="T35" s="24"/>
      <c r="U35" s="64"/>
      <c r="V35" s="56"/>
      <c r="W35" s="56"/>
      <c r="X35" s="56"/>
      <c r="Y35" s="56"/>
      <c r="Z35" s="56"/>
      <c r="AA35" s="56"/>
      <c r="AB35" s="56"/>
      <c r="AC35" s="56"/>
    </row>
    <row r="36" spans="1:29" ht="15.75" customHeight="1">
      <c r="A36" s="39" t="s">
        <v>66</v>
      </c>
      <c r="B36" s="40" t="s">
        <v>148</v>
      </c>
      <c r="C36" s="60"/>
      <c r="D36" s="62" t="s">
        <v>72</v>
      </c>
      <c r="E36" s="45" t="s">
        <v>75</v>
      </c>
      <c r="F36" s="60" t="s">
        <v>76</v>
      </c>
      <c r="G36" s="395"/>
      <c r="H36" s="64"/>
      <c r="I36" s="40" t="s">
        <v>134</v>
      </c>
      <c r="J36" s="40" t="s">
        <v>148</v>
      </c>
      <c r="K36" s="24" t="s">
        <v>307</v>
      </c>
      <c r="L36" s="64" t="s">
        <v>308</v>
      </c>
      <c r="M36" s="49" t="s">
        <v>61</v>
      </c>
      <c r="N36" s="24" t="s">
        <v>51</v>
      </c>
      <c r="O36" s="24"/>
      <c r="P36" s="408" t="s">
        <v>309</v>
      </c>
      <c r="Q36" s="64"/>
      <c r="R36" s="64"/>
      <c r="S36" s="24"/>
      <c r="T36" s="24"/>
      <c r="U36" s="64" t="s">
        <v>310</v>
      </c>
      <c r="V36" s="56"/>
      <c r="W36" s="56"/>
      <c r="X36" s="56"/>
      <c r="Y36" s="56"/>
      <c r="Z36" s="56"/>
      <c r="AA36" s="56"/>
      <c r="AB36" s="56"/>
      <c r="AC36" s="56"/>
    </row>
    <row r="37" spans="1:29" ht="15.75" customHeight="1">
      <c r="A37" s="39" t="s">
        <v>66</v>
      </c>
      <c r="B37" s="40" t="s">
        <v>148</v>
      </c>
      <c r="C37" s="60"/>
      <c r="D37" s="62" t="s">
        <v>72</v>
      </c>
      <c r="E37" s="45" t="s">
        <v>75</v>
      </c>
      <c r="F37" s="60" t="s">
        <v>76</v>
      </c>
      <c r="G37" s="395"/>
      <c r="H37" s="64"/>
      <c r="I37" s="40" t="s">
        <v>134</v>
      </c>
      <c r="J37" s="40" t="s">
        <v>148</v>
      </c>
      <c r="K37" s="24" t="s">
        <v>315</v>
      </c>
      <c r="L37" s="64" t="s">
        <v>316</v>
      </c>
      <c r="M37" s="49" t="s">
        <v>61</v>
      </c>
      <c r="N37" s="47" t="s">
        <v>62</v>
      </c>
      <c r="O37" s="24"/>
      <c r="P37" s="408" t="s">
        <v>317</v>
      </c>
      <c r="Q37" s="64"/>
      <c r="R37" s="64"/>
      <c r="S37" s="24"/>
      <c r="T37" s="24"/>
      <c r="U37" s="64"/>
      <c r="V37" s="56"/>
      <c r="W37" s="56"/>
      <c r="X37" s="56"/>
      <c r="Y37" s="56"/>
      <c r="Z37" s="56"/>
      <c r="AA37" s="56"/>
      <c r="AB37" s="56"/>
      <c r="AC37" s="56"/>
    </row>
    <row r="38" spans="1:29" ht="15.75" customHeight="1">
      <c r="A38" s="39" t="s">
        <v>66</v>
      </c>
      <c r="B38" s="40" t="s">
        <v>148</v>
      </c>
      <c r="C38" s="60"/>
      <c r="D38" s="62" t="s">
        <v>72</v>
      </c>
      <c r="E38" s="45" t="s">
        <v>75</v>
      </c>
      <c r="F38" s="60" t="s">
        <v>76</v>
      </c>
      <c r="G38" s="395"/>
      <c r="H38" s="64"/>
      <c r="I38" s="40" t="s">
        <v>320</v>
      </c>
      <c r="J38" s="40" t="s">
        <v>148</v>
      </c>
      <c r="K38" s="24" t="s">
        <v>322</v>
      </c>
      <c r="L38" s="64" t="s">
        <v>323</v>
      </c>
      <c r="M38" s="49" t="s">
        <v>61</v>
      </c>
      <c r="N38" s="47" t="s">
        <v>62</v>
      </c>
      <c r="O38" s="24"/>
      <c r="P38" s="408" t="s">
        <v>325</v>
      </c>
      <c r="Q38" s="52" t="s">
        <v>64</v>
      </c>
      <c r="R38" s="64"/>
      <c r="S38" s="24"/>
      <c r="T38" s="24"/>
      <c r="U38" s="72" t="s">
        <v>326</v>
      </c>
      <c r="V38" s="56"/>
      <c r="W38" s="56"/>
      <c r="X38" s="56"/>
      <c r="Y38" s="56"/>
      <c r="Z38" s="56"/>
      <c r="AA38" s="56"/>
      <c r="AB38" s="56"/>
      <c r="AC38" s="56"/>
    </row>
    <row r="39" spans="1:29" ht="15.75" customHeight="1">
      <c r="A39" s="39" t="s">
        <v>66</v>
      </c>
      <c r="B39" s="40" t="s">
        <v>148</v>
      </c>
      <c r="C39" s="60"/>
      <c r="D39" s="62" t="s">
        <v>72</v>
      </c>
      <c r="E39" s="45" t="s">
        <v>75</v>
      </c>
      <c r="F39" s="60" t="s">
        <v>76</v>
      </c>
      <c r="G39" s="395"/>
      <c r="H39" s="64"/>
      <c r="I39" s="40" t="s">
        <v>320</v>
      </c>
      <c r="J39" s="40" t="s">
        <v>148</v>
      </c>
      <c r="K39" s="24" t="s">
        <v>332</v>
      </c>
      <c r="L39" s="64" t="s">
        <v>333</v>
      </c>
      <c r="M39" s="49" t="s">
        <v>61</v>
      </c>
      <c r="N39" s="24" t="s">
        <v>51</v>
      </c>
      <c r="O39" s="24"/>
      <c r="P39" s="408" t="s">
        <v>335</v>
      </c>
      <c r="Q39" s="52" t="s">
        <v>64</v>
      </c>
      <c r="R39" s="64"/>
      <c r="S39" s="24"/>
      <c r="T39" s="24"/>
      <c r="U39" s="64"/>
      <c r="V39" s="56"/>
      <c r="W39" s="56"/>
      <c r="X39" s="56"/>
      <c r="Y39" s="56"/>
      <c r="Z39" s="56"/>
      <c r="AA39" s="56"/>
      <c r="AB39" s="56"/>
      <c r="AC39" s="56"/>
    </row>
    <row r="40" spans="1:29" ht="15.75" customHeight="1">
      <c r="A40" s="39" t="s">
        <v>66</v>
      </c>
      <c r="B40" s="40" t="s">
        <v>148</v>
      </c>
      <c r="C40" s="60"/>
      <c r="D40" s="62" t="s">
        <v>72</v>
      </c>
      <c r="E40" s="45" t="s">
        <v>75</v>
      </c>
      <c r="F40" s="60" t="s">
        <v>76</v>
      </c>
      <c r="G40" s="395"/>
      <c r="H40" s="64"/>
      <c r="I40" s="40" t="s">
        <v>320</v>
      </c>
      <c r="J40" s="40" t="s">
        <v>148</v>
      </c>
      <c r="K40" s="24" t="s">
        <v>340</v>
      </c>
      <c r="L40" s="64" t="s">
        <v>341</v>
      </c>
      <c r="M40" s="49" t="s">
        <v>61</v>
      </c>
      <c r="N40" s="24" t="s">
        <v>51</v>
      </c>
      <c r="O40" s="24"/>
      <c r="P40" s="408" t="s">
        <v>342</v>
      </c>
      <c r="Q40" s="52" t="s">
        <v>64</v>
      </c>
      <c r="R40" s="64"/>
      <c r="S40" s="24"/>
      <c r="T40" s="24"/>
      <c r="U40" s="64"/>
      <c r="V40" s="56"/>
      <c r="W40" s="56"/>
      <c r="X40" s="56"/>
      <c r="Y40" s="56"/>
      <c r="Z40" s="56"/>
      <c r="AA40" s="56"/>
      <c r="AB40" s="56"/>
      <c r="AC40" s="56"/>
    </row>
    <row r="41" spans="1:29" ht="15.75" customHeight="1">
      <c r="A41" s="39" t="s">
        <v>66</v>
      </c>
      <c r="B41" s="40" t="s">
        <v>148</v>
      </c>
      <c r="C41" s="60"/>
      <c r="D41" s="62" t="s">
        <v>72</v>
      </c>
      <c r="E41" s="45" t="s">
        <v>75</v>
      </c>
      <c r="F41" s="60" t="s">
        <v>76</v>
      </c>
      <c r="G41" s="395"/>
      <c r="H41" s="64"/>
      <c r="I41" s="40" t="s">
        <v>320</v>
      </c>
      <c r="J41" s="40" t="s">
        <v>148</v>
      </c>
      <c r="K41" s="24" t="s">
        <v>348</v>
      </c>
      <c r="L41" s="64" t="s">
        <v>349</v>
      </c>
      <c r="M41" s="49" t="s">
        <v>61</v>
      </c>
      <c r="N41" s="47" t="s">
        <v>62</v>
      </c>
      <c r="O41" s="24"/>
      <c r="P41" s="408" t="s">
        <v>351</v>
      </c>
      <c r="Q41" s="52" t="s">
        <v>64</v>
      </c>
      <c r="R41" s="64"/>
      <c r="S41" s="24"/>
      <c r="T41" s="24"/>
      <c r="U41" s="64" t="s">
        <v>352</v>
      </c>
      <c r="V41" s="56"/>
      <c r="W41" s="56"/>
      <c r="X41" s="56"/>
      <c r="Y41" s="56"/>
      <c r="Z41" s="56"/>
      <c r="AA41" s="56"/>
      <c r="AB41" s="56"/>
      <c r="AC41" s="56"/>
    </row>
    <row r="42" spans="1:29" ht="15.75" customHeight="1">
      <c r="A42" s="39" t="s">
        <v>66</v>
      </c>
      <c r="B42" s="40" t="s">
        <v>148</v>
      </c>
      <c r="C42" s="60"/>
      <c r="D42" s="62" t="s">
        <v>72</v>
      </c>
      <c r="E42" s="45" t="s">
        <v>75</v>
      </c>
      <c r="F42" s="60" t="s">
        <v>76</v>
      </c>
      <c r="G42" s="395"/>
      <c r="H42" s="64"/>
      <c r="I42" s="40" t="s">
        <v>320</v>
      </c>
      <c r="J42" s="40" t="s">
        <v>148</v>
      </c>
      <c r="K42" s="24" t="s">
        <v>359</v>
      </c>
      <c r="L42" s="64" t="s">
        <v>360</v>
      </c>
      <c r="M42" s="49" t="s">
        <v>61</v>
      </c>
      <c r="N42" s="47" t="s">
        <v>62</v>
      </c>
      <c r="O42" s="24"/>
      <c r="P42" s="408" t="s">
        <v>362</v>
      </c>
      <c r="Q42" s="52" t="s">
        <v>64</v>
      </c>
      <c r="R42" s="64"/>
      <c r="S42" s="24"/>
      <c r="T42" s="24"/>
      <c r="U42" s="64" t="s">
        <v>368</v>
      </c>
      <c r="V42" s="56"/>
      <c r="W42" s="56"/>
      <c r="X42" s="56"/>
      <c r="Y42" s="56"/>
      <c r="Z42" s="56"/>
      <c r="AA42" s="56"/>
      <c r="AB42" s="56"/>
      <c r="AC42" s="56"/>
    </row>
    <row r="43" spans="1:29" ht="15.75" customHeight="1">
      <c r="A43" s="39" t="s">
        <v>66</v>
      </c>
      <c r="B43" s="40" t="s">
        <v>148</v>
      </c>
      <c r="C43" s="60"/>
      <c r="D43" s="62" t="s">
        <v>72</v>
      </c>
      <c r="E43" s="45" t="s">
        <v>75</v>
      </c>
      <c r="F43" s="60" t="s">
        <v>76</v>
      </c>
      <c r="G43" s="395"/>
      <c r="H43" s="64"/>
      <c r="I43" s="40" t="s">
        <v>320</v>
      </c>
      <c r="J43" s="40" t="s">
        <v>148</v>
      </c>
      <c r="K43" s="24" t="s">
        <v>374</v>
      </c>
      <c r="L43" s="64" t="s">
        <v>375</v>
      </c>
      <c r="M43" s="49" t="s">
        <v>61</v>
      </c>
      <c r="N43" s="47" t="s">
        <v>62</v>
      </c>
      <c r="O43" s="24"/>
      <c r="P43" s="408" t="s">
        <v>376</v>
      </c>
      <c r="Q43" s="52" t="s">
        <v>64</v>
      </c>
      <c r="R43" s="64"/>
      <c r="S43" s="24"/>
      <c r="T43" s="24"/>
      <c r="U43" s="64" t="s">
        <v>377</v>
      </c>
      <c r="V43" s="56"/>
      <c r="W43" s="56"/>
      <c r="X43" s="56"/>
      <c r="Y43" s="56"/>
      <c r="Z43" s="56"/>
      <c r="AA43" s="56"/>
      <c r="AB43" s="56"/>
      <c r="AC43" s="56"/>
    </row>
    <row r="44" spans="1:29" ht="15.75" customHeight="1">
      <c r="A44" s="39" t="s">
        <v>66</v>
      </c>
      <c r="B44" s="40" t="s">
        <v>148</v>
      </c>
      <c r="C44" s="60"/>
      <c r="D44" s="62" t="s">
        <v>72</v>
      </c>
      <c r="E44" s="45" t="s">
        <v>75</v>
      </c>
      <c r="F44" s="60" t="s">
        <v>76</v>
      </c>
      <c r="G44" s="395"/>
      <c r="H44" s="64"/>
      <c r="I44" s="40" t="s">
        <v>320</v>
      </c>
      <c r="J44" s="40" t="s">
        <v>148</v>
      </c>
      <c r="K44" s="24" t="s">
        <v>382</v>
      </c>
      <c r="L44" s="64" t="s">
        <v>383</v>
      </c>
      <c r="M44" s="49" t="s">
        <v>61</v>
      </c>
      <c r="N44" s="47" t="s">
        <v>62</v>
      </c>
      <c r="O44" s="24"/>
      <c r="P44" s="408" t="s">
        <v>384</v>
      </c>
      <c r="Q44" s="52" t="s">
        <v>64</v>
      </c>
      <c r="R44" s="64"/>
      <c r="S44" s="24"/>
      <c r="T44" s="24"/>
      <c r="U44" s="64" t="s">
        <v>385</v>
      </c>
      <c r="V44" s="56"/>
      <c r="W44" s="56"/>
      <c r="X44" s="56"/>
      <c r="Y44" s="56"/>
      <c r="Z44" s="56"/>
      <c r="AA44" s="56"/>
      <c r="AB44" s="56"/>
      <c r="AC44" s="56"/>
    </row>
    <row r="45" spans="1:29" ht="15.75" customHeight="1">
      <c r="A45" s="39" t="s">
        <v>66</v>
      </c>
      <c r="B45" s="40" t="s">
        <v>148</v>
      </c>
      <c r="C45" s="60"/>
      <c r="D45" s="62" t="s">
        <v>72</v>
      </c>
      <c r="E45" s="45" t="s">
        <v>75</v>
      </c>
      <c r="F45" s="60" t="s">
        <v>76</v>
      </c>
      <c r="G45" s="395"/>
      <c r="H45" s="64"/>
      <c r="I45" s="40" t="s">
        <v>320</v>
      </c>
      <c r="J45" s="40" t="s">
        <v>148</v>
      </c>
      <c r="K45" s="24" t="s">
        <v>389</v>
      </c>
      <c r="L45" s="64" t="s">
        <v>390</v>
      </c>
      <c r="M45" s="49" t="s">
        <v>61</v>
      </c>
      <c r="N45" s="24" t="s">
        <v>51</v>
      </c>
      <c r="O45" s="24"/>
      <c r="P45" s="408" t="s">
        <v>391</v>
      </c>
      <c r="Q45" s="52" t="s">
        <v>64</v>
      </c>
      <c r="R45" s="64"/>
      <c r="S45" s="24"/>
      <c r="T45" s="24"/>
      <c r="U45" s="64" t="s">
        <v>393</v>
      </c>
      <c r="V45" s="56"/>
      <c r="W45" s="56"/>
      <c r="X45" s="56"/>
      <c r="Y45" s="56"/>
      <c r="Z45" s="56"/>
      <c r="AA45" s="56"/>
      <c r="AB45" s="56"/>
      <c r="AC45" s="56"/>
    </row>
    <row r="46" spans="1:29" ht="15.75" customHeight="1">
      <c r="A46" s="39" t="s">
        <v>66</v>
      </c>
      <c r="B46" s="40" t="s">
        <v>148</v>
      </c>
      <c r="C46" s="60"/>
      <c r="D46" s="62" t="s">
        <v>72</v>
      </c>
      <c r="E46" s="45" t="s">
        <v>75</v>
      </c>
      <c r="F46" s="60" t="s">
        <v>76</v>
      </c>
      <c r="G46" s="395"/>
      <c r="H46" s="64"/>
      <c r="I46" s="40" t="s">
        <v>320</v>
      </c>
      <c r="J46" s="40" t="s">
        <v>148</v>
      </c>
      <c r="K46" s="24" t="s">
        <v>394</v>
      </c>
      <c r="L46" s="64" t="s">
        <v>395</v>
      </c>
      <c r="M46" s="49" t="s">
        <v>61</v>
      </c>
      <c r="N46" s="24" t="s">
        <v>51</v>
      </c>
      <c r="O46" s="24"/>
      <c r="P46" s="408" t="s">
        <v>396</v>
      </c>
      <c r="Q46" s="52" t="s">
        <v>64</v>
      </c>
      <c r="R46" s="64"/>
      <c r="S46" s="24"/>
      <c r="T46" s="24"/>
      <c r="U46" s="64"/>
      <c r="V46" s="56"/>
      <c r="W46" s="56"/>
      <c r="X46" s="56"/>
      <c r="Y46" s="56"/>
      <c r="Z46" s="56"/>
      <c r="AA46" s="56"/>
      <c r="AB46" s="56"/>
      <c r="AC46" s="56"/>
    </row>
    <row r="47" spans="1:29" ht="15.75" customHeight="1">
      <c r="A47" s="39" t="s">
        <v>66</v>
      </c>
      <c r="B47" s="40" t="s">
        <v>148</v>
      </c>
      <c r="C47" s="60"/>
      <c r="D47" s="62" t="s">
        <v>72</v>
      </c>
      <c r="E47" s="45" t="s">
        <v>75</v>
      </c>
      <c r="F47" s="60" t="s">
        <v>76</v>
      </c>
      <c r="G47" s="395"/>
      <c r="H47" s="64"/>
      <c r="I47" s="40" t="s">
        <v>320</v>
      </c>
      <c r="J47" s="40" t="s">
        <v>148</v>
      </c>
      <c r="K47" s="24" t="s">
        <v>399</v>
      </c>
      <c r="L47" s="64" t="s">
        <v>400</v>
      </c>
      <c r="M47" s="49" t="s">
        <v>61</v>
      </c>
      <c r="N47" s="24" t="s">
        <v>51</v>
      </c>
      <c r="O47" s="24"/>
      <c r="P47" s="408" t="s">
        <v>401</v>
      </c>
      <c r="Q47" s="52" t="s">
        <v>64</v>
      </c>
      <c r="R47" s="64"/>
      <c r="S47" s="24"/>
      <c r="T47" s="24"/>
      <c r="U47" s="72" t="s">
        <v>326</v>
      </c>
      <c r="V47" s="56"/>
      <c r="W47" s="56"/>
      <c r="X47" s="56"/>
      <c r="Y47" s="56"/>
      <c r="Z47" s="56"/>
      <c r="AA47" s="56"/>
      <c r="AB47" s="56"/>
      <c r="AC47" s="56"/>
    </row>
    <row r="48" spans="1:29" ht="15.75" customHeight="1">
      <c r="A48" s="39" t="s">
        <v>66</v>
      </c>
      <c r="B48" s="40" t="s">
        <v>148</v>
      </c>
      <c r="C48" s="60"/>
      <c r="D48" s="62" t="s">
        <v>72</v>
      </c>
      <c r="E48" s="45" t="s">
        <v>75</v>
      </c>
      <c r="F48" s="60" t="s">
        <v>76</v>
      </c>
      <c r="G48" s="395"/>
      <c r="H48" s="64"/>
      <c r="I48" s="40" t="s">
        <v>320</v>
      </c>
      <c r="J48" s="40" t="s">
        <v>148</v>
      </c>
      <c r="K48" s="24" t="s">
        <v>408</v>
      </c>
      <c r="L48" s="64" t="s">
        <v>409</v>
      </c>
      <c r="M48" s="49" t="s">
        <v>61</v>
      </c>
      <c r="N48" s="24" t="s">
        <v>51</v>
      </c>
      <c r="O48" s="24"/>
      <c r="P48" s="408" t="s">
        <v>410</v>
      </c>
      <c r="Q48" s="52" t="s">
        <v>64</v>
      </c>
      <c r="R48" s="64"/>
      <c r="S48" s="24"/>
      <c r="T48" s="24"/>
      <c r="U48" s="64"/>
      <c r="V48" s="56"/>
      <c r="W48" s="56"/>
      <c r="X48" s="56"/>
      <c r="Y48" s="56"/>
      <c r="Z48" s="56"/>
      <c r="AA48" s="56"/>
      <c r="AB48" s="56"/>
      <c r="AC48" s="56"/>
    </row>
    <row r="49" spans="1:29" ht="15.75" customHeight="1">
      <c r="A49" s="39" t="s">
        <v>66</v>
      </c>
      <c r="B49" s="40" t="s">
        <v>148</v>
      </c>
      <c r="C49" s="60"/>
      <c r="D49" s="62" t="s">
        <v>72</v>
      </c>
      <c r="E49" s="45" t="s">
        <v>75</v>
      </c>
      <c r="F49" s="60" t="s">
        <v>76</v>
      </c>
      <c r="G49" s="395"/>
      <c r="H49" s="64"/>
      <c r="I49" s="40" t="s">
        <v>320</v>
      </c>
      <c r="J49" s="40" t="s">
        <v>148</v>
      </c>
      <c r="K49" s="24" t="s">
        <v>423</v>
      </c>
      <c r="L49" s="64" t="s">
        <v>425</v>
      </c>
      <c r="M49" s="49" t="s">
        <v>61</v>
      </c>
      <c r="N49" s="24" t="s">
        <v>51</v>
      </c>
      <c r="O49" s="24"/>
      <c r="P49" s="408" t="s">
        <v>426</v>
      </c>
      <c r="Q49" s="52" t="s">
        <v>64</v>
      </c>
      <c r="R49" s="64"/>
      <c r="S49" s="24"/>
      <c r="T49" s="24"/>
      <c r="U49" s="72" t="s">
        <v>326</v>
      </c>
      <c r="V49" s="56"/>
      <c r="W49" s="56"/>
      <c r="X49" s="56"/>
      <c r="Y49" s="56"/>
      <c r="Z49" s="56"/>
      <c r="AA49" s="56"/>
      <c r="AB49" s="56"/>
      <c r="AC49" s="56"/>
    </row>
    <row r="50" spans="1:29" ht="15.75" customHeight="1">
      <c r="A50" s="39" t="s">
        <v>66</v>
      </c>
      <c r="B50" s="40" t="s">
        <v>148</v>
      </c>
      <c r="C50" s="60"/>
      <c r="D50" s="62" t="s">
        <v>72</v>
      </c>
      <c r="E50" s="45" t="s">
        <v>75</v>
      </c>
      <c r="F50" s="60" t="s">
        <v>76</v>
      </c>
      <c r="G50" s="395"/>
      <c r="H50" s="64"/>
      <c r="I50" s="40" t="s">
        <v>320</v>
      </c>
      <c r="J50" s="40" t="s">
        <v>148</v>
      </c>
      <c r="K50" s="24" t="s">
        <v>428</v>
      </c>
      <c r="L50" s="64" t="s">
        <v>429</v>
      </c>
      <c r="M50" s="49" t="s">
        <v>61</v>
      </c>
      <c r="N50" s="47" t="s">
        <v>62</v>
      </c>
      <c r="O50" s="24"/>
      <c r="P50" s="408" t="s">
        <v>430</v>
      </c>
      <c r="Q50" s="52" t="s">
        <v>64</v>
      </c>
      <c r="R50" s="64"/>
      <c r="S50" s="24"/>
      <c r="T50" s="24"/>
      <c r="U50" s="72" t="s">
        <v>326</v>
      </c>
      <c r="V50" s="56"/>
      <c r="W50" s="56"/>
      <c r="X50" s="56"/>
      <c r="Y50" s="56"/>
      <c r="Z50" s="56"/>
      <c r="AA50" s="56"/>
      <c r="AB50" s="56"/>
      <c r="AC50" s="56"/>
    </row>
    <row r="51" spans="1:29" ht="15.75" customHeight="1">
      <c r="A51" s="39" t="s">
        <v>66</v>
      </c>
      <c r="B51" s="40" t="s">
        <v>148</v>
      </c>
      <c r="C51" s="60"/>
      <c r="D51" s="62" t="s">
        <v>72</v>
      </c>
      <c r="E51" s="45" t="s">
        <v>75</v>
      </c>
      <c r="F51" s="60" t="s">
        <v>76</v>
      </c>
      <c r="G51" s="395"/>
      <c r="H51" s="64"/>
      <c r="I51" s="40" t="s">
        <v>320</v>
      </c>
      <c r="J51" s="40" t="s">
        <v>148</v>
      </c>
      <c r="K51" s="24" t="s">
        <v>434</v>
      </c>
      <c r="L51" s="64" t="s">
        <v>436</v>
      </c>
      <c r="M51" s="49" t="s">
        <v>61</v>
      </c>
      <c r="N51" s="24" t="s">
        <v>51</v>
      </c>
      <c r="O51" s="24"/>
      <c r="P51" s="408" t="s">
        <v>437</v>
      </c>
      <c r="Q51" s="52" t="s">
        <v>64</v>
      </c>
      <c r="R51" s="64"/>
      <c r="S51" s="24"/>
      <c r="T51" s="24"/>
      <c r="U51" s="64"/>
      <c r="V51" s="56"/>
      <c r="W51" s="56"/>
      <c r="X51" s="56"/>
      <c r="Y51" s="56"/>
      <c r="Z51" s="56"/>
      <c r="AA51" s="56"/>
      <c r="AB51" s="56"/>
      <c r="AC51" s="56"/>
    </row>
    <row r="52" spans="1:29" ht="15.75" customHeight="1">
      <c r="A52" s="39" t="s">
        <v>66</v>
      </c>
      <c r="B52" s="40" t="s">
        <v>148</v>
      </c>
      <c r="C52" s="60"/>
      <c r="D52" s="62" t="s">
        <v>72</v>
      </c>
      <c r="E52" s="45" t="s">
        <v>75</v>
      </c>
      <c r="F52" s="60" t="s">
        <v>76</v>
      </c>
      <c r="G52" s="395"/>
      <c r="H52" s="64"/>
      <c r="I52" s="40" t="s">
        <v>320</v>
      </c>
      <c r="J52" s="40" t="s">
        <v>148</v>
      </c>
      <c r="K52" s="24" t="s">
        <v>442</v>
      </c>
      <c r="L52" s="64" t="s">
        <v>443</v>
      </c>
      <c r="M52" s="49" t="s">
        <v>61</v>
      </c>
      <c r="N52" s="24" t="s">
        <v>51</v>
      </c>
      <c r="O52" s="24"/>
      <c r="P52" s="408" t="s">
        <v>444</v>
      </c>
      <c r="Q52" s="52" t="s">
        <v>64</v>
      </c>
      <c r="R52" s="64"/>
      <c r="S52" s="24"/>
      <c r="T52" s="24"/>
      <c r="U52" s="64"/>
      <c r="V52" s="56"/>
      <c r="W52" s="56"/>
      <c r="X52" s="56"/>
      <c r="Y52" s="56"/>
      <c r="Z52" s="56"/>
      <c r="AA52" s="56"/>
      <c r="AB52" s="56"/>
      <c r="AC52" s="56"/>
    </row>
    <row r="53" spans="1:29" ht="15.75" customHeight="1">
      <c r="A53" s="39" t="s">
        <v>66</v>
      </c>
      <c r="B53" s="40" t="s">
        <v>148</v>
      </c>
      <c r="C53" s="60"/>
      <c r="D53" s="62" t="s">
        <v>72</v>
      </c>
      <c r="E53" s="45" t="s">
        <v>75</v>
      </c>
      <c r="F53" s="60" t="s">
        <v>76</v>
      </c>
      <c r="G53" s="395"/>
      <c r="H53" s="64"/>
      <c r="I53" s="40" t="s">
        <v>320</v>
      </c>
      <c r="J53" s="40" t="s">
        <v>148</v>
      </c>
      <c r="K53" s="24" t="s">
        <v>204</v>
      </c>
      <c r="L53" s="64" t="s">
        <v>205</v>
      </c>
      <c r="M53" s="49" t="s">
        <v>61</v>
      </c>
      <c r="N53" s="24" t="s">
        <v>51</v>
      </c>
      <c r="O53" s="24"/>
      <c r="P53" s="408" t="s">
        <v>446</v>
      </c>
      <c r="Q53" s="52" t="s">
        <v>64</v>
      </c>
      <c r="R53" s="64"/>
      <c r="S53" s="24"/>
      <c r="T53" s="24"/>
      <c r="U53" s="64"/>
      <c r="V53" s="56"/>
      <c r="W53" s="56"/>
      <c r="X53" s="56"/>
      <c r="Y53" s="56"/>
      <c r="Z53" s="56"/>
      <c r="AA53" s="56"/>
      <c r="AB53" s="56"/>
      <c r="AC53" s="56"/>
    </row>
    <row r="54" spans="1:29" ht="15.75" customHeight="1">
      <c r="A54" s="39" t="s">
        <v>66</v>
      </c>
      <c r="B54" s="40" t="s">
        <v>148</v>
      </c>
      <c r="C54" s="60"/>
      <c r="D54" s="62" t="s">
        <v>72</v>
      </c>
      <c r="E54" s="45" t="s">
        <v>75</v>
      </c>
      <c r="F54" s="60" t="s">
        <v>76</v>
      </c>
      <c r="G54" s="395"/>
      <c r="H54" s="64"/>
      <c r="I54" s="40" t="s">
        <v>320</v>
      </c>
      <c r="J54" s="40" t="s">
        <v>148</v>
      </c>
      <c r="K54" s="24" t="s">
        <v>451</v>
      </c>
      <c r="L54" s="64" t="s">
        <v>452</v>
      </c>
      <c r="M54" s="49" t="s">
        <v>61</v>
      </c>
      <c r="N54" s="24" t="s">
        <v>51</v>
      </c>
      <c r="O54" s="24"/>
      <c r="P54" s="408" t="s">
        <v>453</v>
      </c>
      <c r="Q54" s="52" t="s">
        <v>64</v>
      </c>
      <c r="R54" s="64"/>
      <c r="S54" s="24"/>
      <c r="T54" s="24"/>
      <c r="U54" s="64" t="s">
        <v>296</v>
      </c>
      <c r="V54" s="56"/>
      <c r="W54" s="56"/>
      <c r="X54" s="56"/>
      <c r="Y54" s="56"/>
      <c r="Z54" s="56"/>
      <c r="AA54" s="56"/>
      <c r="AB54" s="56"/>
      <c r="AC54" s="56"/>
    </row>
    <row r="55" spans="1:29" ht="15.75" customHeight="1">
      <c r="A55" s="39" t="s">
        <v>66</v>
      </c>
      <c r="B55" s="40" t="s">
        <v>148</v>
      </c>
      <c r="C55" s="60"/>
      <c r="D55" s="62" t="s">
        <v>72</v>
      </c>
      <c r="E55" s="45" t="s">
        <v>75</v>
      </c>
      <c r="F55" s="60" t="s">
        <v>76</v>
      </c>
      <c r="G55" s="395"/>
      <c r="H55" s="64"/>
      <c r="I55" s="40" t="s">
        <v>320</v>
      </c>
      <c r="J55" s="40" t="s">
        <v>148</v>
      </c>
      <c r="K55" s="24" t="s">
        <v>461</v>
      </c>
      <c r="L55" s="64" t="s">
        <v>462</v>
      </c>
      <c r="M55" s="49" t="s">
        <v>61</v>
      </c>
      <c r="N55" s="24" t="s">
        <v>51</v>
      </c>
      <c r="O55" s="24"/>
      <c r="P55" s="408" t="s">
        <v>463</v>
      </c>
      <c r="Q55" s="52" t="s">
        <v>64</v>
      </c>
      <c r="R55" s="64"/>
      <c r="S55" s="24"/>
      <c r="T55" s="24"/>
      <c r="U55" s="64"/>
      <c r="V55" s="56"/>
      <c r="W55" s="56"/>
      <c r="X55" s="56"/>
      <c r="Y55" s="56"/>
      <c r="Z55" s="56"/>
      <c r="AA55" s="56"/>
      <c r="AB55" s="56"/>
      <c r="AC55" s="56"/>
    </row>
    <row r="56" spans="1:29" ht="15.75" customHeight="1">
      <c r="A56" s="39" t="s">
        <v>66</v>
      </c>
      <c r="B56" s="40" t="s">
        <v>148</v>
      </c>
      <c r="C56" s="60"/>
      <c r="D56" s="62" t="s">
        <v>72</v>
      </c>
      <c r="E56" s="45" t="s">
        <v>75</v>
      </c>
      <c r="F56" s="60" t="s">
        <v>76</v>
      </c>
      <c r="G56" s="395"/>
      <c r="H56" s="64"/>
      <c r="I56" s="40" t="s">
        <v>320</v>
      </c>
      <c r="J56" s="40" t="s">
        <v>148</v>
      </c>
      <c r="K56" s="24" t="s">
        <v>466</v>
      </c>
      <c r="L56" s="64" t="s">
        <v>467</v>
      </c>
      <c r="M56" s="49" t="s">
        <v>61</v>
      </c>
      <c r="N56" s="47" t="s">
        <v>62</v>
      </c>
      <c r="O56" s="24"/>
      <c r="P56" s="408" t="s">
        <v>468</v>
      </c>
      <c r="Q56" s="52" t="s">
        <v>64</v>
      </c>
      <c r="R56" s="64"/>
      <c r="S56" s="24"/>
      <c r="T56" s="24"/>
      <c r="U56" s="64"/>
      <c r="V56" s="56"/>
      <c r="W56" s="56"/>
      <c r="X56" s="56"/>
      <c r="Y56" s="56"/>
      <c r="Z56" s="56"/>
      <c r="AA56" s="56"/>
      <c r="AB56" s="56"/>
      <c r="AC56" s="56"/>
    </row>
    <row r="57" spans="1:29" ht="15.75" customHeight="1">
      <c r="A57" s="39" t="s">
        <v>66</v>
      </c>
      <c r="B57" s="40" t="s">
        <v>148</v>
      </c>
      <c r="C57" s="60"/>
      <c r="D57" s="62" t="s">
        <v>72</v>
      </c>
      <c r="E57" s="45" t="s">
        <v>75</v>
      </c>
      <c r="F57" s="60" t="s">
        <v>76</v>
      </c>
      <c r="G57" s="395"/>
      <c r="H57" s="64"/>
      <c r="I57" s="40" t="s">
        <v>320</v>
      </c>
      <c r="J57" s="40" t="s">
        <v>148</v>
      </c>
      <c r="K57" s="24" t="s">
        <v>473</v>
      </c>
      <c r="L57" s="64" t="s">
        <v>474</v>
      </c>
      <c r="M57" s="49" t="s">
        <v>61</v>
      </c>
      <c r="N57" s="47" t="s">
        <v>62</v>
      </c>
      <c r="O57" s="24"/>
      <c r="P57" s="408" t="s">
        <v>477</v>
      </c>
      <c r="Q57" s="52" t="s">
        <v>64</v>
      </c>
      <c r="R57" s="64"/>
      <c r="S57" s="24"/>
      <c r="T57" s="24"/>
      <c r="U57" s="72" t="s">
        <v>326</v>
      </c>
      <c r="V57" s="56"/>
      <c r="W57" s="56"/>
      <c r="X57" s="56"/>
      <c r="Y57" s="56"/>
      <c r="Z57" s="56"/>
      <c r="AA57" s="56"/>
      <c r="AB57" s="56"/>
      <c r="AC57" s="56"/>
    </row>
    <row r="58" spans="1:29" ht="15.75" customHeight="1">
      <c r="A58" s="39" t="s">
        <v>66</v>
      </c>
      <c r="B58" s="40" t="s">
        <v>148</v>
      </c>
      <c r="C58" s="60"/>
      <c r="D58" s="62" t="s">
        <v>72</v>
      </c>
      <c r="E58" s="45" t="s">
        <v>75</v>
      </c>
      <c r="F58" s="60" t="s">
        <v>76</v>
      </c>
      <c r="G58" s="395"/>
      <c r="H58" s="64"/>
      <c r="I58" s="40" t="s">
        <v>320</v>
      </c>
      <c r="J58" s="40" t="s">
        <v>148</v>
      </c>
      <c r="K58" s="24" t="s">
        <v>483</v>
      </c>
      <c r="L58" s="64" t="s">
        <v>484</v>
      </c>
      <c r="M58" s="49" t="s">
        <v>61</v>
      </c>
      <c r="N58" s="47" t="s">
        <v>62</v>
      </c>
      <c r="O58" s="24"/>
      <c r="P58" s="408" t="s">
        <v>485</v>
      </c>
      <c r="Q58" s="52" t="s">
        <v>64</v>
      </c>
      <c r="R58" s="64"/>
      <c r="S58" s="24"/>
      <c r="T58" s="24"/>
      <c r="U58" s="72" t="s">
        <v>326</v>
      </c>
      <c r="V58" s="56"/>
      <c r="W58" s="56"/>
      <c r="X58" s="56"/>
      <c r="Y58" s="56"/>
      <c r="Z58" s="56"/>
      <c r="AA58" s="56"/>
      <c r="AB58" s="56"/>
      <c r="AC58" s="56"/>
    </row>
    <row r="59" spans="1:29" ht="15.75" customHeight="1">
      <c r="A59" s="39" t="s">
        <v>66</v>
      </c>
      <c r="B59" s="40" t="s">
        <v>148</v>
      </c>
      <c r="C59" s="60"/>
      <c r="D59" s="62" t="s">
        <v>72</v>
      </c>
      <c r="E59" s="45" t="s">
        <v>75</v>
      </c>
      <c r="F59" s="60" t="s">
        <v>76</v>
      </c>
      <c r="G59" s="395"/>
      <c r="H59" s="64"/>
      <c r="I59" s="40" t="s">
        <v>320</v>
      </c>
      <c r="J59" s="40" t="s">
        <v>148</v>
      </c>
      <c r="K59" s="24" t="s">
        <v>489</v>
      </c>
      <c r="L59" s="64" t="s">
        <v>490</v>
      </c>
      <c r="M59" s="49" t="s">
        <v>61</v>
      </c>
      <c r="N59" s="47" t="s">
        <v>62</v>
      </c>
      <c r="O59" s="24"/>
      <c r="P59" s="408" t="s">
        <v>491</v>
      </c>
      <c r="Q59" s="52" t="s">
        <v>64</v>
      </c>
      <c r="R59" s="64"/>
      <c r="S59" s="24"/>
      <c r="T59" s="24"/>
      <c r="U59" s="64" t="s">
        <v>493</v>
      </c>
      <c r="V59" s="56"/>
      <c r="W59" s="56"/>
      <c r="X59" s="56"/>
      <c r="Y59" s="56"/>
      <c r="Z59" s="56"/>
      <c r="AA59" s="56"/>
      <c r="AB59" s="56"/>
      <c r="AC59" s="56"/>
    </row>
    <row r="60" spans="1:29" ht="15.75" customHeight="1">
      <c r="A60" s="39" t="s">
        <v>66</v>
      </c>
      <c r="B60" s="40" t="s">
        <v>148</v>
      </c>
      <c r="C60" s="60"/>
      <c r="D60" s="62" t="s">
        <v>72</v>
      </c>
      <c r="E60" s="45" t="s">
        <v>75</v>
      </c>
      <c r="F60" s="60" t="s">
        <v>76</v>
      </c>
      <c r="G60" s="395"/>
      <c r="H60" s="64"/>
      <c r="I60" s="40" t="s">
        <v>320</v>
      </c>
      <c r="J60" s="40" t="s">
        <v>148</v>
      </c>
      <c r="K60" s="24" t="s">
        <v>498</v>
      </c>
      <c r="L60" s="64" t="s">
        <v>500</v>
      </c>
      <c r="M60" s="49" t="s">
        <v>61</v>
      </c>
      <c r="N60" s="24" t="s">
        <v>51</v>
      </c>
      <c r="O60" s="24"/>
      <c r="P60" s="408" t="s">
        <v>501</v>
      </c>
      <c r="Q60" s="52" t="s">
        <v>64</v>
      </c>
      <c r="R60" s="64"/>
      <c r="S60" s="24"/>
      <c r="T60" s="24"/>
      <c r="U60" s="64" t="s">
        <v>502</v>
      </c>
      <c r="V60" s="56"/>
      <c r="W60" s="56"/>
      <c r="X60" s="56"/>
      <c r="Y60" s="56"/>
      <c r="Z60" s="56"/>
      <c r="AA60" s="56"/>
      <c r="AB60" s="56"/>
      <c r="AC60" s="56"/>
    </row>
    <row r="61" spans="1:29" ht="15.75" customHeight="1">
      <c r="A61" s="39" t="s">
        <v>66</v>
      </c>
      <c r="B61" s="40" t="s">
        <v>148</v>
      </c>
      <c r="C61" s="60"/>
      <c r="D61" s="62" t="s">
        <v>72</v>
      </c>
      <c r="E61" s="45" t="s">
        <v>75</v>
      </c>
      <c r="F61" s="60" t="s">
        <v>76</v>
      </c>
      <c r="G61" s="395"/>
      <c r="H61" s="64"/>
      <c r="I61" s="40" t="s">
        <v>320</v>
      </c>
      <c r="J61" s="40" t="s">
        <v>148</v>
      </c>
      <c r="K61" s="24" t="s">
        <v>505</v>
      </c>
      <c r="L61" s="64" t="s">
        <v>506</v>
      </c>
      <c r="M61" s="49" t="s">
        <v>61</v>
      </c>
      <c r="N61" s="24" t="s">
        <v>51</v>
      </c>
      <c r="O61" s="24"/>
      <c r="P61" s="408" t="s">
        <v>507</v>
      </c>
      <c r="Q61" s="52" t="s">
        <v>64</v>
      </c>
      <c r="R61" s="64"/>
      <c r="S61" s="24"/>
      <c r="T61" s="24"/>
      <c r="U61" s="64"/>
      <c r="V61" s="56"/>
      <c r="W61" s="56"/>
      <c r="X61" s="56"/>
      <c r="Y61" s="56"/>
      <c r="Z61" s="56"/>
      <c r="AA61" s="56"/>
      <c r="AB61" s="56"/>
      <c r="AC61" s="56"/>
    </row>
    <row r="62" spans="1:29" ht="15.75" customHeight="1">
      <c r="A62" s="39" t="s">
        <v>66</v>
      </c>
      <c r="B62" s="40" t="s">
        <v>148</v>
      </c>
      <c r="C62" s="60"/>
      <c r="D62" s="62" t="s">
        <v>72</v>
      </c>
      <c r="E62" s="45" t="s">
        <v>75</v>
      </c>
      <c r="F62" s="60" t="s">
        <v>76</v>
      </c>
      <c r="G62" s="395"/>
      <c r="H62" s="64"/>
      <c r="I62" s="40" t="s">
        <v>320</v>
      </c>
      <c r="J62" s="40" t="s">
        <v>148</v>
      </c>
      <c r="K62" s="24" t="s">
        <v>512</v>
      </c>
      <c r="L62" s="64" t="s">
        <v>513</v>
      </c>
      <c r="M62" s="49" t="s">
        <v>61</v>
      </c>
      <c r="N62" s="47" t="s">
        <v>62</v>
      </c>
      <c r="O62" s="24"/>
      <c r="P62" s="408" t="s">
        <v>514</v>
      </c>
      <c r="Q62" s="52" t="s">
        <v>64</v>
      </c>
      <c r="R62" s="64"/>
      <c r="S62" s="24"/>
      <c r="T62" s="24"/>
      <c r="U62" s="64"/>
      <c r="V62" s="56"/>
      <c r="W62" s="56"/>
      <c r="X62" s="56"/>
      <c r="Y62" s="56"/>
      <c r="Z62" s="56"/>
      <c r="AA62" s="56"/>
      <c r="AB62" s="56"/>
      <c r="AC62" s="56"/>
    </row>
    <row r="63" spans="1:29" ht="15.75" customHeight="1">
      <c r="A63" s="39" t="s">
        <v>66</v>
      </c>
      <c r="B63" s="40" t="s">
        <v>148</v>
      </c>
      <c r="C63" s="60"/>
      <c r="D63" s="62" t="s">
        <v>72</v>
      </c>
      <c r="E63" s="45" t="s">
        <v>75</v>
      </c>
      <c r="F63" s="60" t="s">
        <v>76</v>
      </c>
      <c r="G63" s="395"/>
      <c r="H63" s="64"/>
      <c r="I63" s="40" t="s">
        <v>320</v>
      </c>
      <c r="J63" s="40" t="s">
        <v>148</v>
      </c>
      <c r="K63" s="24" t="s">
        <v>516</v>
      </c>
      <c r="L63" s="64" t="s">
        <v>517</v>
      </c>
      <c r="M63" s="49" t="s">
        <v>61</v>
      </c>
      <c r="N63" s="47" t="s">
        <v>62</v>
      </c>
      <c r="O63" s="24"/>
      <c r="P63" s="408" t="s">
        <v>518</v>
      </c>
      <c r="Q63" s="52" t="s">
        <v>64</v>
      </c>
      <c r="R63" s="64"/>
      <c r="S63" s="24"/>
      <c r="T63" s="24"/>
      <c r="U63" s="64" t="s">
        <v>519</v>
      </c>
      <c r="V63" s="56"/>
      <c r="W63" s="56"/>
      <c r="X63" s="56"/>
      <c r="Y63" s="56"/>
      <c r="Z63" s="56"/>
      <c r="AA63" s="56"/>
      <c r="AB63" s="56"/>
      <c r="AC63" s="56"/>
    </row>
    <row r="64" spans="1:29" ht="15.75" customHeight="1">
      <c r="A64" s="39" t="s">
        <v>520</v>
      </c>
      <c r="B64" s="77" t="s">
        <v>521</v>
      </c>
      <c r="C64" s="24"/>
      <c r="D64" s="64" t="s">
        <v>522</v>
      </c>
      <c r="E64" s="64" t="s">
        <v>523</v>
      </c>
      <c r="F64" s="24" t="s">
        <v>524</v>
      </c>
      <c r="G64" s="396"/>
      <c r="H64" s="64"/>
      <c r="I64" s="40" t="s">
        <v>525</v>
      </c>
      <c r="J64" s="40" t="s">
        <v>521</v>
      </c>
      <c r="K64" s="24" t="s">
        <v>526</v>
      </c>
      <c r="L64" s="64" t="s">
        <v>527</v>
      </c>
      <c r="M64" s="49" t="s">
        <v>61</v>
      </c>
      <c r="N64" s="47" t="s">
        <v>62</v>
      </c>
      <c r="O64" s="24"/>
      <c r="P64" s="408" t="s">
        <v>529</v>
      </c>
      <c r="Q64" s="52" t="s">
        <v>64</v>
      </c>
      <c r="R64" s="64"/>
      <c r="S64" s="24"/>
      <c r="T64" s="24"/>
      <c r="U64" s="64" t="s">
        <v>531</v>
      </c>
      <c r="V64" s="56"/>
      <c r="W64" s="56"/>
      <c r="X64" s="56"/>
      <c r="Y64" s="56"/>
      <c r="Z64" s="56"/>
      <c r="AA64" s="56"/>
      <c r="AB64" s="56"/>
      <c r="AC64" s="56"/>
    </row>
    <row r="65" spans="1:29" ht="15.75" customHeight="1">
      <c r="A65" s="39" t="s">
        <v>520</v>
      </c>
      <c r="B65" s="77" t="s">
        <v>521</v>
      </c>
      <c r="C65" s="24"/>
      <c r="D65" s="64" t="s">
        <v>522</v>
      </c>
      <c r="E65" s="64" t="s">
        <v>523</v>
      </c>
      <c r="F65" s="24" t="s">
        <v>524</v>
      </c>
      <c r="G65" s="396"/>
      <c r="H65" s="64"/>
      <c r="I65" s="40" t="s">
        <v>525</v>
      </c>
      <c r="J65" s="40" t="s">
        <v>521</v>
      </c>
      <c r="K65" s="24" t="s">
        <v>533</v>
      </c>
      <c r="L65" s="64" t="s">
        <v>534</v>
      </c>
      <c r="M65" s="49" t="s">
        <v>61</v>
      </c>
      <c r="N65" s="24" t="s">
        <v>51</v>
      </c>
      <c r="O65" s="24"/>
      <c r="P65" s="408" t="s">
        <v>535</v>
      </c>
      <c r="Q65" s="52" t="s">
        <v>64</v>
      </c>
      <c r="R65" s="64"/>
      <c r="S65" s="24"/>
      <c r="T65" s="24"/>
      <c r="U65" s="64" t="s">
        <v>536</v>
      </c>
      <c r="V65" s="56"/>
      <c r="W65" s="56"/>
      <c r="X65" s="56"/>
      <c r="Y65" s="56"/>
      <c r="Z65" s="56"/>
      <c r="AA65" s="56"/>
      <c r="AB65" s="56"/>
      <c r="AC65" s="56"/>
    </row>
    <row r="66" spans="1:29" ht="15.75" customHeight="1">
      <c r="A66" s="39" t="s">
        <v>520</v>
      </c>
      <c r="B66" s="77" t="s">
        <v>521</v>
      </c>
      <c r="C66" s="24"/>
      <c r="D66" s="64" t="s">
        <v>522</v>
      </c>
      <c r="E66" s="64" t="s">
        <v>523</v>
      </c>
      <c r="F66" s="24" t="s">
        <v>524</v>
      </c>
      <c r="G66" s="396"/>
      <c r="H66" s="64"/>
      <c r="I66" s="40" t="s">
        <v>525</v>
      </c>
      <c r="J66" s="40" t="s">
        <v>521</v>
      </c>
      <c r="K66" s="24" t="s">
        <v>537</v>
      </c>
      <c r="L66" s="64" t="s">
        <v>538</v>
      </c>
      <c r="M66" s="49" t="s">
        <v>61</v>
      </c>
      <c r="N66" s="47" t="s">
        <v>62</v>
      </c>
      <c r="O66" s="24"/>
      <c r="P66" s="408" t="s">
        <v>539</v>
      </c>
      <c r="Q66" s="64"/>
      <c r="R66" s="64"/>
      <c r="S66" s="24"/>
      <c r="T66" s="24"/>
      <c r="U66" s="64" t="s">
        <v>540</v>
      </c>
      <c r="V66" s="56"/>
      <c r="W66" s="56"/>
      <c r="X66" s="56"/>
      <c r="Y66" s="56"/>
      <c r="Z66" s="56"/>
      <c r="AA66" s="56"/>
      <c r="AB66" s="56"/>
      <c r="AC66" s="56"/>
    </row>
    <row r="67" spans="1:29" ht="15.75" customHeight="1">
      <c r="A67" s="39" t="s">
        <v>520</v>
      </c>
      <c r="B67" s="77" t="s">
        <v>521</v>
      </c>
      <c r="C67" s="24"/>
      <c r="D67" s="64" t="s">
        <v>522</v>
      </c>
      <c r="E67" s="64" t="s">
        <v>523</v>
      </c>
      <c r="F67" s="24" t="s">
        <v>524</v>
      </c>
      <c r="G67" s="396"/>
      <c r="H67" s="64"/>
      <c r="I67" s="40" t="s">
        <v>525</v>
      </c>
      <c r="J67" s="40" t="s">
        <v>521</v>
      </c>
      <c r="K67" s="24" t="s">
        <v>545</v>
      </c>
      <c r="L67" s="64" t="s">
        <v>547</v>
      </c>
      <c r="M67" s="49" t="s">
        <v>61</v>
      </c>
      <c r="N67" s="47" t="s">
        <v>62</v>
      </c>
      <c r="O67" s="24"/>
      <c r="P67" s="408" t="s">
        <v>549</v>
      </c>
      <c r="Q67" s="64"/>
      <c r="R67" s="64"/>
      <c r="S67" s="24"/>
      <c r="T67" s="24"/>
      <c r="U67" s="64" t="s">
        <v>550</v>
      </c>
      <c r="V67" s="56"/>
      <c r="W67" s="56"/>
      <c r="X67" s="56"/>
      <c r="Y67" s="56"/>
      <c r="Z67" s="56"/>
      <c r="AA67" s="56"/>
      <c r="AB67" s="56"/>
      <c r="AC67" s="56"/>
    </row>
    <row r="68" spans="1:29" ht="15.75" customHeight="1">
      <c r="A68" s="39" t="s">
        <v>554</v>
      </c>
      <c r="B68" s="77" t="s">
        <v>521</v>
      </c>
      <c r="C68" s="24"/>
      <c r="D68" s="81" t="s">
        <v>555</v>
      </c>
      <c r="E68" s="64" t="s">
        <v>523</v>
      </c>
      <c r="F68" s="24" t="s">
        <v>557</v>
      </c>
      <c r="G68" s="397"/>
      <c r="H68" s="64"/>
      <c r="I68" s="40" t="s">
        <v>525</v>
      </c>
      <c r="J68" s="40" t="s">
        <v>521</v>
      </c>
      <c r="K68" s="24" t="s">
        <v>559</v>
      </c>
      <c r="L68" s="64" t="s">
        <v>560</v>
      </c>
      <c r="M68" s="49" t="s">
        <v>61</v>
      </c>
      <c r="N68" s="47" t="s">
        <v>62</v>
      </c>
      <c r="O68" s="24"/>
      <c r="P68" s="408" t="s">
        <v>561</v>
      </c>
      <c r="Q68" s="64"/>
      <c r="R68" s="64"/>
      <c r="S68" s="24"/>
      <c r="T68" s="24"/>
      <c r="U68" s="64"/>
      <c r="V68" s="56"/>
      <c r="W68" s="56"/>
      <c r="X68" s="56"/>
      <c r="Y68" s="56"/>
      <c r="Z68" s="56"/>
      <c r="AA68" s="56"/>
      <c r="AB68" s="56"/>
      <c r="AC68" s="56"/>
    </row>
    <row r="69" spans="1:29" ht="15.75" customHeight="1">
      <c r="A69" s="39" t="s">
        <v>554</v>
      </c>
      <c r="B69" s="77" t="s">
        <v>521</v>
      </c>
      <c r="C69" s="24"/>
      <c r="D69" s="81" t="s">
        <v>555</v>
      </c>
      <c r="E69" s="64" t="s">
        <v>366</v>
      </c>
      <c r="F69" s="24" t="s">
        <v>562</v>
      </c>
      <c r="G69" s="397"/>
      <c r="H69" s="64"/>
      <c r="I69" s="40" t="s">
        <v>525</v>
      </c>
      <c r="J69" s="40" t="s">
        <v>521</v>
      </c>
      <c r="K69" s="24" t="s">
        <v>563</v>
      </c>
      <c r="L69" s="81" t="s">
        <v>555</v>
      </c>
      <c r="M69" s="49" t="s">
        <v>61</v>
      </c>
      <c r="N69" s="24" t="s">
        <v>51</v>
      </c>
      <c r="O69" s="24"/>
      <c r="P69" s="408" t="s">
        <v>564</v>
      </c>
      <c r="Q69" s="64"/>
      <c r="R69" s="64"/>
      <c r="S69" s="24"/>
      <c r="T69" s="24"/>
      <c r="U69" s="64"/>
      <c r="V69" s="56"/>
      <c r="W69" s="56"/>
      <c r="X69" s="56"/>
      <c r="Y69" s="56"/>
      <c r="Z69" s="56"/>
      <c r="AA69" s="56"/>
      <c r="AB69" s="56"/>
      <c r="AC69" s="56"/>
    </row>
    <row r="70" spans="1:29" ht="15.75" customHeight="1">
      <c r="A70" s="39"/>
      <c r="B70" s="77" t="s">
        <v>521</v>
      </c>
      <c r="C70" s="24"/>
      <c r="D70" s="83" t="s">
        <v>565</v>
      </c>
      <c r="E70" s="64" t="s">
        <v>523</v>
      </c>
      <c r="F70" s="24" t="s">
        <v>567</v>
      </c>
      <c r="G70" s="398"/>
      <c r="H70" s="64"/>
      <c r="I70" s="40" t="s">
        <v>525</v>
      </c>
      <c r="J70" s="40" t="s">
        <v>521</v>
      </c>
      <c r="K70" s="24" t="s">
        <v>569</v>
      </c>
      <c r="L70" s="64" t="s">
        <v>570</v>
      </c>
      <c r="M70" s="49" t="s">
        <v>61</v>
      </c>
      <c r="N70" s="47" t="s">
        <v>62</v>
      </c>
      <c r="O70" s="24"/>
      <c r="P70" s="408" t="s">
        <v>571</v>
      </c>
      <c r="Q70" s="64"/>
      <c r="R70" s="64"/>
      <c r="S70" s="24"/>
      <c r="T70" s="24"/>
      <c r="U70" s="64"/>
      <c r="V70" s="56"/>
      <c r="W70" s="56"/>
      <c r="X70" s="56"/>
      <c r="Y70" s="56"/>
      <c r="Z70" s="56"/>
      <c r="AA70" s="56"/>
      <c r="AB70" s="56"/>
      <c r="AC70" s="56"/>
    </row>
    <row r="71" spans="1:29" ht="15.75" customHeight="1">
      <c r="A71" s="39"/>
      <c r="B71" s="77" t="s">
        <v>521</v>
      </c>
      <c r="C71" s="24"/>
      <c r="D71" s="83" t="s">
        <v>151</v>
      </c>
      <c r="E71" s="64" t="s">
        <v>523</v>
      </c>
      <c r="F71" s="24" t="s">
        <v>567</v>
      </c>
      <c r="G71" s="398"/>
      <c r="H71" s="64"/>
      <c r="I71" s="40" t="s">
        <v>525</v>
      </c>
      <c r="J71" s="40" t="s">
        <v>521</v>
      </c>
      <c r="K71" s="84" t="s">
        <v>576</v>
      </c>
      <c r="L71" s="64" t="s">
        <v>578</v>
      </c>
      <c r="M71" s="85" t="s">
        <v>579</v>
      </c>
      <c r="N71" s="24" t="s">
        <v>62</v>
      </c>
      <c r="O71" s="24"/>
      <c r="P71" s="408" t="s">
        <v>582</v>
      </c>
      <c r="Q71" s="64"/>
      <c r="R71" s="64"/>
      <c r="S71" s="24"/>
      <c r="T71" s="24"/>
      <c r="U71" s="64"/>
      <c r="V71" s="56"/>
      <c r="W71" s="56"/>
      <c r="X71" s="56"/>
      <c r="Y71" s="56"/>
      <c r="Z71" s="56"/>
      <c r="AA71" s="56"/>
      <c r="AB71" s="56"/>
      <c r="AC71" s="56"/>
    </row>
    <row r="72" spans="1:29" ht="15.75" customHeight="1">
      <c r="A72" s="39"/>
      <c r="B72" s="77" t="s">
        <v>521</v>
      </c>
      <c r="C72" s="24"/>
      <c r="D72" s="83" t="s">
        <v>565</v>
      </c>
      <c r="E72" s="64" t="s">
        <v>523</v>
      </c>
      <c r="F72" s="24" t="s">
        <v>585</v>
      </c>
      <c r="G72" s="398"/>
      <c r="H72" s="64"/>
      <c r="I72" s="40" t="s">
        <v>525</v>
      </c>
      <c r="J72" s="40" t="s">
        <v>521</v>
      </c>
      <c r="K72" s="24" t="s">
        <v>587</v>
      </c>
      <c r="L72" s="64" t="s">
        <v>588</v>
      </c>
      <c r="M72" s="85" t="s">
        <v>579</v>
      </c>
      <c r="N72" s="24" t="s">
        <v>62</v>
      </c>
      <c r="O72" s="24"/>
      <c r="P72" s="408" t="s">
        <v>589</v>
      </c>
      <c r="Q72" s="64"/>
      <c r="R72" s="64"/>
      <c r="S72" s="24"/>
      <c r="T72" s="24"/>
      <c r="U72" s="64"/>
      <c r="V72" s="56"/>
      <c r="W72" s="56"/>
      <c r="X72" s="56"/>
      <c r="Y72" s="56"/>
      <c r="Z72" s="56"/>
      <c r="AA72" s="56"/>
      <c r="AB72" s="56"/>
      <c r="AC72" s="56"/>
    </row>
    <row r="73" spans="1:29" ht="15.75" customHeight="1">
      <c r="A73" s="39" t="s">
        <v>45</v>
      </c>
      <c r="B73" s="77" t="s">
        <v>521</v>
      </c>
      <c r="C73" s="24"/>
      <c r="D73" s="64" t="s">
        <v>522</v>
      </c>
      <c r="E73" s="64" t="s">
        <v>523</v>
      </c>
      <c r="F73" s="24" t="s">
        <v>54</v>
      </c>
      <c r="G73" s="396"/>
      <c r="H73" s="64"/>
      <c r="I73" s="40" t="s">
        <v>525</v>
      </c>
      <c r="J73" s="40" t="s">
        <v>521</v>
      </c>
      <c r="K73" s="24" t="s">
        <v>591</v>
      </c>
      <c r="L73" s="64" t="s">
        <v>592</v>
      </c>
      <c r="M73" s="86" t="s">
        <v>593</v>
      </c>
      <c r="N73" s="24" t="s">
        <v>62</v>
      </c>
      <c r="O73" s="24"/>
      <c r="P73" s="409" t="s">
        <v>594</v>
      </c>
      <c r="Q73" s="64"/>
      <c r="R73" s="64"/>
      <c r="S73" s="24"/>
      <c r="T73" s="24"/>
      <c r="U73" s="64"/>
      <c r="V73" s="56"/>
      <c r="W73" s="56"/>
      <c r="X73" s="56"/>
      <c r="Y73" s="56"/>
      <c r="Z73" s="56"/>
      <c r="AA73" s="56"/>
      <c r="AB73" s="56"/>
      <c r="AC73" s="56"/>
    </row>
    <row r="74" spans="1:29" ht="15.75" customHeight="1">
      <c r="A74" s="39" t="s">
        <v>595</v>
      </c>
      <c r="B74" s="77" t="s">
        <v>521</v>
      </c>
      <c r="C74" s="24"/>
      <c r="D74" s="64" t="s">
        <v>522</v>
      </c>
      <c r="E74" s="64" t="s">
        <v>523</v>
      </c>
      <c r="F74" s="24" t="s">
        <v>54</v>
      </c>
      <c r="G74" s="396"/>
      <c r="H74" s="64"/>
      <c r="I74" s="40" t="s">
        <v>525</v>
      </c>
      <c r="J74" s="40" t="s">
        <v>521</v>
      </c>
      <c r="K74" s="24" t="s">
        <v>596</v>
      </c>
      <c r="L74" s="64" t="s">
        <v>597</v>
      </c>
      <c r="M74" s="86" t="s">
        <v>593</v>
      </c>
      <c r="N74" s="24" t="s">
        <v>62</v>
      </c>
      <c r="O74" s="24"/>
      <c r="P74" s="409" t="s">
        <v>599</v>
      </c>
      <c r="Q74" s="64"/>
      <c r="R74" s="64"/>
      <c r="S74" s="24"/>
      <c r="T74" s="24"/>
      <c r="U74" s="64"/>
      <c r="V74" s="56"/>
      <c r="W74" s="56"/>
      <c r="X74" s="56"/>
      <c r="Y74" s="56"/>
      <c r="Z74" s="56"/>
      <c r="AA74" s="56"/>
      <c r="AB74" s="56"/>
      <c r="AC74" s="56"/>
    </row>
    <row r="75" spans="1:29" ht="24.75" customHeight="1">
      <c r="A75" s="39"/>
      <c r="B75" s="77" t="s">
        <v>521</v>
      </c>
      <c r="C75" s="60"/>
      <c r="D75" s="45" t="s">
        <v>53</v>
      </c>
      <c r="E75" s="45" t="s">
        <v>53</v>
      </c>
      <c r="F75" s="60" t="s">
        <v>600</v>
      </c>
      <c r="G75" s="77"/>
      <c r="H75" s="45"/>
      <c r="I75" s="40" t="s">
        <v>525</v>
      </c>
      <c r="J75" s="40" t="s">
        <v>521</v>
      </c>
      <c r="K75" s="24" t="s">
        <v>601</v>
      </c>
      <c r="L75" s="45" t="s">
        <v>602</v>
      </c>
      <c r="M75" s="88" t="s">
        <v>603</v>
      </c>
      <c r="N75" s="47" t="s">
        <v>62</v>
      </c>
      <c r="O75" s="47"/>
      <c r="P75" s="409" t="s">
        <v>607</v>
      </c>
      <c r="Q75" s="52" t="s">
        <v>64</v>
      </c>
      <c r="R75" s="45"/>
      <c r="S75" s="47"/>
      <c r="T75" s="47"/>
      <c r="U75" s="89" t="s">
        <v>608</v>
      </c>
      <c r="V75" s="54"/>
      <c r="W75" s="54"/>
      <c r="X75" s="54"/>
      <c r="Y75" s="54"/>
      <c r="Z75" s="54"/>
      <c r="AA75" s="54"/>
      <c r="AB75" s="54"/>
      <c r="AC75" s="54"/>
    </row>
    <row r="76" spans="1:29" ht="24.75" customHeight="1">
      <c r="A76" s="39"/>
      <c r="B76" s="77" t="s">
        <v>521</v>
      </c>
      <c r="C76" s="60"/>
      <c r="D76" s="45" t="s">
        <v>53</v>
      </c>
      <c r="E76" s="45" t="s">
        <v>53</v>
      </c>
      <c r="F76" s="60" t="s">
        <v>600</v>
      </c>
      <c r="G76" s="77"/>
      <c r="H76" s="45"/>
      <c r="I76" s="40" t="s">
        <v>525</v>
      </c>
      <c r="J76" s="40" t="s">
        <v>521</v>
      </c>
      <c r="K76" s="89" t="s">
        <v>614</v>
      </c>
      <c r="L76" s="45" t="s">
        <v>615</v>
      </c>
      <c r="M76" s="90" t="s">
        <v>616</v>
      </c>
      <c r="N76" s="47" t="s">
        <v>62</v>
      </c>
      <c r="O76" s="47"/>
      <c r="P76" s="409" t="s">
        <v>620</v>
      </c>
      <c r="Q76" s="52" t="s">
        <v>64</v>
      </c>
      <c r="R76" s="45"/>
      <c r="S76" s="47"/>
      <c r="T76" s="47"/>
      <c r="U76" s="89" t="s">
        <v>621</v>
      </c>
      <c r="V76" s="54"/>
      <c r="W76" s="54"/>
      <c r="X76" s="54"/>
      <c r="Y76" s="54"/>
      <c r="Z76" s="54"/>
      <c r="AA76" s="54"/>
      <c r="AB76" s="54"/>
      <c r="AC76" s="54"/>
    </row>
    <row r="77" spans="1:29" ht="41.25" customHeight="1">
      <c r="A77" s="39" t="s">
        <v>622</v>
      </c>
      <c r="B77" s="40" t="s">
        <v>132</v>
      </c>
      <c r="C77" s="60"/>
      <c r="D77" s="45" t="s">
        <v>53</v>
      </c>
      <c r="E77" s="45" t="s">
        <v>53</v>
      </c>
      <c r="F77" s="60" t="s">
        <v>54</v>
      </c>
      <c r="G77" s="77"/>
      <c r="H77" s="45"/>
      <c r="I77" s="40" t="s">
        <v>525</v>
      </c>
      <c r="J77" s="40" t="s">
        <v>521</v>
      </c>
      <c r="K77" s="89" t="s">
        <v>623</v>
      </c>
      <c r="L77" s="45" t="s">
        <v>624</v>
      </c>
      <c r="M77" s="91" t="s">
        <v>625</v>
      </c>
      <c r="N77" s="47" t="s">
        <v>62</v>
      </c>
      <c r="O77" s="47"/>
      <c r="P77" s="409" t="s">
        <v>628</v>
      </c>
      <c r="Q77" s="52" t="s">
        <v>64</v>
      </c>
      <c r="R77" s="45"/>
      <c r="S77" s="47"/>
      <c r="T77" s="47"/>
      <c r="U77" s="92" t="s">
        <v>630</v>
      </c>
      <c r="V77" s="54"/>
      <c r="W77" s="54"/>
      <c r="X77" s="54"/>
      <c r="Y77" s="54"/>
      <c r="Z77" s="54"/>
      <c r="AA77" s="54"/>
      <c r="AB77" s="54"/>
      <c r="AC77" s="54"/>
    </row>
    <row r="78" spans="1:29" ht="15.75" customHeight="1">
      <c r="A78" s="39"/>
      <c r="B78" s="40" t="s">
        <v>148</v>
      </c>
      <c r="C78" s="24"/>
      <c r="D78" s="45" t="s">
        <v>53</v>
      </c>
      <c r="E78" s="45" t="s">
        <v>53</v>
      </c>
      <c r="F78" s="24" t="s">
        <v>631</v>
      </c>
      <c r="G78" s="77"/>
      <c r="H78" s="64"/>
      <c r="I78" s="40" t="s">
        <v>47</v>
      </c>
      <c r="J78" s="40" t="s">
        <v>148</v>
      </c>
      <c r="K78" s="24" t="s">
        <v>632</v>
      </c>
      <c r="L78" s="64" t="s">
        <v>633</v>
      </c>
      <c r="M78" s="49" t="s">
        <v>61</v>
      </c>
      <c r="N78" s="47" t="s">
        <v>62</v>
      </c>
      <c r="O78" s="24"/>
      <c r="P78" s="408" t="s">
        <v>634</v>
      </c>
      <c r="Q78" s="64"/>
      <c r="R78" s="64"/>
      <c r="S78" s="24"/>
      <c r="T78" s="24"/>
      <c r="U78" s="64"/>
      <c r="V78" s="56"/>
      <c r="W78" s="56"/>
      <c r="X78" s="56"/>
      <c r="Y78" s="56"/>
      <c r="Z78" s="56"/>
      <c r="AA78" s="56"/>
      <c r="AB78" s="56"/>
      <c r="AC78" s="56"/>
    </row>
    <row r="79" spans="1:29" ht="15.75" customHeight="1">
      <c r="A79" s="39"/>
      <c r="B79" s="40" t="s">
        <v>148</v>
      </c>
      <c r="C79" s="24"/>
      <c r="D79" s="45" t="s">
        <v>53</v>
      </c>
      <c r="E79" s="45" t="s">
        <v>53</v>
      </c>
      <c r="F79" s="24" t="s">
        <v>631</v>
      </c>
      <c r="G79" s="77"/>
      <c r="H79" s="64"/>
      <c r="I79" s="40" t="s">
        <v>47</v>
      </c>
      <c r="J79" s="40" t="s">
        <v>148</v>
      </c>
      <c r="K79" s="24" t="s">
        <v>635</v>
      </c>
      <c r="L79" s="64" t="s">
        <v>636</v>
      </c>
      <c r="M79" s="49" t="s">
        <v>61</v>
      </c>
      <c r="N79" s="24" t="s">
        <v>51</v>
      </c>
      <c r="O79" s="24"/>
      <c r="P79" s="408" t="s">
        <v>637</v>
      </c>
      <c r="Q79" s="64"/>
      <c r="R79" s="64"/>
      <c r="S79" s="24"/>
      <c r="T79" s="24"/>
      <c r="U79" s="64"/>
      <c r="V79" s="56"/>
      <c r="W79" s="56"/>
      <c r="X79" s="56"/>
      <c r="Y79" s="56"/>
      <c r="Z79" s="56"/>
      <c r="AA79" s="56"/>
      <c r="AB79" s="56"/>
      <c r="AC79" s="56"/>
    </row>
    <row r="80" spans="1:29" ht="15.75" customHeight="1">
      <c r="A80" s="39"/>
      <c r="B80" s="40" t="s">
        <v>148</v>
      </c>
      <c r="C80" s="24"/>
      <c r="D80" s="64" t="s">
        <v>151</v>
      </c>
      <c r="E80" s="64" t="s">
        <v>523</v>
      </c>
      <c r="F80" s="24" t="s">
        <v>638</v>
      </c>
      <c r="G80" s="396"/>
      <c r="H80" s="64"/>
      <c r="I80" s="40" t="s">
        <v>47</v>
      </c>
      <c r="J80" s="40" t="s">
        <v>148</v>
      </c>
      <c r="K80" s="24" t="s">
        <v>639</v>
      </c>
      <c r="L80" s="64" t="s">
        <v>640</v>
      </c>
      <c r="M80" s="93" t="s">
        <v>641</v>
      </c>
      <c r="N80" s="24" t="s">
        <v>62</v>
      </c>
      <c r="O80" s="24"/>
      <c r="P80" s="409" t="s">
        <v>642</v>
      </c>
      <c r="Q80" s="64"/>
      <c r="R80" s="64"/>
      <c r="S80" s="24"/>
      <c r="T80" s="24"/>
      <c r="U80" s="64"/>
      <c r="V80" s="56"/>
      <c r="W80" s="56"/>
      <c r="X80" s="56"/>
      <c r="Y80" s="56"/>
      <c r="Z80" s="56"/>
      <c r="AA80" s="56"/>
      <c r="AB80" s="56"/>
      <c r="AC80" s="56"/>
    </row>
    <row r="81" spans="1:29" ht="15.75" customHeight="1">
      <c r="A81" s="39"/>
      <c r="B81" s="40" t="s">
        <v>148</v>
      </c>
      <c r="C81" s="24"/>
      <c r="D81" s="64" t="s">
        <v>643</v>
      </c>
      <c r="E81" s="64" t="s">
        <v>523</v>
      </c>
      <c r="F81" s="24" t="s">
        <v>638</v>
      </c>
      <c r="G81" s="396"/>
      <c r="H81" s="64"/>
      <c r="I81" s="40" t="s">
        <v>47</v>
      </c>
      <c r="J81" s="40" t="s">
        <v>148</v>
      </c>
      <c r="K81" s="24" t="s">
        <v>644</v>
      </c>
      <c r="L81" s="64" t="s">
        <v>645</v>
      </c>
      <c r="M81" s="93" t="s">
        <v>641</v>
      </c>
      <c r="N81" s="24" t="s">
        <v>51</v>
      </c>
      <c r="O81" s="24"/>
      <c r="P81" s="409" t="s">
        <v>646</v>
      </c>
      <c r="Q81" s="64"/>
      <c r="R81" s="64"/>
      <c r="S81" s="24"/>
      <c r="T81" s="24"/>
      <c r="U81" s="64"/>
      <c r="V81" s="56"/>
      <c r="W81" s="56"/>
      <c r="X81" s="56"/>
      <c r="Y81" s="56"/>
      <c r="Z81" s="56"/>
      <c r="AA81" s="56"/>
      <c r="AB81" s="56"/>
      <c r="AC81" s="56"/>
    </row>
    <row r="82" spans="1:29" ht="15.75" customHeight="1">
      <c r="A82" s="39"/>
      <c r="B82" s="40" t="s">
        <v>148</v>
      </c>
      <c r="C82" s="24"/>
      <c r="D82" s="64" t="s">
        <v>643</v>
      </c>
      <c r="E82" s="64" t="s">
        <v>523</v>
      </c>
      <c r="F82" s="24" t="s">
        <v>638</v>
      </c>
      <c r="G82" s="396"/>
      <c r="H82" s="64"/>
      <c r="I82" s="40" t="s">
        <v>47</v>
      </c>
      <c r="J82" s="40" t="s">
        <v>148</v>
      </c>
      <c r="K82" s="39" t="s">
        <v>644</v>
      </c>
      <c r="L82" s="76" t="s">
        <v>645</v>
      </c>
      <c r="M82" s="94" t="s">
        <v>647</v>
      </c>
      <c r="N82" s="47" t="s">
        <v>51</v>
      </c>
      <c r="O82" s="24"/>
      <c r="P82" s="409" t="s">
        <v>648</v>
      </c>
      <c r="Q82" s="64"/>
      <c r="R82" s="64"/>
      <c r="S82" s="24"/>
      <c r="T82" s="24"/>
      <c r="U82" s="64"/>
      <c r="V82" s="56"/>
      <c r="W82" s="56"/>
      <c r="X82" s="56"/>
      <c r="Y82" s="56"/>
      <c r="Z82" s="56"/>
      <c r="AA82" s="56"/>
      <c r="AB82" s="56"/>
      <c r="AC82" s="56"/>
    </row>
    <row r="83" spans="1:29" ht="15.75" customHeight="1">
      <c r="A83" s="39"/>
      <c r="B83" s="40" t="s">
        <v>148</v>
      </c>
      <c r="C83" s="24"/>
      <c r="D83" s="64" t="s">
        <v>649</v>
      </c>
      <c r="E83" s="64" t="s">
        <v>523</v>
      </c>
      <c r="F83" s="24" t="s">
        <v>650</v>
      </c>
      <c r="G83" s="396"/>
      <c r="H83" s="64"/>
      <c r="I83" s="40" t="s">
        <v>47</v>
      </c>
      <c r="J83" s="40" t="s">
        <v>148</v>
      </c>
      <c r="K83" s="24" t="s">
        <v>651</v>
      </c>
      <c r="L83" s="64" t="s">
        <v>652</v>
      </c>
      <c r="M83" s="90" t="s">
        <v>616</v>
      </c>
      <c r="N83" s="47" t="s">
        <v>62</v>
      </c>
      <c r="O83" s="24"/>
      <c r="P83" s="409" t="s">
        <v>653</v>
      </c>
      <c r="Q83" s="64"/>
      <c r="R83" s="64"/>
      <c r="S83" s="24"/>
      <c r="T83" s="24"/>
      <c r="U83" s="95" t="s">
        <v>654</v>
      </c>
      <c r="V83" s="56"/>
      <c r="W83" s="56"/>
      <c r="X83" s="56"/>
      <c r="Y83" s="56"/>
      <c r="Z83" s="56"/>
      <c r="AA83" s="56"/>
      <c r="AB83" s="56"/>
      <c r="AC83" s="56"/>
    </row>
    <row r="84" spans="1:29" ht="15.75" customHeight="1">
      <c r="A84" s="39"/>
      <c r="B84" s="40" t="s">
        <v>655</v>
      </c>
      <c r="C84" s="24"/>
      <c r="D84" s="64" t="s">
        <v>543</v>
      </c>
      <c r="E84" s="64" t="s">
        <v>523</v>
      </c>
      <c r="F84" s="24" t="s">
        <v>638</v>
      </c>
      <c r="G84" s="396"/>
      <c r="H84" s="64"/>
      <c r="I84" s="40" t="s">
        <v>132</v>
      </c>
      <c r="J84" s="40" t="s">
        <v>655</v>
      </c>
      <c r="K84" s="24" t="s">
        <v>656</v>
      </c>
      <c r="L84" s="64" t="s">
        <v>657</v>
      </c>
      <c r="M84" s="49" t="s">
        <v>61</v>
      </c>
      <c r="N84" s="24" t="s">
        <v>51</v>
      </c>
      <c r="O84" s="24"/>
      <c r="P84" s="408" t="s">
        <v>658</v>
      </c>
      <c r="Q84" s="64"/>
      <c r="R84" s="64"/>
      <c r="S84" s="24"/>
      <c r="T84" s="24"/>
      <c r="U84" s="64" t="s">
        <v>659</v>
      </c>
      <c r="V84" s="56"/>
      <c r="W84" s="56"/>
      <c r="X84" s="56"/>
      <c r="Y84" s="56"/>
      <c r="Z84" s="56"/>
      <c r="AA84" s="56"/>
      <c r="AB84" s="56"/>
      <c r="AC84" s="56"/>
    </row>
    <row r="85" spans="1:29" ht="15.75" customHeight="1">
      <c r="A85" s="39"/>
      <c r="B85" s="40" t="s">
        <v>655</v>
      </c>
      <c r="C85" s="24"/>
      <c r="D85" s="64" t="s">
        <v>543</v>
      </c>
      <c r="E85" s="64" t="s">
        <v>523</v>
      </c>
      <c r="F85" s="24" t="s">
        <v>638</v>
      </c>
      <c r="G85" s="396"/>
      <c r="H85" s="64"/>
      <c r="I85" s="40" t="s">
        <v>132</v>
      </c>
      <c r="J85" s="40" t="s">
        <v>655</v>
      </c>
      <c r="K85" s="24" t="s">
        <v>660</v>
      </c>
      <c r="L85" s="64" t="s">
        <v>661</v>
      </c>
      <c r="M85" s="49" t="s">
        <v>61</v>
      </c>
      <c r="N85" s="24" t="s">
        <v>51</v>
      </c>
      <c r="O85" s="24"/>
      <c r="P85" s="408" t="s">
        <v>662</v>
      </c>
      <c r="Q85" s="64"/>
      <c r="R85" s="64"/>
      <c r="S85" s="24"/>
      <c r="T85" s="24"/>
      <c r="U85" s="64" t="s">
        <v>663</v>
      </c>
      <c r="V85" s="56"/>
      <c r="W85" s="56"/>
      <c r="X85" s="56"/>
      <c r="Y85" s="56"/>
      <c r="Z85" s="56"/>
      <c r="AA85" s="56"/>
      <c r="AB85" s="56"/>
      <c r="AC85" s="56"/>
    </row>
    <row r="86" spans="1:29" ht="15.75" customHeight="1">
      <c r="A86" s="39" t="s">
        <v>664</v>
      </c>
      <c r="B86" s="40" t="s">
        <v>655</v>
      </c>
      <c r="C86" s="24"/>
      <c r="D86" s="64" t="s">
        <v>665</v>
      </c>
      <c r="E86" s="64" t="s">
        <v>523</v>
      </c>
      <c r="F86" s="24" t="s">
        <v>524</v>
      </c>
      <c r="G86" s="396"/>
      <c r="H86" s="64"/>
      <c r="I86" s="40" t="s">
        <v>132</v>
      </c>
      <c r="J86" s="40" t="s">
        <v>655</v>
      </c>
      <c r="K86" s="24" t="s">
        <v>666</v>
      </c>
      <c r="L86" s="64" t="s">
        <v>667</v>
      </c>
      <c r="M86" s="49" t="s">
        <v>61</v>
      </c>
      <c r="N86" s="47" t="s">
        <v>62</v>
      </c>
      <c r="O86" s="24"/>
      <c r="P86" s="408" t="s">
        <v>668</v>
      </c>
      <c r="Q86" s="64"/>
      <c r="R86" s="64"/>
      <c r="S86" s="24"/>
      <c r="T86" s="24"/>
      <c r="U86" s="64"/>
      <c r="V86" s="56"/>
      <c r="W86" s="56"/>
      <c r="X86" s="56"/>
      <c r="Y86" s="56"/>
      <c r="Z86" s="56"/>
      <c r="AA86" s="56"/>
      <c r="AB86" s="56"/>
      <c r="AC86" s="56"/>
    </row>
    <row r="87" spans="1:29" ht="15.75" customHeight="1">
      <c r="A87" s="39" t="s">
        <v>664</v>
      </c>
      <c r="B87" s="40" t="s">
        <v>655</v>
      </c>
      <c r="C87" s="24"/>
      <c r="D87" s="64" t="s">
        <v>665</v>
      </c>
      <c r="E87" s="64" t="s">
        <v>523</v>
      </c>
      <c r="F87" s="24" t="s">
        <v>524</v>
      </c>
      <c r="G87" s="396"/>
      <c r="H87" s="64"/>
      <c r="I87" s="40" t="s">
        <v>132</v>
      </c>
      <c r="J87" s="40" t="s">
        <v>655</v>
      </c>
      <c r="K87" s="24" t="s">
        <v>669</v>
      </c>
      <c r="L87" s="64" t="s">
        <v>670</v>
      </c>
      <c r="M87" s="49" t="s">
        <v>61</v>
      </c>
      <c r="N87" s="47" t="s">
        <v>62</v>
      </c>
      <c r="O87" s="24"/>
      <c r="P87" s="408" t="s">
        <v>671</v>
      </c>
      <c r="Q87" s="64"/>
      <c r="R87" s="64"/>
      <c r="S87" s="24"/>
      <c r="T87" s="24"/>
      <c r="U87" s="64"/>
      <c r="V87" s="56"/>
      <c r="W87" s="56"/>
      <c r="X87" s="56"/>
      <c r="Y87" s="56"/>
      <c r="Z87" s="56"/>
      <c r="AA87" s="56"/>
      <c r="AB87" s="56"/>
      <c r="AC87" s="56"/>
    </row>
    <row r="88" spans="1:29" ht="15.75" customHeight="1">
      <c r="A88" s="39" t="s">
        <v>672</v>
      </c>
      <c r="B88" s="40" t="s">
        <v>673</v>
      </c>
      <c r="C88" s="24"/>
      <c r="D88" s="83" t="s">
        <v>543</v>
      </c>
      <c r="E88" s="64" t="s">
        <v>53</v>
      </c>
      <c r="F88" s="24" t="s">
        <v>638</v>
      </c>
      <c r="G88" s="399">
        <f>IFERROR(VLOOKUP(A88,醫療院所DATABASE!A:B,2,""),)</f>
        <v>0</v>
      </c>
      <c r="H88" s="64"/>
      <c r="I88" s="40" t="s">
        <v>674</v>
      </c>
      <c r="J88" s="40" t="s">
        <v>673</v>
      </c>
      <c r="K88" s="24" t="s">
        <v>675</v>
      </c>
      <c r="L88" s="96" t="s">
        <v>676</v>
      </c>
      <c r="M88" s="49" t="s">
        <v>61</v>
      </c>
      <c r="N88" s="47" t="s">
        <v>62</v>
      </c>
      <c r="O88" s="24"/>
      <c r="P88" s="408" t="s">
        <v>677</v>
      </c>
      <c r="Q88" s="64"/>
      <c r="R88" s="64"/>
      <c r="S88" s="24"/>
      <c r="T88" s="24"/>
      <c r="U88" s="64"/>
      <c r="V88" s="56"/>
      <c r="W88" s="56"/>
      <c r="X88" s="56"/>
      <c r="Y88" s="56"/>
      <c r="Z88" s="56"/>
      <c r="AA88" s="56"/>
      <c r="AB88" s="56"/>
      <c r="AC88" s="56"/>
    </row>
    <row r="89" spans="1:29" ht="15.75" customHeight="1">
      <c r="A89" s="39" t="s">
        <v>678</v>
      </c>
      <c r="B89" s="40" t="s">
        <v>673</v>
      </c>
      <c r="C89" s="60"/>
      <c r="D89" s="62" t="s">
        <v>679</v>
      </c>
      <c r="E89" s="64" t="s">
        <v>53</v>
      </c>
      <c r="F89" s="60" t="s">
        <v>76</v>
      </c>
      <c r="G89" s="399">
        <f>IFERROR(VLOOKUP(A89,醫療院所DATABASE!A:B,2,""),)</f>
        <v>0</v>
      </c>
      <c r="H89" s="64"/>
      <c r="I89" s="40" t="s">
        <v>674</v>
      </c>
      <c r="J89" s="40" t="s">
        <v>673</v>
      </c>
      <c r="K89" s="97" t="s">
        <v>680</v>
      </c>
      <c r="L89" s="64" t="s">
        <v>681</v>
      </c>
      <c r="M89" s="49" t="s">
        <v>61</v>
      </c>
      <c r="N89" s="47" t="s">
        <v>62</v>
      </c>
      <c r="O89" s="24"/>
      <c r="P89" s="408" t="s">
        <v>682</v>
      </c>
      <c r="Q89" s="64"/>
      <c r="R89" s="64"/>
      <c r="S89" s="24"/>
      <c r="T89" s="24"/>
      <c r="U89" s="64"/>
      <c r="V89" s="56"/>
      <c r="W89" s="56"/>
      <c r="X89" s="56"/>
      <c r="Y89" s="56"/>
      <c r="Z89" s="56"/>
      <c r="AA89" s="56"/>
      <c r="AB89" s="56"/>
      <c r="AC89" s="56"/>
    </row>
    <row r="90" spans="1:29" ht="15.75" customHeight="1">
      <c r="A90" s="39" t="s">
        <v>678</v>
      </c>
      <c r="B90" s="40" t="s">
        <v>673</v>
      </c>
      <c r="C90" s="60"/>
      <c r="D90" s="62" t="s">
        <v>679</v>
      </c>
      <c r="E90" s="64" t="s">
        <v>53</v>
      </c>
      <c r="F90" s="60" t="s">
        <v>76</v>
      </c>
      <c r="G90" s="399">
        <f>IFERROR(VLOOKUP(A90,醫療院所DATABASE!A:B,2,""),)</f>
        <v>0</v>
      </c>
      <c r="H90" s="64"/>
      <c r="I90" s="40" t="s">
        <v>674</v>
      </c>
      <c r="J90" s="40" t="s">
        <v>673</v>
      </c>
      <c r="K90" s="24" t="s">
        <v>683</v>
      </c>
      <c r="L90" s="64" t="s">
        <v>684</v>
      </c>
      <c r="M90" s="49" t="s">
        <v>61</v>
      </c>
      <c r="N90" s="47" t="s">
        <v>62</v>
      </c>
      <c r="O90" s="24"/>
      <c r="P90" s="408" t="s">
        <v>685</v>
      </c>
      <c r="Q90" s="64"/>
      <c r="R90" s="64"/>
      <c r="S90" s="24"/>
      <c r="T90" s="24"/>
      <c r="U90" s="64"/>
      <c r="V90" s="56"/>
      <c r="W90" s="56"/>
      <c r="X90" s="56"/>
      <c r="Y90" s="56"/>
      <c r="Z90" s="56"/>
      <c r="AA90" s="56"/>
      <c r="AB90" s="56"/>
      <c r="AC90" s="56"/>
    </row>
    <row r="91" spans="1:29" ht="15.75" customHeight="1">
      <c r="A91" s="39" t="s">
        <v>678</v>
      </c>
      <c r="B91" s="40" t="s">
        <v>673</v>
      </c>
      <c r="C91" s="60"/>
      <c r="D91" s="62" t="s">
        <v>679</v>
      </c>
      <c r="E91" s="64" t="s">
        <v>53</v>
      </c>
      <c r="F91" s="60" t="s">
        <v>76</v>
      </c>
      <c r="G91" s="399">
        <f>IFERROR(VLOOKUP(A91,醫療院所DATABASE!A:B,2,""),)</f>
        <v>0</v>
      </c>
      <c r="H91" s="64"/>
      <c r="I91" s="40" t="s">
        <v>674</v>
      </c>
      <c r="J91" s="40" t="s">
        <v>673</v>
      </c>
      <c r="K91" s="24" t="s">
        <v>686</v>
      </c>
      <c r="L91" s="64" t="s">
        <v>687</v>
      </c>
      <c r="M91" s="49" t="s">
        <v>61</v>
      </c>
      <c r="N91" s="24" t="s">
        <v>51</v>
      </c>
      <c r="O91" s="24"/>
      <c r="P91" s="408" t="s">
        <v>688</v>
      </c>
      <c r="Q91" s="64"/>
      <c r="R91" s="64"/>
      <c r="S91" s="24"/>
      <c r="T91" s="24"/>
      <c r="U91" s="64"/>
      <c r="V91" s="56"/>
      <c r="W91" s="56"/>
      <c r="X91" s="56"/>
      <c r="Y91" s="56"/>
      <c r="Z91" s="56"/>
      <c r="AA91" s="56"/>
      <c r="AB91" s="56"/>
      <c r="AC91" s="56"/>
    </row>
    <row r="92" spans="1:29" ht="15.75" customHeight="1">
      <c r="A92" s="39" t="s">
        <v>678</v>
      </c>
      <c r="B92" s="40" t="s">
        <v>673</v>
      </c>
      <c r="C92" s="60"/>
      <c r="D92" s="62" t="s">
        <v>679</v>
      </c>
      <c r="E92" s="64" t="s">
        <v>53</v>
      </c>
      <c r="F92" s="60" t="s">
        <v>76</v>
      </c>
      <c r="G92" s="399">
        <f>IFERROR(VLOOKUP(A92,醫療院所DATABASE!A:B,2,""),)</f>
        <v>0</v>
      </c>
      <c r="H92" s="64"/>
      <c r="I92" s="40" t="s">
        <v>674</v>
      </c>
      <c r="J92" s="40" t="s">
        <v>673</v>
      </c>
      <c r="K92" s="24" t="s">
        <v>330</v>
      </c>
      <c r="L92" s="64" t="s">
        <v>331</v>
      </c>
      <c r="M92" s="49" t="s">
        <v>61</v>
      </c>
      <c r="N92" s="47" t="s">
        <v>62</v>
      </c>
      <c r="O92" s="24"/>
      <c r="P92" s="408" t="s">
        <v>689</v>
      </c>
      <c r="Q92" s="64"/>
      <c r="R92" s="64"/>
      <c r="S92" s="24"/>
      <c r="T92" s="24"/>
      <c r="U92" s="64"/>
      <c r="V92" s="56"/>
      <c r="W92" s="56"/>
      <c r="X92" s="56"/>
      <c r="Y92" s="56"/>
      <c r="Z92" s="56"/>
      <c r="AA92" s="56"/>
      <c r="AB92" s="56"/>
      <c r="AC92" s="56"/>
    </row>
    <row r="93" spans="1:29" ht="15.75" customHeight="1">
      <c r="A93" s="39" t="s">
        <v>678</v>
      </c>
      <c r="B93" s="40" t="s">
        <v>673</v>
      </c>
      <c r="C93" s="60"/>
      <c r="D93" s="62" t="s">
        <v>679</v>
      </c>
      <c r="E93" s="64" t="s">
        <v>53</v>
      </c>
      <c r="F93" s="60" t="s">
        <v>76</v>
      </c>
      <c r="G93" s="399">
        <f>IFERROR(VLOOKUP(A93,醫療院所DATABASE!A:B,2,""),)</f>
        <v>0</v>
      </c>
      <c r="H93" s="64"/>
      <c r="I93" s="40" t="s">
        <v>674</v>
      </c>
      <c r="J93" s="40" t="s">
        <v>673</v>
      </c>
      <c r="K93" s="24" t="s">
        <v>690</v>
      </c>
      <c r="L93" s="64" t="s">
        <v>691</v>
      </c>
      <c r="M93" s="49" t="s">
        <v>61</v>
      </c>
      <c r="N93" s="47" t="s">
        <v>62</v>
      </c>
      <c r="O93" s="24"/>
      <c r="P93" s="408" t="s">
        <v>692</v>
      </c>
      <c r="Q93" s="64"/>
      <c r="R93" s="64"/>
      <c r="S93" s="24"/>
      <c r="T93" s="24"/>
      <c r="U93" s="64"/>
      <c r="V93" s="56"/>
      <c r="W93" s="56"/>
      <c r="X93" s="56"/>
      <c r="Y93" s="56"/>
      <c r="Z93" s="56"/>
      <c r="AA93" s="56"/>
      <c r="AB93" s="56"/>
      <c r="AC93" s="56"/>
    </row>
    <row r="94" spans="1:29" ht="15.75" customHeight="1">
      <c r="A94" s="39" t="s">
        <v>678</v>
      </c>
      <c r="B94" s="40" t="s">
        <v>673</v>
      </c>
      <c r="C94" s="60"/>
      <c r="D94" s="62" t="s">
        <v>679</v>
      </c>
      <c r="E94" s="64" t="s">
        <v>53</v>
      </c>
      <c r="F94" s="60" t="s">
        <v>76</v>
      </c>
      <c r="G94" s="399">
        <f>IFERROR(VLOOKUP(A94,醫療院所DATABASE!A:B,2,""),)</f>
        <v>0</v>
      </c>
      <c r="H94" s="64"/>
      <c r="I94" s="40" t="s">
        <v>674</v>
      </c>
      <c r="J94" s="40" t="s">
        <v>673</v>
      </c>
      <c r="K94" s="24" t="s">
        <v>693</v>
      </c>
      <c r="L94" s="64" t="s">
        <v>694</v>
      </c>
      <c r="M94" s="49" t="s">
        <v>61</v>
      </c>
      <c r="N94" s="24" t="s">
        <v>51</v>
      </c>
      <c r="O94" s="24"/>
      <c r="P94" s="408" t="s">
        <v>695</v>
      </c>
      <c r="Q94" s="64"/>
      <c r="R94" s="64"/>
      <c r="S94" s="24"/>
      <c r="T94" s="24"/>
      <c r="U94" s="64"/>
      <c r="V94" s="56"/>
      <c r="W94" s="56"/>
      <c r="X94" s="56"/>
      <c r="Y94" s="56"/>
      <c r="Z94" s="56"/>
      <c r="AA94" s="56"/>
      <c r="AB94" s="56"/>
      <c r="AC94" s="56"/>
    </row>
    <row r="95" spans="1:29" ht="15.75" customHeight="1">
      <c r="A95" s="39" t="s">
        <v>696</v>
      </c>
      <c r="B95" s="40" t="s">
        <v>148</v>
      </c>
      <c r="C95" s="24"/>
      <c r="D95" s="45" t="s">
        <v>75</v>
      </c>
      <c r="E95" s="45" t="s">
        <v>75</v>
      </c>
      <c r="F95" s="24" t="s">
        <v>697</v>
      </c>
      <c r="G95" s="399">
        <f>IFERROR(VLOOKUP(A95,醫療院所DATABASE!A:B,2,""),)</f>
        <v>0</v>
      </c>
      <c r="H95" s="64"/>
      <c r="I95" s="40" t="s">
        <v>674</v>
      </c>
      <c r="J95" s="40" t="s">
        <v>148</v>
      </c>
      <c r="K95" s="24" t="s">
        <v>698</v>
      </c>
      <c r="L95" s="64" t="s">
        <v>699</v>
      </c>
      <c r="M95" s="90" t="s">
        <v>616</v>
      </c>
      <c r="N95" s="47" t="s">
        <v>62</v>
      </c>
      <c r="O95" s="24"/>
      <c r="P95" s="408" t="s">
        <v>700</v>
      </c>
      <c r="Q95" s="64"/>
      <c r="R95" s="64"/>
      <c r="S95" s="24"/>
      <c r="T95" s="24"/>
      <c r="U95" s="64"/>
      <c r="V95" s="56"/>
      <c r="W95" s="56"/>
      <c r="X95" s="56"/>
      <c r="Y95" s="56"/>
      <c r="Z95" s="56"/>
      <c r="AA95" s="56"/>
      <c r="AB95" s="56"/>
      <c r="AC95" s="56"/>
    </row>
    <row r="96" spans="1:29" ht="15.75" customHeight="1">
      <c r="A96" s="39" t="s">
        <v>701</v>
      </c>
      <c r="B96" s="40" t="s">
        <v>702</v>
      </c>
      <c r="C96" s="24"/>
      <c r="D96" s="64" t="s">
        <v>522</v>
      </c>
      <c r="E96" s="45" t="s">
        <v>75</v>
      </c>
      <c r="F96" s="24" t="s">
        <v>524</v>
      </c>
      <c r="G96" s="399">
        <f>IFERROR(VLOOKUP(A96,醫療院所DATABASE!A:B,2,""),)</f>
        <v>0</v>
      </c>
      <c r="H96" s="64"/>
      <c r="I96" s="40" t="s">
        <v>521</v>
      </c>
      <c r="J96" s="40" t="s">
        <v>702</v>
      </c>
      <c r="K96" s="24" t="s">
        <v>703</v>
      </c>
      <c r="L96" s="64" t="s">
        <v>704</v>
      </c>
      <c r="M96" s="49" t="s">
        <v>61</v>
      </c>
      <c r="N96" s="47" t="s">
        <v>62</v>
      </c>
      <c r="O96" s="24"/>
      <c r="P96" s="408" t="s">
        <v>705</v>
      </c>
      <c r="Q96" s="64"/>
      <c r="R96" s="64"/>
      <c r="S96" s="24"/>
      <c r="T96" s="24"/>
      <c r="U96" s="64"/>
      <c r="V96" s="56"/>
      <c r="W96" s="56"/>
      <c r="X96" s="56"/>
      <c r="Y96" s="56"/>
      <c r="Z96" s="56"/>
      <c r="AA96" s="56"/>
      <c r="AB96" s="56"/>
      <c r="AC96" s="56"/>
    </row>
    <row r="97" spans="1:29" ht="15.75" customHeight="1">
      <c r="A97" s="39" t="s">
        <v>701</v>
      </c>
      <c r="B97" s="40" t="s">
        <v>702</v>
      </c>
      <c r="C97" s="24"/>
      <c r="D97" s="64" t="s">
        <v>522</v>
      </c>
      <c r="E97" s="45" t="s">
        <v>75</v>
      </c>
      <c r="F97" s="24" t="s">
        <v>524</v>
      </c>
      <c r="G97" s="399">
        <f>IFERROR(VLOOKUP(A97,醫療院所DATABASE!A:B,2,""),)</f>
        <v>0</v>
      </c>
      <c r="H97" s="64"/>
      <c r="I97" s="40" t="s">
        <v>521</v>
      </c>
      <c r="J97" s="40" t="s">
        <v>702</v>
      </c>
      <c r="K97" s="24" t="s">
        <v>706</v>
      </c>
      <c r="L97" s="64" t="s">
        <v>707</v>
      </c>
      <c r="M97" s="49" t="s">
        <v>61</v>
      </c>
      <c r="N97" s="47" t="s">
        <v>62</v>
      </c>
      <c r="O97" s="24"/>
      <c r="P97" s="408" t="s">
        <v>708</v>
      </c>
      <c r="Q97" s="64"/>
      <c r="R97" s="64"/>
      <c r="S97" s="24"/>
      <c r="T97" s="24"/>
      <c r="U97" s="64"/>
      <c r="V97" s="56"/>
      <c r="W97" s="56"/>
      <c r="X97" s="56"/>
      <c r="Y97" s="56"/>
      <c r="Z97" s="56"/>
      <c r="AA97" s="56"/>
      <c r="AB97" s="56"/>
      <c r="AC97" s="56"/>
    </row>
    <row r="98" spans="1:29" ht="15.75" customHeight="1">
      <c r="A98" s="39" t="s">
        <v>701</v>
      </c>
      <c r="B98" s="40" t="s">
        <v>702</v>
      </c>
      <c r="C98" s="24"/>
      <c r="D98" s="64" t="s">
        <v>522</v>
      </c>
      <c r="E98" s="64" t="s">
        <v>523</v>
      </c>
      <c r="F98" s="24" t="s">
        <v>524</v>
      </c>
      <c r="G98" s="399">
        <f>IFERROR(VLOOKUP(A98,醫療院所DATABASE!A:B,2,""),)</f>
        <v>0</v>
      </c>
      <c r="H98" s="64"/>
      <c r="I98" s="40" t="s">
        <v>521</v>
      </c>
      <c r="J98" s="40" t="s">
        <v>702</v>
      </c>
      <c r="K98" s="24" t="s">
        <v>709</v>
      </c>
      <c r="L98" s="64" t="s">
        <v>710</v>
      </c>
      <c r="M98" s="49" t="s">
        <v>61</v>
      </c>
      <c r="N98" s="47" t="s">
        <v>62</v>
      </c>
      <c r="O98" s="24"/>
      <c r="P98" s="408" t="s">
        <v>711</v>
      </c>
      <c r="Q98" s="64"/>
      <c r="R98" s="64"/>
      <c r="S98" s="24"/>
      <c r="T98" s="24"/>
      <c r="U98" s="64"/>
      <c r="V98" s="56"/>
      <c r="W98" s="56"/>
      <c r="X98" s="56"/>
      <c r="Y98" s="56"/>
      <c r="Z98" s="56"/>
      <c r="AA98" s="56"/>
      <c r="AB98" s="56"/>
      <c r="AC98" s="56"/>
    </row>
    <row r="99" spans="1:29" ht="15.75" customHeight="1">
      <c r="A99" s="39" t="s">
        <v>520</v>
      </c>
      <c r="B99" s="40" t="s">
        <v>702</v>
      </c>
      <c r="C99" s="24"/>
      <c r="D99" s="64" t="s">
        <v>522</v>
      </c>
      <c r="E99" s="64" t="s">
        <v>523</v>
      </c>
      <c r="F99" s="24" t="s">
        <v>524</v>
      </c>
      <c r="G99" s="399">
        <f>IFERROR(VLOOKUP(A99,醫療院所DATABASE!A:B,2,""),)</f>
        <v>0</v>
      </c>
      <c r="H99" s="64"/>
      <c r="I99" s="40" t="s">
        <v>521</v>
      </c>
      <c r="J99" s="40" t="s">
        <v>702</v>
      </c>
      <c r="K99" s="24" t="s">
        <v>712</v>
      </c>
      <c r="L99" s="64" t="s">
        <v>713</v>
      </c>
      <c r="M99" s="49" t="s">
        <v>61</v>
      </c>
      <c r="N99" s="24" t="s">
        <v>51</v>
      </c>
      <c r="O99" s="24"/>
      <c r="P99" s="408" t="s">
        <v>714</v>
      </c>
      <c r="Q99" s="64"/>
      <c r="R99" s="64"/>
      <c r="S99" s="24"/>
      <c r="T99" s="24"/>
      <c r="U99" s="64"/>
      <c r="V99" s="56"/>
      <c r="W99" s="56"/>
      <c r="X99" s="56"/>
      <c r="Y99" s="56"/>
      <c r="Z99" s="56"/>
      <c r="AA99" s="56"/>
      <c r="AB99" s="56"/>
      <c r="AC99" s="56"/>
    </row>
    <row r="100" spans="1:29" ht="15.75" customHeight="1">
      <c r="A100" s="39" t="s">
        <v>520</v>
      </c>
      <c r="B100" s="40" t="s">
        <v>702</v>
      </c>
      <c r="C100" s="24"/>
      <c r="D100" s="64" t="s">
        <v>522</v>
      </c>
      <c r="E100" s="64" t="s">
        <v>523</v>
      </c>
      <c r="F100" s="24" t="s">
        <v>524</v>
      </c>
      <c r="G100" s="399">
        <f>IFERROR(VLOOKUP(A100,醫療院所DATABASE!A:B,2,""),)</f>
        <v>0</v>
      </c>
      <c r="H100" s="64"/>
      <c r="I100" s="40" t="s">
        <v>521</v>
      </c>
      <c r="J100" s="40" t="s">
        <v>702</v>
      </c>
      <c r="K100" s="24" t="s">
        <v>715</v>
      </c>
      <c r="L100" s="64" t="s">
        <v>716</v>
      </c>
      <c r="M100" s="49" t="s">
        <v>61</v>
      </c>
      <c r="N100" s="47" t="s">
        <v>62</v>
      </c>
      <c r="O100" s="24"/>
      <c r="P100" s="408" t="s">
        <v>717</v>
      </c>
      <c r="Q100" s="64"/>
      <c r="R100" s="64"/>
      <c r="S100" s="24"/>
      <c r="T100" s="24"/>
      <c r="U100" s="64"/>
      <c r="V100" s="56"/>
      <c r="W100" s="56"/>
      <c r="X100" s="56"/>
      <c r="Y100" s="56"/>
      <c r="Z100" s="56"/>
      <c r="AA100" s="56"/>
      <c r="AB100" s="56"/>
      <c r="AC100" s="56"/>
    </row>
    <row r="101" spans="1:29" ht="15.75" customHeight="1">
      <c r="A101" s="39" t="s">
        <v>718</v>
      </c>
      <c r="B101" s="40" t="s">
        <v>702</v>
      </c>
      <c r="C101" s="24"/>
      <c r="D101" s="96" t="s">
        <v>719</v>
      </c>
      <c r="E101" s="64" t="s">
        <v>523</v>
      </c>
      <c r="F101" s="24" t="s">
        <v>638</v>
      </c>
      <c r="G101" s="399">
        <f>IFERROR(VLOOKUP(A101,醫療院所DATABASE!A:B,2,""),)</f>
        <v>0</v>
      </c>
      <c r="H101" s="64"/>
      <c r="I101" s="40" t="s">
        <v>521</v>
      </c>
      <c r="J101" s="40" t="s">
        <v>702</v>
      </c>
      <c r="K101" s="24" t="s">
        <v>720</v>
      </c>
      <c r="L101" s="96" t="s">
        <v>721</v>
      </c>
      <c r="M101" s="49" t="s">
        <v>61</v>
      </c>
      <c r="N101" s="47" t="s">
        <v>62</v>
      </c>
      <c r="O101" s="24"/>
      <c r="P101" s="408" t="s">
        <v>722</v>
      </c>
      <c r="Q101" s="64"/>
      <c r="R101" s="64"/>
      <c r="S101" s="24"/>
      <c r="T101" s="24"/>
      <c r="U101" s="64"/>
      <c r="V101" s="56"/>
      <c r="W101" s="56"/>
      <c r="X101" s="56"/>
      <c r="Y101" s="56"/>
      <c r="Z101" s="56"/>
      <c r="AA101" s="56"/>
      <c r="AB101" s="56"/>
      <c r="AC101" s="56"/>
    </row>
    <row r="102" spans="1:29" ht="15.75" customHeight="1">
      <c r="A102" s="39" t="s">
        <v>723</v>
      </c>
      <c r="B102" s="40" t="s">
        <v>702</v>
      </c>
      <c r="C102" s="24"/>
      <c r="D102" s="96" t="s">
        <v>719</v>
      </c>
      <c r="E102" s="64" t="s">
        <v>523</v>
      </c>
      <c r="F102" s="24" t="s">
        <v>638</v>
      </c>
      <c r="G102" s="399">
        <f>IFERROR(VLOOKUP(A102,醫療院所DATABASE!A:B,2,""),)</f>
        <v>0</v>
      </c>
      <c r="H102" s="64"/>
      <c r="I102" s="40" t="s">
        <v>521</v>
      </c>
      <c r="J102" s="40" t="s">
        <v>702</v>
      </c>
      <c r="K102" s="24" t="s">
        <v>724</v>
      </c>
      <c r="L102" s="96" t="s">
        <v>725</v>
      </c>
      <c r="M102" s="49" t="s">
        <v>61</v>
      </c>
      <c r="N102" s="47" t="s">
        <v>62</v>
      </c>
      <c r="O102" s="24"/>
      <c r="P102" s="408" t="s">
        <v>726</v>
      </c>
      <c r="Q102" s="64"/>
      <c r="R102" s="64"/>
      <c r="S102" s="24"/>
      <c r="T102" s="24"/>
      <c r="U102" s="64"/>
      <c r="V102" s="56"/>
      <c r="W102" s="56"/>
      <c r="X102" s="56"/>
      <c r="Y102" s="56"/>
      <c r="Z102" s="56"/>
      <c r="AA102" s="56"/>
      <c r="AB102" s="56"/>
      <c r="AC102" s="56"/>
    </row>
    <row r="103" spans="1:29" ht="15.75" customHeight="1">
      <c r="A103" s="39" t="s">
        <v>727</v>
      </c>
      <c r="B103" s="40" t="s">
        <v>702</v>
      </c>
      <c r="C103" s="24"/>
      <c r="D103" s="96" t="s">
        <v>719</v>
      </c>
      <c r="E103" s="64" t="s">
        <v>523</v>
      </c>
      <c r="F103" s="24" t="s">
        <v>638</v>
      </c>
      <c r="G103" s="399">
        <f>IFERROR(VLOOKUP(A103,醫療院所DATABASE!A:B,2,""),)</f>
        <v>0</v>
      </c>
      <c r="H103" s="64"/>
      <c r="I103" s="40" t="s">
        <v>521</v>
      </c>
      <c r="J103" s="40" t="s">
        <v>702</v>
      </c>
      <c r="K103" s="24" t="s">
        <v>728</v>
      </c>
      <c r="L103" s="96" t="s">
        <v>729</v>
      </c>
      <c r="M103" s="49" t="s">
        <v>61</v>
      </c>
      <c r="N103" s="24" t="s">
        <v>51</v>
      </c>
      <c r="O103" s="24"/>
      <c r="P103" s="408" t="s">
        <v>730</v>
      </c>
      <c r="Q103" s="64"/>
      <c r="R103" s="64"/>
      <c r="S103" s="24"/>
      <c r="T103" s="24"/>
      <c r="U103" s="64"/>
      <c r="V103" s="56"/>
      <c r="W103" s="56"/>
      <c r="X103" s="56"/>
      <c r="Y103" s="56"/>
      <c r="Z103" s="56"/>
      <c r="AA103" s="56"/>
      <c r="AB103" s="56"/>
      <c r="AC103" s="56"/>
    </row>
    <row r="104" spans="1:29" ht="15.75" customHeight="1">
      <c r="A104" s="39" t="s">
        <v>731</v>
      </c>
      <c r="B104" s="40" t="s">
        <v>702</v>
      </c>
      <c r="C104" s="24"/>
      <c r="D104" s="96" t="s">
        <v>719</v>
      </c>
      <c r="E104" s="64" t="s">
        <v>523</v>
      </c>
      <c r="F104" s="24" t="s">
        <v>732</v>
      </c>
      <c r="G104" s="399">
        <f>IFERROR(VLOOKUP(A104,醫療院所DATABASE!A:B,2,""),)</f>
        <v>0</v>
      </c>
      <c r="H104" s="64"/>
      <c r="I104" s="40" t="s">
        <v>521</v>
      </c>
      <c r="J104" s="40" t="s">
        <v>702</v>
      </c>
      <c r="K104" s="24" t="s">
        <v>733</v>
      </c>
      <c r="L104" s="98" t="s">
        <v>734</v>
      </c>
      <c r="M104" s="93" t="s">
        <v>641</v>
      </c>
      <c r="N104" s="24" t="s">
        <v>62</v>
      </c>
      <c r="O104" s="24"/>
      <c r="P104" s="409" t="s">
        <v>735</v>
      </c>
      <c r="Q104" s="64"/>
      <c r="R104" s="64"/>
      <c r="S104" s="24"/>
      <c r="T104" s="24"/>
      <c r="U104" s="64"/>
      <c r="V104" s="56"/>
      <c r="W104" s="56"/>
      <c r="X104" s="56"/>
      <c r="Y104" s="56"/>
      <c r="Z104" s="56"/>
      <c r="AA104" s="56"/>
      <c r="AB104" s="56"/>
      <c r="AC104" s="56"/>
    </row>
    <row r="105" spans="1:29" ht="15.75" customHeight="1">
      <c r="A105" s="39" t="s">
        <v>736</v>
      </c>
      <c r="B105" s="40" t="s">
        <v>148</v>
      </c>
      <c r="C105" s="24"/>
      <c r="D105" s="45" t="s">
        <v>75</v>
      </c>
      <c r="E105" s="45" t="s">
        <v>75</v>
      </c>
      <c r="F105" s="24" t="s">
        <v>697</v>
      </c>
      <c r="G105" s="399">
        <f>IFERROR(VLOOKUP(A105,醫療院所DATABASE!A:B,2,""),)</f>
        <v>0</v>
      </c>
      <c r="H105" s="64"/>
      <c r="I105" s="40" t="s">
        <v>521</v>
      </c>
      <c r="J105" s="40" t="s">
        <v>148</v>
      </c>
      <c r="K105" s="24" t="s">
        <v>737</v>
      </c>
      <c r="L105" s="64" t="s">
        <v>738</v>
      </c>
      <c r="M105" s="90" t="s">
        <v>616</v>
      </c>
      <c r="N105" s="47" t="s">
        <v>62</v>
      </c>
      <c r="O105" s="24"/>
      <c r="P105" s="409" t="s">
        <v>739</v>
      </c>
      <c r="Q105" s="64"/>
      <c r="R105" s="64"/>
      <c r="S105" s="24"/>
      <c r="T105" s="24"/>
      <c r="U105" s="64"/>
      <c r="V105" s="56"/>
      <c r="W105" s="56"/>
      <c r="X105" s="56"/>
      <c r="Y105" s="56"/>
      <c r="Z105" s="56"/>
      <c r="AA105" s="56"/>
      <c r="AB105" s="56"/>
      <c r="AC105" s="56"/>
    </row>
    <row r="106" spans="1:29" ht="15.75" customHeight="1">
      <c r="A106" s="39" t="s">
        <v>736</v>
      </c>
      <c r="B106" s="40" t="s">
        <v>148</v>
      </c>
      <c r="C106" s="24"/>
      <c r="D106" s="99" t="s">
        <v>75</v>
      </c>
      <c r="E106" s="99" t="s">
        <v>75</v>
      </c>
      <c r="F106" s="100" t="s">
        <v>697</v>
      </c>
      <c r="G106" s="399">
        <f>IFERROR(VLOOKUP(A106,醫療院所DATABASE!A:B,2,""),)</f>
        <v>0</v>
      </c>
      <c r="H106" s="101"/>
      <c r="I106" s="102" t="s">
        <v>521</v>
      </c>
      <c r="J106" s="102" t="s">
        <v>148</v>
      </c>
      <c r="K106" s="100" t="s">
        <v>740</v>
      </c>
      <c r="L106" s="101" t="s">
        <v>741</v>
      </c>
      <c r="M106" s="103" t="s">
        <v>616</v>
      </c>
      <c r="N106" s="104" t="s">
        <v>62</v>
      </c>
      <c r="O106" s="100"/>
      <c r="P106" s="410" t="s">
        <v>742</v>
      </c>
      <c r="Q106" s="101"/>
      <c r="R106" s="101"/>
      <c r="S106" s="100"/>
      <c r="T106" s="100"/>
      <c r="U106" s="101"/>
      <c r="V106" s="56"/>
      <c r="W106" s="56"/>
      <c r="X106" s="56"/>
      <c r="Y106" s="56"/>
      <c r="Z106" s="56"/>
      <c r="AA106" s="56"/>
      <c r="AB106" s="56"/>
      <c r="AC106" s="56"/>
    </row>
    <row r="107" spans="1:29" ht="15.75" customHeight="1">
      <c r="A107" s="39" t="s">
        <v>664</v>
      </c>
      <c r="B107" s="40" t="s">
        <v>743</v>
      </c>
      <c r="C107" s="24"/>
      <c r="D107" s="64" t="s">
        <v>665</v>
      </c>
      <c r="E107" s="64" t="s">
        <v>523</v>
      </c>
      <c r="F107" s="24" t="s">
        <v>524</v>
      </c>
      <c r="G107" s="399">
        <f>IFERROR(VLOOKUP(A107,醫療院所DATABASE!A:B,2,""),)</f>
        <v>0</v>
      </c>
      <c r="H107" s="64"/>
      <c r="I107" s="40" t="s">
        <v>148</v>
      </c>
      <c r="J107" s="40" t="s">
        <v>743</v>
      </c>
      <c r="K107" s="24" t="s">
        <v>744</v>
      </c>
      <c r="L107" s="64" t="s">
        <v>745</v>
      </c>
      <c r="M107" s="49" t="s">
        <v>61</v>
      </c>
      <c r="N107" s="47" t="s">
        <v>62</v>
      </c>
      <c r="O107" s="24"/>
      <c r="P107" s="409" t="s">
        <v>746</v>
      </c>
      <c r="Q107" s="64"/>
      <c r="R107" s="64"/>
      <c r="S107" s="24"/>
      <c r="T107" s="24"/>
      <c r="U107" s="64"/>
      <c r="V107" s="24"/>
      <c r="W107" s="24"/>
      <c r="X107" s="24"/>
      <c r="Y107" s="24"/>
      <c r="Z107" s="24"/>
      <c r="AA107" s="24"/>
      <c r="AB107" s="24"/>
      <c r="AC107" s="24"/>
    </row>
    <row r="108" spans="1:29" ht="15.75" customHeight="1">
      <c r="A108" s="39" t="s">
        <v>664</v>
      </c>
      <c r="B108" s="40" t="s">
        <v>743</v>
      </c>
      <c r="C108" s="24"/>
      <c r="D108" s="64" t="s">
        <v>665</v>
      </c>
      <c r="E108" s="64" t="s">
        <v>523</v>
      </c>
      <c r="F108" s="24" t="s">
        <v>524</v>
      </c>
      <c r="G108" s="399">
        <f>IFERROR(VLOOKUP(A108,醫療院所DATABASE!A:B,2,""),)</f>
        <v>0</v>
      </c>
      <c r="H108" s="64"/>
      <c r="I108" s="40" t="s">
        <v>148</v>
      </c>
      <c r="J108" s="40" t="s">
        <v>743</v>
      </c>
      <c r="K108" s="24" t="s">
        <v>747</v>
      </c>
      <c r="L108" s="64" t="s">
        <v>748</v>
      </c>
      <c r="M108" s="49" t="s">
        <v>61</v>
      </c>
      <c r="N108" s="47" t="s">
        <v>62</v>
      </c>
      <c r="O108" s="24"/>
      <c r="P108" s="409" t="s">
        <v>749</v>
      </c>
      <c r="Q108" s="64"/>
      <c r="R108" s="64"/>
      <c r="S108" s="24"/>
      <c r="T108" s="24"/>
      <c r="U108" s="64"/>
      <c r="V108" s="24"/>
      <c r="W108" s="24"/>
      <c r="X108" s="24"/>
      <c r="Y108" s="24"/>
      <c r="Z108" s="24"/>
      <c r="AA108" s="24"/>
      <c r="AB108" s="24"/>
      <c r="AC108" s="24"/>
    </row>
    <row r="109" spans="1:29" ht="15.75" customHeight="1">
      <c r="A109" s="39" t="s">
        <v>664</v>
      </c>
      <c r="B109" s="40" t="s">
        <v>743</v>
      </c>
      <c r="C109" s="24"/>
      <c r="D109" s="64" t="s">
        <v>665</v>
      </c>
      <c r="E109" s="64" t="s">
        <v>523</v>
      </c>
      <c r="F109" s="24" t="s">
        <v>524</v>
      </c>
      <c r="G109" s="399">
        <f>IFERROR(VLOOKUP(A109,醫療院所DATABASE!A:B,2,""),)</f>
        <v>0</v>
      </c>
      <c r="H109" s="64"/>
      <c r="I109" s="40" t="s">
        <v>148</v>
      </c>
      <c r="J109" s="40" t="s">
        <v>743</v>
      </c>
      <c r="K109" s="24" t="s">
        <v>750</v>
      </c>
      <c r="L109" s="64" t="s">
        <v>751</v>
      </c>
      <c r="M109" s="49" t="s">
        <v>61</v>
      </c>
      <c r="N109" s="24" t="s">
        <v>51</v>
      </c>
      <c r="O109" s="24"/>
      <c r="P109" s="409" t="s">
        <v>752</v>
      </c>
      <c r="Q109" s="64"/>
      <c r="R109" s="64"/>
      <c r="S109" s="24"/>
      <c r="T109" s="24"/>
      <c r="U109" s="64"/>
      <c r="V109" s="24"/>
      <c r="W109" s="24"/>
      <c r="X109" s="24"/>
      <c r="Y109" s="24"/>
      <c r="Z109" s="24"/>
      <c r="AA109" s="24"/>
      <c r="AB109" s="24"/>
      <c r="AC109" s="24"/>
    </row>
    <row r="110" spans="1:29" ht="15.75" customHeight="1">
      <c r="A110" s="39" t="s">
        <v>664</v>
      </c>
      <c r="B110" s="40" t="s">
        <v>743</v>
      </c>
      <c r="C110" s="24"/>
      <c r="D110" s="64" t="s">
        <v>665</v>
      </c>
      <c r="E110" s="64" t="s">
        <v>523</v>
      </c>
      <c r="F110" s="24" t="s">
        <v>524</v>
      </c>
      <c r="G110" s="399">
        <f>IFERROR(VLOOKUP(A110,醫療院所DATABASE!A:B,2,""),)</f>
        <v>0</v>
      </c>
      <c r="H110" s="64"/>
      <c r="I110" s="40" t="s">
        <v>148</v>
      </c>
      <c r="J110" s="40" t="s">
        <v>743</v>
      </c>
      <c r="K110" s="24" t="s">
        <v>753</v>
      </c>
      <c r="L110" s="64" t="s">
        <v>754</v>
      </c>
      <c r="M110" s="49" t="s">
        <v>61</v>
      </c>
      <c r="N110" s="47" t="s">
        <v>62</v>
      </c>
      <c r="O110" s="24"/>
      <c r="P110" s="409" t="s">
        <v>755</v>
      </c>
      <c r="Q110" s="64"/>
      <c r="R110" s="64"/>
      <c r="S110" s="24"/>
      <c r="T110" s="24"/>
      <c r="U110" s="64"/>
      <c r="V110" s="24"/>
      <c r="W110" s="24"/>
      <c r="X110" s="24"/>
      <c r="Y110" s="24"/>
      <c r="Z110" s="24"/>
      <c r="AA110" s="24"/>
      <c r="AB110" s="24"/>
      <c r="AC110" s="24"/>
    </row>
    <row r="111" spans="1:29" ht="15.75" customHeight="1">
      <c r="A111" s="39" t="s">
        <v>664</v>
      </c>
      <c r="B111" s="40" t="s">
        <v>743</v>
      </c>
      <c r="C111" s="24"/>
      <c r="D111" s="64" t="s">
        <v>665</v>
      </c>
      <c r="E111" s="64" t="s">
        <v>523</v>
      </c>
      <c r="F111" s="24" t="s">
        <v>524</v>
      </c>
      <c r="G111" s="399">
        <f>IFERROR(VLOOKUP(A111,醫療院所DATABASE!A:B,2,""),)</f>
        <v>0</v>
      </c>
      <c r="H111" s="64"/>
      <c r="I111" s="40" t="s">
        <v>148</v>
      </c>
      <c r="J111" s="40" t="s">
        <v>743</v>
      </c>
      <c r="K111" s="24" t="s">
        <v>756</v>
      </c>
      <c r="L111" s="64" t="s">
        <v>757</v>
      </c>
      <c r="M111" s="49" t="s">
        <v>61</v>
      </c>
      <c r="N111" s="47" t="s">
        <v>62</v>
      </c>
      <c r="O111" s="24"/>
      <c r="P111" s="409" t="s">
        <v>758</v>
      </c>
      <c r="Q111" s="64"/>
      <c r="R111" s="64"/>
      <c r="S111" s="24"/>
      <c r="T111" s="24"/>
      <c r="U111" s="64"/>
      <c r="V111" s="24"/>
      <c r="W111" s="24"/>
      <c r="X111" s="24"/>
      <c r="Y111" s="24"/>
      <c r="Z111" s="24"/>
      <c r="AA111" s="24"/>
      <c r="AB111" s="24"/>
      <c r="AC111" s="24"/>
    </row>
    <row r="112" spans="1:29" ht="15.75" customHeight="1">
      <c r="A112" s="39" t="s">
        <v>664</v>
      </c>
      <c r="B112" s="40" t="s">
        <v>702</v>
      </c>
      <c r="C112" s="24"/>
      <c r="D112" s="64" t="s">
        <v>665</v>
      </c>
      <c r="E112" s="64" t="s">
        <v>665</v>
      </c>
      <c r="F112" s="24" t="s">
        <v>524</v>
      </c>
      <c r="G112" s="399">
        <f>IFERROR(VLOOKUP(A112,醫療院所DATABASE!A:B,2,""),)</f>
        <v>0</v>
      </c>
      <c r="H112" s="64"/>
      <c r="I112" s="40" t="s">
        <v>148</v>
      </c>
      <c r="J112" s="105" t="s">
        <v>759</v>
      </c>
      <c r="K112" s="24" t="s">
        <v>760</v>
      </c>
      <c r="L112" s="64" t="s">
        <v>761</v>
      </c>
      <c r="M112" s="49" t="s">
        <v>61</v>
      </c>
      <c r="N112" s="47" t="s">
        <v>62</v>
      </c>
      <c r="O112" s="24"/>
      <c r="P112" s="409" t="s">
        <v>762</v>
      </c>
      <c r="Q112" s="64"/>
      <c r="R112" s="64"/>
      <c r="S112" s="24"/>
      <c r="T112" s="24"/>
      <c r="U112" s="64"/>
      <c r="V112" s="24"/>
      <c r="W112" s="24"/>
      <c r="X112" s="24"/>
      <c r="Y112" s="24"/>
      <c r="Z112" s="24"/>
      <c r="AA112" s="24"/>
      <c r="AB112" s="24"/>
      <c r="AC112" s="24"/>
    </row>
    <row r="113" spans="1:29" ht="15.75" customHeight="1">
      <c r="A113" s="39" t="s">
        <v>664</v>
      </c>
      <c r="B113" s="40" t="s">
        <v>702</v>
      </c>
      <c r="C113" s="24"/>
      <c r="D113" s="64" t="s">
        <v>665</v>
      </c>
      <c r="E113" s="64" t="s">
        <v>665</v>
      </c>
      <c r="F113" s="24" t="s">
        <v>524</v>
      </c>
      <c r="G113" s="399">
        <f>IFERROR(VLOOKUP(A113,醫療院所DATABASE!A:B,2,""),)</f>
        <v>0</v>
      </c>
      <c r="H113" s="64"/>
      <c r="I113" s="40" t="s">
        <v>148</v>
      </c>
      <c r="J113" s="105" t="s">
        <v>759</v>
      </c>
      <c r="K113" s="24" t="s">
        <v>763</v>
      </c>
      <c r="L113" s="64" t="s">
        <v>764</v>
      </c>
      <c r="M113" s="49" t="s">
        <v>61</v>
      </c>
      <c r="N113" s="47" t="s">
        <v>62</v>
      </c>
      <c r="O113" s="24"/>
      <c r="P113" s="409" t="s">
        <v>765</v>
      </c>
      <c r="Q113" s="64"/>
      <c r="R113" s="64"/>
      <c r="S113" s="24"/>
      <c r="T113" s="24"/>
      <c r="U113" s="64"/>
      <c r="V113" s="24"/>
      <c r="W113" s="24"/>
      <c r="X113" s="24"/>
      <c r="Y113" s="24"/>
      <c r="Z113" s="24"/>
      <c r="AA113" s="24"/>
      <c r="AB113" s="24"/>
      <c r="AC113" s="24"/>
    </row>
    <row r="114" spans="1:29" ht="15.75" customHeight="1">
      <c r="A114" s="39" t="s">
        <v>766</v>
      </c>
      <c r="B114" s="40" t="s">
        <v>743</v>
      </c>
      <c r="C114" s="24"/>
      <c r="D114" s="64" t="s">
        <v>665</v>
      </c>
      <c r="E114" s="64" t="s">
        <v>523</v>
      </c>
      <c r="F114" s="24" t="s">
        <v>524</v>
      </c>
      <c r="G114" s="399">
        <f>IFERROR(VLOOKUP(A114,醫療院所DATABASE!A:B,2,""),)</f>
        <v>0</v>
      </c>
      <c r="H114" s="64"/>
      <c r="I114" s="40" t="s">
        <v>148</v>
      </c>
      <c r="J114" s="40" t="s">
        <v>743</v>
      </c>
      <c r="K114" s="24" t="s">
        <v>767</v>
      </c>
      <c r="L114" s="64" t="s">
        <v>768</v>
      </c>
      <c r="M114" s="49" t="s">
        <v>61</v>
      </c>
      <c r="N114" s="24" t="s">
        <v>51</v>
      </c>
      <c r="O114" s="24"/>
      <c r="P114" s="409" t="s">
        <v>769</v>
      </c>
      <c r="Q114" s="64"/>
      <c r="R114" s="64"/>
      <c r="S114" s="24"/>
      <c r="T114" s="24"/>
      <c r="U114" s="64"/>
      <c r="V114" s="24"/>
      <c r="W114" s="24"/>
      <c r="X114" s="24"/>
      <c r="Y114" s="24"/>
      <c r="Z114" s="24"/>
      <c r="AA114" s="24"/>
      <c r="AB114" s="24"/>
      <c r="AC114" s="24"/>
    </row>
    <row r="115" spans="1:29" ht="15.75" customHeight="1">
      <c r="A115" s="39" t="s">
        <v>770</v>
      </c>
      <c r="B115" s="40" t="s">
        <v>743</v>
      </c>
      <c r="C115" s="24"/>
      <c r="D115" s="106" t="s">
        <v>543</v>
      </c>
      <c r="E115" s="64" t="s">
        <v>188</v>
      </c>
      <c r="F115" s="24" t="s">
        <v>524</v>
      </c>
      <c r="G115" s="399">
        <f>IFERROR(VLOOKUP(A115,醫療院所DATABASE!A:B,2,""),)</f>
        <v>0</v>
      </c>
      <c r="H115" s="64"/>
      <c r="I115" s="40" t="s">
        <v>148</v>
      </c>
      <c r="J115" s="40" t="s">
        <v>743</v>
      </c>
      <c r="K115" s="24" t="s">
        <v>771</v>
      </c>
      <c r="L115" s="64" t="s">
        <v>772</v>
      </c>
      <c r="M115" s="49" t="s">
        <v>61</v>
      </c>
      <c r="N115" s="24" t="s">
        <v>51</v>
      </c>
      <c r="O115" s="24"/>
      <c r="P115" s="409" t="s">
        <v>773</v>
      </c>
      <c r="Q115" s="64"/>
      <c r="R115" s="64"/>
      <c r="S115" s="24"/>
      <c r="T115" s="24"/>
      <c r="U115" s="64"/>
      <c r="V115" s="24"/>
      <c r="W115" s="24"/>
      <c r="X115" s="24"/>
      <c r="Y115" s="24"/>
      <c r="Z115" s="24"/>
      <c r="AA115" s="24"/>
      <c r="AB115" s="24"/>
      <c r="AC115" s="24"/>
    </row>
    <row r="116" spans="1:29" ht="15.75" customHeight="1">
      <c r="A116" s="39" t="s">
        <v>696</v>
      </c>
      <c r="B116" s="40" t="s">
        <v>743</v>
      </c>
      <c r="C116" s="24"/>
      <c r="D116" s="45" t="s">
        <v>75</v>
      </c>
      <c r="E116" s="64" t="s">
        <v>53</v>
      </c>
      <c r="F116" s="24" t="s">
        <v>697</v>
      </c>
      <c r="G116" s="399">
        <f>IFERROR(VLOOKUP(A116,醫療院所DATABASE!A:B,2,""),)</f>
        <v>0</v>
      </c>
      <c r="H116" s="64"/>
      <c r="I116" s="40" t="s">
        <v>148</v>
      </c>
      <c r="J116" s="40" t="s">
        <v>743</v>
      </c>
      <c r="K116" s="24" t="s">
        <v>774</v>
      </c>
      <c r="L116" s="64" t="s">
        <v>775</v>
      </c>
      <c r="M116" s="49" t="s">
        <v>61</v>
      </c>
      <c r="N116" s="47" t="s">
        <v>62</v>
      </c>
      <c r="O116" s="24"/>
      <c r="P116" s="409" t="s">
        <v>776</v>
      </c>
      <c r="Q116" s="64"/>
      <c r="R116" s="64"/>
      <c r="S116" s="24"/>
      <c r="T116" s="24"/>
      <c r="U116" s="64"/>
      <c r="V116" s="24"/>
      <c r="W116" s="24"/>
      <c r="X116" s="24"/>
      <c r="Y116" s="24"/>
      <c r="Z116" s="24"/>
      <c r="AA116" s="24"/>
      <c r="AB116" s="24"/>
      <c r="AC116" s="24"/>
    </row>
    <row r="117" spans="1:29" ht="15.75" customHeight="1">
      <c r="A117" s="39" t="s">
        <v>777</v>
      </c>
      <c r="B117" s="40" t="s">
        <v>743</v>
      </c>
      <c r="C117" s="24"/>
      <c r="D117" s="96" t="s">
        <v>719</v>
      </c>
      <c r="E117" s="64" t="s">
        <v>53</v>
      </c>
      <c r="F117" s="24" t="s">
        <v>732</v>
      </c>
      <c r="G117" s="399">
        <f>IFERROR(VLOOKUP(A117,醫療院所DATABASE!A:B,2,""),)</f>
        <v>0</v>
      </c>
      <c r="H117" s="64"/>
      <c r="I117" s="40" t="s">
        <v>148</v>
      </c>
      <c r="J117" s="40" t="s">
        <v>743</v>
      </c>
      <c r="K117" s="24" t="s">
        <v>778</v>
      </c>
      <c r="L117" s="64" t="s">
        <v>779</v>
      </c>
      <c r="M117" s="93" t="s">
        <v>641</v>
      </c>
      <c r="N117" s="24" t="s">
        <v>51</v>
      </c>
      <c r="O117" s="24"/>
      <c r="P117" s="409" t="s">
        <v>780</v>
      </c>
      <c r="Q117" s="64"/>
      <c r="R117" s="64"/>
      <c r="S117" s="24"/>
      <c r="T117" s="24"/>
      <c r="U117" s="64"/>
      <c r="V117" s="24"/>
      <c r="W117" s="24"/>
      <c r="X117" s="24"/>
      <c r="Y117" s="24"/>
      <c r="Z117" s="24"/>
      <c r="AA117" s="24"/>
      <c r="AB117" s="24"/>
      <c r="AC117" s="24"/>
    </row>
    <row r="118" spans="1:29" ht="15.75" customHeight="1">
      <c r="A118" s="39" t="s">
        <v>664</v>
      </c>
      <c r="B118" s="107">
        <v>43577</v>
      </c>
      <c r="C118" s="24"/>
      <c r="D118" s="64" t="s">
        <v>665</v>
      </c>
      <c r="E118" s="108" t="s">
        <v>523</v>
      </c>
      <c r="F118" s="24" t="s">
        <v>524</v>
      </c>
      <c r="G118" s="399">
        <f>IFERROR(VLOOKUP(A118,醫療院所DATABASE!A:B,2,""),)</f>
        <v>0</v>
      </c>
      <c r="H118" s="64"/>
      <c r="I118" s="40" t="s">
        <v>673</v>
      </c>
      <c r="J118" s="40" t="s">
        <v>781</v>
      </c>
      <c r="K118" s="24" t="s">
        <v>782</v>
      </c>
      <c r="L118" s="64" t="s">
        <v>783</v>
      </c>
      <c r="M118" s="49" t="s">
        <v>61</v>
      </c>
      <c r="N118" s="24" t="s">
        <v>51</v>
      </c>
      <c r="O118" s="24"/>
      <c r="P118" s="409" t="s">
        <v>784</v>
      </c>
      <c r="Q118" s="64"/>
      <c r="R118" s="64"/>
      <c r="S118" s="24"/>
      <c r="T118" s="24"/>
      <c r="U118" s="64"/>
      <c r="V118" s="56"/>
      <c r="W118" s="56"/>
      <c r="X118" s="56"/>
      <c r="Y118" s="56"/>
      <c r="Z118" s="56"/>
      <c r="AA118" s="56"/>
      <c r="AB118" s="56"/>
      <c r="AC118" s="56"/>
    </row>
    <row r="119" spans="1:29" ht="15.75" customHeight="1">
      <c r="A119" s="39" t="s">
        <v>785</v>
      </c>
      <c r="B119" s="107">
        <v>43577</v>
      </c>
      <c r="C119" s="109">
        <v>43580</v>
      </c>
      <c r="D119" s="64" t="s">
        <v>151</v>
      </c>
      <c r="E119" s="108" t="s">
        <v>188</v>
      </c>
      <c r="F119" s="24" t="s">
        <v>638</v>
      </c>
      <c r="G119" s="399">
        <f>IFERROR(VLOOKUP(A119,醫療院所DATABASE!A:B,2,""),)</f>
        <v>0</v>
      </c>
      <c r="H119" s="64"/>
      <c r="I119" s="40" t="s">
        <v>673</v>
      </c>
      <c r="J119" s="40" t="s">
        <v>781</v>
      </c>
      <c r="K119" s="24" t="s">
        <v>786</v>
      </c>
      <c r="L119" s="64" t="s">
        <v>787</v>
      </c>
      <c r="M119" s="49" t="s">
        <v>61</v>
      </c>
      <c r="N119" s="24" t="s">
        <v>51</v>
      </c>
      <c r="O119" s="24"/>
      <c r="P119" s="409" t="s">
        <v>788</v>
      </c>
      <c r="Q119" s="64"/>
      <c r="R119" s="64"/>
      <c r="S119" s="24"/>
      <c r="T119" s="24"/>
      <c r="U119" s="64"/>
      <c r="V119" s="56"/>
      <c r="W119" s="56"/>
      <c r="X119" s="56"/>
      <c r="Y119" s="56"/>
      <c r="Z119" s="56"/>
      <c r="AA119" s="56"/>
      <c r="AB119" s="56"/>
      <c r="AC119" s="56"/>
    </row>
    <row r="120" spans="1:29" ht="15.75" customHeight="1">
      <c r="A120" s="39" t="s">
        <v>696</v>
      </c>
      <c r="B120" s="107">
        <v>43577</v>
      </c>
      <c r="C120" s="109">
        <v>43580</v>
      </c>
      <c r="D120" s="64" t="s">
        <v>789</v>
      </c>
      <c r="E120" s="108" t="s">
        <v>523</v>
      </c>
      <c r="F120" s="24" t="s">
        <v>790</v>
      </c>
      <c r="G120" s="399">
        <f>IFERROR(VLOOKUP(A120,醫療院所DATABASE!A:B,2,""),)</f>
        <v>0</v>
      </c>
      <c r="H120" s="64"/>
      <c r="I120" s="40" t="s">
        <v>673</v>
      </c>
      <c r="J120" s="40" t="s">
        <v>781</v>
      </c>
      <c r="K120" s="24" t="s">
        <v>791</v>
      </c>
      <c r="L120" s="64" t="s">
        <v>792</v>
      </c>
      <c r="M120" s="49" t="s">
        <v>61</v>
      </c>
      <c r="N120" s="24" t="s">
        <v>51</v>
      </c>
      <c r="O120" s="24"/>
      <c r="P120" s="409" t="s">
        <v>793</v>
      </c>
      <c r="Q120" s="64"/>
      <c r="R120" s="64"/>
      <c r="S120" s="24"/>
      <c r="T120" s="24"/>
      <c r="U120" s="64"/>
      <c r="V120" s="56"/>
      <c r="W120" s="56"/>
      <c r="X120" s="56"/>
      <c r="Y120" s="56"/>
      <c r="Z120" s="56"/>
      <c r="AA120" s="56"/>
      <c r="AB120" s="56"/>
      <c r="AC120" s="56"/>
    </row>
    <row r="121" spans="1:29" ht="15.75" customHeight="1">
      <c r="A121" s="39" t="s">
        <v>794</v>
      </c>
      <c r="B121" s="107">
        <v>43579</v>
      </c>
      <c r="C121" s="109">
        <v>43580</v>
      </c>
      <c r="D121" s="106" t="s">
        <v>795</v>
      </c>
      <c r="E121" s="108" t="s">
        <v>188</v>
      </c>
      <c r="F121" s="24" t="s">
        <v>524</v>
      </c>
      <c r="G121" s="399">
        <f>IFERROR(VLOOKUP(A121,醫療院所DATABASE!A:B,2,""),)</f>
        <v>0</v>
      </c>
      <c r="H121" s="64"/>
      <c r="I121" s="40" t="s">
        <v>702</v>
      </c>
      <c r="J121" s="40" t="s">
        <v>796</v>
      </c>
      <c r="K121" s="24" t="s">
        <v>797</v>
      </c>
      <c r="L121" s="64" t="s">
        <v>798</v>
      </c>
      <c r="M121" s="49" t="s">
        <v>61</v>
      </c>
      <c r="N121" s="24" t="s">
        <v>51</v>
      </c>
      <c r="O121" s="24"/>
      <c r="P121" s="409" t="s">
        <v>799</v>
      </c>
      <c r="Q121" s="64"/>
      <c r="R121" s="64"/>
      <c r="S121" s="24"/>
      <c r="T121" s="24"/>
      <c r="U121" s="64"/>
      <c r="V121" s="56"/>
      <c r="W121" s="56"/>
      <c r="X121" s="56"/>
      <c r="Y121" s="56"/>
      <c r="Z121" s="56"/>
      <c r="AA121" s="56"/>
      <c r="AB121" s="56"/>
      <c r="AC121" s="56"/>
    </row>
    <row r="122" spans="1:29" ht="15.75" customHeight="1">
      <c r="A122" s="39" t="s">
        <v>800</v>
      </c>
      <c r="B122" s="107">
        <v>43579</v>
      </c>
      <c r="C122" s="109">
        <v>43580</v>
      </c>
      <c r="D122" s="64" t="s">
        <v>665</v>
      </c>
      <c r="E122" s="108" t="s">
        <v>523</v>
      </c>
      <c r="F122" s="24" t="s">
        <v>524</v>
      </c>
      <c r="G122" s="399">
        <f>IFERROR(VLOOKUP(A122,醫療院所DATABASE!A:B,2,""),)</f>
        <v>0</v>
      </c>
      <c r="H122" s="64"/>
      <c r="I122" s="40" t="s">
        <v>702</v>
      </c>
      <c r="J122" s="40" t="s">
        <v>796</v>
      </c>
      <c r="K122" s="24" t="s">
        <v>343</v>
      </c>
      <c r="L122" s="64" t="s">
        <v>189</v>
      </c>
      <c r="M122" s="49" t="s">
        <v>61</v>
      </c>
      <c r="N122" s="47" t="s">
        <v>62</v>
      </c>
      <c r="O122" s="24"/>
      <c r="P122" s="409" t="s">
        <v>801</v>
      </c>
      <c r="Q122" s="64"/>
      <c r="R122" s="64"/>
      <c r="S122" s="24"/>
      <c r="T122" s="24"/>
      <c r="U122" s="64"/>
      <c r="V122" s="56"/>
      <c r="W122" s="56"/>
      <c r="X122" s="56"/>
      <c r="Y122" s="56"/>
      <c r="Z122" s="56"/>
      <c r="AA122" s="56"/>
      <c r="AB122" s="56"/>
      <c r="AC122" s="56"/>
    </row>
    <row r="123" spans="1:29" ht="15.75" customHeight="1">
      <c r="A123" s="39" t="s">
        <v>802</v>
      </c>
      <c r="B123" s="107">
        <v>43579</v>
      </c>
      <c r="C123" s="109">
        <v>43580</v>
      </c>
      <c r="D123" s="64" t="s">
        <v>665</v>
      </c>
      <c r="E123" s="108" t="s">
        <v>523</v>
      </c>
      <c r="F123" s="24" t="s">
        <v>803</v>
      </c>
      <c r="G123" s="399">
        <f>IFERROR(VLOOKUP(A123,醫療院所DATABASE!A:B,2,""),)</f>
        <v>0</v>
      </c>
      <c r="H123" s="64"/>
      <c r="I123" s="40" t="s">
        <v>702</v>
      </c>
      <c r="J123" s="40" t="s">
        <v>796</v>
      </c>
      <c r="K123" s="24" t="s">
        <v>804</v>
      </c>
      <c r="L123" s="64" t="s">
        <v>805</v>
      </c>
      <c r="M123" s="49" t="s">
        <v>61</v>
      </c>
      <c r="N123" s="47" t="s">
        <v>62</v>
      </c>
      <c r="O123" s="24"/>
      <c r="P123" s="409" t="s">
        <v>806</v>
      </c>
      <c r="Q123" s="64"/>
      <c r="R123" s="64"/>
      <c r="S123" s="24"/>
      <c r="T123" s="24"/>
      <c r="U123" s="64"/>
      <c r="V123" s="56"/>
      <c r="W123" s="56"/>
      <c r="X123" s="56"/>
      <c r="Y123" s="56"/>
      <c r="Z123" s="56"/>
      <c r="AA123" s="56"/>
      <c r="AB123" s="56"/>
      <c r="AC123" s="56"/>
    </row>
    <row r="124" spans="1:29" ht="15.75" customHeight="1">
      <c r="A124" s="39" t="s">
        <v>696</v>
      </c>
      <c r="B124" s="107">
        <v>43579</v>
      </c>
      <c r="C124" s="60"/>
      <c r="D124" s="43" t="s">
        <v>807</v>
      </c>
      <c r="E124" s="108" t="s">
        <v>807</v>
      </c>
      <c r="F124" s="60" t="s">
        <v>808</v>
      </c>
      <c r="G124" s="399">
        <f>IFERROR(VLOOKUP(A124,醫療院所DATABASE!A:B,2,""),)</f>
        <v>0</v>
      </c>
      <c r="H124" s="64"/>
      <c r="I124" s="40" t="s">
        <v>702</v>
      </c>
      <c r="J124" s="40" t="s">
        <v>796</v>
      </c>
      <c r="K124" s="24" t="s">
        <v>809</v>
      </c>
      <c r="L124" s="64" t="s">
        <v>810</v>
      </c>
      <c r="M124" s="49" t="s">
        <v>61</v>
      </c>
      <c r="N124" s="24" t="s">
        <v>51</v>
      </c>
      <c r="O124" s="24"/>
      <c r="P124" s="409" t="s">
        <v>811</v>
      </c>
      <c r="Q124" s="64"/>
      <c r="R124" s="64"/>
      <c r="S124" s="24"/>
      <c r="T124" s="24"/>
      <c r="U124" s="64"/>
      <c r="V124" s="56"/>
      <c r="W124" s="56"/>
      <c r="X124" s="56"/>
      <c r="Y124" s="56"/>
      <c r="Z124" s="56"/>
      <c r="AA124" s="56"/>
      <c r="AB124" s="56"/>
      <c r="AC124" s="56"/>
    </row>
    <row r="125" spans="1:29" ht="15.75" customHeight="1">
      <c r="A125" s="39" t="s">
        <v>696</v>
      </c>
      <c r="B125" s="107">
        <v>43579</v>
      </c>
      <c r="C125" s="110"/>
      <c r="D125" s="111" t="s">
        <v>807</v>
      </c>
      <c r="E125" s="112" t="s">
        <v>807</v>
      </c>
      <c r="F125" s="113" t="s">
        <v>808</v>
      </c>
      <c r="G125" s="399">
        <f>IFERROR(VLOOKUP(A125,醫療院所DATABASE!A:B,2,""),)</f>
        <v>0</v>
      </c>
      <c r="H125" s="101"/>
      <c r="I125" s="102" t="s">
        <v>702</v>
      </c>
      <c r="J125" s="102" t="s">
        <v>796</v>
      </c>
      <c r="K125" s="100" t="s">
        <v>812</v>
      </c>
      <c r="L125" s="101" t="s">
        <v>813</v>
      </c>
      <c r="M125" s="114" t="s">
        <v>61</v>
      </c>
      <c r="N125" s="104" t="s">
        <v>62</v>
      </c>
      <c r="O125" s="100"/>
      <c r="P125" s="410" t="s">
        <v>814</v>
      </c>
      <c r="Q125" s="101"/>
      <c r="R125" s="101"/>
      <c r="S125" s="100"/>
      <c r="T125" s="100"/>
      <c r="U125" s="101"/>
      <c r="V125" s="56"/>
      <c r="W125" s="56"/>
      <c r="X125" s="56"/>
      <c r="Y125" s="56"/>
      <c r="Z125" s="56"/>
      <c r="AA125" s="56"/>
      <c r="AB125" s="56"/>
      <c r="AC125" s="56"/>
    </row>
    <row r="126" spans="1:29" ht="15.75" customHeight="1">
      <c r="A126" s="39" t="s">
        <v>815</v>
      </c>
      <c r="B126" s="107">
        <v>43580</v>
      </c>
      <c r="C126" s="109" t="s">
        <v>816</v>
      </c>
      <c r="D126" s="96" t="s">
        <v>719</v>
      </c>
      <c r="E126" s="108" t="s">
        <v>53</v>
      </c>
      <c r="F126" s="60" t="s">
        <v>817</v>
      </c>
      <c r="G126" s="399">
        <f>IFERROR(VLOOKUP(A126,醫療院所DATABASE!A:B,2,""),)</f>
        <v>0</v>
      </c>
      <c r="H126" s="64"/>
      <c r="I126" s="40" t="s">
        <v>743</v>
      </c>
      <c r="J126" s="40" t="s">
        <v>818</v>
      </c>
      <c r="K126" s="24" t="s">
        <v>819</v>
      </c>
      <c r="L126" s="64" t="s">
        <v>820</v>
      </c>
      <c r="M126" s="49" t="s">
        <v>61</v>
      </c>
      <c r="N126" s="47" t="s">
        <v>62</v>
      </c>
      <c r="O126" s="24"/>
      <c r="P126" s="409" t="s">
        <v>821</v>
      </c>
      <c r="Q126" s="64"/>
      <c r="R126" s="64"/>
      <c r="S126" s="24"/>
      <c r="T126" s="24"/>
      <c r="U126" s="64"/>
      <c r="V126" s="24"/>
      <c r="W126" s="24"/>
      <c r="X126" s="24"/>
      <c r="Y126" s="24"/>
      <c r="Z126" s="24"/>
      <c r="AA126" s="24"/>
      <c r="AB126" s="24"/>
      <c r="AC126" s="24"/>
    </row>
    <row r="127" spans="1:29" ht="15.75" customHeight="1">
      <c r="A127" s="39" t="s">
        <v>822</v>
      </c>
      <c r="B127" s="107">
        <v>43580</v>
      </c>
      <c r="C127" s="109" t="s">
        <v>816</v>
      </c>
      <c r="D127" s="96" t="s">
        <v>719</v>
      </c>
      <c r="E127" s="108" t="s">
        <v>53</v>
      </c>
      <c r="F127" s="60" t="s">
        <v>817</v>
      </c>
      <c r="G127" s="399">
        <f>IFERROR(VLOOKUP(A127,醫療院所DATABASE!A:B,2,""),)</f>
        <v>0</v>
      </c>
      <c r="H127" s="64"/>
      <c r="I127" s="40" t="s">
        <v>743</v>
      </c>
      <c r="J127" s="40" t="s">
        <v>818</v>
      </c>
      <c r="K127" s="24" t="s">
        <v>823</v>
      </c>
      <c r="L127" s="64" t="s">
        <v>824</v>
      </c>
      <c r="M127" s="49" t="s">
        <v>61</v>
      </c>
      <c r="N127" s="47" t="s">
        <v>62</v>
      </c>
      <c r="O127" s="24"/>
      <c r="P127" s="409" t="s">
        <v>825</v>
      </c>
      <c r="Q127" s="64"/>
      <c r="R127" s="64"/>
      <c r="S127" s="24"/>
      <c r="T127" s="24"/>
      <c r="U127" s="64"/>
      <c r="V127" s="24"/>
      <c r="W127" s="24"/>
      <c r="X127" s="24"/>
      <c r="Y127" s="24"/>
      <c r="Z127" s="24"/>
      <c r="AA127" s="24"/>
      <c r="AB127" s="24"/>
      <c r="AC127" s="24"/>
    </row>
    <row r="128" spans="1:29" ht="15.75" customHeight="1">
      <c r="A128" s="39" t="s">
        <v>664</v>
      </c>
      <c r="B128" s="107">
        <v>43580</v>
      </c>
      <c r="C128" s="109">
        <v>43581</v>
      </c>
      <c r="D128" s="64" t="s">
        <v>665</v>
      </c>
      <c r="E128" s="108" t="s">
        <v>523</v>
      </c>
      <c r="F128" s="24" t="s">
        <v>524</v>
      </c>
      <c r="G128" s="399">
        <f>IFERROR(VLOOKUP(A128,醫療院所DATABASE!A:B,2,""),)</f>
        <v>0</v>
      </c>
      <c r="H128" s="64"/>
      <c r="I128" s="40" t="s">
        <v>743</v>
      </c>
      <c r="J128" s="40" t="s">
        <v>818</v>
      </c>
      <c r="K128" s="24" t="s">
        <v>826</v>
      </c>
      <c r="L128" s="64" t="s">
        <v>827</v>
      </c>
      <c r="M128" s="49" t="s">
        <v>61</v>
      </c>
      <c r="N128" s="47" t="s">
        <v>62</v>
      </c>
      <c r="O128" s="24"/>
      <c r="P128" s="409" t="s">
        <v>828</v>
      </c>
      <c r="Q128" s="64"/>
      <c r="R128" s="64"/>
      <c r="S128" s="24"/>
      <c r="T128" s="24"/>
      <c r="U128" s="64"/>
      <c r="V128" s="24"/>
      <c r="W128" s="24"/>
      <c r="X128" s="24"/>
      <c r="Y128" s="24"/>
      <c r="Z128" s="24"/>
      <c r="AA128" s="24"/>
      <c r="AB128" s="24"/>
      <c r="AC128" s="24"/>
    </row>
    <row r="129" spans="1:29" ht="15.75" customHeight="1">
      <c r="A129" s="39" t="s">
        <v>664</v>
      </c>
      <c r="B129" s="107">
        <v>43580</v>
      </c>
      <c r="C129" s="109">
        <v>43581</v>
      </c>
      <c r="D129" s="64" t="s">
        <v>665</v>
      </c>
      <c r="E129" s="108" t="s">
        <v>523</v>
      </c>
      <c r="F129" s="24" t="s">
        <v>524</v>
      </c>
      <c r="G129" s="399">
        <f>IFERROR(VLOOKUP(A129,醫療院所DATABASE!A:B,2,""),)</f>
        <v>0</v>
      </c>
      <c r="H129" s="64"/>
      <c r="I129" s="40" t="s">
        <v>743</v>
      </c>
      <c r="J129" s="40" t="s">
        <v>818</v>
      </c>
      <c r="K129" s="24" t="s">
        <v>829</v>
      </c>
      <c r="L129" s="64" t="s">
        <v>830</v>
      </c>
      <c r="M129" s="49" t="s">
        <v>61</v>
      </c>
      <c r="N129" s="47" t="s">
        <v>62</v>
      </c>
      <c r="O129" s="24"/>
      <c r="P129" s="409" t="s">
        <v>831</v>
      </c>
      <c r="Q129" s="64"/>
      <c r="R129" s="64"/>
      <c r="S129" s="24"/>
      <c r="T129" s="24"/>
      <c r="U129" s="64"/>
      <c r="V129" s="24"/>
      <c r="W129" s="24"/>
      <c r="X129" s="24"/>
      <c r="Y129" s="24"/>
      <c r="Z129" s="24"/>
      <c r="AA129" s="24"/>
      <c r="AB129" s="24"/>
      <c r="AC129" s="24"/>
    </row>
    <row r="130" spans="1:29" ht="15.75" customHeight="1">
      <c r="A130" s="39" t="s">
        <v>664</v>
      </c>
      <c r="B130" s="107">
        <v>43580</v>
      </c>
      <c r="C130" s="109">
        <v>43581</v>
      </c>
      <c r="D130" s="64" t="s">
        <v>665</v>
      </c>
      <c r="E130" s="108" t="s">
        <v>523</v>
      </c>
      <c r="F130" s="24" t="s">
        <v>524</v>
      </c>
      <c r="G130" s="399">
        <f>IFERROR(VLOOKUP(A130,醫療院所DATABASE!A:B,2,""),)</f>
        <v>0</v>
      </c>
      <c r="H130" s="64"/>
      <c r="I130" s="40" t="s">
        <v>743</v>
      </c>
      <c r="J130" s="40" t="s">
        <v>818</v>
      </c>
      <c r="K130" s="24" t="s">
        <v>832</v>
      </c>
      <c r="L130" s="64" t="s">
        <v>833</v>
      </c>
      <c r="M130" s="49" t="s">
        <v>61</v>
      </c>
      <c r="N130" s="24" t="s">
        <v>51</v>
      </c>
      <c r="O130" s="24"/>
      <c r="P130" s="409" t="s">
        <v>834</v>
      </c>
      <c r="Q130" s="64"/>
      <c r="R130" s="64"/>
      <c r="S130" s="24"/>
      <c r="T130" s="24"/>
      <c r="U130" s="64"/>
      <c r="V130" s="24"/>
      <c r="W130" s="24"/>
      <c r="X130" s="24"/>
      <c r="Y130" s="24"/>
      <c r="Z130" s="24"/>
      <c r="AA130" s="24"/>
      <c r="AB130" s="24"/>
      <c r="AC130" s="24"/>
    </row>
    <row r="131" spans="1:29" ht="15.75" customHeight="1">
      <c r="A131" s="39" t="s">
        <v>664</v>
      </c>
      <c r="B131" s="107">
        <v>43580</v>
      </c>
      <c r="C131" s="109">
        <v>43581</v>
      </c>
      <c r="D131" s="64" t="s">
        <v>665</v>
      </c>
      <c r="E131" s="108" t="s">
        <v>523</v>
      </c>
      <c r="F131" s="24" t="s">
        <v>524</v>
      </c>
      <c r="G131" s="399">
        <f>IFERROR(VLOOKUP(A131,醫療院所DATABASE!A:B,2,""),)</f>
        <v>0</v>
      </c>
      <c r="H131" s="64"/>
      <c r="I131" s="40" t="s">
        <v>743</v>
      </c>
      <c r="J131" s="40" t="s">
        <v>818</v>
      </c>
      <c r="K131" s="24" t="s">
        <v>835</v>
      </c>
      <c r="L131" s="64" t="s">
        <v>836</v>
      </c>
      <c r="M131" s="49" t="s">
        <v>61</v>
      </c>
      <c r="N131" s="24" t="s">
        <v>51</v>
      </c>
      <c r="O131" s="24"/>
      <c r="P131" s="409" t="s">
        <v>837</v>
      </c>
      <c r="Q131" s="64"/>
      <c r="R131" s="64"/>
      <c r="S131" s="24"/>
      <c r="T131" s="24"/>
      <c r="U131" s="64"/>
      <c r="V131" s="24"/>
      <c r="W131" s="24"/>
      <c r="X131" s="24"/>
      <c r="Y131" s="24"/>
      <c r="Z131" s="24"/>
      <c r="AA131" s="24"/>
      <c r="AB131" s="24"/>
      <c r="AC131" s="24"/>
    </row>
    <row r="132" spans="1:29" ht="15.75" customHeight="1">
      <c r="A132" s="39" t="s">
        <v>664</v>
      </c>
      <c r="B132" s="107">
        <v>43580</v>
      </c>
      <c r="C132" s="109">
        <v>43581</v>
      </c>
      <c r="D132" s="64" t="s">
        <v>665</v>
      </c>
      <c r="E132" s="108" t="s">
        <v>523</v>
      </c>
      <c r="F132" s="24" t="s">
        <v>524</v>
      </c>
      <c r="G132" s="399">
        <f>IFERROR(VLOOKUP(A132,醫療院所DATABASE!A:B,2,""),)</f>
        <v>0</v>
      </c>
      <c r="H132" s="64"/>
      <c r="I132" s="40" t="s">
        <v>743</v>
      </c>
      <c r="J132" s="40" t="s">
        <v>818</v>
      </c>
      <c r="K132" s="24" t="s">
        <v>838</v>
      </c>
      <c r="L132" s="64" t="s">
        <v>839</v>
      </c>
      <c r="M132" s="49" t="s">
        <v>61</v>
      </c>
      <c r="N132" s="24" t="s">
        <v>51</v>
      </c>
      <c r="O132" s="24"/>
      <c r="P132" s="409" t="s">
        <v>840</v>
      </c>
      <c r="Q132" s="64"/>
      <c r="R132" s="64"/>
      <c r="S132" s="24"/>
      <c r="T132" s="24"/>
      <c r="U132" s="64"/>
      <c r="V132" s="24"/>
      <c r="W132" s="24"/>
      <c r="X132" s="24"/>
      <c r="Y132" s="24"/>
      <c r="Z132" s="24"/>
      <c r="AA132" s="24"/>
      <c r="AB132" s="24"/>
      <c r="AC132" s="24"/>
    </row>
    <row r="133" spans="1:29" ht="15.75" customHeight="1">
      <c r="A133" s="39" t="s">
        <v>841</v>
      </c>
      <c r="B133" s="107">
        <v>43580</v>
      </c>
      <c r="C133" s="109">
        <v>43584</v>
      </c>
      <c r="D133" s="64" t="s">
        <v>665</v>
      </c>
      <c r="E133" s="108" t="s">
        <v>523</v>
      </c>
      <c r="F133" s="24" t="s">
        <v>524</v>
      </c>
      <c r="G133" s="399">
        <f>IFERROR(VLOOKUP(A133,醫療院所DATABASE!A:B,2,""),)</f>
        <v>0</v>
      </c>
      <c r="H133" s="64"/>
      <c r="I133" s="40" t="s">
        <v>743</v>
      </c>
      <c r="J133" s="40" t="s">
        <v>818</v>
      </c>
      <c r="K133" s="24" t="s">
        <v>842</v>
      </c>
      <c r="L133" s="64" t="s">
        <v>843</v>
      </c>
      <c r="M133" s="49" t="s">
        <v>61</v>
      </c>
      <c r="N133" s="47" t="s">
        <v>62</v>
      </c>
      <c r="O133" s="24"/>
      <c r="P133" s="409" t="s">
        <v>844</v>
      </c>
      <c r="Q133" s="64"/>
      <c r="R133" s="64"/>
      <c r="S133" s="24"/>
      <c r="T133" s="24"/>
      <c r="U133" s="64"/>
      <c r="V133" s="24"/>
      <c r="W133" s="24"/>
      <c r="X133" s="24"/>
      <c r="Y133" s="24"/>
      <c r="Z133" s="24"/>
      <c r="AA133" s="24"/>
      <c r="AB133" s="24"/>
      <c r="AC133" s="24"/>
    </row>
    <row r="134" spans="1:29" ht="15.75" customHeight="1">
      <c r="A134" s="39" t="s">
        <v>845</v>
      </c>
      <c r="B134" s="107">
        <v>43580</v>
      </c>
      <c r="C134" s="109">
        <v>43581</v>
      </c>
      <c r="D134" s="64" t="s">
        <v>665</v>
      </c>
      <c r="E134" s="108" t="s">
        <v>523</v>
      </c>
      <c r="F134" s="24" t="s">
        <v>524</v>
      </c>
      <c r="G134" s="399">
        <f>IFERROR(VLOOKUP(A134,醫療院所DATABASE!A:B,2,""),)</f>
        <v>0</v>
      </c>
      <c r="H134" s="64"/>
      <c r="I134" s="40" t="s">
        <v>743</v>
      </c>
      <c r="J134" s="40" t="s">
        <v>818</v>
      </c>
      <c r="K134" s="24" t="s">
        <v>846</v>
      </c>
      <c r="L134" s="64" t="s">
        <v>847</v>
      </c>
      <c r="M134" s="49" t="s">
        <v>61</v>
      </c>
      <c r="N134" s="47" t="s">
        <v>62</v>
      </c>
      <c r="O134" s="24"/>
      <c r="P134" s="409" t="s">
        <v>848</v>
      </c>
      <c r="Q134" s="64"/>
      <c r="R134" s="64"/>
      <c r="S134" s="24"/>
      <c r="T134" s="24"/>
      <c r="U134" s="64"/>
      <c r="V134" s="24"/>
      <c r="W134" s="24"/>
      <c r="X134" s="24"/>
      <c r="Y134" s="24"/>
      <c r="Z134" s="24"/>
      <c r="AA134" s="24"/>
      <c r="AB134" s="24"/>
      <c r="AC134" s="24"/>
    </row>
    <row r="135" spans="1:29" ht="15.75" customHeight="1">
      <c r="A135" s="39" t="s">
        <v>849</v>
      </c>
      <c r="B135" s="107">
        <v>43580</v>
      </c>
      <c r="C135" s="109">
        <v>43581</v>
      </c>
      <c r="D135" s="76" t="s">
        <v>522</v>
      </c>
      <c r="E135" s="108" t="s">
        <v>523</v>
      </c>
      <c r="F135" s="24" t="s">
        <v>524</v>
      </c>
      <c r="G135" s="399">
        <f>IFERROR(VLOOKUP(A135,醫療院所DATABASE!A:B,2,""),)</f>
        <v>0</v>
      </c>
      <c r="H135" s="64"/>
      <c r="I135" s="40" t="s">
        <v>743</v>
      </c>
      <c r="J135" s="40" t="s">
        <v>818</v>
      </c>
      <c r="K135" s="24" t="s">
        <v>850</v>
      </c>
      <c r="L135" s="64" t="s">
        <v>851</v>
      </c>
      <c r="M135" s="49" t="s">
        <v>61</v>
      </c>
      <c r="N135" s="47" t="s">
        <v>62</v>
      </c>
      <c r="O135" s="24"/>
      <c r="P135" s="409" t="s">
        <v>852</v>
      </c>
      <c r="Q135" s="64"/>
      <c r="R135" s="64"/>
      <c r="S135" s="24"/>
      <c r="T135" s="24"/>
      <c r="U135" s="64"/>
      <c r="V135" s="24"/>
      <c r="W135" s="24"/>
      <c r="X135" s="24"/>
      <c r="Y135" s="24"/>
      <c r="Z135" s="24"/>
      <c r="AA135" s="24"/>
      <c r="AB135" s="24"/>
      <c r="AC135" s="24"/>
    </row>
    <row r="136" spans="1:29" ht="15.75" customHeight="1">
      <c r="A136" s="39" t="s">
        <v>853</v>
      </c>
      <c r="B136" s="107">
        <v>43580</v>
      </c>
      <c r="C136" s="109">
        <v>43581</v>
      </c>
      <c r="D136" s="64" t="s">
        <v>366</v>
      </c>
      <c r="E136" s="108" t="s">
        <v>188</v>
      </c>
      <c r="F136" s="39" t="s">
        <v>854</v>
      </c>
      <c r="G136" s="399">
        <f>IFERROR(VLOOKUP(A136,醫療院所DATABASE!A:B,2,""),)</f>
        <v>0</v>
      </c>
      <c r="H136" s="64"/>
      <c r="I136" s="40" t="s">
        <v>743</v>
      </c>
      <c r="J136" s="40" t="s">
        <v>818</v>
      </c>
      <c r="K136" s="24" t="s">
        <v>855</v>
      </c>
      <c r="L136" s="64" t="s">
        <v>856</v>
      </c>
      <c r="M136" s="49" t="s">
        <v>61</v>
      </c>
      <c r="N136" s="24" t="s">
        <v>51</v>
      </c>
      <c r="O136" s="24"/>
      <c r="P136" s="409" t="s">
        <v>857</v>
      </c>
      <c r="Q136" s="64"/>
      <c r="R136" s="64"/>
      <c r="S136" s="24"/>
      <c r="T136" s="24"/>
      <c r="U136" s="64"/>
      <c r="V136" s="24"/>
      <c r="W136" s="24"/>
      <c r="X136" s="24"/>
      <c r="Y136" s="24"/>
      <c r="Z136" s="24"/>
      <c r="AA136" s="24"/>
      <c r="AB136" s="24"/>
      <c r="AC136" s="24"/>
    </row>
    <row r="137" spans="1:29" ht="15.75" customHeight="1">
      <c r="A137" s="39" t="s">
        <v>853</v>
      </c>
      <c r="B137" s="107">
        <v>43580</v>
      </c>
      <c r="C137" s="109">
        <v>43581</v>
      </c>
      <c r="D137" s="64" t="s">
        <v>366</v>
      </c>
      <c r="E137" s="108" t="s">
        <v>188</v>
      </c>
      <c r="F137" s="39" t="s">
        <v>854</v>
      </c>
      <c r="G137" s="399">
        <f>IFERROR(VLOOKUP(A137,醫療院所DATABASE!A:B,2,""),)</f>
        <v>0</v>
      </c>
      <c r="H137" s="64"/>
      <c r="I137" s="40" t="s">
        <v>743</v>
      </c>
      <c r="J137" s="40" t="s">
        <v>818</v>
      </c>
      <c r="K137" s="24" t="s">
        <v>858</v>
      </c>
      <c r="L137" s="64" t="s">
        <v>859</v>
      </c>
      <c r="M137" s="49" t="s">
        <v>61</v>
      </c>
      <c r="N137" s="47" t="s">
        <v>62</v>
      </c>
      <c r="O137" s="24"/>
      <c r="P137" s="409" t="s">
        <v>860</v>
      </c>
      <c r="Q137" s="64"/>
      <c r="R137" s="64"/>
      <c r="S137" s="24"/>
      <c r="T137" s="24"/>
      <c r="U137" s="64"/>
      <c r="V137" s="24"/>
      <c r="W137" s="24"/>
      <c r="X137" s="24"/>
      <c r="Y137" s="24"/>
      <c r="Z137" s="24"/>
      <c r="AA137" s="24"/>
      <c r="AB137" s="24"/>
      <c r="AC137" s="24"/>
    </row>
    <row r="138" spans="1:29" ht="15.75" customHeight="1">
      <c r="A138" s="39" t="s">
        <v>853</v>
      </c>
      <c r="B138" s="107">
        <v>43580</v>
      </c>
      <c r="C138" s="109">
        <v>43581</v>
      </c>
      <c r="D138" s="64" t="s">
        <v>366</v>
      </c>
      <c r="E138" s="108" t="s">
        <v>188</v>
      </c>
      <c r="F138" s="39" t="s">
        <v>854</v>
      </c>
      <c r="G138" s="399">
        <f>IFERROR(VLOOKUP(A138,醫療院所DATABASE!A:B,2,""),)</f>
        <v>0</v>
      </c>
      <c r="H138" s="64"/>
      <c r="I138" s="40" t="s">
        <v>743</v>
      </c>
      <c r="J138" s="40" t="s">
        <v>818</v>
      </c>
      <c r="K138" s="24" t="s">
        <v>861</v>
      </c>
      <c r="L138" s="64" t="s">
        <v>862</v>
      </c>
      <c r="M138" s="49" t="s">
        <v>61</v>
      </c>
      <c r="N138" s="24" t="s">
        <v>51</v>
      </c>
      <c r="O138" s="24"/>
      <c r="P138" s="409" t="s">
        <v>863</v>
      </c>
      <c r="Q138" s="64"/>
      <c r="R138" s="64"/>
      <c r="S138" s="24"/>
      <c r="T138" s="24"/>
      <c r="U138" s="64"/>
      <c r="V138" s="24"/>
      <c r="W138" s="24"/>
      <c r="X138" s="24"/>
      <c r="Y138" s="24"/>
      <c r="Z138" s="24"/>
      <c r="AA138" s="24"/>
      <c r="AB138" s="24"/>
      <c r="AC138" s="24"/>
    </row>
    <row r="139" spans="1:29" ht="15.75" customHeight="1">
      <c r="A139" s="39" t="s">
        <v>853</v>
      </c>
      <c r="B139" s="107">
        <v>43580</v>
      </c>
      <c r="C139" s="109">
        <v>43581</v>
      </c>
      <c r="D139" s="64" t="s">
        <v>366</v>
      </c>
      <c r="E139" s="108" t="s">
        <v>188</v>
      </c>
      <c r="F139" s="39" t="s">
        <v>854</v>
      </c>
      <c r="G139" s="399">
        <f>IFERROR(VLOOKUP(A139,醫療院所DATABASE!A:B,2,""),)</f>
        <v>0</v>
      </c>
      <c r="H139" s="64"/>
      <c r="I139" s="40" t="s">
        <v>743</v>
      </c>
      <c r="J139" s="40" t="s">
        <v>818</v>
      </c>
      <c r="K139" s="24" t="s">
        <v>864</v>
      </c>
      <c r="L139" s="64" t="s">
        <v>865</v>
      </c>
      <c r="M139" s="49" t="s">
        <v>61</v>
      </c>
      <c r="N139" s="47" t="s">
        <v>62</v>
      </c>
      <c r="O139" s="24"/>
      <c r="P139" s="409" t="s">
        <v>866</v>
      </c>
      <c r="Q139" s="64"/>
      <c r="R139" s="64"/>
      <c r="S139" s="24"/>
      <c r="T139" s="24"/>
      <c r="U139" s="64"/>
      <c r="V139" s="24"/>
      <c r="W139" s="24"/>
      <c r="X139" s="24"/>
      <c r="Y139" s="24"/>
      <c r="Z139" s="24"/>
      <c r="AA139" s="24"/>
      <c r="AB139" s="24"/>
      <c r="AC139" s="24"/>
    </row>
    <row r="140" spans="1:29" ht="15.75" customHeight="1">
      <c r="A140" s="39" t="s">
        <v>853</v>
      </c>
      <c r="B140" s="107">
        <v>43580</v>
      </c>
      <c r="C140" s="109">
        <v>43581</v>
      </c>
      <c r="D140" s="64" t="s">
        <v>366</v>
      </c>
      <c r="E140" s="108" t="s">
        <v>188</v>
      </c>
      <c r="F140" s="39" t="s">
        <v>854</v>
      </c>
      <c r="G140" s="399">
        <f>IFERROR(VLOOKUP(A140,醫療院所DATABASE!A:B,2,""),)</f>
        <v>0</v>
      </c>
      <c r="H140" s="64"/>
      <c r="I140" s="40" t="s">
        <v>743</v>
      </c>
      <c r="J140" s="40" t="s">
        <v>818</v>
      </c>
      <c r="K140" s="24" t="s">
        <v>867</v>
      </c>
      <c r="L140" s="64" t="s">
        <v>868</v>
      </c>
      <c r="M140" s="49" t="s">
        <v>61</v>
      </c>
      <c r="N140" s="47" t="s">
        <v>62</v>
      </c>
      <c r="O140" s="24"/>
      <c r="P140" s="409" t="s">
        <v>869</v>
      </c>
      <c r="Q140" s="64"/>
      <c r="R140" s="64"/>
      <c r="S140" s="24"/>
      <c r="T140" s="24"/>
      <c r="U140" s="64"/>
      <c r="V140" s="24"/>
      <c r="W140" s="24"/>
      <c r="X140" s="24"/>
      <c r="Y140" s="24"/>
      <c r="Z140" s="24"/>
      <c r="AA140" s="24"/>
      <c r="AB140" s="24"/>
      <c r="AC140" s="24"/>
    </row>
    <row r="141" spans="1:29" ht="15.75" customHeight="1">
      <c r="A141" s="39" t="s">
        <v>853</v>
      </c>
      <c r="B141" s="107">
        <v>43580</v>
      </c>
      <c r="C141" s="109">
        <v>43581</v>
      </c>
      <c r="D141" s="64" t="s">
        <v>366</v>
      </c>
      <c r="E141" s="108" t="s">
        <v>188</v>
      </c>
      <c r="F141" s="39" t="s">
        <v>854</v>
      </c>
      <c r="G141" s="399">
        <f>IFERROR(VLOOKUP(A141,醫療院所DATABASE!A:B,2,""),)</f>
        <v>0</v>
      </c>
      <c r="H141" s="64"/>
      <c r="I141" s="40" t="s">
        <v>743</v>
      </c>
      <c r="J141" s="40" t="s">
        <v>818</v>
      </c>
      <c r="K141" s="24" t="s">
        <v>870</v>
      </c>
      <c r="L141" s="64" t="s">
        <v>871</v>
      </c>
      <c r="M141" s="49" t="s">
        <v>61</v>
      </c>
      <c r="N141" s="47" t="s">
        <v>62</v>
      </c>
      <c r="O141" s="24"/>
      <c r="P141" s="409" t="s">
        <v>872</v>
      </c>
      <c r="Q141" s="64"/>
      <c r="R141" s="64"/>
      <c r="S141" s="24"/>
      <c r="T141" s="24"/>
      <c r="U141" s="64"/>
      <c r="V141" s="24"/>
      <c r="W141" s="24"/>
      <c r="X141" s="24"/>
      <c r="Y141" s="24"/>
      <c r="Z141" s="24"/>
      <c r="AA141" s="24"/>
      <c r="AB141" s="24"/>
      <c r="AC141" s="24"/>
    </row>
    <row r="142" spans="1:29" ht="15.75" customHeight="1">
      <c r="A142" s="39" t="s">
        <v>853</v>
      </c>
      <c r="B142" s="107">
        <v>43580</v>
      </c>
      <c r="C142" s="109">
        <v>43581</v>
      </c>
      <c r="D142" s="64" t="s">
        <v>366</v>
      </c>
      <c r="E142" s="108" t="s">
        <v>188</v>
      </c>
      <c r="F142" s="39" t="s">
        <v>854</v>
      </c>
      <c r="G142" s="399">
        <f>IFERROR(VLOOKUP(A142,醫療院所DATABASE!A:B,2,""),)</f>
        <v>0</v>
      </c>
      <c r="H142" s="64"/>
      <c r="I142" s="40" t="s">
        <v>743</v>
      </c>
      <c r="J142" s="40" t="s">
        <v>818</v>
      </c>
      <c r="K142" s="24" t="s">
        <v>873</v>
      </c>
      <c r="L142" s="64" t="s">
        <v>874</v>
      </c>
      <c r="M142" s="49" t="s">
        <v>61</v>
      </c>
      <c r="N142" s="47" t="s">
        <v>62</v>
      </c>
      <c r="O142" s="24"/>
      <c r="P142" s="409" t="s">
        <v>875</v>
      </c>
      <c r="Q142" s="64"/>
      <c r="R142" s="64"/>
      <c r="S142" s="24"/>
      <c r="T142" s="24"/>
      <c r="U142" s="64"/>
      <c r="V142" s="24"/>
      <c r="W142" s="24"/>
      <c r="X142" s="24"/>
      <c r="Y142" s="24"/>
      <c r="Z142" s="24"/>
      <c r="AA142" s="24"/>
      <c r="AB142" s="24"/>
      <c r="AC142" s="24"/>
    </row>
    <row r="143" spans="1:29" ht="15.75" customHeight="1">
      <c r="A143" s="39" t="s">
        <v>853</v>
      </c>
      <c r="B143" s="107">
        <v>43580</v>
      </c>
      <c r="C143" s="109">
        <v>43581</v>
      </c>
      <c r="D143" s="64" t="s">
        <v>366</v>
      </c>
      <c r="E143" s="108" t="s">
        <v>188</v>
      </c>
      <c r="F143" s="39" t="s">
        <v>854</v>
      </c>
      <c r="G143" s="399">
        <f>IFERROR(VLOOKUP(A143,醫療院所DATABASE!A:B,2,""),)</f>
        <v>0</v>
      </c>
      <c r="H143" s="64"/>
      <c r="I143" s="40" t="s">
        <v>743</v>
      </c>
      <c r="J143" s="40" t="s">
        <v>818</v>
      </c>
      <c r="K143" s="24" t="s">
        <v>876</v>
      </c>
      <c r="L143" s="64" t="s">
        <v>877</v>
      </c>
      <c r="M143" s="49" t="s">
        <v>61</v>
      </c>
      <c r="N143" s="24" t="s">
        <v>51</v>
      </c>
      <c r="O143" s="24"/>
      <c r="P143" s="409" t="s">
        <v>878</v>
      </c>
      <c r="Q143" s="64"/>
      <c r="R143" s="64"/>
      <c r="S143" s="24"/>
      <c r="T143" s="24"/>
      <c r="U143" s="64"/>
      <c r="V143" s="24"/>
      <c r="W143" s="24"/>
      <c r="X143" s="24"/>
      <c r="Y143" s="24"/>
      <c r="Z143" s="24"/>
      <c r="AA143" s="24"/>
      <c r="AB143" s="24"/>
      <c r="AC143" s="24"/>
    </row>
    <row r="144" spans="1:29" ht="15.75" customHeight="1">
      <c r="A144" s="39" t="s">
        <v>853</v>
      </c>
      <c r="B144" s="107">
        <v>43580</v>
      </c>
      <c r="C144" s="109">
        <v>43581</v>
      </c>
      <c r="D144" s="64" t="s">
        <v>366</v>
      </c>
      <c r="E144" s="108" t="s">
        <v>188</v>
      </c>
      <c r="F144" s="39" t="s">
        <v>854</v>
      </c>
      <c r="G144" s="399">
        <f>IFERROR(VLOOKUP(A144,醫療院所DATABASE!A:B,2,""),)</f>
        <v>0</v>
      </c>
      <c r="H144" s="64"/>
      <c r="I144" s="40" t="s">
        <v>743</v>
      </c>
      <c r="J144" s="40" t="s">
        <v>818</v>
      </c>
      <c r="K144" s="24" t="s">
        <v>879</v>
      </c>
      <c r="L144" s="64" t="s">
        <v>880</v>
      </c>
      <c r="M144" s="49" t="s">
        <v>61</v>
      </c>
      <c r="N144" s="47" t="s">
        <v>62</v>
      </c>
      <c r="O144" s="24"/>
      <c r="P144" s="409" t="s">
        <v>881</v>
      </c>
      <c r="Q144" s="64"/>
      <c r="R144" s="64"/>
      <c r="S144" s="24"/>
      <c r="T144" s="24"/>
      <c r="U144" s="64"/>
      <c r="V144" s="24"/>
      <c r="W144" s="24"/>
      <c r="X144" s="24"/>
      <c r="Y144" s="24"/>
      <c r="Z144" s="24"/>
      <c r="AA144" s="24"/>
      <c r="AB144" s="24"/>
      <c r="AC144" s="24"/>
    </row>
    <row r="145" spans="1:29" ht="15.75" customHeight="1">
      <c r="A145" s="39" t="s">
        <v>853</v>
      </c>
      <c r="B145" s="107">
        <v>43580</v>
      </c>
      <c r="C145" s="109">
        <v>43581</v>
      </c>
      <c r="D145" s="64" t="s">
        <v>366</v>
      </c>
      <c r="E145" s="108" t="s">
        <v>188</v>
      </c>
      <c r="F145" s="39" t="s">
        <v>854</v>
      </c>
      <c r="G145" s="399">
        <f>IFERROR(VLOOKUP(A145,醫療院所DATABASE!A:B,2,""),)</f>
        <v>0</v>
      </c>
      <c r="H145" s="64"/>
      <c r="I145" s="40" t="s">
        <v>743</v>
      </c>
      <c r="J145" s="40" t="s">
        <v>818</v>
      </c>
      <c r="K145" s="24" t="s">
        <v>882</v>
      </c>
      <c r="L145" s="64" t="s">
        <v>883</v>
      </c>
      <c r="M145" s="49" t="s">
        <v>61</v>
      </c>
      <c r="N145" s="47" t="s">
        <v>62</v>
      </c>
      <c r="O145" s="24"/>
      <c r="P145" s="409" t="s">
        <v>884</v>
      </c>
      <c r="Q145" s="64"/>
      <c r="R145" s="64"/>
      <c r="S145" s="24"/>
      <c r="T145" s="24"/>
      <c r="U145" s="64"/>
      <c r="V145" s="24"/>
      <c r="W145" s="24"/>
      <c r="X145" s="24"/>
      <c r="Y145" s="24"/>
      <c r="Z145" s="24"/>
      <c r="AA145" s="24"/>
      <c r="AB145" s="24"/>
      <c r="AC145" s="24"/>
    </row>
    <row r="146" spans="1:29" ht="15.75" customHeight="1">
      <c r="A146" s="39" t="s">
        <v>853</v>
      </c>
      <c r="B146" s="107">
        <v>43580</v>
      </c>
      <c r="C146" s="109">
        <v>43581</v>
      </c>
      <c r="D146" s="64" t="s">
        <v>366</v>
      </c>
      <c r="E146" s="108" t="s">
        <v>188</v>
      </c>
      <c r="F146" s="39" t="s">
        <v>854</v>
      </c>
      <c r="G146" s="399">
        <f>IFERROR(VLOOKUP(A146,醫療院所DATABASE!A:B,2,""),)</f>
        <v>0</v>
      </c>
      <c r="H146" s="64"/>
      <c r="I146" s="40" t="s">
        <v>743</v>
      </c>
      <c r="J146" s="40" t="s">
        <v>818</v>
      </c>
      <c r="K146" s="24" t="s">
        <v>885</v>
      </c>
      <c r="L146" s="64" t="s">
        <v>886</v>
      </c>
      <c r="M146" s="49" t="s">
        <v>61</v>
      </c>
      <c r="N146" s="24" t="s">
        <v>51</v>
      </c>
      <c r="O146" s="24"/>
      <c r="P146" s="409" t="s">
        <v>887</v>
      </c>
      <c r="Q146" s="64"/>
      <c r="R146" s="64"/>
      <c r="S146" s="24"/>
      <c r="T146" s="24"/>
      <c r="U146" s="64"/>
      <c r="V146" s="24"/>
      <c r="W146" s="24"/>
      <c r="X146" s="24"/>
      <c r="Y146" s="24"/>
      <c r="Z146" s="24"/>
      <c r="AA146" s="24"/>
      <c r="AB146" s="24"/>
      <c r="AC146" s="24"/>
    </row>
    <row r="147" spans="1:29" ht="15.75" customHeight="1">
      <c r="A147" s="39" t="s">
        <v>853</v>
      </c>
      <c r="B147" s="107">
        <v>43580</v>
      </c>
      <c r="C147" s="109">
        <v>43581</v>
      </c>
      <c r="D147" s="64" t="s">
        <v>366</v>
      </c>
      <c r="E147" s="108" t="s">
        <v>188</v>
      </c>
      <c r="F147" s="39" t="s">
        <v>854</v>
      </c>
      <c r="G147" s="399">
        <f>IFERROR(VLOOKUP(A147,醫療院所DATABASE!A:B,2,""),)</f>
        <v>0</v>
      </c>
      <c r="H147" s="64"/>
      <c r="I147" s="40" t="s">
        <v>743</v>
      </c>
      <c r="J147" s="40" t="s">
        <v>818</v>
      </c>
      <c r="K147" s="24" t="s">
        <v>888</v>
      </c>
      <c r="L147" s="64" t="s">
        <v>889</v>
      </c>
      <c r="M147" s="49" t="s">
        <v>61</v>
      </c>
      <c r="N147" s="47" t="s">
        <v>62</v>
      </c>
      <c r="O147" s="24"/>
      <c r="P147" s="409" t="s">
        <v>890</v>
      </c>
      <c r="Q147" s="64"/>
      <c r="R147" s="64"/>
      <c r="S147" s="24"/>
      <c r="T147" s="24"/>
      <c r="U147" s="64"/>
      <c r="V147" s="24"/>
      <c r="W147" s="24"/>
      <c r="X147" s="24"/>
      <c r="Y147" s="24"/>
      <c r="Z147" s="24"/>
      <c r="AA147" s="24"/>
      <c r="AB147" s="24"/>
      <c r="AC147" s="24"/>
    </row>
    <row r="148" spans="1:29" ht="15.75" customHeight="1">
      <c r="A148" s="39" t="s">
        <v>853</v>
      </c>
      <c r="B148" s="107">
        <v>43580</v>
      </c>
      <c r="C148" s="109">
        <v>43581</v>
      </c>
      <c r="D148" s="64" t="s">
        <v>366</v>
      </c>
      <c r="E148" s="108" t="s">
        <v>188</v>
      </c>
      <c r="F148" s="39" t="s">
        <v>854</v>
      </c>
      <c r="G148" s="399">
        <f>IFERROR(VLOOKUP(A148,醫療院所DATABASE!A:B,2,""),)</f>
        <v>0</v>
      </c>
      <c r="H148" s="64"/>
      <c r="I148" s="40" t="s">
        <v>743</v>
      </c>
      <c r="J148" s="40" t="s">
        <v>818</v>
      </c>
      <c r="K148" s="24" t="s">
        <v>891</v>
      </c>
      <c r="L148" s="64" t="s">
        <v>892</v>
      </c>
      <c r="M148" s="49" t="s">
        <v>61</v>
      </c>
      <c r="N148" s="47" t="s">
        <v>62</v>
      </c>
      <c r="O148" s="24"/>
      <c r="P148" s="409" t="s">
        <v>893</v>
      </c>
      <c r="Q148" s="64"/>
      <c r="R148" s="64"/>
      <c r="S148" s="24"/>
      <c r="T148" s="24"/>
      <c r="U148" s="64"/>
      <c r="V148" s="24"/>
      <c r="W148" s="24"/>
      <c r="X148" s="24"/>
      <c r="Y148" s="24"/>
      <c r="Z148" s="24"/>
      <c r="AA148" s="24"/>
      <c r="AB148" s="24"/>
      <c r="AC148" s="24"/>
    </row>
    <row r="149" spans="1:29" ht="15.75" customHeight="1">
      <c r="A149" s="39" t="s">
        <v>853</v>
      </c>
      <c r="B149" s="107">
        <v>43580</v>
      </c>
      <c r="C149" s="109">
        <v>43581</v>
      </c>
      <c r="D149" s="64" t="s">
        <v>366</v>
      </c>
      <c r="E149" s="108" t="s">
        <v>188</v>
      </c>
      <c r="F149" s="39" t="s">
        <v>854</v>
      </c>
      <c r="G149" s="399">
        <f>IFERROR(VLOOKUP(A149,醫療院所DATABASE!A:B,2,""),)</f>
        <v>0</v>
      </c>
      <c r="H149" s="64"/>
      <c r="I149" s="40" t="s">
        <v>743</v>
      </c>
      <c r="J149" s="40" t="s">
        <v>818</v>
      </c>
      <c r="K149" s="24" t="s">
        <v>894</v>
      </c>
      <c r="L149" s="64" t="s">
        <v>895</v>
      </c>
      <c r="M149" s="49" t="s">
        <v>61</v>
      </c>
      <c r="N149" s="47" t="s">
        <v>62</v>
      </c>
      <c r="O149" s="24"/>
      <c r="P149" s="409" t="s">
        <v>896</v>
      </c>
      <c r="Q149" s="64"/>
      <c r="R149" s="64"/>
      <c r="S149" s="24"/>
      <c r="T149" s="24"/>
      <c r="U149" s="64"/>
      <c r="V149" s="24"/>
      <c r="W149" s="24"/>
      <c r="X149" s="24"/>
      <c r="Y149" s="24"/>
      <c r="Z149" s="24"/>
      <c r="AA149" s="24"/>
      <c r="AB149" s="24"/>
      <c r="AC149" s="24"/>
    </row>
    <row r="150" spans="1:29" ht="15.75" customHeight="1">
      <c r="A150" s="39" t="s">
        <v>853</v>
      </c>
      <c r="B150" s="107">
        <v>43580</v>
      </c>
      <c r="C150" s="109">
        <v>43581</v>
      </c>
      <c r="D150" s="64" t="s">
        <v>366</v>
      </c>
      <c r="E150" s="108" t="s">
        <v>188</v>
      </c>
      <c r="F150" s="39" t="s">
        <v>854</v>
      </c>
      <c r="G150" s="399">
        <f>IFERROR(VLOOKUP(A150,醫療院所DATABASE!A:B,2,""),)</f>
        <v>0</v>
      </c>
      <c r="H150" s="64"/>
      <c r="I150" s="40" t="s">
        <v>743</v>
      </c>
      <c r="J150" s="40" t="s">
        <v>818</v>
      </c>
      <c r="K150" s="24" t="s">
        <v>897</v>
      </c>
      <c r="L150" s="64" t="s">
        <v>898</v>
      </c>
      <c r="M150" s="49" t="s">
        <v>61</v>
      </c>
      <c r="N150" s="24" t="s">
        <v>51</v>
      </c>
      <c r="O150" s="24"/>
      <c r="P150" s="409" t="s">
        <v>899</v>
      </c>
      <c r="Q150" s="64"/>
      <c r="R150" s="64"/>
      <c r="S150" s="24"/>
      <c r="T150" s="24"/>
      <c r="U150" s="64"/>
      <c r="V150" s="24"/>
      <c r="W150" s="24"/>
      <c r="X150" s="24"/>
      <c r="Y150" s="24"/>
      <c r="Z150" s="24"/>
      <c r="AA150" s="24"/>
      <c r="AB150" s="24"/>
      <c r="AC150" s="24"/>
    </row>
    <row r="151" spans="1:29" ht="15.75" customHeight="1">
      <c r="A151" s="39" t="s">
        <v>853</v>
      </c>
      <c r="B151" s="107">
        <v>43580</v>
      </c>
      <c r="C151" s="109">
        <v>43581</v>
      </c>
      <c r="D151" s="64" t="s">
        <v>366</v>
      </c>
      <c r="E151" s="108" t="s">
        <v>188</v>
      </c>
      <c r="F151" s="39" t="s">
        <v>854</v>
      </c>
      <c r="G151" s="399">
        <f>IFERROR(VLOOKUP(A151,醫療院所DATABASE!A:B,2,""),)</f>
        <v>0</v>
      </c>
      <c r="H151" s="64"/>
      <c r="I151" s="40" t="s">
        <v>743</v>
      </c>
      <c r="J151" s="40" t="s">
        <v>818</v>
      </c>
      <c r="K151" s="24" t="s">
        <v>900</v>
      </c>
      <c r="L151" s="64" t="s">
        <v>901</v>
      </c>
      <c r="M151" s="49" t="s">
        <v>61</v>
      </c>
      <c r="N151" s="47" t="s">
        <v>62</v>
      </c>
      <c r="O151" s="24"/>
      <c r="P151" s="409" t="s">
        <v>902</v>
      </c>
      <c r="Q151" s="64"/>
      <c r="R151" s="64"/>
      <c r="S151" s="24"/>
      <c r="T151" s="24"/>
      <c r="U151" s="64"/>
      <c r="V151" s="24"/>
      <c r="W151" s="24"/>
      <c r="X151" s="24"/>
      <c r="Y151" s="24"/>
      <c r="Z151" s="24"/>
      <c r="AA151" s="24"/>
      <c r="AB151" s="24"/>
      <c r="AC151" s="24"/>
    </row>
    <row r="152" spans="1:29" ht="15.75" customHeight="1">
      <c r="A152" s="39" t="s">
        <v>853</v>
      </c>
      <c r="B152" s="107">
        <v>43580</v>
      </c>
      <c r="C152" s="109">
        <v>43581</v>
      </c>
      <c r="D152" s="64" t="s">
        <v>366</v>
      </c>
      <c r="E152" s="108" t="s">
        <v>188</v>
      </c>
      <c r="F152" s="39" t="s">
        <v>854</v>
      </c>
      <c r="G152" s="399">
        <f>IFERROR(VLOOKUP(A152,醫療院所DATABASE!A:B,2,""),)</f>
        <v>0</v>
      </c>
      <c r="H152" s="64"/>
      <c r="I152" s="40" t="s">
        <v>743</v>
      </c>
      <c r="J152" s="40" t="s">
        <v>818</v>
      </c>
      <c r="K152" s="24" t="s">
        <v>903</v>
      </c>
      <c r="L152" s="64" t="s">
        <v>904</v>
      </c>
      <c r="M152" s="49" t="s">
        <v>61</v>
      </c>
      <c r="N152" s="47" t="s">
        <v>62</v>
      </c>
      <c r="O152" s="24"/>
      <c r="P152" s="409" t="s">
        <v>905</v>
      </c>
      <c r="Q152" s="64"/>
      <c r="R152" s="64"/>
      <c r="S152" s="24"/>
      <c r="T152" s="24"/>
      <c r="U152" s="64"/>
      <c r="V152" s="24"/>
      <c r="W152" s="24"/>
      <c r="X152" s="24"/>
      <c r="Y152" s="24"/>
      <c r="Z152" s="24"/>
      <c r="AA152" s="24"/>
      <c r="AB152" s="24"/>
      <c r="AC152" s="24"/>
    </row>
    <row r="153" spans="1:29" ht="15.75" customHeight="1">
      <c r="A153" s="39" t="s">
        <v>853</v>
      </c>
      <c r="B153" s="107">
        <v>43580</v>
      </c>
      <c r="C153" s="109">
        <v>43581</v>
      </c>
      <c r="D153" s="64" t="s">
        <v>366</v>
      </c>
      <c r="E153" s="108" t="s">
        <v>188</v>
      </c>
      <c r="F153" s="39" t="s">
        <v>854</v>
      </c>
      <c r="G153" s="399">
        <f>IFERROR(VLOOKUP(A153,醫療院所DATABASE!A:B,2,""),)</f>
        <v>0</v>
      </c>
      <c r="H153" s="64"/>
      <c r="I153" s="40" t="s">
        <v>743</v>
      </c>
      <c r="J153" s="40" t="s">
        <v>818</v>
      </c>
      <c r="K153" s="24" t="s">
        <v>906</v>
      </c>
      <c r="L153" s="64" t="s">
        <v>907</v>
      </c>
      <c r="M153" s="49" t="s">
        <v>61</v>
      </c>
      <c r="N153" s="47" t="s">
        <v>62</v>
      </c>
      <c r="O153" s="24"/>
      <c r="P153" s="409" t="s">
        <v>908</v>
      </c>
      <c r="Q153" s="64"/>
      <c r="R153" s="64"/>
      <c r="S153" s="24"/>
      <c r="T153" s="24"/>
      <c r="U153" s="64"/>
      <c r="V153" s="24"/>
      <c r="W153" s="24"/>
      <c r="X153" s="24"/>
      <c r="Y153" s="24"/>
      <c r="Z153" s="24"/>
      <c r="AA153" s="24"/>
      <c r="AB153" s="24"/>
      <c r="AC153" s="24"/>
    </row>
    <row r="154" spans="1:29" ht="15.75" customHeight="1">
      <c r="A154" s="39" t="s">
        <v>853</v>
      </c>
      <c r="B154" s="107">
        <v>43580</v>
      </c>
      <c r="C154" s="109">
        <v>43581</v>
      </c>
      <c r="D154" s="64" t="s">
        <v>366</v>
      </c>
      <c r="E154" s="108" t="s">
        <v>188</v>
      </c>
      <c r="F154" s="39" t="s">
        <v>854</v>
      </c>
      <c r="G154" s="399">
        <f>IFERROR(VLOOKUP(A154,醫療院所DATABASE!A:B,2,""),)</f>
        <v>0</v>
      </c>
      <c r="H154" s="64"/>
      <c r="I154" s="40" t="s">
        <v>743</v>
      </c>
      <c r="J154" s="40" t="s">
        <v>818</v>
      </c>
      <c r="K154" s="24" t="s">
        <v>909</v>
      </c>
      <c r="L154" s="64" t="s">
        <v>910</v>
      </c>
      <c r="M154" s="49" t="s">
        <v>61</v>
      </c>
      <c r="N154" s="47" t="s">
        <v>62</v>
      </c>
      <c r="O154" s="24"/>
      <c r="P154" s="409" t="s">
        <v>911</v>
      </c>
      <c r="Q154" s="64"/>
      <c r="R154" s="64"/>
      <c r="S154" s="24"/>
      <c r="T154" s="24"/>
      <c r="U154" s="64"/>
      <c r="V154" s="24"/>
      <c r="W154" s="24"/>
      <c r="X154" s="24"/>
      <c r="Y154" s="24"/>
      <c r="Z154" s="24"/>
      <c r="AA154" s="24"/>
      <c r="AB154" s="24"/>
      <c r="AC154" s="24"/>
    </row>
    <row r="155" spans="1:29" ht="15.75" customHeight="1">
      <c r="A155" s="39" t="s">
        <v>853</v>
      </c>
      <c r="B155" s="107">
        <v>43580</v>
      </c>
      <c r="C155" s="109">
        <v>43581</v>
      </c>
      <c r="D155" s="64" t="s">
        <v>366</v>
      </c>
      <c r="E155" s="108" t="s">
        <v>188</v>
      </c>
      <c r="F155" s="39" t="s">
        <v>854</v>
      </c>
      <c r="G155" s="399">
        <f>IFERROR(VLOOKUP(A155,醫療院所DATABASE!A:B,2,""),)</f>
        <v>0</v>
      </c>
      <c r="H155" s="64"/>
      <c r="I155" s="40" t="s">
        <v>743</v>
      </c>
      <c r="J155" s="40" t="s">
        <v>818</v>
      </c>
      <c r="K155" s="24" t="s">
        <v>912</v>
      </c>
      <c r="L155" s="64" t="s">
        <v>913</v>
      </c>
      <c r="M155" s="49" t="s">
        <v>61</v>
      </c>
      <c r="N155" s="47" t="s">
        <v>62</v>
      </c>
      <c r="O155" s="24"/>
      <c r="P155" s="409" t="s">
        <v>914</v>
      </c>
      <c r="Q155" s="64"/>
      <c r="R155" s="64"/>
      <c r="S155" s="24"/>
      <c r="T155" s="24"/>
      <c r="U155" s="64"/>
      <c r="V155" s="24"/>
      <c r="W155" s="24"/>
      <c r="X155" s="24"/>
      <c r="Y155" s="24"/>
      <c r="Z155" s="24"/>
      <c r="AA155" s="24"/>
      <c r="AB155" s="24"/>
      <c r="AC155" s="24"/>
    </row>
    <row r="156" spans="1:29" ht="15.75" customHeight="1">
      <c r="A156" s="39" t="s">
        <v>853</v>
      </c>
      <c r="B156" s="107">
        <v>43580</v>
      </c>
      <c r="C156" s="109">
        <v>43581</v>
      </c>
      <c r="D156" s="64" t="s">
        <v>366</v>
      </c>
      <c r="E156" s="108" t="s">
        <v>188</v>
      </c>
      <c r="F156" s="39" t="s">
        <v>854</v>
      </c>
      <c r="G156" s="399">
        <f>IFERROR(VLOOKUP(A156,醫療院所DATABASE!A:B,2,""),)</f>
        <v>0</v>
      </c>
      <c r="H156" s="64"/>
      <c r="I156" s="40" t="s">
        <v>743</v>
      </c>
      <c r="J156" s="40" t="s">
        <v>818</v>
      </c>
      <c r="K156" s="24" t="s">
        <v>915</v>
      </c>
      <c r="L156" s="64" t="s">
        <v>916</v>
      </c>
      <c r="M156" s="49" t="s">
        <v>61</v>
      </c>
      <c r="N156" s="24" t="s">
        <v>51</v>
      </c>
      <c r="O156" s="24"/>
      <c r="P156" s="409" t="s">
        <v>917</v>
      </c>
      <c r="Q156" s="64"/>
      <c r="R156" s="64"/>
      <c r="S156" s="24"/>
      <c r="T156" s="24"/>
      <c r="U156" s="64"/>
      <c r="V156" s="24"/>
      <c r="W156" s="24"/>
      <c r="X156" s="24"/>
      <c r="Y156" s="24"/>
      <c r="Z156" s="24"/>
      <c r="AA156" s="24"/>
      <c r="AB156" s="24"/>
      <c r="AC156" s="24"/>
    </row>
    <row r="157" spans="1:29" ht="15.75" customHeight="1">
      <c r="A157" s="39" t="s">
        <v>853</v>
      </c>
      <c r="B157" s="107">
        <v>43580</v>
      </c>
      <c r="C157" s="109">
        <v>43581</v>
      </c>
      <c r="D157" s="64" t="s">
        <v>366</v>
      </c>
      <c r="E157" s="108" t="s">
        <v>188</v>
      </c>
      <c r="F157" s="39" t="s">
        <v>854</v>
      </c>
      <c r="G157" s="399">
        <f>IFERROR(VLOOKUP(A157,醫療院所DATABASE!A:B,2,""),)</f>
        <v>0</v>
      </c>
      <c r="H157" s="64"/>
      <c r="I157" s="40" t="s">
        <v>743</v>
      </c>
      <c r="J157" s="40" t="s">
        <v>818</v>
      </c>
      <c r="K157" s="24" t="s">
        <v>918</v>
      </c>
      <c r="L157" s="64" t="s">
        <v>919</v>
      </c>
      <c r="M157" s="49" t="s">
        <v>61</v>
      </c>
      <c r="N157" s="47" t="s">
        <v>62</v>
      </c>
      <c r="O157" s="24"/>
      <c r="P157" s="409" t="s">
        <v>920</v>
      </c>
      <c r="Q157" s="64"/>
      <c r="R157" s="64"/>
      <c r="S157" s="24"/>
      <c r="T157" s="24"/>
      <c r="U157" s="64"/>
      <c r="V157" s="24"/>
      <c r="W157" s="24"/>
      <c r="X157" s="24"/>
      <c r="Y157" s="24"/>
      <c r="Z157" s="24"/>
      <c r="AA157" s="24"/>
      <c r="AB157" s="24"/>
      <c r="AC157" s="24"/>
    </row>
    <row r="158" spans="1:29" ht="15.75" customHeight="1">
      <c r="A158" s="39" t="s">
        <v>853</v>
      </c>
      <c r="B158" s="107">
        <v>43580</v>
      </c>
      <c r="C158" s="109">
        <v>43581</v>
      </c>
      <c r="D158" s="64" t="s">
        <v>366</v>
      </c>
      <c r="E158" s="108" t="s">
        <v>188</v>
      </c>
      <c r="F158" s="39" t="s">
        <v>854</v>
      </c>
      <c r="G158" s="399">
        <f>IFERROR(VLOOKUP(A158,醫療院所DATABASE!A:B,2,""),)</f>
        <v>0</v>
      </c>
      <c r="H158" s="64"/>
      <c r="I158" s="40" t="s">
        <v>743</v>
      </c>
      <c r="J158" s="40" t="s">
        <v>818</v>
      </c>
      <c r="K158" s="24" t="s">
        <v>921</v>
      </c>
      <c r="L158" s="64" t="s">
        <v>922</v>
      </c>
      <c r="M158" s="49" t="s">
        <v>61</v>
      </c>
      <c r="N158" s="47" t="s">
        <v>62</v>
      </c>
      <c r="O158" s="24"/>
      <c r="P158" s="409" t="s">
        <v>923</v>
      </c>
      <c r="Q158" s="64"/>
      <c r="R158" s="64"/>
      <c r="S158" s="24"/>
      <c r="T158" s="24"/>
      <c r="U158" s="64"/>
      <c r="V158" s="24"/>
      <c r="W158" s="24"/>
      <c r="X158" s="24"/>
      <c r="Y158" s="24"/>
      <c r="Z158" s="24"/>
      <c r="AA158" s="24"/>
      <c r="AB158" s="24"/>
      <c r="AC158" s="24"/>
    </row>
    <row r="159" spans="1:29" ht="15.75" customHeight="1">
      <c r="A159" s="39" t="s">
        <v>853</v>
      </c>
      <c r="B159" s="107">
        <v>43580</v>
      </c>
      <c r="C159" s="109">
        <v>43581</v>
      </c>
      <c r="D159" s="64" t="s">
        <v>366</v>
      </c>
      <c r="E159" s="108" t="s">
        <v>188</v>
      </c>
      <c r="F159" s="39" t="s">
        <v>854</v>
      </c>
      <c r="G159" s="399">
        <f>IFERROR(VLOOKUP(A159,醫療院所DATABASE!A:B,2,""),)</f>
        <v>0</v>
      </c>
      <c r="H159" s="64"/>
      <c r="I159" s="40" t="s">
        <v>743</v>
      </c>
      <c r="J159" s="40" t="s">
        <v>818</v>
      </c>
      <c r="K159" s="56" t="s">
        <v>924</v>
      </c>
      <c r="L159" s="64" t="s">
        <v>925</v>
      </c>
      <c r="M159" s="49" t="s">
        <v>61</v>
      </c>
      <c r="N159" s="47" t="s">
        <v>62</v>
      </c>
      <c r="O159" s="24"/>
      <c r="P159" s="409" t="s">
        <v>926</v>
      </c>
      <c r="Q159" s="64"/>
      <c r="R159" s="64"/>
      <c r="S159" s="24"/>
      <c r="T159" s="24"/>
      <c r="U159" s="64"/>
      <c r="V159" s="24"/>
      <c r="W159" s="24"/>
      <c r="X159" s="24"/>
      <c r="Y159" s="24"/>
      <c r="Z159" s="24"/>
      <c r="AA159" s="24"/>
      <c r="AB159" s="24"/>
      <c r="AC159" s="24"/>
    </row>
    <row r="160" spans="1:29" ht="15.75" customHeight="1">
      <c r="A160" s="39" t="s">
        <v>927</v>
      </c>
      <c r="B160" s="107">
        <v>43580</v>
      </c>
      <c r="C160" s="109" t="s">
        <v>816</v>
      </c>
      <c r="D160" s="115" t="s">
        <v>719</v>
      </c>
      <c r="E160" s="112" t="s">
        <v>53</v>
      </c>
      <c r="F160" s="113" t="s">
        <v>928</v>
      </c>
      <c r="G160" s="399">
        <f>IFERROR(VLOOKUP(A160,醫療院所DATABASE!A:B,2,""),)</f>
        <v>0</v>
      </c>
      <c r="H160" s="101"/>
      <c r="I160" s="102" t="s">
        <v>743</v>
      </c>
      <c r="J160" s="102" t="s">
        <v>818</v>
      </c>
      <c r="K160" s="100" t="s">
        <v>929</v>
      </c>
      <c r="L160" s="116" t="s">
        <v>930</v>
      </c>
      <c r="M160" s="117" t="s">
        <v>641</v>
      </c>
      <c r="N160" s="100" t="s">
        <v>62</v>
      </c>
      <c r="O160" s="100"/>
      <c r="P160" s="410" t="s">
        <v>931</v>
      </c>
      <c r="Q160" s="101"/>
      <c r="R160" s="101"/>
      <c r="S160" s="100"/>
      <c r="T160" s="100"/>
      <c r="U160" s="101"/>
      <c r="V160" s="100"/>
      <c r="W160" s="100"/>
      <c r="X160" s="100"/>
      <c r="Y160" s="100"/>
      <c r="Z160" s="100"/>
      <c r="AA160" s="100"/>
      <c r="AB160" s="100"/>
      <c r="AC160" s="100"/>
    </row>
    <row r="161" spans="1:29" ht="15.75" customHeight="1">
      <c r="A161" s="39" t="s">
        <v>932</v>
      </c>
      <c r="B161" s="107">
        <v>43581</v>
      </c>
      <c r="C161" s="109" t="s">
        <v>816</v>
      </c>
      <c r="D161" s="64" t="s">
        <v>163</v>
      </c>
      <c r="E161" s="108" t="s">
        <v>53</v>
      </c>
      <c r="F161" s="24" t="s">
        <v>557</v>
      </c>
      <c r="G161" s="399">
        <f>IFERROR(VLOOKUP(A161,醫療院所DATABASE!A:B,2,""),)</f>
        <v>0</v>
      </c>
      <c r="H161" s="64"/>
      <c r="I161" s="40" t="s">
        <v>933</v>
      </c>
      <c r="J161" s="40" t="s">
        <v>934</v>
      </c>
      <c r="K161" s="24" t="s">
        <v>935</v>
      </c>
      <c r="L161" s="64" t="s">
        <v>936</v>
      </c>
      <c r="M161" s="49" t="s">
        <v>61</v>
      </c>
      <c r="N161" s="47" t="s">
        <v>62</v>
      </c>
      <c r="O161" s="24"/>
      <c r="P161" s="409" t="s">
        <v>937</v>
      </c>
      <c r="Q161" s="64"/>
      <c r="R161" s="64"/>
      <c r="S161" s="24"/>
      <c r="T161" s="24"/>
      <c r="U161" s="64"/>
      <c r="V161" s="24"/>
      <c r="W161" s="24"/>
      <c r="X161" s="24"/>
      <c r="Y161" s="24"/>
      <c r="Z161" s="24"/>
      <c r="AA161" s="24"/>
      <c r="AB161" s="24"/>
      <c r="AC161" s="24"/>
    </row>
    <row r="162" spans="1:29" ht="15.75" customHeight="1">
      <c r="A162" s="39" t="s">
        <v>938</v>
      </c>
      <c r="B162" s="77" t="s">
        <v>939</v>
      </c>
      <c r="C162" s="39">
        <v>20190506</v>
      </c>
      <c r="D162" s="64" t="s">
        <v>665</v>
      </c>
      <c r="E162" s="76" t="s">
        <v>53</v>
      </c>
      <c r="F162" s="24" t="s">
        <v>524</v>
      </c>
      <c r="G162" s="399">
        <f>IFERROR(VLOOKUP(A162,醫療院所DATABASE!A:B,2,""),)</f>
        <v>0</v>
      </c>
      <c r="H162" s="64"/>
      <c r="I162" s="77" t="s">
        <v>781</v>
      </c>
      <c r="J162" s="77" t="s">
        <v>939</v>
      </c>
      <c r="K162" s="39" t="s">
        <v>940</v>
      </c>
      <c r="L162" s="64" t="s">
        <v>941</v>
      </c>
      <c r="M162" s="49" t="s">
        <v>61</v>
      </c>
      <c r="N162" s="47" t="s">
        <v>62</v>
      </c>
      <c r="O162" s="24"/>
      <c r="P162" s="409" t="s">
        <v>942</v>
      </c>
      <c r="Q162" s="64"/>
      <c r="R162" s="64"/>
      <c r="S162" s="24"/>
      <c r="T162" s="24"/>
      <c r="U162" s="64"/>
      <c r="V162" s="24"/>
      <c r="W162" s="24"/>
      <c r="X162" s="24"/>
      <c r="Y162" s="24"/>
      <c r="Z162" s="24"/>
      <c r="AA162" s="24"/>
      <c r="AB162" s="24"/>
      <c r="AC162" s="24"/>
    </row>
    <row r="163" spans="1:29" ht="15.75" customHeight="1">
      <c r="A163" s="39" t="s">
        <v>943</v>
      </c>
      <c r="B163" s="77" t="s">
        <v>939</v>
      </c>
      <c r="C163" s="109">
        <v>43585</v>
      </c>
      <c r="D163" s="64" t="s">
        <v>523</v>
      </c>
      <c r="E163" s="64" t="s">
        <v>523</v>
      </c>
      <c r="F163" s="24" t="s">
        <v>944</v>
      </c>
      <c r="G163" s="399">
        <f>IFERROR(VLOOKUP(A163,醫療院所DATABASE!A:B,2,""),)</f>
        <v>0</v>
      </c>
      <c r="H163" s="64"/>
      <c r="I163" s="77" t="s">
        <v>781</v>
      </c>
      <c r="J163" s="77" t="s">
        <v>939</v>
      </c>
      <c r="K163" s="39" t="s">
        <v>945</v>
      </c>
      <c r="L163" s="64" t="s">
        <v>946</v>
      </c>
      <c r="M163" s="49" t="s">
        <v>61</v>
      </c>
      <c r="N163" s="47" t="s">
        <v>62</v>
      </c>
      <c r="O163" s="24"/>
      <c r="P163" s="409" t="s">
        <v>947</v>
      </c>
      <c r="Q163" s="64"/>
      <c r="R163" s="64"/>
      <c r="S163" s="24"/>
      <c r="T163" s="24"/>
      <c r="U163" s="64"/>
      <c r="V163" s="24"/>
      <c r="W163" s="24"/>
      <c r="X163" s="24"/>
      <c r="Y163" s="24"/>
      <c r="Z163" s="24"/>
      <c r="AA163" s="24"/>
      <c r="AB163" s="24"/>
      <c r="AC163" s="24"/>
    </row>
    <row r="164" spans="1:29" ht="15.75" customHeight="1">
      <c r="A164" s="39" t="s">
        <v>948</v>
      </c>
      <c r="B164" s="77" t="s">
        <v>939</v>
      </c>
      <c r="C164" s="109"/>
      <c r="D164" s="64" t="s">
        <v>665</v>
      </c>
      <c r="E164" s="64" t="s">
        <v>665</v>
      </c>
      <c r="F164" s="24" t="s">
        <v>949</v>
      </c>
      <c r="G164" s="399">
        <f>IFERROR(VLOOKUP(A164,醫療院所DATABASE!A:B,2,""),)</f>
        <v>0</v>
      </c>
      <c r="H164" s="64"/>
      <c r="I164" s="77" t="s">
        <v>781</v>
      </c>
      <c r="J164" s="77" t="s">
        <v>939</v>
      </c>
      <c r="K164" s="39" t="s">
        <v>950</v>
      </c>
      <c r="L164" s="64" t="s">
        <v>951</v>
      </c>
      <c r="M164" s="49" t="s">
        <v>61</v>
      </c>
      <c r="N164" s="24" t="s">
        <v>51</v>
      </c>
      <c r="O164" s="24"/>
      <c r="P164" s="409" t="s">
        <v>952</v>
      </c>
      <c r="Q164" s="64"/>
      <c r="R164" s="64"/>
      <c r="S164" s="24"/>
      <c r="T164" s="24"/>
      <c r="U164" s="64"/>
      <c r="V164" s="24"/>
      <c r="W164" s="24"/>
      <c r="X164" s="24"/>
      <c r="Y164" s="24"/>
      <c r="Z164" s="24"/>
      <c r="AA164" s="24"/>
      <c r="AB164" s="24"/>
      <c r="AC164" s="24"/>
    </row>
    <row r="165" spans="1:29" ht="15.75" customHeight="1">
      <c r="A165" s="39" t="s">
        <v>953</v>
      </c>
      <c r="B165" s="77" t="s">
        <v>939</v>
      </c>
      <c r="C165" s="39">
        <v>20190506</v>
      </c>
      <c r="D165" s="64" t="s">
        <v>522</v>
      </c>
      <c r="E165" s="64" t="s">
        <v>522</v>
      </c>
      <c r="F165" s="24" t="s">
        <v>949</v>
      </c>
      <c r="G165" s="399">
        <f>IFERROR(VLOOKUP(A165,醫療院所DATABASE!A:B,2,""),)</f>
        <v>0</v>
      </c>
      <c r="H165" s="64"/>
      <c r="I165" s="77" t="s">
        <v>781</v>
      </c>
      <c r="J165" s="77" t="s">
        <v>939</v>
      </c>
      <c r="K165" s="39" t="s">
        <v>954</v>
      </c>
      <c r="L165" s="64" t="s">
        <v>955</v>
      </c>
      <c r="M165" s="118" t="s">
        <v>956</v>
      </c>
      <c r="N165" s="47" t="s">
        <v>62</v>
      </c>
      <c r="O165" s="24"/>
      <c r="P165" s="409" t="s">
        <v>957</v>
      </c>
      <c r="Q165" s="64"/>
      <c r="R165" s="64"/>
      <c r="S165" s="24"/>
      <c r="T165" s="24"/>
      <c r="U165" s="64"/>
      <c r="V165" s="24"/>
      <c r="W165" s="24"/>
      <c r="X165" s="24"/>
      <c r="Y165" s="24"/>
      <c r="Z165" s="24"/>
      <c r="AA165" s="24"/>
      <c r="AB165" s="24"/>
      <c r="AC165" s="24"/>
    </row>
    <row r="166" spans="1:29" ht="15.75" customHeight="1">
      <c r="A166" s="39" t="s">
        <v>958</v>
      </c>
      <c r="B166" s="77" t="s">
        <v>959</v>
      </c>
      <c r="C166" s="39">
        <v>20190503</v>
      </c>
      <c r="D166" s="64" t="s">
        <v>53</v>
      </c>
      <c r="E166" s="64" t="s">
        <v>53</v>
      </c>
      <c r="F166" s="24" t="s">
        <v>960</v>
      </c>
      <c r="G166" s="399">
        <f>IFERROR(VLOOKUP(A166,醫療院所DATABASE!A:B,2,""),)</f>
        <v>0</v>
      </c>
      <c r="H166" s="64"/>
      <c r="I166" s="77" t="s">
        <v>796</v>
      </c>
      <c r="J166" s="77" t="s">
        <v>959</v>
      </c>
      <c r="K166" s="39" t="s">
        <v>961</v>
      </c>
      <c r="L166" s="76" t="s">
        <v>962</v>
      </c>
      <c r="M166" s="119" t="s">
        <v>963</v>
      </c>
      <c r="N166" s="120" t="s">
        <v>51</v>
      </c>
      <c r="O166" s="24"/>
      <c r="P166" s="409" t="s">
        <v>964</v>
      </c>
      <c r="Q166" s="64"/>
      <c r="R166" s="64"/>
      <c r="S166" s="24"/>
      <c r="T166" s="24"/>
      <c r="U166" s="64"/>
      <c r="V166" s="24"/>
      <c r="W166" s="24"/>
      <c r="X166" s="24"/>
      <c r="Y166" s="24"/>
      <c r="Z166" s="24"/>
      <c r="AA166" s="24"/>
      <c r="AB166" s="24"/>
      <c r="AC166" s="24"/>
    </row>
    <row r="167" spans="1:29" ht="15.75" customHeight="1">
      <c r="A167" s="39" t="s">
        <v>965</v>
      </c>
      <c r="B167" s="77" t="s">
        <v>959</v>
      </c>
      <c r="C167" s="109">
        <v>43588</v>
      </c>
      <c r="D167" s="64" t="s">
        <v>807</v>
      </c>
      <c r="E167" s="76" t="s">
        <v>479</v>
      </c>
      <c r="F167" s="39" t="s">
        <v>808</v>
      </c>
      <c r="G167" s="399">
        <f>IFERROR(VLOOKUP(A167,醫療院所DATABASE!A:B,2,""),)</f>
        <v>0</v>
      </c>
      <c r="H167" s="64"/>
      <c r="I167" s="77" t="s">
        <v>818</v>
      </c>
      <c r="J167" s="77" t="s">
        <v>966</v>
      </c>
      <c r="K167" s="39" t="s">
        <v>967</v>
      </c>
      <c r="L167" s="76" t="s">
        <v>968</v>
      </c>
      <c r="M167" s="49" t="s">
        <v>61</v>
      </c>
      <c r="N167" s="47" t="s">
        <v>62</v>
      </c>
      <c r="O167" s="24"/>
      <c r="P167" s="409" t="s">
        <v>969</v>
      </c>
      <c r="Q167" s="64"/>
      <c r="R167" s="64"/>
      <c r="S167" s="24"/>
      <c r="T167" s="24"/>
      <c r="U167" s="64"/>
      <c r="V167" s="24"/>
      <c r="W167" s="24"/>
      <c r="X167" s="24"/>
      <c r="Y167" s="24"/>
      <c r="Z167" s="24"/>
      <c r="AA167" s="24"/>
      <c r="AB167" s="24"/>
      <c r="AC167" s="24"/>
    </row>
    <row r="168" spans="1:29" ht="15.75" customHeight="1">
      <c r="A168" s="39" t="s">
        <v>970</v>
      </c>
      <c r="B168" s="77" t="s">
        <v>959</v>
      </c>
      <c r="C168" s="39">
        <v>20190506</v>
      </c>
      <c r="D168" s="64" t="s">
        <v>522</v>
      </c>
      <c r="E168" s="64" t="s">
        <v>522</v>
      </c>
      <c r="F168" s="24" t="s">
        <v>524</v>
      </c>
      <c r="G168" s="399">
        <f>IFERROR(VLOOKUP(A168,醫療院所DATABASE!A:B,2,""),)</f>
        <v>0</v>
      </c>
      <c r="H168" s="64"/>
      <c r="I168" s="77" t="s">
        <v>818</v>
      </c>
      <c r="J168" s="77" t="s">
        <v>966</v>
      </c>
      <c r="K168" s="39" t="s">
        <v>971</v>
      </c>
      <c r="L168" s="76" t="s">
        <v>972</v>
      </c>
      <c r="M168" s="49" t="s">
        <v>61</v>
      </c>
      <c r="N168" s="47" t="s">
        <v>62</v>
      </c>
      <c r="O168" s="24"/>
      <c r="P168" s="409" t="s">
        <v>973</v>
      </c>
      <c r="Q168" s="64"/>
      <c r="R168" s="64"/>
      <c r="S168" s="24"/>
      <c r="T168" s="24"/>
      <c r="U168" s="64"/>
      <c r="V168" s="24"/>
      <c r="W168" s="24"/>
      <c r="X168" s="24"/>
      <c r="Y168" s="24"/>
      <c r="Z168" s="24"/>
      <c r="AA168" s="24"/>
      <c r="AB168" s="24"/>
      <c r="AC168" s="24"/>
    </row>
    <row r="169" spans="1:29" ht="15.75" customHeight="1">
      <c r="A169" s="39" t="s">
        <v>974</v>
      </c>
      <c r="B169" s="77" t="s">
        <v>959</v>
      </c>
      <c r="C169" s="39">
        <v>20190503</v>
      </c>
      <c r="D169" s="64" t="s">
        <v>53</v>
      </c>
      <c r="E169" s="64" t="s">
        <v>53</v>
      </c>
      <c r="F169" s="24" t="s">
        <v>975</v>
      </c>
      <c r="G169" s="399">
        <f>IFERROR(VLOOKUP(A169,醫療院所DATABASE!A:B,2,""),)</f>
        <v>0</v>
      </c>
      <c r="H169" s="64"/>
      <c r="I169" s="77" t="s">
        <v>818</v>
      </c>
      <c r="J169" s="77" t="s">
        <v>966</v>
      </c>
      <c r="K169" s="39" t="s">
        <v>976</v>
      </c>
      <c r="L169" s="76" t="s">
        <v>977</v>
      </c>
      <c r="M169" s="119" t="s">
        <v>963</v>
      </c>
      <c r="N169" s="47" t="s">
        <v>62</v>
      </c>
      <c r="O169" s="24"/>
      <c r="P169" s="409" t="s">
        <v>978</v>
      </c>
      <c r="Q169" s="64"/>
      <c r="R169" s="64"/>
      <c r="S169" s="24"/>
      <c r="T169" s="24"/>
      <c r="U169" s="64"/>
      <c r="V169" s="24"/>
      <c r="W169" s="24"/>
      <c r="X169" s="24"/>
      <c r="Y169" s="24"/>
      <c r="Z169" s="24"/>
      <c r="AA169" s="24"/>
      <c r="AB169" s="24"/>
      <c r="AC169" s="24"/>
    </row>
    <row r="170" spans="1:29" ht="15.75" customHeight="1">
      <c r="A170" s="39" t="s">
        <v>974</v>
      </c>
      <c r="B170" s="77" t="s">
        <v>959</v>
      </c>
      <c r="C170" s="39">
        <v>20190503</v>
      </c>
      <c r="D170" s="64" t="s">
        <v>53</v>
      </c>
      <c r="E170" s="64" t="s">
        <v>53</v>
      </c>
      <c r="F170" s="24" t="s">
        <v>975</v>
      </c>
      <c r="G170" s="399">
        <f>IFERROR(VLOOKUP(A170,醫療院所DATABASE!A:B,2,""),)</f>
        <v>0</v>
      </c>
      <c r="H170" s="64"/>
      <c r="I170" s="77" t="s">
        <v>818</v>
      </c>
      <c r="J170" s="77" t="s">
        <v>966</v>
      </c>
      <c r="K170" s="121" t="s">
        <v>979</v>
      </c>
      <c r="L170" s="76" t="s">
        <v>980</v>
      </c>
      <c r="M170" s="119" t="s">
        <v>963</v>
      </c>
      <c r="N170" s="47" t="s">
        <v>62</v>
      </c>
      <c r="O170" s="24"/>
      <c r="P170" s="409" t="s">
        <v>981</v>
      </c>
      <c r="Q170" s="64"/>
      <c r="R170" s="64"/>
      <c r="S170" s="24"/>
      <c r="T170" s="24"/>
      <c r="U170" s="64"/>
      <c r="V170" s="24"/>
      <c r="W170" s="24"/>
      <c r="X170" s="24"/>
      <c r="Y170" s="24"/>
      <c r="Z170" s="24"/>
      <c r="AA170" s="24"/>
      <c r="AB170" s="24"/>
      <c r="AC170" s="24"/>
    </row>
    <row r="171" spans="1:29" ht="15.75" customHeight="1">
      <c r="A171" s="39" t="s">
        <v>982</v>
      </c>
      <c r="B171" s="77" t="s">
        <v>959</v>
      </c>
      <c r="C171" s="109">
        <v>43591</v>
      </c>
      <c r="D171" s="64" t="s">
        <v>523</v>
      </c>
      <c r="E171" s="64" t="s">
        <v>523</v>
      </c>
      <c r="F171" s="24" t="s">
        <v>975</v>
      </c>
      <c r="G171" s="399">
        <f>IFERROR(VLOOKUP(A171,醫療院所DATABASE!A:B,2,""),)</f>
        <v>0</v>
      </c>
      <c r="H171" s="64"/>
      <c r="I171" s="77" t="s">
        <v>818</v>
      </c>
      <c r="J171" s="77" t="s">
        <v>966</v>
      </c>
      <c r="K171" s="39" t="s">
        <v>983</v>
      </c>
      <c r="L171" s="76" t="s">
        <v>984</v>
      </c>
      <c r="M171" s="119" t="s">
        <v>963</v>
      </c>
      <c r="N171" s="47" t="s">
        <v>62</v>
      </c>
      <c r="O171" s="24"/>
      <c r="P171" s="409" t="s">
        <v>985</v>
      </c>
      <c r="Q171" s="64"/>
      <c r="R171" s="64"/>
      <c r="S171" s="24"/>
      <c r="T171" s="24"/>
      <c r="U171" s="64"/>
      <c r="V171" s="24"/>
      <c r="W171" s="24"/>
      <c r="X171" s="24"/>
      <c r="Y171" s="24"/>
      <c r="Z171" s="24"/>
      <c r="AA171" s="24"/>
      <c r="AB171" s="24"/>
      <c r="AC171" s="24"/>
    </row>
    <row r="172" spans="1:29" ht="15.75" customHeight="1">
      <c r="A172" s="39" t="s">
        <v>986</v>
      </c>
      <c r="B172" s="77" t="s">
        <v>987</v>
      </c>
      <c r="C172" s="39">
        <v>20190506</v>
      </c>
      <c r="D172" s="64" t="s">
        <v>522</v>
      </c>
      <c r="E172" s="76" t="s">
        <v>523</v>
      </c>
      <c r="F172" s="24" t="s">
        <v>524</v>
      </c>
      <c r="G172" s="399">
        <f>IFERROR(VLOOKUP(A172,醫療院所DATABASE!A:B,2,""),)</f>
        <v>0</v>
      </c>
      <c r="H172" s="64"/>
      <c r="I172" s="77" t="s">
        <v>934</v>
      </c>
      <c r="J172" s="77" t="s">
        <v>988</v>
      </c>
      <c r="K172" s="39" t="s">
        <v>989</v>
      </c>
      <c r="L172" s="76" t="s">
        <v>990</v>
      </c>
      <c r="M172" s="49" t="s">
        <v>61</v>
      </c>
      <c r="N172" s="47" t="s">
        <v>62</v>
      </c>
      <c r="O172" s="24"/>
      <c r="P172" s="409" t="s">
        <v>991</v>
      </c>
      <c r="Q172" s="64"/>
      <c r="R172" s="64"/>
      <c r="S172" s="24"/>
      <c r="T172" s="24"/>
      <c r="U172" s="64"/>
      <c r="V172" s="24"/>
      <c r="W172" s="24"/>
      <c r="X172" s="24"/>
      <c r="Y172" s="24"/>
      <c r="Z172" s="24"/>
      <c r="AA172" s="24"/>
      <c r="AB172" s="24"/>
      <c r="AC172" s="24"/>
    </row>
    <row r="173" spans="1:29" ht="15.75" customHeight="1">
      <c r="A173" s="39" t="s">
        <v>992</v>
      </c>
      <c r="B173" s="77" t="s">
        <v>987</v>
      </c>
      <c r="C173" s="39">
        <v>20190506</v>
      </c>
      <c r="D173" s="64" t="s">
        <v>522</v>
      </c>
      <c r="E173" s="76" t="s">
        <v>53</v>
      </c>
      <c r="F173" s="24" t="s">
        <v>524</v>
      </c>
      <c r="G173" s="399">
        <f>IFERROR(VLOOKUP(A173,醫療院所DATABASE!A:B,2,""),)</f>
        <v>0</v>
      </c>
      <c r="H173" s="64"/>
      <c r="I173" s="77" t="s">
        <v>934</v>
      </c>
      <c r="J173" s="77" t="s">
        <v>988</v>
      </c>
      <c r="K173" s="39" t="s">
        <v>993</v>
      </c>
      <c r="L173" s="76" t="s">
        <v>994</v>
      </c>
      <c r="M173" s="49" t="s">
        <v>61</v>
      </c>
      <c r="N173" s="47" t="s">
        <v>62</v>
      </c>
      <c r="O173" s="24"/>
      <c r="P173" s="409" t="s">
        <v>995</v>
      </c>
      <c r="Q173" s="64"/>
      <c r="R173" s="64"/>
      <c r="S173" s="24"/>
      <c r="T173" s="24"/>
      <c r="U173" s="64"/>
      <c r="V173" s="24"/>
      <c r="W173" s="24"/>
      <c r="X173" s="24"/>
      <c r="Y173" s="24"/>
      <c r="Z173" s="24"/>
      <c r="AA173" s="24"/>
      <c r="AB173" s="24"/>
      <c r="AC173" s="24"/>
    </row>
    <row r="174" spans="1:29" ht="15.75" customHeight="1">
      <c r="A174" s="39" t="s">
        <v>992</v>
      </c>
      <c r="B174" s="77" t="s">
        <v>987</v>
      </c>
      <c r="C174" s="39">
        <v>20190506</v>
      </c>
      <c r="D174" s="64" t="s">
        <v>522</v>
      </c>
      <c r="E174" s="76" t="s">
        <v>188</v>
      </c>
      <c r="F174" s="24" t="s">
        <v>524</v>
      </c>
      <c r="G174" s="399">
        <f>IFERROR(VLOOKUP(A174,醫療院所DATABASE!A:B,2,""),)</f>
        <v>0</v>
      </c>
      <c r="H174" s="64"/>
      <c r="I174" s="77" t="s">
        <v>934</v>
      </c>
      <c r="J174" s="77" t="s">
        <v>988</v>
      </c>
      <c r="K174" s="39" t="s">
        <v>996</v>
      </c>
      <c r="L174" s="76" t="s">
        <v>997</v>
      </c>
      <c r="M174" s="49" t="s">
        <v>61</v>
      </c>
      <c r="N174" s="47" t="s">
        <v>62</v>
      </c>
      <c r="O174" s="24"/>
      <c r="P174" s="409" t="s">
        <v>998</v>
      </c>
      <c r="Q174" s="64"/>
      <c r="R174" s="64"/>
      <c r="S174" s="24"/>
      <c r="T174" s="24"/>
      <c r="U174" s="64"/>
      <c r="V174" s="24"/>
      <c r="W174" s="24"/>
      <c r="X174" s="24"/>
      <c r="Y174" s="24"/>
      <c r="Z174" s="24"/>
      <c r="AA174" s="24"/>
      <c r="AB174" s="24"/>
      <c r="AC174" s="24"/>
    </row>
    <row r="175" spans="1:29" ht="15.75" customHeight="1">
      <c r="A175" s="39" t="s">
        <v>999</v>
      </c>
      <c r="B175" s="77" t="s">
        <v>987</v>
      </c>
      <c r="C175" s="109">
        <v>43595</v>
      </c>
      <c r="D175" s="64" t="s">
        <v>188</v>
      </c>
      <c r="E175" s="64" t="s">
        <v>188</v>
      </c>
      <c r="F175" s="24" t="s">
        <v>975</v>
      </c>
      <c r="G175" s="399">
        <f>IFERROR(VLOOKUP(A175,醫療院所DATABASE!A:B,2,""),)</f>
        <v>0</v>
      </c>
      <c r="H175" s="64"/>
      <c r="I175" s="77" t="s">
        <v>934</v>
      </c>
      <c r="J175" s="77" t="s">
        <v>988</v>
      </c>
      <c r="K175" s="39" t="s">
        <v>1000</v>
      </c>
      <c r="L175" s="76" t="s">
        <v>1001</v>
      </c>
      <c r="M175" s="119" t="s">
        <v>963</v>
      </c>
      <c r="N175" s="47" t="s">
        <v>62</v>
      </c>
      <c r="O175" s="24"/>
      <c r="P175" s="409" t="s">
        <v>1002</v>
      </c>
      <c r="Q175" s="64"/>
      <c r="R175" s="64"/>
      <c r="S175" s="24"/>
      <c r="T175" s="24"/>
      <c r="U175" s="64"/>
      <c r="V175" s="24"/>
      <c r="W175" s="24"/>
      <c r="X175" s="24"/>
      <c r="Y175" s="24"/>
      <c r="Z175" s="24"/>
      <c r="AA175" s="24"/>
      <c r="AB175" s="24"/>
      <c r="AC175" s="24"/>
    </row>
    <row r="176" spans="1:29" ht="15.75" customHeight="1">
      <c r="A176" s="39">
        <v>19042401</v>
      </c>
      <c r="B176" s="77" t="s">
        <v>987</v>
      </c>
      <c r="C176" s="39">
        <v>20190506</v>
      </c>
      <c r="D176" s="64" t="s">
        <v>1003</v>
      </c>
      <c r="E176" s="76" t="s">
        <v>53</v>
      </c>
      <c r="F176" s="24" t="s">
        <v>353</v>
      </c>
      <c r="G176" s="399">
        <f>IFERROR(VLOOKUP(A176,醫療院所DATABASE!A:B,2,""),)</f>
        <v>0</v>
      </c>
      <c r="H176" s="64"/>
      <c r="I176" s="77" t="s">
        <v>934</v>
      </c>
      <c r="J176" s="77" t="s">
        <v>988</v>
      </c>
      <c r="K176" s="39" t="s">
        <v>1004</v>
      </c>
      <c r="L176" s="76" t="s">
        <v>1005</v>
      </c>
      <c r="M176" s="93" t="s">
        <v>641</v>
      </c>
      <c r="N176" s="24" t="s">
        <v>62</v>
      </c>
      <c r="O176" s="24"/>
      <c r="P176" s="409" t="s">
        <v>1006</v>
      </c>
      <c r="Q176" s="64"/>
      <c r="R176" s="64"/>
      <c r="S176" s="24"/>
      <c r="T176" s="24"/>
      <c r="U176" s="64"/>
      <c r="V176" s="24"/>
      <c r="W176" s="24"/>
      <c r="X176" s="24"/>
      <c r="Y176" s="24"/>
      <c r="Z176" s="24"/>
      <c r="AA176" s="24"/>
      <c r="AB176" s="24"/>
      <c r="AC176" s="24"/>
    </row>
    <row r="177" spans="1:29" ht="15.75" customHeight="1">
      <c r="A177" s="39" t="s">
        <v>1007</v>
      </c>
      <c r="B177" s="77" t="s">
        <v>1008</v>
      </c>
      <c r="C177" s="39">
        <v>20190507</v>
      </c>
      <c r="D177" s="76" t="s">
        <v>188</v>
      </c>
      <c r="E177" s="76" t="s">
        <v>188</v>
      </c>
      <c r="F177" s="24" t="s">
        <v>949</v>
      </c>
      <c r="G177" s="399">
        <f>IFERROR(VLOOKUP(A177,醫療院所DATABASE!A:B,2,""),)</f>
        <v>0</v>
      </c>
      <c r="H177" s="64"/>
      <c r="I177" s="77" t="s">
        <v>939</v>
      </c>
      <c r="J177" s="77" t="s">
        <v>1009</v>
      </c>
      <c r="K177" s="39" t="s">
        <v>1010</v>
      </c>
      <c r="L177" s="122" t="s">
        <v>1011</v>
      </c>
      <c r="M177" s="119" t="s">
        <v>963</v>
      </c>
      <c r="N177" s="120" t="s">
        <v>51</v>
      </c>
      <c r="O177" s="24"/>
      <c r="P177" s="409" t="s">
        <v>1012</v>
      </c>
      <c r="Q177" s="64"/>
      <c r="R177" s="64"/>
      <c r="S177" s="24"/>
      <c r="T177" s="24"/>
      <c r="U177" s="64"/>
      <c r="V177" s="24"/>
      <c r="W177" s="24"/>
      <c r="X177" s="24"/>
      <c r="Y177" s="24"/>
      <c r="Z177" s="24"/>
      <c r="AA177" s="24"/>
      <c r="AB177" s="24"/>
      <c r="AC177" s="24"/>
    </row>
    <row r="178" spans="1:29" ht="15.75" customHeight="1">
      <c r="A178" s="39" t="s">
        <v>1013</v>
      </c>
      <c r="B178" s="77" t="s">
        <v>1008</v>
      </c>
      <c r="C178" s="107">
        <v>43592</v>
      </c>
      <c r="D178" s="76" t="s">
        <v>494</v>
      </c>
      <c r="E178" s="76" t="s">
        <v>494</v>
      </c>
      <c r="F178" s="39" t="s">
        <v>1014</v>
      </c>
      <c r="G178" s="399">
        <f>IFERROR(VLOOKUP(A178,醫療院所DATABASE!A:B,2,""),)</f>
        <v>0</v>
      </c>
      <c r="H178" s="64"/>
      <c r="I178" s="77" t="s">
        <v>939</v>
      </c>
      <c r="J178" s="77" t="s">
        <v>1009</v>
      </c>
      <c r="K178" s="39" t="s">
        <v>1015</v>
      </c>
      <c r="L178" s="123" t="s">
        <v>1016</v>
      </c>
      <c r="M178" s="119" t="s">
        <v>963</v>
      </c>
      <c r="N178" s="120" t="s">
        <v>51</v>
      </c>
      <c r="O178" s="24"/>
      <c r="P178" s="409" t="s">
        <v>1017</v>
      </c>
      <c r="Q178" s="64"/>
      <c r="R178" s="64"/>
      <c r="S178" s="24"/>
      <c r="T178" s="24"/>
      <c r="U178" s="64"/>
      <c r="V178" s="24"/>
      <c r="W178" s="24"/>
      <c r="X178" s="24"/>
      <c r="Y178" s="24"/>
      <c r="Z178" s="24"/>
      <c r="AA178" s="24"/>
      <c r="AB178" s="24"/>
      <c r="AC178" s="24"/>
    </row>
    <row r="179" spans="1:29" ht="15.75" customHeight="1">
      <c r="A179" s="39" t="s">
        <v>1018</v>
      </c>
      <c r="B179" s="77" t="s">
        <v>1008</v>
      </c>
      <c r="C179" s="39">
        <v>20190507</v>
      </c>
      <c r="D179" s="76" t="s">
        <v>188</v>
      </c>
      <c r="E179" s="76" t="s">
        <v>188</v>
      </c>
      <c r="F179" s="24" t="s">
        <v>975</v>
      </c>
      <c r="G179" s="399">
        <f>IFERROR(VLOOKUP(A179,醫療院所DATABASE!A:B,2,""),)</f>
        <v>0</v>
      </c>
      <c r="H179" s="64"/>
      <c r="I179" s="77" t="s">
        <v>939</v>
      </c>
      <c r="J179" s="77" t="s">
        <v>1009</v>
      </c>
      <c r="K179" s="39" t="s">
        <v>422</v>
      </c>
      <c r="L179" s="76" t="s">
        <v>424</v>
      </c>
      <c r="M179" s="39" t="s">
        <v>1019</v>
      </c>
      <c r="N179" s="24" t="s">
        <v>62</v>
      </c>
      <c r="O179" s="24"/>
      <c r="P179" s="409" t="s">
        <v>1020</v>
      </c>
      <c r="Q179" s="64"/>
      <c r="R179" s="64"/>
      <c r="S179" s="24"/>
      <c r="T179" s="24"/>
      <c r="U179" s="64"/>
      <c r="V179" s="24"/>
      <c r="W179" s="24"/>
      <c r="X179" s="24"/>
      <c r="Y179" s="24"/>
      <c r="Z179" s="24"/>
      <c r="AA179" s="24"/>
      <c r="AB179" s="24"/>
      <c r="AC179" s="24"/>
    </row>
    <row r="180" spans="1:29" ht="15.75" customHeight="1">
      <c r="A180" s="39" t="s">
        <v>1021</v>
      </c>
      <c r="B180" s="77" t="s">
        <v>1008</v>
      </c>
      <c r="C180" s="39">
        <v>20190508</v>
      </c>
      <c r="D180" s="64" t="s">
        <v>665</v>
      </c>
      <c r="E180" s="64" t="s">
        <v>665</v>
      </c>
      <c r="F180" s="24" t="s">
        <v>949</v>
      </c>
      <c r="G180" s="399">
        <f>IFERROR(VLOOKUP(A180,醫療院所DATABASE!A:B,2,""),)</f>
        <v>0</v>
      </c>
      <c r="H180" s="64"/>
      <c r="I180" s="77" t="s">
        <v>939</v>
      </c>
      <c r="J180" s="77" t="s">
        <v>1009</v>
      </c>
      <c r="K180" s="39" t="s">
        <v>1022</v>
      </c>
      <c r="L180" s="122" t="s">
        <v>1023</v>
      </c>
      <c r="M180" s="39" t="s">
        <v>1019</v>
      </c>
      <c r="N180" s="24" t="s">
        <v>62</v>
      </c>
      <c r="O180" s="24"/>
      <c r="P180" s="409" t="s">
        <v>1024</v>
      </c>
      <c r="Q180" s="64"/>
      <c r="R180" s="64"/>
      <c r="S180" s="24"/>
      <c r="T180" s="24"/>
      <c r="U180" s="64"/>
      <c r="V180" s="24"/>
      <c r="W180" s="24"/>
      <c r="X180" s="24"/>
      <c r="Y180" s="24"/>
      <c r="Z180" s="24"/>
      <c r="AA180" s="24"/>
      <c r="AB180" s="24"/>
      <c r="AC180" s="24"/>
    </row>
    <row r="181" spans="1:29" ht="15.75" customHeight="1">
      <c r="A181" s="39" t="s">
        <v>853</v>
      </c>
      <c r="B181" s="77" t="s">
        <v>1008</v>
      </c>
      <c r="C181" s="39">
        <v>20190508</v>
      </c>
      <c r="D181" s="76" t="s">
        <v>366</v>
      </c>
      <c r="E181" s="76" t="s">
        <v>53</v>
      </c>
      <c r="F181" s="39" t="s">
        <v>854</v>
      </c>
      <c r="G181" s="399">
        <f>IFERROR(VLOOKUP(A181,醫療院所DATABASE!A:B,2,""),)</f>
        <v>0</v>
      </c>
      <c r="H181" s="64"/>
      <c r="I181" s="77" t="s">
        <v>939</v>
      </c>
      <c r="J181" s="77" t="s">
        <v>1009</v>
      </c>
      <c r="K181" s="39" t="s">
        <v>1025</v>
      </c>
      <c r="L181" s="76" t="s">
        <v>1026</v>
      </c>
      <c r="M181" s="49" t="s">
        <v>61</v>
      </c>
      <c r="N181" s="24" t="s">
        <v>51</v>
      </c>
      <c r="O181" s="24"/>
      <c r="P181" s="409" t="s">
        <v>1027</v>
      </c>
      <c r="Q181" s="64"/>
      <c r="R181" s="64"/>
      <c r="S181" s="24"/>
      <c r="T181" s="24"/>
      <c r="U181" s="64"/>
      <c r="V181" s="24"/>
      <c r="W181" s="24"/>
      <c r="X181" s="24"/>
      <c r="Y181" s="24"/>
      <c r="Z181" s="24"/>
      <c r="AA181" s="24"/>
      <c r="AB181" s="24"/>
      <c r="AC181" s="24"/>
    </row>
    <row r="182" spans="1:29" ht="15.75" customHeight="1">
      <c r="A182" s="39">
        <v>19042801</v>
      </c>
      <c r="B182" s="77" t="s">
        <v>1028</v>
      </c>
      <c r="C182" s="124">
        <v>20190508</v>
      </c>
      <c r="D182" s="76" t="s">
        <v>1029</v>
      </c>
      <c r="E182" s="76" t="s">
        <v>53</v>
      </c>
      <c r="F182" s="24" t="s">
        <v>353</v>
      </c>
      <c r="G182" s="399">
        <f>IFERROR(VLOOKUP(A182,醫療院所DATABASE!A:B,2,""),)</f>
        <v>0</v>
      </c>
      <c r="H182" s="64"/>
      <c r="I182" s="125">
        <v>43585</v>
      </c>
      <c r="J182" s="77" t="s">
        <v>1030</v>
      </c>
      <c r="K182" s="39" t="s">
        <v>1031</v>
      </c>
      <c r="L182" s="76" t="s">
        <v>1032</v>
      </c>
      <c r="M182" s="49" t="s">
        <v>61</v>
      </c>
      <c r="N182" s="47" t="s">
        <v>62</v>
      </c>
      <c r="O182" s="24"/>
      <c r="P182" s="409" t="s">
        <v>1033</v>
      </c>
      <c r="Q182" s="64"/>
      <c r="R182" s="64"/>
      <c r="S182" s="24"/>
      <c r="T182" s="24"/>
      <c r="U182" s="64"/>
      <c r="V182" s="24"/>
      <c r="W182" s="24"/>
      <c r="X182" s="24"/>
      <c r="Y182" s="24"/>
      <c r="Z182" s="24"/>
      <c r="AA182" s="24"/>
      <c r="AB182" s="24"/>
      <c r="AC182" s="24"/>
    </row>
    <row r="183" spans="1:29" ht="15.75" customHeight="1">
      <c r="A183" s="39" t="s">
        <v>1034</v>
      </c>
      <c r="B183" s="77" t="s">
        <v>1028</v>
      </c>
      <c r="C183" s="109">
        <v>43595</v>
      </c>
      <c r="D183" s="76" t="s">
        <v>366</v>
      </c>
      <c r="E183" s="76" t="s">
        <v>188</v>
      </c>
      <c r="F183" s="39" t="s">
        <v>854</v>
      </c>
      <c r="G183" s="399">
        <f>IFERROR(VLOOKUP(A183,醫療院所DATABASE!A:B,2,""),)</f>
        <v>0</v>
      </c>
      <c r="H183" s="64"/>
      <c r="I183" s="125">
        <v>43585</v>
      </c>
      <c r="J183" s="77" t="s">
        <v>1030</v>
      </c>
      <c r="K183" s="39" t="s">
        <v>1035</v>
      </c>
      <c r="L183" s="76" t="s">
        <v>1036</v>
      </c>
      <c r="M183" s="49" t="s">
        <v>61</v>
      </c>
      <c r="N183" s="47" t="s">
        <v>62</v>
      </c>
      <c r="O183" s="24"/>
      <c r="P183" s="409" t="s">
        <v>1037</v>
      </c>
      <c r="Q183" s="64"/>
      <c r="R183" s="64"/>
      <c r="S183" s="24"/>
      <c r="T183" s="24"/>
      <c r="U183" s="64"/>
      <c r="V183" s="24"/>
      <c r="W183" s="24"/>
      <c r="X183" s="24"/>
      <c r="Y183" s="24"/>
      <c r="Z183" s="24"/>
      <c r="AA183" s="24"/>
      <c r="AB183" s="24"/>
      <c r="AC183" s="24"/>
    </row>
    <row r="184" spans="1:29" ht="15.75" customHeight="1">
      <c r="A184" s="39" t="s">
        <v>1034</v>
      </c>
      <c r="B184" s="77" t="s">
        <v>1028</v>
      </c>
      <c r="C184" s="124">
        <v>20190508</v>
      </c>
      <c r="D184" s="76" t="s">
        <v>366</v>
      </c>
      <c r="E184" s="76" t="s">
        <v>53</v>
      </c>
      <c r="F184" s="39" t="s">
        <v>854</v>
      </c>
      <c r="G184" s="399">
        <f>IFERROR(VLOOKUP(A184,醫療院所DATABASE!A:B,2,""),)</f>
        <v>0</v>
      </c>
      <c r="H184" s="64"/>
      <c r="I184" s="125">
        <v>43585</v>
      </c>
      <c r="J184" s="77" t="s">
        <v>1030</v>
      </c>
      <c r="K184" s="39" t="s">
        <v>1038</v>
      </c>
      <c r="L184" s="76" t="s">
        <v>1039</v>
      </c>
      <c r="M184" s="49" t="s">
        <v>61</v>
      </c>
      <c r="N184" s="47" t="s">
        <v>62</v>
      </c>
      <c r="O184" s="24"/>
      <c r="P184" s="409" t="s">
        <v>1040</v>
      </c>
      <c r="Q184" s="64"/>
      <c r="R184" s="64"/>
      <c r="S184" s="24"/>
      <c r="T184" s="24"/>
      <c r="U184" s="64"/>
      <c r="V184" s="24"/>
      <c r="W184" s="24"/>
      <c r="X184" s="24"/>
      <c r="Y184" s="24"/>
      <c r="Z184" s="24"/>
      <c r="AA184" s="24"/>
      <c r="AB184" s="24"/>
      <c r="AC184" s="24"/>
    </row>
    <row r="185" spans="1:29" ht="15.75" customHeight="1">
      <c r="A185" s="39" t="s">
        <v>1034</v>
      </c>
      <c r="B185" s="77" t="s">
        <v>1028</v>
      </c>
      <c r="C185" s="77" t="s">
        <v>1041</v>
      </c>
      <c r="D185" s="76" t="s">
        <v>366</v>
      </c>
      <c r="E185" s="76" t="s">
        <v>523</v>
      </c>
      <c r="F185" s="39" t="s">
        <v>854</v>
      </c>
      <c r="G185" s="399">
        <f>IFERROR(VLOOKUP(A185,醫療院所DATABASE!A:B,2,""),)</f>
        <v>0</v>
      </c>
      <c r="H185" s="64"/>
      <c r="I185" s="125">
        <v>43585</v>
      </c>
      <c r="J185" s="77" t="s">
        <v>1030</v>
      </c>
      <c r="K185" s="39" t="s">
        <v>1042</v>
      </c>
      <c r="L185" s="76" t="s">
        <v>1043</v>
      </c>
      <c r="M185" s="49" t="s">
        <v>61</v>
      </c>
      <c r="N185" s="47" t="s">
        <v>62</v>
      </c>
      <c r="O185" s="24"/>
      <c r="P185" s="409" t="s">
        <v>1044</v>
      </c>
      <c r="Q185" s="64"/>
      <c r="R185" s="64"/>
      <c r="S185" s="24"/>
      <c r="T185" s="24"/>
      <c r="U185" s="64"/>
      <c r="V185" s="24"/>
      <c r="W185" s="24"/>
      <c r="X185" s="24"/>
      <c r="Y185" s="24"/>
      <c r="Z185" s="24"/>
      <c r="AA185" s="24"/>
      <c r="AB185" s="24"/>
      <c r="AC185" s="24"/>
    </row>
    <row r="186" spans="1:29" ht="15.75" customHeight="1">
      <c r="A186" s="39" t="s">
        <v>1034</v>
      </c>
      <c r="B186" s="77" t="s">
        <v>1028</v>
      </c>
      <c r="C186" s="109">
        <v>43595</v>
      </c>
      <c r="D186" s="76" t="s">
        <v>366</v>
      </c>
      <c r="E186" s="76" t="s">
        <v>188</v>
      </c>
      <c r="F186" s="39" t="s">
        <v>854</v>
      </c>
      <c r="G186" s="399">
        <f>IFERROR(VLOOKUP(A186,醫療院所DATABASE!A:B,2,""),)</f>
        <v>0</v>
      </c>
      <c r="H186" s="64"/>
      <c r="I186" s="125">
        <v>43585</v>
      </c>
      <c r="J186" s="77" t="s">
        <v>1030</v>
      </c>
      <c r="K186" s="39" t="s">
        <v>1045</v>
      </c>
      <c r="L186" s="76" t="s">
        <v>1046</v>
      </c>
      <c r="M186" s="49" t="s">
        <v>61</v>
      </c>
      <c r="N186" s="24" t="s">
        <v>51</v>
      </c>
      <c r="O186" s="24"/>
      <c r="P186" s="409" t="s">
        <v>1047</v>
      </c>
      <c r="Q186" s="64"/>
      <c r="R186" s="64"/>
      <c r="S186" s="24"/>
      <c r="T186" s="24"/>
      <c r="U186" s="64"/>
      <c r="V186" s="24"/>
      <c r="W186" s="24"/>
      <c r="X186" s="24"/>
      <c r="Y186" s="24"/>
      <c r="Z186" s="24"/>
      <c r="AA186" s="24"/>
      <c r="AB186" s="24"/>
      <c r="AC186" s="24"/>
    </row>
    <row r="187" spans="1:29" ht="15.75" customHeight="1">
      <c r="A187" s="39" t="s">
        <v>1034</v>
      </c>
      <c r="B187" s="77" t="s">
        <v>1028</v>
      </c>
      <c r="C187" s="124">
        <v>20190508</v>
      </c>
      <c r="D187" s="76" t="s">
        <v>366</v>
      </c>
      <c r="E187" s="76" t="s">
        <v>53</v>
      </c>
      <c r="F187" s="39" t="s">
        <v>854</v>
      </c>
      <c r="G187" s="399">
        <f>IFERROR(VLOOKUP(A187,醫療院所DATABASE!A:B,2,""),)</f>
        <v>0</v>
      </c>
      <c r="H187" s="64"/>
      <c r="I187" s="125">
        <v>43585</v>
      </c>
      <c r="J187" s="77" t="s">
        <v>1030</v>
      </c>
      <c r="K187" s="39" t="s">
        <v>1048</v>
      </c>
      <c r="L187" s="76" t="s">
        <v>1049</v>
      </c>
      <c r="M187" s="49" t="s">
        <v>61</v>
      </c>
      <c r="N187" s="47" t="s">
        <v>62</v>
      </c>
      <c r="O187" s="24"/>
      <c r="P187" s="409" t="s">
        <v>1050</v>
      </c>
      <c r="Q187" s="64"/>
      <c r="R187" s="64"/>
      <c r="S187" s="24"/>
      <c r="T187" s="24"/>
      <c r="U187" s="64"/>
      <c r="V187" s="24"/>
      <c r="W187" s="24"/>
      <c r="X187" s="24"/>
      <c r="Y187" s="24"/>
      <c r="Z187" s="24"/>
      <c r="AA187" s="24"/>
      <c r="AB187" s="24"/>
      <c r="AC187" s="24"/>
    </row>
    <row r="188" spans="1:29" ht="15.75" customHeight="1">
      <c r="A188" s="39" t="s">
        <v>1034</v>
      </c>
      <c r="B188" s="77" t="s">
        <v>1028</v>
      </c>
      <c r="C188" s="77" t="s">
        <v>1041</v>
      </c>
      <c r="D188" s="76" t="s">
        <v>366</v>
      </c>
      <c r="E188" s="76" t="s">
        <v>523</v>
      </c>
      <c r="F188" s="39" t="s">
        <v>854</v>
      </c>
      <c r="G188" s="399">
        <f>IFERROR(VLOOKUP(A188,醫療院所DATABASE!A:B,2,""),)</f>
        <v>0</v>
      </c>
      <c r="H188" s="64"/>
      <c r="I188" s="125">
        <v>43585</v>
      </c>
      <c r="J188" s="77" t="s">
        <v>1030</v>
      </c>
      <c r="K188" s="39" t="s">
        <v>1051</v>
      </c>
      <c r="L188" s="76" t="s">
        <v>1052</v>
      </c>
      <c r="M188" s="49" t="s">
        <v>61</v>
      </c>
      <c r="N188" s="24" t="s">
        <v>51</v>
      </c>
      <c r="O188" s="24"/>
      <c r="P188" s="409" t="s">
        <v>1053</v>
      </c>
      <c r="Q188" s="64"/>
      <c r="R188" s="64"/>
      <c r="S188" s="24"/>
      <c r="T188" s="24"/>
      <c r="U188" s="64"/>
      <c r="V188" s="24"/>
      <c r="W188" s="24"/>
      <c r="X188" s="24"/>
      <c r="Y188" s="24"/>
      <c r="Z188" s="24"/>
      <c r="AA188" s="24"/>
      <c r="AB188" s="24"/>
      <c r="AC188" s="24"/>
    </row>
    <row r="189" spans="1:29" ht="15.75" customHeight="1">
      <c r="A189" s="39" t="s">
        <v>1034</v>
      </c>
      <c r="B189" s="77" t="s">
        <v>1028</v>
      </c>
      <c r="C189" s="109">
        <v>43595</v>
      </c>
      <c r="D189" s="76" t="s">
        <v>366</v>
      </c>
      <c r="E189" s="76" t="s">
        <v>188</v>
      </c>
      <c r="F189" s="39" t="s">
        <v>854</v>
      </c>
      <c r="G189" s="399">
        <f>IFERROR(VLOOKUP(A189,醫療院所DATABASE!A:B,2,""),)</f>
        <v>0</v>
      </c>
      <c r="H189" s="64"/>
      <c r="I189" s="125">
        <v>43585</v>
      </c>
      <c r="J189" s="77" t="s">
        <v>1030</v>
      </c>
      <c r="K189" s="39" t="s">
        <v>1054</v>
      </c>
      <c r="L189" s="76" t="s">
        <v>1055</v>
      </c>
      <c r="M189" s="49" t="s">
        <v>61</v>
      </c>
      <c r="N189" s="24" t="s">
        <v>51</v>
      </c>
      <c r="O189" s="24"/>
      <c r="P189" s="409" t="s">
        <v>1056</v>
      </c>
      <c r="Q189" s="64"/>
      <c r="R189" s="64"/>
      <c r="S189" s="24"/>
      <c r="T189" s="24"/>
      <c r="U189" s="64"/>
      <c r="V189" s="24"/>
      <c r="W189" s="24"/>
      <c r="X189" s="24"/>
      <c r="Y189" s="24"/>
      <c r="Z189" s="24"/>
      <c r="AA189" s="24"/>
      <c r="AB189" s="24"/>
      <c r="AC189" s="24"/>
    </row>
    <row r="190" spans="1:29" ht="15.75" customHeight="1">
      <c r="A190" s="39" t="s">
        <v>1034</v>
      </c>
      <c r="B190" s="77" t="s">
        <v>1028</v>
      </c>
      <c r="C190" s="124">
        <v>20190508</v>
      </c>
      <c r="D190" s="76" t="s">
        <v>366</v>
      </c>
      <c r="E190" s="76" t="s">
        <v>53</v>
      </c>
      <c r="F190" s="39" t="s">
        <v>854</v>
      </c>
      <c r="G190" s="399">
        <f>IFERROR(VLOOKUP(A190,醫療院所DATABASE!A:B,2,""),)</f>
        <v>0</v>
      </c>
      <c r="H190" s="64"/>
      <c r="I190" s="125">
        <v>43585</v>
      </c>
      <c r="J190" s="77" t="s">
        <v>1030</v>
      </c>
      <c r="K190" s="39" t="s">
        <v>1057</v>
      </c>
      <c r="L190" s="76" t="s">
        <v>1058</v>
      </c>
      <c r="M190" s="49" t="s">
        <v>61</v>
      </c>
      <c r="N190" s="47" t="s">
        <v>62</v>
      </c>
      <c r="O190" s="24"/>
      <c r="P190" s="409" t="s">
        <v>1059</v>
      </c>
      <c r="Q190" s="64"/>
      <c r="R190" s="64"/>
      <c r="S190" s="24"/>
      <c r="T190" s="24"/>
      <c r="U190" s="64"/>
      <c r="V190" s="24"/>
      <c r="W190" s="24"/>
      <c r="X190" s="24"/>
      <c r="Y190" s="24"/>
      <c r="Z190" s="24"/>
      <c r="AA190" s="24"/>
      <c r="AB190" s="24"/>
      <c r="AC190" s="24"/>
    </row>
    <row r="191" spans="1:29" ht="15.75" customHeight="1">
      <c r="A191" s="39" t="s">
        <v>1034</v>
      </c>
      <c r="B191" s="77" t="s">
        <v>1028</v>
      </c>
      <c r="C191" s="109">
        <v>43595</v>
      </c>
      <c r="D191" s="76" t="s">
        <v>366</v>
      </c>
      <c r="E191" s="76" t="s">
        <v>188</v>
      </c>
      <c r="F191" s="39" t="s">
        <v>854</v>
      </c>
      <c r="G191" s="399">
        <f>IFERROR(VLOOKUP(A191,醫療院所DATABASE!A:B,2,""),)</f>
        <v>0</v>
      </c>
      <c r="H191" s="64"/>
      <c r="I191" s="125">
        <v>43585</v>
      </c>
      <c r="J191" s="77" t="s">
        <v>1030</v>
      </c>
      <c r="K191" s="39" t="s">
        <v>1060</v>
      </c>
      <c r="L191" s="76" t="s">
        <v>1061</v>
      </c>
      <c r="M191" s="49" t="s">
        <v>61</v>
      </c>
      <c r="N191" s="24" t="s">
        <v>51</v>
      </c>
      <c r="O191" s="24"/>
      <c r="P191" s="409" t="s">
        <v>1062</v>
      </c>
      <c r="Q191" s="64"/>
      <c r="R191" s="64"/>
      <c r="S191" s="24"/>
      <c r="T191" s="24"/>
      <c r="U191" s="64"/>
      <c r="V191" s="24"/>
      <c r="W191" s="24"/>
      <c r="X191" s="24"/>
      <c r="Y191" s="24"/>
      <c r="Z191" s="24"/>
      <c r="AA191" s="24"/>
      <c r="AB191" s="24"/>
      <c r="AC191" s="24"/>
    </row>
    <row r="192" spans="1:29" ht="15.75" customHeight="1">
      <c r="A192" s="39" t="s">
        <v>1063</v>
      </c>
      <c r="B192" s="77" t="s">
        <v>1028</v>
      </c>
      <c r="C192" s="77" t="s">
        <v>1041</v>
      </c>
      <c r="D192" s="64" t="s">
        <v>523</v>
      </c>
      <c r="E192" s="64" t="s">
        <v>523</v>
      </c>
      <c r="F192" s="24" t="s">
        <v>975</v>
      </c>
      <c r="G192" s="399">
        <f>IFERROR(VLOOKUP(A192,醫療院所DATABASE!A:B,2,""),)</f>
        <v>0</v>
      </c>
      <c r="H192" s="64"/>
      <c r="I192" s="125">
        <v>43585</v>
      </c>
      <c r="J192" s="77" t="s">
        <v>1030</v>
      </c>
      <c r="K192" s="39" t="s">
        <v>1064</v>
      </c>
      <c r="L192" s="123" t="s">
        <v>1065</v>
      </c>
      <c r="M192" s="49" t="s">
        <v>61</v>
      </c>
      <c r="N192" s="24" t="s">
        <v>51</v>
      </c>
      <c r="O192" s="24"/>
      <c r="P192" s="409" t="s">
        <v>1066</v>
      </c>
      <c r="Q192" s="64"/>
      <c r="R192" s="64"/>
      <c r="S192" s="24"/>
      <c r="T192" s="24"/>
      <c r="U192" s="64"/>
      <c r="V192" s="24"/>
      <c r="W192" s="24"/>
      <c r="X192" s="24"/>
      <c r="Y192" s="24"/>
      <c r="Z192" s="24"/>
      <c r="AA192" s="24"/>
      <c r="AB192" s="24"/>
      <c r="AC192" s="24"/>
    </row>
    <row r="193" spans="1:29" ht="15.75" customHeight="1">
      <c r="A193" s="39" t="s">
        <v>1067</v>
      </c>
      <c r="B193" s="77" t="s">
        <v>1028</v>
      </c>
      <c r="C193" s="39">
        <v>20190508</v>
      </c>
      <c r="D193" s="64" t="s">
        <v>665</v>
      </c>
      <c r="E193" s="76" t="s">
        <v>188</v>
      </c>
      <c r="F193" s="24" t="s">
        <v>524</v>
      </c>
      <c r="G193" s="399">
        <f>IFERROR(VLOOKUP(A193,醫療院所DATABASE!A:B,2,""),)</f>
        <v>0</v>
      </c>
      <c r="H193" s="64"/>
      <c r="I193" s="125">
        <v>43585</v>
      </c>
      <c r="J193" s="77" t="s">
        <v>1030</v>
      </c>
      <c r="K193" s="39" t="s">
        <v>1068</v>
      </c>
      <c r="L193" s="123" t="s">
        <v>1069</v>
      </c>
      <c r="M193" s="49" t="s">
        <v>61</v>
      </c>
      <c r="N193" s="24" t="s">
        <v>51</v>
      </c>
      <c r="O193" s="24"/>
      <c r="P193" s="409" t="s">
        <v>1070</v>
      </c>
      <c r="Q193" s="64"/>
      <c r="R193" s="64"/>
      <c r="S193" s="24"/>
      <c r="T193" s="24"/>
      <c r="U193" s="64"/>
      <c r="V193" s="24"/>
      <c r="W193" s="24"/>
      <c r="X193" s="24"/>
      <c r="Y193" s="24"/>
      <c r="Z193" s="24"/>
      <c r="AA193" s="24"/>
      <c r="AB193" s="24"/>
      <c r="AC193" s="24"/>
    </row>
    <row r="194" spans="1:29" ht="15.75" customHeight="1">
      <c r="A194" s="39" t="s">
        <v>488</v>
      </c>
      <c r="B194" s="77" t="s">
        <v>1028</v>
      </c>
      <c r="C194" s="109">
        <v>43595</v>
      </c>
      <c r="D194" s="76" t="s">
        <v>188</v>
      </c>
      <c r="E194" s="76" t="s">
        <v>188</v>
      </c>
      <c r="F194" s="24" t="s">
        <v>975</v>
      </c>
      <c r="G194" s="399">
        <f>IFERROR(VLOOKUP(A194,醫療院所DATABASE!A:B,2,""),)</f>
        <v>0</v>
      </c>
      <c r="H194" s="64"/>
      <c r="I194" s="125">
        <v>43585</v>
      </c>
      <c r="J194" s="77" t="s">
        <v>1030</v>
      </c>
      <c r="K194" s="39" t="s">
        <v>405</v>
      </c>
      <c r="L194" s="76" t="s">
        <v>406</v>
      </c>
      <c r="M194" s="39" t="s">
        <v>1019</v>
      </c>
      <c r="N194" s="24" t="s">
        <v>62</v>
      </c>
      <c r="O194" s="24"/>
      <c r="P194" s="409" t="s">
        <v>1071</v>
      </c>
      <c r="Q194" s="64"/>
      <c r="R194" s="64"/>
      <c r="S194" s="24"/>
      <c r="T194" s="24"/>
      <c r="U194" s="64"/>
      <c r="V194" s="24"/>
      <c r="W194" s="24"/>
      <c r="X194" s="24"/>
      <c r="Y194" s="24"/>
      <c r="Z194" s="24"/>
      <c r="AA194" s="24"/>
      <c r="AB194" s="24"/>
      <c r="AC194" s="24"/>
    </row>
    <row r="195" spans="1:29" ht="15.75" customHeight="1">
      <c r="A195" s="39" t="s">
        <v>1072</v>
      </c>
      <c r="B195" s="77" t="s">
        <v>1028</v>
      </c>
      <c r="C195" s="124">
        <v>20190508</v>
      </c>
      <c r="D195" s="76" t="s">
        <v>53</v>
      </c>
      <c r="E195" s="76" t="s">
        <v>53</v>
      </c>
      <c r="F195" s="24" t="s">
        <v>975</v>
      </c>
      <c r="G195" s="399">
        <f>IFERROR(VLOOKUP(A195,醫療院所DATABASE!A:B,2,""),)</f>
        <v>0</v>
      </c>
      <c r="H195" s="64"/>
      <c r="I195" s="125">
        <v>43585</v>
      </c>
      <c r="J195" s="77" t="s">
        <v>1030</v>
      </c>
      <c r="K195" s="39" t="s">
        <v>1073</v>
      </c>
      <c r="L195" s="126" t="s">
        <v>1074</v>
      </c>
      <c r="M195" s="119" t="s">
        <v>963</v>
      </c>
      <c r="N195" s="47" t="s">
        <v>62</v>
      </c>
      <c r="O195" s="24"/>
      <c r="P195" s="409" t="s">
        <v>1075</v>
      </c>
      <c r="Q195" s="64"/>
      <c r="R195" s="64"/>
      <c r="S195" s="24"/>
      <c r="T195" s="24"/>
      <c r="U195" s="64"/>
      <c r="V195" s="24"/>
      <c r="W195" s="24"/>
      <c r="X195" s="24"/>
      <c r="Y195" s="24"/>
      <c r="Z195" s="24"/>
      <c r="AA195" s="24"/>
      <c r="AB195" s="24"/>
      <c r="AC195" s="24"/>
    </row>
    <row r="196" spans="1:29" ht="15.75" customHeight="1">
      <c r="A196" s="39" t="s">
        <v>1072</v>
      </c>
      <c r="B196" s="77" t="s">
        <v>1028</v>
      </c>
      <c r="C196" s="109">
        <v>43595</v>
      </c>
      <c r="D196" s="76" t="s">
        <v>188</v>
      </c>
      <c r="E196" s="76" t="s">
        <v>188</v>
      </c>
      <c r="F196" s="24" t="s">
        <v>975</v>
      </c>
      <c r="G196" s="399">
        <f>IFERROR(VLOOKUP(A196,醫療院所DATABASE!A:B,2,""),)</f>
        <v>0</v>
      </c>
      <c r="H196" s="64"/>
      <c r="I196" s="125">
        <v>43585</v>
      </c>
      <c r="J196" s="77" t="s">
        <v>1030</v>
      </c>
      <c r="K196" s="39" t="s">
        <v>1076</v>
      </c>
      <c r="L196" s="126" t="s">
        <v>1077</v>
      </c>
      <c r="M196" s="119" t="s">
        <v>963</v>
      </c>
      <c r="N196" s="47" t="s">
        <v>62</v>
      </c>
      <c r="O196" s="24"/>
      <c r="P196" s="409" t="s">
        <v>1078</v>
      </c>
      <c r="Q196" s="64"/>
      <c r="R196" s="64"/>
      <c r="S196" s="24"/>
      <c r="T196" s="24"/>
      <c r="U196" s="64"/>
      <c r="V196" s="24"/>
      <c r="W196" s="24"/>
      <c r="X196" s="24"/>
      <c r="Y196" s="24"/>
      <c r="Z196" s="24"/>
      <c r="AA196" s="24"/>
      <c r="AB196" s="24"/>
      <c r="AC196" s="24"/>
    </row>
    <row r="197" spans="1:29" ht="15.75" customHeight="1">
      <c r="A197" s="39" t="s">
        <v>1079</v>
      </c>
      <c r="B197" s="77" t="s">
        <v>1028</v>
      </c>
      <c r="C197" s="107">
        <v>43598</v>
      </c>
      <c r="D197" s="76" t="s">
        <v>366</v>
      </c>
      <c r="E197" s="76" t="s">
        <v>366</v>
      </c>
      <c r="F197" s="39" t="s">
        <v>1080</v>
      </c>
      <c r="G197" s="399">
        <f>IFERROR(VLOOKUP(A197,醫療院所DATABASE!A:B,2,""),)</f>
        <v>0</v>
      </c>
      <c r="H197" s="64"/>
      <c r="I197" s="125">
        <v>43585</v>
      </c>
      <c r="J197" s="77" t="s">
        <v>1030</v>
      </c>
      <c r="K197" s="39" t="s">
        <v>1081</v>
      </c>
      <c r="L197" s="76" t="s">
        <v>1082</v>
      </c>
      <c r="M197" s="119" t="s">
        <v>963</v>
      </c>
      <c r="N197" s="47" t="s">
        <v>62</v>
      </c>
      <c r="O197" s="24"/>
      <c r="P197" s="409" t="s">
        <v>1083</v>
      </c>
      <c r="Q197" s="64"/>
      <c r="R197" s="64"/>
      <c r="S197" s="24"/>
      <c r="T197" s="24"/>
      <c r="U197" s="64"/>
      <c r="V197" s="24"/>
      <c r="W197" s="24"/>
      <c r="X197" s="24"/>
      <c r="Y197" s="24"/>
      <c r="Z197" s="24"/>
      <c r="AA197" s="24"/>
      <c r="AB197" s="24"/>
      <c r="AC197" s="24"/>
    </row>
    <row r="198" spans="1:29" ht="15.75" customHeight="1">
      <c r="A198" s="39" t="s">
        <v>1079</v>
      </c>
      <c r="B198" s="39" t="s">
        <v>1084</v>
      </c>
      <c r="C198" s="107">
        <v>43644</v>
      </c>
      <c r="D198" s="76" t="s">
        <v>366</v>
      </c>
      <c r="E198" s="76" t="s">
        <v>366</v>
      </c>
      <c r="F198" s="39" t="s">
        <v>1080</v>
      </c>
      <c r="G198" s="399">
        <f>IFERROR(VLOOKUP(A198,醫療院所DATABASE!A:B,2,""),)</f>
        <v>0</v>
      </c>
      <c r="H198" s="64"/>
      <c r="I198" s="125">
        <v>43585</v>
      </c>
      <c r="J198" s="77" t="s">
        <v>1030</v>
      </c>
      <c r="K198" s="39" t="s">
        <v>1085</v>
      </c>
      <c r="L198" s="76" t="s">
        <v>1086</v>
      </c>
      <c r="M198" s="119" t="s">
        <v>963</v>
      </c>
      <c r="N198" s="47" t="s">
        <v>62</v>
      </c>
      <c r="O198" s="24"/>
      <c r="P198" s="409" t="s">
        <v>1087</v>
      </c>
      <c r="Q198" s="64"/>
      <c r="R198" s="64"/>
      <c r="S198" s="24"/>
      <c r="T198" s="24"/>
      <c r="U198" s="76" t="s">
        <v>1088</v>
      </c>
      <c r="V198" s="24"/>
      <c r="W198" s="24"/>
      <c r="X198" s="24"/>
      <c r="Y198" s="24"/>
      <c r="Z198" s="24"/>
      <c r="AA198" s="24"/>
      <c r="AB198" s="24"/>
      <c r="AC198" s="24"/>
    </row>
    <row r="199" spans="1:29" ht="15.75" customHeight="1">
      <c r="A199" s="39" t="s">
        <v>1079</v>
      </c>
      <c r="B199" s="77" t="s">
        <v>1028</v>
      </c>
      <c r="C199" s="107">
        <v>43598</v>
      </c>
      <c r="D199" s="76" t="s">
        <v>366</v>
      </c>
      <c r="E199" s="76" t="s">
        <v>366</v>
      </c>
      <c r="F199" s="39" t="s">
        <v>1080</v>
      </c>
      <c r="G199" s="399">
        <f>IFERROR(VLOOKUP(A199,醫療院所DATABASE!A:B,2,""),)</f>
        <v>0</v>
      </c>
      <c r="H199" s="64"/>
      <c r="I199" s="125">
        <v>43585</v>
      </c>
      <c r="J199" s="77" t="s">
        <v>1030</v>
      </c>
      <c r="K199" s="39" t="s">
        <v>1089</v>
      </c>
      <c r="L199" s="76" t="s">
        <v>1090</v>
      </c>
      <c r="M199" s="90" t="s">
        <v>616</v>
      </c>
      <c r="N199" s="47" t="s">
        <v>62</v>
      </c>
      <c r="O199" s="24"/>
      <c r="P199" s="409" t="s">
        <v>1091</v>
      </c>
      <c r="Q199" s="64"/>
      <c r="R199" s="64"/>
      <c r="S199" s="24"/>
      <c r="T199" s="24"/>
      <c r="U199" s="64"/>
      <c r="V199" s="24"/>
      <c r="W199" s="24"/>
      <c r="X199" s="24"/>
      <c r="Y199" s="24"/>
      <c r="Z199" s="24"/>
      <c r="AA199" s="24"/>
      <c r="AB199" s="24"/>
      <c r="AC199" s="24"/>
    </row>
    <row r="200" spans="1:29" ht="15.75" customHeight="1">
      <c r="A200" s="39" t="s">
        <v>1092</v>
      </c>
      <c r="B200" s="77" t="s">
        <v>1041</v>
      </c>
      <c r="C200" s="127" t="s">
        <v>1093</v>
      </c>
      <c r="D200" s="76" t="s">
        <v>53</v>
      </c>
      <c r="E200" s="76" t="s">
        <v>53</v>
      </c>
      <c r="F200" s="24" t="s">
        <v>524</v>
      </c>
      <c r="G200" s="399">
        <f>IFERROR(VLOOKUP(A200,醫療院所DATABASE!A:B,2,""),)</f>
        <v>0</v>
      </c>
      <c r="H200" s="64"/>
      <c r="I200" s="109">
        <v>43587</v>
      </c>
      <c r="J200" s="77" t="s">
        <v>1094</v>
      </c>
      <c r="K200" s="39" t="s">
        <v>1095</v>
      </c>
      <c r="L200" s="76" t="s">
        <v>1096</v>
      </c>
      <c r="M200" s="49" t="s">
        <v>61</v>
      </c>
      <c r="N200" s="24" t="s">
        <v>51</v>
      </c>
      <c r="O200" s="24"/>
      <c r="P200" s="409" t="s">
        <v>1097</v>
      </c>
      <c r="Q200" s="64"/>
      <c r="R200" s="64"/>
      <c r="S200" s="24"/>
      <c r="T200" s="24"/>
      <c r="U200" s="64"/>
      <c r="V200" s="24"/>
      <c r="W200" s="24"/>
      <c r="X200" s="24"/>
      <c r="Y200" s="24"/>
      <c r="Z200" s="24"/>
      <c r="AA200" s="24"/>
      <c r="AB200" s="24"/>
      <c r="AC200" s="24"/>
    </row>
    <row r="201" spans="1:29" ht="15.75" customHeight="1">
      <c r="A201" s="39" t="s">
        <v>1092</v>
      </c>
      <c r="B201" s="77" t="s">
        <v>1041</v>
      </c>
      <c r="C201" s="127" t="s">
        <v>1093</v>
      </c>
      <c r="D201" s="76" t="s">
        <v>53</v>
      </c>
      <c r="E201" s="76" t="s">
        <v>53</v>
      </c>
      <c r="F201" s="24" t="s">
        <v>524</v>
      </c>
      <c r="G201" s="399">
        <f>IFERROR(VLOOKUP(A201,醫療院所DATABASE!A:B,2,""),)</f>
        <v>0</v>
      </c>
      <c r="H201" s="64"/>
      <c r="I201" s="109">
        <v>43587</v>
      </c>
      <c r="J201" s="77" t="s">
        <v>1094</v>
      </c>
      <c r="K201" s="39" t="s">
        <v>1098</v>
      </c>
      <c r="L201" s="76" t="s">
        <v>1099</v>
      </c>
      <c r="M201" s="49" t="s">
        <v>61</v>
      </c>
      <c r="N201" s="47" t="s">
        <v>62</v>
      </c>
      <c r="O201" s="24"/>
      <c r="P201" s="409" t="s">
        <v>1100</v>
      </c>
      <c r="Q201" s="64"/>
      <c r="R201" s="64"/>
      <c r="S201" s="24"/>
      <c r="T201" s="24"/>
      <c r="U201" s="64"/>
      <c r="V201" s="24"/>
      <c r="W201" s="24"/>
      <c r="X201" s="24"/>
      <c r="Y201" s="24"/>
      <c r="Z201" s="24"/>
      <c r="AA201" s="24"/>
      <c r="AB201" s="24"/>
      <c r="AC201" s="24"/>
    </row>
    <row r="202" spans="1:29" ht="15.75" customHeight="1">
      <c r="A202" s="39" t="s">
        <v>1101</v>
      </c>
      <c r="B202" s="77" t="s">
        <v>1041</v>
      </c>
      <c r="C202" s="127" t="s">
        <v>1093</v>
      </c>
      <c r="D202" s="64" t="s">
        <v>522</v>
      </c>
      <c r="E202" s="76" t="s">
        <v>523</v>
      </c>
      <c r="F202" s="24" t="s">
        <v>524</v>
      </c>
      <c r="G202" s="399">
        <f>IFERROR(VLOOKUP(A202,醫療院所DATABASE!A:B,2,""),)</f>
        <v>0</v>
      </c>
      <c r="H202" s="64"/>
      <c r="I202" s="109">
        <v>43587</v>
      </c>
      <c r="J202" s="77" t="s">
        <v>1094</v>
      </c>
      <c r="K202" s="39" t="s">
        <v>1102</v>
      </c>
      <c r="L202" s="123" t="s">
        <v>1103</v>
      </c>
      <c r="M202" s="49" t="s">
        <v>61</v>
      </c>
      <c r="N202" s="47" t="s">
        <v>62</v>
      </c>
      <c r="O202" s="24"/>
      <c r="P202" s="409" t="s">
        <v>1104</v>
      </c>
      <c r="Q202" s="64"/>
      <c r="R202" s="64"/>
      <c r="S202" s="24"/>
      <c r="T202" s="24"/>
      <c r="U202" s="64"/>
      <c r="V202" s="24"/>
      <c r="W202" s="24"/>
      <c r="X202" s="24"/>
      <c r="Y202" s="24"/>
      <c r="Z202" s="24"/>
      <c r="AA202" s="24"/>
      <c r="AB202" s="24"/>
      <c r="AC202" s="24"/>
    </row>
    <row r="203" spans="1:29" ht="15.75" customHeight="1">
      <c r="A203" s="39" t="s">
        <v>701</v>
      </c>
      <c r="B203" s="77" t="s">
        <v>1041</v>
      </c>
      <c r="C203" s="128">
        <v>43594</v>
      </c>
      <c r="D203" s="64" t="s">
        <v>522</v>
      </c>
      <c r="E203" s="64" t="s">
        <v>523</v>
      </c>
      <c r="F203" s="39" t="s">
        <v>1105</v>
      </c>
      <c r="G203" s="399">
        <f>IFERROR(VLOOKUP(A203,醫療院所DATABASE!A:B,2,""),)</f>
        <v>0</v>
      </c>
      <c r="H203" s="64"/>
      <c r="I203" s="109">
        <v>43587</v>
      </c>
      <c r="J203" s="77" t="s">
        <v>1094</v>
      </c>
      <c r="K203" s="39" t="s">
        <v>1106</v>
      </c>
      <c r="L203" s="76" t="s">
        <v>1107</v>
      </c>
      <c r="M203" s="49" t="s">
        <v>61</v>
      </c>
      <c r="N203" s="47" t="s">
        <v>62</v>
      </c>
      <c r="O203" s="24"/>
      <c r="P203" s="409" t="s">
        <v>1108</v>
      </c>
      <c r="Q203" s="64"/>
      <c r="R203" s="64"/>
      <c r="S203" s="24"/>
      <c r="T203" s="24"/>
      <c r="U203" s="64"/>
      <c r="V203" s="24"/>
      <c r="W203" s="24"/>
      <c r="X203" s="24"/>
      <c r="Y203" s="24"/>
      <c r="Z203" s="24"/>
      <c r="AA203" s="24"/>
      <c r="AB203" s="24"/>
      <c r="AC203" s="24"/>
    </row>
    <row r="204" spans="1:29" ht="15.75" customHeight="1">
      <c r="A204" s="39" t="s">
        <v>701</v>
      </c>
      <c r="B204" s="77" t="s">
        <v>1041</v>
      </c>
      <c r="C204" s="128">
        <v>43594</v>
      </c>
      <c r="D204" s="64" t="s">
        <v>522</v>
      </c>
      <c r="E204" s="76" t="s">
        <v>188</v>
      </c>
      <c r="F204" s="39" t="s">
        <v>1105</v>
      </c>
      <c r="G204" s="399">
        <f>IFERROR(VLOOKUP(A204,醫療院所DATABASE!A:B,2,""),)</f>
        <v>0</v>
      </c>
      <c r="H204" s="64"/>
      <c r="I204" s="109">
        <v>43587</v>
      </c>
      <c r="J204" s="77" t="s">
        <v>1094</v>
      </c>
      <c r="K204" s="39" t="s">
        <v>1109</v>
      </c>
      <c r="L204" s="76" t="s">
        <v>1110</v>
      </c>
      <c r="M204" s="49" t="s">
        <v>61</v>
      </c>
      <c r="N204" s="47" t="s">
        <v>62</v>
      </c>
      <c r="O204" s="24"/>
      <c r="P204" s="409" t="s">
        <v>1111</v>
      </c>
      <c r="Q204" s="64"/>
      <c r="R204" s="64"/>
      <c r="S204" s="24"/>
      <c r="T204" s="24"/>
      <c r="U204" s="64"/>
      <c r="V204" s="24"/>
      <c r="W204" s="24"/>
      <c r="X204" s="24"/>
      <c r="Y204" s="24"/>
      <c r="Z204" s="24"/>
      <c r="AA204" s="24"/>
      <c r="AB204" s="24"/>
      <c r="AC204" s="24"/>
    </row>
    <row r="205" spans="1:29" ht="15.75" customHeight="1">
      <c r="A205" s="39" t="s">
        <v>1112</v>
      </c>
      <c r="B205" s="77" t="s">
        <v>1041</v>
      </c>
      <c r="C205" s="77" t="s">
        <v>1093</v>
      </c>
      <c r="D205" s="76" t="s">
        <v>1113</v>
      </c>
      <c r="E205" s="76" t="s">
        <v>479</v>
      </c>
      <c r="F205" s="39" t="s">
        <v>1114</v>
      </c>
      <c r="G205" s="399">
        <f>IFERROR(VLOOKUP(A205,醫療院所DATABASE!A:B,2,""),)</f>
        <v>0</v>
      </c>
      <c r="H205" s="64"/>
      <c r="I205" s="109">
        <v>43587</v>
      </c>
      <c r="J205" s="77" t="s">
        <v>1094</v>
      </c>
      <c r="K205" s="39" t="s">
        <v>413</v>
      </c>
      <c r="L205" s="76" t="s">
        <v>106</v>
      </c>
      <c r="M205" s="39" t="s">
        <v>956</v>
      </c>
      <c r="N205" s="47" t="s">
        <v>62</v>
      </c>
      <c r="O205" s="24"/>
      <c r="P205" s="409" t="s">
        <v>1115</v>
      </c>
      <c r="Q205" s="64"/>
      <c r="R205" s="64"/>
      <c r="S205" s="24"/>
      <c r="T205" s="24"/>
      <c r="U205" s="64"/>
      <c r="V205" s="24"/>
      <c r="W205" s="24"/>
      <c r="X205" s="24"/>
      <c r="Y205" s="24"/>
      <c r="Z205" s="24"/>
      <c r="AA205" s="24"/>
      <c r="AB205" s="24"/>
      <c r="AC205" s="24"/>
    </row>
    <row r="206" spans="1:29" ht="15.75" customHeight="1">
      <c r="A206" s="39" t="s">
        <v>1116</v>
      </c>
      <c r="B206" s="77" t="s">
        <v>1041</v>
      </c>
      <c r="C206" s="39">
        <v>20190509</v>
      </c>
      <c r="D206" s="76" t="s">
        <v>53</v>
      </c>
      <c r="E206" s="76" t="s">
        <v>53</v>
      </c>
      <c r="F206" s="24" t="s">
        <v>975</v>
      </c>
      <c r="G206" s="399">
        <f>IFERROR(VLOOKUP(A206,醫療院所DATABASE!A:B,2,""),)</f>
        <v>0</v>
      </c>
      <c r="H206" s="64"/>
      <c r="I206" s="109">
        <v>43587</v>
      </c>
      <c r="J206" s="77" t="s">
        <v>1094</v>
      </c>
      <c r="K206" s="39" t="s">
        <v>1117</v>
      </c>
      <c r="L206" s="122" t="s">
        <v>1118</v>
      </c>
      <c r="M206" s="119" t="s">
        <v>963</v>
      </c>
      <c r="N206" s="47" t="s">
        <v>62</v>
      </c>
      <c r="O206" s="24"/>
      <c r="P206" s="409" t="s">
        <v>1119</v>
      </c>
      <c r="Q206" s="64"/>
      <c r="R206" s="64"/>
      <c r="S206" s="24"/>
      <c r="T206" s="24"/>
      <c r="U206" s="64"/>
      <c r="V206" s="24"/>
      <c r="W206" s="24"/>
      <c r="X206" s="24"/>
      <c r="Y206" s="24"/>
      <c r="Z206" s="24"/>
      <c r="AA206" s="24"/>
      <c r="AB206" s="24"/>
      <c r="AC206" s="24"/>
    </row>
    <row r="207" spans="1:29" ht="15.75" customHeight="1">
      <c r="A207" s="39" t="s">
        <v>1072</v>
      </c>
      <c r="B207" s="77" t="s">
        <v>1041</v>
      </c>
      <c r="C207" s="128">
        <v>43594</v>
      </c>
      <c r="D207" s="64" t="s">
        <v>523</v>
      </c>
      <c r="E207" s="64" t="s">
        <v>523</v>
      </c>
      <c r="F207" s="24" t="s">
        <v>975</v>
      </c>
      <c r="G207" s="399">
        <f>IFERROR(VLOOKUP(A207,醫療院所DATABASE!A:B,2,""),)</f>
        <v>0</v>
      </c>
      <c r="H207" s="64"/>
      <c r="I207" s="109">
        <v>43587</v>
      </c>
      <c r="J207" s="77" t="s">
        <v>1094</v>
      </c>
      <c r="K207" s="39" t="s">
        <v>1120</v>
      </c>
      <c r="L207" s="76" t="s">
        <v>1121</v>
      </c>
      <c r="M207" s="119" t="s">
        <v>963</v>
      </c>
      <c r="N207" s="47" t="s">
        <v>62</v>
      </c>
      <c r="O207" s="24"/>
      <c r="P207" s="409" t="s">
        <v>1122</v>
      </c>
      <c r="Q207" s="64"/>
      <c r="R207" s="64"/>
      <c r="S207" s="24"/>
      <c r="T207" s="24"/>
      <c r="U207" s="64"/>
      <c r="V207" s="24"/>
      <c r="W207" s="24"/>
      <c r="X207" s="24"/>
      <c r="Y207" s="24"/>
      <c r="Z207" s="24"/>
      <c r="AA207" s="24"/>
      <c r="AB207" s="24"/>
      <c r="AC207" s="24"/>
    </row>
    <row r="208" spans="1:29" ht="15.75" customHeight="1">
      <c r="A208" s="39" t="s">
        <v>1072</v>
      </c>
      <c r="B208" s="77" t="s">
        <v>1041</v>
      </c>
      <c r="C208" s="109">
        <v>43595</v>
      </c>
      <c r="D208" s="76" t="s">
        <v>188</v>
      </c>
      <c r="E208" s="76" t="s">
        <v>188</v>
      </c>
      <c r="F208" s="24" t="s">
        <v>975</v>
      </c>
      <c r="G208" s="399">
        <f>IFERROR(VLOOKUP(A208,醫療院所DATABASE!A:B,2,""),)</f>
        <v>0</v>
      </c>
      <c r="H208" s="64"/>
      <c r="I208" s="109">
        <v>43587</v>
      </c>
      <c r="J208" s="77" t="s">
        <v>1094</v>
      </c>
      <c r="K208" s="39" t="s">
        <v>1123</v>
      </c>
      <c r="L208" s="76" t="s">
        <v>1124</v>
      </c>
      <c r="M208" s="119" t="s">
        <v>963</v>
      </c>
      <c r="N208" s="47" t="s">
        <v>62</v>
      </c>
      <c r="O208" s="24"/>
      <c r="P208" s="409" t="s">
        <v>1125</v>
      </c>
      <c r="Q208" s="64"/>
      <c r="R208" s="64"/>
      <c r="S208" s="24"/>
      <c r="T208" s="24"/>
      <c r="U208" s="64"/>
      <c r="V208" s="24"/>
      <c r="W208" s="24"/>
      <c r="X208" s="24"/>
      <c r="Y208" s="24"/>
      <c r="Z208" s="24"/>
      <c r="AA208" s="24"/>
      <c r="AB208" s="24"/>
      <c r="AC208" s="24"/>
    </row>
    <row r="209" spans="1:29" ht="15.75" customHeight="1">
      <c r="A209" s="39" t="s">
        <v>1126</v>
      </c>
      <c r="B209" s="77" t="s">
        <v>1093</v>
      </c>
      <c r="C209" s="109">
        <v>43595</v>
      </c>
      <c r="D209" s="76" t="s">
        <v>53</v>
      </c>
      <c r="E209" s="76" t="s">
        <v>53</v>
      </c>
      <c r="F209" s="129" t="s">
        <v>54</v>
      </c>
      <c r="G209" s="399">
        <f>IFERROR(VLOOKUP(A209,醫療院所DATABASE!A:B,2,""),)</f>
        <v>0</v>
      </c>
      <c r="H209" s="64"/>
      <c r="I209" s="109">
        <v>43587</v>
      </c>
      <c r="J209" s="77" t="s">
        <v>1094</v>
      </c>
      <c r="K209" s="39" t="s">
        <v>1127</v>
      </c>
      <c r="L209" s="76" t="s">
        <v>1128</v>
      </c>
      <c r="M209" s="39" t="s">
        <v>1129</v>
      </c>
      <c r="N209" s="47" t="s">
        <v>62</v>
      </c>
      <c r="O209" s="24"/>
      <c r="P209" s="409" t="s">
        <v>1130</v>
      </c>
      <c r="Q209" s="64"/>
      <c r="R209" s="64"/>
      <c r="S209" s="24"/>
      <c r="T209" s="24"/>
      <c r="U209" s="64"/>
      <c r="V209" s="24"/>
      <c r="W209" s="24"/>
      <c r="X209" s="24"/>
      <c r="Y209" s="24"/>
      <c r="Z209" s="24"/>
      <c r="AA209" s="24"/>
      <c r="AB209" s="24"/>
      <c r="AC209" s="24"/>
    </row>
    <row r="210" spans="1:29" ht="15.75" customHeight="1">
      <c r="A210" s="39" t="s">
        <v>1131</v>
      </c>
      <c r="B210" s="77" t="s">
        <v>1093</v>
      </c>
      <c r="C210" s="130">
        <v>43595</v>
      </c>
      <c r="D210" s="76" t="s">
        <v>53</v>
      </c>
      <c r="E210" s="76" t="s">
        <v>53</v>
      </c>
      <c r="F210" s="129" t="s">
        <v>54</v>
      </c>
      <c r="G210" s="399">
        <f>IFERROR(VLOOKUP(A210,醫療院所DATABASE!A:B,2,""),)</f>
        <v>0</v>
      </c>
      <c r="H210" s="64"/>
      <c r="I210" s="109">
        <v>43587</v>
      </c>
      <c r="J210" s="77" t="s">
        <v>1094</v>
      </c>
      <c r="K210" s="39" t="s">
        <v>1132</v>
      </c>
      <c r="L210" s="76" t="s">
        <v>1133</v>
      </c>
      <c r="M210" s="39" t="s">
        <v>1129</v>
      </c>
      <c r="N210" s="24" t="s">
        <v>51</v>
      </c>
      <c r="O210" s="24"/>
      <c r="P210" s="409" t="s">
        <v>1134</v>
      </c>
      <c r="Q210" s="64"/>
      <c r="R210" s="64"/>
      <c r="S210" s="24"/>
      <c r="T210" s="24"/>
      <c r="U210" s="64"/>
      <c r="V210" s="24"/>
      <c r="W210" s="24"/>
      <c r="X210" s="24"/>
      <c r="Y210" s="24"/>
      <c r="Z210" s="24"/>
      <c r="AA210" s="24"/>
      <c r="AB210" s="24"/>
      <c r="AC210" s="24"/>
    </row>
    <row r="211" spans="1:29" ht="15.75" customHeight="1">
      <c r="A211" s="39">
        <v>19043001</v>
      </c>
      <c r="B211" s="77" t="s">
        <v>1093</v>
      </c>
      <c r="C211" s="107">
        <v>43598</v>
      </c>
      <c r="D211" s="76" t="s">
        <v>151</v>
      </c>
      <c r="E211" s="76" t="s">
        <v>523</v>
      </c>
      <c r="F211" s="39" t="s">
        <v>353</v>
      </c>
      <c r="G211" s="399">
        <f>IFERROR(VLOOKUP(A211,醫療院所DATABASE!A:B,2,""),)</f>
        <v>0</v>
      </c>
      <c r="H211" s="64"/>
      <c r="I211" s="109">
        <v>43588</v>
      </c>
      <c r="J211" s="77" t="s">
        <v>1135</v>
      </c>
      <c r="K211" s="39" t="s">
        <v>1136</v>
      </c>
      <c r="L211" s="76" t="s">
        <v>1137</v>
      </c>
      <c r="M211" s="49" t="s">
        <v>61</v>
      </c>
      <c r="N211" s="47" t="s">
        <v>62</v>
      </c>
      <c r="O211" s="24"/>
      <c r="P211" s="409" t="s">
        <v>1138</v>
      </c>
      <c r="Q211" s="64"/>
      <c r="R211" s="64"/>
      <c r="S211" s="24"/>
      <c r="T211" s="24"/>
      <c r="U211" s="64"/>
      <c r="V211" s="24"/>
      <c r="W211" s="24"/>
      <c r="X211" s="24"/>
      <c r="Y211" s="24"/>
      <c r="Z211" s="24"/>
      <c r="AA211" s="24"/>
      <c r="AB211" s="24"/>
      <c r="AC211" s="24"/>
    </row>
    <row r="212" spans="1:29" ht="15.75" customHeight="1">
      <c r="A212" s="39" t="s">
        <v>1139</v>
      </c>
      <c r="B212" s="77" t="s">
        <v>1093</v>
      </c>
      <c r="C212" s="130">
        <v>43595</v>
      </c>
      <c r="D212" s="76" t="s">
        <v>53</v>
      </c>
      <c r="E212" s="76" t="s">
        <v>53</v>
      </c>
      <c r="F212" s="24" t="s">
        <v>975</v>
      </c>
      <c r="G212" s="399">
        <f>IFERROR(VLOOKUP(A212,醫療院所DATABASE!A:B,2,""),)</f>
        <v>0</v>
      </c>
      <c r="H212" s="64"/>
      <c r="I212" s="109">
        <v>43588</v>
      </c>
      <c r="J212" s="77" t="s">
        <v>1135</v>
      </c>
      <c r="K212" s="39" t="s">
        <v>1140</v>
      </c>
      <c r="L212" s="76" t="s">
        <v>1141</v>
      </c>
      <c r="M212" s="49" t="s">
        <v>61</v>
      </c>
      <c r="N212" s="47" t="s">
        <v>62</v>
      </c>
      <c r="O212" s="24"/>
      <c r="P212" s="409" t="s">
        <v>1142</v>
      </c>
      <c r="Q212" s="64"/>
      <c r="R212" s="64"/>
      <c r="S212" s="24"/>
      <c r="T212" s="24"/>
      <c r="U212" s="64"/>
      <c r="V212" s="24"/>
      <c r="W212" s="24"/>
      <c r="X212" s="24"/>
      <c r="Y212" s="24"/>
      <c r="Z212" s="24"/>
      <c r="AA212" s="24"/>
      <c r="AB212" s="24"/>
      <c r="AC212" s="24"/>
    </row>
    <row r="213" spans="1:29" ht="15.75" customHeight="1">
      <c r="A213" s="39" t="s">
        <v>1143</v>
      </c>
      <c r="B213" s="77" t="s">
        <v>1093</v>
      </c>
      <c r="C213" s="109">
        <v>43598</v>
      </c>
      <c r="D213" s="76" t="s">
        <v>543</v>
      </c>
      <c r="E213" s="76" t="s">
        <v>523</v>
      </c>
      <c r="F213" s="24" t="s">
        <v>524</v>
      </c>
      <c r="G213" s="399">
        <f>IFERROR(VLOOKUP(A213,醫療院所DATABASE!A:B,2,""),)</f>
        <v>0</v>
      </c>
      <c r="H213" s="64"/>
      <c r="I213" s="109">
        <v>43588</v>
      </c>
      <c r="J213" s="77" t="s">
        <v>1135</v>
      </c>
      <c r="K213" s="39" t="s">
        <v>1144</v>
      </c>
      <c r="L213" s="123" t="s">
        <v>1145</v>
      </c>
      <c r="M213" s="49" t="s">
        <v>61</v>
      </c>
      <c r="N213" s="47" t="s">
        <v>62</v>
      </c>
      <c r="O213" s="24"/>
      <c r="P213" s="409" t="s">
        <v>1146</v>
      </c>
      <c r="Q213" s="64"/>
      <c r="R213" s="64"/>
      <c r="S213" s="24"/>
      <c r="T213" s="24"/>
      <c r="U213" s="64"/>
      <c r="V213" s="24"/>
      <c r="W213" s="24"/>
      <c r="X213" s="24"/>
      <c r="Y213" s="24"/>
      <c r="Z213" s="24"/>
      <c r="AA213" s="24"/>
      <c r="AB213" s="24"/>
      <c r="AC213" s="24"/>
    </row>
    <row r="214" spans="1:29" ht="15.75" customHeight="1">
      <c r="A214" s="39" t="s">
        <v>1139</v>
      </c>
      <c r="B214" s="77" t="s">
        <v>1093</v>
      </c>
      <c r="C214" s="130">
        <v>43595</v>
      </c>
      <c r="D214" s="76" t="s">
        <v>53</v>
      </c>
      <c r="E214" s="76" t="s">
        <v>53</v>
      </c>
      <c r="F214" s="24" t="s">
        <v>975</v>
      </c>
      <c r="G214" s="399">
        <f>IFERROR(VLOOKUP(A214,醫療院所DATABASE!A:B,2,""),)</f>
        <v>0</v>
      </c>
      <c r="H214" s="64"/>
      <c r="I214" s="109">
        <v>43588</v>
      </c>
      <c r="J214" s="77" t="s">
        <v>1135</v>
      </c>
      <c r="K214" s="39" t="s">
        <v>1147</v>
      </c>
      <c r="L214" s="76" t="s">
        <v>1148</v>
      </c>
      <c r="M214" s="119" t="s">
        <v>963</v>
      </c>
      <c r="N214" s="47" t="s">
        <v>62</v>
      </c>
      <c r="O214" s="24"/>
      <c r="P214" s="409" t="s">
        <v>1149</v>
      </c>
      <c r="Q214" s="64"/>
      <c r="R214" s="64"/>
      <c r="S214" s="24"/>
      <c r="T214" s="24"/>
      <c r="U214" s="64"/>
      <c r="V214" s="24"/>
      <c r="W214" s="24"/>
      <c r="X214" s="24"/>
      <c r="Y214" s="24"/>
      <c r="Z214" s="24"/>
      <c r="AA214" s="24"/>
      <c r="AB214" s="24"/>
      <c r="AC214" s="24"/>
    </row>
    <row r="215" spans="1:29" ht="15.75" customHeight="1">
      <c r="A215" s="39">
        <v>19050101</v>
      </c>
      <c r="B215" s="77" t="s">
        <v>1093</v>
      </c>
      <c r="C215" s="109">
        <v>43595</v>
      </c>
      <c r="D215" s="76" t="s">
        <v>1029</v>
      </c>
      <c r="E215" s="76" t="s">
        <v>188</v>
      </c>
      <c r="F215" s="39" t="s">
        <v>353</v>
      </c>
      <c r="G215" s="399">
        <f>IFERROR(VLOOKUP(A215,醫療院所DATABASE!A:B,2,""),)</f>
        <v>0</v>
      </c>
      <c r="H215" s="64"/>
      <c r="I215" s="109">
        <v>43588</v>
      </c>
      <c r="J215" s="77" t="s">
        <v>1135</v>
      </c>
      <c r="K215" s="39" t="s">
        <v>1150</v>
      </c>
      <c r="L215" s="76" t="s">
        <v>1151</v>
      </c>
      <c r="M215" s="39" t="s">
        <v>1152</v>
      </c>
      <c r="N215" s="47" t="s">
        <v>62</v>
      </c>
      <c r="O215" s="24"/>
      <c r="P215" s="409" t="s">
        <v>1153</v>
      </c>
      <c r="Q215" s="64"/>
      <c r="R215" s="64"/>
      <c r="S215" s="24"/>
      <c r="T215" s="24"/>
      <c r="U215" s="64"/>
      <c r="V215" s="24"/>
      <c r="W215" s="24"/>
      <c r="X215" s="24"/>
      <c r="Y215" s="24"/>
      <c r="Z215" s="24"/>
      <c r="AA215" s="24"/>
      <c r="AB215" s="24"/>
      <c r="AC215" s="24"/>
    </row>
    <row r="216" spans="1:29" ht="15.75" customHeight="1">
      <c r="A216" s="39">
        <v>19043003</v>
      </c>
      <c r="B216" s="77" t="s">
        <v>1093</v>
      </c>
      <c r="C216" s="109">
        <v>43598</v>
      </c>
      <c r="D216" s="76" t="s">
        <v>151</v>
      </c>
      <c r="E216" s="76" t="s">
        <v>523</v>
      </c>
      <c r="F216" s="39" t="s">
        <v>353</v>
      </c>
      <c r="G216" s="399">
        <f>IFERROR(VLOOKUP(A216,醫療院所DATABASE!A:B,2,""),)</f>
        <v>0</v>
      </c>
      <c r="H216" s="64"/>
      <c r="I216" s="109">
        <v>43588</v>
      </c>
      <c r="J216" s="77" t="s">
        <v>1135</v>
      </c>
      <c r="K216" s="39" t="s">
        <v>1154</v>
      </c>
      <c r="L216" s="76" t="s">
        <v>1155</v>
      </c>
      <c r="M216" s="93" t="s">
        <v>641</v>
      </c>
      <c r="N216" s="24" t="s">
        <v>51</v>
      </c>
      <c r="O216" s="24"/>
      <c r="P216" s="409" t="s">
        <v>1156</v>
      </c>
      <c r="Q216" s="64"/>
      <c r="R216" s="64"/>
      <c r="S216" s="24"/>
      <c r="T216" s="24"/>
      <c r="U216" s="64"/>
      <c r="V216" s="24"/>
      <c r="W216" s="24"/>
      <c r="X216" s="24"/>
      <c r="Y216" s="24"/>
      <c r="Z216" s="24"/>
      <c r="AA216" s="24"/>
      <c r="AB216" s="24"/>
      <c r="AC216" s="24"/>
    </row>
    <row r="217" spans="1:29" ht="15.75" customHeight="1">
      <c r="A217" s="39" t="s">
        <v>1157</v>
      </c>
      <c r="B217" s="77" t="s">
        <v>1158</v>
      </c>
      <c r="C217" s="109">
        <v>43598</v>
      </c>
      <c r="D217" s="64" t="s">
        <v>665</v>
      </c>
      <c r="E217" s="76" t="s">
        <v>53</v>
      </c>
      <c r="F217" s="24" t="s">
        <v>524</v>
      </c>
      <c r="G217" s="399">
        <f>IFERROR(VLOOKUP(A217,醫療院所DATABASE!A:B,2,""),)</f>
        <v>0</v>
      </c>
      <c r="H217" s="64"/>
      <c r="I217" s="109">
        <v>43591</v>
      </c>
      <c r="J217" s="109">
        <v>43595</v>
      </c>
      <c r="K217" s="39" t="s">
        <v>1159</v>
      </c>
      <c r="L217" s="76" t="s">
        <v>1160</v>
      </c>
      <c r="M217" s="49" t="s">
        <v>61</v>
      </c>
      <c r="N217" s="24" t="s">
        <v>51</v>
      </c>
      <c r="O217" s="24"/>
      <c r="P217" s="409" t="s">
        <v>1161</v>
      </c>
      <c r="Q217" s="64"/>
      <c r="R217" s="64"/>
      <c r="S217" s="24"/>
      <c r="T217" s="24"/>
      <c r="U217" s="64"/>
      <c r="V217" s="24"/>
      <c r="W217" s="24"/>
      <c r="X217" s="24"/>
      <c r="Y217" s="24"/>
      <c r="Z217" s="24"/>
      <c r="AA217" s="24"/>
      <c r="AB217" s="24"/>
      <c r="AC217" s="24"/>
    </row>
    <row r="218" spans="1:29" ht="15.75" customHeight="1">
      <c r="A218" s="39" t="s">
        <v>1162</v>
      </c>
      <c r="B218" s="77" t="s">
        <v>1158</v>
      </c>
      <c r="C218" s="109">
        <v>43598</v>
      </c>
      <c r="D218" s="76" t="s">
        <v>543</v>
      </c>
      <c r="E218" s="76" t="s">
        <v>188</v>
      </c>
      <c r="F218" s="24" t="s">
        <v>524</v>
      </c>
      <c r="G218" s="399">
        <f>IFERROR(VLOOKUP(A218,醫療院所DATABASE!A:B,2,""),)</f>
        <v>0</v>
      </c>
      <c r="H218" s="64"/>
      <c r="I218" s="109">
        <v>43591</v>
      </c>
      <c r="J218" s="109">
        <v>43595</v>
      </c>
      <c r="K218" s="39" t="s">
        <v>1163</v>
      </c>
      <c r="L218" s="76" t="s">
        <v>1164</v>
      </c>
      <c r="M218" s="49" t="s">
        <v>61</v>
      </c>
      <c r="N218" s="47" t="s">
        <v>62</v>
      </c>
      <c r="O218" s="24"/>
      <c r="P218" s="409" t="s">
        <v>1165</v>
      </c>
      <c r="Q218" s="64"/>
      <c r="R218" s="64"/>
      <c r="S218" s="24"/>
      <c r="T218" s="24"/>
      <c r="U218" s="64"/>
      <c r="V218" s="24"/>
      <c r="W218" s="24"/>
      <c r="X218" s="24"/>
      <c r="Y218" s="24"/>
      <c r="Z218" s="24"/>
      <c r="AA218" s="24"/>
      <c r="AB218" s="24"/>
      <c r="AC218" s="24"/>
    </row>
    <row r="219" spans="1:29" ht="15.75" customHeight="1">
      <c r="A219" s="39" t="s">
        <v>1166</v>
      </c>
      <c r="B219" s="77" t="s">
        <v>1158</v>
      </c>
      <c r="C219" s="109">
        <v>43598</v>
      </c>
      <c r="D219" s="76" t="s">
        <v>543</v>
      </c>
      <c r="E219" s="76" t="s">
        <v>523</v>
      </c>
      <c r="F219" s="24" t="s">
        <v>524</v>
      </c>
      <c r="G219" s="399">
        <f>IFERROR(VLOOKUP(A219,醫療院所DATABASE!A:B,2,""),)</f>
        <v>0</v>
      </c>
      <c r="H219" s="64"/>
      <c r="I219" s="109">
        <v>43591</v>
      </c>
      <c r="J219" s="109">
        <v>43595</v>
      </c>
      <c r="K219" s="39" t="s">
        <v>1167</v>
      </c>
      <c r="L219" s="131" t="s">
        <v>1168</v>
      </c>
      <c r="M219" s="49" t="s">
        <v>61</v>
      </c>
      <c r="N219" s="24" t="s">
        <v>51</v>
      </c>
      <c r="O219" s="24"/>
      <c r="P219" s="409" t="s">
        <v>1169</v>
      </c>
      <c r="Q219" s="64"/>
      <c r="R219" s="64"/>
      <c r="S219" s="24"/>
      <c r="T219" s="24"/>
      <c r="U219" s="64"/>
      <c r="V219" s="24"/>
      <c r="W219" s="24"/>
      <c r="X219" s="24"/>
      <c r="Y219" s="24"/>
      <c r="Z219" s="24"/>
      <c r="AA219" s="24"/>
      <c r="AB219" s="24"/>
      <c r="AC219" s="24"/>
    </row>
    <row r="220" spans="1:29" ht="15.75" customHeight="1">
      <c r="A220" s="39" t="s">
        <v>1166</v>
      </c>
      <c r="B220" s="77" t="s">
        <v>1158</v>
      </c>
      <c r="C220" s="109">
        <v>43598</v>
      </c>
      <c r="D220" s="76" t="s">
        <v>543</v>
      </c>
      <c r="E220" s="76" t="s">
        <v>53</v>
      </c>
      <c r="F220" s="24" t="s">
        <v>524</v>
      </c>
      <c r="G220" s="399">
        <f>IFERROR(VLOOKUP(A220,醫療院所DATABASE!A:B,2,""),)</f>
        <v>0</v>
      </c>
      <c r="H220" s="64"/>
      <c r="I220" s="109">
        <v>43591</v>
      </c>
      <c r="J220" s="109">
        <v>43595</v>
      </c>
      <c r="K220" s="39" t="s">
        <v>1170</v>
      </c>
      <c r="L220" s="76" t="s">
        <v>1171</v>
      </c>
      <c r="M220" s="49" t="s">
        <v>61</v>
      </c>
      <c r="N220" s="47" t="s">
        <v>62</v>
      </c>
      <c r="O220" s="24"/>
      <c r="P220" s="409" t="s">
        <v>1172</v>
      </c>
      <c r="Q220" s="64"/>
      <c r="R220" s="64"/>
      <c r="S220" s="24"/>
      <c r="T220" s="24"/>
      <c r="U220" s="64"/>
      <c r="V220" s="24"/>
      <c r="W220" s="24"/>
      <c r="X220" s="24"/>
      <c r="Y220" s="24"/>
      <c r="Z220" s="24"/>
      <c r="AA220" s="24"/>
      <c r="AB220" s="24"/>
      <c r="AC220" s="24"/>
    </row>
    <row r="221" spans="1:29" ht="15.75" customHeight="1">
      <c r="A221" s="39" t="s">
        <v>1166</v>
      </c>
      <c r="B221" s="77" t="s">
        <v>1158</v>
      </c>
      <c r="C221" s="109">
        <v>43598</v>
      </c>
      <c r="D221" s="76" t="s">
        <v>543</v>
      </c>
      <c r="E221" s="76" t="s">
        <v>188</v>
      </c>
      <c r="F221" s="24" t="s">
        <v>524</v>
      </c>
      <c r="G221" s="399">
        <f>IFERROR(VLOOKUP(A221,醫療院所DATABASE!A:B,2,""),)</f>
        <v>0</v>
      </c>
      <c r="H221" s="64"/>
      <c r="I221" s="109">
        <v>43591</v>
      </c>
      <c r="J221" s="109">
        <v>43595</v>
      </c>
      <c r="K221" s="39" t="s">
        <v>1173</v>
      </c>
      <c r="L221" s="76" t="s">
        <v>1174</v>
      </c>
      <c r="M221" s="49" t="s">
        <v>61</v>
      </c>
      <c r="N221" s="47" t="s">
        <v>62</v>
      </c>
      <c r="O221" s="24"/>
      <c r="P221" s="409" t="s">
        <v>1175</v>
      </c>
      <c r="Q221" s="64"/>
      <c r="R221" s="64"/>
      <c r="S221" s="24"/>
      <c r="T221" s="24"/>
      <c r="U221" s="64"/>
      <c r="V221" s="24"/>
      <c r="W221" s="24"/>
      <c r="X221" s="24"/>
      <c r="Y221" s="24"/>
      <c r="Z221" s="24"/>
      <c r="AA221" s="24"/>
      <c r="AB221" s="24"/>
      <c r="AC221" s="24"/>
    </row>
    <row r="222" spans="1:29" ht="15.75" customHeight="1">
      <c r="A222" s="39" t="s">
        <v>701</v>
      </c>
      <c r="B222" s="77" t="s">
        <v>1158</v>
      </c>
      <c r="C222" s="109">
        <v>43598</v>
      </c>
      <c r="D222" s="64" t="s">
        <v>522</v>
      </c>
      <c r="E222" s="76" t="s">
        <v>523</v>
      </c>
      <c r="F222" s="39" t="s">
        <v>1105</v>
      </c>
      <c r="G222" s="399">
        <f>IFERROR(VLOOKUP(A222,醫療院所DATABASE!A:B,2,""),)</f>
        <v>0</v>
      </c>
      <c r="H222" s="64"/>
      <c r="I222" s="109">
        <v>43591</v>
      </c>
      <c r="J222" s="109">
        <v>43595</v>
      </c>
      <c r="K222" s="39" t="s">
        <v>1176</v>
      </c>
      <c r="L222" s="132" t="s">
        <v>1177</v>
      </c>
      <c r="M222" s="49" t="s">
        <v>61</v>
      </c>
      <c r="N222" s="47" t="s">
        <v>62</v>
      </c>
      <c r="O222" s="24"/>
      <c r="P222" s="409" t="s">
        <v>1178</v>
      </c>
      <c r="Q222" s="64"/>
      <c r="R222" s="64"/>
      <c r="S222" s="24"/>
      <c r="T222" s="24"/>
      <c r="U222" s="64"/>
      <c r="V222" s="24"/>
      <c r="W222" s="24"/>
      <c r="X222" s="24"/>
      <c r="Y222" s="24"/>
      <c r="Z222" s="24"/>
      <c r="AA222" s="24"/>
      <c r="AB222" s="24"/>
      <c r="AC222" s="24"/>
    </row>
    <row r="223" spans="1:29" ht="15.75" customHeight="1">
      <c r="A223" s="39" t="s">
        <v>1179</v>
      </c>
      <c r="B223" s="77" t="s">
        <v>1158</v>
      </c>
      <c r="C223" s="109">
        <v>43598</v>
      </c>
      <c r="D223" s="76" t="s">
        <v>53</v>
      </c>
      <c r="E223" s="76" t="s">
        <v>53</v>
      </c>
      <c r="F223" s="129" t="s">
        <v>54</v>
      </c>
      <c r="G223" s="399">
        <f>IFERROR(VLOOKUP(A223,醫療院所DATABASE!A:B,2,""),)</f>
        <v>0</v>
      </c>
      <c r="H223" s="64"/>
      <c r="I223" s="109">
        <v>43591</v>
      </c>
      <c r="J223" s="109">
        <v>43595</v>
      </c>
      <c r="K223" s="39" t="s">
        <v>1180</v>
      </c>
      <c r="L223" s="76" t="s">
        <v>1181</v>
      </c>
      <c r="M223" s="49" t="s">
        <v>61</v>
      </c>
      <c r="N223" s="24" t="s">
        <v>51</v>
      </c>
      <c r="O223" s="24"/>
      <c r="P223" s="409" t="s">
        <v>1182</v>
      </c>
      <c r="Q223" s="64"/>
      <c r="R223" s="64"/>
      <c r="S223" s="24"/>
      <c r="T223" s="24"/>
      <c r="U223" s="64"/>
      <c r="V223" s="24"/>
      <c r="W223" s="24"/>
      <c r="X223" s="24"/>
      <c r="Y223" s="24"/>
      <c r="Z223" s="24"/>
      <c r="AA223" s="24"/>
      <c r="AB223" s="24"/>
      <c r="AC223" s="24"/>
    </row>
    <row r="224" spans="1:29" ht="15.75" customHeight="1">
      <c r="A224" s="39" t="s">
        <v>1179</v>
      </c>
      <c r="B224" s="77" t="s">
        <v>1158</v>
      </c>
      <c r="C224" s="109">
        <v>43598</v>
      </c>
      <c r="D224" s="76" t="s">
        <v>53</v>
      </c>
      <c r="E224" s="76" t="s">
        <v>53</v>
      </c>
      <c r="F224" s="129" t="s">
        <v>54</v>
      </c>
      <c r="G224" s="399">
        <f>IFERROR(VLOOKUP(A224,醫療院所DATABASE!A:B,2,""),)</f>
        <v>0</v>
      </c>
      <c r="H224" s="64"/>
      <c r="I224" s="109">
        <v>43591</v>
      </c>
      <c r="J224" s="109">
        <v>43595</v>
      </c>
      <c r="K224" s="39" t="s">
        <v>1183</v>
      </c>
      <c r="L224" s="76" t="s">
        <v>1184</v>
      </c>
      <c r="M224" s="49" t="s">
        <v>61</v>
      </c>
      <c r="N224" s="47" t="s">
        <v>62</v>
      </c>
      <c r="O224" s="24"/>
      <c r="P224" s="409" t="s">
        <v>1185</v>
      </c>
      <c r="Q224" s="64"/>
      <c r="R224" s="64"/>
      <c r="S224" s="24"/>
      <c r="T224" s="24"/>
      <c r="U224" s="64"/>
      <c r="V224" s="24"/>
      <c r="W224" s="24"/>
      <c r="X224" s="24"/>
      <c r="Y224" s="24"/>
      <c r="Z224" s="24"/>
      <c r="AA224" s="24"/>
      <c r="AB224" s="24"/>
      <c r="AC224" s="24"/>
    </row>
    <row r="225" spans="1:29" ht="15.75" customHeight="1">
      <c r="A225" s="39" t="s">
        <v>1179</v>
      </c>
      <c r="B225" s="77" t="s">
        <v>1158</v>
      </c>
      <c r="C225" s="109">
        <v>43598</v>
      </c>
      <c r="D225" s="76" t="s">
        <v>53</v>
      </c>
      <c r="E225" s="76" t="s">
        <v>53</v>
      </c>
      <c r="F225" s="129" t="s">
        <v>54</v>
      </c>
      <c r="G225" s="399">
        <f>IFERROR(VLOOKUP(A225,醫療院所DATABASE!A:B,2,""),)</f>
        <v>0</v>
      </c>
      <c r="H225" s="64"/>
      <c r="I225" s="109">
        <v>43591</v>
      </c>
      <c r="J225" s="109">
        <v>43595</v>
      </c>
      <c r="K225" s="39" t="s">
        <v>1186</v>
      </c>
      <c r="L225" s="76" t="s">
        <v>1187</v>
      </c>
      <c r="M225" s="49" t="s">
        <v>61</v>
      </c>
      <c r="N225" s="47" t="s">
        <v>62</v>
      </c>
      <c r="O225" s="24"/>
      <c r="P225" s="409" t="s">
        <v>1188</v>
      </c>
      <c r="Q225" s="64"/>
      <c r="R225" s="64"/>
      <c r="S225" s="24"/>
      <c r="T225" s="24"/>
      <c r="U225" s="64"/>
      <c r="V225" s="24"/>
      <c r="W225" s="24"/>
      <c r="X225" s="24"/>
      <c r="Y225" s="24"/>
      <c r="Z225" s="24"/>
      <c r="AA225" s="24"/>
      <c r="AB225" s="24"/>
      <c r="AC225" s="24"/>
    </row>
    <row r="226" spans="1:29" ht="15.75" customHeight="1">
      <c r="A226" s="39" t="s">
        <v>1189</v>
      </c>
      <c r="B226" s="77" t="s">
        <v>1190</v>
      </c>
      <c r="C226" s="109">
        <v>43600</v>
      </c>
      <c r="D226" s="64" t="s">
        <v>522</v>
      </c>
      <c r="E226" s="76" t="s">
        <v>522</v>
      </c>
      <c r="F226" s="39" t="s">
        <v>1191</v>
      </c>
      <c r="G226" s="399">
        <f>IFERROR(VLOOKUP(A226,醫療院所DATABASE!A:B,2,""),)</f>
        <v>0</v>
      </c>
      <c r="H226" s="64"/>
      <c r="I226" s="109">
        <v>43592</v>
      </c>
      <c r="J226" s="109">
        <v>43598</v>
      </c>
      <c r="K226" s="39" t="s">
        <v>1192</v>
      </c>
      <c r="L226" s="76" t="s">
        <v>1193</v>
      </c>
      <c r="M226" s="49" t="s">
        <v>61</v>
      </c>
      <c r="N226" s="47" t="s">
        <v>62</v>
      </c>
      <c r="O226" s="24"/>
      <c r="P226" s="409" t="s">
        <v>1194</v>
      </c>
      <c r="Q226" s="64"/>
      <c r="R226" s="64"/>
      <c r="S226" s="24"/>
      <c r="T226" s="24"/>
      <c r="U226" s="64"/>
      <c r="V226" s="24"/>
      <c r="W226" s="24"/>
      <c r="X226" s="24"/>
      <c r="Y226" s="24"/>
      <c r="Z226" s="24"/>
      <c r="AA226" s="24"/>
      <c r="AB226" s="24"/>
      <c r="AC226" s="24"/>
    </row>
    <row r="227" spans="1:29" ht="15.75" customHeight="1">
      <c r="A227" s="39" t="s">
        <v>1179</v>
      </c>
      <c r="B227" s="77" t="s">
        <v>1190</v>
      </c>
      <c r="C227" s="109">
        <v>43600</v>
      </c>
      <c r="D227" s="76" t="s">
        <v>53</v>
      </c>
      <c r="E227" s="76" t="s">
        <v>53</v>
      </c>
      <c r="F227" s="129" t="s">
        <v>54</v>
      </c>
      <c r="G227" s="399">
        <f>IFERROR(VLOOKUP(A227,醫療院所DATABASE!A:B,2,""),)</f>
        <v>0</v>
      </c>
      <c r="H227" s="64"/>
      <c r="I227" s="109">
        <v>43592</v>
      </c>
      <c r="J227" s="109">
        <v>43598</v>
      </c>
      <c r="K227" s="39" t="s">
        <v>1195</v>
      </c>
      <c r="L227" s="76" t="s">
        <v>459</v>
      </c>
      <c r="M227" s="49" t="s">
        <v>61</v>
      </c>
      <c r="N227" s="47" t="s">
        <v>62</v>
      </c>
      <c r="O227" s="24"/>
      <c r="P227" s="409" t="s">
        <v>1196</v>
      </c>
      <c r="Q227" s="64"/>
      <c r="R227" s="64"/>
      <c r="S227" s="24"/>
      <c r="T227" s="24"/>
      <c r="U227" s="64"/>
      <c r="V227" s="24"/>
      <c r="W227" s="24"/>
      <c r="X227" s="24"/>
      <c r="Y227" s="24"/>
      <c r="Z227" s="24"/>
      <c r="AA227" s="24"/>
      <c r="AB227" s="24"/>
      <c r="AC227" s="24"/>
    </row>
    <row r="228" spans="1:29" ht="15.75" customHeight="1">
      <c r="A228" s="39" t="s">
        <v>1197</v>
      </c>
      <c r="B228" s="77" t="s">
        <v>1190</v>
      </c>
      <c r="C228" s="109">
        <v>43608</v>
      </c>
      <c r="D228" s="76" t="s">
        <v>807</v>
      </c>
      <c r="E228" s="76" t="s">
        <v>479</v>
      </c>
      <c r="F228" s="129" t="s">
        <v>1198</v>
      </c>
      <c r="G228" s="399">
        <f>IFERROR(VLOOKUP(A228,醫療院所DATABASE!A:B,2,""),)</f>
        <v>0</v>
      </c>
      <c r="H228" s="64"/>
      <c r="I228" s="109">
        <v>43592</v>
      </c>
      <c r="J228" s="109">
        <v>43598</v>
      </c>
      <c r="K228" s="39" t="s">
        <v>1199</v>
      </c>
      <c r="L228" s="76" t="s">
        <v>1200</v>
      </c>
      <c r="M228" s="90" t="s">
        <v>616</v>
      </c>
      <c r="N228" s="47" t="s">
        <v>62</v>
      </c>
      <c r="O228" s="24"/>
      <c r="P228" s="409" t="s">
        <v>1201</v>
      </c>
      <c r="Q228" s="64"/>
      <c r="R228" s="64"/>
      <c r="S228" s="24"/>
      <c r="T228" s="24"/>
      <c r="U228" s="64"/>
      <c r="V228" s="24"/>
      <c r="W228" s="24"/>
      <c r="X228" s="24"/>
      <c r="Y228" s="24"/>
      <c r="Z228" s="24"/>
      <c r="AA228" s="24"/>
      <c r="AB228" s="24"/>
      <c r="AC228" s="24"/>
    </row>
    <row r="229" spans="1:29" ht="15.75" customHeight="1">
      <c r="A229" s="39" t="s">
        <v>1202</v>
      </c>
      <c r="B229" s="77" t="s">
        <v>1190</v>
      </c>
      <c r="C229" s="109">
        <v>43605</v>
      </c>
      <c r="D229" s="76" t="s">
        <v>479</v>
      </c>
      <c r="E229" s="76" t="s">
        <v>479</v>
      </c>
      <c r="F229" s="39" t="s">
        <v>1203</v>
      </c>
      <c r="G229" s="399">
        <f>IFERROR(VLOOKUP(A229,醫療院所DATABASE!A:B,2,""),)</f>
        <v>0</v>
      </c>
      <c r="H229" s="64"/>
      <c r="I229" s="109">
        <v>43592</v>
      </c>
      <c r="J229" s="109">
        <v>43598</v>
      </c>
      <c r="K229" s="39" t="s">
        <v>1204</v>
      </c>
      <c r="L229" s="133" t="s">
        <v>1205</v>
      </c>
      <c r="M229" s="90" t="s">
        <v>616</v>
      </c>
      <c r="N229" s="47" t="s">
        <v>62</v>
      </c>
      <c r="O229" s="24"/>
      <c r="P229" s="409" t="s">
        <v>1206</v>
      </c>
      <c r="Q229" s="76" t="s">
        <v>1207</v>
      </c>
      <c r="R229" s="64"/>
      <c r="S229" s="24"/>
      <c r="T229" s="24"/>
      <c r="U229" s="64"/>
      <c r="V229" s="24"/>
      <c r="W229" s="24"/>
      <c r="X229" s="24"/>
      <c r="Y229" s="24"/>
      <c r="Z229" s="24"/>
      <c r="AA229" s="24"/>
      <c r="AB229" s="24"/>
      <c r="AC229" s="24"/>
    </row>
    <row r="230" spans="1:29" ht="15.75" customHeight="1">
      <c r="A230" s="39" t="s">
        <v>1202</v>
      </c>
      <c r="B230" s="77" t="s">
        <v>1190</v>
      </c>
      <c r="C230" s="109">
        <v>43605</v>
      </c>
      <c r="D230" s="76" t="s">
        <v>479</v>
      </c>
      <c r="E230" s="76" t="s">
        <v>479</v>
      </c>
      <c r="F230" s="39" t="s">
        <v>1203</v>
      </c>
      <c r="G230" s="399">
        <f>IFERROR(VLOOKUP(A230,醫療院所DATABASE!A:B,2,""),)</f>
        <v>0</v>
      </c>
      <c r="H230" s="64"/>
      <c r="I230" s="109">
        <v>43592</v>
      </c>
      <c r="J230" s="109">
        <v>43598</v>
      </c>
      <c r="K230" s="39" t="s">
        <v>1208</v>
      </c>
      <c r="L230" s="76" t="s">
        <v>1209</v>
      </c>
      <c r="M230" s="90" t="s">
        <v>616</v>
      </c>
      <c r="N230" s="47" t="s">
        <v>62</v>
      </c>
      <c r="O230" s="24"/>
      <c r="P230" s="409" t="s">
        <v>1210</v>
      </c>
      <c r="Q230" s="76" t="s">
        <v>1207</v>
      </c>
      <c r="R230" s="64"/>
      <c r="S230" s="24"/>
      <c r="T230" s="24"/>
      <c r="U230" s="64"/>
      <c r="V230" s="24"/>
      <c r="W230" s="24"/>
      <c r="X230" s="24"/>
      <c r="Y230" s="24"/>
      <c r="Z230" s="24"/>
      <c r="AA230" s="24"/>
      <c r="AB230" s="24"/>
      <c r="AC230" s="24"/>
    </row>
    <row r="231" spans="1:29" ht="15.75" customHeight="1">
      <c r="A231" s="39" t="s">
        <v>1211</v>
      </c>
      <c r="B231" s="77" t="s">
        <v>1190</v>
      </c>
      <c r="C231" s="109">
        <v>43600</v>
      </c>
      <c r="D231" s="76" t="s">
        <v>1212</v>
      </c>
      <c r="E231" s="76" t="s">
        <v>188</v>
      </c>
      <c r="F231" s="39" t="s">
        <v>1213</v>
      </c>
      <c r="G231" s="399">
        <f>IFERROR(VLOOKUP(A231,醫療院所DATABASE!A:B,2,""),)</f>
        <v>0</v>
      </c>
      <c r="H231" s="64"/>
      <c r="I231" s="109">
        <v>43592</v>
      </c>
      <c r="J231" s="109">
        <v>43598</v>
      </c>
      <c r="K231" s="39" t="s">
        <v>1214</v>
      </c>
      <c r="L231" s="76" t="s">
        <v>1215</v>
      </c>
      <c r="M231" s="119" t="s">
        <v>963</v>
      </c>
      <c r="N231" s="47" t="s">
        <v>62</v>
      </c>
      <c r="O231" s="24"/>
      <c r="P231" s="409" t="s">
        <v>1216</v>
      </c>
      <c r="Q231" s="64"/>
      <c r="R231" s="76"/>
      <c r="S231" s="76"/>
      <c r="T231" s="76" t="s">
        <v>1217</v>
      </c>
      <c r="U231" s="24"/>
      <c r="V231" s="24"/>
      <c r="W231" s="24"/>
      <c r="X231" s="24"/>
      <c r="Y231" s="24"/>
      <c r="Z231" s="24"/>
      <c r="AA231" s="24"/>
      <c r="AB231" s="24"/>
      <c r="AC231" s="24"/>
    </row>
    <row r="232" spans="1:29" ht="15.75" customHeight="1">
      <c r="A232" s="39" t="s">
        <v>1211</v>
      </c>
      <c r="B232" s="77" t="s">
        <v>1190</v>
      </c>
      <c r="C232" s="109">
        <v>43600</v>
      </c>
      <c r="D232" s="76" t="s">
        <v>1212</v>
      </c>
      <c r="E232" s="76" t="s">
        <v>523</v>
      </c>
      <c r="F232" s="39" t="s">
        <v>1213</v>
      </c>
      <c r="G232" s="399">
        <f>IFERROR(VLOOKUP(A232,醫療院所DATABASE!A:B,2,""),)</f>
        <v>0</v>
      </c>
      <c r="H232" s="64"/>
      <c r="I232" s="109">
        <v>43592</v>
      </c>
      <c r="J232" s="109">
        <v>43598</v>
      </c>
      <c r="K232" s="39" t="s">
        <v>1218</v>
      </c>
      <c r="L232" s="76" t="s">
        <v>1219</v>
      </c>
      <c r="M232" s="119" t="s">
        <v>963</v>
      </c>
      <c r="N232" s="24" t="s">
        <v>51</v>
      </c>
      <c r="O232" s="24"/>
      <c r="P232" s="409" t="s">
        <v>1220</v>
      </c>
      <c r="Q232" s="64"/>
      <c r="R232" s="64"/>
      <c r="S232" s="24"/>
      <c r="T232" s="24"/>
      <c r="U232" s="64"/>
      <c r="V232" s="24"/>
      <c r="W232" s="24"/>
      <c r="X232" s="24"/>
      <c r="Y232" s="24"/>
      <c r="Z232" s="24"/>
      <c r="AA232" s="24"/>
      <c r="AB232" s="24"/>
      <c r="AC232" s="24"/>
    </row>
    <row r="233" spans="1:29" ht="15.75" customHeight="1">
      <c r="A233" s="39" t="s">
        <v>1211</v>
      </c>
      <c r="B233" s="77" t="s">
        <v>1190</v>
      </c>
      <c r="C233" s="107">
        <v>43602</v>
      </c>
      <c r="D233" s="76" t="s">
        <v>1212</v>
      </c>
      <c r="E233" s="76" t="s">
        <v>188</v>
      </c>
      <c r="F233" s="39" t="s">
        <v>1213</v>
      </c>
      <c r="G233" s="399">
        <f>IFERROR(VLOOKUP(A233,醫療院所DATABASE!A:B,2,""),)</f>
        <v>0</v>
      </c>
      <c r="H233" s="64"/>
      <c r="I233" s="109">
        <v>43592</v>
      </c>
      <c r="J233" s="109">
        <v>43598</v>
      </c>
      <c r="K233" s="39" t="s">
        <v>1221</v>
      </c>
      <c r="L233" s="76" t="s">
        <v>1222</v>
      </c>
      <c r="M233" s="119" t="s">
        <v>963</v>
      </c>
      <c r="N233" s="47" t="s">
        <v>62</v>
      </c>
      <c r="O233" s="24"/>
      <c r="P233" s="409" t="s">
        <v>1223</v>
      </c>
      <c r="Q233" s="64"/>
      <c r="R233" s="64"/>
      <c r="S233" s="24"/>
      <c r="T233" s="24"/>
      <c r="U233" s="64"/>
      <c r="V233" s="24"/>
      <c r="W233" s="24"/>
      <c r="X233" s="24"/>
      <c r="Y233" s="24"/>
      <c r="Z233" s="24"/>
      <c r="AA233" s="24"/>
      <c r="AB233" s="24"/>
      <c r="AC233" s="24"/>
    </row>
    <row r="234" spans="1:29" ht="15.75" customHeight="1">
      <c r="A234" s="39" t="s">
        <v>1079</v>
      </c>
      <c r="B234" s="77" t="s">
        <v>1224</v>
      </c>
      <c r="C234" s="107">
        <v>43602</v>
      </c>
      <c r="D234" s="76" t="s">
        <v>366</v>
      </c>
      <c r="E234" s="76" t="s">
        <v>366</v>
      </c>
      <c r="F234" s="39" t="s">
        <v>1080</v>
      </c>
      <c r="G234" s="399">
        <f>IFERROR(VLOOKUP(A234,醫療院所DATABASE!A:B,2,""),)</f>
        <v>0</v>
      </c>
      <c r="H234" s="64"/>
      <c r="I234" s="109">
        <v>43593</v>
      </c>
      <c r="J234" s="109">
        <v>43599</v>
      </c>
      <c r="K234" s="39" t="s">
        <v>1225</v>
      </c>
      <c r="L234" s="76" t="s">
        <v>1226</v>
      </c>
      <c r="M234" s="119" t="s">
        <v>963</v>
      </c>
      <c r="N234" s="47" t="s">
        <v>62</v>
      </c>
      <c r="O234" s="24"/>
      <c r="P234" s="409" t="s">
        <v>1227</v>
      </c>
      <c r="Q234" s="64"/>
      <c r="R234" s="64"/>
      <c r="S234" s="24"/>
      <c r="T234" s="24"/>
      <c r="U234" s="76" t="s">
        <v>1228</v>
      </c>
      <c r="V234" s="24"/>
      <c r="W234" s="24"/>
      <c r="X234" s="24"/>
      <c r="Y234" s="24"/>
      <c r="Z234" s="24"/>
      <c r="AA234" s="24"/>
      <c r="AB234" s="24"/>
      <c r="AC234" s="24"/>
    </row>
    <row r="235" spans="1:29" ht="15.75" customHeight="1">
      <c r="A235" s="39" t="s">
        <v>1229</v>
      </c>
      <c r="B235" s="77" t="s">
        <v>1224</v>
      </c>
      <c r="C235" s="107">
        <v>43607</v>
      </c>
      <c r="D235" s="134" t="s">
        <v>522</v>
      </c>
      <c r="E235" s="76" t="s">
        <v>188</v>
      </c>
      <c r="F235" s="24" t="s">
        <v>524</v>
      </c>
      <c r="G235" s="399">
        <f>IFERROR(VLOOKUP(A235,醫療院所DATABASE!A:B,2,""),)</f>
        <v>0</v>
      </c>
      <c r="H235" s="64"/>
      <c r="I235" s="109">
        <v>43593</v>
      </c>
      <c r="J235" s="109">
        <v>43599</v>
      </c>
      <c r="K235" s="39" t="s">
        <v>1230</v>
      </c>
      <c r="L235" s="76" t="s">
        <v>1231</v>
      </c>
      <c r="M235" s="49" t="s">
        <v>61</v>
      </c>
      <c r="N235" s="24" t="s">
        <v>51</v>
      </c>
      <c r="O235" s="24"/>
      <c r="P235" s="409" t="s">
        <v>1232</v>
      </c>
      <c r="Q235" s="76" t="s">
        <v>64</v>
      </c>
      <c r="R235" s="64"/>
      <c r="S235" s="24"/>
      <c r="T235" s="24"/>
      <c r="U235" s="64"/>
      <c r="V235" s="24"/>
      <c r="W235" s="24"/>
      <c r="X235" s="24"/>
      <c r="Y235" s="24"/>
      <c r="Z235" s="24"/>
      <c r="AA235" s="24"/>
      <c r="AB235" s="24"/>
      <c r="AC235" s="24"/>
    </row>
    <row r="236" spans="1:29" ht="15.75" customHeight="1">
      <c r="A236" s="39" t="s">
        <v>1233</v>
      </c>
      <c r="B236" s="77" t="s">
        <v>1224</v>
      </c>
      <c r="C236" s="109">
        <v>43600</v>
      </c>
      <c r="D236" s="76" t="s">
        <v>53</v>
      </c>
      <c r="E236" s="76" t="s">
        <v>53</v>
      </c>
      <c r="F236" s="129" t="s">
        <v>54</v>
      </c>
      <c r="G236" s="399">
        <f>IFERROR(VLOOKUP(A236,醫療院所DATABASE!A:B,2,""),)</f>
        <v>0</v>
      </c>
      <c r="H236" s="64"/>
      <c r="I236" s="109">
        <v>43593</v>
      </c>
      <c r="J236" s="109">
        <v>43599</v>
      </c>
      <c r="K236" s="39" t="s">
        <v>1234</v>
      </c>
      <c r="L236" s="76" t="s">
        <v>1235</v>
      </c>
      <c r="M236" s="39" t="s">
        <v>1019</v>
      </c>
      <c r="N236" s="24" t="s">
        <v>51</v>
      </c>
      <c r="O236" s="24"/>
      <c r="P236" s="409" t="s">
        <v>1236</v>
      </c>
      <c r="Q236" s="76" t="s">
        <v>64</v>
      </c>
      <c r="R236" s="64"/>
      <c r="S236" s="24"/>
      <c r="T236" s="24"/>
      <c r="U236" s="64"/>
      <c r="V236" s="24"/>
      <c r="W236" s="24"/>
      <c r="X236" s="24"/>
      <c r="Y236" s="24"/>
      <c r="Z236" s="24"/>
      <c r="AA236" s="24"/>
      <c r="AB236" s="24"/>
      <c r="AC236" s="24"/>
    </row>
    <row r="237" spans="1:29" ht="15.75" customHeight="1">
      <c r="A237" s="39" t="s">
        <v>1034</v>
      </c>
      <c r="B237" s="77" t="s">
        <v>1237</v>
      </c>
      <c r="C237" s="107">
        <v>43607</v>
      </c>
      <c r="D237" s="76" t="s">
        <v>366</v>
      </c>
      <c r="E237" s="76" t="s">
        <v>188</v>
      </c>
      <c r="F237" s="39" t="s">
        <v>854</v>
      </c>
      <c r="G237" s="399">
        <f>IFERROR(VLOOKUP(A237,醫療院所DATABASE!A:B,2,""),)</f>
        <v>0</v>
      </c>
      <c r="H237" s="64"/>
      <c r="I237" s="109">
        <v>43594</v>
      </c>
      <c r="J237" s="109">
        <v>43600</v>
      </c>
      <c r="K237" s="39" t="s">
        <v>1238</v>
      </c>
      <c r="L237" s="76" t="s">
        <v>1239</v>
      </c>
      <c r="M237" s="49" t="s">
        <v>61</v>
      </c>
      <c r="N237" s="24" t="s">
        <v>51</v>
      </c>
      <c r="O237" s="24"/>
      <c r="P237" s="409" t="s">
        <v>1240</v>
      </c>
      <c r="Q237" s="76" t="s">
        <v>64</v>
      </c>
      <c r="R237" s="64"/>
      <c r="S237" s="24"/>
      <c r="T237" s="24"/>
      <c r="U237" s="64"/>
      <c r="V237" s="24"/>
      <c r="W237" s="24"/>
      <c r="X237" s="24"/>
      <c r="Y237" s="24"/>
      <c r="Z237" s="24"/>
      <c r="AA237" s="24"/>
      <c r="AB237" s="24"/>
      <c r="AC237" s="24"/>
    </row>
    <row r="238" spans="1:29" ht="15.75" customHeight="1">
      <c r="A238" s="39" t="s">
        <v>1034</v>
      </c>
      <c r="B238" s="77" t="s">
        <v>1237</v>
      </c>
      <c r="C238" s="39">
        <v>20190520</v>
      </c>
      <c r="D238" s="76" t="s">
        <v>366</v>
      </c>
      <c r="E238" s="76" t="s">
        <v>523</v>
      </c>
      <c r="F238" s="39" t="s">
        <v>854</v>
      </c>
      <c r="G238" s="399">
        <f>IFERROR(VLOOKUP(A238,醫療院所DATABASE!A:B,2,""),)</f>
        <v>0</v>
      </c>
      <c r="H238" s="64"/>
      <c r="I238" s="109">
        <v>43594</v>
      </c>
      <c r="J238" s="109">
        <v>43600</v>
      </c>
      <c r="K238" s="39" t="s">
        <v>1241</v>
      </c>
      <c r="L238" s="76" t="s">
        <v>1242</v>
      </c>
      <c r="M238" s="49" t="s">
        <v>61</v>
      </c>
      <c r="N238" s="47" t="s">
        <v>62</v>
      </c>
      <c r="O238" s="24"/>
      <c r="P238" s="409" t="s">
        <v>1243</v>
      </c>
      <c r="Q238" s="76" t="s">
        <v>64</v>
      </c>
      <c r="R238" s="64"/>
      <c r="S238" s="24"/>
      <c r="T238" s="24"/>
      <c r="U238" s="64"/>
      <c r="V238" s="24"/>
      <c r="W238" s="24"/>
      <c r="X238" s="24"/>
      <c r="Y238" s="24"/>
      <c r="Z238" s="24"/>
      <c r="AA238" s="24"/>
      <c r="AB238" s="24"/>
      <c r="AC238" s="24"/>
    </row>
    <row r="239" spans="1:29" ht="15.75" customHeight="1">
      <c r="A239" s="39" t="s">
        <v>1034</v>
      </c>
      <c r="B239" s="77" t="s">
        <v>1237</v>
      </c>
      <c r="C239" s="39">
        <v>20190517</v>
      </c>
      <c r="D239" s="76" t="s">
        <v>366</v>
      </c>
      <c r="E239" s="76" t="s">
        <v>53</v>
      </c>
      <c r="F239" s="39" t="s">
        <v>854</v>
      </c>
      <c r="G239" s="399">
        <f>IFERROR(VLOOKUP(A239,醫療院所DATABASE!A:B,2,""),)</f>
        <v>0</v>
      </c>
      <c r="H239" s="64"/>
      <c r="I239" s="109">
        <v>43594</v>
      </c>
      <c r="J239" s="109">
        <v>43600</v>
      </c>
      <c r="K239" s="39" t="s">
        <v>1244</v>
      </c>
      <c r="L239" s="76" t="s">
        <v>1245</v>
      </c>
      <c r="M239" s="49" t="s">
        <v>61</v>
      </c>
      <c r="N239" s="24" t="s">
        <v>51</v>
      </c>
      <c r="O239" s="24"/>
      <c r="P239" s="409" t="s">
        <v>1246</v>
      </c>
      <c r="Q239" s="76" t="s">
        <v>64</v>
      </c>
      <c r="R239" s="64"/>
      <c r="S239" s="24"/>
      <c r="T239" s="24"/>
      <c r="U239" s="64"/>
      <c r="V239" s="24"/>
      <c r="W239" s="24"/>
      <c r="X239" s="24"/>
      <c r="Y239" s="24"/>
      <c r="Z239" s="24"/>
      <c r="AA239" s="24"/>
      <c r="AB239" s="24"/>
      <c r="AC239" s="24"/>
    </row>
    <row r="240" spans="1:29" ht="15.75" customHeight="1">
      <c r="A240" s="39" t="s">
        <v>1034</v>
      </c>
      <c r="B240" s="77" t="s">
        <v>1237</v>
      </c>
      <c r="C240" s="135">
        <v>20190522</v>
      </c>
      <c r="D240" s="76" t="s">
        <v>366</v>
      </c>
      <c r="E240" s="76" t="s">
        <v>188</v>
      </c>
      <c r="F240" s="39" t="s">
        <v>854</v>
      </c>
      <c r="G240" s="399">
        <f>IFERROR(VLOOKUP(A240,醫療院所DATABASE!A:B,2,""),)</f>
        <v>0</v>
      </c>
      <c r="H240" s="64"/>
      <c r="I240" s="109">
        <v>43594</v>
      </c>
      <c r="J240" s="109">
        <v>43600</v>
      </c>
      <c r="K240" s="39" t="s">
        <v>1247</v>
      </c>
      <c r="L240" s="134" t="s">
        <v>1248</v>
      </c>
      <c r="M240" s="49" t="s">
        <v>61</v>
      </c>
      <c r="N240" s="24" t="s">
        <v>51</v>
      </c>
      <c r="O240" s="24"/>
      <c r="P240" s="409" t="s">
        <v>1249</v>
      </c>
      <c r="Q240" s="76" t="s">
        <v>64</v>
      </c>
      <c r="R240" s="64"/>
      <c r="S240" s="24"/>
      <c r="T240" s="24"/>
      <c r="U240" s="64"/>
      <c r="V240" s="24"/>
      <c r="W240" s="24"/>
      <c r="X240" s="24"/>
      <c r="Y240" s="24"/>
      <c r="Z240" s="24"/>
      <c r="AA240" s="24"/>
      <c r="AB240" s="24"/>
      <c r="AC240" s="24"/>
    </row>
    <row r="241" spans="1:29" ht="15.75" customHeight="1">
      <c r="A241" s="39" t="s">
        <v>1034</v>
      </c>
      <c r="B241" s="77" t="s">
        <v>1237</v>
      </c>
      <c r="C241" s="39">
        <v>20190520</v>
      </c>
      <c r="D241" s="76" t="s">
        <v>366</v>
      </c>
      <c r="E241" s="76" t="s">
        <v>523</v>
      </c>
      <c r="F241" s="39" t="s">
        <v>854</v>
      </c>
      <c r="G241" s="399">
        <f>IFERROR(VLOOKUP(A241,醫療院所DATABASE!A:B,2,""),)</f>
        <v>0</v>
      </c>
      <c r="H241" s="64"/>
      <c r="I241" s="109">
        <v>43594</v>
      </c>
      <c r="J241" s="109">
        <v>43600</v>
      </c>
      <c r="K241" s="39" t="s">
        <v>1250</v>
      </c>
      <c r="L241" s="76" t="s">
        <v>1251</v>
      </c>
      <c r="M241" s="49" t="s">
        <v>61</v>
      </c>
      <c r="N241" s="47" t="s">
        <v>62</v>
      </c>
      <c r="O241" s="24"/>
      <c r="P241" s="409" t="s">
        <v>1252</v>
      </c>
      <c r="Q241" s="76" t="s">
        <v>64</v>
      </c>
      <c r="R241" s="64"/>
      <c r="S241" s="24"/>
      <c r="T241" s="24"/>
      <c r="U241" s="64"/>
      <c r="V241" s="24"/>
      <c r="W241" s="24"/>
      <c r="X241" s="24"/>
      <c r="Y241" s="24"/>
      <c r="Z241" s="24"/>
      <c r="AA241" s="24"/>
      <c r="AB241" s="24"/>
      <c r="AC241" s="24"/>
    </row>
    <row r="242" spans="1:29" ht="15.75" customHeight="1">
      <c r="A242" s="39" t="s">
        <v>1034</v>
      </c>
      <c r="B242" s="77" t="s">
        <v>1237</v>
      </c>
      <c r="C242" s="107">
        <v>43607</v>
      </c>
      <c r="D242" s="76" t="s">
        <v>366</v>
      </c>
      <c r="E242" s="76" t="s">
        <v>188</v>
      </c>
      <c r="F242" s="39" t="s">
        <v>854</v>
      </c>
      <c r="G242" s="399">
        <f>IFERROR(VLOOKUP(A242,醫療院所DATABASE!A:B,2,""),)</f>
        <v>0</v>
      </c>
      <c r="H242" s="64"/>
      <c r="I242" s="109">
        <v>43594</v>
      </c>
      <c r="J242" s="109">
        <v>43600</v>
      </c>
      <c r="K242" s="39" t="s">
        <v>1253</v>
      </c>
      <c r="L242" s="76" t="s">
        <v>1254</v>
      </c>
      <c r="M242" s="49" t="s">
        <v>61</v>
      </c>
      <c r="N242" s="47" t="s">
        <v>62</v>
      </c>
      <c r="O242" s="24"/>
      <c r="P242" s="409" t="s">
        <v>1255</v>
      </c>
      <c r="Q242" s="76" t="s">
        <v>64</v>
      </c>
      <c r="R242" s="64"/>
      <c r="S242" s="24"/>
      <c r="T242" s="24"/>
      <c r="U242" s="64"/>
      <c r="V242" s="24"/>
      <c r="W242" s="24"/>
      <c r="X242" s="24"/>
      <c r="Y242" s="24"/>
      <c r="Z242" s="24"/>
      <c r="AA242" s="24"/>
      <c r="AB242" s="24"/>
      <c r="AC242" s="24"/>
    </row>
    <row r="243" spans="1:29" ht="15.75" customHeight="1">
      <c r="A243" s="39" t="s">
        <v>1034</v>
      </c>
      <c r="B243" s="77" t="s">
        <v>1237</v>
      </c>
      <c r="C243" s="39">
        <v>20190520</v>
      </c>
      <c r="D243" s="76" t="s">
        <v>366</v>
      </c>
      <c r="E243" s="76" t="s">
        <v>523</v>
      </c>
      <c r="F243" s="129" t="s">
        <v>854</v>
      </c>
      <c r="G243" s="399">
        <f>IFERROR(VLOOKUP(A243,醫療院所DATABASE!A:B,2,""),)</f>
        <v>0</v>
      </c>
      <c r="H243" s="64"/>
      <c r="I243" s="109">
        <v>43594</v>
      </c>
      <c r="J243" s="109">
        <v>43600</v>
      </c>
      <c r="K243" s="39" t="s">
        <v>1256</v>
      </c>
      <c r="L243" s="76" t="s">
        <v>1257</v>
      </c>
      <c r="M243" s="49" t="s">
        <v>61</v>
      </c>
      <c r="N243" s="47" t="s">
        <v>62</v>
      </c>
      <c r="O243" s="24"/>
      <c r="P243" s="409" t="s">
        <v>1258</v>
      </c>
      <c r="Q243" s="76" t="s">
        <v>64</v>
      </c>
      <c r="R243" s="64"/>
      <c r="S243" s="24"/>
      <c r="T243" s="24"/>
      <c r="U243" s="64"/>
      <c r="V243" s="24"/>
      <c r="W243" s="24"/>
      <c r="X243" s="24"/>
      <c r="Y243" s="24"/>
      <c r="Z243" s="24"/>
      <c r="AA243" s="24"/>
      <c r="AB243" s="24"/>
      <c r="AC243" s="24"/>
    </row>
    <row r="244" spans="1:29" ht="15.75" customHeight="1">
      <c r="A244" s="39" t="s">
        <v>1034</v>
      </c>
      <c r="B244" s="77" t="s">
        <v>1237</v>
      </c>
      <c r="C244" s="39">
        <v>20190517</v>
      </c>
      <c r="D244" s="76" t="s">
        <v>366</v>
      </c>
      <c r="E244" s="76" t="s">
        <v>53</v>
      </c>
      <c r="F244" s="129" t="s">
        <v>854</v>
      </c>
      <c r="G244" s="399">
        <f>IFERROR(VLOOKUP(A244,醫療院所DATABASE!A:B,2,""),)</f>
        <v>0</v>
      </c>
      <c r="H244" s="64"/>
      <c r="I244" s="109">
        <v>43594</v>
      </c>
      <c r="J244" s="109">
        <v>43600</v>
      </c>
      <c r="K244" s="39" t="s">
        <v>1259</v>
      </c>
      <c r="L244" s="76" t="s">
        <v>1260</v>
      </c>
      <c r="M244" s="49" t="s">
        <v>61</v>
      </c>
      <c r="N244" s="47" t="s">
        <v>62</v>
      </c>
      <c r="O244" s="24"/>
      <c r="P244" s="409" t="s">
        <v>1261</v>
      </c>
      <c r="Q244" s="76" t="s">
        <v>64</v>
      </c>
      <c r="R244" s="64"/>
      <c r="S244" s="24"/>
      <c r="T244" s="24"/>
      <c r="U244" s="64"/>
      <c r="V244" s="24"/>
      <c r="W244" s="24"/>
      <c r="X244" s="24"/>
      <c r="Y244" s="24"/>
      <c r="Z244" s="24"/>
      <c r="AA244" s="24"/>
      <c r="AB244" s="24"/>
      <c r="AC244" s="24"/>
    </row>
    <row r="245" spans="1:29" ht="15.75" customHeight="1">
      <c r="A245" s="39" t="s">
        <v>1034</v>
      </c>
      <c r="B245" s="77" t="s">
        <v>1237</v>
      </c>
      <c r="C245" s="107">
        <v>43607</v>
      </c>
      <c r="D245" s="76" t="s">
        <v>366</v>
      </c>
      <c r="E245" s="76" t="s">
        <v>188</v>
      </c>
      <c r="F245" s="129" t="s">
        <v>854</v>
      </c>
      <c r="G245" s="399">
        <f>IFERROR(VLOOKUP(A245,醫療院所DATABASE!A:B,2,""),)</f>
        <v>0</v>
      </c>
      <c r="H245" s="64"/>
      <c r="I245" s="109">
        <v>43594</v>
      </c>
      <c r="J245" s="109">
        <v>43600</v>
      </c>
      <c r="K245" s="39" t="s">
        <v>1262</v>
      </c>
      <c r="L245" s="76" t="s">
        <v>1263</v>
      </c>
      <c r="M245" s="49" t="s">
        <v>61</v>
      </c>
      <c r="N245" s="47" t="s">
        <v>62</v>
      </c>
      <c r="O245" s="24"/>
      <c r="P245" s="409" t="s">
        <v>1264</v>
      </c>
      <c r="Q245" s="76" t="s">
        <v>64</v>
      </c>
      <c r="R245" s="64"/>
      <c r="S245" s="24"/>
      <c r="T245" s="24"/>
      <c r="U245" s="64"/>
      <c r="V245" s="24"/>
      <c r="W245" s="24"/>
      <c r="X245" s="24"/>
      <c r="Y245" s="24"/>
      <c r="Z245" s="24"/>
      <c r="AA245" s="24"/>
      <c r="AB245" s="24"/>
      <c r="AC245" s="24"/>
    </row>
    <row r="246" spans="1:29" ht="15.75" customHeight="1">
      <c r="A246" s="39" t="s">
        <v>1034</v>
      </c>
      <c r="B246" s="77" t="s">
        <v>1237</v>
      </c>
      <c r="C246" s="39">
        <v>20190520</v>
      </c>
      <c r="D246" s="76" t="s">
        <v>366</v>
      </c>
      <c r="E246" s="76" t="s">
        <v>523</v>
      </c>
      <c r="F246" s="129" t="s">
        <v>854</v>
      </c>
      <c r="G246" s="399">
        <f>IFERROR(VLOOKUP(A246,醫療院所DATABASE!A:B,2,""),)</f>
        <v>0</v>
      </c>
      <c r="H246" s="64"/>
      <c r="I246" s="109">
        <v>43594</v>
      </c>
      <c r="J246" s="109">
        <v>43600</v>
      </c>
      <c r="K246" s="39" t="s">
        <v>1265</v>
      </c>
      <c r="L246" s="76" t="s">
        <v>1266</v>
      </c>
      <c r="M246" s="49" t="s">
        <v>61</v>
      </c>
      <c r="N246" s="24" t="s">
        <v>51</v>
      </c>
      <c r="O246" s="24"/>
      <c r="P246" s="409" t="s">
        <v>1267</v>
      </c>
      <c r="Q246" s="76" t="s">
        <v>64</v>
      </c>
      <c r="R246" s="64"/>
      <c r="S246" s="24"/>
      <c r="T246" s="24"/>
      <c r="U246" s="64"/>
      <c r="V246" s="24"/>
      <c r="W246" s="24"/>
      <c r="X246" s="24"/>
      <c r="Y246" s="24"/>
      <c r="Z246" s="24"/>
      <c r="AA246" s="24"/>
      <c r="AB246" s="24"/>
      <c r="AC246" s="24"/>
    </row>
    <row r="247" spans="1:29" ht="15.75" customHeight="1">
      <c r="A247" s="39" t="s">
        <v>1034</v>
      </c>
      <c r="B247" s="77" t="s">
        <v>1237</v>
      </c>
      <c r="C247" s="39">
        <v>20190517</v>
      </c>
      <c r="D247" s="76" t="s">
        <v>366</v>
      </c>
      <c r="E247" s="76" t="s">
        <v>53</v>
      </c>
      <c r="F247" s="129" t="s">
        <v>854</v>
      </c>
      <c r="G247" s="399">
        <f>IFERROR(VLOOKUP(A247,醫療院所DATABASE!A:B,2,""),)</f>
        <v>0</v>
      </c>
      <c r="H247" s="64"/>
      <c r="I247" s="109">
        <v>43594</v>
      </c>
      <c r="J247" s="109">
        <v>43600</v>
      </c>
      <c r="K247" s="39" t="s">
        <v>1268</v>
      </c>
      <c r="L247" s="76" t="s">
        <v>1269</v>
      </c>
      <c r="M247" s="49" t="s">
        <v>61</v>
      </c>
      <c r="N247" s="47" t="s">
        <v>62</v>
      </c>
      <c r="O247" s="24"/>
      <c r="P247" s="409" t="s">
        <v>1270</v>
      </c>
      <c r="Q247" s="76" t="s">
        <v>64</v>
      </c>
      <c r="R247" s="64"/>
      <c r="S247" s="24"/>
      <c r="T247" s="24"/>
      <c r="U247" s="64"/>
      <c r="V247" s="24"/>
      <c r="W247" s="24"/>
      <c r="X247" s="24"/>
      <c r="Y247" s="24"/>
      <c r="Z247" s="24"/>
      <c r="AA247" s="24"/>
      <c r="AB247" s="24"/>
      <c r="AC247" s="24"/>
    </row>
    <row r="248" spans="1:29" ht="15.75" customHeight="1">
      <c r="A248" s="39" t="s">
        <v>1034</v>
      </c>
      <c r="B248" s="77" t="s">
        <v>1237</v>
      </c>
      <c r="C248" s="135">
        <v>20190522</v>
      </c>
      <c r="D248" s="76" t="s">
        <v>366</v>
      </c>
      <c r="E248" s="76" t="s">
        <v>188</v>
      </c>
      <c r="F248" s="129" t="s">
        <v>854</v>
      </c>
      <c r="G248" s="399">
        <f>IFERROR(VLOOKUP(A248,醫療院所DATABASE!A:B,2,""),)</f>
        <v>0</v>
      </c>
      <c r="H248" s="64"/>
      <c r="I248" s="109">
        <v>43594</v>
      </c>
      <c r="J248" s="109">
        <v>43600</v>
      </c>
      <c r="K248" s="39" t="s">
        <v>1271</v>
      </c>
      <c r="L248" s="76" t="s">
        <v>1272</v>
      </c>
      <c r="M248" s="49" t="s">
        <v>61</v>
      </c>
      <c r="N248" s="47" t="s">
        <v>62</v>
      </c>
      <c r="O248" s="24"/>
      <c r="P248" s="409" t="s">
        <v>1273</v>
      </c>
      <c r="Q248" s="76" t="s">
        <v>64</v>
      </c>
      <c r="R248" s="64"/>
      <c r="S248" s="24"/>
      <c r="T248" s="24"/>
      <c r="U248" s="64"/>
      <c r="V248" s="24"/>
      <c r="W248" s="24"/>
      <c r="X248" s="24"/>
      <c r="Y248" s="24"/>
      <c r="Z248" s="24"/>
      <c r="AA248" s="24"/>
      <c r="AB248" s="24"/>
      <c r="AC248" s="24"/>
    </row>
    <row r="249" spans="1:29" ht="15.75" customHeight="1">
      <c r="A249" s="39" t="s">
        <v>1034</v>
      </c>
      <c r="B249" s="77" t="s">
        <v>1237</v>
      </c>
      <c r="C249" s="39">
        <v>20190520</v>
      </c>
      <c r="D249" s="76" t="s">
        <v>366</v>
      </c>
      <c r="E249" s="76" t="s">
        <v>523</v>
      </c>
      <c r="F249" s="129" t="s">
        <v>854</v>
      </c>
      <c r="G249" s="399">
        <f>IFERROR(VLOOKUP(A249,醫療院所DATABASE!A:B,2,""),)</f>
        <v>0</v>
      </c>
      <c r="H249" s="64"/>
      <c r="I249" s="109">
        <v>43594</v>
      </c>
      <c r="J249" s="109">
        <v>43600</v>
      </c>
      <c r="K249" s="39" t="s">
        <v>1274</v>
      </c>
      <c r="L249" s="76" t="s">
        <v>1275</v>
      </c>
      <c r="M249" s="49" t="s">
        <v>61</v>
      </c>
      <c r="N249" s="47" t="s">
        <v>62</v>
      </c>
      <c r="O249" s="24"/>
      <c r="P249" s="409" t="s">
        <v>1276</v>
      </c>
      <c r="Q249" s="76" t="s">
        <v>64</v>
      </c>
      <c r="R249" s="64"/>
      <c r="S249" s="24"/>
      <c r="T249" s="24"/>
      <c r="U249" s="64"/>
      <c r="V249" s="24"/>
      <c r="W249" s="24"/>
      <c r="X249" s="24"/>
      <c r="Y249" s="24"/>
      <c r="Z249" s="24"/>
      <c r="AA249" s="24"/>
      <c r="AB249" s="24"/>
      <c r="AC249" s="24"/>
    </row>
    <row r="250" spans="1:29" ht="15.75" customHeight="1">
      <c r="A250" s="39" t="s">
        <v>1034</v>
      </c>
      <c r="B250" s="77" t="s">
        <v>1237</v>
      </c>
      <c r="C250" s="39" t="s">
        <v>1277</v>
      </c>
      <c r="D250" s="76" t="s">
        <v>366</v>
      </c>
      <c r="E250" s="76" t="s">
        <v>53</v>
      </c>
      <c r="F250" s="129" t="s">
        <v>854</v>
      </c>
      <c r="G250" s="399">
        <f>IFERROR(VLOOKUP(A250,醫療院所DATABASE!A:B,2,""),)</f>
        <v>0</v>
      </c>
      <c r="H250" s="64"/>
      <c r="I250" s="109">
        <v>43594</v>
      </c>
      <c r="J250" s="109">
        <v>43600</v>
      </c>
      <c r="K250" s="39" t="s">
        <v>1278</v>
      </c>
      <c r="L250" s="76" t="s">
        <v>1279</v>
      </c>
      <c r="M250" s="49" t="s">
        <v>61</v>
      </c>
      <c r="N250" s="24" t="s">
        <v>51</v>
      </c>
      <c r="O250" s="24"/>
      <c r="P250" s="409" t="s">
        <v>1280</v>
      </c>
      <c r="Q250" s="76" t="s">
        <v>64</v>
      </c>
      <c r="R250" s="64"/>
      <c r="S250" s="24"/>
      <c r="T250" s="24"/>
      <c r="U250" s="64"/>
      <c r="V250" s="24"/>
      <c r="W250" s="24"/>
      <c r="X250" s="24"/>
      <c r="Y250" s="24"/>
      <c r="Z250" s="24"/>
      <c r="AA250" s="24"/>
      <c r="AB250" s="24"/>
      <c r="AC250" s="24"/>
    </row>
    <row r="251" spans="1:29" ht="15.75" customHeight="1">
      <c r="A251" s="39" t="s">
        <v>1034</v>
      </c>
      <c r="B251" s="77" t="s">
        <v>1237</v>
      </c>
      <c r="C251" s="135">
        <v>20190522</v>
      </c>
      <c r="D251" s="76" t="s">
        <v>366</v>
      </c>
      <c r="E251" s="76" t="s">
        <v>188</v>
      </c>
      <c r="F251" s="129" t="s">
        <v>854</v>
      </c>
      <c r="G251" s="399">
        <f>IFERROR(VLOOKUP(A251,醫療院所DATABASE!A:B,2,""),)</f>
        <v>0</v>
      </c>
      <c r="H251" s="64"/>
      <c r="I251" s="109">
        <v>43594</v>
      </c>
      <c r="J251" s="109">
        <v>43600</v>
      </c>
      <c r="K251" s="39" t="s">
        <v>1281</v>
      </c>
      <c r="L251" s="76" t="s">
        <v>1282</v>
      </c>
      <c r="M251" s="49" t="s">
        <v>61</v>
      </c>
      <c r="N251" s="24" t="s">
        <v>51</v>
      </c>
      <c r="O251" s="24"/>
      <c r="P251" s="409" t="s">
        <v>1283</v>
      </c>
      <c r="Q251" s="76" t="s">
        <v>64</v>
      </c>
      <c r="R251" s="64"/>
      <c r="S251" s="24"/>
      <c r="T251" s="24"/>
      <c r="U251" s="64"/>
      <c r="V251" s="24"/>
      <c r="W251" s="24"/>
      <c r="X251" s="24"/>
      <c r="Y251" s="24"/>
      <c r="Z251" s="24"/>
      <c r="AA251" s="24"/>
      <c r="AB251" s="24"/>
      <c r="AC251" s="24"/>
    </row>
    <row r="252" spans="1:29" ht="15.75" customHeight="1">
      <c r="A252" s="39" t="s">
        <v>1034</v>
      </c>
      <c r="B252" s="77" t="s">
        <v>1237</v>
      </c>
      <c r="C252" s="39">
        <v>20190520</v>
      </c>
      <c r="D252" s="76" t="s">
        <v>366</v>
      </c>
      <c r="E252" s="76" t="s">
        <v>523</v>
      </c>
      <c r="F252" s="129" t="s">
        <v>854</v>
      </c>
      <c r="G252" s="399">
        <f>IFERROR(VLOOKUP(A252,醫療院所DATABASE!A:B,2,""),)</f>
        <v>0</v>
      </c>
      <c r="H252" s="64"/>
      <c r="I252" s="109">
        <v>43594</v>
      </c>
      <c r="J252" s="109">
        <v>43600</v>
      </c>
      <c r="K252" s="39" t="s">
        <v>1284</v>
      </c>
      <c r="L252" s="76" t="s">
        <v>1285</v>
      </c>
      <c r="M252" s="49" t="s">
        <v>61</v>
      </c>
      <c r="N252" s="47" t="s">
        <v>62</v>
      </c>
      <c r="O252" s="24"/>
      <c r="P252" s="409" t="s">
        <v>1286</v>
      </c>
      <c r="Q252" s="76" t="s">
        <v>64</v>
      </c>
      <c r="R252" s="64"/>
      <c r="S252" s="24"/>
      <c r="T252" s="24"/>
      <c r="U252" s="64"/>
      <c r="V252" s="24"/>
      <c r="W252" s="24"/>
      <c r="X252" s="24"/>
      <c r="Y252" s="24"/>
      <c r="Z252" s="24"/>
      <c r="AA252" s="24"/>
      <c r="AB252" s="24"/>
      <c r="AC252" s="24"/>
    </row>
    <row r="253" spans="1:29" ht="15.75" customHeight="1">
      <c r="A253" s="39" t="s">
        <v>1287</v>
      </c>
      <c r="B253" s="77" t="s">
        <v>1237</v>
      </c>
      <c r="C253" s="39">
        <v>20190516</v>
      </c>
      <c r="D253" s="76" t="s">
        <v>53</v>
      </c>
      <c r="E253" s="76" t="s">
        <v>53</v>
      </c>
      <c r="F253" s="129" t="s">
        <v>54</v>
      </c>
      <c r="G253" s="399">
        <f>IFERROR(VLOOKUP(A253,醫療院所DATABASE!A:B,2,""),)</f>
        <v>0</v>
      </c>
      <c r="H253" s="64"/>
      <c r="I253" s="109">
        <v>43594</v>
      </c>
      <c r="J253" s="109">
        <v>43600</v>
      </c>
      <c r="K253" s="39" t="s">
        <v>1004</v>
      </c>
      <c r="L253" s="76" t="s">
        <v>1005</v>
      </c>
      <c r="M253" s="49" t="s">
        <v>61</v>
      </c>
      <c r="N253" s="47" t="s">
        <v>62</v>
      </c>
      <c r="O253" s="24"/>
      <c r="P253" s="409" t="s">
        <v>1288</v>
      </c>
      <c r="Q253" s="76" t="s">
        <v>64</v>
      </c>
      <c r="R253" s="64"/>
      <c r="S253" s="24"/>
      <c r="T253" s="24"/>
      <c r="U253" s="64"/>
      <c r="V253" s="24"/>
      <c r="W253" s="24"/>
      <c r="X253" s="24"/>
      <c r="Y253" s="24"/>
      <c r="Z253" s="24"/>
      <c r="AA253" s="24"/>
      <c r="AB253" s="24"/>
      <c r="AC253" s="24"/>
    </row>
    <row r="254" spans="1:29" ht="15.75" customHeight="1">
      <c r="A254" s="39" t="s">
        <v>766</v>
      </c>
      <c r="B254" s="77" t="s">
        <v>1237</v>
      </c>
      <c r="C254" s="120">
        <v>20190517</v>
      </c>
      <c r="D254" s="76" t="s">
        <v>665</v>
      </c>
      <c r="E254" s="76" t="s">
        <v>188</v>
      </c>
      <c r="F254" s="129" t="s">
        <v>524</v>
      </c>
      <c r="G254" s="399">
        <f>IFERROR(VLOOKUP(A254,醫療院所DATABASE!A:B,2,""),)</f>
        <v>0</v>
      </c>
      <c r="H254" s="64"/>
      <c r="I254" s="109">
        <v>43594</v>
      </c>
      <c r="J254" s="109">
        <v>43600</v>
      </c>
      <c r="K254" s="39" t="s">
        <v>1289</v>
      </c>
      <c r="L254" s="76" t="s">
        <v>1290</v>
      </c>
      <c r="M254" s="49" t="s">
        <v>61</v>
      </c>
      <c r="N254" s="24" t="s">
        <v>51</v>
      </c>
      <c r="O254" s="24"/>
      <c r="P254" s="409" t="s">
        <v>1291</v>
      </c>
      <c r="Q254" s="136" t="s">
        <v>1207</v>
      </c>
      <c r="R254" s="64"/>
      <c r="S254" s="24"/>
      <c r="T254" s="24"/>
      <c r="U254" s="64"/>
      <c r="V254" s="24"/>
      <c r="W254" s="24"/>
      <c r="X254" s="24"/>
      <c r="Y254" s="24"/>
      <c r="Z254" s="24"/>
      <c r="AA254" s="24"/>
      <c r="AB254" s="24"/>
      <c r="AC254" s="24"/>
    </row>
    <row r="255" spans="1:29" ht="15.75" customHeight="1">
      <c r="A255" s="39" t="s">
        <v>1292</v>
      </c>
      <c r="B255" s="77" t="s">
        <v>1237</v>
      </c>
      <c r="C255" s="135">
        <v>20190522</v>
      </c>
      <c r="D255" s="76" t="s">
        <v>1293</v>
      </c>
      <c r="E255" s="76" t="s">
        <v>188</v>
      </c>
      <c r="F255" s="129" t="s">
        <v>1294</v>
      </c>
      <c r="G255" s="399">
        <f>IFERROR(VLOOKUP(A255,醫療院所DATABASE!A:B,2,""),)</f>
        <v>0</v>
      </c>
      <c r="H255" s="64"/>
      <c r="I255" s="109">
        <v>43594</v>
      </c>
      <c r="J255" s="109">
        <v>43600</v>
      </c>
      <c r="K255" s="39" t="s">
        <v>1295</v>
      </c>
      <c r="L255" s="76" t="s">
        <v>1296</v>
      </c>
      <c r="M255" s="49" t="s">
        <v>61</v>
      </c>
      <c r="N255" s="24" t="s">
        <v>51</v>
      </c>
      <c r="O255" s="24"/>
      <c r="P255" s="409" t="s">
        <v>1297</v>
      </c>
      <c r="Q255" s="76" t="s">
        <v>64</v>
      </c>
      <c r="R255" s="64"/>
      <c r="S255" s="24"/>
      <c r="T255" s="24"/>
      <c r="U255" s="64"/>
      <c r="V255" s="24"/>
      <c r="W255" s="24"/>
      <c r="X255" s="24"/>
      <c r="Y255" s="24"/>
      <c r="Z255" s="24"/>
      <c r="AA255" s="24"/>
      <c r="AB255" s="24"/>
      <c r="AC255" s="24"/>
    </row>
    <row r="256" spans="1:29" ht="15.75" customHeight="1">
      <c r="A256" s="39" t="s">
        <v>1292</v>
      </c>
      <c r="B256" s="77" t="s">
        <v>1237</v>
      </c>
      <c r="C256" s="39">
        <v>20190520</v>
      </c>
      <c r="D256" s="76" t="s">
        <v>1293</v>
      </c>
      <c r="E256" s="76" t="s">
        <v>523</v>
      </c>
      <c r="F256" s="129" t="s">
        <v>1294</v>
      </c>
      <c r="G256" s="399">
        <f>IFERROR(VLOOKUP(A256,醫療院所DATABASE!A:B,2,""),)</f>
        <v>0</v>
      </c>
      <c r="H256" s="64"/>
      <c r="I256" s="109">
        <v>43594</v>
      </c>
      <c r="J256" s="109">
        <v>43600</v>
      </c>
      <c r="K256" s="39" t="s">
        <v>1298</v>
      </c>
      <c r="L256" s="76" t="s">
        <v>1299</v>
      </c>
      <c r="M256" s="49" t="s">
        <v>61</v>
      </c>
      <c r="N256" s="47" t="s">
        <v>62</v>
      </c>
      <c r="O256" s="24"/>
      <c r="P256" s="409" t="s">
        <v>1300</v>
      </c>
      <c r="Q256" s="76" t="s">
        <v>64</v>
      </c>
      <c r="R256" s="64"/>
      <c r="S256" s="24"/>
      <c r="T256" s="24"/>
      <c r="U256" s="64"/>
      <c r="V256" s="24"/>
      <c r="W256" s="24"/>
      <c r="X256" s="24"/>
      <c r="Y256" s="24"/>
      <c r="Z256" s="24"/>
      <c r="AA256" s="24"/>
      <c r="AB256" s="24"/>
      <c r="AC256" s="24"/>
    </row>
    <row r="257" spans="1:29" ht="15.75" customHeight="1">
      <c r="A257" s="39" t="s">
        <v>1301</v>
      </c>
      <c r="B257" s="77" t="s">
        <v>1237</v>
      </c>
      <c r="C257" s="39">
        <v>20190516</v>
      </c>
      <c r="D257" s="76" t="s">
        <v>53</v>
      </c>
      <c r="E257" s="76" t="s">
        <v>53</v>
      </c>
      <c r="F257" s="129" t="s">
        <v>54</v>
      </c>
      <c r="G257" s="399">
        <f>IFERROR(VLOOKUP(A257,醫療院所DATABASE!A:B,2,""),)</f>
        <v>0</v>
      </c>
      <c r="H257" s="64"/>
      <c r="I257" s="109">
        <v>43594</v>
      </c>
      <c r="J257" s="109">
        <v>43600</v>
      </c>
      <c r="K257" s="39" t="s">
        <v>1302</v>
      </c>
      <c r="L257" s="76" t="s">
        <v>1303</v>
      </c>
      <c r="M257" s="39" t="s">
        <v>1019</v>
      </c>
      <c r="N257" s="47" t="s">
        <v>62</v>
      </c>
      <c r="O257" s="24"/>
      <c r="P257" s="409" t="s">
        <v>1304</v>
      </c>
      <c r="Q257" s="76" t="s">
        <v>64</v>
      </c>
      <c r="R257" s="64"/>
      <c r="S257" s="24"/>
      <c r="T257" s="24"/>
      <c r="U257" s="64"/>
      <c r="V257" s="24"/>
      <c r="W257" s="24"/>
      <c r="X257" s="24"/>
      <c r="Y257" s="24"/>
      <c r="Z257" s="24"/>
      <c r="AA257" s="24"/>
      <c r="AB257" s="24"/>
      <c r="AC257" s="24"/>
    </row>
    <row r="258" spans="1:29" ht="15.75" customHeight="1">
      <c r="A258" s="39" t="s">
        <v>1301</v>
      </c>
      <c r="B258" s="77" t="s">
        <v>1237</v>
      </c>
      <c r="C258" s="39">
        <v>20190516</v>
      </c>
      <c r="D258" s="76" t="s">
        <v>53</v>
      </c>
      <c r="E258" s="76" t="s">
        <v>53</v>
      </c>
      <c r="F258" s="129" t="s">
        <v>54</v>
      </c>
      <c r="G258" s="399">
        <f>IFERROR(VLOOKUP(A258,醫療院所DATABASE!A:B,2,""),)</f>
        <v>0</v>
      </c>
      <c r="H258" s="64"/>
      <c r="I258" s="109">
        <v>43594</v>
      </c>
      <c r="J258" s="109">
        <v>43600</v>
      </c>
      <c r="K258" s="39" t="s">
        <v>1305</v>
      </c>
      <c r="L258" s="76" t="s">
        <v>1306</v>
      </c>
      <c r="M258" s="39" t="s">
        <v>1019</v>
      </c>
      <c r="N258" s="24" t="s">
        <v>51</v>
      </c>
      <c r="O258" s="24"/>
      <c r="P258" s="409" t="s">
        <v>1307</v>
      </c>
      <c r="Q258" s="76" t="s">
        <v>64</v>
      </c>
      <c r="R258" s="64"/>
      <c r="S258" s="24"/>
      <c r="T258" s="24"/>
      <c r="U258" s="64"/>
      <c r="V258" s="24"/>
      <c r="W258" s="24"/>
      <c r="X258" s="24"/>
      <c r="Y258" s="24"/>
      <c r="Z258" s="24"/>
      <c r="AA258" s="24"/>
      <c r="AB258" s="24"/>
      <c r="AC258" s="24"/>
    </row>
    <row r="259" spans="1:29" ht="15.75" customHeight="1">
      <c r="A259" s="39" t="s">
        <v>1308</v>
      </c>
      <c r="B259" s="77" t="s">
        <v>1237</v>
      </c>
      <c r="C259" s="39">
        <v>20190520</v>
      </c>
      <c r="D259" s="76" t="s">
        <v>523</v>
      </c>
      <c r="E259" s="76" t="str">
        <f ca="1">IF(OR(F259="股東",F259="股東會公關"),VLOOKUP(L259,股東DATABASE!A:C,3,),"")</f>
        <v>Holly</v>
      </c>
      <c r="F259" s="129" t="s">
        <v>975</v>
      </c>
      <c r="G259" s="399">
        <f>IFERROR(VLOOKUP(A259,醫療院所DATABASE!A:B,2,""),)</f>
        <v>0</v>
      </c>
      <c r="H259" s="64"/>
      <c r="I259" s="109">
        <v>43594</v>
      </c>
      <c r="J259" s="109">
        <v>43600</v>
      </c>
      <c r="K259" s="39" t="s">
        <v>337</v>
      </c>
      <c r="L259" s="76" t="s">
        <v>338</v>
      </c>
      <c r="M259" s="39" t="s">
        <v>1019</v>
      </c>
      <c r="N259" s="24" t="s">
        <v>51</v>
      </c>
      <c r="O259" s="24"/>
      <c r="P259" s="409" t="s">
        <v>1309</v>
      </c>
      <c r="Q259" s="76" t="s">
        <v>64</v>
      </c>
      <c r="R259" s="64"/>
      <c r="S259" s="24"/>
      <c r="T259" s="24"/>
      <c r="U259" s="64"/>
      <c r="V259" s="24"/>
      <c r="W259" s="24"/>
      <c r="X259" s="24"/>
      <c r="Y259" s="24"/>
      <c r="Z259" s="24"/>
      <c r="AA259" s="24"/>
      <c r="AB259" s="24"/>
      <c r="AC259" s="24"/>
    </row>
    <row r="260" spans="1:29" ht="15.75" customHeight="1">
      <c r="A260" s="39" t="s">
        <v>1310</v>
      </c>
      <c r="B260" s="77" t="s">
        <v>1237</v>
      </c>
      <c r="C260" s="39">
        <v>20190516</v>
      </c>
      <c r="D260" s="76" t="s">
        <v>53</v>
      </c>
      <c r="E260" s="76" t="s">
        <v>53</v>
      </c>
      <c r="F260" s="129" t="s">
        <v>54</v>
      </c>
      <c r="G260" s="399">
        <f>IFERROR(VLOOKUP(A260,醫療院所DATABASE!A:B,2,""),)</f>
        <v>0</v>
      </c>
      <c r="H260" s="64"/>
      <c r="I260" s="109">
        <v>43594</v>
      </c>
      <c r="J260" s="109">
        <v>43600</v>
      </c>
      <c r="K260" s="39" t="s">
        <v>1311</v>
      </c>
      <c r="L260" s="76" t="s">
        <v>1312</v>
      </c>
      <c r="M260" s="39" t="s">
        <v>1019</v>
      </c>
      <c r="N260" s="47" t="s">
        <v>62</v>
      </c>
      <c r="O260" s="24"/>
      <c r="P260" s="409" t="s">
        <v>1313</v>
      </c>
      <c r="Q260" s="76" t="s">
        <v>64</v>
      </c>
      <c r="R260" s="64"/>
      <c r="S260" s="24"/>
      <c r="T260" s="24"/>
      <c r="U260" s="64"/>
      <c r="V260" s="24"/>
      <c r="W260" s="24"/>
      <c r="X260" s="24"/>
      <c r="Y260" s="24"/>
      <c r="Z260" s="24"/>
      <c r="AA260" s="24"/>
      <c r="AB260" s="24"/>
      <c r="AC260" s="24"/>
    </row>
    <row r="261" spans="1:29" ht="15.75" customHeight="1">
      <c r="A261" s="39" t="s">
        <v>1314</v>
      </c>
      <c r="B261" s="77" t="s">
        <v>1237</v>
      </c>
      <c r="C261" s="39">
        <v>20190516</v>
      </c>
      <c r="D261" s="76" t="s">
        <v>665</v>
      </c>
      <c r="E261" s="76" t="s">
        <v>53</v>
      </c>
      <c r="F261" s="129" t="s">
        <v>524</v>
      </c>
      <c r="G261" s="399">
        <f>IFERROR(VLOOKUP(A261,醫療院所DATABASE!A:B,2,""),)</f>
        <v>0</v>
      </c>
      <c r="H261" s="64"/>
      <c r="I261" s="109">
        <v>43594</v>
      </c>
      <c r="J261" s="109">
        <v>43600</v>
      </c>
      <c r="K261" s="39" t="s">
        <v>1315</v>
      </c>
      <c r="L261" s="76" t="s">
        <v>1316</v>
      </c>
      <c r="M261" s="118" t="s">
        <v>956</v>
      </c>
      <c r="N261" s="47" t="s">
        <v>62</v>
      </c>
      <c r="O261" s="24"/>
      <c r="P261" s="409" t="s">
        <v>1317</v>
      </c>
      <c r="Q261" s="76" t="s">
        <v>64</v>
      </c>
      <c r="R261" s="64"/>
      <c r="S261" s="24"/>
      <c r="T261" s="24"/>
      <c r="U261" s="76" t="s">
        <v>1318</v>
      </c>
      <c r="V261" s="24"/>
      <c r="W261" s="24"/>
      <c r="X261" s="24"/>
      <c r="Y261" s="24"/>
      <c r="Z261" s="24"/>
      <c r="AA261" s="24"/>
      <c r="AB261" s="24"/>
      <c r="AC261" s="24"/>
    </row>
    <row r="262" spans="1:29" ht="15.75" customHeight="1">
      <c r="A262" s="39" t="s">
        <v>1319</v>
      </c>
      <c r="B262" s="77" t="s">
        <v>1320</v>
      </c>
      <c r="C262" s="39">
        <v>20190520</v>
      </c>
      <c r="D262" s="137" t="s">
        <v>1321</v>
      </c>
      <c r="E262" s="76" t="s">
        <v>188</v>
      </c>
      <c r="F262" s="129" t="s">
        <v>1294</v>
      </c>
      <c r="G262" s="399">
        <f>IFERROR(VLOOKUP(A262,醫療院所DATABASE!A:B,2,""),)</f>
        <v>0</v>
      </c>
      <c r="H262" s="64"/>
      <c r="I262" s="109">
        <v>43595</v>
      </c>
      <c r="J262" s="109">
        <v>43601</v>
      </c>
      <c r="K262" s="39" t="s">
        <v>1322</v>
      </c>
      <c r="L262" s="76" t="s">
        <v>1323</v>
      </c>
      <c r="M262" s="49" t="s">
        <v>61</v>
      </c>
      <c r="N262" s="47" t="s">
        <v>62</v>
      </c>
      <c r="O262" s="24"/>
      <c r="P262" s="409" t="s">
        <v>1324</v>
      </c>
      <c r="Q262" s="76" t="s">
        <v>64</v>
      </c>
      <c r="R262" s="64"/>
      <c r="S262" s="24"/>
      <c r="T262" s="24"/>
      <c r="U262" s="64"/>
      <c r="V262" s="24"/>
      <c r="W262" s="24"/>
      <c r="X262" s="24"/>
      <c r="Y262" s="24"/>
      <c r="Z262" s="24"/>
      <c r="AA262" s="24"/>
      <c r="AB262" s="24"/>
      <c r="AC262" s="24"/>
    </row>
    <row r="263" spans="1:29" ht="15.75" customHeight="1">
      <c r="A263" s="39" t="s">
        <v>1319</v>
      </c>
      <c r="B263" s="77" t="s">
        <v>1320</v>
      </c>
      <c r="C263" s="39">
        <v>20190520</v>
      </c>
      <c r="D263" s="137" t="s">
        <v>1321</v>
      </c>
      <c r="E263" s="76" t="s">
        <v>523</v>
      </c>
      <c r="F263" s="129" t="s">
        <v>1294</v>
      </c>
      <c r="G263" s="399">
        <f>IFERROR(VLOOKUP(A263,醫療院所DATABASE!A:B,2,""),)</f>
        <v>0</v>
      </c>
      <c r="H263" s="64"/>
      <c r="I263" s="109">
        <v>43595</v>
      </c>
      <c r="J263" s="109">
        <v>43601</v>
      </c>
      <c r="K263" s="39" t="s">
        <v>1325</v>
      </c>
      <c r="L263" s="76" t="s">
        <v>1326</v>
      </c>
      <c r="M263" s="49" t="s">
        <v>61</v>
      </c>
      <c r="N263" s="24" t="s">
        <v>51</v>
      </c>
      <c r="O263" s="24"/>
      <c r="P263" s="409" t="s">
        <v>1327</v>
      </c>
      <c r="Q263" s="76" t="s">
        <v>64</v>
      </c>
      <c r="R263" s="64"/>
      <c r="S263" s="24"/>
      <c r="T263" s="24"/>
      <c r="U263" s="64"/>
      <c r="V263" s="24"/>
      <c r="W263" s="24"/>
      <c r="X263" s="24"/>
      <c r="Y263" s="24"/>
      <c r="Z263" s="24"/>
      <c r="AA263" s="24"/>
      <c r="AB263" s="24"/>
      <c r="AC263" s="24"/>
    </row>
    <row r="264" spans="1:29" ht="15.75" customHeight="1">
      <c r="A264" s="39" t="s">
        <v>1328</v>
      </c>
      <c r="B264" s="77" t="s">
        <v>1320</v>
      </c>
      <c r="C264" s="39">
        <v>20190530</v>
      </c>
      <c r="D264" s="76" t="s">
        <v>1329</v>
      </c>
      <c r="E264" s="76" t="s">
        <v>1329</v>
      </c>
      <c r="F264" s="24" t="s">
        <v>562</v>
      </c>
      <c r="G264" s="399">
        <f>IFERROR(VLOOKUP(A264,醫療院所DATABASE!A:B,2,""),)</f>
        <v>0</v>
      </c>
      <c r="H264" s="64"/>
      <c r="I264" s="109">
        <v>43595</v>
      </c>
      <c r="J264" s="109">
        <v>43601</v>
      </c>
      <c r="K264" s="39" t="s">
        <v>1330</v>
      </c>
      <c r="L264" s="76" t="s">
        <v>552</v>
      </c>
      <c r="M264" s="49" t="s">
        <v>61</v>
      </c>
      <c r="N264" s="24" t="s">
        <v>51</v>
      </c>
      <c r="O264" s="24"/>
      <c r="P264" s="409" t="s">
        <v>1331</v>
      </c>
      <c r="Q264" s="76" t="s">
        <v>64</v>
      </c>
      <c r="R264" s="64"/>
      <c r="S264" s="24"/>
      <c r="T264" s="24"/>
      <c r="U264" s="64"/>
      <c r="V264" s="24"/>
      <c r="W264" s="24"/>
      <c r="X264" s="24"/>
      <c r="Y264" s="24"/>
      <c r="Z264" s="24"/>
      <c r="AA264" s="24"/>
      <c r="AB264" s="24"/>
      <c r="AC264" s="24"/>
    </row>
    <row r="265" spans="1:29" ht="15.75" customHeight="1">
      <c r="A265" s="39" t="s">
        <v>1332</v>
      </c>
      <c r="B265" s="107">
        <v>43602</v>
      </c>
      <c r="C265" s="39">
        <v>20190524</v>
      </c>
      <c r="D265" s="76" t="s">
        <v>665</v>
      </c>
      <c r="E265" s="76" t="s">
        <v>665</v>
      </c>
      <c r="F265" s="129" t="s">
        <v>524</v>
      </c>
      <c r="G265" s="399">
        <f>IFERROR(VLOOKUP(A265,醫療院所DATABASE!A:B,2,""),)</f>
        <v>0</v>
      </c>
      <c r="H265" s="64"/>
      <c r="I265" s="109">
        <v>43598</v>
      </c>
      <c r="J265" s="109">
        <v>43602</v>
      </c>
      <c r="K265" s="39" t="s">
        <v>1333</v>
      </c>
      <c r="L265" s="76" t="s">
        <v>1334</v>
      </c>
      <c r="M265" s="49" t="s">
        <v>61</v>
      </c>
      <c r="N265" s="24" t="s">
        <v>51</v>
      </c>
      <c r="O265" s="24"/>
      <c r="P265" s="409" t="s">
        <v>1335</v>
      </c>
      <c r="Q265" s="76" t="s">
        <v>1207</v>
      </c>
      <c r="R265" s="64"/>
      <c r="S265" s="24"/>
      <c r="T265" s="24"/>
      <c r="U265" s="76" t="s">
        <v>1336</v>
      </c>
      <c r="V265" s="24"/>
      <c r="W265" s="24"/>
      <c r="X265" s="24"/>
      <c r="Y265" s="24"/>
      <c r="Z265" s="24"/>
      <c r="AA265" s="24"/>
      <c r="AB265" s="24"/>
      <c r="AC265" s="24"/>
    </row>
    <row r="266" spans="1:29" ht="15.75" customHeight="1">
      <c r="A266" s="39" t="s">
        <v>1337</v>
      </c>
      <c r="B266" s="107">
        <v>43602</v>
      </c>
      <c r="C266" s="39">
        <v>20190521</v>
      </c>
      <c r="D266" s="76" t="s">
        <v>53</v>
      </c>
      <c r="E266" s="76" t="s">
        <v>53</v>
      </c>
      <c r="F266" s="24" t="s">
        <v>697</v>
      </c>
      <c r="G266" s="399">
        <f>IFERROR(VLOOKUP(A266,醫療院所DATABASE!A:B,2,""),)</f>
        <v>0</v>
      </c>
      <c r="H266" s="64"/>
      <c r="I266" s="109">
        <v>43598</v>
      </c>
      <c r="J266" s="109">
        <v>43602</v>
      </c>
      <c r="K266" s="39" t="s">
        <v>1338</v>
      </c>
      <c r="L266" s="76" t="s">
        <v>1339</v>
      </c>
      <c r="M266" s="39" t="s">
        <v>1019</v>
      </c>
      <c r="N266" s="24" t="s">
        <v>51</v>
      </c>
      <c r="O266" s="24"/>
      <c r="P266" s="409" t="s">
        <v>1340</v>
      </c>
      <c r="Q266" s="76" t="s">
        <v>64</v>
      </c>
      <c r="R266" s="64"/>
      <c r="S266" s="24"/>
      <c r="T266" s="24"/>
      <c r="U266" s="64"/>
      <c r="V266" s="24"/>
      <c r="W266" s="24"/>
      <c r="X266" s="24"/>
      <c r="Y266" s="24"/>
      <c r="Z266" s="24"/>
      <c r="AA266" s="24"/>
      <c r="AB266" s="24"/>
      <c r="AC266" s="24"/>
    </row>
    <row r="267" spans="1:29" ht="15.75" customHeight="1">
      <c r="A267" s="39" t="s">
        <v>1341</v>
      </c>
      <c r="B267" s="107">
        <v>43602</v>
      </c>
      <c r="C267" s="39">
        <v>20190521</v>
      </c>
      <c r="D267" s="137" t="s">
        <v>1321</v>
      </c>
      <c r="E267" s="76" t="s">
        <v>53</v>
      </c>
      <c r="F267" s="129" t="s">
        <v>1294</v>
      </c>
      <c r="G267" s="399">
        <f>IFERROR(VLOOKUP(A267,醫療院所DATABASE!A:B,2,""),)</f>
        <v>0</v>
      </c>
      <c r="H267" s="64"/>
      <c r="I267" s="109">
        <v>43598</v>
      </c>
      <c r="J267" s="109">
        <v>43602</v>
      </c>
      <c r="K267" s="39" t="s">
        <v>1342</v>
      </c>
      <c r="L267" s="76" t="s">
        <v>1343</v>
      </c>
      <c r="M267" s="39" t="s">
        <v>1019</v>
      </c>
      <c r="N267" s="24" t="s">
        <v>51</v>
      </c>
      <c r="O267" s="24"/>
      <c r="P267" s="409" t="s">
        <v>1344</v>
      </c>
      <c r="Q267" s="76" t="s">
        <v>64</v>
      </c>
      <c r="R267" s="64"/>
      <c r="S267" s="24"/>
      <c r="T267" s="24"/>
      <c r="U267" s="64"/>
      <c r="V267" s="24"/>
      <c r="W267" s="24"/>
      <c r="X267" s="24"/>
      <c r="Y267" s="24"/>
      <c r="Z267" s="24"/>
      <c r="AA267" s="24"/>
      <c r="AB267" s="24"/>
      <c r="AC267" s="24"/>
    </row>
    <row r="268" spans="1:29" ht="15.75" customHeight="1">
      <c r="A268" s="39" t="s">
        <v>1345</v>
      </c>
      <c r="B268" s="107">
        <v>43602</v>
      </c>
      <c r="C268" s="39">
        <v>20190521</v>
      </c>
      <c r="D268" s="76" t="s">
        <v>53</v>
      </c>
      <c r="E268" s="76" t="s">
        <v>53</v>
      </c>
      <c r="F268" s="39" t="s">
        <v>1213</v>
      </c>
      <c r="G268" s="399">
        <f>IFERROR(VLOOKUP(A268,醫療院所DATABASE!A:B,2,""),)</f>
        <v>0</v>
      </c>
      <c r="H268" s="64"/>
      <c r="I268" s="109">
        <v>43598</v>
      </c>
      <c r="J268" s="39" t="s">
        <v>1346</v>
      </c>
      <c r="K268" s="39" t="s">
        <v>1346</v>
      </c>
      <c r="L268" s="76" t="s">
        <v>1343</v>
      </c>
      <c r="M268" s="39" t="s">
        <v>1346</v>
      </c>
      <c r="N268" s="39" t="s">
        <v>1346</v>
      </c>
      <c r="O268" s="24"/>
      <c r="P268" s="409" t="s">
        <v>1346</v>
      </c>
      <c r="Q268" s="76" t="s">
        <v>64</v>
      </c>
      <c r="R268" s="64"/>
      <c r="S268" s="24"/>
      <c r="T268" s="24"/>
      <c r="U268" s="64"/>
      <c r="V268" s="24"/>
      <c r="W268" s="24"/>
      <c r="X268" s="24"/>
      <c r="Y268" s="24"/>
      <c r="Z268" s="24"/>
      <c r="AA268" s="24"/>
      <c r="AB268" s="24"/>
      <c r="AC268" s="24"/>
    </row>
    <row r="269" spans="1:29" ht="15.75" customHeight="1">
      <c r="A269" s="39">
        <v>19050802</v>
      </c>
      <c r="B269" s="107">
        <v>43602</v>
      </c>
      <c r="C269" s="39">
        <v>20190521</v>
      </c>
      <c r="D269" s="76" t="s">
        <v>53</v>
      </c>
      <c r="E269" s="76" t="s">
        <v>53</v>
      </c>
      <c r="F269" s="24" t="s">
        <v>353</v>
      </c>
      <c r="G269" s="399">
        <f>IFERROR(VLOOKUP(A269,醫療院所DATABASE!A:B,2,""),)</f>
        <v>0</v>
      </c>
      <c r="H269" s="64"/>
      <c r="I269" s="109">
        <v>43598</v>
      </c>
      <c r="J269" s="109">
        <v>43602</v>
      </c>
      <c r="K269" s="39" t="s">
        <v>1347</v>
      </c>
      <c r="L269" s="76" t="s">
        <v>1348</v>
      </c>
      <c r="M269" s="93" t="s">
        <v>641</v>
      </c>
      <c r="N269" s="47" t="s">
        <v>62</v>
      </c>
      <c r="O269" s="24"/>
      <c r="P269" s="409" t="s">
        <v>1349</v>
      </c>
      <c r="Q269" s="76" t="s">
        <v>64</v>
      </c>
      <c r="R269" s="64"/>
      <c r="S269" s="24"/>
      <c r="T269" s="24"/>
      <c r="U269" s="64"/>
      <c r="V269" s="24"/>
      <c r="W269" s="24"/>
      <c r="X269" s="24"/>
      <c r="Y269" s="24"/>
      <c r="Z269" s="24"/>
      <c r="AA269" s="24"/>
      <c r="AB269" s="24"/>
      <c r="AC269" s="24"/>
    </row>
    <row r="270" spans="1:29" ht="15.75" customHeight="1">
      <c r="A270" s="39">
        <v>19050902</v>
      </c>
      <c r="B270" s="107">
        <v>43602</v>
      </c>
      <c r="C270" s="39">
        <v>20190521</v>
      </c>
      <c r="D270" s="76" t="s">
        <v>188</v>
      </c>
      <c r="E270" s="76" t="s">
        <v>188</v>
      </c>
      <c r="F270" s="24" t="s">
        <v>353</v>
      </c>
      <c r="G270" s="399">
        <f>IFERROR(VLOOKUP(A270,醫療院所DATABASE!A:B,2,""),)</f>
        <v>0</v>
      </c>
      <c r="H270" s="64"/>
      <c r="I270" s="109">
        <v>43598</v>
      </c>
      <c r="J270" s="109">
        <v>43602</v>
      </c>
      <c r="K270" s="39" t="s">
        <v>1350</v>
      </c>
      <c r="L270" s="76" t="s">
        <v>1351</v>
      </c>
      <c r="M270" s="39" t="s">
        <v>1152</v>
      </c>
      <c r="N270" s="47" t="s">
        <v>62</v>
      </c>
      <c r="O270" s="24"/>
      <c r="P270" s="409" t="s">
        <v>1352</v>
      </c>
      <c r="Q270" s="76" t="s">
        <v>64</v>
      </c>
      <c r="R270" s="64"/>
      <c r="S270" s="24"/>
      <c r="T270" s="24"/>
      <c r="U270" s="64"/>
      <c r="V270" s="24"/>
      <c r="W270" s="24"/>
      <c r="X270" s="24"/>
      <c r="Y270" s="24"/>
      <c r="Z270" s="24"/>
      <c r="AA270" s="24"/>
      <c r="AB270" s="24"/>
      <c r="AC270" s="24"/>
    </row>
    <row r="271" spans="1:29" ht="15.75" customHeight="1">
      <c r="A271" s="39" t="s">
        <v>1319</v>
      </c>
      <c r="B271" s="107">
        <v>43602</v>
      </c>
      <c r="C271" s="39">
        <v>20190520</v>
      </c>
      <c r="D271" s="137" t="s">
        <v>1321</v>
      </c>
      <c r="E271" s="76" t="s">
        <v>523</v>
      </c>
      <c r="F271" s="129" t="s">
        <v>1294</v>
      </c>
      <c r="G271" s="399">
        <f>IFERROR(VLOOKUP(A271,醫療院所DATABASE!A:B,2,""),)</f>
        <v>0</v>
      </c>
      <c r="H271" s="64"/>
      <c r="I271" s="109">
        <v>43598</v>
      </c>
      <c r="J271" s="109">
        <v>43602</v>
      </c>
      <c r="K271" s="39" t="s">
        <v>1353</v>
      </c>
      <c r="L271" s="76" t="s">
        <v>1354</v>
      </c>
      <c r="M271" s="49" t="s">
        <v>61</v>
      </c>
      <c r="N271" s="47" t="s">
        <v>62</v>
      </c>
      <c r="O271" s="24"/>
      <c r="P271" s="409" t="s">
        <v>1355</v>
      </c>
      <c r="Q271" s="76" t="s">
        <v>64</v>
      </c>
      <c r="R271" s="64"/>
      <c r="S271" s="24"/>
      <c r="T271" s="24"/>
      <c r="U271" s="64"/>
      <c r="V271" s="24"/>
      <c r="W271" s="24"/>
      <c r="X271" s="24"/>
      <c r="Y271" s="24"/>
      <c r="Z271" s="24"/>
      <c r="AA271" s="24"/>
      <c r="AB271" s="24"/>
      <c r="AC271" s="24"/>
    </row>
    <row r="272" spans="1:29" ht="15.75" customHeight="1">
      <c r="A272" s="39" t="s">
        <v>1319</v>
      </c>
      <c r="B272" s="107">
        <v>43602</v>
      </c>
      <c r="C272" s="39">
        <v>20190520</v>
      </c>
      <c r="D272" s="137" t="s">
        <v>1321</v>
      </c>
      <c r="E272" s="76" t="s">
        <v>188</v>
      </c>
      <c r="F272" s="129" t="s">
        <v>1294</v>
      </c>
      <c r="G272" s="399">
        <f>IFERROR(VLOOKUP(A272,醫療院所DATABASE!A:B,2,""),)</f>
        <v>0</v>
      </c>
      <c r="H272" s="64"/>
      <c r="I272" s="109">
        <v>43598</v>
      </c>
      <c r="J272" s="109">
        <v>43602</v>
      </c>
      <c r="K272" s="39" t="s">
        <v>1356</v>
      </c>
      <c r="L272" s="76" t="s">
        <v>1357</v>
      </c>
      <c r="M272" s="49" t="s">
        <v>61</v>
      </c>
      <c r="N272" s="24" t="s">
        <v>51</v>
      </c>
      <c r="O272" s="24"/>
      <c r="P272" s="409" t="s">
        <v>1358</v>
      </c>
      <c r="Q272" s="76" t="s">
        <v>64</v>
      </c>
      <c r="R272" s="64"/>
      <c r="S272" s="24"/>
      <c r="T272" s="24"/>
      <c r="U272" s="64"/>
      <c r="V272" s="24"/>
      <c r="W272" s="24"/>
      <c r="X272" s="24"/>
      <c r="Y272" s="24"/>
      <c r="Z272" s="24"/>
      <c r="AA272" s="24"/>
      <c r="AB272" s="24"/>
      <c r="AC272" s="24"/>
    </row>
    <row r="273" spans="1:29" ht="15.75" customHeight="1">
      <c r="A273" s="39" t="s">
        <v>1359</v>
      </c>
      <c r="B273" s="107">
        <v>43605</v>
      </c>
      <c r="C273" s="39">
        <v>20190521</v>
      </c>
      <c r="D273" s="76" t="s">
        <v>53</v>
      </c>
      <c r="E273" s="76" t="s">
        <v>53</v>
      </c>
      <c r="F273" s="39" t="s">
        <v>975</v>
      </c>
      <c r="G273" s="399">
        <f>IFERROR(VLOOKUP(A273,醫療院所DATABASE!A:B,2,""),)</f>
        <v>0</v>
      </c>
      <c r="H273" s="64"/>
      <c r="I273" s="109">
        <v>43599</v>
      </c>
      <c r="J273" s="109">
        <v>43605</v>
      </c>
      <c r="K273" s="39" t="s">
        <v>1360</v>
      </c>
      <c r="L273" s="138" t="s">
        <v>1361</v>
      </c>
      <c r="M273" s="39" t="s">
        <v>1019</v>
      </c>
      <c r="N273" s="39" t="s">
        <v>51</v>
      </c>
      <c r="O273" s="56"/>
      <c r="P273" s="409" t="s">
        <v>1362</v>
      </c>
      <c r="Q273" s="76" t="s">
        <v>64</v>
      </c>
      <c r="R273" s="64"/>
      <c r="S273" s="24"/>
      <c r="T273" s="24"/>
      <c r="U273" s="64"/>
      <c r="V273" s="56"/>
      <c r="W273" s="56"/>
      <c r="X273" s="56"/>
      <c r="Y273" s="56"/>
      <c r="Z273" s="56"/>
      <c r="AA273" s="56"/>
      <c r="AB273" s="56"/>
      <c r="AC273" s="56"/>
    </row>
    <row r="274" spans="1:29" ht="15.75" customHeight="1">
      <c r="A274" s="39" t="s">
        <v>1359</v>
      </c>
      <c r="B274" s="107">
        <v>43605</v>
      </c>
      <c r="C274" s="39">
        <v>20190521</v>
      </c>
      <c r="D274" s="76" t="s">
        <v>53</v>
      </c>
      <c r="E274" s="76" t="s">
        <v>53</v>
      </c>
      <c r="F274" s="39" t="s">
        <v>975</v>
      </c>
      <c r="G274" s="399">
        <f>IFERROR(VLOOKUP(A274,醫療院所DATABASE!A:B,2,""),)</f>
        <v>0</v>
      </c>
      <c r="H274" s="64"/>
      <c r="I274" s="109">
        <v>43599</v>
      </c>
      <c r="J274" s="109">
        <v>43605</v>
      </c>
      <c r="K274" s="39" t="s">
        <v>1363</v>
      </c>
      <c r="L274" s="76" t="s">
        <v>1364</v>
      </c>
      <c r="M274" s="49" t="s">
        <v>61</v>
      </c>
      <c r="N274" s="39" t="s">
        <v>62</v>
      </c>
      <c r="O274" s="56"/>
      <c r="P274" s="409" t="s">
        <v>1365</v>
      </c>
      <c r="Q274" s="76" t="s">
        <v>64</v>
      </c>
      <c r="R274" s="64"/>
      <c r="S274" s="24"/>
      <c r="T274" s="24"/>
      <c r="U274" s="64"/>
      <c r="V274" s="56"/>
      <c r="W274" s="56"/>
      <c r="X274" s="56"/>
      <c r="Y274" s="56"/>
      <c r="Z274" s="56"/>
      <c r="AA274" s="56"/>
      <c r="AB274" s="56"/>
      <c r="AC274" s="56"/>
    </row>
    <row r="275" spans="1:29" ht="15.75" customHeight="1">
      <c r="A275" s="39" t="s">
        <v>1366</v>
      </c>
      <c r="B275" s="107">
        <v>43605</v>
      </c>
      <c r="C275" s="47"/>
      <c r="D275" s="76" t="s">
        <v>543</v>
      </c>
      <c r="E275" s="76" t="s">
        <v>188</v>
      </c>
      <c r="F275" s="24" t="s">
        <v>524</v>
      </c>
      <c r="G275" s="399">
        <f>IFERROR(VLOOKUP(A275,醫療院所DATABASE!A:B,2,""),)</f>
        <v>0</v>
      </c>
      <c r="H275" s="64"/>
      <c r="I275" s="109">
        <v>43599</v>
      </c>
      <c r="J275" s="109">
        <v>43605</v>
      </c>
      <c r="K275" s="39" t="s">
        <v>1367</v>
      </c>
      <c r="L275" s="76" t="s">
        <v>1368</v>
      </c>
      <c r="M275" s="49" t="s">
        <v>61</v>
      </c>
      <c r="N275" s="39" t="s">
        <v>62</v>
      </c>
      <c r="O275" s="56"/>
      <c r="P275" s="409" t="s">
        <v>1369</v>
      </c>
      <c r="Q275" s="76" t="s">
        <v>64</v>
      </c>
      <c r="R275" s="64"/>
      <c r="S275" s="24"/>
      <c r="T275" s="24"/>
      <c r="U275" s="64"/>
      <c r="V275" s="56"/>
      <c r="W275" s="56"/>
      <c r="X275" s="56"/>
      <c r="Y275" s="56"/>
      <c r="Z275" s="56"/>
      <c r="AA275" s="56"/>
      <c r="AB275" s="56"/>
      <c r="AC275" s="56"/>
    </row>
    <row r="276" spans="1:29" ht="15.75" customHeight="1">
      <c r="A276" s="39" t="s">
        <v>992</v>
      </c>
      <c r="B276" s="107">
        <v>43605</v>
      </c>
      <c r="C276" s="135">
        <v>20190522</v>
      </c>
      <c r="D276" s="64" t="s">
        <v>522</v>
      </c>
      <c r="E276" s="76" t="s">
        <v>188</v>
      </c>
      <c r="F276" s="24" t="s">
        <v>524</v>
      </c>
      <c r="G276" s="399">
        <f>IFERROR(VLOOKUP(A276,醫療院所DATABASE!A:B,2,""),)</f>
        <v>0</v>
      </c>
      <c r="H276" s="64"/>
      <c r="I276" s="109">
        <v>43599</v>
      </c>
      <c r="J276" s="109">
        <v>43605</v>
      </c>
      <c r="K276" s="39" t="s">
        <v>1370</v>
      </c>
      <c r="L276" s="76" t="s">
        <v>1371</v>
      </c>
      <c r="M276" s="49" t="s">
        <v>61</v>
      </c>
      <c r="N276" s="39" t="s">
        <v>62</v>
      </c>
      <c r="O276" s="56"/>
      <c r="P276" s="409" t="s">
        <v>1372</v>
      </c>
      <c r="Q276" s="76" t="s">
        <v>64</v>
      </c>
      <c r="R276" s="64"/>
      <c r="S276" s="24"/>
      <c r="T276" s="24"/>
      <c r="U276" s="64"/>
      <c r="V276" s="56"/>
      <c r="W276" s="56"/>
      <c r="X276" s="56"/>
      <c r="Y276" s="56"/>
      <c r="Z276" s="56"/>
      <c r="AA276" s="56"/>
      <c r="AB276" s="56"/>
      <c r="AC276" s="56"/>
    </row>
    <row r="277" spans="1:29" ht="15.75" customHeight="1">
      <c r="A277" s="39" t="s">
        <v>1373</v>
      </c>
      <c r="B277" s="139" t="s">
        <v>1374</v>
      </c>
      <c r="C277" s="24"/>
      <c r="D277" s="64" t="s">
        <v>522</v>
      </c>
      <c r="E277" s="76" t="str">
        <f>IF(OR(F277="股東",F277="股東會公關"),VLOOKUP(L277,股東DATABASE!A:C,3,),"")</f>
        <v/>
      </c>
      <c r="F277" s="24" t="s">
        <v>524</v>
      </c>
      <c r="G277" s="399">
        <f>IFERROR(VLOOKUP(A277,醫療院所DATABASE!A:B,2,""),)</f>
        <v>0</v>
      </c>
      <c r="H277" s="64"/>
      <c r="I277" s="109">
        <v>43600</v>
      </c>
      <c r="J277" s="109">
        <v>43606</v>
      </c>
      <c r="K277" s="39" t="s">
        <v>1375</v>
      </c>
      <c r="L277" s="76" t="s">
        <v>1376</v>
      </c>
      <c r="M277" s="49" t="s">
        <v>61</v>
      </c>
      <c r="N277" s="39" t="s">
        <v>62</v>
      </c>
      <c r="O277" s="56"/>
      <c r="P277" s="409" t="s">
        <v>1377</v>
      </c>
      <c r="Q277" s="76" t="s">
        <v>64</v>
      </c>
      <c r="R277" s="64"/>
      <c r="S277" s="24"/>
      <c r="T277" s="24"/>
      <c r="U277" s="64"/>
      <c r="V277" s="56"/>
      <c r="W277" s="56"/>
      <c r="X277" s="56"/>
      <c r="Y277" s="56"/>
      <c r="Z277" s="56"/>
      <c r="AA277" s="56"/>
      <c r="AB277" s="56"/>
      <c r="AC277" s="56"/>
    </row>
    <row r="278" spans="1:29" ht="15.75" customHeight="1">
      <c r="A278" s="39" t="s">
        <v>1072</v>
      </c>
      <c r="B278" s="107">
        <v>43606</v>
      </c>
      <c r="C278" s="39">
        <v>20190530</v>
      </c>
      <c r="D278" s="76" t="s">
        <v>1212</v>
      </c>
      <c r="E278" s="76" t="s">
        <v>188</v>
      </c>
      <c r="F278" s="39" t="s">
        <v>1213</v>
      </c>
      <c r="G278" s="399">
        <f>IFERROR(VLOOKUP(A278,醫療院所DATABASE!A:B,2,""),)</f>
        <v>0</v>
      </c>
      <c r="H278" s="64"/>
      <c r="I278" s="109">
        <v>43600</v>
      </c>
      <c r="J278" s="109">
        <v>43606</v>
      </c>
      <c r="K278" s="39" t="s">
        <v>1378</v>
      </c>
      <c r="L278" s="76" t="s">
        <v>1379</v>
      </c>
      <c r="M278" s="119" t="s">
        <v>1380</v>
      </c>
      <c r="N278" s="39" t="s">
        <v>51</v>
      </c>
      <c r="O278" s="56"/>
      <c r="P278" s="409" t="s">
        <v>1381</v>
      </c>
      <c r="Q278" s="76" t="s">
        <v>64</v>
      </c>
      <c r="R278" s="64"/>
      <c r="S278" s="24"/>
      <c r="T278" s="24"/>
      <c r="U278" s="76" t="s">
        <v>1382</v>
      </c>
      <c r="V278" s="56"/>
      <c r="W278" s="56"/>
      <c r="X278" s="56"/>
      <c r="Y278" s="56"/>
      <c r="Z278" s="56"/>
      <c r="AA278" s="56"/>
      <c r="AB278" s="56"/>
      <c r="AC278" s="56"/>
    </row>
    <row r="279" spans="1:29" ht="15.75" customHeight="1">
      <c r="A279" s="39" t="s">
        <v>1383</v>
      </c>
      <c r="B279" s="107">
        <v>43606</v>
      </c>
      <c r="C279" s="109">
        <v>43608</v>
      </c>
      <c r="D279" s="99" t="s">
        <v>807</v>
      </c>
      <c r="E279" s="76" t="s">
        <v>479</v>
      </c>
      <c r="F279" s="140" t="s">
        <v>1384</v>
      </c>
      <c r="G279" s="399">
        <f>IFERROR(VLOOKUP(A279,醫療院所DATABASE!A:B,2,""),)</f>
        <v>0</v>
      </c>
      <c r="H279" s="64"/>
      <c r="I279" s="109">
        <v>43600</v>
      </c>
      <c r="J279" s="109">
        <v>43606</v>
      </c>
      <c r="K279" s="39" t="s">
        <v>1385</v>
      </c>
      <c r="L279" s="76" t="s">
        <v>1386</v>
      </c>
      <c r="M279" s="119" t="s">
        <v>963</v>
      </c>
      <c r="N279" s="39" t="s">
        <v>62</v>
      </c>
      <c r="O279" s="56"/>
      <c r="P279" s="409" t="s">
        <v>1387</v>
      </c>
      <c r="Q279" s="136" t="s">
        <v>1207</v>
      </c>
      <c r="R279" s="64"/>
      <c r="S279" s="24"/>
      <c r="T279" s="24"/>
      <c r="U279" s="64"/>
      <c r="V279" s="56"/>
      <c r="W279" s="56"/>
      <c r="X279" s="56"/>
      <c r="Y279" s="56"/>
      <c r="Z279" s="56"/>
      <c r="AA279" s="56"/>
      <c r="AB279" s="56"/>
      <c r="AC279" s="56"/>
    </row>
    <row r="280" spans="1:29" ht="15.75" customHeight="1">
      <c r="A280" s="39" t="s">
        <v>1383</v>
      </c>
      <c r="B280" s="107">
        <v>43606</v>
      </c>
      <c r="C280" s="109">
        <v>43608</v>
      </c>
      <c r="D280" s="99" t="s">
        <v>807</v>
      </c>
      <c r="E280" s="76" t="s">
        <v>479</v>
      </c>
      <c r="F280" s="140" t="s">
        <v>1384</v>
      </c>
      <c r="G280" s="399">
        <f>IFERROR(VLOOKUP(A280,醫療院所DATABASE!A:B,2,""),)</f>
        <v>0</v>
      </c>
      <c r="H280" s="64"/>
      <c r="I280" s="109">
        <v>43600</v>
      </c>
      <c r="J280" s="109">
        <v>43606</v>
      </c>
      <c r="K280" s="39" t="s">
        <v>1385</v>
      </c>
      <c r="L280" s="76" t="s">
        <v>1386</v>
      </c>
      <c r="M280" s="90" t="s">
        <v>616</v>
      </c>
      <c r="N280" s="39" t="s">
        <v>62</v>
      </c>
      <c r="O280" s="56"/>
      <c r="P280" s="409" t="s">
        <v>1388</v>
      </c>
      <c r="Q280" s="136" t="s">
        <v>1207</v>
      </c>
      <c r="R280" s="64"/>
      <c r="S280" s="24"/>
      <c r="T280" s="24"/>
      <c r="U280" s="64"/>
      <c r="V280" s="56"/>
      <c r="W280" s="56"/>
      <c r="X280" s="56"/>
      <c r="Y280" s="56"/>
      <c r="Z280" s="56"/>
      <c r="AA280" s="56"/>
      <c r="AB280" s="56"/>
      <c r="AC280" s="56"/>
    </row>
    <row r="281" spans="1:29" ht="15.75" customHeight="1">
      <c r="A281" s="39" t="s">
        <v>1389</v>
      </c>
      <c r="B281" s="107">
        <v>43608</v>
      </c>
      <c r="C281" s="109">
        <v>43608</v>
      </c>
      <c r="D281" s="76" t="s">
        <v>479</v>
      </c>
      <c r="E281" s="76" t="s">
        <v>479</v>
      </c>
      <c r="F281" s="129" t="s">
        <v>808</v>
      </c>
      <c r="G281" s="399" t="e">
        <f>VLOOKUP(A281,醫療院所DATABASE!A:B,2,"")</f>
        <v>#VALUE!</v>
      </c>
      <c r="H281" s="64"/>
      <c r="I281" s="109">
        <v>43601</v>
      </c>
      <c r="J281" s="109">
        <v>43607</v>
      </c>
      <c r="K281" s="39" t="s">
        <v>1390</v>
      </c>
      <c r="L281" s="76" t="s">
        <v>1391</v>
      </c>
      <c r="M281" s="49" t="s">
        <v>61</v>
      </c>
      <c r="N281" s="39" t="s">
        <v>51</v>
      </c>
      <c r="O281" s="56"/>
      <c r="P281" s="409" t="s">
        <v>1392</v>
      </c>
      <c r="Q281" s="136" t="s">
        <v>1207</v>
      </c>
      <c r="R281" s="64"/>
      <c r="S281" s="24"/>
      <c r="T281" s="24"/>
      <c r="U281" s="64"/>
      <c r="V281" s="56"/>
      <c r="W281" s="56"/>
      <c r="X281" s="56"/>
      <c r="Y281" s="56"/>
      <c r="Z281" s="56"/>
      <c r="AA281" s="56"/>
      <c r="AB281" s="56"/>
      <c r="AC281" s="56"/>
    </row>
    <row r="282" spans="1:29" ht="15.75" customHeight="1">
      <c r="A282" s="39" t="s">
        <v>1389</v>
      </c>
      <c r="B282" s="107">
        <v>43608</v>
      </c>
      <c r="C282" s="109">
        <v>43608</v>
      </c>
      <c r="D282" s="76" t="s">
        <v>479</v>
      </c>
      <c r="E282" s="76" t="s">
        <v>479</v>
      </c>
      <c r="F282" s="129" t="s">
        <v>808</v>
      </c>
      <c r="G282" s="399">
        <f>IFERROR(VLOOKUP(A282,醫療院所DATABASE!A:B,2,""),)</f>
        <v>0</v>
      </c>
      <c r="H282" s="64"/>
      <c r="I282" s="109">
        <v>43601</v>
      </c>
      <c r="J282" s="109">
        <v>43607</v>
      </c>
      <c r="K282" s="39" t="s">
        <v>1393</v>
      </c>
      <c r="L282" s="76" t="s">
        <v>1394</v>
      </c>
      <c r="M282" s="49" t="s">
        <v>61</v>
      </c>
      <c r="N282" s="39" t="s">
        <v>62</v>
      </c>
      <c r="O282" s="56"/>
      <c r="P282" s="409" t="s">
        <v>1395</v>
      </c>
      <c r="Q282" s="136" t="s">
        <v>1207</v>
      </c>
      <c r="R282" s="64"/>
      <c r="S282" s="24"/>
      <c r="T282" s="24"/>
      <c r="U282" s="64"/>
      <c r="V282" s="56"/>
      <c r="W282" s="56"/>
      <c r="X282" s="56"/>
      <c r="Y282" s="56"/>
      <c r="Z282" s="56"/>
      <c r="AA282" s="56"/>
      <c r="AB282" s="56"/>
      <c r="AC282" s="56"/>
    </row>
    <row r="283" spans="1:29" ht="15.75" customHeight="1">
      <c r="A283" s="39" t="s">
        <v>1396</v>
      </c>
      <c r="B283" s="107">
        <v>43607</v>
      </c>
      <c r="C283" s="107">
        <v>43607</v>
      </c>
      <c r="D283" s="76" t="s">
        <v>543</v>
      </c>
      <c r="E283" s="76" t="s">
        <v>543</v>
      </c>
      <c r="F283" s="24" t="s">
        <v>524</v>
      </c>
      <c r="G283" s="399">
        <f>IFERROR(VLOOKUP(A283,醫療院所DATABASE!A:B,2,""),)</f>
        <v>0</v>
      </c>
      <c r="H283" s="64"/>
      <c r="I283" s="109">
        <v>43601</v>
      </c>
      <c r="J283" s="109">
        <v>43607</v>
      </c>
      <c r="K283" s="39" t="s">
        <v>1397</v>
      </c>
      <c r="L283" s="76" t="s">
        <v>1398</v>
      </c>
      <c r="M283" s="49" t="s">
        <v>61</v>
      </c>
      <c r="N283" s="39" t="s">
        <v>62</v>
      </c>
      <c r="O283" s="56"/>
      <c r="P283" s="409" t="s">
        <v>1399</v>
      </c>
      <c r="Q283" s="76" t="s">
        <v>64</v>
      </c>
      <c r="R283" s="64"/>
      <c r="S283" s="24"/>
      <c r="T283" s="24"/>
      <c r="U283" s="64"/>
      <c r="V283" s="56"/>
      <c r="W283" s="56"/>
      <c r="X283" s="56"/>
      <c r="Y283" s="56"/>
      <c r="Z283" s="56"/>
      <c r="AA283" s="56"/>
      <c r="AB283" s="56"/>
      <c r="AC283" s="56"/>
    </row>
    <row r="284" spans="1:29" ht="15.75" customHeight="1">
      <c r="A284" s="39" t="s">
        <v>1400</v>
      </c>
      <c r="B284" s="107">
        <v>43607</v>
      </c>
      <c r="C284" s="107">
        <v>43607</v>
      </c>
      <c r="D284" s="76" t="s">
        <v>522</v>
      </c>
      <c r="E284" s="76" t="s">
        <v>522</v>
      </c>
      <c r="F284" s="24" t="s">
        <v>524</v>
      </c>
      <c r="G284" s="399">
        <f>IFERROR(VLOOKUP(A284,醫療院所DATABASE!A:B,2,""),)</f>
        <v>0</v>
      </c>
      <c r="H284" s="64"/>
      <c r="I284" s="109">
        <v>43601</v>
      </c>
      <c r="J284" s="109">
        <v>43607</v>
      </c>
      <c r="K284" s="39" t="s">
        <v>1401</v>
      </c>
      <c r="L284" s="76" t="s">
        <v>1402</v>
      </c>
      <c r="M284" s="49" t="s">
        <v>61</v>
      </c>
      <c r="N284" s="39" t="s">
        <v>51</v>
      </c>
      <c r="O284" s="56"/>
      <c r="P284" s="409" t="s">
        <v>1403</v>
      </c>
      <c r="Q284" s="76" t="s">
        <v>64</v>
      </c>
      <c r="R284" s="64"/>
      <c r="S284" s="24"/>
      <c r="T284" s="24"/>
      <c r="U284" s="64"/>
      <c r="V284" s="56"/>
      <c r="W284" s="56"/>
      <c r="X284" s="56"/>
      <c r="Y284" s="56"/>
      <c r="Z284" s="56"/>
      <c r="AA284" s="56"/>
      <c r="AB284" s="56"/>
      <c r="AC284" s="56"/>
    </row>
    <row r="285" spans="1:29" ht="15.75" customHeight="1">
      <c r="A285" s="39">
        <v>19051002</v>
      </c>
      <c r="B285" s="107">
        <v>43607</v>
      </c>
      <c r="C285" s="39">
        <v>20190521</v>
      </c>
      <c r="D285" s="76" t="s">
        <v>1404</v>
      </c>
      <c r="E285" s="76" t="s">
        <v>53</v>
      </c>
      <c r="F285" s="129" t="s">
        <v>353</v>
      </c>
      <c r="G285" s="399">
        <f>IFERROR(VLOOKUP(A285,醫療院所DATABASE!A:B,2,""),)</f>
        <v>0</v>
      </c>
      <c r="H285" s="64"/>
      <c r="I285" s="109">
        <v>43601</v>
      </c>
      <c r="J285" s="109">
        <v>43607</v>
      </c>
      <c r="K285" s="39" t="s">
        <v>354</v>
      </c>
      <c r="L285" s="76" t="s">
        <v>355</v>
      </c>
      <c r="M285" s="49" t="s">
        <v>61</v>
      </c>
      <c r="N285" s="39" t="s">
        <v>62</v>
      </c>
      <c r="O285" s="56"/>
      <c r="P285" s="409" t="s">
        <v>1405</v>
      </c>
      <c r="Q285" s="76" t="s">
        <v>64</v>
      </c>
      <c r="R285" s="64"/>
      <c r="S285" s="24"/>
      <c r="T285" s="24"/>
      <c r="U285" s="64"/>
      <c r="V285" s="56"/>
      <c r="W285" s="56"/>
      <c r="X285" s="56"/>
      <c r="Y285" s="56"/>
      <c r="Z285" s="56"/>
      <c r="AA285" s="56"/>
      <c r="AB285" s="56"/>
      <c r="AC285" s="56"/>
    </row>
    <row r="286" spans="1:29" ht="15.75" customHeight="1">
      <c r="A286" s="39">
        <v>19051304</v>
      </c>
      <c r="B286" s="107">
        <v>43607</v>
      </c>
      <c r="C286" s="109">
        <v>43608</v>
      </c>
      <c r="D286" s="76" t="s">
        <v>1029</v>
      </c>
      <c r="E286" s="76" t="s">
        <v>188</v>
      </c>
      <c r="F286" s="129" t="s">
        <v>353</v>
      </c>
      <c r="G286" s="399">
        <f>IFERROR(VLOOKUP(A286,醫療院所DATABASE!A:B,2,""),)</f>
        <v>0</v>
      </c>
      <c r="H286" s="64"/>
      <c r="I286" s="109">
        <v>43601</v>
      </c>
      <c r="J286" s="109">
        <v>43607</v>
      </c>
      <c r="K286" s="39" t="s">
        <v>1406</v>
      </c>
      <c r="L286" s="76" t="s">
        <v>1407</v>
      </c>
      <c r="M286" s="49" t="s">
        <v>61</v>
      </c>
      <c r="N286" s="39" t="s">
        <v>62</v>
      </c>
      <c r="O286" s="56"/>
      <c r="P286" s="409" t="s">
        <v>1408</v>
      </c>
      <c r="Q286" s="76" t="s">
        <v>64</v>
      </c>
      <c r="R286" s="64"/>
      <c r="S286" s="24"/>
      <c r="T286" s="24"/>
      <c r="U286" s="64"/>
      <c r="V286" s="56"/>
      <c r="W286" s="56"/>
      <c r="X286" s="56"/>
      <c r="Y286" s="56"/>
      <c r="Z286" s="56"/>
      <c r="AA286" s="56"/>
      <c r="AB286" s="56"/>
      <c r="AC286" s="56"/>
    </row>
    <row r="287" spans="1:29" ht="15.75" customHeight="1">
      <c r="A287" s="39">
        <v>19051502</v>
      </c>
      <c r="B287" s="107">
        <v>43608</v>
      </c>
      <c r="C287" s="39">
        <v>20190523</v>
      </c>
      <c r="D287" s="76" t="s">
        <v>1029</v>
      </c>
      <c r="E287" s="76" t="s">
        <v>53</v>
      </c>
      <c r="F287" s="129" t="s">
        <v>353</v>
      </c>
      <c r="G287" s="399">
        <f>IFERROR(VLOOKUP(A287,醫療院所DATABASE!A:B,2,""),)</f>
        <v>0</v>
      </c>
      <c r="H287" s="64"/>
      <c r="I287" s="109">
        <v>43602</v>
      </c>
      <c r="J287" s="109">
        <v>43608</v>
      </c>
      <c r="K287" s="39" t="s">
        <v>1409</v>
      </c>
      <c r="L287" s="76" t="s">
        <v>1410</v>
      </c>
      <c r="M287" s="49" t="s">
        <v>61</v>
      </c>
      <c r="N287" s="39" t="s">
        <v>62</v>
      </c>
      <c r="O287" s="56"/>
      <c r="P287" s="409" t="s">
        <v>1411</v>
      </c>
      <c r="Q287" s="76" t="s">
        <v>64</v>
      </c>
      <c r="R287" s="64"/>
      <c r="S287" s="24"/>
      <c r="T287" s="24"/>
      <c r="U287" s="64"/>
      <c r="V287" s="56"/>
      <c r="W287" s="56"/>
      <c r="X287" s="56"/>
      <c r="Y287" s="56"/>
      <c r="Z287" s="56"/>
      <c r="AA287" s="56"/>
      <c r="AB287" s="56"/>
      <c r="AC287" s="56"/>
    </row>
    <row r="288" spans="1:29" ht="15.75" customHeight="1">
      <c r="A288" s="39">
        <v>19051501</v>
      </c>
      <c r="B288" s="107">
        <v>43608</v>
      </c>
      <c r="C288" s="109">
        <v>43612</v>
      </c>
      <c r="D288" s="76" t="s">
        <v>1029</v>
      </c>
      <c r="E288" s="76" t="s">
        <v>188</v>
      </c>
      <c r="F288" s="129" t="s">
        <v>353</v>
      </c>
      <c r="G288" s="399">
        <f>IFERROR(VLOOKUP(A288,醫療院所DATABASE!A:B,2,""),)</f>
        <v>0</v>
      </c>
      <c r="H288" s="64"/>
      <c r="I288" s="109">
        <v>43602</v>
      </c>
      <c r="J288" s="109">
        <v>43608</v>
      </c>
      <c r="K288" s="39" t="s">
        <v>1412</v>
      </c>
      <c r="L288" s="76" t="s">
        <v>1413</v>
      </c>
      <c r="M288" s="49" t="s">
        <v>61</v>
      </c>
      <c r="N288" s="39" t="s">
        <v>51</v>
      </c>
      <c r="O288" s="56"/>
      <c r="P288" s="409" t="s">
        <v>1414</v>
      </c>
      <c r="Q288" s="76" t="s">
        <v>64</v>
      </c>
      <c r="R288" s="64"/>
      <c r="S288" s="24"/>
      <c r="T288" s="24"/>
      <c r="U288" s="64"/>
      <c r="V288" s="56"/>
      <c r="W288" s="56"/>
      <c r="X288" s="56"/>
      <c r="Y288" s="56"/>
      <c r="Z288" s="56"/>
      <c r="AA288" s="56"/>
      <c r="AB288" s="56"/>
      <c r="AC288" s="56"/>
    </row>
    <row r="289" spans="1:29" ht="15.75" customHeight="1">
      <c r="A289" s="39">
        <v>19051504</v>
      </c>
      <c r="B289" s="107">
        <v>43608</v>
      </c>
      <c r="C289" s="39">
        <v>20190523</v>
      </c>
      <c r="D289" s="76" t="s">
        <v>1415</v>
      </c>
      <c r="E289" s="76" t="s">
        <v>53</v>
      </c>
      <c r="F289" s="129" t="s">
        <v>353</v>
      </c>
      <c r="G289" s="399">
        <f>IFERROR(VLOOKUP(A289,醫療院所DATABASE!A:B,2,""),)</f>
        <v>0</v>
      </c>
      <c r="H289" s="64"/>
      <c r="I289" s="109">
        <v>43602</v>
      </c>
      <c r="J289" s="109">
        <v>43608</v>
      </c>
      <c r="K289" s="39" t="s">
        <v>1416</v>
      </c>
      <c r="L289" s="76" t="s">
        <v>1417</v>
      </c>
      <c r="M289" s="85" t="s">
        <v>579</v>
      </c>
      <c r="N289" s="39" t="s">
        <v>62</v>
      </c>
      <c r="O289" s="56"/>
      <c r="P289" s="409" t="s">
        <v>1418</v>
      </c>
      <c r="Q289" s="76" t="s">
        <v>64</v>
      </c>
      <c r="R289" s="64"/>
      <c r="S289" s="24"/>
      <c r="T289" s="24"/>
      <c r="U289" s="64"/>
      <c r="V289" s="56"/>
      <c r="W289" s="56"/>
      <c r="X289" s="56"/>
      <c r="Y289" s="56"/>
      <c r="Z289" s="56"/>
      <c r="AA289" s="56"/>
      <c r="AB289" s="56"/>
      <c r="AC289" s="56"/>
    </row>
    <row r="290" spans="1:29" ht="15.75" customHeight="1">
      <c r="A290" s="39" t="s">
        <v>421</v>
      </c>
      <c r="B290" s="107">
        <v>43608</v>
      </c>
      <c r="C290" s="109">
        <v>43612</v>
      </c>
      <c r="D290" s="76" t="s">
        <v>188</v>
      </c>
      <c r="E290" s="76" t="s">
        <v>188</v>
      </c>
      <c r="F290" s="141" t="s">
        <v>975</v>
      </c>
      <c r="G290" s="399">
        <f>IFERROR(VLOOKUP(A290,醫療院所DATABASE!A:B,2,""),)</f>
        <v>0</v>
      </c>
      <c r="H290" s="64"/>
      <c r="I290" s="109">
        <v>43602</v>
      </c>
      <c r="J290" s="109">
        <v>43608</v>
      </c>
      <c r="K290" s="39" t="s">
        <v>1419</v>
      </c>
      <c r="L290" s="76" t="s">
        <v>1420</v>
      </c>
      <c r="M290" s="49" t="s">
        <v>61</v>
      </c>
      <c r="N290" s="39" t="s">
        <v>62</v>
      </c>
      <c r="O290" s="56"/>
      <c r="P290" s="409" t="s">
        <v>1421</v>
      </c>
      <c r="Q290" s="76" t="s">
        <v>64</v>
      </c>
      <c r="R290" s="64"/>
      <c r="S290" s="24"/>
      <c r="T290" s="24"/>
      <c r="U290" s="64"/>
      <c r="V290" s="56"/>
      <c r="W290" s="56"/>
      <c r="X290" s="56"/>
      <c r="Y290" s="56"/>
      <c r="Z290" s="56"/>
      <c r="AA290" s="56"/>
      <c r="AB290" s="56"/>
      <c r="AC290" s="56"/>
    </row>
    <row r="291" spans="1:29" ht="15.75" customHeight="1">
      <c r="A291" s="39" t="s">
        <v>1422</v>
      </c>
      <c r="B291" s="107">
        <v>43608</v>
      </c>
      <c r="C291" s="39">
        <v>20190523</v>
      </c>
      <c r="D291" s="76" t="s">
        <v>366</v>
      </c>
      <c r="E291" s="76" t="s">
        <v>53</v>
      </c>
      <c r="F291" s="141" t="s">
        <v>1423</v>
      </c>
      <c r="G291" s="399">
        <f>IFERROR(VLOOKUP(A291,醫療院所DATABASE!A:B,2,""),)</f>
        <v>0</v>
      </c>
      <c r="H291" s="64"/>
      <c r="I291" s="109">
        <v>43602</v>
      </c>
      <c r="J291" s="109">
        <v>43608</v>
      </c>
      <c r="K291" s="39" t="s">
        <v>1424</v>
      </c>
      <c r="L291" s="76" t="s">
        <v>1425</v>
      </c>
      <c r="M291" s="49" t="s">
        <v>61</v>
      </c>
      <c r="N291" s="39" t="s">
        <v>62</v>
      </c>
      <c r="O291" s="56"/>
      <c r="P291" s="409" t="s">
        <v>1426</v>
      </c>
      <c r="Q291" s="76" t="s">
        <v>64</v>
      </c>
      <c r="R291" s="64"/>
      <c r="S291" s="24"/>
      <c r="T291" s="24"/>
      <c r="U291" s="64"/>
      <c r="V291" s="56"/>
      <c r="W291" s="56"/>
      <c r="X291" s="56"/>
      <c r="Y291" s="56"/>
      <c r="Z291" s="56"/>
      <c r="AA291" s="56"/>
      <c r="AB291" s="56"/>
      <c r="AC291" s="56"/>
    </row>
    <row r="292" spans="1:29" ht="15.75" customHeight="1">
      <c r="A292" s="39" t="s">
        <v>1422</v>
      </c>
      <c r="B292" s="107">
        <v>43608</v>
      </c>
      <c r="C292" s="39">
        <v>20190523</v>
      </c>
      <c r="D292" s="76" t="s">
        <v>366</v>
      </c>
      <c r="E292" s="76" t="s">
        <v>53</v>
      </c>
      <c r="F292" s="141" t="s">
        <v>1423</v>
      </c>
      <c r="G292" s="399">
        <f>IFERROR(VLOOKUP(A292,醫療院所DATABASE!A:B,2,""),)</f>
        <v>0</v>
      </c>
      <c r="H292" s="64"/>
      <c r="I292" s="109">
        <v>43602</v>
      </c>
      <c r="J292" s="109">
        <v>43608</v>
      </c>
      <c r="K292" s="39" t="s">
        <v>1428</v>
      </c>
      <c r="L292" s="76" t="s">
        <v>1429</v>
      </c>
      <c r="M292" s="49" t="s">
        <v>61</v>
      </c>
      <c r="N292" s="39" t="s">
        <v>51</v>
      </c>
      <c r="O292" s="56"/>
      <c r="P292" s="409" t="s">
        <v>1431</v>
      </c>
      <c r="Q292" s="76" t="s">
        <v>64</v>
      </c>
      <c r="R292" s="64"/>
      <c r="S292" s="24"/>
      <c r="T292" s="24"/>
      <c r="U292" s="64"/>
      <c r="V292" s="56"/>
      <c r="W292" s="56"/>
      <c r="X292" s="56"/>
      <c r="Y292" s="56"/>
      <c r="Z292" s="56"/>
      <c r="AA292" s="56"/>
      <c r="AB292" s="56"/>
      <c r="AC292" s="56"/>
    </row>
    <row r="293" spans="1:29" ht="15.75" customHeight="1">
      <c r="A293" s="39" t="s">
        <v>1422</v>
      </c>
      <c r="B293" s="107">
        <v>43608</v>
      </c>
      <c r="C293" s="109">
        <v>43612</v>
      </c>
      <c r="D293" s="76" t="s">
        <v>366</v>
      </c>
      <c r="E293" s="76" t="s">
        <v>188</v>
      </c>
      <c r="F293" s="141" t="s">
        <v>1423</v>
      </c>
      <c r="G293" s="399">
        <f>IFERROR(VLOOKUP(A293,醫療院所DATABASE!A:B,2,""),)</f>
        <v>0</v>
      </c>
      <c r="H293" s="64"/>
      <c r="I293" s="109">
        <v>43602</v>
      </c>
      <c r="J293" s="109">
        <v>43608</v>
      </c>
      <c r="K293" s="39" t="s">
        <v>1432</v>
      </c>
      <c r="L293" s="76" t="s">
        <v>1433</v>
      </c>
      <c r="M293" s="49" t="s">
        <v>61</v>
      </c>
      <c r="N293" s="39" t="s">
        <v>62</v>
      </c>
      <c r="O293" s="56"/>
      <c r="P293" s="409" t="s">
        <v>1434</v>
      </c>
      <c r="Q293" s="76" t="s">
        <v>64</v>
      </c>
      <c r="R293" s="64"/>
      <c r="S293" s="24"/>
      <c r="T293" s="24"/>
      <c r="U293" s="64"/>
      <c r="V293" s="56"/>
      <c r="W293" s="56"/>
      <c r="X293" s="56"/>
      <c r="Y293" s="56"/>
      <c r="Z293" s="56"/>
      <c r="AA293" s="56"/>
      <c r="AB293" s="56"/>
      <c r="AC293" s="56"/>
    </row>
    <row r="294" spans="1:29" ht="15.75" customHeight="1">
      <c r="A294" s="39" t="s">
        <v>1422</v>
      </c>
      <c r="B294" s="107">
        <v>43608</v>
      </c>
      <c r="C294" s="109">
        <v>43612</v>
      </c>
      <c r="D294" s="76" t="s">
        <v>366</v>
      </c>
      <c r="E294" s="76" t="s">
        <v>188</v>
      </c>
      <c r="F294" s="141" t="s">
        <v>1423</v>
      </c>
      <c r="G294" s="399">
        <f>IFERROR(VLOOKUP(A294,醫療院所DATABASE!A:B,2,""),)</f>
        <v>0</v>
      </c>
      <c r="H294" s="64"/>
      <c r="I294" s="109">
        <v>43602</v>
      </c>
      <c r="J294" s="109">
        <v>43608</v>
      </c>
      <c r="K294" s="39" t="s">
        <v>1435</v>
      </c>
      <c r="L294" s="76" t="s">
        <v>1436</v>
      </c>
      <c r="M294" s="49" t="s">
        <v>61</v>
      </c>
      <c r="N294" s="39" t="s">
        <v>51</v>
      </c>
      <c r="O294" s="56"/>
      <c r="P294" s="409" t="s">
        <v>1437</v>
      </c>
      <c r="Q294" s="76" t="s">
        <v>64</v>
      </c>
      <c r="R294" s="64"/>
      <c r="S294" s="24"/>
      <c r="T294" s="24"/>
      <c r="U294" s="64"/>
      <c r="V294" s="56"/>
      <c r="W294" s="56"/>
      <c r="X294" s="56"/>
      <c r="Y294" s="56"/>
      <c r="Z294" s="56"/>
      <c r="AA294" s="56"/>
      <c r="AB294" s="56"/>
      <c r="AC294" s="56"/>
    </row>
    <row r="295" spans="1:29" ht="15.75" customHeight="1">
      <c r="A295" s="39" t="s">
        <v>1422</v>
      </c>
      <c r="B295" s="107">
        <v>43608</v>
      </c>
      <c r="C295" s="39">
        <v>20190523</v>
      </c>
      <c r="D295" s="76" t="s">
        <v>366</v>
      </c>
      <c r="E295" s="76" t="s">
        <v>53</v>
      </c>
      <c r="F295" s="141" t="s">
        <v>1423</v>
      </c>
      <c r="G295" s="399">
        <f>IFERROR(VLOOKUP(A295,醫療院所DATABASE!A:B,2,""),)</f>
        <v>0</v>
      </c>
      <c r="H295" s="64"/>
      <c r="I295" s="109">
        <v>43602</v>
      </c>
      <c r="J295" s="109">
        <v>43608</v>
      </c>
      <c r="K295" s="39" t="s">
        <v>1438</v>
      </c>
      <c r="L295" s="76" t="s">
        <v>1439</v>
      </c>
      <c r="M295" s="49" t="s">
        <v>61</v>
      </c>
      <c r="N295" s="39" t="s">
        <v>51</v>
      </c>
      <c r="O295" s="56"/>
      <c r="P295" s="409" t="s">
        <v>1440</v>
      </c>
      <c r="Q295" s="76" t="s">
        <v>64</v>
      </c>
      <c r="R295" s="64"/>
      <c r="S295" s="24"/>
      <c r="T295" s="24"/>
      <c r="U295" s="64"/>
      <c r="V295" s="56"/>
      <c r="W295" s="56"/>
      <c r="X295" s="56"/>
      <c r="Y295" s="56"/>
      <c r="Z295" s="56"/>
      <c r="AA295" s="56"/>
      <c r="AB295" s="56"/>
      <c r="AC295" s="56"/>
    </row>
    <row r="296" spans="1:29" ht="15.75" customHeight="1">
      <c r="A296" s="39" t="s">
        <v>1422</v>
      </c>
      <c r="B296" s="107">
        <v>43608</v>
      </c>
      <c r="C296" s="109">
        <v>43612</v>
      </c>
      <c r="D296" s="76" t="s">
        <v>366</v>
      </c>
      <c r="E296" s="76" t="s">
        <v>188</v>
      </c>
      <c r="F296" s="141" t="s">
        <v>1423</v>
      </c>
      <c r="G296" s="399">
        <f>IFERROR(VLOOKUP(A296,醫療院所DATABASE!A:B,2,""),)</f>
        <v>0</v>
      </c>
      <c r="H296" s="64"/>
      <c r="I296" s="109">
        <v>43602</v>
      </c>
      <c r="J296" s="109">
        <v>43608</v>
      </c>
      <c r="K296" s="39" t="s">
        <v>1441</v>
      </c>
      <c r="L296" s="76" t="s">
        <v>1442</v>
      </c>
      <c r="M296" s="49" t="s">
        <v>61</v>
      </c>
      <c r="N296" s="39" t="s">
        <v>62</v>
      </c>
      <c r="O296" s="56"/>
      <c r="P296" s="409" t="s">
        <v>1443</v>
      </c>
      <c r="Q296" s="76" t="s">
        <v>64</v>
      </c>
      <c r="R296" s="64"/>
      <c r="S296" s="24"/>
      <c r="T296" s="24"/>
      <c r="U296" s="64"/>
      <c r="V296" s="56"/>
      <c r="W296" s="56"/>
      <c r="X296" s="56"/>
      <c r="Y296" s="56"/>
      <c r="Z296" s="56"/>
      <c r="AA296" s="56"/>
      <c r="AB296" s="56"/>
      <c r="AC296" s="56"/>
    </row>
    <row r="297" spans="1:29" ht="15.75" customHeight="1">
      <c r="A297" s="39" t="s">
        <v>1422</v>
      </c>
      <c r="B297" s="107">
        <v>43608</v>
      </c>
      <c r="C297" s="39">
        <v>20190523</v>
      </c>
      <c r="D297" s="76" t="s">
        <v>366</v>
      </c>
      <c r="E297" s="76" t="s">
        <v>53</v>
      </c>
      <c r="F297" s="141" t="s">
        <v>1423</v>
      </c>
      <c r="G297" s="399">
        <f>IFERROR(VLOOKUP(A297,醫療院所DATABASE!A:B,2,""),)</f>
        <v>0</v>
      </c>
      <c r="H297" s="64"/>
      <c r="I297" s="109">
        <v>43602</v>
      </c>
      <c r="J297" s="109">
        <v>43608</v>
      </c>
      <c r="K297" s="39" t="s">
        <v>1444</v>
      </c>
      <c r="L297" s="76" t="s">
        <v>1445</v>
      </c>
      <c r="M297" s="49" t="s">
        <v>61</v>
      </c>
      <c r="N297" s="39" t="s">
        <v>62</v>
      </c>
      <c r="O297" s="56"/>
      <c r="P297" s="409" t="s">
        <v>1446</v>
      </c>
      <c r="Q297" s="76" t="s">
        <v>64</v>
      </c>
      <c r="R297" s="64"/>
      <c r="S297" s="24"/>
      <c r="T297" s="24"/>
      <c r="U297" s="64"/>
      <c r="V297" s="56"/>
      <c r="W297" s="56"/>
      <c r="X297" s="56"/>
      <c r="Y297" s="56"/>
      <c r="Z297" s="56"/>
      <c r="AA297" s="56"/>
      <c r="AB297" s="56"/>
      <c r="AC297" s="56"/>
    </row>
    <row r="298" spans="1:29" ht="15.75" customHeight="1">
      <c r="A298" s="39" t="s">
        <v>1422</v>
      </c>
      <c r="B298" s="107">
        <v>43608</v>
      </c>
      <c r="C298" s="39">
        <v>20190523</v>
      </c>
      <c r="D298" s="76" t="s">
        <v>366</v>
      </c>
      <c r="E298" s="76" t="s">
        <v>53</v>
      </c>
      <c r="F298" s="141" t="s">
        <v>1423</v>
      </c>
      <c r="G298" s="399">
        <f>IFERROR(VLOOKUP(A298,醫療院所DATABASE!A:B,2,""),)</f>
        <v>0</v>
      </c>
      <c r="H298" s="64"/>
      <c r="I298" s="109">
        <v>43602</v>
      </c>
      <c r="J298" s="109">
        <v>43608</v>
      </c>
      <c r="K298" s="39" t="s">
        <v>1447</v>
      </c>
      <c r="L298" s="76" t="s">
        <v>1448</v>
      </c>
      <c r="M298" s="49" t="s">
        <v>61</v>
      </c>
      <c r="N298" s="39" t="s">
        <v>62</v>
      </c>
      <c r="O298" s="56"/>
      <c r="P298" s="409" t="s">
        <v>1449</v>
      </c>
      <c r="Q298" s="76" t="s">
        <v>64</v>
      </c>
      <c r="R298" s="64"/>
      <c r="S298" s="24"/>
      <c r="T298" s="24"/>
      <c r="U298" s="64"/>
      <c r="V298" s="56"/>
      <c r="W298" s="56"/>
      <c r="X298" s="56"/>
      <c r="Y298" s="56"/>
      <c r="Z298" s="56"/>
      <c r="AA298" s="56"/>
      <c r="AB298" s="56"/>
      <c r="AC298" s="56"/>
    </row>
    <row r="299" spans="1:29" ht="15.75" customHeight="1">
      <c r="A299" s="39" t="s">
        <v>1422</v>
      </c>
      <c r="B299" s="107">
        <v>43608</v>
      </c>
      <c r="C299" s="109">
        <v>43612</v>
      </c>
      <c r="D299" s="76" t="s">
        <v>366</v>
      </c>
      <c r="E299" s="76" t="s">
        <v>188</v>
      </c>
      <c r="F299" s="141" t="s">
        <v>1423</v>
      </c>
      <c r="G299" s="399">
        <f>IFERROR(VLOOKUP(A299,醫療院所DATABASE!A:B,2,""),)</f>
        <v>0</v>
      </c>
      <c r="H299" s="64"/>
      <c r="I299" s="109">
        <v>43602</v>
      </c>
      <c r="J299" s="109">
        <v>43608</v>
      </c>
      <c r="K299" s="39" t="s">
        <v>1450</v>
      </c>
      <c r="L299" s="76" t="s">
        <v>1451</v>
      </c>
      <c r="M299" s="49" t="s">
        <v>61</v>
      </c>
      <c r="N299" s="39" t="s">
        <v>62</v>
      </c>
      <c r="O299" s="56"/>
      <c r="P299" s="409" t="s">
        <v>1452</v>
      </c>
      <c r="Q299" s="76" t="s">
        <v>64</v>
      </c>
      <c r="R299" s="64"/>
      <c r="S299" s="24"/>
      <c r="T299" s="24"/>
      <c r="U299" s="64"/>
      <c r="V299" s="56"/>
      <c r="W299" s="56"/>
      <c r="X299" s="56"/>
      <c r="Y299" s="56"/>
      <c r="Z299" s="56"/>
      <c r="AA299" s="56"/>
      <c r="AB299" s="56"/>
      <c r="AC299" s="56"/>
    </row>
    <row r="300" spans="1:29" ht="15.75" customHeight="1">
      <c r="A300" s="39" t="s">
        <v>1422</v>
      </c>
      <c r="B300" s="107">
        <v>43608</v>
      </c>
      <c r="C300" s="39">
        <v>20190523</v>
      </c>
      <c r="D300" s="76" t="s">
        <v>366</v>
      </c>
      <c r="E300" s="76" t="s">
        <v>53</v>
      </c>
      <c r="F300" s="141" t="s">
        <v>1423</v>
      </c>
      <c r="G300" s="399">
        <f>IFERROR(VLOOKUP(A300,醫療院所DATABASE!A:B,2,""),)</f>
        <v>0</v>
      </c>
      <c r="H300" s="64"/>
      <c r="I300" s="109">
        <v>43602</v>
      </c>
      <c r="J300" s="109">
        <v>43608</v>
      </c>
      <c r="K300" s="39" t="s">
        <v>1453</v>
      </c>
      <c r="L300" s="76" t="s">
        <v>1454</v>
      </c>
      <c r="M300" s="49" t="s">
        <v>61</v>
      </c>
      <c r="N300" s="39" t="s">
        <v>62</v>
      </c>
      <c r="O300" s="56"/>
      <c r="P300" s="409" t="s">
        <v>1455</v>
      </c>
      <c r="Q300" s="76" t="s">
        <v>64</v>
      </c>
      <c r="R300" s="64"/>
      <c r="S300" s="24"/>
      <c r="T300" s="24"/>
      <c r="U300" s="64"/>
      <c r="V300" s="56"/>
      <c r="W300" s="56"/>
      <c r="X300" s="56"/>
      <c r="Y300" s="56"/>
      <c r="Z300" s="56"/>
      <c r="AA300" s="56"/>
      <c r="AB300" s="56"/>
      <c r="AC300" s="56"/>
    </row>
    <row r="301" spans="1:29" ht="15.75" customHeight="1">
      <c r="A301" s="39" t="s">
        <v>1422</v>
      </c>
      <c r="B301" s="107">
        <v>43608</v>
      </c>
      <c r="C301" s="39">
        <v>20190523</v>
      </c>
      <c r="D301" s="76" t="s">
        <v>366</v>
      </c>
      <c r="E301" s="76" t="s">
        <v>53</v>
      </c>
      <c r="F301" s="141" t="s">
        <v>1423</v>
      </c>
      <c r="G301" s="399">
        <f>IFERROR(VLOOKUP(A301,醫療院所DATABASE!A:B,2,""),)</f>
        <v>0</v>
      </c>
      <c r="H301" s="64"/>
      <c r="I301" s="109">
        <v>43602</v>
      </c>
      <c r="J301" s="109">
        <v>43608</v>
      </c>
      <c r="K301" s="39" t="s">
        <v>1456</v>
      </c>
      <c r="L301" s="76" t="s">
        <v>1457</v>
      </c>
      <c r="M301" s="49" t="s">
        <v>61</v>
      </c>
      <c r="N301" s="39" t="s">
        <v>62</v>
      </c>
      <c r="O301" s="56"/>
      <c r="P301" s="409" t="s">
        <v>1458</v>
      </c>
      <c r="Q301" s="76" t="s">
        <v>64</v>
      </c>
      <c r="R301" s="64"/>
      <c r="S301" s="24"/>
      <c r="T301" s="24"/>
      <c r="U301" s="64"/>
      <c r="V301" s="56"/>
      <c r="W301" s="56"/>
      <c r="X301" s="56"/>
      <c r="Y301" s="56"/>
      <c r="Z301" s="56"/>
      <c r="AA301" s="56"/>
      <c r="AB301" s="56"/>
      <c r="AC301" s="56"/>
    </row>
    <row r="302" spans="1:29" ht="15.75" customHeight="1">
      <c r="A302" s="39" t="s">
        <v>1422</v>
      </c>
      <c r="B302" s="107">
        <v>43608</v>
      </c>
      <c r="C302" s="109">
        <v>43612</v>
      </c>
      <c r="D302" s="76" t="s">
        <v>366</v>
      </c>
      <c r="E302" s="76" t="s">
        <v>188</v>
      </c>
      <c r="F302" s="141" t="s">
        <v>1423</v>
      </c>
      <c r="G302" s="399">
        <f>IFERROR(VLOOKUP(A302,醫療院所DATABASE!A:B,2,""),)</f>
        <v>0</v>
      </c>
      <c r="H302" s="64"/>
      <c r="I302" s="109">
        <v>43602</v>
      </c>
      <c r="J302" s="109">
        <v>43608</v>
      </c>
      <c r="K302" s="39" t="s">
        <v>1459</v>
      </c>
      <c r="L302" s="76" t="s">
        <v>1460</v>
      </c>
      <c r="M302" s="49" t="s">
        <v>61</v>
      </c>
      <c r="N302" s="39" t="s">
        <v>62</v>
      </c>
      <c r="O302" s="56"/>
      <c r="P302" s="409" t="s">
        <v>1461</v>
      </c>
      <c r="Q302" s="76" t="s">
        <v>64</v>
      </c>
      <c r="R302" s="64"/>
      <c r="S302" s="24"/>
      <c r="T302" s="24"/>
      <c r="U302" s="64"/>
      <c r="V302" s="56"/>
      <c r="W302" s="56"/>
      <c r="X302" s="56"/>
      <c r="Y302" s="56"/>
      <c r="Z302" s="56"/>
      <c r="AA302" s="56"/>
      <c r="AB302" s="56"/>
      <c r="AC302" s="56"/>
    </row>
    <row r="303" spans="1:29" ht="15.75" customHeight="1">
      <c r="A303" s="39" t="s">
        <v>1422</v>
      </c>
      <c r="B303" s="107">
        <v>43608</v>
      </c>
      <c r="C303" s="109">
        <v>43612</v>
      </c>
      <c r="D303" s="76" t="s">
        <v>366</v>
      </c>
      <c r="E303" s="76" t="s">
        <v>188</v>
      </c>
      <c r="F303" s="141" t="s">
        <v>1423</v>
      </c>
      <c r="G303" s="399">
        <f>IFERROR(VLOOKUP(A303,醫療院所DATABASE!A:B,2,""),)</f>
        <v>0</v>
      </c>
      <c r="H303" s="64"/>
      <c r="I303" s="109">
        <v>43602</v>
      </c>
      <c r="J303" s="109">
        <v>43608</v>
      </c>
      <c r="K303" s="39" t="s">
        <v>1462</v>
      </c>
      <c r="L303" s="76" t="s">
        <v>1463</v>
      </c>
      <c r="M303" s="49" t="s">
        <v>61</v>
      </c>
      <c r="N303" s="39" t="s">
        <v>51</v>
      </c>
      <c r="O303" s="56"/>
      <c r="P303" s="409" t="s">
        <v>1464</v>
      </c>
      <c r="Q303" s="76" t="s">
        <v>64</v>
      </c>
      <c r="R303" s="64"/>
      <c r="S303" s="24"/>
      <c r="T303" s="24"/>
      <c r="U303" s="64"/>
      <c r="V303" s="56"/>
      <c r="W303" s="56"/>
      <c r="X303" s="56"/>
      <c r="Y303" s="56"/>
      <c r="Z303" s="56"/>
      <c r="AA303" s="56"/>
      <c r="AB303" s="56"/>
      <c r="AC303" s="56"/>
    </row>
    <row r="304" spans="1:29" ht="15.75" customHeight="1">
      <c r="A304" s="39" t="s">
        <v>1422</v>
      </c>
      <c r="B304" s="107">
        <v>43608</v>
      </c>
      <c r="C304" s="39">
        <v>20190523</v>
      </c>
      <c r="D304" s="76" t="s">
        <v>366</v>
      </c>
      <c r="E304" s="76" t="s">
        <v>53</v>
      </c>
      <c r="F304" s="141" t="s">
        <v>1423</v>
      </c>
      <c r="G304" s="399">
        <f>IFERROR(VLOOKUP(A304,醫療院所DATABASE!A:B,2,""),)</f>
        <v>0</v>
      </c>
      <c r="H304" s="64"/>
      <c r="I304" s="109">
        <v>43602</v>
      </c>
      <c r="J304" s="109">
        <v>43608</v>
      </c>
      <c r="K304" s="39" t="s">
        <v>1465</v>
      </c>
      <c r="L304" s="76" t="s">
        <v>1466</v>
      </c>
      <c r="M304" s="49" t="s">
        <v>61</v>
      </c>
      <c r="N304" s="39" t="s">
        <v>62</v>
      </c>
      <c r="O304" s="56"/>
      <c r="P304" s="409" t="s">
        <v>1467</v>
      </c>
      <c r="Q304" s="76" t="s">
        <v>64</v>
      </c>
      <c r="R304" s="64"/>
      <c r="S304" s="24"/>
      <c r="T304" s="24"/>
      <c r="U304" s="64"/>
      <c r="V304" s="56"/>
      <c r="W304" s="56"/>
      <c r="X304" s="56"/>
      <c r="Y304" s="56"/>
      <c r="Z304" s="56"/>
      <c r="AA304" s="56"/>
      <c r="AB304" s="56"/>
      <c r="AC304" s="56"/>
    </row>
    <row r="305" spans="1:29" ht="15.75" customHeight="1">
      <c r="A305" s="39" t="s">
        <v>1422</v>
      </c>
      <c r="B305" s="107">
        <v>43608</v>
      </c>
      <c r="C305" s="109">
        <v>43612</v>
      </c>
      <c r="D305" s="76" t="s">
        <v>366</v>
      </c>
      <c r="E305" s="76" t="s">
        <v>188</v>
      </c>
      <c r="F305" s="141" t="s">
        <v>1423</v>
      </c>
      <c r="G305" s="399">
        <f>IFERROR(VLOOKUP(A305,醫療院所DATABASE!A:B,2,""),)</f>
        <v>0</v>
      </c>
      <c r="H305" s="64"/>
      <c r="I305" s="109">
        <v>43602</v>
      </c>
      <c r="J305" s="109">
        <v>43608</v>
      </c>
      <c r="K305" s="39" t="s">
        <v>1468</v>
      </c>
      <c r="L305" s="76" t="s">
        <v>1469</v>
      </c>
      <c r="M305" s="49" t="s">
        <v>61</v>
      </c>
      <c r="N305" s="39" t="s">
        <v>51</v>
      </c>
      <c r="O305" s="56"/>
      <c r="P305" s="409" t="s">
        <v>1470</v>
      </c>
      <c r="Q305" s="76" t="s">
        <v>64</v>
      </c>
      <c r="R305" s="64"/>
      <c r="S305" s="24"/>
      <c r="T305" s="24"/>
      <c r="U305" s="64"/>
      <c r="V305" s="56"/>
      <c r="W305" s="56"/>
      <c r="X305" s="56"/>
      <c r="Y305" s="56"/>
      <c r="Z305" s="56"/>
      <c r="AA305" s="56"/>
      <c r="AB305" s="56"/>
      <c r="AC305" s="56"/>
    </row>
    <row r="306" spans="1:29" ht="15.75" customHeight="1">
      <c r="A306" s="39" t="s">
        <v>1422</v>
      </c>
      <c r="B306" s="107">
        <v>43608</v>
      </c>
      <c r="C306" s="39">
        <v>201960523</v>
      </c>
      <c r="D306" s="76" t="s">
        <v>366</v>
      </c>
      <c r="E306" s="76" t="s">
        <v>53</v>
      </c>
      <c r="F306" s="141" t="s">
        <v>1423</v>
      </c>
      <c r="G306" s="399">
        <f>IFERROR(VLOOKUP(A306,醫療院所DATABASE!A:B,2,""),)</f>
        <v>0</v>
      </c>
      <c r="H306" s="64"/>
      <c r="I306" s="109">
        <v>43602</v>
      </c>
      <c r="J306" s="109">
        <v>43608</v>
      </c>
      <c r="K306" s="39" t="s">
        <v>1471</v>
      </c>
      <c r="L306" s="76" t="s">
        <v>1472</v>
      </c>
      <c r="M306" s="49" t="s">
        <v>61</v>
      </c>
      <c r="N306" s="39" t="s">
        <v>51</v>
      </c>
      <c r="O306" s="56"/>
      <c r="P306" s="409" t="s">
        <v>1473</v>
      </c>
      <c r="Q306" s="76" t="s">
        <v>64</v>
      </c>
      <c r="R306" s="64"/>
      <c r="S306" s="24"/>
      <c r="T306" s="24"/>
      <c r="U306" s="64"/>
      <c r="V306" s="56"/>
      <c r="W306" s="56"/>
      <c r="X306" s="56"/>
      <c r="Y306" s="56"/>
      <c r="Z306" s="56"/>
      <c r="AA306" s="56"/>
      <c r="AB306" s="56"/>
      <c r="AC306" s="56"/>
    </row>
    <row r="307" spans="1:29" ht="15.75" customHeight="1">
      <c r="A307" s="39" t="s">
        <v>1422</v>
      </c>
      <c r="B307" s="107">
        <v>43608</v>
      </c>
      <c r="C307" s="39">
        <v>20190523</v>
      </c>
      <c r="D307" s="76" t="s">
        <v>366</v>
      </c>
      <c r="E307" s="76" t="s">
        <v>53</v>
      </c>
      <c r="F307" s="141" t="s">
        <v>1423</v>
      </c>
      <c r="G307" s="399">
        <f>IFERROR(VLOOKUP(A307,醫療院所DATABASE!A:B,2,""),)</f>
        <v>0</v>
      </c>
      <c r="H307" s="64"/>
      <c r="I307" s="109">
        <v>43602</v>
      </c>
      <c r="J307" s="109">
        <v>43608</v>
      </c>
      <c r="K307" s="39" t="s">
        <v>1474</v>
      </c>
      <c r="L307" s="76" t="s">
        <v>1475</v>
      </c>
      <c r="M307" s="49" t="s">
        <v>61</v>
      </c>
      <c r="N307" s="39" t="s">
        <v>51</v>
      </c>
      <c r="O307" s="56"/>
      <c r="P307" s="409" t="s">
        <v>1476</v>
      </c>
      <c r="Q307" s="76" t="s">
        <v>64</v>
      </c>
      <c r="R307" s="64"/>
      <c r="S307" s="24"/>
      <c r="T307" s="24"/>
      <c r="U307" s="64"/>
      <c r="V307" s="56"/>
      <c r="W307" s="56"/>
      <c r="X307" s="56"/>
      <c r="Y307" s="56"/>
      <c r="Z307" s="56"/>
      <c r="AA307" s="56"/>
      <c r="AB307" s="56"/>
      <c r="AC307" s="56"/>
    </row>
    <row r="308" spans="1:29" ht="15.75" customHeight="1">
      <c r="A308" s="39" t="s">
        <v>1422</v>
      </c>
      <c r="B308" s="107">
        <v>43608</v>
      </c>
      <c r="C308" s="109">
        <v>43612</v>
      </c>
      <c r="D308" s="76" t="s">
        <v>366</v>
      </c>
      <c r="E308" s="76" t="s">
        <v>188</v>
      </c>
      <c r="F308" s="141" t="s">
        <v>1423</v>
      </c>
      <c r="G308" s="399">
        <f>IFERROR(VLOOKUP(A308,醫療院所DATABASE!A:B,2,""),)</f>
        <v>0</v>
      </c>
      <c r="H308" s="64"/>
      <c r="I308" s="109">
        <v>43602</v>
      </c>
      <c r="J308" s="109">
        <v>43608</v>
      </c>
      <c r="K308" s="39" t="s">
        <v>1477</v>
      </c>
      <c r="L308" s="76" t="s">
        <v>1478</v>
      </c>
      <c r="M308" s="49" t="s">
        <v>61</v>
      </c>
      <c r="N308" s="39" t="s">
        <v>62</v>
      </c>
      <c r="O308" s="56"/>
      <c r="P308" s="409" t="s">
        <v>1479</v>
      </c>
      <c r="Q308" s="76" t="s">
        <v>64</v>
      </c>
      <c r="R308" s="64"/>
      <c r="S308" s="24"/>
      <c r="T308" s="24"/>
      <c r="U308" s="64"/>
      <c r="V308" s="56"/>
      <c r="W308" s="56"/>
      <c r="X308" s="56"/>
      <c r="Y308" s="56"/>
      <c r="Z308" s="56"/>
      <c r="AA308" s="56"/>
      <c r="AB308" s="56"/>
      <c r="AC308" s="56"/>
    </row>
    <row r="309" spans="1:29" ht="15.75" customHeight="1">
      <c r="A309" s="39" t="s">
        <v>1422</v>
      </c>
      <c r="B309" s="107">
        <v>43608</v>
      </c>
      <c r="C309" s="109">
        <v>43612</v>
      </c>
      <c r="D309" s="76" t="s">
        <v>366</v>
      </c>
      <c r="E309" s="76" t="s">
        <v>188</v>
      </c>
      <c r="F309" s="141" t="s">
        <v>1423</v>
      </c>
      <c r="G309" s="399">
        <f>IFERROR(VLOOKUP(A309,醫療院所DATABASE!A:B,2,""),)</f>
        <v>0</v>
      </c>
      <c r="H309" s="64"/>
      <c r="I309" s="109">
        <v>43602</v>
      </c>
      <c r="J309" s="109">
        <v>43608</v>
      </c>
      <c r="K309" s="39" t="s">
        <v>1480</v>
      </c>
      <c r="L309" s="76" t="s">
        <v>1481</v>
      </c>
      <c r="M309" s="49" t="s">
        <v>61</v>
      </c>
      <c r="N309" s="39" t="s">
        <v>62</v>
      </c>
      <c r="O309" s="56"/>
      <c r="P309" s="409" t="s">
        <v>1482</v>
      </c>
      <c r="Q309" s="76" t="s">
        <v>64</v>
      </c>
      <c r="R309" s="64"/>
      <c r="S309" s="24"/>
      <c r="T309" s="24"/>
      <c r="U309" s="64"/>
      <c r="V309" s="56"/>
      <c r="W309" s="56"/>
      <c r="X309" s="56"/>
      <c r="Y309" s="56"/>
      <c r="Z309" s="56"/>
      <c r="AA309" s="56"/>
      <c r="AB309" s="56"/>
      <c r="AC309" s="56"/>
    </row>
    <row r="310" spans="1:29" ht="15.75" customHeight="1">
      <c r="A310" s="39" t="s">
        <v>1422</v>
      </c>
      <c r="B310" s="107">
        <v>43608</v>
      </c>
      <c r="C310" s="39">
        <v>20190523</v>
      </c>
      <c r="D310" s="76" t="s">
        <v>366</v>
      </c>
      <c r="E310" s="76" t="s">
        <v>53</v>
      </c>
      <c r="F310" s="141" t="s">
        <v>1423</v>
      </c>
      <c r="G310" s="399">
        <f>IFERROR(VLOOKUP(A310,醫療院所DATABASE!A:B,2,""),)</f>
        <v>0</v>
      </c>
      <c r="H310" s="64"/>
      <c r="I310" s="109">
        <v>43602</v>
      </c>
      <c r="J310" s="109">
        <v>43608</v>
      </c>
      <c r="K310" s="39" t="s">
        <v>1483</v>
      </c>
      <c r="L310" s="76" t="s">
        <v>1484</v>
      </c>
      <c r="M310" s="49" t="s">
        <v>61</v>
      </c>
      <c r="N310" s="39" t="s">
        <v>62</v>
      </c>
      <c r="O310" s="56"/>
      <c r="P310" s="409" t="s">
        <v>1485</v>
      </c>
      <c r="Q310" s="76" t="s">
        <v>64</v>
      </c>
      <c r="R310" s="64"/>
      <c r="S310" s="24"/>
      <c r="T310" s="24"/>
      <c r="U310" s="64"/>
      <c r="V310" s="56"/>
      <c r="W310" s="56"/>
      <c r="X310" s="56"/>
      <c r="Y310" s="56"/>
      <c r="Z310" s="56"/>
      <c r="AA310" s="56"/>
      <c r="AB310" s="56"/>
      <c r="AC310" s="56"/>
    </row>
    <row r="311" spans="1:29" ht="15.75" customHeight="1">
      <c r="A311" s="39" t="s">
        <v>1422</v>
      </c>
      <c r="B311" s="107">
        <v>43608</v>
      </c>
      <c r="C311" s="109">
        <v>43612</v>
      </c>
      <c r="D311" s="76" t="s">
        <v>366</v>
      </c>
      <c r="E311" s="76" t="s">
        <v>188</v>
      </c>
      <c r="F311" s="141" t="s">
        <v>1423</v>
      </c>
      <c r="G311" s="399">
        <f>IFERROR(VLOOKUP(A311,醫療院所DATABASE!A:B,2,""),)</f>
        <v>0</v>
      </c>
      <c r="H311" s="64"/>
      <c r="I311" s="109">
        <v>43602</v>
      </c>
      <c r="J311" s="109">
        <v>43608</v>
      </c>
      <c r="K311" s="39" t="s">
        <v>1486</v>
      </c>
      <c r="L311" s="76" t="s">
        <v>1487</v>
      </c>
      <c r="M311" s="49" t="s">
        <v>61</v>
      </c>
      <c r="N311" s="39" t="s">
        <v>62</v>
      </c>
      <c r="O311" s="56"/>
      <c r="P311" s="409" t="s">
        <v>1488</v>
      </c>
      <c r="Q311" s="76" t="s">
        <v>64</v>
      </c>
      <c r="R311" s="64"/>
      <c r="S311" s="24"/>
      <c r="T311" s="24"/>
      <c r="U311" s="64"/>
      <c r="V311" s="56"/>
      <c r="W311" s="56"/>
      <c r="X311" s="56"/>
      <c r="Y311" s="56"/>
      <c r="Z311" s="56"/>
      <c r="AA311" s="56"/>
      <c r="AB311" s="56"/>
      <c r="AC311" s="56"/>
    </row>
    <row r="312" spans="1:29" ht="15.75" customHeight="1">
      <c r="A312" s="39" t="s">
        <v>1422</v>
      </c>
      <c r="B312" s="107">
        <v>43608</v>
      </c>
      <c r="C312" s="39">
        <v>20190523</v>
      </c>
      <c r="D312" s="76" t="s">
        <v>366</v>
      </c>
      <c r="E312" s="76" t="s">
        <v>53</v>
      </c>
      <c r="F312" s="141" t="s">
        <v>1423</v>
      </c>
      <c r="G312" s="399">
        <f>IFERROR(VLOOKUP(A312,醫療院所DATABASE!A:B,2,""),)</f>
        <v>0</v>
      </c>
      <c r="H312" s="64"/>
      <c r="I312" s="109">
        <v>43602</v>
      </c>
      <c r="J312" s="109">
        <v>43608</v>
      </c>
      <c r="K312" s="39" t="s">
        <v>1489</v>
      </c>
      <c r="L312" s="76" t="s">
        <v>1490</v>
      </c>
      <c r="M312" s="49" t="s">
        <v>61</v>
      </c>
      <c r="N312" s="39" t="s">
        <v>62</v>
      </c>
      <c r="O312" s="56"/>
      <c r="P312" s="409" t="s">
        <v>1491</v>
      </c>
      <c r="Q312" s="76" t="s">
        <v>64</v>
      </c>
      <c r="R312" s="64"/>
      <c r="S312" s="24"/>
      <c r="T312" s="24"/>
      <c r="U312" s="64"/>
      <c r="V312" s="56"/>
      <c r="W312" s="56"/>
      <c r="X312" s="56"/>
      <c r="Y312" s="56"/>
      <c r="Z312" s="56"/>
      <c r="AA312" s="56"/>
      <c r="AB312" s="56"/>
      <c r="AC312" s="56"/>
    </row>
    <row r="313" spans="1:29" ht="15.75" customHeight="1">
      <c r="A313" s="39" t="s">
        <v>1422</v>
      </c>
      <c r="B313" s="107">
        <v>43608</v>
      </c>
      <c r="C313" s="39">
        <v>20190523</v>
      </c>
      <c r="D313" s="76" t="s">
        <v>366</v>
      </c>
      <c r="E313" s="76" t="s">
        <v>53</v>
      </c>
      <c r="F313" s="141" t="s">
        <v>1423</v>
      </c>
      <c r="G313" s="399">
        <f>IFERROR(VLOOKUP(A313,醫療院所DATABASE!A:B,2,""),)</f>
        <v>0</v>
      </c>
      <c r="H313" s="64"/>
      <c r="I313" s="109">
        <v>43602</v>
      </c>
      <c r="J313" s="109">
        <v>43608</v>
      </c>
      <c r="K313" s="39" t="s">
        <v>1492</v>
      </c>
      <c r="L313" s="76" t="s">
        <v>1493</v>
      </c>
      <c r="M313" s="49" t="s">
        <v>61</v>
      </c>
      <c r="N313" s="39" t="s">
        <v>62</v>
      </c>
      <c r="O313" s="56"/>
      <c r="P313" s="409" t="s">
        <v>1494</v>
      </c>
      <c r="Q313" s="76" t="s">
        <v>64</v>
      </c>
      <c r="R313" s="64"/>
      <c r="S313" s="24"/>
      <c r="T313" s="24"/>
      <c r="U313" s="64"/>
      <c r="V313" s="56"/>
      <c r="W313" s="56"/>
      <c r="X313" s="56"/>
      <c r="Y313" s="56"/>
      <c r="Z313" s="56"/>
      <c r="AA313" s="56"/>
      <c r="AB313" s="56"/>
      <c r="AC313" s="56"/>
    </row>
    <row r="314" spans="1:29" ht="15.75" customHeight="1">
      <c r="A314" s="39" t="s">
        <v>1341</v>
      </c>
      <c r="B314" s="107">
        <v>43609</v>
      </c>
      <c r="C314" s="109"/>
      <c r="D314" s="76" t="s">
        <v>1321</v>
      </c>
      <c r="E314" s="76" t="s">
        <v>188</v>
      </c>
      <c r="F314" s="129" t="s">
        <v>1294</v>
      </c>
      <c r="G314" s="399">
        <f>IFERROR(VLOOKUP(A314,醫療院所DATABASE!A:B,2,""),)</f>
        <v>0</v>
      </c>
      <c r="H314" s="64"/>
      <c r="I314" s="109">
        <v>43605</v>
      </c>
      <c r="J314" s="109">
        <v>43609</v>
      </c>
      <c r="K314" s="39" t="s">
        <v>1495</v>
      </c>
      <c r="L314" s="76" t="s">
        <v>1496</v>
      </c>
      <c r="M314" s="49" t="s">
        <v>61</v>
      </c>
      <c r="N314" s="39" t="s">
        <v>62</v>
      </c>
      <c r="O314" s="56"/>
      <c r="P314" s="409" t="s">
        <v>1497</v>
      </c>
      <c r="Q314" s="136" t="s">
        <v>1207</v>
      </c>
      <c r="R314" s="64"/>
      <c r="S314" s="24"/>
      <c r="T314" s="24"/>
      <c r="U314" s="76" t="s">
        <v>1498</v>
      </c>
      <c r="V314" s="56"/>
      <c r="W314" s="56"/>
      <c r="X314" s="56"/>
      <c r="Y314" s="56"/>
      <c r="Z314" s="56"/>
      <c r="AA314" s="56"/>
      <c r="AB314" s="56"/>
      <c r="AC314" s="56"/>
    </row>
    <row r="315" spans="1:29" ht="15.75" customHeight="1">
      <c r="A315" s="39" t="s">
        <v>1341</v>
      </c>
      <c r="B315" s="107">
        <v>43609</v>
      </c>
      <c r="C315" s="109"/>
      <c r="D315" s="76" t="s">
        <v>1321</v>
      </c>
      <c r="E315" s="76" t="s">
        <v>188</v>
      </c>
      <c r="F315" s="129" t="s">
        <v>1294</v>
      </c>
      <c r="G315" s="399">
        <f>IFERROR(VLOOKUP(A315,醫療院所DATABASE!A:B,2,""),)</f>
        <v>0</v>
      </c>
      <c r="H315" s="64"/>
      <c r="I315" s="109">
        <v>43605</v>
      </c>
      <c r="J315" s="109">
        <v>43609</v>
      </c>
      <c r="K315" s="39" t="s">
        <v>1499</v>
      </c>
      <c r="L315" s="76" t="s">
        <v>1500</v>
      </c>
      <c r="M315" s="49" t="s">
        <v>61</v>
      </c>
      <c r="N315" s="39" t="s">
        <v>51</v>
      </c>
      <c r="O315" s="56"/>
      <c r="P315" s="409" t="s">
        <v>1501</v>
      </c>
      <c r="Q315" s="136" t="s">
        <v>1207</v>
      </c>
      <c r="R315" s="64"/>
      <c r="S315" s="24"/>
      <c r="T315" s="24"/>
      <c r="U315" s="76" t="s">
        <v>1498</v>
      </c>
      <c r="V315" s="56"/>
      <c r="W315" s="56"/>
      <c r="X315" s="56"/>
      <c r="Y315" s="56"/>
      <c r="Z315" s="56"/>
      <c r="AA315" s="56"/>
      <c r="AB315" s="56"/>
      <c r="AC315" s="56"/>
    </row>
    <row r="316" spans="1:29" ht="15.75" customHeight="1">
      <c r="A316" s="39" t="s">
        <v>1502</v>
      </c>
      <c r="B316" s="107">
        <v>43612</v>
      </c>
      <c r="C316" s="39">
        <v>20190530</v>
      </c>
      <c r="D316" s="76" t="s">
        <v>53</v>
      </c>
      <c r="E316" s="76" t="s">
        <v>53</v>
      </c>
      <c r="F316" s="129" t="s">
        <v>353</v>
      </c>
      <c r="G316" s="399">
        <f>IFERROR(VLOOKUP(A316,醫療院所DATABASE!A:B,2,""),)</f>
        <v>0</v>
      </c>
      <c r="H316" s="64"/>
      <c r="I316" s="109">
        <v>43606</v>
      </c>
      <c r="J316" s="109">
        <v>43609</v>
      </c>
      <c r="K316" s="39" t="s">
        <v>1503</v>
      </c>
      <c r="L316" s="76" t="s">
        <v>1504</v>
      </c>
      <c r="M316" s="49" t="s">
        <v>61</v>
      </c>
      <c r="N316" s="39" t="s">
        <v>51</v>
      </c>
      <c r="O316" s="56"/>
      <c r="P316" s="409" t="s">
        <v>1505</v>
      </c>
      <c r="Q316" s="76" t="s">
        <v>64</v>
      </c>
      <c r="R316" s="64"/>
      <c r="S316" s="24"/>
      <c r="T316" s="24"/>
      <c r="U316" s="64"/>
      <c r="V316" s="56"/>
      <c r="W316" s="56"/>
      <c r="X316" s="56"/>
      <c r="Y316" s="56"/>
      <c r="Z316" s="56"/>
      <c r="AA316" s="56"/>
      <c r="AB316" s="56"/>
      <c r="AC316" s="56"/>
    </row>
    <row r="317" spans="1:29" ht="15.75" customHeight="1">
      <c r="A317" s="39" t="s">
        <v>1502</v>
      </c>
      <c r="B317" s="107">
        <v>43612</v>
      </c>
      <c r="C317" s="39">
        <v>20190530</v>
      </c>
      <c r="D317" s="76" t="s">
        <v>53</v>
      </c>
      <c r="E317" s="76" t="s">
        <v>53</v>
      </c>
      <c r="F317" s="129" t="s">
        <v>353</v>
      </c>
      <c r="G317" s="399">
        <f>IFERROR(VLOOKUP(A317,醫療院所DATABASE!A:B,2,""),)</f>
        <v>0</v>
      </c>
      <c r="H317" s="64"/>
      <c r="I317" s="109">
        <v>43606</v>
      </c>
      <c r="J317" s="109">
        <v>43609</v>
      </c>
      <c r="K317" s="39" t="s">
        <v>1506</v>
      </c>
      <c r="L317" s="76" t="s">
        <v>1507</v>
      </c>
      <c r="M317" s="49" t="s">
        <v>61</v>
      </c>
      <c r="N317" s="39" t="s">
        <v>62</v>
      </c>
      <c r="O317" s="56"/>
      <c r="P317" s="409" t="s">
        <v>1508</v>
      </c>
      <c r="Q317" s="76" t="s">
        <v>64</v>
      </c>
      <c r="R317" s="64"/>
      <c r="S317" s="24"/>
      <c r="T317" s="24"/>
      <c r="U317" s="64"/>
      <c r="V317" s="56"/>
      <c r="W317" s="56"/>
      <c r="X317" s="56"/>
      <c r="Y317" s="56"/>
      <c r="Z317" s="56"/>
      <c r="AA317" s="56"/>
      <c r="AB317" s="56"/>
      <c r="AC317" s="56"/>
    </row>
    <row r="318" spans="1:29" ht="15.75" customHeight="1">
      <c r="A318" s="39" t="s">
        <v>1509</v>
      </c>
      <c r="B318" s="107">
        <v>43612</v>
      </c>
      <c r="C318" s="39">
        <v>20190530</v>
      </c>
      <c r="D318" s="76" t="s">
        <v>53</v>
      </c>
      <c r="E318" s="76" t="s">
        <v>53</v>
      </c>
      <c r="F318" s="129" t="s">
        <v>975</v>
      </c>
      <c r="G318" s="399">
        <f>IFERROR(VLOOKUP(A318,醫療院所DATABASE!A:B,2,""),)</f>
        <v>0</v>
      </c>
      <c r="H318" s="64"/>
      <c r="I318" s="109">
        <v>43606</v>
      </c>
      <c r="J318" s="109">
        <v>43609</v>
      </c>
      <c r="K318" s="39" t="s">
        <v>1510</v>
      </c>
      <c r="L318" s="76" t="s">
        <v>1511</v>
      </c>
      <c r="M318" s="49" t="s">
        <v>61</v>
      </c>
      <c r="N318" s="39" t="s">
        <v>62</v>
      </c>
      <c r="O318" s="56"/>
      <c r="P318" s="409" t="s">
        <v>1512</v>
      </c>
      <c r="Q318" s="76" t="s">
        <v>64</v>
      </c>
      <c r="R318" s="64"/>
      <c r="S318" s="24"/>
      <c r="T318" s="24"/>
      <c r="U318" s="64"/>
      <c r="V318" s="56"/>
      <c r="W318" s="56"/>
      <c r="X318" s="56"/>
      <c r="Y318" s="56"/>
      <c r="Z318" s="56"/>
      <c r="AA318" s="56"/>
      <c r="AB318" s="56"/>
      <c r="AC318" s="56"/>
    </row>
    <row r="319" spans="1:29" ht="15.75" customHeight="1">
      <c r="A319" s="39" t="s">
        <v>1509</v>
      </c>
      <c r="B319" s="107">
        <v>43612</v>
      </c>
      <c r="C319" s="39">
        <v>20190530</v>
      </c>
      <c r="D319" s="76" t="s">
        <v>53</v>
      </c>
      <c r="E319" s="76" t="s">
        <v>53</v>
      </c>
      <c r="F319" s="129" t="s">
        <v>975</v>
      </c>
      <c r="G319" s="399">
        <f>IFERROR(VLOOKUP(A319,醫療院所DATABASE!A:B,2,""),)</f>
        <v>0</v>
      </c>
      <c r="H319" s="64"/>
      <c r="I319" s="109">
        <v>43606</v>
      </c>
      <c r="J319" s="109">
        <v>43609</v>
      </c>
      <c r="K319" s="39" t="s">
        <v>1513</v>
      </c>
      <c r="L319" s="76" t="s">
        <v>1514</v>
      </c>
      <c r="M319" s="49" t="s">
        <v>61</v>
      </c>
      <c r="N319" s="39" t="s">
        <v>51</v>
      </c>
      <c r="O319" s="56"/>
      <c r="P319" s="409" t="s">
        <v>1515</v>
      </c>
      <c r="Q319" s="76" t="s">
        <v>64</v>
      </c>
      <c r="R319" s="64"/>
      <c r="S319" s="24"/>
      <c r="T319" s="24"/>
      <c r="U319" s="64"/>
      <c r="V319" s="56"/>
      <c r="W319" s="56"/>
      <c r="X319" s="56"/>
      <c r="Y319" s="56"/>
      <c r="Z319" s="56"/>
      <c r="AA319" s="56"/>
      <c r="AB319" s="56"/>
      <c r="AC319" s="56"/>
    </row>
    <row r="320" spans="1:29" ht="15.75" customHeight="1">
      <c r="A320" s="39" t="s">
        <v>1516</v>
      </c>
      <c r="B320" s="107">
        <v>43612</v>
      </c>
      <c r="C320" s="109">
        <v>43614</v>
      </c>
      <c r="D320" s="76" t="s">
        <v>188</v>
      </c>
      <c r="E320" s="76" t="s">
        <v>188</v>
      </c>
      <c r="F320" s="129" t="s">
        <v>353</v>
      </c>
      <c r="G320" s="399">
        <f>IFERROR(VLOOKUP(A320,醫療院所DATABASE!A:B,2,""),)</f>
        <v>0</v>
      </c>
      <c r="H320" s="64"/>
      <c r="I320" s="109">
        <v>43606</v>
      </c>
      <c r="J320" s="109">
        <v>43609</v>
      </c>
      <c r="K320" s="39" t="s">
        <v>1517</v>
      </c>
      <c r="L320" s="76" t="s">
        <v>1518</v>
      </c>
      <c r="M320" s="49" t="s">
        <v>61</v>
      </c>
      <c r="N320" s="39" t="s">
        <v>62</v>
      </c>
      <c r="O320" s="56"/>
      <c r="P320" s="409" t="s">
        <v>1519</v>
      </c>
      <c r="Q320" s="76" t="s">
        <v>64</v>
      </c>
      <c r="R320" s="64"/>
      <c r="S320" s="24"/>
      <c r="T320" s="24"/>
      <c r="U320" s="76"/>
      <c r="V320" s="56"/>
      <c r="W320" s="56"/>
      <c r="X320" s="56"/>
      <c r="Y320" s="56"/>
      <c r="Z320" s="56"/>
      <c r="AA320" s="56"/>
      <c r="AB320" s="56"/>
      <c r="AC320" s="56"/>
    </row>
    <row r="321" spans="1:29" ht="15.75" customHeight="1">
      <c r="A321" s="39" t="s">
        <v>1520</v>
      </c>
      <c r="B321" s="107">
        <v>43612</v>
      </c>
      <c r="C321" s="109">
        <v>43614</v>
      </c>
      <c r="D321" s="76" t="s">
        <v>188</v>
      </c>
      <c r="E321" s="76" t="s">
        <v>188</v>
      </c>
      <c r="F321" s="129" t="s">
        <v>353</v>
      </c>
      <c r="G321" s="399">
        <f>IFERROR(VLOOKUP(A321,醫療院所DATABASE!A:B,2,""),)</f>
        <v>0</v>
      </c>
      <c r="H321" s="64"/>
      <c r="I321" s="109">
        <v>43606</v>
      </c>
      <c r="J321" s="109">
        <v>43609</v>
      </c>
      <c r="K321" s="39" t="s">
        <v>1521</v>
      </c>
      <c r="L321" s="76" t="s">
        <v>1522</v>
      </c>
      <c r="M321" s="49" t="s">
        <v>61</v>
      </c>
      <c r="N321" s="39" t="s">
        <v>62</v>
      </c>
      <c r="O321" s="56"/>
      <c r="P321" s="409" t="s">
        <v>1523</v>
      </c>
      <c r="Q321" s="76" t="s">
        <v>64</v>
      </c>
      <c r="R321" s="64"/>
      <c r="S321" s="24"/>
      <c r="T321" s="24"/>
      <c r="U321" s="76"/>
      <c r="V321" s="56"/>
      <c r="W321" s="56"/>
      <c r="X321" s="56"/>
      <c r="Y321" s="56"/>
      <c r="Z321" s="56"/>
      <c r="AA321" s="56"/>
      <c r="AB321" s="56"/>
      <c r="AC321" s="56"/>
    </row>
    <row r="322" spans="1:29" ht="15.75" customHeight="1">
      <c r="A322" s="39" t="s">
        <v>1524</v>
      </c>
      <c r="B322" s="107">
        <v>43612</v>
      </c>
      <c r="C322" s="109">
        <v>43614</v>
      </c>
      <c r="D322" s="76" t="s">
        <v>188</v>
      </c>
      <c r="E322" s="76" t="s">
        <v>188</v>
      </c>
      <c r="F322" s="129" t="s">
        <v>353</v>
      </c>
      <c r="G322" s="399">
        <f>IFERROR(VLOOKUP(A322,醫療院所DATABASE!A:B,2,""),)</f>
        <v>0</v>
      </c>
      <c r="H322" s="64"/>
      <c r="I322" s="109">
        <v>43606</v>
      </c>
      <c r="J322" s="109">
        <v>43609</v>
      </c>
      <c r="K322" s="39" t="s">
        <v>1525</v>
      </c>
      <c r="L322" s="76" t="s">
        <v>1398</v>
      </c>
      <c r="M322" s="49" t="s">
        <v>61</v>
      </c>
      <c r="N322" s="39" t="s">
        <v>62</v>
      </c>
      <c r="O322" s="56"/>
      <c r="P322" s="409" t="s">
        <v>1526</v>
      </c>
      <c r="Q322" s="76" t="s">
        <v>64</v>
      </c>
      <c r="R322" s="64"/>
      <c r="S322" s="24"/>
      <c r="T322" s="24"/>
      <c r="U322" s="76"/>
      <c r="V322" s="56"/>
      <c r="W322" s="56"/>
      <c r="X322" s="56"/>
      <c r="Y322" s="56"/>
      <c r="Z322" s="56"/>
      <c r="AA322" s="56"/>
      <c r="AB322" s="56"/>
      <c r="AC322" s="56"/>
    </row>
    <row r="323" spans="1:29" ht="15.75" customHeight="1">
      <c r="A323" s="39" t="s">
        <v>1341</v>
      </c>
      <c r="B323" s="107">
        <v>43612</v>
      </c>
      <c r="C323" s="39">
        <v>20190530</v>
      </c>
      <c r="D323" s="143" t="s">
        <v>1321</v>
      </c>
      <c r="E323" s="76" t="s">
        <v>53</v>
      </c>
      <c r="F323" s="129" t="s">
        <v>1294</v>
      </c>
      <c r="G323" s="399">
        <f>IFERROR(VLOOKUP(A323,醫療院所DATABASE!A:B,2,""),)</f>
        <v>0</v>
      </c>
      <c r="H323" s="64"/>
      <c r="I323" s="109">
        <v>43606</v>
      </c>
      <c r="J323" s="109">
        <v>43609</v>
      </c>
      <c r="K323" s="39" t="s">
        <v>1527</v>
      </c>
      <c r="L323" s="76" t="s">
        <v>1528</v>
      </c>
      <c r="M323" s="49" t="s">
        <v>61</v>
      </c>
      <c r="N323" s="39" t="s">
        <v>51</v>
      </c>
      <c r="O323" s="56"/>
      <c r="P323" s="409" t="s">
        <v>1529</v>
      </c>
      <c r="Q323" s="136" t="s">
        <v>1207</v>
      </c>
      <c r="R323" s="64"/>
      <c r="S323" s="24"/>
      <c r="T323" s="24"/>
      <c r="U323" s="64"/>
      <c r="V323" s="56"/>
      <c r="W323" s="56"/>
      <c r="X323" s="56"/>
      <c r="Y323" s="56"/>
      <c r="Z323" s="56"/>
      <c r="AA323" s="56"/>
      <c r="AB323" s="56"/>
      <c r="AC323" s="56"/>
    </row>
    <row r="324" spans="1:29" ht="15.75" customHeight="1">
      <c r="A324" s="39" t="s">
        <v>1530</v>
      </c>
      <c r="B324" s="107">
        <v>43612</v>
      </c>
      <c r="C324" s="39">
        <v>20190530</v>
      </c>
      <c r="D324" s="76" t="s">
        <v>53</v>
      </c>
      <c r="E324" s="76" t="s">
        <v>53</v>
      </c>
      <c r="F324" s="129" t="s">
        <v>54</v>
      </c>
      <c r="G324" s="399">
        <f>IFERROR(VLOOKUP(A324,醫療院所DATABASE!A:B,2,""),)</f>
        <v>0</v>
      </c>
      <c r="H324" s="64"/>
      <c r="I324" s="109">
        <v>43606</v>
      </c>
      <c r="J324" s="109">
        <v>43609</v>
      </c>
      <c r="K324" s="39" t="s">
        <v>1531</v>
      </c>
      <c r="L324" s="76" t="s">
        <v>1532</v>
      </c>
      <c r="M324" s="118" t="s">
        <v>956</v>
      </c>
      <c r="N324" s="39" t="s">
        <v>51</v>
      </c>
      <c r="O324" s="56"/>
      <c r="P324" s="409" t="s">
        <v>1533</v>
      </c>
      <c r="Q324" s="76" t="s">
        <v>64</v>
      </c>
      <c r="R324" s="64"/>
      <c r="S324" s="24"/>
      <c r="T324" s="24"/>
      <c r="U324" s="64"/>
      <c r="V324" s="56"/>
      <c r="W324" s="56"/>
      <c r="X324" s="56"/>
      <c r="Y324" s="56"/>
      <c r="Z324" s="56"/>
      <c r="AA324" s="56"/>
      <c r="AB324" s="56"/>
      <c r="AC324" s="56"/>
    </row>
    <row r="325" spans="1:29" ht="15.75" customHeight="1">
      <c r="A325" s="39" t="s">
        <v>1530</v>
      </c>
      <c r="B325" s="107">
        <v>43612</v>
      </c>
      <c r="C325" s="39">
        <v>20190530</v>
      </c>
      <c r="D325" s="76" t="s">
        <v>53</v>
      </c>
      <c r="E325" s="76" t="s">
        <v>53</v>
      </c>
      <c r="F325" s="129" t="s">
        <v>54</v>
      </c>
      <c r="G325" s="399">
        <f>IFERROR(VLOOKUP(A325,醫療院所DATABASE!A:B,2,""),)</f>
        <v>0</v>
      </c>
      <c r="H325" s="64"/>
      <c r="I325" s="109">
        <v>43606</v>
      </c>
      <c r="J325" s="109">
        <v>43609</v>
      </c>
      <c r="K325" s="39" t="s">
        <v>1534</v>
      </c>
      <c r="L325" s="76" t="s">
        <v>1535</v>
      </c>
      <c r="M325" s="118" t="s">
        <v>956</v>
      </c>
      <c r="N325" s="39" t="s">
        <v>51</v>
      </c>
      <c r="O325" s="56"/>
      <c r="P325" s="409" t="s">
        <v>1536</v>
      </c>
      <c r="Q325" s="76" t="s">
        <v>64</v>
      </c>
      <c r="R325" s="64"/>
      <c r="S325" s="24"/>
      <c r="T325" s="24"/>
      <c r="U325" s="64"/>
      <c r="V325" s="56"/>
      <c r="W325" s="56"/>
      <c r="X325" s="56"/>
      <c r="Y325" s="56"/>
      <c r="Z325" s="56"/>
      <c r="AA325" s="56"/>
      <c r="AB325" s="56"/>
      <c r="AC325" s="56"/>
    </row>
    <row r="326" spans="1:29" ht="15.75" customHeight="1">
      <c r="A326" s="39" t="s">
        <v>1537</v>
      </c>
      <c r="B326" s="107">
        <v>43612</v>
      </c>
      <c r="C326" s="109">
        <v>43614</v>
      </c>
      <c r="D326" s="76" t="s">
        <v>523</v>
      </c>
      <c r="E326" s="76" t="s">
        <v>188</v>
      </c>
      <c r="F326" s="129" t="s">
        <v>975</v>
      </c>
      <c r="G326" s="399">
        <f>IFERROR(VLOOKUP(A326,醫療院所DATABASE!A:B,2,""),)</f>
        <v>0</v>
      </c>
      <c r="H326" s="64"/>
      <c r="I326" s="109">
        <v>43606</v>
      </c>
      <c r="J326" s="109">
        <v>43609</v>
      </c>
      <c r="K326" s="39" t="s">
        <v>1538</v>
      </c>
      <c r="L326" s="76" t="s">
        <v>1539</v>
      </c>
      <c r="M326" s="39" t="s">
        <v>1019</v>
      </c>
      <c r="N326" s="39" t="s">
        <v>51</v>
      </c>
      <c r="O326" s="56"/>
      <c r="P326" s="409" t="s">
        <v>1540</v>
      </c>
      <c r="Q326" s="76" t="s">
        <v>64</v>
      </c>
      <c r="R326" s="64"/>
      <c r="S326" s="24"/>
      <c r="T326" s="24"/>
      <c r="U326" s="64"/>
      <c r="V326" s="56"/>
      <c r="W326" s="56"/>
      <c r="X326" s="56"/>
      <c r="Y326" s="56"/>
      <c r="Z326" s="56"/>
      <c r="AA326" s="56"/>
      <c r="AB326" s="56"/>
      <c r="AC326" s="56"/>
    </row>
    <row r="327" spans="1:29" ht="15.75" customHeight="1">
      <c r="A327" s="39" t="s">
        <v>1541</v>
      </c>
      <c r="B327" s="107">
        <v>43612</v>
      </c>
      <c r="C327" s="39">
        <v>20190530</v>
      </c>
      <c r="D327" s="76" t="s">
        <v>1542</v>
      </c>
      <c r="E327" s="76" t="s">
        <v>53</v>
      </c>
      <c r="F327" s="129" t="s">
        <v>1543</v>
      </c>
      <c r="G327" s="399">
        <f>IFERROR(VLOOKUP(A327,醫療院所DATABASE!A:B,2,""),)</f>
        <v>0</v>
      </c>
      <c r="H327" s="64"/>
      <c r="I327" s="109">
        <v>43606</v>
      </c>
      <c r="J327" s="109">
        <v>43609</v>
      </c>
      <c r="K327" s="39" t="s">
        <v>1544</v>
      </c>
      <c r="L327" s="76" t="s">
        <v>1545</v>
      </c>
      <c r="M327" s="118" t="s">
        <v>1546</v>
      </c>
      <c r="N327" s="39" t="s">
        <v>62</v>
      </c>
      <c r="O327" s="56"/>
      <c r="P327" s="409" t="s">
        <v>1547</v>
      </c>
      <c r="Q327" s="76" t="s">
        <v>64</v>
      </c>
      <c r="R327" s="64"/>
      <c r="S327" s="24"/>
      <c r="T327" s="24"/>
      <c r="U327" s="76" t="s">
        <v>1548</v>
      </c>
      <c r="V327" s="56"/>
      <c r="W327" s="56"/>
      <c r="X327" s="56"/>
      <c r="Y327" s="56"/>
      <c r="Z327" s="56"/>
      <c r="AA327" s="56"/>
      <c r="AB327" s="56"/>
      <c r="AC327" s="56"/>
    </row>
    <row r="328" spans="1:29" ht="15.75" customHeight="1">
      <c r="A328" s="39" t="s">
        <v>1541</v>
      </c>
      <c r="B328" s="107">
        <v>43612</v>
      </c>
      <c r="C328" s="39">
        <v>20190530</v>
      </c>
      <c r="D328" s="76" t="s">
        <v>1542</v>
      </c>
      <c r="E328" s="76" t="s">
        <v>53</v>
      </c>
      <c r="F328" s="129" t="s">
        <v>1543</v>
      </c>
      <c r="G328" s="399">
        <f>IFERROR(VLOOKUP(A328,醫療院所DATABASE!A:B,2,""),)</f>
        <v>0</v>
      </c>
      <c r="H328" s="64"/>
      <c r="I328" s="109">
        <v>43606</v>
      </c>
      <c r="J328" s="109">
        <v>43609</v>
      </c>
      <c r="K328" s="39" t="s">
        <v>1549</v>
      </c>
      <c r="L328" s="76" t="s">
        <v>1550</v>
      </c>
      <c r="M328" s="118" t="s">
        <v>1546</v>
      </c>
      <c r="N328" s="39" t="s">
        <v>62</v>
      </c>
      <c r="O328" s="56"/>
      <c r="P328" s="409" t="s">
        <v>1551</v>
      </c>
      <c r="Q328" s="76" t="s">
        <v>64</v>
      </c>
      <c r="R328" s="64"/>
      <c r="S328" s="24"/>
      <c r="T328" s="24"/>
      <c r="U328" s="76" t="s">
        <v>1548</v>
      </c>
      <c r="V328" s="56"/>
      <c r="W328" s="56"/>
      <c r="X328" s="56"/>
      <c r="Y328" s="56"/>
      <c r="Z328" s="56"/>
      <c r="AA328" s="56"/>
      <c r="AB328" s="56"/>
      <c r="AC328" s="56"/>
    </row>
    <row r="329" spans="1:29" ht="15.75" customHeight="1">
      <c r="A329" s="39" t="s">
        <v>199</v>
      </c>
      <c r="B329" s="107">
        <v>43613</v>
      </c>
      <c r="C329" s="39">
        <v>20190603</v>
      </c>
      <c r="D329" s="144" t="s">
        <v>523</v>
      </c>
      <c r="E329" s="76" t="s">
        <v>53</v>
      </c>
      <c r="F329" s="141" t="s">
        <v>975</v>
      </c>
      <c r="G329" s="399">
        <f>IFERROR(VLOOKUP(A329,醫療院所DATABASE!A:B,2,""),)</f>
        <v>0</v>
      </c>
      <c r="H329" s="64"/>
      <c r="I329" s="109">
        <v>43607</v>
      </c>
      <c r="J329" s="109">
        <v>43611</v>
      </c>
      <c r="K329" s="39" t="s">
        <v>1552</v>
      </c>
      <c r="L329" s="76" t="s">
        <v>1553</v>
      </c>
      <c r="M329" s="49" t="s">
        <v>61</v>
      </c>
      <c r="N329" s="39" t="s">
        <v>51</v>
      </c>
      <c r="O329" s="56"/>
      <c r="P329" s="409" t="s">
        <v>1554</v>
      </c>
      <c r="Q329" s="76" t="s">
        <v>64</v>
      </c>
      <c r="R329" s="64"/>
      <c r="S329" s="24"/>
      <c r="T329" s="24"/>
      <c r="U329" s="64"/>
      <c r="V329" s="56"/>
      <c r="W329" s="56"/>
      <c r="X329" s="56"/>
      <c r="Y329" s="56"/>
      <c r="Z329" s="56"/>
      <c r="AA329" s="56"/>
      <c r="AB329" s="56"/>
      <c r="AC329" s="56"/>
    </row>
    <row r="330" spans="1:29" ht="15.75" customHeight="1">
      <c r="A330" s="39" t="s">
        <v>701</v>
      </c>
      <c r="B330" s="107">
        <v>43613</v>
      </c>
      <c r="C330" s="39">
        <v>20190603</v>
      </c>
      <c r="D330" s="144" t="s">
        <v>522</v>
      </c>
      <c r="E330" s="76" t="s">
        <v>53</v>
      </c>
      <c r="F330" s="145" t="s">
        <v>1555</v>
      </c>
      <c r="G330" s="399">
        <f>IFERROR(VLOOKUP(A330,醫療院所DATABASE!A:B,2,""),)</f>
        <v>0</v>
      </c>
      <c r="H330" s="64"/>
      <c r="I330" s="109">
        <v>43607</v>
      </c>
      <c r="J330" s="109">
        <v>43611</v>
      </c>
      <c r="K330" s="39" t="s">
        <v>1556</v>
      </c>
      <c r="L330" s="146" t="s">
        <v>1557</v>
      </c>
      <c r="M330" s="49" t="s">
        <v>61</v>
      </c>
      <c r="N330" s="39" t="s">
        <v>51</v>
      </c>
      <c r="O330" s="56"/>
      <c r="P330" s="409" t="s">
        <v>1558</v>
      </c>
      <c r="Q330" s="76" t="s">
        <v>64</v>
      </c>
      <c r="R330" s="64"/>
      <c r="S330" s="24"/>
      <c r="T330" s="24"/>
      <c r="U330" s="64"/>
      <c r="V330" s="56"/>
      <c r="W330" s="56"/>
      <c r="X330" s="56"/>
      <c r="Y330" s="56"/>
      <c r="Z330" s="56"/>
      <c r="AA330" s="56"/>
      <c r="AB330" s="56"/>
      <c r="AC330" s="56"/>
    </row>
    <row r="331" spans="1:29" ht="15.75" customHeight="1">
      <c r="A331" s="39" t="s">
        <v>1559</v>
      </c>
      <c r="B331" s="107">
        <v>43613</v>
      </c>
      <c r="C331" s="109">
        <v>43620</v>
      </c>
      <c r="D331" s="144" t="s">
        <v>522</v>
      </c>
      <c r="E331" s="76" t="s">
        <v>188</v>
      </c>
      <c r="F331" s="145" t="s">
        <v>1560</v>
      </c>
      <c r="G331" s="399">
        <f>IFERROR(VLOOKUP(A331,醫療院所DATABASE!A:B,2,""),)</f>
        <v>0</v>
      </c>
      <c r="H331" s="64"/>
      <c r="I331" s="109">
        <v>43607</v>
      </c>
      <c r="J331" s="109">
        <v>43611</v>
      </c>
      <c r="K331" s="39" t="s">
        <v>1561</v>
      </c>
      <c r="L331" s="76" t="s">
        <v>1562</v>
      </c>
      <c r="M331" s="49" t="s">
        <v>61</v>
      </c>
      <c r="N331" s="39" t="s">
        <v>51</v>
      </c>
      <c r="O331" s="56"/>
      <c r="P331" s="409" t="s">
        <v>1563</v>
      </c>
      <c r="Q331" s="76" t="s">
        <v>64</v>
      </c>
      <c r="R331" s="64"/>
      <c r="S331" s="24"/>
      <c r="T331" s="24"/>
      <c r="U331" s="64"/>
      <c r="V331" s="56"/>
      <c r="W331" s="56"/>
      <c r="X331" s="56"/>
      <c r="Y331" s="56"/>
      <c r="Z331" s="56"/>
      <c r="AA331" s="56"/>
      <c r="AB331" s="56"/>
      <c r="AC331" s="56"/>
    </row>
    <row r="332" spans="1:29" ht="15.75" customHeight="1">
      <c r="A332" s="39" t="s">
        <v>1564</v>
      </c>
      <c r="B332" s="107">
        <v>43613</v>
      </c>
      <c r="C332" s="39">
        <v>20190603</v>
      </c>
      <c r="D332" s="144" t="s">
        <v>522</v>
      </c>
      <c r="E332" s="76" t="s">
        <v>53</v>
      </c>
      <c r="F332" s="145" t="s">
        <v>1565</v>
      </c>
      <c r="G332" s="399">
        <f>IFERROR(VLOOKUP(A332,醫療院所DATABASE!A:B,2,""),)</f>
        <v>0</v>
      </c>
      <c r="H332" s="64"/>
      <c r="I332" s="109">
        <v>43607</v>
      </c>
      <c r="J332" s="109">
        <v>43611</v>
      </c>
      <c r="K332" s="39" t="s">
        <v>1566</v>
      </c>
      <c r="L332" s="76" t="s">
        <v>1567</v>
      </c>
      <c r="M332" s="49" t="s">
        <v>61</v>
      </c>
      <c r="N332" s="39" t="s">
        <v>62</v>
      </c>
      <c r="O332" s="56"/>
      <c r="P332" s="409" t="s">
        <v>1568</v>
      </c>
      <c r="Q332" s="76" t="s">
        <v>64</v>
      </c>
      <c r="R332" s="64"/>
      <c r="S332" s="24"/>
      <c r="T332" s="24"/>
      <c r="U332" s="64"/>
      <c r="V332" s="56"/>
      <c r="W332" s="56"/>
      <c r="X332" s="56"/>
      <c r="Y332" s="56"/>
      <c r="Z332" s="56"/>
      <c r="AA332" s="56"/>
      <c r="AB332" s="56"/>
      <c r="AC332" s="56"/>
    </row>
    <row r="333" spans="1:29" ht="15.75" customHeight="1">
      <c r="A333" s="39" t="s">
        <v>1162</v>
      </c>
      <c r="B333" s="107">
        <v>43613</v>
      </c>
      <c r="C333" s="39">
        <v>20190603</v>
      </c>
      <c r="D333" s="144" t="s">
        <v>543</v>
      </c>
      <c r="E333" s="76" t="s">
        <v>53</v>
      </c>
      <c r="F333" s="141" t="s">
        <v>1569</v>
      </c>
      <c r="G333" s="399">
        <f>IFERROR(VLOOKUP(A333,醫療院所DATABASE!A:B,2,""),)</f>
        <v>0</v>
      </c>
      <c r="H333" s="64"/>
      <c r="I333" s="109">
        <v>43607</v>
      </c>
      <c r="J333" s="109">
        <v>43611</v>
      </c>
      <c r="K333" s="39" t="s">
        <v>1570</v>
      </c>
      <c r="L333" s="146" t="s">
        <v>1571</v>
      </c>
      <c r="M333" s="49" t="s">
        <v>61</v>
      </c>
      <c r="N333" s="39" t="s">
        <v>62</v>
      </c>
      <c r="O333" s="56"/>
      <c r="P333" s="409" t="s">
        <v>1572</v>
      </c>
      <c r="Q333" s="76" t="s">
        <v>64</v>
      </c>
      <c r="R333" s="64"/>
      <c r="S333" s="24"/>
      <c r="T333" s="24"/>
      <c r="U333" s="64"/>
      <c r="V333" s="56"/>
      <c r="W333" s="56"/>
      <c r="X333" s="56"/>
      <c r="Y333" s="56"/>
      <c r="Z333" s="56"/>
      <c r="AA333" s="56"/>
      <c r="AB333" s="56"/>
      <c r="AC333" s="56"/>
    </row>
    <row r="334" spans="1:29" ht="15.75" customHeight="1">
      <c r="A334" s="39" t="s">
        <v>1162</v>
      </c>
      <c r="B334" s="107">
        <v>43613</v>
      </c>
      <c r="C334" s="109">
        <v>43620</v>
      </c>
      <c r="D334" s="144" t="s">
        <v>543</v>
      </c>
      <c r="E334" s="76" t="s">
        <v>188</v>
      </c>
      <c r="F334" s="141" t="s">
        <v>1569</v>
      </c>
      <c r="G334" s="399">
        <f>IFERROR(VLOOKUP(A334,醫療院所DATABASE!A:B,2,""),)</f>
        <v>0</v>
      </c>
      <c r="H334" s="64"/>
      <c r="I334" s="109">
        <v>43607</v>
      </c>
      <c r="J334" s="109">
        <v>43611</v>
      </c>
      <c r="K334" s="39" t="s">
        <v>1573</v>
      </c>
      <c r="L334" s="76" t="s">
        <v>1574</v>
      </c>
      <c r="M334" s="49" t="s">
        <v>61</v>
      </c>
      <c r="N334" s="39" t="s">
        <v>51</v>
      </c>
      <c r="O334" s="56"/>
      <c r="P334" s="409" t="s">
        <v>1575</v>
      </c>
      <c r="Q334" s="76" t="s">
        <v>64</v>
      </c>
      <c r="R334" s="64"/>
      <c r="S334" s="24"/>
      <c r="T334" s="24"/>
      <c r="U334" s="64"/>
      <c r="V334" s="56"/>
      <c r="W334" s="56"/>
      <c r="X334" s="56"/>
      <c r="Y334" s="56"/>
      <c r="Z334" s="56"/>
      <c r="AA334" s="56"/>
      <c r="AB334" s="56"/>
      <c r="AC334" s="56"/>
    </row>
    <row r="335" spans="1:29" ht="15.75" customHeight="1">
      <c r="A335" s="39" t="s">
        <v>1576</v>
      </c>
      <c r="B335" s="107">
        <v>43613</v>
      </c>
      <c r="C335" s="39">
        <v>20190603</v>
      </c>
      <c r="D335" s="144" t="s">
        <v>1577</v>
      </c>
      <c r="E335" s="76" t="s">
        <v>53</v>
      </c>
      <c r="F335" s="145" t="s">
        <v>1578</v>
      </c>
      <c r="G335" s="399">
        <f>IFERROR(VLOOKUP(A335,醫療院所DATABASE!A:B,2,""),)</f>
        <v>0</v>
      </c>
      <c r="H335" s="64"/>
      <c r="I335" s="109">
        <v>43607</v>
      </c>
      <c r="J335" s="109">
        <v>43611</v>
      </c>
      <c r="K335" s="39" t="s">
        <v>1579</v>
      </c>
      <c r="L335" s="76" t="s">
        <v>1580</v>
      </c>
      <c r="M335" s="49" t="s">
        <v>61</v>
      </c>
      <c r="N335" s="39" t="s">
        <v>62</v>
      </c>
      <c r="O335" s="56"/>
      <c r="P335" s="409" t="s">
        <v>1581</v>
      </c>
      <c r="Q335" s="76" t="s">
        <v>64</v>
      </c>
      <c r="R335" s="64"/>
      <c r="S335" s="24"/>
      <c r="T335" s="24"/>
      <c r="U335" s="76" t="s">
        <v>1582</v>
      </c>
      <c r="V335" s="56"/>
      <c r="W335" s="56"/>
      <c r="X335" s="56"/>
      <c r="Y335" s="56"/>
      <c r="Z335" s="56"/>
      <c r="AA335" s="56"/>
      <c r="AB335" s="56"/>
      <c r="AC335" s="56"/>
    </row>
    <row r="336" spans="1:29" ht="15.75" customHeight="1">
      <c r="A336" s="39" t="s">
        <v>199</v>
      </c>
      <c r="B336" s="107">
        <v>43613</v>
      </c>
      <c r="C336" s="109">
        <v>43620</v>
      </c>
      <c r="D336" s="144" t="s">
        <v>523</v>
      </c>
      <c r="E336" s="76" t="s">
        <v>53</v>
      </c>
      <c r="F336" s="141" t="s">
        <v>975</v>
      </c>
      <c r="G336" s="399">
        <f>IFERROR(VLOOKUP(A336,醫療院所DATABASE!A:B,2,""),)</f>
        <v>0</v>
      </c>
      <c r="H336" s="64"/>
      <c r="I336" s="109">
        <v>43607</v>
      </c>
      <c r="J336" s="109">
        <v>43611</v>
      </c>
      <c r="K336" s="39" t="s">
        <v>1583</v>
      </c>
      <c r="L336" s="76" t="s">
        <v>1584</v>
      </c>
      <c r="M336" s="119" t="s">
        <v>963</v>
      </c>
      <c r="N336" s="39" t="s">
        <v>62</v>
      </c>
      <c r="O336" s="56"/>
      <c r="P336" s="409" t="s">
        <v>1585</v>
      </c>
      <c r="Q336" s="76" t="s">
        <v>64</v>
      </c>
      <c r="R336" s="64"/>
      <c r="S336" s="24"/>
      <c r="T336" s="24"/>
      <c r="U336" s="64"/>
      <c r="V336" s="56"/>
      <c r="W336" s="56"/>
      <c r="X336" s="56"/>
      <c r="Y336" s="56"/>
      <c r="Z336" s="56"/>
      <c r="AA336" s="56"/>
      <c r="AB336" s="56"/>
      <c r="AC336" s="56"/>
    </row>
    <row r="337" spans="1:29" ht="15.75" customHeight="1">
      <c r="A337" s="39" t="s">
        <v>1586</v>
      </c>
      <c r="B337" s="107">
        <v>43613</v>
      </c>
      <c r="C337" s="109">
        <v>43620</v>
      </c>
      <c r="D337" s="76" t="s">
        <v>188</v>
      </c>
      <c r="E337" s="76" t="s">
        <v>188</v>
      </c>
      <c r="F337" s="129" t="s">
        <v>1587</v>
      </c>
      <c r="G337" s="399">
        <f>IFERROR(VLOOKUP(A337,醫療院所DATABASE!A:B,2,""),)</f>
        <v>0</v>
      </c>
      <c r="H337" s="64"/>
      <c r="I337" s="109">
        <v>43607</v>
      </c>
      <c r="J337" s="109">
        <v>43611</v>
      </c>
      <c r="K337" s="39" t="s">
        <v>1588</v>
      </c>
      <c r="L337" s="76" t="s">
        <v>1589</v>
      </c>
      <c r="M337" s="119" t="s">
        <v>963</v>
      </c>
      <c r="N337" s="39" t="s">
        <v>62</v>
      </c>
      <c r="O337" s="56"/>
      <c r="P337" s="409" t="s">
        <v>1590</v>
      </c>
      <c r="Q337" s="76" t="s">
        <v>64</v>
      </c>
      <c r="R337" s="64"/>
      <c r="S337" s="24"/>
      <c r="T337" s="24"/>
      <c r="U337" s="64"/>
      <c r="V337" s="56"/>
      <c r="W337" s="56"/>
      <c r="X337" s="56"/>
      <c r="Y337" s="56"/>
      <c r="Z337" s="56"/>
      <c r="AA337" s="56"/>
      <c r="AB337" s="56"/>
      <c r="AC337" s="56"/>
    </row>
    <row r="338" spans="1:29" ht="15.75" customHeight="1">
      <c r="A338" s="39" t="s">
        <v>1591</v>
      </c>
      <c r="B338" s="107">
        <v>43613</v>
      </c>
      <c r="C338" s="39">
        <v>20190603</v>
      </c>
      <c r="D338" s="76" t="s">
        <v>53</v>
      </c>
      <c r="E338" s="76" t="s">
        <v>53</v>
      </c>
      <c r="F338" s="129" t="s">
        <v>1587</v>
      </c>
      <c r="G338" s="399">
        <f>IFERROR(VLOOKUP(A338,醫療院所DATABASE!A:B,2,""),)</f>
        <v>0</v>
      </c>
      <c r="H338" s="64"/>
      <c r="I338" s="109">
        <v>43607</v>
      </c>
      <c r="J338" s="109">
        <v>43611</v>
      </c>
      <c r="K338" s="39" t="s">
        <v>1592</v>
      </c>
      <c r="L338" s="76" t="s">
        <v>1593</v>
      </c>
      <c r="M338" s="119" t="s">
        <v>963</v>
      </c>
      <c r="N338" s="39" t="s">
        <v>51</v>
      </c>
      <c r="O338" s="56"/>
      <c r="P338" s="409" t="s">
        <v>1594</v>
      </c>
      <c r="Q338" s="76" t="s">
        <v>64</v>
      </c>
      <c r="R338" s="64"/>
      <c r="S338" s="24"/>
      <c r="T338" s="24"/>
      <c r="U338" s="64"/>
      <c r="V338" s="56"/>
      <c r="W338" s="56"/>
      <c r="X338" s="56"/>
      <c r="Y338" s="56"/>
      <c r="Z338" s="56"/>
      <c r="AA338" s="56"/>
      <c r="AB338" s="56"/>
      <c r="AC338" s="56"/>
    </row>
    <row r="339" spans="1:29" ht="15.75" customHeight="1">
      <c r="A339" s="39" t="s">
        <v>1595</v>
      </c>
      <c r="B339" s="107">
        <v>43613</v>
      </c>
      <c r="C339" s="109">
        <v>43620</v>
      </c>
      <c r="D339" s="144" t="s">
        <v>522</v>
      </c>
      <c r="E339" s="76" t="s">
        <v>188</v>
      </c>
      <c r="F339" s="145" t="s">
        <v>1560</v>
      </c>
      <c r="G339" s="399">
        <f>IFERROR(VLOOKUP(A339,醫療院所DATABASE!A:B,2,""),)</f>
        <v>0</v>
      </c>
      <c r="H339" s="64"/>
      <c r="I339" s="109">
        <v>43607</v>
      </c>
      <c r="J339" s="109">
        <v>43611</v>
      </c>
      <c r="K339" s="39" t="s">
        <v>1596</v>
      </c>
      <c r="L339" s="76" t="s">
        <v>1597</v>
      </c>
      <c r="M339" s="93" t="s">
        <v>641</v>
      </c>
      <c r="N339" s="39" t="s">
        <v>51</v>
      </c>
      <c r="O339" s="56"/>
      <c r="P339" s="409" t="s">
        <v>1598</v>
      </c>
      <c r="Q339" s="76" t="s">
        <v>64</v>
      </c>
      <c r="R339" s="64"/>
      <c r="S339" s="24"/>
      <c r="T339" s="24"/>
      <c r="U339" s="64"/>
      <c r="V339" s="56"/>
      <c r="W339" s="56"/>
      <c r="X339" s="56"/>
      <c r="Y339" s="56"/>
      <c r="Z339" s="56"/>
      <c r="AA339" s="56"/>
      <c r="AB339" s="56"/>
      <c r="AC339" s="56"/>
    </row>
    <row r="340" spans="1:29" ht="15.75" customHeight="1">
      <c r="A340" s="39" t="s">
        <v>1599</v>
      </c>
      <c r="B340" s="107">
        <v>43613</v>
      </c>
      <c r="C340" s="109">
        <v>43620</v>
      </c>
      <c r="D340" s="144" t="s">
        <v>522</v>
      </c>
      <c r="E340" s="76" t="s">
        <v>188</v>
      </c>
      <c r="F340" s="145" t="s">
        <v>1560</v>
      </c>
      <c r="G340" s="399">
        <f>IFERROR(VLOOKUP(A340,醫療院所DATABASE!A:B,2,""),)</f>
        <v>0</v>
      </c>
      <c r="H340" s="64"/>
      <c r="I340" s="109">
        <v>43607</v>
      </c>
      <c r="J340" s="109">
        <v>43611</v>
      </c>
      <c r="K340" s="39" t="s">
        <v>1600</v>
      </c>
      <c r="L340" s="76" t="s">
        <v>1601</v>
      </c>
      <c r="M340" s="93" t="s">
        <v>641</v>
      </c>
      <c r="N340" s="39" t="s">
        <v>62</v>
      </c>
      <c r="O340" s="56"/>
      <c r="P340" s="409" t="s">
        <v>1602</v>
      </c>
      <c r="Q340" s="76" t="s">
        <v>64</v>
      </c>
      <c r="R340" s="64"/>
      <c r="S340" s="24"/>
      <c r="T340" s="24"/>
      <c r="U340" s="64"/>
      <c r="V340" s="56"/>
      <c r="W340" s="56"/>
      <c r="X340" s="56"/>
      <c r="Y340" s="56"/>
      <c r="Z340" s="56"/>
      <c r="AA340" s="56"/>
      <c r="AB340" s="56"/>
      <c r="AC340" s="56"/>
    </row>
    <row r="341" spans="1:29" ht="15.75" customHeight="1">
      <c r="A341" s="39" t="s">
        <v>1603</v>
      </c>
      <c r="B341" s="107">
        <v>43613</v>
      </c>
      <c r="C341" s="39">
        <v>20190603</v>
      </c>
      <c r="D341" s="76" t="s">
        <v>53</v>
      </c>
      <c r="E341" s="76" t="s">
        <v>53</v>
      </c>
      <c r="F341" s="147" t="s">
        <v>975</v>
      </c>
      <c r="G341" s="399">
        <f>IFERROR(VLOOKUP(A341,醫療院所DATABASE!A:B,2,""),)</f>
        <v>0</v>
      </c>
      <c r="H341" s="64"/>
      <c r="I341" s="109">
        <v>43607</v>
      </c>
      <c r="J341" s="109">
        <v>43611</v>
      </c>
      <c r="K341" s="39" t="s">
        <v>1604</v>
      </c>
      <c r="L341" s="76" t="s">
        <v>1605</v>
      </c>
      <c r="M341" s="85" t="s">
        <v>579</v>
      </c>
      <c r="N341" s="39" t="s">
        <v>62</v>
      </c>
      <c r="O341" s="56"/>
      <c r="P341" s="409" t="s">
        <v>1606</v>
      </c>
      <c r="Q341" s="76" t="s">
        <v>64</v>
      </c>
      <c r="R341" s="64"/>
      <c r="S341" s="24"/>
      <c r="T341" s="24"/>
      <c r="U341" s="64"/>
      <c r="V341" s="56"/>
      <c r="W341" s="56"/>
      <c r="X341" s="56"/>
      <c r="Y341" s="56"/>
      <c r="Z341" s="56"/>
      <c r="AA341" s="56"/>
      <c r="AB341" s="56"/>
      <c r="AC341" s="56"/>
    </row>
    <row r="342" spans="1:29" ht="15.75" customHeight="1">
      <c r="A342" s="39" t="s">
        <v>1607</v>
      </c>
      <c r="B342" s="107">
        <v>43614</v>
      </c>
      <c r="C342" s="109">
        <v>43620</v>
      </c>
      <c r="D342" s="76" t="s">
        <v>188</v>
      </c>
      <c r="E342" s="76" t="s">
        <v>188</v>
      </c>
      <c r="F342" s="129" t="s">
        <v>638</v>
      </c>
      <c r="G342" s="399">
        <f>IFERROR(VLOOKUP(A342,醫療院所DATABASE!A:B,2,""),)</f>
        <v>0</v>
      </c>
      <c r="H342" s="64"/>
      <c r="I342" s="109">
        <v>43608</v>
      </c>
      <c r="J342" s="109">
        <v>43614</v>
      </c>
      <c r="K342" s="39" t="s">
        <v>1608</v>
      </c>
      <c r="L342" s="76" t="s">
        <v>1609</v>
      </c>
      <c r="M342" s="49" t="s">
        <v>61</v>
      </c>
      <c r="N342" s="39" t="s">
        <v>51</v>
      </c>
      <c r="O342" s="56"/>
      <c r="P342" s="409" t="s">
        <v>1610</v>
      </c>
      <c r="Q342" s="76" t="s">
        <v>64</v>
      </c>
      <c r="R342" s="64"/>
      <c r="S342" s="24"/>
      <c r="T342" s="24"/>
      <c r="U342" s="76" t="s">
        <v>1611</v>
      </c>
      <c r="V342" s="56"/>
      <c r="W342" s="56"/>
      <c r="X342" s="56"/>
      <c r="Y342" s="56"/>
      <c r="Z342" s="56"/>
      <c r="AA342" s="56"/>
      <c r="AB342" s="56"/>
      <c r="AC342" s="56"/>
    </row>
    <row r="343" spans="1:29" ht="15.75" customHeight="1">
      <c r="A343" s="39" t="s">
        <v>1612</v>
      </c>
      <c r="B343" s="107">
        <v>43614</v>
      </c>
      <c r="C343" s="39">
        <v>20190603</v>
      </c>
      <c r="D343" s="144" t="s">
        <v>1613</v>
      </c>
      <c r="E343" s="76" t="s">
        <v>53</v>
      </c>
      <c r="F343" s="141" t="s">
        <v>1614</v>
      </c>
      <c r="G343" s="399">
        <f>IFERROR(VLOOKUP(A343,醫療院所DATABASE!A:B,2,""),)</f>
        <v>0</v>
      </c>
      <c r="H343" s="64"/>
      <c r="I343" s="109">
        <v>43608</v>
      </c>
      <c r="J343" s="109">
        <v>43614</v>
      </c>
      <c r="K343" s="39" t="s">
        <v>1615</v>
      </c>
      <c r="L343" s="76" t="s">
        <v>1616</v>
      </c>
      <c r="M343" s="49" t="s">
        <v>61</v>
      </c>
      <c r="N343" s="39" t="s">
        <v>62</v>
      </c>
      <c r="O343" s="56"/>
      <c r="P343" s="409" t="s">
        <v>1617</v>
      </c>
      <c r="Q343" s="76" t="s">
        <v>64</v>
      </c>
      <c r="R343" s="64"/>
      <c r="S343" s="24"/>
      <c r="T343" s="24"/>
      <c r="U343" s="64"/>
      <c r="V343" s="56"/>
      <c r="W343" s="56"/>
      <c r="X343" s="56"/>
      <c r="Y343" s="56"/>
      <c r="Z343" s="56"/>
      <c r="AA343" s="56"/>
      <c r="AB343" s="56"/>
      <c r="AC343" s="56"/>
    </row>
    <row r="344" spans="1:29" ht="15.75" customHeight="1">
      <c r="A344" s="39" t="s">
        <v>1618</v>
      </c>
      <c r="B344" s="107">
        <v>43614</v>
      </c>
      <c r="C344" s="109">
        <v>43620</v>
      </c>
      <c r="D344" s="144" t="s">
        <v>522</v>
      </c>
      <c r="E344" s="76" t="s">
        <v>188</v>
      </c>
      <c r="F344" s="141" t="s">
        <v>1569</v>
      </c>
      <c r="G344" s="399">
        <f>IFERROR(VLOOKUP(A344,醫療院所DATABASE!A:B,2,""),)</f>
        <v>0</v>
      </c>
      <c r="H344" s="76" t="s">
        <v>1164</v>
      </c>
      <c r="I344" s="109">
        <v>43608</v>
      </c>
      <c r="J344" s="109">
        <v>43614</v>
      </c>
      <c r="K344" s="39" t="s">
        <v>1619</v>
      </c>
      <c r="L344" s="76" t="s">
        <v>1620</v>
      </c>
      <c r="M344" s="49" t="s">
        <v>61</v>
      </c>
      <c r="N344" s="39" t="s">
        <v>51</v>
      </c>
      <c r="O344" s="56"/>
      <c r="P344" s="409" t="s">
        <v>1621</v>
      </c>
      <c r="Q344" s="76" t="s">
        <v>64</v>
      </c>
      <c r="R344" s="64"/>
      <c r="S344" s="24"/>
      <c r="T344" s="24"/>
      <c r="U344" s="64"/>
      <c r="V344" s="56"/>
      <c r="W344" s="56"/>
      <c r="X344" s="56"/>
      <c r="Y344" s="56"/>
      <c r="Z344" s="56"/>
      <c r="AA344" s="56"/>
      <c r="AB344" s="56"/>
      <c r="AC344" s="56"/>
    </row>
    <row r="345" spans="1:29" ht="15.75" customHeight="1">
      <c r="A345" s="39" t="s">
        <v>1618</v>
      </c>
      <c r="B345" s="107">
        <v>43614</v>
      </c>
      <c r="C345" s="107">
        <v>43619</v>
      </c>
      <c r="D345" s="144" t="s">
        <v>522</v>
      </c>
      <c r="E345" s="76" t="s">
        <v>53</v>
      </c>
      <c r="F345" s="141" t="s">
        <v>1569</v>
      </c>
      <c r="G345" s="399">
        <f>IFERROR(VLOOKUP(A345,醫療院所DATABASE!A:B,2,""),)</f>
        <v>0</v>
      </c>
      <c r="H345" s="64"/>
      <c r="I345" s="109">
        <v>43608</v>
      </c>
      <c r="J345" s="109">
        <v>43614</v>
      </c>
      <c r="K345" s="39" t="s">
        <v>1622</v>
      </c>
      <c r="L345" s="76" t="s">
        <v>1623</v>
      </c>
      <c r="M345" s="49" t="s">
        <v>61</v>
      </c>
      <c r="N345" s="39" t="s">
        <v>51</v>
      </c>
      <c r="O345" s="56"/>
      <c r="P345" s="409" t="s">
        <v>1624</v>
      </c>
      <c r="Q345" s="76" t="s">
        <v>64</v>
      </c>
      <c r="R345" s="64"/>
      <c r="S345" s="24"/>
      <c r="T345" s="24"/>
      <c r="U345" s="76" t="s">
        <v>1625</v>
      </c>
      <c r="V345" s="56"/>
      <c r="W345" s="56"/>
      <c r="X345" s="56"/>
      <c r="Y345" s="56"/>
      <c r="Z345" s="56"/>
      <c r="AA345" s="56"/>
      <c r="AB345" s="56"/>
      <c r="AC345" s="56"/>
    </row>
    <row r="346" spans="1:29" ht="15.75" customHeight="1">
      <c r="A346" s="39" t="s">
        <v>1626</v>
      </c>
      <c r="B346" s="107">
        <v>43615</v>
      </c>
      <c r="C346" s="107">
        <v>43619</v>
      </c>
      <c r="D346" s="144" t="s">
        <v>479</v>
      </c>
      <c r="E346" s="76" t="s">
        <v>479</v>
      </c>
      <c r="F346" s="145" t="s">
        <v>1578</v>
      </c>
      <c r="G346" s="399">
        <f>IFERROR(VLOOKUP(A346,醫療院所DATABASE!A:B,2,""),)</f>
        <v>0</v>
      </c>
      <c r="H346" s="64"/>
      <c r="I346" s="109">
        <v>43608</v>
      </c>
      <c r="J346" s="109">
        <v>43614</v>
      </c>
      <c r="K346" s="39" t="s">
        <v>1627</v>
      </c>
      <c r="L346" s="76" t="s">
        <v>1628</v>
      </c>
      <c r="M346" s="49" t="s">
        <v>61</v>
      </c>
      <c r="N346" s="39" t="s">
        <v>62</v>
      </c>
      <c r="O346" s="56"/>
      <c r="P346" s="409" t="s">
        <v>1629</v>
      </c>
      <c r="Q346" s="76" t="s">
        <v>64</v>
      </c>
      <c r="R346" s="76"/>
      <c r="S346" s="39"/>
      <c r="T346" s="39"/>
      <c r="U346" s="76" t="s">
        <v>1630</v>
      </c>
      <c r="V346" s="56"/>
      <c r="W346" s="56"/>
      <c r="X346" s="56"/>
      <c r="Y346" s="56"/>
      <c r="Z346" s="56"/>
      <c r="AA346" s="56"/>
      <c r="AB346" s="56"/>
      <c r="AC346" s="56"/>
    </row>
    <row r="347" spans="1:29" ht="15.75" customHeight="1">
      <c r="A347" s="39" t="s">
        <v>1626</v>
      </c>
      <c r="B347" s="107">
        <v>43615</v>
      </c>
      <c r="C347" s="107">
        <v>43619</v>
      </c>
      <c r="D347" s="144" t="s">
        <v>479</v>
      </c>
      <c r="E347" s="76" t="s">
        <v>479</v>
      </c>
      <c r="F347" s="145" t="s">
        <v>1578</v>
      </c>
      <c r="G347" s="399">
        <f>IFERROR(VLOOKUP(A347,醫療院所DATABASE!A:B,2,""),)</f>
        <v>0</v>
      </c>
      <c r="H347" s="64"/>
      <c r="I347" s="109">
        <v>43608</v>
      </c>
      <c r="J347" s="109">
        <v>43614</v>
      </c>
      <c r="K347" s="39" t="s">
        <v>1631</v>
      </c>
      <c r="L347" s="76" t="s">
        <v>1632</v>
      </c>
      <c r="M347" s="49" t="s">
        <v>61</v>
      </c>
      <c r="N347" s="39" t="s">
        <v>62</v>
      </c>
      <c r="O347" s="56"/>
      <c r="P347" s="409" t="s">
        <v>1633</v>
      </c>
      <c r="Q347" s="76" t="s">
        <v>64</v>
      </c>
      <c r="R347" s="64"/>
      <c r="S347" s="24"/>
      <c r="T347" s="24"/>
      <c r="U347" s="76" t="s">
        <v>1630</v>
      </c>
      <c r="V347" s="56"/>
      <c r="W347" s="56"/>
      <c r="X347" s="56"/>
      <c r="Y347" s="56"/>
      <c r="Z347" s="56"/>
      <c r="AA347" s="56"/>
      <c r="AB347" s="56"/>
      <c r="AC347" s="56"/>
    </row>
    <row r="348" spans="1:29" ht="15.75" customHeight="1">
      <c r="A348" s="39" t="s">
        <v>1626</v>
      </c>
      <c r="B348" s="107">
        <v>43615</v>
      </c>
      <c r="C348" s="107">
        <v>43619</v>
      </c>
      <c r="D348" s="144" t="s">
        <v>479</v>
      </c>
      <c r="E348" s="76" t="s">
        <v>479</v>
      </c>
      <c r="F348" s="145" t="s">
        <v>1578</v>
      </c>
      <c r="G348" s="399">
        <f>IFERROR(VLOOKUP(A348,醫療院所DATABASE!A:B,2,""),)</f>
        <v>0</v>
      </c>
      <c r="H348" s="64"/>
      <c r="I348" s="109">
        <v>43608</v>
      </c>
      <c r="J348" s="109">
        <v>43614</v>
      </c>
      <c r="K348" s="39" t="s">
        <v>1634</v>
      </c>
      <c r="L348" s="76" t="s">
        <v>1635</v>
      </c>
      <c r="M348" s="49" t="s">
        <v>61</v>
      </c>
      <c r="N348" s="39" t="s">
        <v>62</v>
      </c>
      <c r="O348" s="56"/>
      <c r="P348" s="409" t="s">
        <v>1636</v>
      </c>
      <c r="Q348" s="76" t="s">
        <v>64</v>
      </c>
      <c r="R348" s="64"/>
      <c r="S348" s="24"/>
      <c r="T348" s="24"/>
      <c r="U348" s="76" t="s">
        <v>1630</v>
      </c>
      <c r="V348" s="56"/>
      <c r="W348" s="56"/>
      <c r="X348" s="56"/>
      <c r="Y348" s="56"/>
      <c r="Z348" s="56"/>
      <c r="AA348" s="56"/>
      <c r="AB348" s="56"/>
      <c r="AC348" s="56"/>
    </row>
    <row r="349" spans="1:29" ht="15.75" customHeight="1">
      <c r="A349" s="39" t="s">
        <v>1626</v>
      </c>
      <c r="B349" s="107">
        <v>43615</v>
      </c>
      <c r="C349" s="107">
        <v>43619</v>
      </c>
      <c r="D349" s="144" t="s">
        <v>479</v>
      </c>
      <c r="E349" s="76" t="s">
        <v>479</v>
      </c>
      <c r="F349" s="145" t="s">
        <v>1578</v>
      </c>
      <c r="G349" s="399">
        <f>IFERROR(VLOOKUP(A349,醫療院所DATABASE!A:B,2,""),)</f>
        <v>0</v>
      </c>
      <c r="H349" s="64"/>
      <c r="I349" s="109">
        <v>43608</v>
      </c>
      <c r="J349" s="109">
        <v>43614</v>
      </c>
      <c r="K349" s="39" t="s">
        <v>1637</v>
      </c>
      <c r="L349" s="76" t="s">
        <v>1638</v>
      </c>
      <c r="M349" s="49" t="s">
        <v>61</v>
      </c>
      <c r="N349" s="39" t="s">
        <v>62</v>
      </c>
      <c r="O349" s="56"/>
      <c r="P349" s="409" t="s">
        <v>1639</v>
      </c>
      <c r="Q349" s="76" t="s">
        <v>64</v>
      </c>
      <c r="R349" s="64"/>
      <c r="S349" s="24"/>
      <c r="T349" s="24"/>
      <c r="U349" s="76" t="s">
        <v>1630</v>
      </c>
      <c r="V349" s="56"/>
      <c r="W349" s="56"/>
      <c r="X349" s="56"/>
      <c r="Y349" s="56"/>
      <c r="Z349" s="56"/>
      <c r="AA349" s="56"/>
      <c r="AB349" s="56"/>
      <c r="AC349" s="56"/>
    </row>
    <row r="350" spans="1:29" ht="15.75" customHeight="1">
      <c r="A350" s="39" t="s">
        <v>1626</v>
      </c>
      <c r="B350" s="107">
        <v>43615</v>
      </c>
      <c r="C350" s="107">
        <v>43619</v>
      </c>
      <c r="D350" s="144" t="s">
        <v>479</v>
      </c>
      <c r="E350" s="76" t="s">
        <v>479</v>
      </c>
      <c r="F350" s="145" t="s">
        <v>1578</v>
      </c>
      <c r="G350" s="399">
        <f>IFERROR(VLOOKUP(A350,醫療院所DATABASE!A:B,2,""),)</f>
        <v>0</v>
      </c>
      <c r="H350" s="64"/>
      <c r="I350" s="109">
        <v>43608</v>
      </c>
      <c r="J350" s="109">
        <v>43614</v>
      </c>
      <c r="K350" s="39" t="s">
        <v>1640</v>
      </c>
      <c r="L350" s="76" t="s">
        <v>1641</v>
      </c>
      <c r="M350" s="49" t="s">
        <v>61</v>
      </c>
      <c r="N350" s="39" t="s">
        <v>62</v>
      </c>
      <c r="O350" s="56"/>
      <c r="P350" s="409" t="s">
        <v>1642</v>
      </c>
      <c r="Q350" s="76" t="s">
        <v>64</v>
      </c>
      <c r="R350" s="64"/>
      <c r="S350" s="24"/>
      <c r="T350" s="24"/>
      <c r="U350" s="76" t="s">
        <v>1630</v>
      </c>
      <c r="V350" s="56"/>
      <c r="W350" s="56"/>
      <c r="X350" s="56"/>
      <c r="Y350" s="56"/>
      <c r="Z350" s="56"/>
      <c r="AA350" s="56"/>
      <c r="AB350" s="56"/>
      <c r="AC350" s="56"/>
    </row>
    <row r="351" spans="1:29" ht="15.75" customHeight="1">
      <c r="A351" s="39" t="s">
        <v>1626</v>
      </c>
      <c r="B351" s="107">
        <v>43615</v>
      </c>
      <c r="C351" s="107">
        <v>43619</v>
      </c>
      <c r="D351" s="144" t="s">
        <v>479</v>
      </c>
      <c r="E351" s="76" t="s">
        <v>479</v>
      </c>
      <c r="F351" s="145" t="s">
        <v>1578</v>
      </c>
      <c r="G351" s="399">
        <f>IFERROR(VLOOKUP(A351,醫療院所DATABASE!A:B,2,""),)</f>
        <v>0</v>
      </c>
      <c r="H351" s="64"/>
      <c r="I351" s="109">
        <v>43608</v>
      </c>
      <c r="J351" s="109">
        <v>43614</v>
      </c>
      <c r="K351" s="39" t="s">
        <v>1643</v>
      </c>
      <c r="L351" s="76" t="s">
        <v>1644</v>
      </c>
      <c r="M351" s="49" t="s">
        <v>61</v>
      </c>
      <c r="N351" s="39" t="s">
        <v>62</v>
      </c>
      <c r="O351" s="56"/>
      <c r="P351" s="409" t="s">
        <v>1645</v>
      </c>
      <c r="Q351" s="76" t="s">
        <v>64</v>
      </c>
      <c r="R351" s="64"/>
      <c r="S351" s="24"/>
      <c r="T351" s="24"/>
      <c r="U351" s="76" t="s">
        <v>1630</v>
      </c>
      <c r="V351" s="56"/>
      <c r="W351" s="56"/>
      <c r="X351" s="56"/>
      <c r="Y351" s="56"/>
      <c r="Z351" s="56"/>
      <c r="AA351" s="56"/>
      <c r="AB351" s="56"/>
      <c r="AC351" s="56"/>
    </row>
    <row r="352" spans="1:29" ht="15.75" customHeight="1">
      <c r="A352" s="39" t="s">
        <v>1626</v>
      </c>
      <c r="B352" s="107">
        <v>43615</v>
      </c>
      <c r="C352" s="107">
        <v>43619</v>
      </c>
      <c r="D352" s="144" t="s">
        <v>479</v>
      </c>
      <c r="E352" s="76" t="s">
        <v>479</v>
      </c>
      <c r="F352" s="145" t="s">
        <v>1578</v>
      </c>
      <c r="G352" s="399">
        <f>IFERROR(VLOOKUP(A352,醫療院所DATABASE!A:B,2,""),)</f>
        <v>0</v>
      </c>
      <c r="H352" s="64"/>
      <c r="I352" s="109">
        <v>43608</v>
      </c>
      <c r="J352" s="109">
        <v>43614</v>
      </c>
      <c r="K352" s="39" t="s">
        <v>1646</v>
      </c>
      <c r="L352" s="76" t="s">
        <v>1647</v>
      </c>
      <c r="M352" s="49" t="s">
        <v>61</v>
      </c>
      <c r="N352" s="39" t="s">
        <v>62</v>
      </c>
      <c r="O352" s="56"/>
      <c r="P352" s="409" t="s">
        <v>1648</v>
      </c>
      <c r="Q352" s="76" t="s">
        <v>64</v>
      </c>
      <c r="R352" s="64"/>
      <c r="S352" s="24"/>
      <c r="T352" s="24"/>
      <c r="U352" s="76" t="s">
        <v>1630</v>
      </c>
      <c r="V352" s="56"/>
      <c r="W352" s="56"/>
      <c r="X352" s="56"/>
      <c r="Y352" s="56"/>
      <c r="Z352" s="56"/>
      <c r="AA352" s="56"/>
      <c r="AB352" s="56"/>
      <c r="AC352" s="56"/>
    </row>
    <row r="353" spans="1:29" ht="15.75" customHeight="1">
      <c r="A353" s="39" t="s">
        <v>1626</v>
      </c>
      <c r="B353" s="107">
        <v>43615</v>
      </c>
      <c r="C353" s="107">
        <v>43619</v>
      </c>
      <c r="D353" s="144" t="s">
        <v>479</v>
      </c>
      <c r="E353" s="76" t="s">
        <v>479</v>
      </c>
      <c r="F353" s="145" t="s">
        <v>1578</v>
      </c>
      <c r="G353" s="399">
        <f>IFERROR(VLOOKUP(A353,醫療院所DATABASE!A:B,2,""),)</f>
        <v>0</v>
      </c>
      <c r="H353" s="64"/>
      <c r="I353" s="109">
        <v>43608</v>
      </c>
      <c r="J353" s="109">
        <v>43614</v>
      </c>
      <c r="K353" s="39" t="s">
        <v>1649</v>
      </c>
      <c r="L353" s="76" t="s">
        <v>1650</v>
      </c>
      <c r="M353" s="49" t="s">
        <v>61</v>
      </c>
      <c r="N353" s="39" t="s">
        <v>62</v>
      </c>
      <c r="O353" s="56"/>
      <c r="P353" s="409" t="s">
        <v>1651</v>
      </c>
      <c r="Q353" s="76" t="s">
        <v>64</v>
      </c>
      <c r="R353" s="64"/>
      <c r="S353" s="24"/>
      <c r="T353" s="24"/>
      <c r="U353" s="76" t="s">
        <v>1630</v>
      </c>
      <c r="V353" s="56"/>
      <c r="W353" s="56"/>
      <c r="X353" s="56"/>
      <c r="Y353" s="56"/>
      <c r="Z353" s="56"/>
      <c r="AA353" s="56"/>
      <c r="AB353" s="56"/>
      <c r="AC353" s="56"/>
    </row>
    <row r="354" spans="1:29" ht="15.75" customHeight="1">
      <c r="A354" s="39" t="s">
        <v>1626</v>
      </c>
      <c r="B354" s="107">
        <v>43615</v>
      </c>
      <c r="C354" s="107">
        <v>43619</v>
      </c>
      <c r="D354" s="144" t="s">
        <v>479</v>
      </c>
      <c r="E354" s="76" t="s">
        <v>479</v>
      </c>
      <c r="F354" s="145" t="s">
        <v>1578</v>
      </c>
      <c r="G354" s="399">
        <f>IFERROR(VLOOKUP(A354,醫療院所DATABASE!A:B,2,""),)</f>
        <v>0</v>
      </c>
      <c r="H354" s="64"/>
      <c r="I354" s="109">
        <v>43608</v>
      </c>
      <c r="J354" s="109">
        <v>43614</v>
      </c>
      <c r="K354" s="39" t="s">
        <v>1652</v>
      </c>
      <c r="L354" s="76" t="s">
        <v>1653</v>
      </c>
      <c r="M354" s="49" t="s">
        <v>61</v>
      </c>
      <c r="N354" s="39" t="s">
        <v>62</v>
      </c>
      <c r="O354" s="56"/>
      <c r="P354" s="409" t="s">
        <v>1654</v>
      </c>
      <c r="Q354" s="76" t="s">
        <v>64</v>
      </c>
      <c r="R354" s="64"/>
      <c r="S354" s="24"/>
      <c r="T354" s="24"/>
      <c r="U354" s="76" t="s">
        <v>1630</v>
      </c>
      <c r="V354" s="56"/>
      <c r="W354" s="56"/>
      <c r="X354" s="56"/>
      <c r="Y354" s="56"/>
      <c r="Z354" s="56"/>
      <c r="AA354" s="56"/>
      <c r="AB354" s="56"/>
      <c r="AC354" s="56"/>
    </row>
    <row r="355" spans="1:29" ht="15.75" customHeight="1">
      <c r="A355" s="39" t="s">
        <v>1655</v>
      </c>
      <c r="B355" s="107">
        <v>43614</v>
      </c>
      <c r="C355" s="39">
        <v>20190603</v>
      </c>
      <c r="D355" s="148" t="s">
        <v>53</v>
      </c>
      <c r="E355" s="76" t="s">
        <v>53</v>
      </c>
      <c r="F355" s="149" t="s">
        <v>1587</v>
      </c>
      <c r="G355" s="399">
        <f>IFERROR(VLOOKUP(A355,醫療院所DATABASE!A:B,2,""),)</f>
        <v>0</v>
      </c>
      <c r="H355" s="76" t="s">
        <v>1656</v>
      </c>
      <c r="I355" s="109">
        <v>43608</v>
      </c>
      <c r="J355" s="109">
        <v>43612</v>
      </c>
      <c r="K355" s="39" t="s">
        <v>1657</v>
      </c>
      <c r="L355" s="76" t="s">
        <v>1658</v>
      </c>
      <c r="M355" s="119" t="s">
        <v>963</v>
      </c>
      <c r="N355" s="39" t="s">
        <v>62</v>
      </c>
      <c r="O355" s="56"/>
      <c r="P355" s="409" t="s">
        <v>1659</v>
      </c>
      <c r="Q355" s="76" t="s">
        <v>64</v>
      </c>
      <c r="R355" s="64"/>
      <c r="S355" s="24"/>
      <c r="T355" s="24"/>
      <c r="U355" s="64"/>
      <c r="V355" s="56"/>
      <c r="W355" s="56"/>
      <c r="X355" s="56"/>
      <c r="Y355" s="56"/>
      <c r="Z355" s="56"/>
      <c r="AA355" s="56"/>
      <c r="AB355" s="56"/>
      <c r="AC355" s="56"/>
    </row>
    <row r="356" spans="1:29" ht="15.75" customHeight="1">
      <c r="A356" s="39" t="s">
        <v>1655</v>
      </c>
      <c r="B356" s="107">
        <v>43614</v>
      </c>
      <c r="C356" s="39">
        <v>20190603</v>
      </c>
      <c r="D356" s="148" t="s">
        <v>53</v>
      </c>
      <c r="E356" s="76" t="s">
        <v>53</v>
      </c>
      <c r="F356" s="149" t="s">
        <v>1587</v>
      </c>
      <c r="G356" s="399">
        <f>IFERROR(VLOOKUP(A356,醫療院所DATABASE!A:B,2,""),)</f>
        <v>0</v>
      </c>
      <c r="H356" s="76" t="s">
        <v>1656</v>
      </c>
      <c r="I356" s="109">
        <v>43608</v>
      </c>
      <c r="J356" s="109">
        <v>43612</v>
      </c>
      <c r="K356" s="39" t="s">
        <v>1660</v>
      </c>
      <c r="L356" s="76" t="s">
        <v>1661</v>
      </c>
      <c r="M356" s="119" t="s">
        <v>963</v>
      </c>
      <c r="N356" s="39" t="s">
        <v>62</v>
      </c>
      <c r="O356" s="56"/>
      <c r="P356" s="409" t="s">
        <v>1662</v>
      </c>
      <c r="Q356" s="76" t="s">
        <v>64</v>
      </c>
      <c r="R356" s="64"/>
      <c r="S356" s="24"/>
      <c r="T356" s="24"/>
      <c r="U356" s="64"/>
      <c r="V356" s="56"/>
      <c r="W356" s="56"/>
      <c r="X356" s="56"/>
      <c r="Y356" s="56"/>
      <c r="Z356" s="56"/>
      <c r="AA356" s="56"/>
      <c r="AB356" s="56"/>
      <c r="AC356" s="56"/>
    </row>
    <row r="357" spans="1:29" ht="15.75" customHeight="1">
      <c r="A357" s="39" t="s">
        <v>1655</v>
      </c>
      <c r="B357" s="107">
        <v>43614</v>
      </c>
      <c r="C357" s="39">
        <v>20190603</v>
      </c>
      <c r="D357" s="148" t="s">
        <v>53</v>
      </c>
      <c r="E357" s="76" t="s">
        <v>53</v>
      </c>
      <c r="F357" s="149" t="s">
        <v>1587</v>
      </c>
      <c r="G357" s="399">
        <f>IFERROR(VLOOKUP(A357,醫療院所DATABASE!A:B,2,""),)</f>
        <v>0</v>
      </c>
      <c r="H357" s="76" t="s">
        <v>1656</v>
      </c>
      <c r="I357" s="109">
        <v>43608</v>
      </c>
      <c r="J357" s="109">
        <v>43612</v>
      </c>
      <c r="K357" s="39" t="s">
        <v>1663</v>
      </c>
      <c r="L357" s="76" t="s">
        <v>1664</v>
      </c>
      <c r="M357" s="119" t="s">
        <v>963</v>
      </c>
      <c r="N357" s="39" t="s">
        <v>62</v>
      </c>
      <c r="O357" s="56"/>
      <c r="P357" s="409" t="s">
        <v>1665</v>
      </c>
      <c r="Q357" s="76" t="s">
        <v>64</v>
      </c>
      <c r="R357" s="64"/>
      <c r="S357" s="24"/>
      <c r="T357" s="24"/>
      <c r="U357" s="64"/>
      <c r="V357" s="56"/>
      <c r="W357" s="56"/>
      <c r="X357" s="56"/>
      <c r="Y357" s="56"/>
      <c r="Z357" s="56"/>
      <c r="AA357" s="56"/>
      <c r="AB357" s="56"/>
      <c r="AC357" s="56"/>
    </row>
    <row r="358" spans="1:29" ht="15.75" customHeight="1">
      <c r="A358" s="39" t="s">
        <v>1666</v>
      </c>
      <c r="B358" s="107">
        <v>43615</v>
      </c>
      <c r="C358" s="109">
        <v>43633</v>
      </c>
      <c r="D358" s="76" t="s">
        <v>479</v>
      </c>
      <c r="E358" s="76" t="s">
        <v>479</v>
      </c>
      <c r="F358" s="129" t="s">
        <v>1667</v>
      </c>
      <c r="G358" s="399">
        <f>IFERROR(VLOOKUP(A358,醫療院所DATABASE!A:B,2,""),)</f>
        <v>0</v>
      </c>
      <c r="H358" s="64"/>
      <c r="I358" s="109">
        <v>43609</v>
      </c>
      <c r="J358" s="109">
        <v>43615</v>
      </c>
      <c r="K358" s="39" t="s">
        <v>1668</v>
      </c>
      <c r="L358" s="76" t="s">
        <v>1669</v>
      </c>
      <c r="M358" s="49" t="s">
        <v>61</v>
      </c>
      <c r="N358" s="39" t="s">
        <v>62</v>
      </c>
      <c r="O358" s="56"/>
      <c r="P358" s="409" t="s">
        <v>1670</v>
      </c>
      <c r="Q358" s="76" t="s">
        <v>64</v>
      </c>
      <c r="R358" s="64"/>
      <c r="S358" s="24"/>
      <c r="T358" s="24"/>
      <c r="U358" s="64"/>
      <c r="V358" s="56"/>
      <c r="W358" s="56"/>
      <c r="X358" s="56"/>
      <c r="Y358" s="56"/>
      <c r="Z358" s="56"/>
      <c r="AA358" s="56"/>
      <c r="AB358" s="56"/>
      <c r="AC358" s="56"/>
    </row>
    <row r="359" spans="1:29" ht="15.75" customHeight="1">
      <c r="A359" s="39" t="s">
        <v>1389</v>
      </c>
      <c r="B359" s="107">
        <v>43615</v>
      </c>
      <c r="C359" s="109">
        <v>43620</v>
      </c>
      <c r="D359" s="76" t="s">
        <v>479</v>
      </c>
      <c r="E359" s="76" t="s">
        <v>479</v>
      </c>
      <c r="F359" s="150" t="s">
        <v>808</v>
      </c>
      <c r="G359" s="399">
        <f>IFERROR(VLOOKUP(A359,醫療院所DATABASE!A:B,2,""),)</f>
        <v>0</v>
      </c>
      <c r="H359" s="64"/>
      <c r="I359" s="109">
        <v>43609</v>
      </c>
      <c r="J359" s="109">
        <v>43615</v>
      </c>
      <c r="K359" s="39" t="s">
        <v>1671</v>
      </c>
      <c r="L359" s="76" t="s">
        <v>1672</v>
      </c>
      <c r="M359" s="49" t="s">
        <v>61</v>
      </c>
      <c r="N359" s="39" t="s">
        <v>62</v>
      </c>
      <c r="O359" s="56"/>
      <c r="P359" s="409" t="s">
        <v>1673</v>
      </c>
      <c r="Q359" s="76" t="s">
        <v>1207</v>
      </c>
      <c r="R359" s="64"/>
      <c r="S359" s="24"/>
      <c r="T359" s="24"/>
      <c r="U359" s="64"/>
      <c r="V359" s="56"/>
      <c r="W359" s="56"/>
      <c r="X359" s="56"/>
      <c r="Y359" s="56"/>
      <c r="Z359" s="56"/>
      <c r="AA359" s="56"/>
      <c r="AB359" s="56"/>
      <c r="AC359" s="56"/>
    </row>
    <row r="360" spans="1:29" ht="15.75" customHeight="1">
      <c r="A360" s="39" t="s">
        <v>1674</v>
      </c>
      <c r="B360" s="107">
        <v>43615</v>
      </c>
      <c r="C360" s="109">
        <v>43620</v>
      </c>
      <c r="D360" s="76" t="s">
        <v>479</v>
      </c>
      <c r="E360" s="76" t="s">
        <v>479</v>
      </c>
      <c r="F360" s="129" t="s">
        <v>1384</v>
      </c>
      <c r="G360" s="399">
        <f>IFERROR(VLOOKUP(A360,醫療院所DATABASE!A:B,2,""),)</f>
        <v>0</v>
      </c>
      <c r="H360" s="64"/>
      <c r="I360" s="109">
        <v>43609</v>
      </c>
      <c r="J360" s="109">
        <v>43615</v>
      </c>
      <c r="K360" s="39" t="s">
        <v>1675</v>
      </c>
      <c r="L360" s="76" t="s">
        <v>1676</v>
      </c>
      <c r="M360" s="119" t="s">
        <v>963</v>
      </c>
      <c r="N360" s="39" t="s">
        <v>62</v>
      </c>
      <c r="O360" s="56"/>
      <c r="P360" s="409" t="s">
        <v>1677</v>
      </c>
      <c r="Q360" s="76" t="s">
        <v>1207</v>
      </c>
      <c r="R360" s="64"/>
      <c r="S360" s="24"/>
      <c r="T360" s="24"/>
      <c r="U360" s="64"/>
      <c r="V360" s="56"/>
      <c r="W360" s="56"/>
      <c r="X360" s="56"/>
      <c r="Y360" s="56"/>
      <c r="Z360" s="56"/>
      <c r="AA360" s="56"/>
      <c r="AB360" s="56"/>
      <c r="AC360" s="56"/>
    </row>
    <row r="361" spans="1:29" ht="15.75" customHeight="1">
      <c r="A361" s="39">
        <v>19052201</v>
      </c>
      <c r="B361" s="107">
        <v>43615</v>
      </c>
      <c r="C361" s="109">
        <v>43620</v>
      </c>
      <c r="D361" s="76" t="s">
        <v>1029</v>
      </c>
      <c r="E361" s="76" t="s">
        <v>188</v>
      </c>
      <c r="F361" s="129" t="s">
        <v>353</v>
      </c>
      <c r="G361" s="399">
        <f>IFERROR(VLOOKUP(A361,醫療院所DATABASE!A:B,2,""),)</f>
        <v>0</v>
      </c>
      <c r="H361" s="76" t="s">
        <v>1678</v>
      </c>
      <c r="I361" s="109">
        <v>43612</v>
      </c>
      <c r="J361" s="109">
        <v>43614</v>
      </c>
      <c r="K361" s="39" t="s">
        <v>1679</v>
      </c>
      <c r="L361" s="76" t="s">
        <v>1680</v>
      </c>
      <c r="M361" s="49" t="s">
        <v>61</v>
      </c>
      <c r="N361" s="39" t="s">
        <v>62</v>
      </c>
      <c r="O361" s="56"/>
      <c r="P361" s="409" t="s">
        <v>1681</v>
      </c>
      <c r="Q361" s="76" t="s">
        <v>64</v>
      </c>
      <c r="R361" s="64"/>
      <c r="S361" s="24"/>
      <c r="T361" s="24"/>
      <c r="U361" s="76" t="s">
        <v>1678</v>
      </c>
      <c r="V361" s="56"/>
      <c r="W361" s="56"/>
      <c r="X361" s="56"/>
      <c r="Y361" s="56"/>
      <c r="Z361" s="56"/>
      <c r="AA361" s="56"/>
      <c r="AB361" s="56"/>
      <c r="AC361" s="56"/>
    </row>
    <row r="362" spans="1:29" ht="15.75" customHeight="1">
      <c r="A362" s="39">
        <v>19052202</v>
      </c>
      <c r="B362" s="107">
        <v>43615</v>
      </c>
      <c r="C362" s="109">
        <v>43620</v>
      </c>
      <c r="D362" s="76" t="s">
        <v>1029</v>
      </c>
      <c r="E362" s="76" t="s">
        <v>188</v>
      </c>
      <c r="F362" s="129" t="s">
        <v>353</v>
      </c>
      <c r="G362" s="399">
        <f>IFERROR(VLOOKUP(A362,醫療院所DATABASE!A:B,2,""),)</f>
        <v>0</v>
      </c>
      <c r="H362" s="76" t="s">
        <v>1678</v>
      </c>
      <c r="I362" s="109">
        <v>43612</v>
      </c>
      <c r="J362" s="109">
        <v>43614</v>
      </c>
      <c r="K362" s="39" t="s">
        <v>1682</v>
      </c>
      <c r="L362" s="76" t="s">
        <v>386</v>
      </c>
      <c r="M362" s="49" t="s">
        <v>61</v>
      </c>
      <c r="N362" s="39" t="s">
        <v>51</v>
      </c>
      <c r="O362" s="56"/>
      <c r="P362" s="409" t="s">
        <v>1683</v>
      </c>
      <c r="Q362" s="76" t="s">
        <v>64</v>
      </c>
      <c r="R362" s="64"/>
      <c r="S362" s="24"/>
      <c r="T362" s="24"/>
      <c r="U362" s="76" t="s">
        <v>1678</v>
      </c>
      <c r="V362" s="56"/>
      <c r="W362" s="56"/>
      <c r="X362" s="56"/>
      <c r="Y362" s="56"/>
      <c r="Z362" s="56"/>
      <c r="AA362" s="56"/>
      <c r="AB362" s="56"/>
      <c r="AC362" s="56"/>
    </row>
    <row r="363" spans="1:29" ht="15.75" customHeight="1">
      <c r="A363" s="39">
        <v>19052402</v>
      </c>
      <c r="B363" s="107">
        <v>43615</v>
      </c>
      <c r="C363" s="109">
        <v>43620</v>
      </c>
      <c r="D363" s="76" t="s">
        <v>188</v>
      </c>
      <c r="E363" s="76" t="s">
        <v>188</v>
      </c>
      <c r="F363" s="129" t="s">
        <v>353</v>
      </c>
      <c r="G363" s="399">
        <f>IFERROR(VLOOKUP(A363,醫療院所DATABASE!A:B,2,""),)</f>
        <v>0</v>
      </c>
      <c r="H363" s="64"/>
      <c r="I363" s="109">
        <v>43612</v>
      </c>
      <c r="J363" s="109">
        <v>43614</v>
      </c>
      <c r="K363" s="39" t="s">
        <v>1684</v>
      </c>
      <c r="L363" s="76" t="s">
        <v>1685</v>
      </c>
      <c r="M363" s="49" t="s">
        <v>61</v>
      </c>
      <c r="N363" s="39" t="s">
        <v>62</v>
      </c>
      <c r="O363" s="56"/>
      <c r="P363" s="409" t="s">
        <v>1686</v>
      </c>
      <c r="Q363" s="76" t="s">
        <v>64</v>
      </c>
      <c r="R363" s="64"/>
      <c r="S363" s="24"/>
      <c r="T363" s="24"/>
      <c r="U363" s="64"/>
      <c r="V363" s="56"/>
      <c r="W363" s="56"/>
      <c r="X363" s="56"/>
      <c r="Y363" s="56"/>
      <c r="Z363" s="56"/>
      <c r="AA363" s="56"/>
      <c r="AB363" s="56"/>
      <c r="AC363" s="56"/>
    </row>
    <row r="364" spans="1:29" ht="15.75" customHeight="1">
      <c r="A364" s="39" t="s">
        <v>1687</v>
      </c>
      <c r="B364" s="107">
        <v>43615</v>
      </c>
      <c r="C364" s="109">
        <v>43619</v>
      </c>
      <c r="D364" s="76" t="s">
        <v>53</v>
      </c>
      <c r="E364" s="76" t="s">
        <v>53</v>
      </c>
      <c r="F364" s="129" t="s">
        <v>54</v>
      </c>
      <c r="G364" s="399">
        <f>IFERROR(VLOOKUP(A364,醫療院所DATABASE!A:B,2,""),)</f>
        <v>0</v>
      </c>
      <c r="H364" s="64"/>
      <c r="I364" s="109">
        <v>43612</v>
      </c>
      <c r="J364" s="109">
        <v>43614</v>
      </c>
      <c r="K364" s="39" t="s">
        <v>1688</v>
      </c>
      <c r="L364" s="76" t="s">
        <v>1689</v>
      </c>
      <c r="M364" s="49" t="s">
        <v>61</v>
      </c>
      <c r="N364" s="39" t="s">
        <v>51</v>
      </c>
      <c r="O364" s="56"/>
      <c r="P364" s="409" t="s">
        <v>1690</v>
      </c>
      <c r="Q364" s="76" t="s">
        <v>64</v>
      </c>
      <c r="R364" s="64"/>
      <c r="S364" s="24"/>
      <c r="T364" s="24"/>
      <c r="U364" s="64"/>
      <c r="V364" s="56"/>
      <c r="W364" s="56"/>
      <c r="X364" s="56"/>
      <c r="Y364" s="56"/>
      <c r="Z364" s="56"/>
      <c r="AA364" s="56"/>
      <c r="AB364" s="56"/>
      <c r="AC364" s="56"/>
    </row>
    <row r="365" spans="1:29" ht="15.75" customHeight="1">
      <c r="A365" s="39" t="s">
        <v>1691</v>
      </c>
      <c r="B365" s="107">
        <v>43615</v>
      </c>
      <c r="C365" s="39">
        <v>20190603</v>
      </c>
      <c r="D365" s="76" t="s">
        <v>53</v>
      </c>
      <c r="E365" s="76" t="s">
        <v>53</v>
      </c>
      <c r="F365" s="129" t="s">
        <v>54</v>
      </c>
      <c r="G365" s="399">
        <f>IFERROR(VLOOKUP(A365,醫療院所DATABASE!A:B,2,""),)</f>
        <v>0</v>
      </c>
      <c r="H365" s="64"/>
      <c r="I365" s="109">
        <v>43612</v>
      </c>
      <c r="J365" s="109">
        <v>43614</v>
      </c>
      <c r="K365" s="39" t="s">
        <v>1692</v>
      </c>
      <c r="L365" s="76" t="s">
        <v>1693</v>
      </c>
      <c r="M365" s="49" t="s">
        <v>61</v>
      </c>
      <c r="N365" s="39" t="s">
        <v>62</v>
      </c>
      <c r="O365" s="56"/>
      <c r="P365" s="409" t="s">
        <v>1694</v>
      </c>
      <c r="Q365" s="76" t="s">
        <v>64</v>
      </c>
      <c r="R365" s="64"/>
      <c r="S365" s="24"/>
      <c r="T365" s="24"/>
      <c r="U365" s="64"/>
      <c r="V365" s="56"/>
      <c r="W365" s="56"/>
      <c r="X365" s="56"/>
      <c r="Y365" s="56"/>
      <c r="Z365" s="56"/>
      <c r="AA365" s="56"/>
      <c r="AB365" s="56"/>
      <c r="AC365" s="56"/>
    </row>
    <row r="366" spans="1:29" ht="15.75" customHeight="1">
      <c r="A366" s="39" t="s">
        <v>1197</v>
      </c>
      <c r="B366" s="107">
        <v>43615</v>
      </c>
      <c r="C366" s="109">
        <v>43616</v>
      </c>
      <c r="D366" s="76" t="s">
        <v>479</v>
      </c>
      <c r="E366" s="76" t="s">
        <v>479</v>
      </c>
      <c r="F366" s="129" t="s">
        <v>1198</v>
      </c>
      <c r="G366" s="400" t="s">
        <v>1695</v>
      </c>
      <c r="H366" s="64"/>
      <c r="I366" s="109">
        <v>43612</v>
      </c>
      <c r="J366" s="109">
        <v>43614</v>
      </c>
      <c r="K366" s="39" t="s">
        <v>1696</v>
      </c>
      <c r="L366" s="76" t="s">
        <v>1697</v>
      </c>
      <c r="M366" s="119" t="s">
        <v>963</v>
      </c>
      <c r="N366" s="39" t="s">
        <v>62</v>
      </c>
      <c r="O366" s="56"/>
      <c r="P366" s="409" t="s">
        <v>1698</v>
      </c>
      <c r="Q366" s="76" t="s">
        <v>1207</v>
      </c>
      <c r="R366" s="64"/>
      <c r="S366" s="24"/>
      <c r="T366" s="24"/>
      <c r="U366" s="76" t="s">
        <v>1699</v>
      </c>
      <c r="V366" s="56"/>
      <c r="W366" s="56"/>
      <c r="X366" s="56"/>
      <c r="Y366" s="56"/>
      <c r="Z366" s="56"/>
      <c r="AA366" s="56"/>
      <c r="AB366" s="56"/>
      <c r="AC366" s="56"/>
    </row>
    <row r="367" spans="1:29" ht="15.75" customHeight="1">
      <c r="A367" s="39">
        <v>19052504</v>
      </c>
      <c r="B367" s="107">
        <v>43615</v>
      </c>
      <c r="C367" s="109">
        <v>43619</v>
      </c>
      <c r="D367" s="76" t="s">
        <v>53</v>
      </c>
      <c r="E367" s="76" t="s">
        <v>53</v>
      </c>
      <c r="F367" s="129" t="s">
        <v>353</v>
      </c>
      <c r="G367" s="399">
        <f>IFERROR(VLOOKUP(A367,醫療院所DATABASE!A:B,2,""),)</f>
        <v>0</v>
      </c>
      <c r="H367" s="64"/>
      <c r="I367" s="109">
        <v>43613</v>
      </c>
      <c r="J367" s="109">
        <v>43615</v>
      </c>
      <c r="K367" s="39" t="s">
        <v>1700</v>
      </c>
      <c r="L367" s="76" t="s">
        <v>1701</v>
      </c>
      <c r="M367" s="49" t="s">
        <v>61</v>
      </c>
      <c r="N367" s="39" t="s">
        <v>62</v>
      </c>
      <c r="O367" s="56"/>
      <c r="P367" s="409" t="s">
        <v>1702</v>
      </c>
      <c r="Q367" s="76" t="s">
        <v>64</v>
      </c>
      <c r="R367" s="64"/>
      <c r="S367" s="24"/>
      <c r="T367" s="24"/>
      <c r="U367" s="64"/>
      <c r="V367" s="56"/>
      <c r="W367" s="56"/>
      <c r="X367" s="56"/>
      <c r="Y367" s="56"/>
      <c r="Z367" s="56"/>
      <c r="AA367" s="56"/>
      <c r="AB367" s="56"/>
      <c r="AC367" s="56"/>
    </row>
    <row r="368" spans="1:29" ht="15.75" customHeight="1">
      <c r="A368" s="39">
        <v>19052503</v>
      </c>
      <c r="B368" s="107">
        <v>43615</v>
      </c>
      <c r="C368" s="109">
        <v>43619</v>
      </c>
      <c r="D368" s="76" t="s">
        <v>53</v>
      </c>
      <c r="E368" s="76" t="s">
        <v>53</v>
      </c>
      <c r="F368" s="129" t="s">
        <v>353</v>
      </c>
      <c r="G368" s="399">
        <f>IFERROR(VLOOKUP(A368,醫療院所DATABASE!A:B,2,""),)</f>
        <v>0</v>
      </c>
      <c r="H368" s="64"/>
      <c r="I368" s="109">
        <v>43613</v>
      </c>
      <c r="J368" s="109">
        <v>43615</v>
      </c>
      <c r="K368" s="39" t="s">
        <v>1703</v>
      </c>
      <c r="L368" s="76" t="s">
        <v>1704</v>
      </c>
      <c r="M368" s="49" t="s">
        <v>61</v>
      </c>
      <c r="N368" s="39" t="s">
        <v>62</v>
      </c>
      <c r="O368" s="56"/>
      <c r="P368" s="409" t="s">
        <v>1705</v>
      </c>
      <c r="Q368" s="76" t="s">
        <v>64</v>
      </c>
      <c r="R368" s="64"/>
      <c r="S368" s="24"/>
      <c r="T368" s="24"/>
      <c r="U368" s="64"/>
      <c r="V368" s="56"/>
      <c r="W368" s="56"/>
      <c r="X368" s="56"/>
      <c r="Y368" s="56"/>
      <c r="Z368" s="56"/>
      <c r="AA368" s="56"/>
      <c r="AB368" s="56"/>
      <c r="AC368" s="56"/>
    </row>
    <row r="369" spans="1:29" ht="15.75" customHeight="1">
      <c r="A369" s="39">
        <v>19052009</v>
      </c>
      <c r="B369" s="107">
        <v>43615</v>
      </c>
      <c r="C369" s="109">
        <v>43620</v>
      </c>
      <c r="D369" s="76" t="s">
        <v>151</v>
      </c>
      <c r="E369" s="76" t="s">
        <v>188</v>
      </c>
      <c r="F369" s="129" t="s">
        <v>353</v>
      </c>
      <c r="G369" s="399">
        <f>IFERROR(VLOOKUP(A369,醫療院所DATABASE!A:B,2,""),)</f>
        <v>0</v>
      </c>
      <c r="H369" s="64"/>
      <c r="I369" s="109">
        <v>43613</v>
      </c>
      <c r="J369" s="109">
        <v>43615</v>
      </c>
      <c r="K369" s="39" t="s">
        <v>1706</v>
      </c>
      <c r="L369" s="76" t="s">
        <v>1707</v>
      </c>
      <c r="M369" s="49" t="s">
        <v>61</v>
      </c>
      <c r="N369" s="39" t="s">
        <v>51</v>
      </c>
      <c r="O369" s="56"/>
      <c r="P369" s="409" t="s">
        <v>1708</v>
      </c>
      <c r="Q369" s="76" t="s">
        <v>64</v>
      </c>
      <c r="R369" s="64"/>
      <c r="S369" s="24"/>
      <c r="T369" s="24"/>
      <c r="U369" s="64"/>
      <c r="V369" s="56"/>
      <c r="W369" s="56"/>
      <c r="X369" s="56"/>
      <c r="Y369" s="56"/>
      <c r="Z369" s="56"/>
      <c r="AA369" s="56"/>
      <c r="AB369" s="56"/>
      <c r="AC369" s="56"/>
    </row>
    <row r="370" spans="1:29" ht="15.75" customHeight="1">
      <c r="A370" s="39" t="s">
        <v>1389</v>
      </c>
      <c r="B370" s="107">
        <v>43615</v>
      </c>
      <c r="C370" s="109">
        <v>43620</v>
      </c>
      <c r="D370" s="76" t="s">
        <v>479</v>
      </c>
      <c r="E370" s="76" t="s">
        <v>479</v>
      </c>
      <c r="F370" s="147" t="s">
        <v>1709</v>
      </c>
      <c r="G370" s="399">
        <f>IFERROR(VLOOKUP(A370,醫療院所DATABASE!A:B,2,""),)</f>
        <v>0</v>
      </c>
      <c r="H370" s="64"/>
      <c r="I370" s="109">
        <v>43613</v>
      </c>
      <c r="J370" s="109">
        <v>43615</v>
      </c>
      <c r="K370" s="39" t="s">
        <v>1710</v>
      </c>
      <c r="L370" s="76" t="s">
        <v>1711</v>
      </c>
      <c r="M370" s="49" t="s">
        <v>61</v>
      </c>
      <c r="N370" s="39" t="s">
        <v>62</v>
      </c>
      <c r="O370" s="56"/>
      <c r="P370" s="409" t="s">
        <v>1712</v>
      </c>
      <c r="Q370" s="76" t="s">
        <v>1207</v>
      </c>
      <c r="R370" s="64"/>
      <c r="S370" s="24"/>
      <c r="T370" s="24"/>
      <c r="U370" s="64"/>
      <c r="V370" s="56"/>
      <c r="W370" s="56"/>
      <c r="X370" s="56"/>
      <c r="Y370" s="56"/>
      <c r="Z370" s="56"/>
      <c r="AA370" s="56"/>
      <c r="AB370" s="56"/>
      <c r="AC370" s="56"/>
    </row>
    <row r="371" spans="1:29" ht="15.75" customHeight="1">
      <c r="A371" s="39" t="s">
        <v>1713</v>
      </c>
      <c r="B371" s="107">
        <v>43615</v>
      </c>
      <c r="C371" s="109">
        <v>43620</v>
      </c>
      <c r="D371" s="76" t="s">
        <v>188</v>
      </c>
      <c r="E371" s="76" t="s">
        <v>188</v>
      </c>
      <c r="F371" s="129" t="s">
        <v>975</v>
      </c>
      <c r="G371" s="399">
        <f>IFERROR(VLOOKUP(A371,醫療院所DATABASE!A:B,2,""),)</f>
        <v>0</v>
      </c>
      <c r="H371" s="64"/>
      <c r="I371" s="109">
        <v>43613</v>
      </c>
      <c r="J371" s="109">
        <v>43615</v>
      </c>
      <c r="K371" s="39" t="s">
        <v>1714</v>
      </c>
      <c r="L371" s="76" t="s">
        <v>1715</v>
      </c>
      <c r="M371" s="119" t="s">
        <v>963</v>
      </c>
      <c r="N371" s="39" t="s">
        <v>51</v>
      </c>
      <c r="O371" s="56"/>
      <c r="P371" s="409" t="s">
        <v>1716</v>
      </c>
      <c r="Q371" s="76" t="s">
        <v>64</v>
      </c>
      <c r="R371" s="64"/>
      <c r="S371" s="24"/>
      <c r="T371" s="24"/>
      <c r="U371" s="64"/>
      <c r="V371" s="56"/>
      <c r="W371" s="56"/>
      <c r="X371" s="56"/>
      <c r="Y371" s="56"/>
      <c r="Z371" s="56"/>
      <c r="AA371" s="56"/>
      <c r="AB371" s="56"/>
      <c r="AC371" s="56"/>
    </row>
    <row r="372" spans="1:29" ht="15.75" customHeight="1">
      <c r="A372" s="39">
        <v>19052506</v>
      </c>
      <c r="B372" s="107">
        <v>43615</v>
      </c>
      <c r="C372" s="39">
        <v>20190603</v>
      </c>
      <c r="D372" s="76" t="s">
        <v>53</v>
      </c>
      <c r="E372" s="76" t="s">
        <v>53</v>
      </c>
      <c r="F372" s="129" t="s">
        <v>353</v>
      </c>
      <c r="G372" s="399">
        <f>IFERROR(VLOOKUP(A372,醫療院所DATABASE!A:B,2,""),)</f>
        <v>0</v>
      </c>
      <c r="H372" s="64"/>
      <c r="I372" s="109">
        <v>43613</v>
      </c>
      <c r="J372" s="109">
        <v>43615</v>
      </c>
      <c r="K372" s="39" t="s">
        <v>1717</v>
      </c>
      <c r="L372" s="76" t="s">
        <v>1718</v>
      </c>
      <c r="M372" s="85" t="s">
        <v>579</v>
      </c>
      <c r="N372" s="39" t="s">
        <v>62</v>
      </c>
      <c r="O372" s="56"/>
      <c r="P372" s="409" t="s">
        <v>1719</v>
      </c>
      <c r="Q372" s="76" t="s">
        <v>64</v>
      </c>
      <c r="R372" s="64"/>
      <c r="S372" s="24"/>
      <c r="T372" s="24"/>
      <c r="U372" s="64"/>
      <c r="V372" s="56"/>
      <c r="W372" s="56"/>
      <c r="X372" s="56"/>
      <c r="Y372" s="56"/>
      <c r="Z372" s="56"/>
      <c r="AA372" s="56"/>
      <c r="AB372" s="56"/>
      <c r="AC372" s="56"/>
    </row>
    <row r="373" spans="1:29" ht="15.75" customHeight="1">
      <c r="A373" s="39">
        <v>19052507</v>
      </c>
      <c r="B373" s="107">
        <v>43615</v>
      </c>
      <c r="C373" s="39">
        <v>20190603</v>
      </c>
      <c r="D373" s="76" t="s">
        <v>53</v>
      </c>
      <c r="E373" s="76" t="s">
        <v>53</v>
      </c>
      <c r="F373" s="129" t="s">
        <v>353</v>
      </c>
      <c r="G373" s="399">
        <f>IFERROR(VLOOKUP(A373,醫療院所DATABASE!A:B,2,""),)</f>
        <v>0</v>
      </c>
      <c r="H373" s="64"/>
      <c r="I373" s="109">
        <v>43613</v>
      </c>
      <c r="J373" s="109">
        <v>43615</v>
      </c>
      <c r="K373" s="39" t="s">
        <v>1717</v>
      </c>
      <c r="L373" s="76" t="s">
        <v>1718</v>
      </c>
      <c r="M373" s="93" t="s">
        <v>641</v>
      </c>
      <c r="N373" s="39" t="s">
        <v>62</v>
      </c>
      <c r="O373" s="56"/>
      <c r="P373" s="409" t="s">
        <v>1720</v>
      </c>
      <c r="Q373" s="76" t="s">
        <v>64</v>
      </c>
      <c r="R373" s="64"/>
      <c r="S373" s="24"/>
      <c r="T373" s="24"/>
      <c r="U373" s="64"/>
      <c r="V373" s="56"/>
      <c r="W373" s="56"/>
      <c r="X373" s="56"/>
      <c r="Y373" s="56"/>
      <c r="Z373" s="56"/>
      <c r="AA373" s="56"/>
      <c r="AB373" s="56"/>
      <c r="AC373" s="56"/>
    </row>
    <row r="374" spans="1:29" ht="15.75" customHeight="1">
      <c r="A374" s="39">
        <v>19052501</v>
      </c>
      <c r="B374" s="107">
        <v>43615</v>
      </c>
      <c r="C374" s="39">
        <v>20190603</v>
      </c>
      <c r="D374" s="76" t="s">
        <v>53</v>
      </c>
      <c r="E374" s="76" t="s">
        <v>53</v>
      </c>
      <c r="F374" s="129" t="s">
        <v>353</v>
      </c>
      <c r="G374" s="399">
        <f>IFERROR(VLOOKUP(A374,醫療院所DATABASE!A:B,2,""),)</f>
        <v>0</v>
      </c>
      <c r="H374" s="64"/>
      <c r="I374" s="109">
        <v>43613</v>
      </c>
      <c r="J374" s="109">
        <v>43615</v>
      </c>
      <c r="K374" s="39" t="s">
        <v>1721</v>
      </c>
      <c r="L374" s="76" t="s">
        <v>1722</v>
      </c>
      <c r="M374" s="39" t="s">
        <v>1723</v>
      </c>
      <c r="N374" s="39" t="s">
        <v>62</v>
      </c>
      <c r="O374" s="56"/>
      <c r="P374" s="409" t="s">
        <v>1724</v>
      </c>
      <c r="Q374" s="76" t="s">
        <v>64</v>
      </c>
      <c r="R374" s="64"/>
      <c r="S374" s="24"/>
      <c r="T374" s="24"/>
      <c r="U374" s="64"/>
      <c r="V374" s="56"/>
      <c r="W374" s="56"/>
      <c r="X374" s="56"/>
      <c r="Y374" s="56"/>
      <c r="Z374" s="56"/>
      <c r="AA374" s="56"/>
      <c r="AB374" s="56"/>
      <c r="AC374" s="56"/>
    </row>
    <row r="375" spans="1:29" ht="15.75" customHeight="1">
      <c r="A375" s="39">
        <v>19052402</v>
      </c>
      <c r="B375" s="107">
        <v>43616</v>
      </c>
      <c r="C375" s="109">
        <v>43620</v>
      </c>
      <c r="D375" s="76" t="s">
        <v>188</v>
      </c>
      <c r="E375" s="76" t="s">
        <v>188</v>
      </c>
      <c r="F375" s="129" t="s">
        <v>353</v>
      </c>
      <c r="G375" s="399">
        <f>IFERROR(VLOOKUP(A375,醫療院所DATABASE!A:B,2,""),)</f>
        <v>0</v>
      </c>
      <c r="H375" s="64"/>
      <c r="I375" s="109">
        <v>43614</v>
      </c>
      <c r="J375" s="109">
        <v>43616</v>
      </c>
      <c r="K375" s="39" t="s">
        <v>1725</v>
      </c>
      <c r="L375" s="76" t="s">
        <v>1726</v>
      </c>
      <c r="M375" s="49" t="s">
        <v>61</v>
      </c>
      <c r="N375" s="39" t="s">
        <v>51</v>
      </c>
      <c r="O375" s="56"/>
      <c r="P375" s="409" t="s">
        <v>1727</v>
      </c>
      <c r="Q375" s="76" t="s">
        <v>64</v>
      </c>
      <c r="R375" s="64"/>
      <c r="S375" s="24"/>
      <c r="T375" s="24"/>
      <c r="U375" s="64"/>
      <c r="V375" s="56"/>
      <c r="W375" s="56"/>
      <c r="X375" s="56"/>
      <c r="Y375" s="56"/>
      <c r="Z375" s="56"/>
      <c r="AA375" s="56"/>
      <c r="AB375" s="56"/>
      <c r="AC375" s="56"/>
    </row>
    <row r="376" spans="1:29" ht="15.75" customHeight="1">
      <c r="A376" s="39">
        <v>19052701</v>
      </c>
      <c r="B376" s="107">
        <v>43616</v>
      </c>
      <c r="C376" s="109">
        <v>43620</v>
      </c>
      <c r="D376" s="76" t="s">
        <v>1029</v>
      </c>
      <c r="E376" s="76" t="s">
        <v>188</v>
      </c>
      <c r="F376" s="129" t="s">
        <v>353</v>
      </c>
      <c r="G376" s="399">
        <f>IFERROR(VLOOKUP(A376,醫療院所DATABASE!A:B,2,""),)</f>
        <v>0</v>
      </c>
      <c r="H376" s="76" t="s">
        <v>1728</v>
      </c>
      <c r="I376" s="109">
        <v>43614</v>
      </c>
      <c r="J376" s="109">
        <v>43616</v>
      </c>
      <c r="K376" s="39" t="s">
        <v>1729</v>
      </c>
      <c r="L376" s="76" t="s">
        <v>1730</v>
      </c>
      <c r="M376" s="49" t="s">
        <v>61</v>
      </c>
      <c r="N376" s="39" t="s">
        <v>62</v>
      </c>
      <c r="O376" s="56"/>
      <c r="P376" s="409" t="s">
        <v>1731</v>
      </c>
      <c r="Q376" s="76" t="s">
        <v>64</v>
      </c>
      <c r="R376" s="64"/>
      <c r="S376" s="24"/>
      <c r="T376" s="24"/>
      <c r="U376" s="64"/>
      <c r="V376" s="56"/>
      <c r="W376" s="56"/>
      <c r="X376" s="56"/>
      <c r="Y376" s="56"/>
      <c r="Z376" s="56"/>
      <c r="AA376" s="56"/>
      <c r="AB376" s="56"/>
      <c r="AC376" s="56"/>
    </row>
    <row r="377" spans="1:29" ht="15.75" customHeight="1">
      <c r="A377" s="39">
        <v>19052803</v>
      </c>
      <c r="B377" s="107">
        <v>43616</v>
      </c>
      <c r="C377" s="39">
        <v>20190603</v>
      </c>
      <c r="D377" s="76" t="s">
        <v>1415</v>
      </c>
      <c r="E377" s="76" t="s">
        <v>53</v>
      </c>
      <c r="F377" s="129" t="s">
        <v>353</v>
      </c>
      <c r="G377" s="399">
        <f>IFERROR(VLOOKUP(A377,醫療院所DATABASE!A:B,2,""),)</f>
        <v>0</v>
      </c>
      <c r="H377" s="64"/>
      <c r="I377" s="109">
        <v>43614</v>
      </c>
      <c r="J377" s="109">
        <v>43616</v>
      </c>
      <c r="K377" s="39" t="s">
        <v>1732</v>
      </c>
      <c r="L377" s="76" t="s">
        <v>1733</v>
      </c>
      <c r="M377" s="49" t="s">
        <v>61</v>
      </c>
      <c r="N377" s="39" t="s">
        <v>62</v>
      </c>
      <c r="O377" s="56"/>
      <c r="P377" s="409" t="s">
        <v>1734</v>
      </c>
      <c r="Q377" s="76" t="s">
        <v>64</v>
      </c>
      <c r="R377" s="64"/>
      <c r="S377" s="24"/>
      <c r="T377" s="24"/>
      <c r="U377" s="64"/>
      <c r="V377" s="56"/>
      <c r="W377" s="56"/>
      <c r="X377" s="56"/>
      <c r="Y377" s="56"/>
      <c r="Z377" s="56"/>
      <c r="AA377" s="56"/>
      <c r="AB377" s="56"/>
      <c r="AC377" s="56"/>
    </row>
    <row r="378" spans="1:29" ht="15.75" customHeight="1">
      <c r="A378" s="39">
        <v>19052802</v>
      </c>
      <c r="B378" s="107">
        <v>43616</v>
      </c>
      <c r="C378" s="109">
        <v>43620</v>
      </c>
      <c r="D378" s="76" t="s">
        <v>1029</v>
      </c>
      <c r="E378" s="76" t="s">
        <v>188</v>
      </c>
      <c r="F378" s="129" t="s">
        <v>353</v>
      </c>
      <c r="G378" s="399">
        <f>IFERROR(VLOOKUP(A378,醫療院所DATABASE!A:B,2,""),)</f>
        <v>0</v>
      </c>
      <c r="H378" s="64"/>
      <c r="I378" s="109">
        <v>43614</v>
      </c>
      <c r="J378" s="109">
        <v>43616</v>
      </c>
      <c r="K378" s="39" t="s">
        <v>1735</v>
      </c>
      <c r="L378" s="76" t="s">
        <v>1736</v>
      </c>
      <c r="M378" s="49" t="s">
        <v>61</v>
      </c>
      <c r="N378" s="39" t="s">
        <v>62</v>
      </c>
      <c r="O378" s="56"/>
      <c r="P378" s="409" t="s">
        <v>1737</v>
      </c>
      <c r="Q378" s="76" t="s">
        <v>64</v>
      </c>
      <c r="R378" s="64"/>
      <c r="S378" s="24"/>
      <c r="T378" s="24"/>
      <c r="U378" s="64"/>
      <c r="V378" s="56"/>
      <c r="W378" s="56"/>
      <c r="X378" s="56"/>
      <c r="Y378" s="56"/>
      <c r="Z378" s="56"/>
      <c r="AA378" s="56"/>
      <c r="AB378" s="56"/>
      <c r="AC378" s="56"/>
    </row>
    <row r="379" spans="1:29" ht="15.75" customHeight="1">
      <c r="A379" s="39" t="s">
        <v>1738</v>
      </c>
      <c r="B379" s="107">
        <v>43619</v>
      </c>
      <c r="C379" s="109">
        <v>43620</v>
      </c>
      <c r="D379" s="76" t="s">
        <v>1739</v>
      </c>
      <c r="E379" s="76" t="s">
        <v>1542</v>
      </c>
      <c r="F379" s="129" t="s">
        <v>1423</v>
      </c>
      <c r="G379" s="399">
        <f>IFERROR(VLOOKUP(A379,醫療院所DATABASE!A:B,2,""),)</f>
        <v>0</v>
      </c>
      <c r="H379" s="64"/>
      <c r="I379" s="109">
        <v>43615</v>
      </c>
      <c r="J379" s="109">
        <v>43619</v>
      </c>
      <c r="K379" s="39" t="s">
        <v>1740</v>
      </c>
      <c r="L379" s="76" t="s">
        <v>1741</v>
      </c>
      <c r="M379" s="49" t="s">
        <v>61</v>
      </c>
      <c r="N379" s="39" t="s">
        <v>51</v>
      </c>
      <c r="O379" s="56"/>
      <c r="P379" s="409" t="s">
        <v>1742</v>
      </c>
      <c r="Q379" s="76" t="s">
        <v>1207</v>
      </c>
      <c r="R379" s="64"/>
      <c r="S379" s="24"/>
      <c r="T379" s="24"/>
      <c r="U379" s="136" t="s">
        <v>1743</v>
      </c>
      <c r="V379" s="56"/>
      <c r="W379" s="56"/>
      <c r="X379" s="56"/>
      <c r="Y379" s="56"/>
      <c r="Z379" s="56"/>
      <c r="AA379" s="56"/>
      <c r="AB379" s="56"/>
      <c r="AC379" s="56"/>
    </row>
    <row r="380" spans="1:29" ht="15.75" customHeight="1">
      <c r="A380" s="39" t="s">
        <v>1744</v>
      </c>
      <c r="B380" s="107">
        <v>43619</v>
      </c>
      <c r="C380" s="109">
        <v>43620</v>
      </c>
      <c r="D380" s="76" t="s">
        <v>1613</v>
      </c>
      <c r="E380" s="76" t="s">
        <v>53</v>
      </c>
      <c r="F380" s="129" t="s">
        <v>1745</v>
      </c>
      <c r="G380" s="399">
        <f>IFERROR(VLOOKUP(A380,醫療院所DATABASE!A:B,2,""),)</f>
        <v>0</v>
      </c>
      <c r="H380" s="64"/>
      <c r="I380" s="109">
        <v>43615</v>
      </c>
      <c r="J380" s="109">
        <v>43619</v>
      </c>
      <c r="K380" s="76" t="s">
        <v>1746</v>
      </c>
      <c r="L380" s="76" t="s">
        <v>1747</v>
      </c>
      <c r="M380" s="49" t="s">
        <v>61</v>
      </c>
      <c r="N380" s="39" t="s">
        <v>62</v>
      </c>
      <c r="O380" s="56"/>
      <c r="P380" s="409" t="s">
        <v>1748</v>
      </c>
      <c r="Q380" s="76" t="s">
        <v>64</v>
      </c>
      <c r="R380" s="64"/>
      <c r="S380" s="24"/>
      <c r="T380" s="24"/>
      <c r="U380" s="136" t="s">
        <v>1749</v>
      </c>
      <c r="V380" s="56"/>
      <c r="W380" s="56"/>
      <c r="X380" s="56"/>
      <c r="Y380" s="56"/>
      <c r="Z380" s="56"/>
      <c r="AA380" s="56"/>
      <c r="AB380" s="56"/>
      <c r="AC380" s="56"/>
    </row>
    <row r="381" spans="1:29" ht="15.75" customHeight="1">
      <c r="A381" s="39" t="s">
        <v>1750</v>
      </c>
      <c r="B381" s="107">
        <v>43619</v>
      </c>
      <c r="C381" s="109">
        <v>43620</v>
      </c>
      <c r="D381" s="76" t="s">
        <v>366</v>
      </c>
      <c r="E381" s="76" t="s">
        <v>366</v>
      </c>
      <c r="F381" s="129" t="s">
        <v>1751</v>
      </c>
      <c r="G381" s="401" t="s">
        <v>1752</v>
      </c>
      <c r="H381" s="64"/>
      <c r="I381" s="109">
        <v>43615</v>
      </c>
      <c r="J381" s="109">
        <v>43619</v>
      </c>
      <c r="K381" s="39" t="s">
        <v>1753</v>
      </c>
      <c r="L381" s="76" t="s">
        <v>1754</v>
      </c>
      <c r="M381" s="49" t="s">
        <v>61</v>
      </c>
      <c r="N381" s="39" t="s">
        <v>62</v>
      </c>
      <c r="O381" s="56"/>
      <c r="P381" s="409" t="s">
        <v>1755</v>
      </c>
      <c r="Q381" s="76" t="s">
        <v>64</v>
      </c>
      <c r="R381" s="64"/>
      <c r="S381" s="24"/>
      <c r="T381" s="24"/>
      <c r="U381" s="76" t="s">
        <v>1756</v>
      </c>
      <c r="V381" s="56"/>
      <c r="W381" s="56"/>
      <c r="X381" s="56"/>
      <c r="Y381" s="56"/>
      <c r="Z381" s="56"/>
      <c r="AA381" s="56"/>
      <c r="AB381" s="56"/>
      <c r="AC381" s="56"/>
    </row>
    <row r="382" spans="1:29" ht="15.75" customHeight="1">
      <c r="A382" s="39" t="s">
        <v>1750</v>
      </c>
      <c r="B382" s="107">
        <v>43619</v>
      </c>
      <c r="C382" s="109">
        <v>43620</v>
      </c>
      <c r="D382" s="76" t="s">
        <v>366</v>
      </c>
      <c r="E382" s="76" t="s">
        <v>366</v>
      </c>
      <c r="F382" s="129" t="s">
        <v>1751</v>
      </c>
      <c r="G382" s="401" t="s">
        <v>1752</v>
      </c>
      <c r="H382" s="64"/>
      <c r="I382" s="109">
        <v>43615</v>
      </c>
      <c r="J382" s="109">
        <v>43619</v>
      </c>
      <c r="K382" s="39" t="s">
        <v>1757</v>
      </c>
      <c r="L382" s="76" t="s">
        <v>1758</v>
      </c>
      <c r="M382" s="49" t="s">
        <v>61</v>
      </c>
      <c r="N382" s="39" t="s">
        <v>62</v>
      </c>
      <c r="O382" s="56"/>
      <c r="P382" s="409" t="s">
        <v>1759</v>
      </c>
      <c r="Q382" s="76" t="s">
        <v>64</v>
      </c>
      <c r="R382" s="64"/>
      <c r="S382" s="24"/>
      <c r="T382" s="24"/>
      <c r="U382" s="76" t="s">
        <v>1756</v>
      </c>
      <c r="V382" s="56"/>
      <c r="W382" s="56"/>
      <c r="X382" s="56"/>
      <c r="Y382" s="56"/>
      <c r="Z382" s="56"/>
      <c r="AA382" s="56"/>
      <c r="AB382" s="56"/>
      <c r="AC382" s="56"/>
    </row>
    <row r="383" spans="1:29" ht="15.75" customHeight="1">
      <c r="A383" s="39" t="s">
        <v>1760</v>
      </c>
      <c r="B383" s="107">
        <v>43619</v>
      </c>
      <c r="C383" s="109">
        <v>43620</v>
      </c>
      <c r="D383" s="76" t="s">
        <v>366</v>
      </c>
      <c r="E383" s="76" t="s">
        <v>53</v>
      </c>
      <c r="F383" s="129" t="s">
        <v>1761</v>
      </c>
      <c r="G383" s="399">
        <f>IFERROR(VLOOKUP(A383,醫療院所DATABASE!A:B,2,""),)</f>
        <v>0</v>
      </c>
      <c r="H383" s="64"/>
      <c r="I383" s="109">
        <v>43615</v>
      </c>
      <c r="J383" s="109">
        <v>43619</v>
      </c>
      <c r="K383" s="39" t="s">
        <v>1762</v>
      </c>
      <c r="L383" s="76" t="s">
        <v>1763</v>
      </c>
      <c r="M383" s="49" t="s">
        <v>61</v>
      </c>
      <c r="N383" s="39" t="s">
        <v>62</v>
      </c>
      <c r="O383" s="56"/>
      <c r="P383" s="409" t="s">
        <v>1764</v>
      </c>
      <c r="Q383" s="76" t="s">
        <v>64</v>
      </c>
      <c r="R383" s="64"/>
      <c r="S383" s="24"/>
      <c r="T383" s="24"/>
      <c r="U383" s="64"/>
      <c r="V383" s="56"/>
      <c r="W383" s="56"/>
      <c r="X383" s="56"/>
      <c r="Y383" s="56"/>
      <c r="Z383" s="56"/>
      <c r="AA383" s="56"/>
      <c r="AB383" s="56"/>
      <c r="AC383" s="56"/>
    </row>
    <row r="384" spans="1:29" ht="15.75" customHeight="1">
      <c r="A384" s="39" t="s">
        <v>1760</v>
      </c>
      <c r="B384" s="107">
        <v>43619</v>
      </c>
      <c r="C384" s="109">
        <v>43620</v>
      </c>
      <c r="D384" s="76" t="s">
        <v>366</v>
      </c>
      <c r="E384" s="76" t="s">
        <v>188</v>
      </c>
      <c r="F384" s="129" t="s">
        <v>1761</v>
      </c>
      <c r="G384" s="399">
        <f>IFERROR(VLOOKUP(A384,醫療院所DATABASE!A:B,2,""),)</f>
        <v>0</v>
      </c>
      <c r="H384" s="64"/>
      <c r="I384" s="109">
        <v>43615</v>
      </c>
      <c r="J384" s="109">
        <v>43619</v>
      </c>
      <c r="K384" s="39" t="s">
        <v>1765</v>
      </c>
      <c r="L384" s="76" t="s">
        <v>1766</v>
      </c>
      <c r="M384" s="49" t="s">
        <v>61</v>
      </c>
      <c r="N384" s="39" t="s">
        <v>51</v>
      </c>
      <c r="O384" s="56"/>
      <c r="P384" s="409" t="s">
        <v>1767</v>
      </c>
      <c r="Q384" s="76" t="s">
        <v>64</v>
      </c>
      <c r="R384" s="64"/>
      <c r="S384" s="24"/>
      <c r="T384" s="24"/>
      <c r="U384" s="64"/>
      <c r="V384" s="56"/>
      <c r="W384" s="56"/>
      <c r="X384" s="56"/>
      <c r="Y384" s="56"/>
      <c r="Z384" s="56"/>
      <c r="AA384" s="56"/>
      <c r="AB384" s="56"/>
      <c r="AC384" s="56"/>
    </row>
    <row r="385" spans="1:29" ht="15.75" customHeight="1">
      <c r="A385" s="39" t="s">
        <v>1760</v>
      </c>
      <c r="B385" s="107">
        <v>43619</v>
      </c>
      <c r="C385" s="109">
        <v>43620</v>
      </c>
      <c r="D385" s="76" t="s">
        <v>366</v>
      </c>
      <c r="E385" s="76" t="s">
        <v>53</v>
      </c>
      <c r="F385" s="129" t="s">
        <v>1761</v>
      </c>
      <c r="G385" s="399">
        <f>IFERROR(VLOOKUP(A385,醫療院所DATABASE!A:B,2,""),)</f>
        <v>0</v>
      </c>
      <c r="H385" s="64"/>
      <c r="I385" s="109">
        <v>43615</v>
      </c>
      <c r="J385" s="109">
        <v>43619</v>
      </c>
      <c r="K385" s="39" t="s">
        <v>1768</v>
      </c>
      <c r="L385" s="76" t="s">
        <v>1769</v>
      </c>
      <c r="M385" s="49" t="s">
        <v>61</v>
      </c>
      <c r="N385" s="39" t="s">
        <v>62</v>
      </c>
      <c r="O385" s="56"/>
      <c r="P385" s="409" t="s">
        <v>1770</v>
      </c>
      <c r="Q385" s="76" t="s">
        <v>64</v>
      </c>
      <c r="R385" s="64"/>
      <c r="S385" s="24"/>
      <c r="T385" s="24"/>
      <c r="U385" s="64"/>
      <c r="V385" s="56"/>
      <c r="W385" s="56"/>
      <c r="X385" s="56"/>
      <c r="Y385" s="56"/>
      <c r="Z385" s="56"/>
      <c r="AA385" s="56"/>
      <c r="AB385" s="56"/>
      <c r="AC385" s="56"/>
    </row>
    <row r="386" spans="1:29" ht="15.75" customHeight="1">
      <c r="A386" s="39" t="s">
        <v>1760</v>
      </c>
      <c r="B386" s="107">
        <v>43619</v>
      </c>
      <c r="C386" s="109">
        <v>43620</v>
      </c>
      <c r="D386" s="76" t="s">
        <v>366</v>
      </c>
      <c r="E386" s="76" t="s">
        <v>188</v>
      </c>
      <c r="F386" s="129" t="s">
        <v>1761</v>
      </c>
      <c r="G386" s="399">
        <f>IFERROR(VLOOKUP(A386,醫療院所DATABASE!A:B,2,""),)</f>
        <v>0</v>
      </c>
      <c r="H386" s="64"/>
      <c r="I386" s="109">
        <v>43615</v>
      </c>
      <c r="J386" s="109">
        <v>43619</v>
      </c>
      <c r="K386" s="39" t="s">
        <v>1771</v>
      </c>
      <c r="L386" s="76" t="s">
        <v>1772</v>
      </c>
      <c r="M386" s="49" t="s">
        <v>61</v>
      </c>
      <c r="N386" s="39" t="s">
        <v>51</v>
      </c>
      <c r="O386" s="56"/>
      <c r="P386" s="409" t="s">
        <v>1773</v>
      </c>
      <c r="Q386" s="76" t="s">
        <v>64</v>
      </c>
      <c r="R386" s="64"/>
      <c r="S386" s="24"/>
      <c r="T386" s="24"/>
      <c r="U386" s="64"/>
      <c r="V386" s="56"/>
      <c r="W386" s="56"/>
      <c r="X386" s="56"/>
      <c r="Y386" s="56"/>
      <c r="Z386" s="56"/>
      <c r="AA386" s="56"/>
      <c r="AB386" s="56"/>
      <c r="AC386" s="56"/>
    </row>
    <row r="387" spans="1:29" ht="15.75" customHeight="1">
      <c r="A387" s="39" t="s">
        <v>1760</v>
      </c>
      <c r="B387" s="107">
        <v>43619</v>
      </c>
      <c r="C387" s="109">
        <v>43620</v>
      </c>
      <c r="D387" s="76" t="s">
        <v>366</v>
      </c>
      <c r="E387" s="76" t="s">
        <v>53</v>
      </c>
      <c r="F387" s="129" t="s">
        <v>1761</v>
      </c>
      <c r="G387" s="399">
        <f>IFERROR(VLOOKUP(A387,醫療院所DATABASE!A:B,2,""),)</f>
        <v>0</v>
      </c>
      <c r="H387" s="64"/>
      <c r="I387" s="109">
        <v>43615</v>
      </c>
      <c r="J387" s="109">
        <v>43619</v>
      </c>
      <c r="K387" s="39" t="s">
        <v>1774</v>
      </c>
      <c r="L387" s="76" t="s">
        <v>1775</v>
      </c>
      <c r="M387" s="49" t="s">
        <v>61</v>
      </c>
      <c r="N387" s="39" t="s">
        <v>51</v>
      </c>
      <c r="O387" s="56"/>
      <c r="P387" s="409" t="s">
        <v>1776</v>
      </c>
      <c r="Q387" s="76" t="s">
        <v>64</v>
      </c>
      <c r="R387" s="64"/>
      <c r="S387" s="24"/>
      <c r="T387" s="24"/>
      <c r="U387" s="64"/>
      <c r="V387" s="56"/>
      <c r="W387" s="56"/>
      <c r="X387" s="56"/>
      <c r="Y387" s="56"/>
      <c r="Z387" s="56"/>
      <c r="AA387" s="56"/>
      <c r="AB387" s="56"/>
      <c r="AC387" s="56"/>
    </row>
    <row r="388" spans="1:29" ht="15.75" customHeight="1">
      <c r="A388" s="39" t="s">
        <v>1760</v>
      </c>
      <c r="B388" s="107">
        <v>43619</v>
      </c>
      <c r="C388" s="109">
        <v>43620</v>
      </c>
      <c r="D388" s="76" t="s">
        <v>366</v>
      </c>
      <c r="E388" s="76" t="s">
        <v>188</v>
      </c>
      <c r="F388" s="129" t="s">
        <v>1761</v>
      </c>
      <c r="G388" s="399">
        <f>IFERROR(VLOOKUP(A388,醫療院所DATABASE!A:B,2,""),)</f>
        <v>0</v>
      </c>
      <c r="H388" s="64"/>
      <c r="I388" s="109">
        <v>43615</v>
      </c>
      <c r="J388" s="109">
        <v>43619</v>
      </c>
      <c r="K388" s="39" t="s">
        <v>1777</v>
      </c>
      <c r="L388" s="76" t="s">
        <v>1778</v>
      </c>
      <c r="M388" s="49" t="s">
        <v>61</v>
      </c>
      <c r="N388" s="39" t="s">
        <v>62</v>
      </c>
      <c r="O388" s="56"/>
      <c r="P388" s="409" t="s">
        <v>1779</v>
      </c>
      <c r="Q388" s="76" t="s">
        <v>64</v>
      </c>
      <c r="R388" s="64"/>
      <c r="S388" s="24"/>
      <c r="T388" s="24"/>
      <c r="U388" s="64"/>
      <c r="V388" s="56"/>
      <c r="W388" s="56"/>
      <c r="X388" s="56"/>
      <c r="Y388" s="56"/>
      <c r="Z388" s="56"/>
      <c r="AA388" s="56"/>
      <c r="AB388" s="56"/>
      <c r="AC388" s="56"/>
    </row>
    <row r="389" spans="1:29" ht="15.75" customHeight="1">
      <c r="A389" s="39" t="s">
        <v>1760</v>
      </c>
      <c r="B389" s="107">
        <v>43619</v>
      </c>
      <c r="C389" s="109">
        <v>43620</v>
      </c>
      <c r="D389" s="76" t="s">
        <v>366</v>
      </c>
      <c r="E389" s="76" t="s">
        <v>53</v>
      </c>
      <c r="F389" s="129" t="s">
        <v>1761</v>
      </c>
      <c r="G389" s="399">
        <f>IFERROR(VLOOKUP(A389,醫療院所DATABASE!A:B,2,""),)</f>
        <v>0</v>
      </c>
      <c r="H389" s="64"/>
      <c r="I389" s="109">
        <v>43615</v>
      </c>
      <c r="J389" s="109">
        <v>43619</v>
      </c>
      <c r="K389" s="39" t="s">
        <v>1780</v>
      </c>
      <c r="L389" s="76" t="s">
        <v>1781</v>
      </c>
      <c r="M389" s="49" t="s">
        <v>61</v>
      </c>
      <c r="N389" s="39" t="s">
        <v>62</v>
      </c>
      <c r="O389" s="56"/>
      <c r="P389" s="409" t="s">
        <v>1782</v>
      </c>
      <c r="Q389" s="76" t="s">
        <v>64</v>
      </c>
      <c r="R389" s="64"/>
      <c r="S389" s="24"/>
      <c r="T389" s="24"/>
      <c r="U389" s="64"/>
      <c r="V389" s="56"/>
      <c r="W389" s="56"/>
      <c r="X389" s="56"/>
      <c r="Y389" s="56"/>
      <c r="Z389" s="56"/>
      <c r="AA389" s="56"/>
      <c r="AB389" s="56"/>
      <c r="AC389" s="56"/>
    </row>
    <row r="390" spans="1:29" ht="15.75" customHeight="1">
      <c r="A390" s="39" t="s">
        <v>1760</v>
      </c>
      <c r="B390" s="107">
        <v>43619</v>
      </c>
      <c r="C390" s="109">
        <v>43620</v>
      </c>
      <c r="D390" s="76" t="s">
        <v>366</v>
      </c>
      <c r="E390" s="76" t="s">
        <v>188</v>
      </c>
      <c r="F390" s="129" t="s">
        <v>1761</v>
      </c>
      <c r="G390" s="399">
        <f>IFERROR(VLOOKUP(A390,醫療院所DATABASE!A:B,2,""),)</f>
        <v>0</v>
      </c>
      <c r="H390" s="64"/>
      <c r="I390" s="109">
        <v>43615</v>
      </c>
      <c r="J390" s="109">
        <v>43619</v>
      </c>
      <c r="K390" s="39" t="s">
        <v>1783</v>
      </c>
      <c r="L390" s="76" t="s">
        <v>1784</v>
      </c>
      <c r="M390" s="49" t="s">
        <v>61</v>
      </c>
      <c r="N390" s="39" t="s">
        <v>62</v>
      </c>
      <c r="O390" s="56"/>
      <c r="P390" s="409" t="s">
        <v>1785</v>
      </c>
      <c r="Q390" s="76" t="s">
        <v>64</v>
      </c>
      <c r="R390" s="64"/>
      <c r="S390" s="24"/>
      <c r="T390" s="24"/>
      <c r="U390" s="64"/>
      <c r="V390" s="56"/>
      <c r="W390" s="56"/>
      <c r="X390" s="56"/>
      <c r="Y390" s="56"/>
      <c r="Z390" s="56"/>
      <c r="AA390" s="56"/>
      <c r="AB390" s="56"/>
      <c r="AC390" s="56"/>
    </row>
    <row r="391" spans="1:29" ht="15.75" customHeight="1">
      <c r="A391" s="39" t="s">
        <v>1760</v>
      </c>
      <c r="B391" s="107">
        <v>43619</v>
      </c>
      <c r="C391" s="109">
        <v>43620</v>
      </c>
      <c r="D391" s="76" t="s">
        <v>366</v>
      </c>
      <c r="E391" s="76" t="s">
        <v>53</v>
      </c>
      <c r="F391" s="129" t="s">
        <v>1761</v>
      </c>
      <c r="G391" s="399">
        <f>IFERROR(VLOOKUP(A391,醫療院所DATABASE!A:B,2,""),)</f>
        <v>0</v>
      </c>
      <c r="H391" s="64"/>
      <c r="I391" s="109">
        <v>43615</v>
      </c>
      <c r="J391" s="109">
        <v>43619</v>
      </c>
      <c r="K391" s="39" t="s">
        <v>1786</v>
      </c>
      <c r="L391" s="76" t="s">
        <v>1787</v>
      </c>
      <c r="M391" s="49" t="s">
        <v>61</v>
      </c>
      <c r="N391" s="39" t="s">
        <v>62</v>
      </c>
      <c r="O391" s="56"/>
      <c r="P391" s="409" t="s">
        <v>1788</v>
      </c>
      <c r="Q391" s="76" t="s">
        <v>64</v>
      </c>
      <c r="R391" s="64"/>
      <c r="S391" s="24"/>
      <c r="T391" s="24"/>
      <c r="U391" s="64"/>
      <c r="V391" s="56"/>
      <c r="W391" s="56"/>
      <c r="X391" s="56"/>
      <c r="Y391" s="56"/>
      <c r="Z391" s="56"/>
      <c r="AA391" s="56"/>
      <c r="AB391" s="56"/>
      <c r="AC391" s="56"/>
    </row>
    <row r="392" spans="1:29" ht="15.75" customHeight="1">
      <c r="A392" s="39" t="s">
        <v>1760</v>
      </c>
      <c r="B392" s="107">
        <v>43619</v>
      </c>
      <c r="C392" s="109">
        <v>43620</v>
      </c>
      <c r="D392" s="76" t="s">
        <v>366</v>
      </c>
      <c r="E392" s="76" t="s">
        <v>188</v>
      </c>
      <c r="F392" s="129" t="s">
        <v>1761</v>
      </c>
      <c r="G392" s="399">
        <f>IFERROR(VLOOKUP(A392,醫療院所DATABASE!A:B,2,""),)</f>
        <v>0</v>
      </c>
      <c r="H392" s="64"/>
      <c r="I392" s="109">
        <v>43615</v>
      </c>
      <c r="J392" s="109">
        <v>43619</v>
      </c>
      <c r="K392" s="39" t="s">
        <v>1789</v>
      </c>
      <c r="L392" s="76" t="s">
        <v>1790</v>
      </c>
      <c r="M392" s="49" t="s">
        <v>61</v>
      </c>
      <c r="N392" s="39" t="s">
        <v>51</v>
      </c>
      <c r="O392" s="56"/>
      <c r="P392" s="409" t="s">
        <v>1791</v>
      </c>
      <c r="Q392" s="76" t="s">
        <v>64</v>
      </c>
      <c r="R392" s="64"/>
      <c r="S392" s="24"/>
      <c r="T392" s="24"/>
      <c r="U392" s="64"/>
      <c r="V392" s="56"/>
      <c r="W392" s="56"/>
      <c r="X392" s="56"/>
      <c r="Y392" s="56"/>
      <c r="Z392" s="56"/>
      <c r="AA392" s="56"/>
      <c r="AB392" s="56"/>
      <c r="AC392" s="56"/>
    </row>
    <row r="393" spans="1:29" ht="15.75" customHeight="1">
      <c r="A393" s="39" t="s">
        <v>1792</v>
      </c>
      <c r="B393" s="107">
        <v>43620</v>
      </c>
      <c r="C393" s="109">
        <v>43622</v>
      </c>
      <c r="D393" s="76" t="s">
        <v>665</v>
      </c>
      <c r="E393" s="76" t="s">
        <v>188</v>
      </c>
      <c r="F393" s="129" t="s">
        <v>1569</v>
      </c>
      <c r="G393" s="399">
        <f>IFERROR(VLOOKUP(A393,醫療院所DATABASE!A:B,2,""),)</f>
        <v>0</v>
      </c>
      <c r="H393" s="64"/>
      <c r="I393" s="109">
        <v>43616</v>
      </c>
      <c r="J393" s="109">
        <v>43620</v>
      </c>
      <c r="K393" s="39" t="s">
        <v>1793</v>
      </c>
      <c r="L393" s="76" t="s">
        <v>1794</v>
      </c>
      <c r="M393" s="49" t="s">
        <v>61</v>
      </c>
      <c r="N393" s="39" t="s">
        <v>62</v>
      </c>
      <c r="O393" s="56"/>
      <c r="P393" s="409" t="s">
        <v>1795</v>
      </c>
      <c r="Q393" s="76" t="s">
        <v>64</v>
      </c>
      <c r="R393" s="64"/>
      <c r="S393" s="24"/>
      <c r="T393" s="24"/>
      <c r="U393" s="136" t="s">
        <v>1582</v>
      </c>
      <c r="V393" s="56"/>
      <c r="W393" s="56"/>
      <c r="X393" s="56"/>
      <c r="Y393" s="56"/>
      <c r="Z393" s="56"/>
      <c r="AA393" s="56"/>
      <c r="AB393" s="56"/>
      <c r="AC393" s="56"/>
    </row>
    <row r="394" spans="1:29" ht="15.75" customHeight="1">
      <c r="A394" s="39" t="s">
        <v>1796</v>
      </c>
      <c r="B394" s="107">
        <v>43620</v>
      </c>
      <c r="C394" s="109">
        <v>43621</v>
      </c>
      <c r="D394" s="76" t="s">
        <v>53</v>
      </c>
      <c r="E394" s="76" t="s">
        <v>53</v>
      </c>
      <c r="F394" s="129" t="s">
        <v>1614</v>
      </c>
      <c r="G394" s="399">
        <f>IFERROR(VLOOKUP(A394,醫療院所DATABASE!A:B,2,""),)</f>
        <v>0</v>
      </c>
      <c r="H394" s="64"/>
      <c r="I394" s="109">
        <v>43616</v>
      </c>
      <c r="J394" s="109">
        <v>43620</v>
      </c>
      <c r="K394" s="39" t="s">
        <v>1797</v>
      </c>
      <c r="L394" s="76" t="s">
        <v>1798</v>
      </c>
      <c r="M394" s="49" t="s">
        <v>61</v>
      </c>
      <c r="N394" s="39" t="s">
        <v>62</v>
      </c>
      <c r="O394" s="56"/>
      <c r="P394" s="409" t="s">
        <v>1799</v>
      </c>
      <c r="Q394" s="76" t="s">
        <v>64</v>
      </c>
      <c r="R394" s="64"/>
      <c r="S394" s="24"/>
      <c r="T394" s="24"/>
      <c r="U394" s="64"/>
      <c r="V394" s="56"/>
      <c r="W394" s="56"/>
      <c r="X394" s="56"/>
      <c r="Y394" s="56"/>
      <c r="Z394" s="56"/>
      <c r="AA394" s="56"/>
      <c r="AB394" s="56"/>
      <c r="AC394" s="56"/>
    </row>
    <row r="395" spans="1:29" ht="15.75" customHeight="1">
      <c r="A395" s="39" t="s">
        <v>1422</v>
      </c>
      <c r="B395" s="107">
        <v>43620</v>
      </c>
      <c r="C395" s="109">
        <v>43622</v>
      </c>
      <c r="D395" s="76" t="s">
        <v>366</v>
      </c>
      <c r="E395" s="76" t="s">
        <v>53</v>
      </c>
      <c r="F395" s="129" t="s">
        <v>1761</v>
      </c>
      <c r="G395" s="399">
        <f>IFERROR(VLOOKUP(A395,醫療院所DATABASE!A:B,2,""),)</f>
        <v>0</v>
      </c>
      <c r="H395" s="64"/>
      <c r="I395" s="109">
        <v>43616</v>
      </c>
      <c r="J395" s="109">
        <v>43620</v>
      </c>
      <c r="K395" s="39" t="s">
        <v>1800</v>
      </c>
      <c r="L395" s="76" t="s">
        <v>1801</v>
      </c>
      <c r="M395" s="49" t="s">
        <v>61</v>
      </c>
      <c r="N395" s="39" t="s">
        <v>62</v>
      </c>
      <c r="O395" s="56"/>
      <c r="P395" s="409" t="s">
        <v>1802</v>
      </c>
      <c r="Q395" s="76" t="s">
        <v>64</v>
      </c>
      <c r="R395" s="64"/>
      <c r="S395" s="24"/>
      <c r="T395" s="24"/>
      <c r="U395" s="64"/>
      <c r="V395" s="56"/>
      <c r="W395" s="56"/>
      <c r="X395" s="56"/>
      <c r="Y395" s="56"/>
      <c r="Z395" s="56"/>
      <c r="AA395" s="56"/>
      <c r="AB395" s="56"/>
      <c r="AC395" s="56"/>
    </row>
    <row r="396" spans="1:29" ht="15.75" customHeight="1">
      <c r="A396" s="39" t="s">
        <v>1422</v>
      </c>
      <c r="B396" s="107">
        <v>43620</v>
      </c>
      <c r="C396" s="109">
        <v>43622</v>
      </c>
      <c r="D396" s="76" t="s">
        <v>366</v>
      </c>
      <c r="E396" s="76" t="s">
        <v>188</v>
      </c>
      <c r="F396" s="129" t="s">
        <v>1761</v>
      </c>
      <c r="G396" s="399">
        <f>IFERROR(VLOOKUP(A396,醫療院所DATABASE!A:B,2,""),)</f>
        <v>0</v>
      </c>
      <c r="H396" s="64"/>
      <c r="I396" s="109">
        <v>43616</v>
      </c>
      <c r="J396" s="109">
        <v>43620</v>
      </c>
      <c r="K396" s="39" t="s">
        <v>1803</v>
      </c>
      <c r="L396" s="76" t="s">
        <v>224</v>
      </c>
      <c r="M396" s="49" t="s">
        <v>61</v>
      </c>
      <c r="N396" s="39" t="s">
        <v>51</v>
      </c>
      <c r="O396" s="56"/>
      <c r="P396" s="409" t="s">
        <v>1804</v>
      </c>
      <c r="Q396" s="76" t="s">
        <v>64</v>
      </c>
      <c r="R396" s="64"/>
      <c r="S396" s="24"/>
      <c r="T396" s="24"/>
      <c r="U396" s="64"/>
      <c r="V396" s="56"/>
      <c r="W396" s="56"/>
      <c r="X396" s="56"/>
      <c r="Y396" s="56"/>
      <c r="Z396" s="56"/>
      <c r="AA396" s="56"/>
      <c r="AB396" s="56"/>
      <c r="AC396" s="56"/>
    </row>
    <row r="397" spans="1:29" ht="15.75" customHeight="1">
      <c r="A397" s="39" t="s">
        <v>1760</v>
      </c>
      <c r="B397" s="107">
        <v>43620</v>
      </c>
      <c r="C397" s="109">
        <v>43621</v>
      </c>
      <c r="D397" s="76" t="s">
        <v>366</v>
      </c>
      <c r="E397" s="76" t="s">
        <v>53</v>
      </c>
      <c r="F397" s="129" t="s">
        <v>1761</v>
      </c>
      <c r="G397" s="399">
        <f>IFERROR(VLOOKUP(A397,醫療院所DATABASE!A:B,2,""),)</f>
        <v>0</v>
      </c>
      <c r="H397" s="64"/>
      <c r="I397" s="109">
        <v>43616</v>
      </c>
      <c r="J397" s="109">
        <v>43620</v>
      </c>
      <c r="K397" s="39" t="s">
        <v>1805</v>
      </c>
      <c r="L397" s="76" t="s">
        <v>1806</v>
      </c>
      <c r="M397" s="49" t="s">
        <v>61</v>
      </c>
      <c r="N397" s="39" t="s">
        <v>62</v>
      </c>
      <c r="O397" s="56"/>
      <c r="P397" s="409" t="s">
        <v>1807</v>
      </c>
      <c r="Q397" s="76" t="s">
        <v>64</v>
      </c>
      <c r="R397" s="64"/>
      <c r="S397" s="24"/>
      <c r="T397" s="24"/>
      <c r="U397" s="64"/>
      <c r="V397" s="56"/>
      <c r="W397" s="56"/>
      <c r="X397" s="56"/>
      <c r="Y397" s="56"/>
      <c r="Z397" s="56"/>
      <c r="AA397" s="56"/>
      <c r="AB397" s="56"/>
      <c r="AC397" s="56"/>
    </row>
    <row r="398" spans="1:29" ht="15.75" customHeight="1">
      <c r="A398" s="39" t="s">
        <v>1760</v>
      </c>
      <c r="B398" s="107">
        <v>43620</v>
      </c>
      <c r="C398" s="109">
        <v>43622</v>
      </c>
      <c r="D398" s="76" t="s">
        <v>366</v>
      </c>
      <c r="E398" s="76" t="s">
        <v>188</v>
      </c>
      <c r="F398" s="129" t="s">
        <v>1761</v>
      </c>
      <c r="G398" s="399">
        <f>IFERROR(VLOOKUP(A398,醫療院所DATABASE!A:B,2,""),)</f>
        <v>0</v>
      </c>
      <c r="H398" s="64"/>
      <c r="I398" s="109">
        <v>43616</v>
      </c>
      <c r="J398" s="109">
        <v>43620</v>
      </c>
      <c r="K398" s="39" t="s">
        <v>1808</v>
      </c>
      <c r="L398" s="76" t="s">
        <v>1809</v>
      </c>
      <c r="M398" s="49" t="s">
        <v>61</v>
      </c>
      <c r="N398" s="39" t="s">
        <v>62</v>
      </c>
      <c r="O398" s="56"/>
      <c r="P398" s="409" t="s">
        <v>1810</v>
      </c>
      <c r="Q398" s="76" t="s">
        <v>64</v>
      </c>
      <c r="R398" s="64"/>
      <c r="S398" s="24"/>
      <c r="T398" s="24"/>
      <c r="U398" s="64"/>
      <c r="V398" s="56"/>
      <c r="W398" s="56"/>
      <c r="X398" s="56"/>
      <c r="Y398" s="56"/>
      <c r="Z398" s="56"/>
      <c r="AA398" s="56"/>
      <c r="AB398" s="56"/>
      <c r="AC398" s="56"/>
    </row>
    <row r="399" spans="1:29" ht="15.75" customHeight="1">
      <c r="A399" s="39" t="s">
        <v>1760</v>
      </c>
      <c r="B399" s="107">
        <v>43620</v>
      </c>
      <c r="C399" s="109">
        <v>43621</v>
      </c>
      <c r="D399" s="76" t="s">
        <v>366</v>
      </c>
      <c r="E399" s="76" t="s">
        <v>53</v>
      </c>
      <c r="F399" s="129" t="s">
        <v>1761</v>
      </c>
      <c r="G399" s="399">
        <f>IFERROR(VLOOKUP(A399,醫療院所DATABASE!A:B,2,""),)</f>
        <v>0</v>
      </c>
      <c r="H399" s="76" t="s">
        <v>1811</v>
      </c>
      <c r="I399" s="109">
        <v>43616</v>
      </c>
      <c r="J399" s="109">
        <v>43620</v>
      </c>
      <c r="K399" s="39" t="s">
        <v>1812</v>
      </c>
      <c r="L399" s="76" t="s">
        <v>1813</v>
      </c>
      <c r="M399" s="49" t="s">
        <v>61</v>
      </c>
      <c r="N399" s="39" t="s">
        <v>62</v>
      </c>
      <c r="O399" s="56"/>
      <c r="P399" s="409" t="s">
        <v>1814</v>
      </c>
      <c r="Q399" s="76" t="s">
        <v>64</v>
      </c>
      <c r="R399" s="64"/>
      <c r="S399" s="24"/>
      <c r="T399" s="24"/>
      <c r="U399" s="64"/>
      <c r="V399" s="56"/>
      <c r="W399" s="56"/>
      <c r="X399" s="56"/>
      <c r="Y399" s="56"/>
      <c r="Z399" s="56"/>
      <c r="AA399" s="56"/>
      <c r="AB399" s="56"/>
      <c r="AC399" s="56"/>
    </row>
    <row r="400" spans="1:29" ht="15.75" customHeight="1">
      <c r="A400" s="39" t="s">
        <v>1760</v>
      </c>
      <c r="B400" s="107">
        <v>43620</v>
      </c>
      <c r="C400" s="109">
        <v>43622</v>
      </c>
      <c r="D400" s="76" t="s">
        <v>366</v>
      </c>
      <c r="E400" s="76" t="s">
        <v>188</v>
      </c>
      <c r="F400" s="129" t="s">
        <v>1761</v>
      </c>
      <c r="G400" s="399">
        <f>IFERROR(VLOOKUP(A400,醫療院所DATABASE!A:B,2,""),)</f>
        <v>0</v>
      </c>
      <c r="H400" s="64"/>
      <c r="I400" s="109">
        <v>43616</v>
      </c>
      <c r="J400" s="109">
        <v>43620</v>
      </c>
      <c r="K400" s="39" t="s">
        <v>1815</v>
      </c>
      <c r="L400" s="76" t="s">
        <v>1816</v>
      </c>
      <c r="M400" s="49" t="s">
        <v>61</v>
      </c>
      <c r="N400" s="39" t="s">
        <v>51</v>
      </c>
      <c r="O400" s="56"/>
      <c r="P400" s="409" t="s">
        <v>1817</v>
      </c>
      <c r="Q400" s="76" t="s">
        <v>64</v>
      </c>
      <c r="R400" s="64"/>
      <c r="S400" s="24"/>
      <c r="T400" s="24"/>
      <c r="U400" s="64"/>
      <c r="V400" s="56"/>
      <c r="W400" s="56"/>
      <c r="X400" s="56"/>
      <c r="Y400" s="56"/>
      <c r="Z400" s="56"/>
      <c r="AA400" s="56"/>
      <c r="AB400" s="56"/>
      <c r="AC400" s="56"/>
    </row>
    <row r="401" spans="1:29" ht="15.75" customHeight="1">
      <c r="A401" s="39" t="s">
        <v>1760</v>
      </c>
      <c r="B401" s="107">
        <v>43620</v>
      </c>
      <c r="C401" s="109">
        <v>43621</v>
      </c>
      <c r="D401" s="76" t="s">
        <v>366</v>
      </c>
      <c r="E401" s="76" t="s">
        <v>53</v>
      </c>
      <c r="F401" s="129" t="s">
        <v>1761</v>
      </c>
      <c r="G401" s="399">
        <f>IFERROR(VLOOKUP(A401,醫療院所DATABASE!A:B,2,""),)</f>
        <v>0</v>
      </c>
      <c r="H401" s="64"/>
      <c r="I401" s="109">
        <v>43616</v>
      </c>
      <c r="J401" s="109">
        <v>43620</v>
      </c>
      <c r="K401" s="39" t="s">
        <v>1818</v>
      </c>
      <c r="L401" s="76" t="s">
        <v>1819</v>
      </c>
      <c r="M401" s="49" t="s">
        <v>61</v>
      </c>
      <c r="N401" s="39" t="s">
        <v>62</v>
      </c>
      <c r="O401" s="56"/>
      <c r="P401" s="409" t="s">
        <v>1820</v>
      </c>
      <c r="Q401" s="76" t="s">
        <v>64</v>
      </c>
      <c r="R401" s="64"/>
      <c r="S401" s="24"/>
      <c r="T401" s="24"/>
      <c r="U401" s="64"/>
      <c r="V401" s="56"/>
      <c r="W401" s="56"/>
      <c r="X401" s="56"/>
      <c r="Y401" s="56"/>
      <c r="Z401" s="56"/>
      <c r="AA401" s="56"/>
      <c r="AB401" s="56"/>
      <c r="AC401" s="56"/>
    </row>
    <row r="402" spans="1:29" ht="15.75" customHeight="1">
      <c r="A402" s="39" t="s">
        <v>1760</v>
      </c>
      <c r="B402" s="107">
        <v>43620</v>
      </c>
      <c r="C402" s="109">
        <v>43622</v>
      </c>
      <c r="D402" s="76" t="s">
        <v>366</v>
      </c>
      <c r="E402" s="76" t="s">
        <v>188</v>
      </c>
      <c r="F402" s="129" t="s">
        <v>1761</v>
      </c>
      <c r="G402" s="399">
        <f>IFERROR(VLOOKUP(A402,醫療院所DATABASE!A:B,2,""),)</f>
        <v>0</v>
      </c>
      <c r="H402" s="64"/>
      <c r="I402" s="109">
        <v>43616</v>
      </c>
      <c r="J402" s="109">
        <v>43620</v>
      </c>
      <c r="K402" s="39" t="s">
        <v>1823</v>
      </c>
      <c r="L402" s="76" t="s">
        <v>1824</v>
      </c>
      <c r="M402" s="49" t="s">
        <v>61</v>
      </c>
      <c r="N402" s="39" t="s">
        <v>62</v>
      </c>
      <c r="O402" s="56"/>
      <c r="P402" s="409" t="s">
        <v>1825</v>
      </c>
      <c r="Q402" s="76" t="s">
        <v>64</v>
      </c>
      <c r="R402" s="64"/>
      <c r="S402" s="24"/>
      <c r="T402" s="24"/>
      <c r="U402" s="64"/>
      <c r="V402" s="56"/>
      <c r="W402" s="56"/>
      <c r="X402" s="56"/>
      <c r="Y402" s="56"/>
      <c r="Z402" s="56"/>
      <c r="AA402" s="56"/>
      <c r="AB402" s="56"/>
      <c r="AC402" s="56"/>
    </row>
    <row r="403" spans="1:29" ht="15.75" customHeight="1">
      <c r="A403" s="39" t="s">
        <v>1760</v>
      </c>
      <c r="B403" s="107">
        <v>43620</v>
      </c>
      <c r="C403" s="109">
        <v>43621</v>
      </c>
      <c r="D403" s="76" t="s">
        <v>366</v>
      </c>
      <c r="E403" s="76" t="s">
        <v>53</v>
      </c>
      <c r="F403" s="129" t="s">
        <v>1761</v>
      </c>
      <c r="G403" s="399">
        <f>IFERROR(VLOOKUP(A403,醫療院所DATABASE!A:B,2,""),)</f>
        <v>0</v>
      </c>
      <c r="H403" s="64"/>
      <c r="I403" s="109">
        <v>43616</v>
      </c>
      <c r="J403" s="109">
        <v>43620</v>
      </c>
      <c r="K403" s="39" t="s">
        <v>1826</v>
      </c>
      <c r="L403" s="76" t="s">
        <v>1827</v>
      </c>
      <c r="M403" s="49" t="s">
        <v>61</v>
      </c>
      <c r="N403" s="39" t="s">
        <v>51</v>
      </c>
      <c r="O403" s="56"/>
      <c r="P403" s="409" t="s">
        <v>1828</v>
      </c>
      <c r="Q403" s="76" t="s">
        <v>64</v>
      </c>
      <c r="R403" s="64"/>
      <c r="S403" s="24"/>
      <c r="T403" s="24"/>
      <c r="U403" s="64"/>
      <c r="V403" s="56"/>
      <c r="W403" s="56"/>
      <c r="X403" s="56"/>
      <c r="Y403" s="56"/>
      <c r="Z403" s="56"/>
      <c r="AA403" s="56"/>
      <c r="AB403" s="56"/>
      <c r="AC403" s="56"/>
    </row>
    <row r="404" spans="1:29" ht="15.75" customHeight="1">
      <c r="A404" s="39" t="s">
        <v>1760</v>
      </c>
      <c r="B404" s="107">
        <v>43620</v>
      </c>
      <c r="C404" s="109">
        <v>43622</v>
      </c>
      <c r="D404" s="76" t="s">
        <v>366</v>
      </c>
      <c r="E404" s="76" t="s">
        <v>188</v>
      </c>
      <c r="F404" s="129" t="s">
        <v>1761</v>
      </c>
      <c r="G404" s="399">
        <f>IFERROR(VLOOKUP(A404,醫療院所DATABASE!A:B,2,""),)</f>
        <v>0</v>
      </c>
      <c r="H404" s="64"/>
      <c r="I404" s="109">
        <v>43616</v>
      </c>
      <c r="J404" s="109">
        <v>43620</v>
      </c>
      <c r="K404" s="39" t="s">
        <v>1829</v>
      </c>
      <c r="L404" s="76" t="s">
        <v>1830</v>
      </c>
      <c r="M404" s="49" t="s">
        <v>61</v>
      </c>
      <c r="N404" s="39" t="s">
        <v>62</v>
      </c>
      <c r="O404" s="56"/>
      <c r="P404" s="409" t="s">
        <v>1831</v>
      </c>
      <c r="Q404" s="76" t="s">
        <v>64</v>
      </c>
      <c r="R404" s="64"/>
      <c r="S404" s="24"/>
      <c r="T404" s="24"/>
      <c r="U404" s="64"/>
      <c r="V404" s="56"/>
      <c r="W404" s="56"/>
      <c r="X404" s="56"/>
      <c r="Y404" s="56"/>
      <c r="Z404" s="56"/>
      <c r="AA404" s="56"/>
      <c r="AB404" s="56"/>
      <c r="AC404" s="56"/>
    </row>
    <row r="405" spans="1:29" ht="15.75" customHeight="1">
      <c r="A405" s="39" t="s">
        <v>1760</v>
      </c>
      <c r="B405" s="107">
        <v>43620</v>
      </c>
      <c r="C405" s="109">
        <v>43621</v>
      </c>
      <c r="D405" s="76" t="s">
        <v>366</v>
      </c>
      <c r="E405" s="76" t="s">
        <v>53</v>
      </c>
      <c r="F405" s="129" t="s">
        <v>1761</v>
      </c>
      <c r="G405" s="399">
        <f>IFERROR(VLOOKUP(A405,醫療院所DATABASE!A:B,2,""),)</f>
        <v>0</v>
      </c>
      <c r="H405" s="64"/>
      <c r="I405" s="109">
        <v>43616</v>
      </c>
      <c r="J405" s="109">
        <v>43620</v>
      </c>
      <c r="K405" s="39" t="s">
        <v>1832</v>
      </c>
      <c r="L405" s="76" t="s">
        <v>1833</v>
      </c>
      <c r="M405" s="49" t="s">
        <v>61</v>
      </c>
      <c r="N405" s="39" t="s">
        <v>62</v>
      </c>
      <c r="O405" s="56"/>
      <c r="P405" s="409" t="s">
        <v>1834</v>
      </c>
      <c r="Q405" s="76" t="s">
        <v>64</v>
      </c>
      <c r="R405" s="64"/>
      <c r="S405" s="24"/>
      <c r="T405" s="24"/>
      <c r="U405" s="64"/>
      <c r="V405" s="56"/>
      <c r="W405" s="56"/>
      <c r="X405" s="56"/>
      <c r="Y405" s="56"/>
      <c r="Z405" s="56"/>
      <c r="AA405" s="56"/>
      <c r="AB405" s="56"/>
      <c r="AC405" s="56"/>
    </row>
    <row r="406" spans="1:29" ht="15.75" customHeight="1">
      <c r="A406" s="39" t="s">
        <v>1760</v>
      </c>
      <c r="B406" s="107">
        <v>43620</v>
      </c>
      <c r="C406" s="109">
        <v>43622</v>
      </c>
      <c r="D406" s="76" t="s">
        <v>366</v>
      </c>
      <c r="E406" s="76" t="s">
        <v>188</v>
      </c>
      <c r="F406" s="129" t="s">
        <v>1761</v>
      </c>
      <c r="G406" s="399">
        <f>IFERROR(VLOOKUP(A406,醫療院所DATABASE!A:B,2,""),)</f>
        <v>0</v>
      </c>
      <c r="H406" s="76" t="s">
        <v>1835</v>
      </c>
      <c r="I406" s="109">
        <v>43616</v>
      </c>
      <c r="J406" s="109">
        <v>43620</v>
      </c>
      <c r="K406" s="39" t="s">
        <v>1836</v>
      </c>
      <c r="L406" s="76" t="s">
        <v>1837</v>
      </c>
      <c r="M406" s="49" t="s">
        <v>61</v>
      </c>
      <c r="N406" s="39" t="s">
        <v>62</v>
      </c>
      <c r="O406" s="56"/>
      <c r="P406" s="409" t="s">
        <v>1838</v>
      </c>
      <c r="Q406" s="76" t="s">
        <v>64</v>
      </c>
      <c r="R406" s="64"/>
      <c r="S406" s="24"/>
      <c r="T406" s="24"/>
      <c r="U406" s="64"/>
      <c r="V406" s="56"/>
      <c r="W406" s="56"/>
      <c r="X406" s="56"/>
      <c r="Y406" s="56"/>
      <c r="Z406" s="56"/>
      <c r="AA406" s="56"/>
      <c r="AB406" s="56"/>
      <c r="AC406" s="56"/>
    </row>
    <row r="407" spans="1:29" ht="15.75" customHeight="1">
      <c r="A407" s="39" t="s">
        <v>1599</v>
      </c>
      <c r="B407" s="107">
        <v>43620</v>
      </c>
      <c r="C407" s="109">
        <v>43622</v>
      </c>
      <c r="D407" s="76" t="s">
        <v>522</v>
      </c>
      <c r="E407" s="76" t="s">
        <v>53</v>
      </c>
      <c r="F407" s="129" t="s">
        <v>1745</v>
      </c>
      <c r="G407" s="399">
        <f>IFERROR(VLOOKUP(A407,醫療院所DATABASE!A:B,2,""),)</f>
        <v>0</v>
      </c>
      <c r="H407" s="64"/>
      <c r="I407" s="109">
        <v>43616</v>
      </c>
      <c r="J407" s="109">
        <v>43620</v>
      </c>
      <c r="K407" s="39" t="s">
        <v>1839</v>
      </c>
      <c r="L407" s="76" t="s">
        <v>1840</v>
      </c>
      <c r="M407" s="49" t="s">
        <v>61</v>
      </c>
      <c r="N407" s="39" t="s">
        <v>51</v>
      </c>
      <c r="O407" s="56"/>
      <c r="P407" s="409" t="s">
        <v>1841</v>
      </c>
      <c r="Q407" s="76" t="s">
        <v>64</v>
      </c>
      <c r="R407" s="64"/>
      <c r="S407" s="24"/>
      <c r="T407" s="24"/>
      <c r="U407" s="64"/>
      <c r="V407" s="56"/>
      <c r="W407" s="56"/>
      <c r="X407" s="56"/>
      <c r="Y407" s="56"/>
      <c r="Z407" s="56"/>
      <c r="AA407" s="56"/>
      <c r="AB407" s="56"/>
      <c r="AC407" s="56"/>
    </row>
    <row r="408" spans="1:29" ht="15.75" customHeight="1">
      <c r="A408" s="39" t="s">
        <v>1599</v>
      </c>
      <c r="B408" s="107">
        <v>43620</v>
      </c>
      <c r="C408" s="109">
        <v>43622</v>
      </c>
      <c r="D408" s="76" t="s">
        <v>522</v>
      </c>
      <c r="E408" s="76" t="s">
        <v>188</v>
      </c>
      <c r="F408" s="129" t="s">
        <v>1745</v>
      </c>
      <c r="G408" s="399">
        <f>IFERROR(VLOOKUP(A408,醫療院所DATABASE!A:B,2,""),)</f>
        <v>0</v>
      </c>
      <c r="H408" s="64"/>
      <c r="I408" s="109">
        <v>43616</v>
      </c>
      <c r="J408" s="109">
        <v>43620</v>
      </c>
      <c r="K408" s="39" t="s">
        <v>1842</v>
      </c>
      <c r="L408" s="76" t="s">
        <v>1843</v>
      </c>
      <c r="M408" s="49" t="s">
        <v>61</v>
      </c>
      <c r="N408" s="39" t="s">
        <v>62</v>
      </c>
      <c r="O408" s="56"/>
      <c r="P408" s="409" t="s">
        <v>1844</v>
      </c>
      <c r="Q408" s="76" t="s">
        <v>64</v>
      </c>
      <c r="R408" s="64"/>
      <c r="S408" s="24"/>
      <c r="T408" s="24"/>
      <c r="U408" s="64"/>
      <c r="V408" s="56"/>
      <c r="W408" s="56"/>
      <c r="X408" s="56"/>
      <c r="Y408" s="56"/>
      <c r="Z408" s="56"/>
      <c r="AA408" s="56"/>
      <c r="AB408" s="56"/>
      <c r="AC408" s="56"/>
    </row>
    <row r="409" spans="1:29" ht="15.75" customHeight="1">
      <c r="A409" s="39" t="s">
        <v>1845</v>
      </c>
      <c r="B409" s="107">
        <v>43620</v>
      </c>
      <c r="C409" s="109">
        <v>43622</v>
      </c>
      <c r="D409" s="76" t="s">
        <v>522</v>
      </c>
      <c r="E409" s="76" t="s">
        <v>53</v>
      </c>
      <c r="F409" s="129" t="s">
        <v>1745</v>
      </c>
      <c r="G409" s="399">
        <f>IFERROR(VLOOKUP(A409,醫療院所DATABASE!A:B,2,""),)</f>
        <v>0</v>
      </c>
      <c r="H409" s="64"/>
      <c r="I409" s="109">
        <v>43616</v>
      </c>
      <c r="J409" s="109">
        <v>43620</v>
      </c>
      <c r="K409" s="39" t="s">
        <v>1846</v>
      </c>
      <c r="L409" s="76" t="s">
        <v>1847</v>
      </c>
      <c r="M409" s="49" t="s">
        <v>61</v>
      </c>
      <c r="N409" s="39" t="s">
        <v>51</v>
      </c>
      <c r="O409" s="56"/>
      <c r="P409" s="409" t="s">
        <v>1848</v>
      </c>
      <c r="Q409" s="76" t="s">
        <v>64</v>
      </c>
      <c r="R409" s="64"/>
      <c r="S409" s="24"/>
      <c r="T409" s="24"/>
      <c r="U409" s="64"/>
      <c r="V409" s="56"/>
      <c r="W409" s="56"/>
      <c r="X409" s="56"/>
      <c r="Y409" s="56"/>
      <c r="Z409" s="56"/>
      <c r="AA409" s="56"/>
      <c r="AB409" s="56"/>
      <c r="AC409" s="56"/>
    </row>
    <row r="410" spans="1:29" ht="15.75" customHeight="1">
      <c r="A410" s="39" t="s">
        <v>1849</v>
      </c>
      <c r="B410" s="107">
        <v>43620</v>
      </c>
      <c r="C410" s="109">
        <v>43622</v>
      </c>
      <c r="D410" s="76" t="s">
        <v>522</v>
      </c>
      <c r="E410" s="76" t="s">
        <v>188</v>
      </c>
      <c r="F410" s="129" t="s">
        <v>1745</v>
      </c>
      <c r="G410" s="399">
        <f>IFERROR(VLOOKUP(A410,醫療院所DATABASE!A:B,2,""),)</f>
        <v>0</v>
      </c>
      <c r="H410" s="76" t="s">
        <v>1850</v>
      </c>
      <c r="I410" s="109">
        <v>43616</v>
      </c>
      <c r="J410" s="109">
        <v>43620</v>
      </c>
      <c r="K410" s="39" t="s">
        <v>1851</v>
      </c>
      <c r="L410" s="76" t="s">
        <v>1852</v>
      </c>
      <c r="M410" s="49" t="s">
        <v>61</v>
      </c>
      <c r="N410" s="39" t="s">
        <v>51</v>
      </c>
      <c r="O410" s="56"/>
      <c r="P410" s="409" t="s">
        <v>1853</v>
      </c>
      <c r="Q410" s="76" t="s">
        <v>64</v>
      </c>
      <c r="R410" s="64"/>
      <c r="S410" s="24"/>
      <c r="T410" s="24"/>
      <c r="U410" s="64"/>
      <c r="V410" s="56"/>
      <c r="W410" s="56"/>
      <c r="X410" s="56"/>
      <c r="Y410" s="56"/>
      <c r="Z410" s="56"/>
      <c r="AA410" s="56"/>
      <c r="AB410" s="56"/>
      <c r="AC410" s="56"/>
    </row>
    <row r="411" spans="1:29" ht="15.75" customHeight="1">
      <c r="A411" s="39" t="s">
        <v>1849</v>
      </c>
      <c r="B411" s="107">
        <v>43620</v>
      </c>
      <c r="C411" s="109">
        <v>43622</v>
      </c>
      <c r="D411" s="76" t="s">
        <v>522</v>
      </c>
      <c r="E411" s="76" t="s">
        <v>188</v>
      </c>
      <c r="F411" s="129" t="s">
        <v>1745</v>
      </c>
      <c r="G411" s="399">
        <f>IFERROR(VLOOKUP(A411,醫療院所DATABASE!A:B,2,""),)</f>
        <v>0</v>
      </c>
      <c r="H411" s="76" t="s">
        <v>1852</v>
      </c>
      <c r="I411" s="109">
        <v>43616</v>
      </c>
      <c r="J411" s="109">
        <v>43620</v>
      </c>
      <c r="K411" s="39" t="s">
        <v>1854</v>
      </c>
      <c r="L411" s="76" t="s">
        <v>1850</v>
      </c>
      <c r="M411" s="49" t="s">
        <v>61</v>
      </c>
      <c r="N411" s="39" t="s">
        <v>51</v>
      </c>
      <c r="O411" s="56"/>
      <c r="P411" s="409" t="s">
        <v>1855</v>
      </c>
      <c r="Q411" s="76" t="s">
        <v>64</v>
      </c>
      <c r="R411" s="64"/>
      <c r="S411" s="24"/>
      <c r="T411" s="24"/>
      <c r="U411" s="64"/>
      <c r="V411" s="56"/>
      <c r="W411" s="56"/>
      <c r="X411" s="56"/>
      <c r="Y411" s="56"/>
      <c r="Z411" s="56"/>
      <c r="AA411" s="56"/>
      <c r="AB411" s="56"/>
      <c r="AC411" s="56"/>
    </row>
    <row r="412" spans="1:29" ht="15.75" customHeight="1">
      <c r="A412" s="39" t="s">
        <v>1856</v>
      </c>
      <c r="B412" s="107">
        <v>43620</v>
      </c>
      <c r="C412" s="109">
        <v>43622</v>
      </c>
      <c r="D412" s="76" t="s">
        <v>522</v>
      </c>
      <c r="E412" s="76" t="s">
        <v>188</v>
      </c>
      <c r="F412" s="129" t="s">
        <v>1745</v>
      </c>
      <c r="G412" s="399">
        <f>IFERROR(VLOOKUP(A412,醫療院所DATABASE!A:B,2,""),)</f>
        <v>0</v>
      </c>
      <c r="H412" s="76" t="s">
        <v>1857</v>
      </c>
      <c r="I412" s="109">
        <v>43616</v>
      </c>
      <c r="J412" s="109">
        <v>43620</v>
      </c>
      <c r="K412" s="39" t="s">
        <v>1858</v>
      </c>
      <c r="L412" s="76" t="s">
        <v>1859</v>
      </c>
      <c r="M412" s="49" t="s">
        <v>61</v>
      </c>
      <c r="N412" s="39" t="s">
        <v>62</v>
      </c>
      <c r="O412" s="56"/>
      <c r="P412" s="409" t="s">
        <v>1860</v>
      </c>
      <c r="Q412" s="76" t="s">
        <v>64</v>
      </c>
      <c r="R412" s="64"/>
      <c r="S412" s="24"/>
      <c r="T412" s="24"/>
      <c r="U412" s="64"/>
      <c r="V412" s="56"/>
      <c r="W412" s="56"/>
      <c r="X412" s="56"/>
      <c r="Y412" s="56"/>
      <c r="Z412" s="56"/>
      <c r="AA412" s="56"/>
      <c r="AB412" s="56"/>
      <c r="AC412" s="56"/>
    </row>
    <row r="413" spans="1:29" ht="15.75" customHeight="1">
      <c r="A413" s="39" t="s">
        <v>1856</v>
      </c>
      <c r="B413" s="107">
        <v>43620</v>
      </c>
      <c r="C413" s="109">
        <v>43622</v>
      </c>
      <c r="D413" s="76" t="s">
        <v>522</v>
      </c>
      <c r="E413" s="76" t="s">
        <v>53</v>
      </c>
      <c r="F413" s="129" t="s">
        <v>1745</v>
      </c>
      <c r="G413" s="399">
        <f>IFERROR(VLOOKUP(A413,醫療院所DATABASE!A:B,2,""),)</f>
        <v>0</v>
      </c>
      <c r="H413" s="76" t="s">
        <v>1861</v>
      </c>
      <c r="I413" s="109">
        <v>43616</v>
      </c>
      <c r="J413" s="109">
        <v>43620</v>
      </c>
      <c r="K413" s="39" t="s">
        <v>1862</v>
      </c>
      <c r="L413" s="76" t="s">
        <v>1863</v>
      </c>
      <c r="M413" s="49" t="s">
        <v>61</v>
      </c>
      <c r="N413" s="39" t="s">
        <v>62</v>
      </c>
      <c r="O413" s="56"/>
      <c r="P413" s="409" t="s">
        <v>1864</v>
      </c>
      <c r="Q413" s="76" t="s">
        <v>64</v>
      </c>
      <c r="R413" s="64"/>
      <c r="S413" s="24"/>
      <c r="T413" s="24"/>
      <c r="U413" s="64"/>
      <c r="V413" s="56"/>
      <c r="W413" s="56"/>
      <c r="X413" s="56"/>
      <c r="Y413" s="56"/>
      <c r="Z413" s="56"/>
      <c r="AA413" s="56"/>
      <c r="AB413" s="56"/>
      <c r="AC413" s="56"/>
    </row>
    <row r="414" spans="1:29" ht="15.75" customHeight="1">
      <c r="A414" s="39" t="s">
        <v>1856</v>
      </c>
      <c r="B414" s="107">
        <v>43620</v>
      </c>
      <c r="C414" s="109">
        <v>43622</v>
      </c>
      <c r="D414" s="76" t="s">
        <v>522</v>
      </c>
      <c r="E414" s="76" t="s">
        <v>53</v>
      </c>
      <c r="F414" s="129" t="s">
        <v>1745</v>
      </c>
      <c r="G414" s="399">
        <f>IFERROR(VLOOKUP(A414,醫療院所DATABASE!A:B,2,""),)</f>
        <v>0</v>
      </c>
      <c r="H414" s="76" t="s">
        <v>1865</v>
      </c>
      <c r="I414" s="109">
        <v>43616</v>
      </c>
      <c r="J414" s="109">
        <v>43620</v>
      </c>
      <c r="K414" s="39" t="s">
        <v>1866</v>
      </c>
      <c r="L414" s="76" t="s">
        <v>1867</v>
      </c>
      <c r="M414" s="49" t="s">
        <v>61</v>
      </c>
      <c r="N414" s="39" t="s">
        <v>62</v>
      </c>
      <c r="O414" s="56"/>
      <c r="P414" s="409" t="s">
        <v>1868</v>
      </c>
      <c r="Q414" s="76" t="s">
        <v>64</v>
      </c>
      <c r="R414" s="64"/>
      <c r="S414" s="24"/>
      <c r="T414" s="24"/>
      <c r="U414" s="64"/>
      <c r="V414" s="56"/>
      <c r="W414" s="56"/>
      <c r="X414" s="56"/>
      <c r="Y414" s="56"/>
      <c r="Z414" s="56"/>
      <c r="AA414" s="56"/>
      <c r="AB414" s="56"/>
      <c r="AC414" s="56"/>
    </row>
    <row r="415" spans="1:29" ht="15.75" customHeight="1">
      <c r="A415" s="39" t="s">
        <v>1856</v>
      </c>
      <c r="B415" s="107">
        <v>43620</v>
      </c>
      <c r="C415" s="109">
        <v>43622</v>
      </c>
      <c r="D415" s="76" t="s">
        <v>522</v>
      </c>
      <c r="E415" s="76" t="s">
        <v>188</v>
      </c>
      <c r="F415" s="129" t="s">
        <v>1745</v>
      </c>
      <c r="G415" s="399">
        <f>IFERROR(VLOOKUP(A415,醫療院所DATABASE!A:B,2,""),)</f>
        <v>0</v>
      </c>
      <c r="H415" s="76" t="s">
        <v>1869</v>
      </c>
      <c r="I415" s="109">
        <v>43616</v>
      </c>
      <c r="J415" s="109">
        <v>43620</v>
      </c>
      <c r="K415" s="39" t="s">
        <v>1870</v>
      </c>
      <c r="L415" s="76" t="s">
        <v>1871</v>
      </c>
      <c r="M415" s="49" t="s">
        <v>61</v>
      </c>
      <c r="N415" s="39" t="s">
        <v>51</v>
      </c>
      <c r="O415" s="56"/>
      <c r="P415" s="409" t="s">
        <v>1872</v>
      </c>
      <c r="Q415" s="76" t="s">
        <v>64</v>
      </c>
      <c r="R415" s="64"/>
      <c r="S415" s="24"/>
      <c r="T415" s="24"/>
      <c r="U415" s="64"/>
      <c r="V415" s="56"/>
      <c r="W415" s="56"/>
      <c r="X415" s="56"/>
      <c r="Y415" s="56"/>
      <c r="Z415" s="56"/>
      <c r="AA415" s="56"/>
      <c r="AB415" s="56"/>
      <c r="AC415" s="56"/>
    </row>
    <row r="416" spans="1:29" ht="15.75" customHeight="1">
      <c r="A416" s="39" t="s">
        <v>1599</v>
      </c>
      <c r="B416" s="107">
        <v>43620</v>
      </c>
      <c r="C416" s="109">
        <v>43622</v>
      </c>
      <c r="D416" s="76" t="s">
        <v>522</v>
      </c>
      <c r="E416" s="76" t="s">
        <v>188</v>
      </c>
      <c r="F416" s="129" t="s">
        <v>1745</v>
      </c>
      <c r="G416" s="399">
        <f>IFERROR(VLOOKUP(A416,醫療院所DATABASE!A:B,2,""),)</f>
        <v>0</v>
      </c>
      <c r="H416" s="64"/>
      <c r="I416" s="109">
        <v>43616</v>
      </c>
      <c r="J416" s="109">
        <v>43620</v>
      </c>
      <c r="K416" s="39" t="s">
        <v>1873</v>
      </c>
      <c r="L416" s="76" t="s">
        <v>1874</v>
      </c>
      <c r="M416" s="93" t="s">
        <v>641</v>
      </c>
      <c r="N416" s="39" t="s">
        <v>51</v>
      </c>
      <c r="O416" s="56"/>
      <c r="P416" s="409" t="s">
        <v>1875</v>
      </c>
      <c r="Q416" s="76" t="s">
        <v>64</v>
      </c>
      <c r="R416" s="64"/>
      <c r="S416" s="24"/>
      <c r="T416" s="24"/>
      <c r="U416" s="64"/>
      <c r="V416" s="56"/>
      <c r="W416" s="56"/>
      <c r="X416" s="56"/>
      <c r="Y416" s="56"/>
      <c r="Z416" s="56"/>
      <c r="AA416" s="56"/>
      <c r="AB416" s="56"/>
      <c r="AC416" s="56"/>
    </row>
    <row r="417" spans="1:29" ht="15.75" customHeight="1">
      <c r="A417" s="39" t="s">
        <v>1845</v>
      </c>
      <c r="B417" s="107">
        <v>43620</v>
      </c>
      <c r="C417" s="109">
        <v>43622</v>
      </c>
      <c r="D417" s="76" t="s">
        <v>522</v>
      </c>
      <c r="E417" s="76" t="s">
        <v>53</v>
      </c>
      <c r="F417" s="129" t="s">
        <v>1745</v>
      </c>
      <c r="G417" s="399">
        <f>IFERROR(VLOOKUP(A417,醫療院所DATABASE!A:B,2,""),)</f>
        <v>0</v>
      </c>
      <c r="H417" s="64"/>
      <c r="I417" s="109">
        <v>43616</v>
      </c>
      <c r="J417" s="109">
        <v>43620</v>
      </c>
      <c r="K417" s="39" t="s">
        <v>1876</v>
      </c>
      <c r="L417" s="76" t="s">
        <v>1877</v>
      </c>
      <c r="M417" s="93" t="s">
        <v>641</v>
      </c>
      <c r="N417" s="39" t="s">
        <v>51</v>
      </c>
      <c r="O417" s="56"/>
      <c r="P417" s="409" t="s">
        <v>1878</v>
      </c>
      <c r="Q417" s="76" t="s">
        <v>64</v>
      </c>
      <c r="R417" s="64"/>
      <c r="S417" s="24"/>
      <c r="T417" s="24"/>
      <c r="U417" s="64"/>
      <c r="V417" s="56"/>
      <c r="W417" s="56"/>
      <c r="X417" s="56"/>
      <c r="Y417" s="56"/>
      <c r="Z417" s="56"/>
      <c r="AA417" s="56"/>
      <c r="AB417" s="56"/>
      <c r="AC417" s="56"/>
    </row>
    <row r="418" spans="1:29" ht="15.75" customHeight="1">
      <c r="A418" s="39">
        <v>19053003</v>
      </c>
      <c r="B418" s="107">
        <v>43620</v>
      </c>
      <c r="C418" s="109">
        <v>43622</v>
      </c>
      <c r="D418" s="76" t="s">
        <v>523</v>
      </c>
      <c r="E418" s="76" t="s">
        <v>188</v>
      </c>
      <c r="F418" s="129" t="s">
        <v>353</v>
      </c>
      <c r="G418" s="399">
        <f>IFERROR(VLOOKUP(A418,醫療院所DATABASE!A:B,2,""),)</f>
        <v>0</v>
      </c>
      <c r="H418" s="64"/>
      <c r="I418" s="109">
        <v>43616</v>
      </c>
      <c r="J418" s="109">
        <v>43620</v>
      </c>
      <c r="K418" s="39" t="s">
        <v>1879</v>
      </c>
      <c r="L418" s="76" t="s">
        <v>1880</v>
      </c>
      <c r="M418" s="49" t="s">
        <v>61</v>
      </c>
      <c r="N418" s="39" t="s">
        <v>62</v>
      </c>
      <c r="O418" s="56"/>
      <c r="P418" s="409" t="s">
        <v>1881</v>
      </c>
      <c r="Q418" s="76" t="s">
        <v>64</v>
      </c>
      <c r="R418" s="64"/>
      <c r="S418" s="24"/>
      <c r="T418" s="24"/>
      <c r="U418" s="64"/>
      <c r="V418" s="56"/>
      <c r="W418" s="56"/>
      <c r="X418" s="56"/>
      <c r="Y418" s="56"/>
      <c r="Z418" s="56"/>
      <c r="AA418" s="56"/>
      <c r="AB418" s="56"/>
      <c r="AC418" s="56"/>
    </row>
    <row r="419" spans="1:29" ht="15.75" customHeight="1">
      <c r="A419" s="39" t="s">
        <v>1389</v>
      </c>
      <c r="B419" s="107">
        <v>43621</v>
      </c>
      <c r="C419" s="109">
        <v>43658</v>
      </c>
      <c r="D419" s="76" t="s">
        <v>479</v>
      </c>
      <c r="E419" s="76" t="s">
        <v>163</v>
      </c>
      <c r="F419" s="151" t="s">
        <v>808</v>
      </c>
      <c r="G419" s="399">
        <f>IFERROR(VLOOKUP(A419,醫療院所DATABASE!A:B,2,""),)</f>
        <v>0</v>
      </c>
      <c r="H419" s="64"/>
      <c r="I419" s="109">
        <v>43619</v>
      </c>
      <c r="J419" s="109">
        <v>43621</v>
      </c>
      <c r="K419" s="39" t="s">
        <v>1882</v>
      </c>
      <c r="L419" s="76" t="s">
        <v>1883</v>
      </c>
      <c r="M419" s="49" t="s">
        <v>61</v>
      </c>
      <c r="N419" s="39" t="s">
        <v>62</v>
      </c>
      <c r="O419" s="56"/>
      <c r="P419" s="409" t="s">
        <v>1884</v>
      </c>
      <c r="Q419" s="76" t="s">
        <v>1207</v>
      </c>
      <c r="R419" s="76" t="s">
        <v>1885</v>
      </c>
      <c r="S419" s="24"/>
      <c r="T419" s="24"/>
      <c r="U419" s="64"/>
      <c r="V419" s="56"/>
      <c r="W419" s="56"/>
      <c r="X419" s="56"/>
      <c r="Y419" s="56"/>
      <c r="Z419" s="56"/>
      <c r="AA419" s="56"/>
      <c r="AB419" s="56"/>
      <c r="AC419" s="56"/>
    </row>
    <row r="420" spans="1:29" ht="15.75" customHeight="1">
      <c r="A420" s="39" t="s">
        <v>1389</v>
      </c>
      <c r="B420" s="107">
        <v>43621</v>
      </c>
      <c r="C420" s="109">
        <v>43658</v>
      </c>
      <c r="D420" s="76" t="s">
        <v>479</v>
      </c>
      <c r="E420" s="76" t="s">
        <v>163</v>
      </c>
      <c r="F420" s="151" t="s">
        <v>808</v>
      </c>
      <c r="G420" s="399">
        <f>IFERROR(VLOOKUP(A420,醫療院所DATABASE!A:B,2,""),)</f>
        <v>0</v>
      </c>
      <c r="H420" s="64"/>
      <c r="I420" s="109">
        <v>43619</v>
      </c>
      <c r="J420" s="109">
        <v>43621</v>
      </c>
      <c r="K420" s="39" t="s">
        <v>1886</v>
      </c>
      <c r="L420" s="76" t="s">
        <v>1887</v>
      </c>
      <c r="M420" s="49" t="s">
        <v>61</v>
      </c>
      <c r="N420" s="39" t="s">
        <v>62</v>
      </c>
      <c r="O420" s="56"/>
      <c r="P420" s="409" t="s">
        <v>1888</v>
      </c>
      <c r="Q420" s="76" t="s">
        <v>1207</v>
      </c>
      <c r="R420" s="76" t="s">
        <v>1885</v>
      </c>
      <c r="S420" s="24"/>
      <c r="T420" s="24"/>
      <c r="U420" s="64"/>
      <c r="V420" s="56"/>
      <c r="W420" s="56"/>
      <c r="X420" s="56"/>
      <c r="Y420" s="56"/>
      <c r="Z420" s="56"/>
      <c r="AA420" s="56"/>
      <c r="AB420" s="56"/>
      <c r="AC420" s="56"/>
    </row>
    <row r="421" spans="1:29" ht="15.75" customHeight="1">
      <c r="A421" s="39" t="s">
        <v>1889</v>
      </c>
      <c r="B421" s="107">
        <v>43621</v>
      </c>
      <c r="C421" s="109">
        <v>43622</v>
      </c>
      <c r="D421" s="76" t="s">
        <v>53</v>
      </c>
      <c r="E421" s="76" t="s">
        <v>53</v>
      </c>
      <c r="F421" s="129" t="s">
        <v>1614</v>
      </c>
      <c r="G421" s="399">
        <f>IFERROR(VLOOKUP(A421,醫療院所DATABASE!A:B,2,""),)</f>
        <v>0</v>
      </c>
      <c r="H421" s="64"/>
      <c r="I421" s="109">
        <v>43619</v>
      </c>
      <c r="J421" s="109">
        <v>43621</v>
      </c>
      <c r="K421" s="39" t="s">
        <v>1890</v>
      </c>
      <c r="L421" s="76" t="s">
        <v>1891</v>
      </c>
      <c r="M421" s="49" t="s">
        <v>61</v>
      </c>
      <c r="N421" s="39" t="s">
        <v>62</v>
      </c>
      <c r="O421" s="56"/>
      <c r="P421" s="409" t="s">
        <v>1892</v>
      </c>
      <c r="Q421" s="76" t="s">
        <v>64</v>
      </c>
      <c r="R421" s="76" t="s">
        <v>1893</v>
      </c>
      <c r="S421" s="24"/>
      <c r="T421" s="24"/>
      <c r="U421" s="136" t="s">
        <v>1894</v>
      </c>
      <c r="V421" s="56"/>
      <c r="W421" s="56"/>
      <c r="X421" s="56"/>
      <c r="Y421" s="56"/>
      <c r="Z421" s="56"/>
      <c r="AA421" s="56"/>
      <c r="AB421" s="56"/>
      <c r="AC421" s="56"/>
    </row>
    <row r="422" spans="1:29" ht="15.75" customHeight="1">
      <c r="A422" s="39" t="s">
        <v>1895</v>
      </c>
      <c r="B422" s="107">
        <v>43621</v>
      </c>
      <c r="C422" s="109">
        <v>43622</v>
      </c>
      <c r="D422" s="76" t="s">
        <v>53</v>
      </c>
      <c r="E422" s="76" t="s">
        <v>53</v>
      </c>
      <c r="F422" s="129" t="s">
        <v>1614</v>
      </c>
      <c r="G422" s="399">
        <f>IFERROR(VLOOKUP(A422,醫療院所DATABASE!A:B,2,""),)</f>
        <v>0</v>
      </c>
      <c r="H422" s="76" t="s">
        <v>741</v>
      </c>
      <c r="I422" s="109">
        <v>43619</v>
      </c>
      <c r="J422" s="109">
        <v>43621</v>
      </c>
      <c r="K422" s="39" t="s">
        <v>1896</v>
      </c>
      <c r="L422" s="76" t="s">
        <v>1897</v>
      </c>
      <c r="M422" s="49" t="s">
        <v>61</v>
      </c>
      <c r="N422" s="39" t="s">
        <v>62</v>
      </c>
      <c r="O422" s="56"/>
      <c r="P422" s="409" t="s">
        <v>1898</v>
      </c>
      <c r="Q422" s="76" t="s">
        <v>64</v>
      </c>
      <c r="R422" s="76" t="s">
        <v>1893</v>
      </c>
      <c r="S422" s="24"/>
      <c r="T422" s="24"/>
      <c r="U422" s="136" t="s">
        <v>1894</v>
      </c>
      <c r="V422" s="56"/>
      <c r="W422" s="56"/>
      <c r="X422" s="56"/>
      <c r="Y422" s="56"/>
      <c r="Z422" s="56"/>
      <c r="AA422" s="56"/>
      <c r="AB422" s="56"/>
      <c r="AC422" s="56"/>
    </row>
    <row r="423" spans="1:29" ht="15.75" customHeight="1">
      <c r="A423" s="39">
        <v>19052405</v>
      </c>
      <c r="B423" s="107">
        <v>43620</v>
      </c>
      <c r="C423" s="109">
        <v>43622</v>
      </c>
      <c r="D423" s="76" t="s">
        <v>1415</v>
      </c>
      <c r="E423" s="76" t="s">
        <v>188</v>
      </c>
      <c r="F423" s="129" t="s">
        <v>353</v>
      </c>
      <c r="G423" s="399">
        <f>IFERROR(VLOOKUP(A423,醫療院所DATABASE!A:B,2,""),)</f>
        <v>0</v>
      </c>
      <c r="H423" s="76" t="s">
        <v>1518</v>
      </c>
      <c r="I423" s="109">
        <v>43619</v>
      </c>
      <c r="J423" s="109">
        <v>43621</v>
      </c>
      <c r="K423" s="39" t="s">
        <v>1899</v>
      </c>
      <c r="L423" s="76" t="s">
        <v>1900</v>
      </c>
      <c r="M423" s="49" t="s">
        <v>61</v>
      </c>
      <c r="N423" s="39" t="s">
        <v>62</v>
      </c>
      <c r="O423" s="56"/>
      <c r="P423" s="409" t="s">
        <v>1901</v>
      </c>
      <c r="Q423" s="76" t="s">
        <v>64</v>
      </c>
      <c r="R423" s="76" t="s">
        <v>1885</v>
      </c>
      <c r="S423" s="24"/>
      <c r="T423" s="24"/>
      <c r="V423" s="56"/>
      <c r="W423" s="56"/>
      <c r="X423" s="56"/>
      <c r="Y423" s="56"/>
      <c r="Z423" s="56"/>
      <c r="AA423" s="56"/>
      <c r="AB423" s="56"/>
      <c r="AC423" s="56"/>
    </row>
    <row r="424" spans="1:29" ht="15.75" customHeight="1">
      <c r="A424" s="39">
        <v>19052906</v>
      </c>
      <c r="B424" s="107">
        <v>43621</v>
      </c>
      <c r="C424" s="109">
        <v>43622</v>
      </c>
      <c r="D424" s="76" t="s">
        <v>1029</v>
      </c>
      <c r="E424" s="76" t="s">
        <v>53</v>
      </c>
      <c r="F424" s="129" t="s">
        <v>353</v>
      </c>
      <c r="G424" s="399">
        <f>IFERROR(VLOOKUP(A424,醫療院所DATABASE!A:B,2,""),)</f>
        <v>0</v>
      </c>
      <c r="H424" s="76" t="s">
        <v>1902</v>
      </c>
      <c r="I424" s="109">
        <v>43619</v>
      </c>
      <c r="J424" s="109">
        <v>43621</v>
      </c>
      <c r="K424" s="39" t="s">
        <v>1903</v>
      </c>
      <c r="L424" s="76" t="s">
        <v>1904</v>
      </c>
      <c r="M424" s="152" t="s">
        <v>956</v>
      </c>
      <c r="N424" s="39" t="s">
        <v>51</v>
      </c>
      <c r="O424" s="56"/>
      <c r="P424" s="409" t="s">
        <v>1905</v>
      </c>
      <c r="Q424" s="76" t="s">
        <v>64</v>
      </c>
      <c r="R424" s="76" t="s">
        <v>1885</v>
      </c>
      <c r="S424" s="24"/>
      <c r="T424" s="24"/>
      <c r="U424" s="64"/>
      <c r="V424" s="56"/>
      <c r="W424" s="56"/>
      <c r="X424" s="56"/>
      <c r="Y424" s="56"/>
      <c r="Z424" s="56"/>
      <c r="AA424" s="56"/>
      <c r="AB424" s="56"/>
      <c r="AC424" s="56"/>
    </row>
    <row r="425" spans="1:29" ht="15.75" customHeight="1">
      <c r="A425" s="39">
        <v>19052905</v>
      </c>
      <c r="B425" s="107">
        <v>43621</v>
      </c>
      <c r="C425" s="109">
        <v>43622</v>
      </c>
      <c r="D425" s="76" t="s">
        <v>1029</v>
      </c>
      <c r="E425" s="76" t="s">
        <v>53</v>
      </c>
      <c r="F425" s="129" t="s">
        <v>353</v>
      </c>
      <c r="G425" s="399">
        <f>IFERROR(VLOOKUP(A425,醫療院所DATABASE!A:B,2,""),)</f>
        <v>0</v>
      </c>
      <c r="H425" s="76" t="s">
        <v>1906</v>
      </c>
      <c r="I425" s="109">
        <v>43619</v>
      </c>
      <c r="J425" s="109">
        <v>43621</v>
      </c>
      <c r="K425" s="39" t="s">
        <v>1907</v>
      </c>
      <c r="L425" s="76" t="s">
        <v>1908</v>
      </c>
      <c r="M425" s="127" t="s">
        <v>956</v>
      </c>
      <c r="N425" s="39" t="s">
        <v>62</v>
      </c>
      <c r="O425" s="56"/>
      <c r="P425" s="409" t="s">
        <v>1909</v>
      </c>
      <c r="Q425" s="76" t="s">
        <v>64</v>
      </c>
      <c r="R425" s="76" t="s">
        <v>1885</v>
      </c>
      <c r="S425" s="24"/>
      <c r="T425" s="24"/>
      <c r="U425" s="64"/>
      <c r="V425" s="56"/>
      <c r="W425" s="56"/>
      <c r="X425" s="56"/>
      <c r="Y425" s="56"/>
      <c r="Z425" s="56"/>
      <c r="AA425" s="56"/>
      <c r="AB425" s="56"/>
      <c r="AC425" s="56"/>
    </row>
    <row r="426" spans="1:29" ht="15.75" customHeight="1">
      <c r="A426" s="39" t="s">
        <v>1319</v>
      </c>
      <c r="B426" s="107">
        <v>43621</v>
      </c>
      <c r="C426" s="109">
        <v>43622</v>
      </c>
      <c r="D426" s="153" t="s">
        <v>1910</v>
      </c>
      <c r="E426" s="76" t="s">
        <v>188</v>
      </c>
      <c r="F426" s="129" t="s">
        <v>1911</v>
      </c>
      <c r="G426" s="399">
        <f>IFERROR(VLOOKUP(A426,醫療院所DATABASE!A:B,2,""),)</f>
        <v>0</v>
      </c>
      <c r="H426" s="64"/>
      <c r="I426" s="109">
        <v>43619</v>
      </c>
      <c r="J426" s="109">
        <v>43621</v>
      </c>
      <c r="K426" s="39" t="s">
        <v>1912</v>
      </c>
      <c r="L426" s="76" t="s">
        <v>1913</v>
      </c>
      <c r="M426" s="127" t="s">
        <v>956</v>
      </c>
      <c r="N426" s="39" t="s">
        <v>62</v>
      </c>
      <c r="O426" s="56"/>
      <c r="P426" s="409" t="s">
        <v>1914</v>
      </c>
      <c r="Q426" s="76" t="s">
        <v>64</v>
      </c>
      <c r="R426" s="76" t="s">
        <v>1885</v>
      </c>
      <c r="S426" s="24"/>
      <c r="T426" s="24"/>
      <c r="U426" s="64"/>
      <c r="V426" s="56"/>
      <c r="W426" s="56"/>
      <c r="X426" s="56"/>
      <c r="Y426" s="56"/>
      <c r="Z426" s="56"/>
      <c r="AA426" s="56"/>
      <c r="AB426" s="56"/>
      <c r="AC426" s="56"/>
    </row>
    <row r="427" spans="1:29" ht="15.75" customHeight="1">
      <c r="A427" s="39" t="s">
        <v>1915</v>
      </c>
      <c r="B427" s="107">
        <v>43621</v>
      </c>
      <c r="C427" s="109">
        <v>43622</v>
      </c>
      <c r="D427" s="76" t="s">
        <v>53</v>
      </c>
      <c r="E427" s="76" t="s">
        <v>53</v>
      </c>
      <c r="F427" s="129" t="s">
        <v>1916</v>
      </c>
      <c r="G427" s="399">
        <f>IFERROR(VLOOKUP(A427,醫療院所DATABASE!A:B,2,""),)</f>
        <v>0</v>
      </c>
      <c r="H427" s="64"/>
      <c r="I427" s="109">
        <v>43619</v>
      </c>
      <c r="J427" s="109">
        <v>43621</v>
      </c>
      <c r="K427" s="39" t="s">
        <v>1917</v>
      </c>
      <c r="L427" s="76" t="s">
        <v>1918</v>
      </c>
      <c r="M427" s="85" t="s">
        <v>579</v>
      </c>
      <c r="N427" s="39" t="s">
        <v>62</v>
      </c>
      <c r="O427" s="56"/>
      <c r="P427" s="409" t="s">
        <v>1919</v>
      </c>
      <c r="Q427" s="76" t="s">
        <v>64</v>
      </c>
      <c r="R427" s="76" t="s">
        <v>1885</v>
      </c>
      <c r="S427" s="24"/>
      <c r="T427" s="24"/>
      <c r="U427" s="64"/>
      <c r="V427" s="56"/>
      <c r="W427" s="56"/>
      <c r="X427" s="56"/>
      <c r="Y427" s="56"/>
      <c r="Z427" s="56"/>
      <c r="AA427" s="56"/>
      <c r="AB427" s="56"/>
      <c r="AC427" s="56"/>
    </row>
    <row r="428" spans="1:29" ht="15.75" customHeight="1">
      <c r="A428" s="39" t="s">
        <v>701</v>
      </c>
      <c r="B428" s="107">
        <v>43622</v>
      </c>
      <c r="C428" s="109">
        <v>43627</v>
      </c>
      <c r="D428" s="76" t="s">
        <v>522</v>
      </c>
      <c r="E428" s="76" t="s">
        <v>188</v>
      </c>
      <c r="F428" s="129" t="s">
        <v>1555</v>
      </c>
      <c r="G428" s="399">
        <f>IFERROR(VLOOKUP(A428,醫療院所DATABASE!A:B,2,""),)</f>
        <v>0</v>
      </c>
      <c r="H428" s="64"/>
      <c r="I428" s="109">
        <v>43620</v>
      </c>
      <c r="J428" s="109">
        <v>43622</v>
      </c>
      <c r="K428" s="39" t="s">
        <v>1920</v>
      </c>
      <c r="L428" s="76" t="s">
        <v>1921</v>
      </c>
      <c r="M428" s="49" t="s">
        <v>61</v>
      </c>
      <c r="N428" s="39" t="s">
        <v>62</v>
      </c>
      <c r="O428" s="56"/>
      <c r="P428" s="409" t="s">
        <v>1922</v>
      </c>
      <c r="Q428" s="76" t="s">
        <v>64</v>
      </c>
      <c r="R428" s="76" t="s">
        <v>1885</v>
      </c>
      <c r="S428" s="24"/>
      <c r="T428" s="24"/>
      <c r="U428" s="64"/>
      <c r="V428" s="56"/>
      <c r="W428" s="56"/>
      <c r="X428" s="56"/>
      <c r="Y428" s="56"/>
      <c r="Z428" s="56"/>
      <c r="AA428" s="56"/>
      <c r="AB428" s="56"/>
      <c r="AC428" s="56"/>
    </row>
    <row r="429" spans="1:29" ht="15.75" customHeight="1">
      <c r="A429" s="39" t="s">
        <v>701</v>
      </c>
      <c r="B429" s="107">
        <v>43622</v>
      </c>
      <c r="C429" s="109">
        <v>43627</v>
      </c>
      <c r="D429" s="76" t="s">
        <v>522</v>
      </c>
      <c r="E429" s="76" t="s">
        <v>53</v>
      </c>
      <c r="F429" s="129" t="s">
        <v>1555</v>
      </c>
      <c r="G429" s="399">
        <f>IFERROR(VLOOKUP(A429,醫療院所DATABASE!A:B,2,""),)</f>
        <v>0</v>
      </c>
      <c r="H429" s="64"/>
      <c r="I429" s="109">
        <v>43620</v>
      </c>
      <c r="J429" s="109">
        <v>43622</v>
      </c>
      <c r="K429" s="39" t="s">
        <v>1923</v>
      </c>
      <c r="L429" s="76" t="s">
        <v>1924</v>
      </c>
      <c r="M429" s="49" t="s">
        <v>61</v>
      </c>
      <c r="N429" s="39" t="s">
        <v>62</v>
      </c>
      <c r="O429" s="56"/>
      <c r="P429" s="409" t="s">
        <v>1925</v>
      </c>
      <c r="Q429" s="76" t="s">
        <v>64</v>
      </c>
      <c r="R429" s="76" t="s">
        <v>1885</v>
      </c>
      <c r="S429" s="24"/>
      <c r="T429" s="24"/>
      <c r="U429" s="64"/>
      <c r="V429" s="56"/>
      <c r="W429" s="56"/>
      <c r="X429" s="56"/>
      <c r="Y429" s="56"/>
      <c r="Z429" s="56"/>
      <c r="AA429" s="56"/>
      <c r="AB429" s="56"/>
      <c r="AC429" s="56"/>
    </row>
    <row r="430" spans="1:29" ht="15.75" customHeight="1">
      <c r="A430" s="39" t="s">
        <v>1926</v>
      </c>
      <c r="B430" s="107">
        <v>43622</v>
      </c>
      <c r="C430" s="109">
        <v>43627</v>
      </c>
      <c r="D430" s="76" t="s">
        <v>53</v>
      </c>
      <c r="E430" s="76" t="s">
        <v>53</v>
      </c>
      <c r="F430" s="129" t="s">
        <v>1927</v>
      </c>
      <c r="G430" s="399">
        <f>IFERROR(VLOOKUP(A430,醫療院所DATABASE!A:B,2,""),)</f>
        <v>0</v>
      </c>
      <c r="H430" s="64"/>
      <c r="I430" s="109">
        <v>43620</v>
      </c>
      <c r="J430" s="109">
        <v>43622</v>
      </c>
      <c r="K430" s="39" t="s">
        <v>1928</v>
      </c>
      <c r="L430" s="76" t="s">
        <v>1929</v>
      </c>
      <c r="M430" s="49" t="s">
        <v>61</v>
      </c>
      <c r="N430" s="39" t="s">
        <v>62</v>
      </c>
      <c r="O430" s="56"/>
      <c r="P430" s="409" t="s">
        <v>1930</v>
      </c>
      <c r="Q430" s="76" t="s">
        <v>1931</v>
      </c>
      <c r="R430" s="76" t="s">
        <v>1885</v>
      </c>
      <c r="S430" s="24"/>
      <c r="T430" s="24"/>
      <c r="U430" s="136" t="s">
        <v>1582</v>
      </c>
      <c r="V430" s="56"/>
      <c r="W430" s="56"/>
      <c r="X430" s="56"/>
      <c r="Y430" s="56"/>
      <c r="Z430" s="56"/>
      <c r="AA430" s="56"/>
      <c r="AB430" s="56"/>
      <c r="AC430" s="56"/>
    </row>
    <row r="431" spans="1:29" ht="15.75" customHeight="1">
      <c r="A431" s="39" t="s">
        <v>1932</v>
      </c>
      <c r="B431" s="107">
        <v>43622</v>
      </c>
      <c r="C431" s="109">
        <v>43627</v>
      </c>
      <c r="D431" s="76" t="s">
        <v>53</v>
      </c>
      <c r="E431" s="76" t="s">
        <v>53</v>
      </c>
      <c r="F431" s="129" t="s">
        <v>1927</v>
      </c>
      <c r="G431" s="399">
        <f>IFERROR(VLOOKUP(A431,醫療院所DATABASE!A:B,2,""),)</f>
        <v>0</v>
      </c>
      <c r="H431" s="64"/>
      <c r="I431" s="109">
        <v>43620</v>
      </c>
      <c r="J431" s="109">
        <v>43622</v>
      </c>
      <c r="K431" s="39" t="s">
        <v>1933</v>
      </c>
      <c r="L431" s="76" t="s">
        <v>1934</v>
      </c>
      <c r="M431" s="49" t="s">
        <v>61</v>
      </c>
      <c r="N431" s="39" t="s">
        <v>51</v>
      </c>
      <c r="O431" s="56"/>
      <c r="P431" s="409" t="s">
        <v>1935</v>
      </c>
      <c r="Q431" s="76" t="s">
        <v>1931</v>
      </c>
      <c r="R431" s="76" t="s">
        <v>1885</v>
      </c>
      <c r="S431" s="24"/>
      <c r="T431" s="24"/>
      <c r="U431" s="136" t="s">
        <v>1582</v>
      </c>
      <c r="V431" s="56"/>
      <c r="W431" s="56"/>
      <c r="X431" s="56"/>
      <c r="Y431" s="56"/>
      <c r="Z431" s="56"/>
      <c r="AA431" s="56"/>
      <c r="AB431" s="56"/>
      <c r="AC431" s="56"/>
    </row>
    <row r="432" spans="1:29" ht="15.75" customHeight="1">
      <c r="A432" s="39">
        <v>19053101</v>
      </c>
      <c r="B432" s="107">
        <v>43622</v>
      </c>
      <c r="C432" s="109">
        <v>43627</v>
      </c>
      <c r="D432" s="76" t="s">
        <v>188</v>
      </c>
      <c r="E432" s="76" t="s">
        <v>188</v>
      </c>
      <c r="F432" s="129" t="s">
        <v>353</v>
      </c>
      <c r="G432" s="399">
        <f>IFERROR(VLOOKUP(A432,醫療院所DATABASE!A:B,2,""),)</f>
        <v>0</v>
      </c>
      <c r="H432" s="64"/>
      <c r="I432" s="109">
        <v>43620</v>
      </c>
      <c r="J432" s="109">
        <v>43622</v>
      </c>
      <c r="K432" s="39" t="s">
        <v>1936</v>
      </c>
      <c r="L432" s="76" t="s">
        <v>1937</v>
      </c>
      <c r="M432" s="49" t="s">
        <v>61</v>
      </c>
      <c r="N432" s="39" t="s">
        <v>51</v>
      </c>
      <c r="O432" s="56"/>
      <c r="P432" s="409" t="s">
        <v>1938</v>
      </c>
      <c r="Q432" s="76" t="s">
        <v>64</v>
      </c>
      <c r="R432" s="76" t="s">
        <v>1885</v>
      </c>
      <c r="S432" s="24"/>
      <c r="T432" s="24"/>
      <c r="U432" s="64"/>
      <c r="V432" s="56"/>
      <c r="W432" s="56"/>
      <c r="X432" s="56"/>
      <c r="Y432" s="56"/>
      <c r="Z432" s="56"/>
      <c r="AA432" s="56"/>
      <c r="AB432" s="56"/>
      <c r="AC432" s="56"/>
    </row>
    <row r="433" spans="1:29" ht="15.75" customHeight="1">
      <c r="A433" s="39">
        <v>19053105</v>
      </c>
      <c r="B433" s="107">
        <v>43622</v>
      </c>
      <c r="C433" s="109">
        <v>43627</v>
      </c>
      <c r="D433" s="76" t="s">
        <v>188</v>
      </c>
      <c r="E433" s="76" t="s">
        <v>188</v>
      </c>
      <c r="F433" s="129" t="s">
        <v>353</v>
      </c>
      <c r="G433" s="399">
        <f>IFERROR(VLOOKUP(A433,醫療院所DATABASE!A:B,2,""),)</f>
        <v>0</v>
      </c>
      <c r="H433" s="64"/>
      <c r="I433" s="109">
        <v>43620</v>
      </c>
      <c r="J433" s="109">
        <v>43622</v>
      </c>
      <c r="K433" s="39" t="s">
        <v>1939</v>
      </c>
      <c r="L433" s="76" t="s">
        <v>1940</v>
      </c>
      <c r="M433" s="49" t="s">
        <v>61</v>
      </c>
      <c r="N433" s="39" t="s">
        <v>62</v>
      </c>
      <c r="O433" s="56"/>
      <c r="P433" s="409" t="s">
        <v>1941</v>
      </c>
      <c r="Q433" s="76" t="s">
        <v>64</v>
      </c>
      <c r="R433" s="76" t="s">
        <v>1885</v>
      </c>
      <c r="S433" s="24"/>
      <c r="T433" s="24"/>
      <c r="U433" s="64"/>
      <c r="V433" s="56"/>
      <c r="W433" s="56"/>
      <c r="X433" s="56"/>
      <c r="Y433" s="56"/>
      <c r="Z433" s="56"/>
      <c r="AA433" s="56"/>
      <c r="AB433" s="56"/>
      <c r="AC433" s="56"/>
    </row>
    <row r="434" spans="1:29" ht="15.75" customHeight="1">
      <c r="A434" s="39">
        <v>19053114</v>
      </c>
      <c r="B434" s="107">
        <v>43622</v>
      </c>
      <c r="C434" s="109">
        <v>43627</v>
      </c>
      <c r="D434" s="76" t="s">
        <v>188</v>
      </c>
      <c r="E434" s="76" t="s">
        <v>188</v>
      </c>
      <c r="F434" s="129" t="s">
        <v>353</v>
      </c>
      <c r="G434" s="399">
        <f>IFERROR(VLOOKUP(A434,醫療院所DATABASE!A:B,2,""),)</f>
        <v>0</v>
      </c>
      <c r="H434" s="64"/>
      <c r="I434" s="109">
        <v>43620</v>
      </c>
      <c r="J434" s="109">
        <v>43622</v>
      </c>
      <c r="K434" s="39" t="s">
        <v>1942</v>
      </c>
      <c r="L434" s="76" t="s">
        <v>1943</v>
      </c>
      <c r="M434" s="49" t="s">
        <v>61</v>
      </c>
      <c r="N434" s="39" t="s">
        <v>51</v>
      </c>
      <c r="O434" s="56"/>
      <c r="P434" s="409" t="s">
        <v>1944</v>
      </c>
      <c r="Q434" s="76" t="s">
        <v>64</v>
      </c>
      <c r="R434" s="76" t="s">
        <v>1885</v>
      </c>
      <c r="S434" s="24"/>
      <c r="T434" s="24"/>
      <c r="U434" s="64"/>
      <c r="V434" s="56"/>
      <c r="W434" s="56"/>
      <c r="X434" s="56"/>
      <c r="Y434" s="56"/>
      <c r="Z434" s="56"/>
      <c r="AA434" s="56"/>
      <c r="AB434" s="56"/>
      <c r="AC434" s="56"/>
    </row>
    <row r="435" spans="1:29" ht="15.75" customHeight="1">
      <c r="A435" s="39">
        <v>19053111</v>
      </c>
      <c r="B435" s="107">
        <v>43622</v>
      </c>
      <c r="C435" s="109">
        <v>43627</v>
      </c>
      <c r="D435" s="76" t="s">
        <v>1029</v>
      </c>
      <c r="E435" s="76" t="s">
        <v>188</v>
      </c>
      <c r="F435" s="129" t="s">
        <v>353</v>
      </c>
      <c r="G435" s="399">
        <f>IFERROR(VLOOKUP(A435,醫療院所DATABASE!A:B,2,""),)</f>
        <v>0</v>
      </c>
      <c r="H435" s="64"/>
      <c r="I435" s="109">
        <v>43620</v>
      </c>
      <c r="J435" s="109">
        <v>43622</v>
      </c>
      <c r="K435" s="39" t="s">
        <v>1945</v>
      </c>
      <c r="L435" s="76" t="s">
        <v>1946</v>
      </c>
      <c r="M435" s="49" t="s">
        <v>61</v>
      </c>
      <c r="N435" s="39" t="s">
        <v>62</v>
      </c>
      <c r="O435" s="56"/>
      <c r="P435" s="409" t="s">
        <v>1947</v>
      </c>
      <c r="Q435" s="76" t="s">
        <v>64</v>
      </c>
      <c r="R435" s="76" t="s">
        <v>1885</v>
      </c>
      <c r="S435" s="24"/>
      <c r="T435" s="24"/>
      <c r="U435" s="64"/>
      <c r="V435" s="56"/>
      <c r="W435" s="56"/>
      <c r="X435" s="56"/>
      <c r="Y435" s="56"/>
      <c r="Z435" s="56"/>
      <c r="AA435" s="56"/>
      <c r="AB435" s="56"/>
      <c r="AC435" s="56"/>
    </row>
    <row r="436" spans="1:29" ht="15.75" customHeight="1">
      <c r="A436" s="39">
        <v>19053113</v>
      </c>
      <c r="B436" s="107">
        <v>43622</v>
      </c>
      <c r="C436" s="109">
        <v>43627</v>
      </c>
      <c r="D436" s="76" t="s">
        <v>1029</v>
      </c>
      <c r="E436" s="76" t="s">
        <v>53</v>
      </c>
      <c r="F436" s="129" t="s">
        <v>353</v>
      </c>
      <c r="G436" s="399">
        <f>IFERROR(VLOOKUP(A436,醫療院所DATABASE!A:B,2,""),)</f>
        <v>0</v>
      </c>
      <c r="H436" s="64"/>
      <c r="I436" s="109">
        <v>43620</v>
      </c>
      <c r="J436" s="109">
        <v>43622</v>
      </c>
      <c r="K436" s="39" t="s">
        <v>1948</v>
      </c>
      <c r="L436" s="76" t="s">
        <v>1949</v>
      </c>
      <c r="M436" s="49" t="s">
        <v>61</v>
      </c>
      <c r="N436" s="39" t="s">
        <v>62</v>
      </c>
      <c r="O436" s="56"/>
      <c r="P436" s="409" t="s">
        <v>1950</v>
      </c>
      <c r="Q436" s="76" t="s">
        <v>64</v>
      </c>
      <c r="R436" s="76" t="s">
        <v>1885</v>
      </c>
      <c r="S436" s="24"/>
      <c r="T436" s="24"/>
      <c r="U436" s="64"/>
      <c r="V436" s="56"/>
      <c r="W436" s="56"/>
      <c r="X436" s="56"/>
      <c r="Y436" s="56"/>
      <c r="Z436" s="56"/>
      <c r="AA436" s="56"/>
      <c r="AB436" s="56"/>
      <c r="AC436" s="56"/>
    </row>
    <row r="437" spans="1:29" ht="15.75" customHeight="1">
      <c r="A437" s="39" t="s">
        <v>1951</v>
      </c>
      <c r="B437" s="107">
        <v>43622</v>
      </c>
      <c r="C437" s="109">
        <v>43627</v>
      </c>
      <c r="D437" s="76" t="s">
        <v>53</v>
      </c>
      <c r="E437" s="76" t="s">
        <v>53</v>
      </c>
      <c r="F437" s="129" t="s">
        <v>1916</v>
      </c>
      <c r="G437" s="399">
        <f>IFERROR(VLOOKUP(A437,醫療院所DATABASE!A:B,2,""),)</f>
        <v>0</v>
      </c>
      <c r="H437" s="64"/>
      <c r="I437" s="109">
        <v>43620</v>
      </c>
      <c r="J437" s="109">
        <v>43622</v>
      </c>
      <c r="K437" s="39" t="s">
        <v>1952</v>
      </c>
      <c r="L437" s="76" t="s">
        <v>1953</v>
      </c>
      <c r="M437" s="39" t="s">
        <v>1723</v>
      </c>
      <c r="N437" s="39" t="s">
        <v>62</v>
      </c>
      <c r="O437" s="56"/>
      <c r="P437" s="409" t="s">
        <v>1954</v>
      </c>
      <c r="Q437" s="76" t="s">
        <v>64</v>
      </c>
      <c r="R437" s="76" t="s">
        <v>1885</v>
      </c>
      <c r="S437" s="24"/>
      <c r="T437" s="24"/>
      <c r="U437" s="64"/>
      <c r="V437" s="56"/>
      <c r="W437" s="56"/>
      <c r="X437" s="56"/>
      <c r="Y437" s="56"/>
      <c r="Z437" s="56"/>
      <c r="AA437" s="56"/>
      <c r="AB437" s="56"/>
      <c r="AC437" s="56"/>
    </row>
    <row r="438" spans="1:29" ht="15.75" customHeight="1">
      <c r="A438" s="39" t="s">
        <v>1926</v>
      </c>
      <c r="B438" s="107">
        <v>43626</v>
      </c>
      <c r="C438" s="109">
        <v>43627</v>
      </c>
      <c r="D438" s="76" t="s">
        <v>53</v>
      </c>
      <c r="E438" s="76" t="s">
        <v>53</v>
      </c>
      <c r="F438" s="129" t="s">
        <v>1927</v>
      </c>
      <c r="G438" s="399">
        <f>IFERROR(VLOOKUP(A438,醫療院所DATABASE!A:B,2,""),)</f>
        <v>0</v>
      </c>
      <c r="H438" s="64"/>
      <c r="I438" s="109">
        <v>43620</v>
      </c>
      <c r="J438" s="109">
        <v>43627</v>
      </c>
      <c r="K438" s="39" t="s">
        <v>1928</v>
      </c>
      <c r="L438" s="76" t="s">
        <v>1929</v>
      </c>
      <c r="M438" s="39" t="s">
        <v>1955</v>
      </c>
      <c r="N438" s="39" t="s">
        <v>62</v>
      </c>
      <c r="O438" s="56"/>
      <c r="P438" s="409" t="s">
        <v>1956</v>
      </c>
      <c r="Q438" s="76" t="s">
        <v>1931</v>
      </c>
      <c r="R438" s="76" t="s">
        <v>1885</v>
      </c>
      <c r="S438" s="24"/>
      <c r="T438" s="24"/>
      <c r="U438" s="136" t="s">
        <v>1957</v>
      </c>
      <c r="V438" s="56"/>
      <c r="W438" s="56"/>
      <c r="X438" s="56"/>
      <c r="Y438" s="56"/>
      <c r="Z438" s="56"/>
      <c r="AA438" s="56"/>
      <c r="AB438" s="56"/>
      <c r="AC438" s="56"/>
    </row>
    <row r="439" spans="1:29" ht="15.75" customHeight="1">
      <c r="A439" s="39" t="s">
        <v>1932</v>
      </c>
      <c r="B439" s="107">
        <v>43626</v>
      </c>
      <c r="C439" s="109">
        <v>43627</v>
      </c>
      <c r="D439" s="76" t="s">
        <v>53</v>
      </c>
      <c r="E439" s="76" t="s">
        <v>53</v>
      </c>
      <c r="F439" s="129" t="s">
        <v>1927</v>
      </c>
      <c r="G439" s="399">
        <f>IFERROR(VLOOKUP(A439,醫療院所DATABASE!A:B,2,""),)</f>
        <v>0</v>
      </c>
      <c r="H439" s="64"/>
      <c r="I439" s="109">
        <v>43620</v>
      </c>
      <c r="J439" s="109">
        <v>43627</v>
      </c>
      <c r="K439" s="39" t="s">
        <v>1933</v>
      </c>
      <c r="L439" s="76" t="s">
        <v>1934</v>
      </c>
      <c r="M439" s="39" t="s">
        <v>1955</v>
      </c>
      <c r="N439" s="39" t="s">
        <v>51</v>
      </c>
      <c r="O439" s="56"/>
      <c r="P439" s="409" t="s">
        <v>1958</v>
      </c>
      <c r="Q439" s="76" t="s">
        <v>1931</v>
      </c>
      <c r="R439" s="76" t="s">
        <v>1885</v>
      </c>
      <c r="S439" s="24"/>
      <c r="T439" s="24"/>
      <c r="U439" s="136" t="s">
        <v>1957</v>
      </c>
      <c r="V439" s="56"/>
      <c r="W439" s="56"/>
      <c r="X439" s="56"/>
      <c r="Y439" s="56"/>
      <c r="Z439" s="56"/>
      <c r="AA439" s="56"/>
      <c r="AB439" s="56"/>
      <c r="AC439" s="56"/>
    </row>
    <row r="440" spans="1:29" ht="15.75" customHeight="1">
      <c r="A440" s="39" t="s">
        <v>1959</v>
      </c>
      <c r="B440" s="107">
        <v>43622</v>
      </c>
      <c r="C440" s="109">
        <v>43624</v>
      </c>
      <c r="D440" s="76" t="s">
        <v>665</v>
      </c>
      <c r="E440" s="76" t="s">
        <v>188</v>
      </c>
      <c r="F440" s="154" t="s">
        <v>65</v>
      </c>
      <c r="G440" s="399">
        <f>IFERROR(VLOOKUP(A440,醫療院所DATABASE!A:B,2,""),)</f>
        <v>0</v>
      </c>
      <c r="H440" s="64"/>
      <c r="I440" s="109">
        <v>43620</v>
      </c>
      <c r="J440" s="139" t="s">
        <v>1960</v>
      </c>
      <c r="K440" s="39" t="s">
        <v>1961</v>
      </c>
      <c r="L440" s="76" t="s">
        <v>1962</v>
      </c>
      <c r="M440" s="155" t="s">
        <v>1963</v>
      </c>
      <c r="N440" s="39" t="s">
        <v>51</v>
      </c>
      <c r="O440" s="56"/>
      <c r="P440" s="409" t="s">
        <v>1964</v>
      </c>
      <c r="Q440" s="76" t="s">
        <v>64</v>
      </c>
      <c r="R440" s="76" t="s">
        <v>1885</v>
      </c>
      <c r="S440" s="24"/>
      <c r="T440" s="24"/>
      <c r="U440" s="76" t="s">
        <v>1965</v>
      </c>
      <c r="V440" s="56"/>
      <c r="W440" s="56"/>
      <c r="X440" s="56"/>
      <c r="Y440" s="56"/>
      <c r="Z440" s="56"/>
      <c r="AA440" s="56"/>
      <c r="AB440" s="56"/>
      <c r="AC440" s="56"/>
    </row>
    <row r="441" spans="1:29" ht="15.75" customHeight="1">
      <c r="A441" s="39" t="s">
        <v>1966</v>
      </c>
      <c r="B441" s="107">
        <v>43622</v>
      </c>
      <c r="C441" s="109">
        <v>43627</v>
      </c>
      <c r="D441" s="76" t="s">
        <v>188</v>
      </c>
      <c r="E441" s="76" t="s">
        <v>188</v>
      </c>
      <c r="F441" s="129" t="s">
        <v>975</v>
      </c>
      <c r="G441" s="399">
        <f>IFERROR(VLOOKUP(A441,醫療院所DATABASE!A:B,2,""),)</f>
        <v>0</v>
      </c>
      <c r="H441" s="64"/>
      <c r="I441" s="109">
        <v>43621</v>
      </c>
      <c r="J441" s="109">
        <v>43627</v>
      </c>
      <c r="K441" s="39" t="s">
        <v>1967</v>
      </c>
      <c r="L441" s="76" t="s">
        <v>1968</v>
      </c>
      <c r="M441" s="49" t="s">
        <v>61</v>
      </c>
      <c r="N441" s="39" t="s">
        <v>62</v>
      </c>
      <c r="O441" s="56"/>
      <c r="P441" s="409" t="s">
        <v>1969</v>
      </c>
      <c r="Q441" s="76" t="s">
        <v>64</v>
      </c>
      <c r="R441" s="76" t="s">
        <v>1885</v>
      </c>
      <c r="S441" s="24"/>
      <c r="T441" s="24"/>
      <c r="U441" s="64"/>
      <c r="V441" s="56"/>
      <c r="W441" s="56"/>
      <c r="X441" s="56"/>
      <c r="Y441" s="56"/>
      <c r="Z441" s="56"/>
      <c r="AA441" s="56"/>
      <c r="AB441" s="56"/>
      <c r="AC441" s="56"/>
    </row>
    <row r="442" spans="1:29" ht="15.75" customHeight="1">
      <c r="A442" s="39" t="s">
        <v>1966</v>
      </c>
      <c r="B442" s="107">
        <v>43622</v>
      </c>
      <c r="C442" s="109">
        <v>43627</v>
      </c>
      <c r="D442" s="76" t="s">
        <v>188</v>
      </c>
      <c r="E442" s="76" t="s">
        <v>188</v>
      </c>
      <c r="F442" s="129" t="s">
        <v>975</v>
      </c>
      <c r="G442" s="399">
        <f>IFERROR(VLOOKUP(A442,醫療院所DATABASE!A:B,2,""),)</f>
        <v>0</v>
      </c>
      <c r="H442" s="64"/>
      <c r="I442" s="109">
        <v>43621</v>
      </c>
      <c r="J442" s="109">
        <v>43627</v>
      </c>
      <c r="K442" s="39" t="s">
        <v>1970</v>
      </c>
      <c r="L442" s="76" t="s">
        <v>1971</v>
      </c>
      <c r="M442" s="39" t="s">
        <v>1019</v>
      </c>
      <c r="N442" s="39" t="s">
        <v>51</v>
      </c>
      <c r="O442" s="56"/>
      <c r="P442" s="409" t="s">
        <v>1972</v>
      </c>
      <c r="Q442" s="76" t="s">
        <v>64</v>
      </c>
      <c r="R442" s="76" t="s">
        <v>1885</v>
      </c>
      <c r="S442" s="24"/>
      <c r="T442" s="24"/>
      <c r="U442" s="64"/>
      <c r="V442" s="56"/>
      <c r="W442" s="56"/>
      <c r="X442" s="56"/>
      <c r="Y442" s="56"/>
      <c r="Z442" s="56"/>
      <c r="AA442" s="56"/>
      <c r="AB442" s="56"/>
      <c r="AC442" s="56"/>
    </row>
    <row r="443" spans="1:29" ht="15.75" customHeight="1">
      <c r="A443" s="39">
        <v>19053106</v>
      </c>
      <c r="B443" s="107">
        <v>43626</v>
      </c>
      <c r="C443" s="109">
        <v>43627</v>
      </c>
      <c r="D443" s="76" t="s">
        <v>188</v>
      </c>
      <c r="E443" s="76" t="s">
        <v>188</v>
      </c>
      <c r="F443" s="129" t="s">
        <v>353</v>
      </c>
      <c r="G443" s="399">
        <f>IFERROR(VLOOKUP(A443,醫療院所DATABASE!A:B,2,""),)</f>
        <v>0</v>
      </c>
      <c r="H443" s="76" t="s">
        <v>1973</v>
      </c>
      <c r="I443" s="109">
        <v>43622</v>
      </c>
      <c r="J443" s="109">
        <v>43628</v>
      </c>
      <c r="K443" s="39" t="s">
        <v>1974</v>
      </c>
      <c r="L443" s="76" t="s">
        <v>1975</v>
      </c>
      <c r="M443" s="49" t="s">
        <v>61</v>
      </c>
      <c r="N443" s="39" t="s">
        <v>51</v>
      </c>
      <c r="O443" s="56"/>
      <c r="P443" s="409" t="s">
        <v>1976</v>
      </c>
      <c r="Q443" s="76" t="s">
        <v>64</v>
      </c>
      <c r="R443" s="76" t="s">
        <v>1885</v>
      </c>
      <c r="S443" s="24"/>
      <c r="T443" s="24"/>
      <c r="U443" s="64"/>
      <c r="V443" s="56"/>
      <c r="W443" s="56"/>
      <c r="X443" s="56"/>
      <c r="Y443" s="56"/>
      <c r="Z443" s="56"/>
      <c r="AA443" s="56"/>
      <c r="AB443" s="56"/>
      <c r="AC443" s="56"/>
    </row>
    <row r="444" spans="1:29" ht="15.75" customHeight="1">
      <c r="A444" s="39">
        <v>19053107</v>
      </c>
      <c r="B444" s="107">
        <v>43626</v>
      </c>
      <c r="C444" s="109">
        <v>43627</v>
      </c>
      <c r="D444" s="76" t="s">
        <v>188</v>
      </c>
      <c r="E444" s="76" t="s">
        <v>188</v>
      </c>
      <c r="F444" s="129" t="s">
        <v>353</v>
      </c>
      <c r="G444" s="399">
        <f>IFERROR(VLOOKUP(A444,醫療院所DATABASE!A:B,2,""),)</f>
        <v>0</v>
      </c>
      <c r="H444" s="76" t="s">
        <v>1977</v>
      </c>
      <c r="I444" s="109">
        <v>43622</v>
      </c>
      <c r="J444" s="109">
        <v>43628</v>
      </c>
      <c r="K444" s="39" t="s">
        <v>1978</v>
      </c>
      <c r="L444" s="76" t="s">
        <v>1979</v>
      </c>
      <c r="M444" s="49" t="s">
        <v>61</v>
      </c>
      <c r="N444" s="39" t="s">
        <v>51</v>
      </c>
      <c r="O444" s="56"/>
      <c r="P444" s="409" t="s">
        <v>1980</v>
      </c>
      <c r="Q444" s="76" t="s">
        <v>64</v>
      </c>
      <c r="R444" s="76" t="s">
        <v>1885</v>
      </c>
      <c r="S444" s="24"/>
      <c r="T444" s="24"/>
      <c r="U444" s="64"/>
      <c r="V444" s="56"/>
      <c r="W444" s="56"/>
      <c r="X444" s="56"/>
      <c r="Y444" s="56"/>
      <c r="Z444" s="56"/>
      <c r="AA444" s="56"/>
      <c r="AB444" s="56"/>
      <c r="AC444" s="56"/>
    </row>
    <row r="445" spans="1:29" ht="15.75" customHeight="1">
      <c r="A445" s="39">
        <v>19053108</v>
      </c>
      <c r="B445" s="107">
        <v>43626</v>
      </c>
      <c r="C445" s="109">
        <v>43627</v>
      </c>
      <c r="D445" s="76" t="s">
        <v>188</v>
      </c>
      <c r="E445" s="76" t="s">
        <v>188</v>
      </c>
      <c r="F445" s="129" t="s">
        <v>353</v>
      </c>
      <c r="G445" s="399">
        <f>IFERROR(VLOOKUP(A445,醫療院所DATABASE!A:B,2,""),)</f>
        <v>0</v>
      </c>
      <c r="H445" s="76" t="s">
        <v>1981</v>
      </c>
      <c r="I445" s="109">
        <v>43622</v>
      </c>
      <c r="J445" s="109">
        <v>43628</v>
      </c>
      <c r="K445" s="39" t="s">
        <v>1982</v>
      </c>
      <c r="L445" s="76" t="s">
        <v>1983</v>
      </c>
      <c r="M445" s="49" t="s">
        <v>61</v>
      </c>
      <c r="N445" s="39" t="s">
        <v>51</v>
      </c>
      <c r="O445" s="56"/>
      <c r="P445" s="409" t="s">
        <v>1984</v>
      </c>
      <c r="Q445" s="76" t="s">
        <v>64</v>
      </c>
      <c r="R445" s="76" t="s">
        <v>1885</v>
      </c>
      <c r="S445" s="24"/>
      <c r="T445" s="24"/>
      <c r="U445" s="64"/>
      <c r="V445" s="56"/>
      <c r="W445" s="56"/>
      <c r="X445" s="56"/>
      <c r="Y445" s="56"/>
      <c r="Z445" s="56"/>
      <c r="AA445" s="56"/>
      <c r="AB445" s="56"/>
      <c r="AC445" s="56"/>
    </row>
    <row r="446" spans="1:29" ht="15.75" customHeight="1">
      <c r="A446" s="39">
        <v>19053109</v>
      </c>
      <c r="B446" s="107">
        <v>43626</v>
      </c>
      <c r="C446" s="109">
        <v>43627</v>
      </c>
      <c r="D446" s="76" t="s">
        <v>188</v>
      </c>
      <c r="E446" s="76" t="s">
        <v>188</v>
      </c>
      <c r="F446" s="129" t="s">
        <v>353</v>
      </c>
      <c r="G446" s="399">
        <f>IFERROR(VLOOKUP(A446,醫療院所DATABASE!A:B,2,""),)</f>
        <v>0</v>
      </c>
      <c r="H446" s="76" t="s">
        <v>1985</v>
      </c>
      <c r="I446" s="109">
        <v>43622</v>
      </c>
      <c r="J446" s="109">
        <v>43628</v>
      </c>
      <c r="K446" s="39" t="s">
        <v>1986</v>
      </c>
      <c r="L446" s="76" t="s">
        <v>1987</v>
      </c>
      <c r="M446" s="49" t="s">
        <v>61</v>
      </c>
      <c r="N446" s="39" t="s">
        <v>62</v>
      </c>
      <c r="O446" s="56"/>
      <c r="P446" s="409" t="s">
        <v>1988</v>
      </c>
      <c r="Q446" s="76" t="s">
        <v>64</v>
      </c>
      <c r="R446" s="76" t="s">
        <v>1885</v>
      </c>
      <c r="S446" s="24"/>
      <c r="T446" s="24"/>
      <c r="U446" s="64"/>
      <c r="V446" s="56"/>
      <c r="W446" s="56"/>
      <c r="X446" s="56"/>
      <c r="Y446" s="56"/>
      <c r="Z446" s="56"/>
      <c r="AA446" s="56"/>
      <c r="AB446" s="56"/>
      <c r="AC446" s="56"/>
    </row>
    <row r="447" spans="1:29" ht="15.75" customHeight="1">
      <c r="A447" s="39">
        <v>19053110</v>
      </c>
      <c r="B447" s="107">
        <v>43626</v>
      </c>
      <c r="C447" s="109">
        <v>43627</v>
      </c>
      <c r="D447" s="76" t="s">
        <v>188</v>
      </c>
      <c r="E447" s="76" t="s">
        <v>188</v>
      </c>
      <c r="F447" s="129" t="s">
        <v>353</v>
      </c>
      <c r="G447" s="399">
        <f>IFERROR(VLOOKUP(A447,醫療院所DATABASE!A:B,2,""),)</f>
        <v>0</v>
      </c>
      <c r="H447" s="76" t="s">
        <v>1989</v>
      </c>
      <c r="I447" s="109">
        <v>43622</v>
      </c>
      <c r="J447" s="109">
        <v>43628</v>
      </c>
      <c r="K447" s="39" t="s">
        <v>1990</v>
      </c>
      <c r="L447" s="76" t="s">
        <v>1991</v>
      </c>
      <c r="M447" s="49" t="s">
        <v>61</v>
      </c>
      <c r="N447" s="39" t="s">
        <v>62</v>
      </c>
      <c r="O447" s="56"/>
      <c r="P447" s="409" t="s">
        <v>1992</v>
      </c>
      <c r="Q447" s="76" t="s">
        <v>64</v>
      </c>
      <c r="R447" s="76" t="s">
        <v>1885</v>
      </c>
      <c r="S447" s="24"/>
      <c r="T447" s="24"/>
      <c r="U447" s="64"/>
      <c r="V447" s="56"/>
      <c r="W447" s="56"/>
      <c r="X447" s="56"/>
      <c r="Y447" s="56"/>
      <c r="Z447" s="56"/>
      <c r="AA447" s="56"/>
      <c r="AB447" s="56"/>
      <c r="AC447" s="56"/>
    </row>
    <row r="448" spans="1:29" ht="15.75" customHeight="1">
      <c r="A448" s="39" t="s">
        <v>1926</v>
      </c>
      <c r="B448" s="107">
        <v>43626</v>
      </c>
      <c r="C448" s="109">
        <v>43627</v>
      </c>
      <c r="D448" s="76" t="s">
        <v>53</v>
      </c>
      <c r="E448" s="76" t="s">
        <v>53</v>
      </c>
      <c r="F448" s="129" t="s">
        <v>1927</v>
      </c>
      <c r="G448" s="399">
        <f>IFERROR(VLOOKUP(A448,醫療院所DATABASE!A:B,2,""),)</f>
        <v>0</v>
      </c>
      <c r="H448" s="76" t="s">
        <v>1993</v>
      </c>
      <c r="I448" s="109">
        <v>43622</v>
      </c>
      <c r="J448" s="109">
        <v>43628</v>
      </c>
      <c r="K448" s="39" t="s">
        <v>1994</v>
      </c>
      <c r="L448" s="76" t="s">
        <v>1995</v>
      </c>
      <c r="M448" s="93" t="s">
        <v>641</v>
      </c>
      <c r="N448" s="39" t="s">
        <v>62</v>
      </c>
      <c r="O448" s="56"/>
      <c r="P448" s="409" t="s">
        <v>1996</v>
      </c>
      <c r="Q448" s="76" t="s">
        <v>1931</v>
      </c>
      <c r="R448" s="76" t="s">
        <v>1885</v>
      </c>
      <c r="S448" s="24"/>
      <c r="T448" s="24"/>
      <c r="U448" s="136" t="s">
        <v>1582</v>
      </c>
      <c r="V448" s="56"/>
      <c r="W448" s="56"/>
      <c r="X448" s="56"/>
      <c r="Y448" s="56"/>
      <c r="Z448" s="56"/>
      <c r="AA448" s="56"/>
      <c r="AB448" s="56"/>
      <c r="AC448" s="56"/>
    </row>
    <row r="449" spans="1:29" ht="15.75" customHeight="1">
      <c r="A449" s="39" t="s">
        <v>1926</v>
      </c>
      <c r="B449" s="107">
        <v>43626</v>
      </c>
      <c r="C449" s="109">
        <v>43627</v>
      </c>
      <c r="D449" s="76" t="s">
        <v>53</v>
      </c>
      <c r="E449" s="76" t="s">
        <v>53</v>
      </c>
      <c r="F449" s="129" t="s">
        <v>1927</v>
      </c>
      <c r="G449" s="399">
        <f>IFERROR(VLOOKUP(A449,醫療院所DATABASE!A:B,2,""),)</f>
        <v>0</v>
      </c>
      <c r="H449" s="76" t="s">
        <v>1993</v>
      </c>
      <c r="I449" s="109">
        <v>43622</v>
      </c>
      <c r="J449" s="109">
        <v>43628</v>
      </c>
      <c r="K449" s="39" t="s">
        <v>1997</v>
      </c>
      <c r="L449" s="76" t="s">
        <v>1998</v>
      </c>
      <c r="M449" s="93" t="s">
        <v>641</v>
      </c>
      <c r="N449" s="39" t="s">
        <v>51</v>
      </c>
      <c r="O449" s="56"/>
      <c r="P449" s="409" t="s">
        <v>1999</v>
      </c>
      <c r="Q449" s="76" t="s">
        <v>1931</v>
      </c>
      <c r="R449" s="76" t="s">
        <v>1885</v>
      </c>
      <c r="S449" s="24"/>
      <c r="T449" s="24"/>
      <c r="U449" s="136" t="s">
        <v>1582</v>
      </c>
      <c r="V449" s="56"/>
      <c r="W449" s="56"/>
      <c r="X449" s="56"/>
      <c r="Y449" s="56"/>
      <c r="Z449" s="56"/>
      <c r="AA449" s="56"/>
      <c r="AB449" s="56"/>
      <c r="AC449" s="56"/>
    </row>
    <row r="450" spans="1:29" ht="15.75" customHeight="1">
      <c r="A450" s="39" t="s">
        <v>1926</v>
      </c>
      <c r="B450" s="107">
        <v>43626</v>
      </c>
      <c r="C450" s="109">
        <v>43627</v>
      </c>
      <c r="D450" s="76" t="s">
        <v>53</v>
      </c>
      <c r="E450" s="76" t="s">
        <v>53</v>
      </c>
      <c r="F450" s="129" t="s">
        <v>1927</v>
      </c>
      <c r="G450" s="399">
        <f>IFERROR(VLOOKUP(A450,醫療院所DATABASE!A:B,2,""),)</f>
        <v>0</v>
      </c>
      <c r="H450" s="76" t="s">
        <v>1993</v>
      </c>
      <c r="I450" s="109">
        <v>43622</v>
      </c>
      <c r="J450" s="109">
        <v>43628</v>
      </c>
      <c r="K450" s="39" t="s">
        <v>1997</v>
      </c>
      <c r="L450" s="76" t="s">
        <v>1998</v>
      </c>
      <c r="M450" s="39" t="s">
        <v>1723</v>
      </c>
      <c r="N450" s="39" t="s">
        <v>51</v>
      </c>
      <c r="O450" s="56"/>
      <c r="P450" s="409" t="s">
        <v>2000</v>
      </c>
      <c r="Q450" s="76" t="s">
        <v>1931</v>
      </c>
      <c r="R450" s="76" t="s">
        <v>1885</v>
      </c>
      <c r="S450" s="24"/>
      <c r="T450" s="24"/>
      <c r="U450" s="136" t="s">
        <v>1582</v>
      </c>
      <c r="V450" s="56"/>
      <c r="W450" s="56"/>
      <c r="X450" s="56"/>
      <c r="Y450" s="56"/>
      <c r="Z450" s="56"/>
      <c r="AA450" s="56"/>
      <c r="AB450" s="56"/>
      <c r="AC450" s="56"/>
    </row>
    <row r="451" spans="1:29" ht="15.75" customHeight="1">
      <c r="A451" s="39" t="s">
        <v>1926</v>
      </c>
      <c r="B451" s="107">
        <v>43626</v>
      </c>
      <c r="C451" s="109">
        <v>43627</v>
      </c>
      <c r="D451" s="76" t="s">
        <v>53</v>
      </c>
      <c r="E451" s="76" t="s">
        <v>53</v>
      </c>
      <c r="F451" s="129" t="s">
        <v>1927</v>
      </c>
      <c r="G451" s="399">
        <f>IFERROR(VLOOKUP(A451,醫療院所DATABASE!A:B,2,""),)</f>
        <v>0</v>
      </c>
      <c r="H451" s="76" t="s">
        <v>1993</v>
      </c>
      <c r="I451" s="109">
        <v>43622</v>
      </c>
      <c r="J451" s="109">
        <v>43628</v>
      </c>
      <c r="K451" s="39" t="s">
        <v>1994</v>
      </c>
      <c r="L451" s="76" t="s">
        <v>1995</v>
      </c>
      <c r="M451" s="85" t="s">
        <v>579</v>
      </c>
      <c r="N451" s="39" t="s">
        <v>62</v>
      </c>
      <c r="O451" s="56"/>
      <c r="P451" s="409" t="s">
        <v>2001</v>
      </c>
      <c r="Q451" s="76" t="s">
        <v>1931</v>
      </c>
      <c r="R451" s="76" t="s">
        <v>1885</v>
      </c>
      <c r="S451" s="24"/>
      <c r="T451" s="24"/>
      <c r="U451" s="136" t="s">
        <v>1582</v>
      </c>
      <c r="V451" s="56"/>
      <c r="W451" s="56"/>
      <c r="X451" s="56"/>
      <c r="Y451" s="56"/>
      <c r="Z451" s="56"/>
      <c r="AA451" s="56"/>
      <c r="AB451" s="56"/>
      <c r="AC451" s="56"/>
    </row>
    <row r="452" spans="1:29" ht="15.75" customHeight="1">
      <c r="A452" s="39" t="s">
        <v>1760</v>
      </c>
      <c r="B452" s="107">
        <v>43629</v>
      </c>
      <c r="C452" s="109">
        <v>43633</v>
      </c>
      <c r="D452" s="76" t="s">
        <v>366</v>
      </c>
      <c r="E452" s="76" t="s">
        <v>188</v>
      </c>
      <c r="F452" s="156" t="s">
        <v>1761</v>
      </c>
      <c r="G452" s="399">
        <f>IFERROR(VLOOKUP(A452,醫療院所DATABASE!A:B,2,""),)</f>
        <v>0</v>
      </c>
      <c r="H452" s="76" t="s">
        <v>2002</v>
      </c>
      <c r="I452" s="109">
        <v>43627</v>
      </c>
      <c r="J452" s="109">
        <v>43629</v>
      </c>
      <c r="K452" s="39" t="s">
        <v>2003</v>
      </c>
      <c r="L452" s="76" t="s">
        <v>2004</v>
      </c>
      <c r="M452" s="49" t="s">
        <v>61</v>
      </c>
      <c r="N452" s="39" t="s">
        <v>51</v>
      </c>
      <c r="O452" s="56"/>
      <c r="P452" s="409" t="s">
        <v>2005</v>
      </c>
      <c r="Q452" s="76" t="s">
        <v>64</v>
      </c>
      <c r="R452" s="76" t="s">
        <v>1885</v>
      </c>
      <c r="S452" s="24"/>
      <c r="T452" s="24"/>
      <c r="U452" s="64"/>
      <c r="V452" s="56"/>
      <c r="W452" s="56"/>
      <c r="X452" s="56"/>
      <c r="Y452" s="56"/>
      <c r="Z452" s="56"/>
      <c r="AA452" s="56"/>
      <c r="AB452" s="56"/>
      <c r="AC452" s="56"/>
    </row>
    <row r="453" spans="1:29" ht="15.75" customHeight="1">
      <c r="A453" s="39" t="s">
        <v>1760</v>
      </c>
      <c r="B453" s="139" t="s">
        <v>1374</v>
      </c>
      <c r="C453" s="24"/>
      <c r="D453" s="76" t="s">
        <v>366</v>
      </c>
      <c r="E453" s="76" t="s">
        <v>53</v>
      </c>
      <c r="F453" s="156" t="s">
        <v>1761</v>
      </c>
      <c r="G453" s="399">
        <f>IFERROR(VLOOKUP(A453,醫療院所DATABASE!A:B,2,""),)</f>
        <v>0</v>
      </c>
      <c r="H453" s="76" t="s">
        <v>2006</v>
      </c>
      <c r="I453" s="109">
        <v>43627</v>
      </c>
      <c r="J453" s="109">
        <v>43629</v>
      </c>
      <c r="K453" s="39" t="s">
        <v>2007</v>
      </c>
      <c r="L453" s="76" t="s">
        <v>2008</v>
      </c>
      <c r="M453" s="49" t="s">
        <v>61</v>
      </c>
      <c r="N453" s="39" t="s">
        <v>62</v>
      </c>
      <c r="O453" s="56"/>
      <c r="P453" s="409" t="s">
        <v>2009</v>
      </c>
      <c r="Q453" s="76" t="s">
        <v>64</v>
      </c>
      <c r="R453" s="76" t="s">
        <v>1885</v>
      </c>
      <c r="S453" s="24"/>
      <c r="T453" s="24"/>
      <c r="U453" s="64"/>
      <c r="V453" s="56"/>
      <c r="W453" s="56"/>
      <c r="X453" s="56"/>
      <c r="Y453" s="56"/>
      <c r="Z453" s="56"/>
      <c r="AA453" s="56"/>
      <c r="AB453" s="56"/>
      <c r="AC453" s="56"/>
    </row>
    <row r="454" spans="1:29" ht="15.75" customHeight="1">
      <c r="A454" s="39" t="s">
        <v>1760</v>
      </c>
      <c r="B454" s="107">
        <v>43629</v>
      </c>
      <c r="C454" s="109">
        <v>43633</v>
      </c>
      <c r="D454" s="76" t="s">
        <v>366</v>
      </c>
      <c r="E454" s="76" t="s">
        <v>188</v>
      </c>
      <c r="F454" s="156" t="s">
        <v>1761</v>
      </c>
      <c r="G454" s="399">
        <f>IFERROR(VLOOKUP(A454,醫療院所DATABASE!A:B,2,""),)</f>
        <v>0</v>
      </c>
      <c r="H454" s="64"/>
      <c r="I454" s="109">
        <v>43627</v>
      </c>
      <c r="J454" s="109">
        <v>43629</v>
      </c>
      <c r="K454" s="39" t="s">
        <v>2010</v>
      </c>
      <c r="L454" s="76" t="s">
        <v>2011</v>
      </c>
      <c r="M454" s="49" t="s">
        <v>61</v>
      </c>
      <c r="N454" s="39" t="s">
        <v>62</v>
      </c>
      <c r="O454" s="56"/>
      <c r="P454" s="409" t="s">
        <v>2012</v>
      </c>
      <c r="Q454" s="76" t="s">
        <v>64</v>
      </c>
      <c r="R454" s="76" t="s">
        <v>1885</v>
      </c>
      <c r="S454" s="24"/>
      <c r="T454" s="24"/>
      <c r="U454" s="64"/>
      <c r="V454" s="56"/>
      <c r="W454" s="56"/>
      <c r="X454" s="56"/>
      <c r="Y454" s="56"/>
      <c r="Z454" s="56"/>
      <c r="AA454" s="56"/>
      <c r="AB454" s="56"/>
      <c r="AC454" s="56"/>
    </row>
    <row r="455" spans="1:29" ht="15.75" customHeight="1">
      <c r="A455" s="39" t="s">
        <v>1760</v>
      </c>
      <c r="B455" s="107">
        <v>43629</v>
      </c>
      <c r="C455" s="109">
        <v>43633</v>
      </c>
      <c r="D455" s="76" t="s">
        <v>366</v>
      </c>
      <c r="E455" s="76" t="s">
        <v>53</v>
      </c>
      <c r="F455" s="156" t="s">
        <v>1761</v>
      </c>
      <c r="G455" s="399">
        <f>IFERROR(VLOOKUP(A455,醫療院所DATABASE!A:B,2,""),)</f>
        <v>0</v>
      </c>
      <c r="H455" s="64"/>
      <c r="I455" s="109">
        <v>43627</v>
      </c>
      <c r="J455" s="109">
        <v>43629</v>
      </c>
      <c r="K455" s="39" t="s">
        <v>2013</v>
      </c>
      <c r="L455" s="76" t="s">
        <v>2014</v>
      </c>
      <c r="M455" s="49" t="s">
        <v>61</v>
      </c>
      <c r="N455" s="39" t="s">
        <v>51</v>
      </c>
      <c r="O455" s="56"/>
      <c r="P455" s="409" t="s">
        <v>2015</v>
      </c>
      <c r="Q455" s="76" t="s">
        <v>64</v>
      </c>
      <c r="R455" s="76" t="s">
        <v>1885</v>
      </c>
      <c r="S455" s="24"/>
      <c r="T455" s="24"/>
      <c r="U455" s="64"/>
      <c r="V455" s="56"/>
      <c r="W455" s="56"/>
      <c r="X455" s="56"/>
      <c r="Y455" s="56"/>
      <c r="Z455" s="56"/>
      <c r="AA455" s="56"/>
      <c r="AB455" s="56"/>
      <c r="AC455" s="56"/>
    </row>
    <row r="456" spans="1:29" ht="15.75" customHeight="1">
      <c r="A456" s="39" t="s">
        <v>1760</v>
      </c>
      <c r="B456" s="107">
        <v>43629</v>
      </c>
      <c r="C456" s="109">
        <v>43633</v>
      </c>
      <c r="D456" s="76" t="s">
        <v>366</v>
      </c>
      <c r="E456" s="76" t="s">
        <v>188</v>
      </c>
      <c r="F456" s="156" t="s">
        <v>1761</v>
      </c>
      <c r="G456" s="399">
        <f>IFERROR(VLOOKUP(A456,醫療院所DATABASE!A:B,2,""),)</f>
        <v>0</v>
      </c>
      <c r="H456" s="64"/>
      <c r="I456" s="109">
        <v>43627</v>
      </c>
      <c r="J456" s="109">
        <v>43629</v>
      </c>
      <c r="K456" s="39" t="s">
        <v>2016</v>
      </c>
      <c r="L456" s="76" t="s">
        <v>2017</v>
      </c>
      <c r="M456" s="49" t="s">
        <v>61</v>
      </c>
      <c r="N456" s="39" t="s">
        <v>51</v>
      </c>
      <c r="O456" s="56"/>
      <c r="P456" s="409" t="s">
        <v>2018</v>
      </c>
      <c r="Q456" s="76" t="s">
        <v>64</v>
      </c>
      <c r="R456" s="76" t="s">
        <v>1885</v>
      </c>
      <c r="S456" s="24"/>
      <c r="T456" s="24"/>
      <c r="U456" s="64"/>
      <c r="V456" s="56"/>
      <c r="W456" s="56"/>
      <c r="X456" s="56"/>
      <c r="Y456" s="56"/>
      <c r="Z456" s="56"/>
      <c r="AA456" s="56"/>
      <c r="AB456" s="56"/>
      <c r="AC456" s="56"/>
    </row>
    <row r="457" spans="1:29" ht="15.75" customHeight="1">
      <c r="A457" s="39" t="s">
        <v>766</v>
      </c>
      <c r="B457" s="107">
        <v>43629</v>
      </c>
      <c r="C457" s="109">
        <v>43633</v>
      </c>
      <c r="D457" s="76" t="s">
        <v>665</v>
      </c>
      <c r="E457" s="76" t="s">
        <v>53</v>
      </c>
      <c r="F457" s="129" t="s">
        <v>1569</v>
      </c>
      <c r="G457" s="399">
        <f>IFERROR(VLOOKUP(A457,醫療院所DATABASE!A:B,2,""),)</f>
        <v>0</v>
      </c>
      <c r="H457" s="64"/>
      <c r="I457" s="109">
        <v>43627</v>
      </c>
      <c r="J457" s="109">
        <v>43629</v>
      </c>
      <c r="K457" s="39" t="s">
        <v>2019</v>
      </c>
      <c r="L457" s="76" t="s">
        <v>2020</v>
      </c>
      <c r="M457" s="49" t="s">
        <v>61</v>
      </c>
      <c r="N457" s="39" t="s">
        <v>51</v>
      </c>
      <c r="O457" s="56"/>
      <c r="P457" s="409" t="s">
        <v>2021</v>
      </c>
      <c r="Q457" s="76" t="s">
        <v>64</v>
      </c>
      <c r="R457" s="76" t="s">
        <v>1885</v>
      </c>
      <c r="S457" s="24"/>
      <c r="T457" s="24"/>
      <c r="U457" s="76" t="s">
        <v>2022</v>
      </c>
      <c r="V457" s="56"/>
      <c r="W457" s="56"/>
      <c r="X457" s="56"/>
      <c r="Y457" s="56"/>
      <c r="Z457" s="56"/>
      <c r="AA457" s="56"/>
      <c r="AB457" s="56"/>
      <c r="AC457" s="56"/>
    </row>
    <row r="458" spans="1:29" ht="15.75" customHeight="1">
      <c r="A458" s="39" t="s">
        <v>766</v>
      </c>
      <c r="B458" s="107">
        <v>43629</v>
      </c>
      <c r="C458" s="109">
        <v>43633</v>
      </c>
      <c r="D458" s="76" t="s">
        <v>665</v>
      </c>
      <c r="E458" s="76" t="s">
        <v>188</v>
      </c>
      <c r="F458" s="129" t="s">
        <v>1569</v>
      </c>
      <c r="G458" s="399">
        <f>IFERROR(VLOOKUP(A458,醫療院所DATABASE!A:B,2,""),)</f>
        <v>0</v>
      </c>
      <c r="H458" s="64"/>
      <c r="I458" s="109">
        <v>43627</v>
      </c>
      <c r="J458" s="109">
        <v>43629</v>
      </c>
      <c r="K458" s="39" t="s">
        <v>2023</v>
      </c>
      <c r="L458" s="76" t="s">
        <v>2024</v>
      </c>
      <c r="M458" s="49" t="s">
        <v>61</v>
      </c>
      <c r="N458" s="39" t="s">
        <v>51</v>
      </c>
      <c r="O458" s="56"/>
      <c r="P458" s="409" t="s">
        <v>2025</v>
      </c>
      <c r="Q458" s="76" t="s">
        <v>64</v>
      </c>
      <c r="R458" s="76" t="s">
        <v>1885</v>
      </c>
      <c r="S458" s="24"/>
      <c r="T458" s="24"/>
      <c r="U458" s="76" t="s">
        <v>2022</v>
      </c>
      <c r="V458" s="56"/>
      <c r="W458" s="56"/>
      <c r="X458" s="56"/>
      <c r="Y458" s="56"/>
      <c r="Z458" s="56"/>
      <c r="AA458" s="56"/>
      <c r="AB458" s="56"/>
      <c r="AC458" s="56"/>
    </row>
    <row r="459" spans="1:29" ht="15.75" customHeight="1">
      <c r="A459" s="39" t="s">
        <v>1162</v>
      </c>
      <c r="B459" s="107">
        <v>43629</v>
      </c>
      <c r="C459" s="109">
        <v>43633</v>
      </c>
      <c r="D459" s="76" t="s">
        <v>543</v>
      </c>
      <c r="E459" s="76" t="s">
        <v>53</v>
      </c>
      <c r="F459" s="129" t="s">
        <v>1569</v>
      </c>
      <c r="G459" s="399">
        <f>IFERROR(VLOOKUP(A459,醫療院所DATABASE!A:B,2,""),)</f>
        <v>0</v>
      </c>
      <c r="H459" s="64"/>
      <c r="I459" s="109">
        <v>43627</v>
      </c>
      <c r="J459" s="109">
        <v>43629</v>
      </c>
      <c r="K459" s="39" t="s">
        <v>2026</v>
      </c>
      <c r="L459" s="76" t="s">
        <v>2027</v>
      </c>
      <c r="M459" s="49" t="s">
        <v>61</v>
      </c>
      <c r="N459" s="39" t="s">
        <v>51</v>
      </c>
      <c r="O459" s="56"/>
      <c r="P459" s="409" t="s">
        <v>2028</v>
      </c>
      <c r="Q459" s="76" t="s">
        <v>64</v>
      </c>
      <c r="R459" s="76" t="s">
        <v>1885</v>
      </c>
      <c r="S459" s="24"/>
      <c r="T459" s="24"/>
      <c r="U459" s="64"/>
      <c r="V459" s="56"/>
      <c r="W459" s="56"/>
      <c r="X459" s="56"/>
      <c r="Y459" s="56"/>
      <c r="Z459" s="56"/>
      <c r="AA459" s="56"/>
      <c r="AB459" s="56"/>
      <c r="AC459" s="56"/>
    </row>
    <row r="460" spans="1:29" ht="15.75" customHeight="1">
      <c r="A460" s="39" t="s">
        <v>1162</v>
      </c>
      <c r="B460" s="107">
        <v>43629</v>
      </c>
      <c r="C460" s="109">
        <v>43633</v>
      </c>
      <c r="D460" s="76" t="s">
        <v>543</v>
      </c>
      <c r="E460" s="76" t="s">
        <v>188</v>
      </c>
      <c r="F460" s="129" t="s">
        <v>1569</v>
      </c>
      <c r="G460" s="399">
        <f>IFERROR(VLOOKUP(A460,醫療院所DATABASE!A:B,2,""),)</f>
        <v>0</v>
      </c>
      <c r="H460" s="76" t="s">
        <v>2029</v>
      </c>
      <c r="I460" s="109">
        <v>43627</v>
      </c>
      <c r="J460" s="109">
        <v>43629</v>
      </c>
      <c r="K460" s="39" t="s">
        <v>2030</v>
      </c>
      <c r="L460" s="76" t="s">
        <v>2031</v>
      </c>
      <c r="M460" s="49" t="s">
        <v>61</v>
      </c>
      <c r="N460" s="39" t="s">
        <v>62</v>
      </c>
      <c r="O460" s="56"/>
      <c r="P460" s="409" t="s">
        <v>2032</v>
      </c>
      <c r="Q460" s="76" t="s">
        <v>64</v>
      </c>
      <c r="R460" s="76" t="s">
        <v>1885</v>
      </c>
      <c r="S460" s="24"/>
      <c r="T460" s="24"/>
      <c r="U460" s="64"/>
      <c r="V460" s="56"/>
      <c r="W460" s="56"/>
      <c r="X460" s="56"/>
      <c r="Y460" s="56"/>
      <c r="Z460" s="56"/>
      <c r="AA460" s="56"/>
      <c r="AB460" s="56"/>
      <c r="AC460" s="56"/>
    </row>
    <row r="461" spans="1:29" ht="15.75" customHeight="1">
      <c r="A461" s="39" t="s">
        <v>1197</v>
      </c>
      <c r="B461" s="107">
        <v>43629</v>
      </c>
      <c r="C461" s="107">
        <v>43646</v>
      </c>
      <c r="D461" s="76" t="s">
        <v>479</v>
      </c>
      <c r="E461" s="76" t="s">
        <v>479</v>
      </c>
      <c r="F461" s="129" t="s">
        <v>1198</v>
      </c>
      <c r="G461" s="399">
        <f>IFERROR(VLOOKUP(A461,醫療院所DATABASE!A:B,2,""),)</f>
        <v>0</v>
      </c>
      <c r="H461" s="64"/>
      <c r="I461" s="109">
        <v>43627</v>
      </c>
      <c r="J461" s="109">
        <v>43629</v>
      </c>
      <c r="K461" s="39" t="s">
        <v>2033</v>
      </c>
      <c r="L461" s="76" t="s">
        <v>2034</v>
      </c>
      <c r="M461" s="49" t="s">
        <v>61</v>
      </c>
      <c r="N461" s="39" t="s">
        <v>62</v>
      </c>
      <c r="O461" s="56"/>
      <c r="P461" s="409" t="s">
        <v>2035</v>
      </c>
      <c r="Q461" s="76" t="s">
        <v>1207</v>
      </c>
      <c r="R461" s="76" t="s">
        <v>1885</v>
      </c>
      <c r="S461" s="24"/>
      <c r="T461" s="24"/>
      <c r="U461" s="64"/>
      <c r="V461" s="56"/>
      <c r="W461" s="56"/>
      <c r="X461" s="56"/>
      <c r="Y461" s="56"/>
      <c r="Z461" s="56"/>
      <c r="AA461" s="56"/>
      <c r="AB461" s="56"/>
      <c r="AC461" s="56"/>
    </row>
    <row r="462" spans="1:29" ht="15.75" customHeight="1">
      <c r="A462" s="39" t="s">
        <v>1197</v>
      </c>
      <c r="B462" s="107">
        <v>43629</v>
      </c>
      <c r="C462" s="107">
        <v>43646</v>
      </c>
      <c r="D462" s="76" t="s">
        <v>479</v>
      </c>
      <c r="E462" s="76" t="s">
        <v>479</v>
      </c>
      <c r="F462" s="129" t="s">
        <v>1198</v>
      </c>
      <c r="G462" s="399">
        <f>IFERROR(VLOOKUP(A462,醫療院所DATABASE!A:B,2,""),)</f>
        <v>0</v>
      </c>
      <c r="H462" s="64"/>
      <c r="I462" s="109">
        <v>43627</v>
      </c>
      <c r="J462" s="109">
        <v>43629</v>
      </c>
      <c r="K462" s="39" t="s">
        <v>2036</v>
      </c>
      <c r="L462" s="76" t="s">
        <v>2037</v>
      </c>
      <c r="M462" s="157" t="s">
        <v>2038</v>
      </c>
      <c r="N462" s="39" t="s">
        <v>62</v>
      </c>
      <c r="O462" s="56"/>
      <c r="P462" s="409" t="s">
        <v>2039</v>
      </c>
      <c r="Q462" s="76" t="s">
        <v>1207</v>
      </c>
      <c r="R462" s="76" t="s">
        <v>1885</v>
      </c>
      <c r="S462" s="24"/>
      <c r="T462" s="24"/>
      <c r="U462" s="64"/>
      <c r="V462" s="56"/>
      <c r="W462" s="56"/>
      <c r="X462" s="56"/>
      <c r="Y462" s="56"/>
      <c r="Z462" s="56"/>
      <c r="AA462" s="56"/>
      <c r="AB462" s="56"/>
      <c r="AC462" s="56"/>
    </row>
    <row r="463" spans="1:29" ht="15.75" customHeight="1">
      <c r="A463" s="39" t="s">
        <v>2040</v>
      </c>
      <c r="B463" s="107">
        <v>43629</v>
      </c>
      <c r="C463" s="109">
        <v>43633</v>
      </c>
      <c r="D463" s="76" t="s">
        <v>2041</v>
      </c>
      <c r="E463" s="76" t="str">
        <f ca="1">IF(OR(F463="股東",F463="股東會公關"),VLOOKUP(L463,股東DATABASE!A:C,3,),"")</f>
        <v>SOPHIE</v>
      </c>
      <c r="F463" s="129" t="s">
        <v>1213</v>
      </c>
      <c r="G463" s="399">
        <f>IFERROR(VLOOKUP(A463,醫療院所DATABASE!A:B,2,""),)</f>
        <v>0</v>
      </c>
      <c r="H463" s="64"/>
      <c r="I463" s="109">
        <v>43627</v>
      </c>
      <c r="J463" s="109">
        <v>43629</v>
      </c>
      <c r="K463" s="39" t="s">
        <v>2042</v>
      </c>
      <c r="L463" s="76" t="s">
        <v>2043</v>
      </c>
      <c r="M463" s="119" t="s">
        <v>963</v>
      </c>
      <c r="N463" s="39" t="s">
        <v>62</v>
      </c>
      <c r="O463" s="56"/>
      <c r="P463" s="409" t="s">
        <v>2044</v>
      </c>
      <c r="Q463" s="76" t="s">
        <v>64</v>
      </c>
      <c r="R463" s="76" t="s">
        <v>1885</v>
      </c>
      <c r="S463" s="24"/>
      <c r="T463" s="24"/>
      <c r="U463" s="76"/>
      <c r="V463" s="56"/>
      <c r="W463" s="56"/>
      <c r="X463" s="56"/>
      <c r="Y463" s="56"/>
      <c r="Z463" s="56"/>
      <c r="AA463" s="56"/>
      <c r="AB463" s="56"/>
      <c r="AC463" s="56"/>
    </row>
    <row r="464" spans="1:29" ht="15.75" customHeight="1">
      <c r="A464" s="39" t="s">
        <v>2040</v>
      </c>
      <c r="B464" s="107">
        <v>43629</v>
      </c>
      <c r="C464" s="109">
        <v>43633</v>
      </c>
      <c r="D464" s="76" t="s">
        <v>2041</v>
      </c>
      <c r="E464" s="76" t="str">
        <f ca="1">IF(OR(F464="股東",F464="股東會公關"),VLOOKUP(L464,股東DATABASE!A:C,3,),"")</f>
        <v>SOPHIE</v>
      </c>
      <c r="F464" s="129" t="s">
        <v>1213</v>
      </c>
      <c r="G464" s="399">
        <f>IFERROR(VLOOKUP(A464,醫療院所DATABASE!A:B,2,""),)</f>
        <v>0</v>
      </c>
      <c r="H464" s="64"/>
      <c r="I464" s="109">
        <v>43627</v>
      </c>
      <c r="J464" s="109">
        <v>43629</v>
      </c>
      <c r="K464" s="39" t="s">
        <v>2045</v>
      </c>
      <c r="L464" s="76" t="s">
        <v>2046</v>
      </c>
      <c r="M464" s="119" t="s">
        <v>963</v>
      </c>
      <c r="N464" s="39" t="s">
        <v>51</v>
      </c>
      <c r="O464" s="56"/>
      <c r="P464" s="409" t="s">
        <v>2047</v>
      </c>
      <c r="Q464" s="76" t="s">
        <v>64</v>
      </c>
      <c r="R464" s="76" t="s">
        <v>1885</v>
      </c>
      <c r="S464" s="24"/>
      <c r="T464" s="24"/>
      <c r="U464" s="64"/>
      <c r="V464" s="56"/>
      <c r="W464" s="56"/>
      <c r="X464" s="56"/>
      <c r="Y464" s="56"/>
      <c r="Z464" s="56"/>
      <c r="AA464" s="56"/>
      <c r="AB464" s="56"/>
      <c r="AC464" s="56"/>
    </row>
    <row r="465" spans="1:29" ht="15.75" customHeight="1">
      <c r="A465" s="39" t="s">
        <v>2048</v>
      </c>
      <c r="B465" s="107">
        <v>43629</v>
      </c>
      <c r="C465" s="107">
        <v>43630</v>
      </c>
      <c r="D465" s="76" t="s">
        <v>366</v>
      </c>
      <c r="E465" s="76" t="s">
        <v>366</v>
      </c>
      <c r="F465" s="129" t="s">
        <v>2049</v>
      </c>
      <c r="G465" s="399">
        <f>IFERROR(VLOOKUP(A465,醫療院所DATABASE!A:B,2,""),)</f>
        <v>0</v>
      </c>
      <c r="H465" s="64"/>
      <c r="I465" s="109">
        <v>43627</v>
      </c>
      <c r="J465" s="109">
        <v>43629</v>
      </c>
      <c r="K465" s="39" t="s">
        <v>2050</v>
      </c>
      <c r="L465" s="76" t="s">
        <v>2051</v>
      </c>
      <c r="M465" s="39" t="s">
        <v>1955</v>
      </c>
      <c r="N465" s="39" t="s">
        <v>62</v>
      </c>
      <c r="O465" s="56"/>
      <c r="P465" s="409" t="s">
        <v>2052</v>
      </c>
      <c r="Q465" s="76" t="s">
        <v>64</v>
      </c>
      <c r="R465" s="76" t="s">
        <v>1885</v>
      </c>
      <c r="S465" s="24"/>
      <c r="T465" s="24"/>
      <c r="U465" s="76" t="s">
        <v>2053</v>
      </c>
      <c r="V465" s="56"/>
      <c r="W465" s="56"/>
      <c r="X465" s="56"/>
      <c r="Y465" s="56"/>
      <c r="Z465" s="56"/>
      <c r="AA465" s="56"/>
      <c r="AB465" s="56"/>
      <c r="AC465" s="56"/>
    </row>
    <row r="466" spans="1:29" ht="15.75" customHeight="1">
      <c r="A466" s="39" t="s">
        <v>2048</v>
      </c>
      <c r="B466" s="107">
        <v>43629</v>
      </c>
      <c r="C466" s="107">
        <v>43630</v>
      </c>
      <c r="D466" s="76" t="s">
        <v>366</v>
      </c>
      <c r="E466" s="76" t="s">
        <v>366</v>
      </c>
      <c r="F466" s="129" t="s">
        <v>2049</v>
      </c>
      <c r="G466" s="399">
        <f>IFERROR(VLOOKUP(A466,醫療院所DATABASE!A:B,2,""),)</f>
        <v>0</v>
      </c>
      <c r="H466" s="64"/>
      <c r="I466" s="109">
        <v>43627</v>
      </c>
      <c r="J466" s="109">
        <v>43629</v>
      </c>
      <c r="K466" s="39" t="s">
        <v>2054</v>
      </c>
      <c r="L466" s="76" t="s">
        <v>2055</v>
      </c>
      <c r="M466" s="39" t="s">
        <v>1955</v>
      </c>
      <c r="N466" s="39" t="s">
        <v>51</v>
      </c>
      <c r="O466" s="56"/>
      <c r="P466" s="409" t="s">
        <v>2056</v>
      </c>
      <c r="Q466" s="76" t="s">
        <v>64</v>
      </c>
      <c r="R466" s="76" t="s">
        <v>1885</v>
      </c>
      <c r="S466" s="24"/>
      <c r="T466" s="24"/>
      <c r="U466" s="76" t="s">
        <v>2022</v>
      </c>
      <c r="V466" s="56"/>
      <c r="W466" s="56"/>
      <c r="X466" s="56"/>
      <c r="Y466" s="56"/>
      <c r="Z466" s="56"/>
      <c r="AA466" s="56"/>
      <c r="AB466" s="56"/>
      <c r="AC466" s="56"/>
    </row>
    <row r="467" spans="1:29" ht="15.75" customHeight="1">
      <c r="A467" s="39" t="s">
        <v>1595</v>
      </c>
      <c r="B467" s="107">
        <v>43629</v>
      </c>
      <c r="C467" s="109">
        <v>43633</v>
      </c>
      <c r="D467" s="76" t="s">
        <v>522</v>
      </c>
      <c r="E467" s="76" t="s">
        <v>188</v>
      </c>
      <c r="F467" s="129" t="s">
        <v>1745</v>
      </c>
      <c r="G467" s="399">
        <f>IFERROR(VLOOKUP(A467,醫療院所DATABASE!A:B,2,""),)</f>
        <v>0</v>
      </c>
      <c r="H467" s="64"/>
      <c r="I467" s="109">
        <v>43628</v>
      </c>
      <c r="J467" s="109">
        <v>43630</v>
      </c>
      <c r="K467" s="39" t="s">
        <v>2057</v>
      </c>
      <c r="L467" s="76" t="s">
        <v>2058</v>
      </c>
      <c r="M467" s="49" t="s">
        <v>61</v>
      </c>
      <c r="N467" s="39" t="s">
        <v>51</v>
      </c>
      <c r="O467" s="56"/>
      <c r="P467" s="409" t="s">
        <v>2059</v>
      </c>
      <c r="Q467" s="76" t="s">
        <v>64</v>
      </c>
      <c r="R467" s="76" t="s">
        <v>1885</v>
      </c>
      <c r="S467" s="24"/>
      <c r="T467" s="24"/>
      <c r="U467" s="64"/>
      <c r="V467" s="56"/>
      <c r="W467" s="56"/>
      <c r="X467" s="56"/>
      <c r="Y467" s="56"/>
      <c r="Z467" s="56"/>
      <c r="AA467" s="56"/>
      <c r="AB467" s="56"/>
      <c r="AC467" s="56"/>
    </row>
    <row r="468" spans="1:29" ht="15.75" customHeight="1">
      <c r="A468" s="39" t="s">
        <v>2060</v>
      </c>
      <c r="B468" s="107">
        <v>43630</v>
      </c>
      <c r="C468" s="109">
        <v>43633</v>
      </c>
      <c r="D468" s="76" t="s">
        <v>53</v>
      </c>
      <c r="E468" s="76" t="s">
        <v>53</v>
      </c>
      <c r="F468" s="129" t="s">
        <v>1423</v>
      </c>
      <c r="G468" s="399">
        <f>IFERROR(VLOOKUP(A468,醫療院所DATABASE!A:B,2,""),)</f>
        <v>0</v>
      </c>
      <c r="H468" s="64"/>
      <c r="I468" s="109">
        <v>43629</v>
      </c>
      <c r="J468" s="109">
        <v>43633</v>
      </c>
      <c r="K468" s="39" t="s">
        <v>2061</v>
      </c>
      <c r="L468" s="76" t="s">
        <v>2062</v>
      </c>
      <c r="M468" s="49" t="s">
        <v>61</v>
      </c>
      <c r="N468" s="39" t="s">
        <v>51</v>
      </c>
      <c r="O468" s="56"/>
      <c r="P468" s="409" t="s">
        <v>2063</v>
      </c>
      <c r="Q468" s="76" t="s">
        <v>64</v>
      </c>
      <c r="R468" s="76" t="s">
        <v>1885</v>
      </c>
      <c r="S468" s="24"/>
      <c r="T468" s="24"/>
      <c r="U468" s="64"/>
      <c r="V468" s="56"/>
      <c r="W468" s="56"/>
      <c r="X468" s="56"/>
      <c r="Y468" s="56"/>
      <c r="Z468" s="56"/>
      <c r="AA468" s="56"/>
      <c r="AB468" s="56"/>
      <c r="AC468" s="56"/>
    </row>
    <row r="469" spans="1:29" ht="15.75" customHeight="1">
      <c r="A469" s="39" t="s">
        <v>1666</v>
      </c>
      <c r="B469" s="107">
        <v>43630</v>
      </c>
      <c r="C469" s="107">
        <v>43633</v>
      </c>
      <c r="D469" s="76" t="s">
        <v>479</v>
      </c>
      <c r="E469" s="76" t="s">
        <v>479</v>
      </c>
      <c r="F469" s="129" t="s">
        <v>1667</v>
      </c>
      <c r="G469" s="399">
        <f>IFERROR(VLOOKUP(A469,醫療院所DATABASE!A:B,2,""),)</f>
        <v>0</v>
      </c>
      <c r="H469" s="64"/>
      <c r="I469" s="109">
        <v>43629</v>
      </c>
      <c r="J469" s="109">
        <v>43633</v>
      </c>
      <c r="K469" s="39" t="s">
        <v>2064</v>
      </c>
      <c r="L469" s="76" t="s">
        <v>2065</v>
      </c>
      <c r="M469" s="49" t="s">
        <v>61</v>
      </c>
      <c r="N469" s="39" t="s">
        <v>62</v>
      </c>
      <c r="O469" s="56"/>
      <c r="P469" s="409" t="s">
        <v>2066</v>
      </c>
      <c r="Q469" s="76" t="s">
        <v>1931</v>
      </c>
      <c r="R469" s="76" t="s">
        <v>1885</v>
      </c>
      <c r="S469" s="24"/>
      <c r="T469" s="24"/>
      <c r="U469" s="136" t="s">
        <v>1582</v>
      </c>
      <c r="V469" s="56"/>
      <c r="W469" s="56"/>
      <c r="X469" s="56"/>
      <c r="Y469" s="56"/>
      <c r="Z469" s="56"/>
      <c r="AA469" s="56"/>
      <c r="AB469" s="56"/>
      <c r="AC469" s="56"/>
    </row>
    <row r="470" spans="1:29" ht="15.75" customHeight="1">
      <c r="A470" s="39" t="s">
        <v>1666</v>
      </c>
      <c r="B470" s="107">
        <v>43633</v>
      </c>
      <c r="C470" s="107">
        <v>43633</v>
      </c>
      <c r="D470" s="76" t="s">
        <v>479</v>
      </c>
      <c r="E470" s="76" t="s">
        <v>479</v>
      </c>
      <c r="F470" s="129" t="s">
        <v>1667</v>
      </c>
      <c r="G470" s="399">
        <f>IFERROR(VLOOKUP(A470,醫療院所DATABASE!A:B,2,""),)</f>
        <v>0</v>
      </c>
      <c r="H470" s="64"/>
      <c r="I470" s="109">
        <v>43629</v>
      </c>
      <c r="J470" s="109">
        <v>43633</v>
      </c>
      <c r="K470" s="39" t="s">
        <v>2067</v>
      </c>
      <c r="L470" s="76" t="s">
        <v>2068</v>
      </c>
      <c r="M470" s="49" t="s">
        <v>61</v>
      </c>
      <c r="N470" s="39" t="s">
        <v>62</v>
      </c>
      <c r="O470" s="56"/>
      <c r="P470" s="409" t="s">
        <v>2069</v>
      </c>
      <c r="Q470" s="76" t="s">
        <v>1931</v>
      </c>
      <c r="R470" s="76" t="s">
        <v>1885</v>
      </c>
      <c r="S470" s="24"/>
      <c r="T470" s="24"/>
      <c r="U470" s="136" t="s">
        <v>1582</v>
      </c>
      <c r="V470" s="56"/>
      <c r="W470" s="56"/>
      <c r="X470" s="56"/>
      <c r="Y470" s="56"/>
      <c r="Z470" s="56"/>
      <c r="AA470" s="56"/>
      <c r="AB470" s="56"/>
      <c r="AC470" s="56"/>
    </row>
    <row r="471" spans="1:29" ht="15.75" customHeight="1">
      <c r="A471" s="39" t="s">
        <v>1666</v>
      </c>
      <c r="B471" s="107">
        <v>43633</v>
      </c>
      <c r="C471" s="107">
        <v>43633</v>
      </c>
      <c r="D471" s="76" t="s">
        <v>479</v>
      </c>
      <c r="E471" s="76" t="s">
        <v>479</v>
      </c>
      <c r="F471" s="129" t="s">
        <v>1667</v>
      </c>
      <c r="G471" s="399">
        <f>IFERROR(VLOOKUP(A471,醫療院所DATABASE!A:B,2,""),)</f>
        <v>0</v>
      </c>
      <c r="H471" s="64"/>
      <c r="I471" s="109">
        <v>43629</v>
      </c>
      <c r="J471" s="109">
        <v>43633</v>
      </c>
      <c r="K471" s="39" t="s">
        <v>2070</v>
      </c>
      <c r="L471" s="76" t="s">
        <v>2071</v>
      </c>
      <c r="M471" s="49" t="s">
        <v>61</v>
      </c>
      <c r="N471" s="39" t="s">
        <v>62</v>
      </c>
      <c r="O471" s="56"/>
      <c r="P471" s="409" t="s">
        <v>2072</v>
      </c>
      <c r="Q471" s="76" t="s">
        <v>1931</v>
      </c>
      <c r="R471" s="76" t="s">
        <v>1885</v>
      </c>
      <c r="S471" s="24"/>
      <c r="T471" s="24"/>
      <c r="U471" s="136" t="s">
        <v>1582</v>
      </c>
      <c r="V471" s="56"/>
      <c r="W471" s="56"/>
      <c r="X471" s="56"/>
      <c r="Y471" s="56"/>
      <c r="Z471" s="56"/>
      <c r="AA471" s="56"/>
      <c r="AB471" s="56"/>
      <c r="AC471" s="56"/>
    </row>
    <row r="472" spans="1:29" ht="15.75" customHeight="1">
      <c r="A472" s="39" t="s">
        <v>1618</v>
      </c>
      <c r="B472" s="107">
        <v>43634</v>
      </c>
      <c r="C472" s="107">
        <v>43640</v>
      </c>
      <c r="D472" s="76" t="s">
        <v>522</v>
      </c>
      <c r="E472" s="76" t="s">
        <v>522</v>
      </c>
      <c r="F472" s="129" t="s">
        <v>1569</v>
      </c>
      <c r="G472" s="399">
        <f>IFERROR(VLOOKUP(A472,醫療院所DATABASE!A:B,2,""),)</f>
        <v>0</v>
      </c>
      <c r="H472" s="76" t="s">
        <v>2031</v>
      </c>
      <c r="I472" s="109">
        <v>43630</v>
      </c>
      <c r="J472" s="109">
        <v>43634</v>
      </c>
      <c r="K472" s="39" t="s">
        <v>2073</v>
      </c>
      <c r="L472" s="76" t="s">
        <v>2029</v>
      </c>
      <c r="M472" s="49" t="s">
        <v>61</v>
      </c>
      <c r="N472" s="39" t="s">
        <v>62</v>
      </c>
      <c r="O472" s="56"/>
      <c r="P472" s="409" t="s">
        <v>2074</v>
      </c>
      <c r="Q472" s="76" t="s">
        <v>64</v>
      </c>
      <c r="R472" s="76" t="s">
        <v>2075</v>
      </c>
      <c r="S472" s="24"/>
      <c r="T472" s="24"/>
      <c r="U472" s="76" t="s">
        <v>1625</v>
      </c>
      <c r="V472" s="56"/>
      <c r="W472" s="56"/>
      <c r="X472" s="56"/>
      <c r="Y472" s="56"/>
      <c r="Z472" s="56"/>
      <c r="AA472" s="56"/>
      <c r="AB472" s="56"/>
      <c r="AC472" s="56"/>
    </row>
    <row r="473" spans="1:29" ht="15.75" customHeight="1">
      <c r="A473" s="39" t="s">
        <v>1559</v>
      </c>
      <c r="B473" s="107">
        <v>43634</v>
      </c>
      <c r="C473" s="107">
        <v>43635</v>
      </c>
      <c r="D473" s="76" t="s">
        <v>522</v>
      </c>
      <c r="E473" s="76" t="s">
        <v>188</v>
      </c>
      <c r="F473" s="129" t="s">
        <v>1745</v>
      </c>
      <c r="G473" s="399">
        <f>IFERROR(VLOOKUP(A473,醫療院所DATABASE!A:B,2,""),)</f>
        <v>0</v>
      </c>
      <c r="H473" s="64"/>
      <c r="I473" s="109">
        <v>43630</v>
      </c>
      <c r="J473" s="109">
        <v>43634</v>
      </c>
      <c r="K473" s="39" t="s">
        <v>2076</v>
      </c>
      <c r="L473" s="76" t="s">
        <v>2077</v>
      </c>
      <c r="M473" s="49" t="s">
        <v>61</v>
      </c>
      <c r="N473" s="39" t="s">
        <v>51</v>
      </c>
      <c r="O473" s="56"/>
      <c r="P473" s="409" t="s">
        <v>2078</v>
      </c>
      <c r="Q473" s="76" t="s">
        <v>64</v>
      </c>
      <c r="R473" s="76" t="s">
        <v>1885</v>
      </c>
      <c r="S473" s="24"/>
      <c r="T473" s="24"/>
      <c r="U473" s="64"/>
      <c r="V473" s="56"/>
      <c r="W473" s="56"/>
      <c r="X473" s="56"/>
      <c r="Y473" s="56"/>
      <c r="Z473" s="56"/>
      <c r="AA473" s="56"/>
      <c r="AB473" s="56"/>
      <c r="AC473" s="56"/>
    </row>
    <row r="474" spans="1:29" ht="15.75" customHeight="1">
      <c r="A474" s="39" t="s">
        <v>2079</v>
      </c>
      <c r="B474" s="107">
        <v>43634</v>
      </c>
      <c r="C474" s="107">
        <v>43635</v>
      </c>
      <c r="D474" s="76" t="s">
        <v>188</v>
      </c>
      <c r="E474" s="76" t="s">
        <v>188</v>
      </c>
      <c r="F474" s="129" t="s">
        <v>1614</v>
      </c>
      <c r="G474" s="399">
        <f>IFERROR(VLOOKUP(A474,醫療院所DATABASE!A:B,2,""),)</f>
        <v>0</v>
      </c>
      <c r="H474" s="76" t="s">
        <v>2080</v>
      </c>
      <c r="I474" s="109">
        <v>43630</v>
      </c>
      <c r="J474" s="109">
        <v>43634</v>
      </c>
      <c r="K474" s="39" t="s">
        <v>2081</v>
      </c>
      <c r="L474" s="76" t="s">
        <v>2082</v>
      </c>
      <c r="M474" s="158" t="s">
        <v>2083</v>
      </c>
      <c r="N474" s="39" t="s">
        <v>62</v>
      </c>
      <c r="O474" s="56"/>
      <c r="P474" s="409" t="s">
        <v>2084</v>
      </c>
      <c r="Q474" s="76" t="s">
        <v>64</v>
      </c>
      <c r="R474" s="76" t="s">
        <v>1885</v>
      </c>
      <c r="S474" s="24"/>
      <c r="T474" s="24"/>
      <c r="U474" s="64"/>
      <c r="V474" s="56"/>
      <c r="W474" s="56"/>
      <c r="X474" s="56"/>
      <c r="Y474" s="56"/>
      <c r="Z474" s="56"/>
      <c r="AA474" s="56"/>
      <c r="AB474" s="56"/>
      <c r="AC474" s="56"/>
    </row>
    <row r="475" spans="1:29" ht="15.75" customHeight="1">
      <c r="A475" s="39" t="s">
        <v>2085</v>
      </c>
      <c r="B475" s="107">
        <v>43634</v>
      </c>
      <c r="C475" s="107">
        <v>43635</v>
      </c>
      <c r="D475" s="76" t="s">
        <v>188</v>
      </c>
      <c r="E475" s="76" t="s">
        <v>188</v>
      </c>
      <c r="F475" s="129" t="s">
        <v>975</v>
      </c>
      <c r="G475" s="399">
        <f>IFERROR(VLOOKUP(A475,醫療院所DATABASE!A:B,2,""),)</f>
        <v>0</v>
      </c>
      <c r="H475" s="76"/>
      <c r="I475" s="109">
        <v>43633</v>
      </c>
      <c r="J475" s="109">
        <v>43635</v>
      </c>
      <c r="K475" s="39" t="s">
        <v>378</v>
      </c>
      <c r="L475" s="76" t="s">
        <v>379</v>
      </c>
      <c r="M475" s="49" t="s">
        <v>61</v>
      </c>
      <c r="N475" s="39" t="s">
        <v>51</v>
      </c>
      <c r="O475" s="56"/>
      <c r="P475" s="409" t="s">
        <v>2086</v>
      </c>
      <c r="Q475" s="76" t="s">
        <v>64</v>
      </c>
      <c r="R475" s="76" t="s">
        <v>1885</v>
      </c>
      <c r="S475" s="24"/>
      <c r="T475" s="24"/>
      <c r="U475" s="64"/>
      <c r="V475" s="56"/>
      <c r="W475" s="56"/>
      <c r="X475" s="56"/>
      <c r="Y475" s="56"/>
      <c r="Z475" s="56"/>
      <c r="AA475" s="56"/>
      <c r="AB475" s="56"/>
      <c r="AC475" s="56"/>
    </row>
    <row r="476" spans="1:29" ht="15.75" customHeight="1">
      <c r="A476" s="39" t="s">
        <v>2087</v>
      </c>
      <c r="B476" s="107">
        <v>43634</v>
      </c>
      <c r="C476" s="107">
        <v>43635</v>
      </c>
      <c r="D476" s="76" t="s">
        <v>53</v>
      </c>
      <c r="E476" s="76" t="s">
        <v>53</v>
      </c>
      <c r="F476" s="129" t="s">
        <v>65</v>
      </c>
      <c r="G476" s="399">
        <f>IFERROR(VLOOKUP(A476,醫療院所DATABASE!A:B,2,""),)</f>
        <v>0</v>
      </c>
      <c r="H476" s="64"/>
      <c r="I476" s="109">
        <v>43633</v>
      </c>
      <c r="J476" s="109">
        <v>43635</v>
      </c>
      <c r="K476" s="39" t="s">
        <v>454</v>
      </c>
      <c r="L476" s="76" t="s">
        <v>455</v>
      </c>
      <c r="M476" s="49" t="s">
        <v>61</v>
      </c>
      <c r="N476" s="39" t="s">
        <v>51</v>
      </c>
      <c r="O476" s="56"/>
      <c r="P476" s="409" t="s">
        <v>2088</v>
      </c>
      <c r="Q476" s="76" t="s">
        <v>64</v>
      </c>
      <c r="R476" s="76" t="s">
        <v>1885</v>
      </c>
      <c r="S476" s="24"/>
      <c r="T476" s="24"/>
      <c r="U476" s="64"/>
      <c r="V476" s="56"/>
      <c r="W476" s="56"/>
      <c r="X476" s="56"/>
      <c r="Y476" s="56"/>
      <c r="Z476" s="56"/>
      <c r="AA476" s="56"/>
      <c r="AB476" s="56"/>
      <c r="AC476" s="56"/>
    </row>
    <row r="477" spans="1:29" ht="15.75" customHeight="1">
      <c r="A477" s="39" t="s">
        <v>2089</v>
      </c>
      <c r="B477" s="107">
        <v>43634</v>
      </c>
      <c r="C477" s="107">
        <v>43640</v>
      </c>
      <c r="D477" s="76" t="s">
        <v>117</v>
      </c>
      <c r="E477" s="76" t="s">
        <v>2090</v>
      </c>
      <c r="F477" s="129" t="s">
        <v>2091</v>
      </c>
      <c r="G477" s="399">
        <f>IFERROR(VLOOKUP(A477,醫療院所DATABASE!A:B,2,""),)</f>
        <v>0</v>
      </c>
      <c r="H477" s="64"/>
      <c r="I477" s="109">
        <v>43633</v>
      </c>
      <c r="J477" s="109">
        <v>43635</v>
      </c>
      <c r="K477" s="39" t="s">
        <v>2092</v>
      </c>
      <c r="L477" s="76" t="s">
        <v>2093</v>
      </c>
      <c r="M477" s="49" t="s">
        <v>61</v>
      </c>
      <c r="N477" s="39" t="s">
        <v>62</v>
      </c>
      <c r="O477" s="56"/>
      <c r="P477" s="409" t="s">
        <v>2094</v>
      </c>
      <c r="Q477" s="76" t="s">
        <v>1931</v>
      </c>
      <c r="R477" s="76" t="s">
        <v>1893</v>
      </c>
      <c r="S477" s="24"/>
      <c r="T477" s="24"/>
      <c r="U477" s="76" t="s">
        <v>2095</v>
      </c>
      <c r="V477" s="56"/>
      <c r="W477" s="56"/>
      <c r="X477" s="56"/>
      <c r="Y477" s="56"/>
      <c r="Z477" s="56"/>
      <c r="AA477" s="56"/>
      <c r="AB477" s="56"/>
      <c r="AC477" s="56"/>
    </row>
    <row r="478" spans="1:29" ht="15.75" customHeight="1">
      <c r="A478" s="39" t="s">
        <v>2089</v>
      </c>
      <c r="B478" s="107">
        <v>43634</v>
      </c>
      <c r="C478" s="107">
        <v>43635</v>
      </c>
      <c r="D478" s="76" t="s">
        <v>117</v>
      </c>
      <c r="E478" s="76" t="s">
        <v>53</v>
      </c>
      <c r="F478" s="129" t="s">
        <v>2091</v>
      </c>
      <c r="G478" s="399">
        <f>IFERROR(VLOOKUP(A478,醫療院所DATABASE!A:B,2,""),)</f>
        <v>0</v>
      </c>
      <c r="H478" s="64"/>
      <c r="I478" s="109">
        <v>43633</v>
      </c>
      <c r="J478" s="109">
        <v>43635</v>
      </c>
      <c r="K478" s="39" t="s">
        <v>2096</v>
      </c>
      <c r="L478" s="76" t="s">
        <v>2097</v>
      </c>
      <c r="M478" s="49" t="s">
        <v>61</v>
      </c>
      <c r="N478" s="39" t="s">
        <v>62</v>
      </c>
      <c r="O478" s="56"/>
      <c r="P478" s="409" t="s">
        <v>2098</v>
      </c>
      <c r="Q478" s="76" t="s">
        <v>1931</v>
      </c>
      <c r="R478" s="76" t="s">
        <v>1885</v>
      </c>
      <c r="S478" s="24"/>
      <c r="T478" s="24"/>
      <c r="U478" s="76" t="s">
        <v>2099</v>
      </c>
      <c r="V478" s="56"/>
      <c r="W478" s="56"/>
      <c r="X478" s="56"/>
      <c r="Y478" s="56"/>
      <c r="Z478" s="56"/>
      <c r="AA478" s="56"/>
      <c r="AB478" s="56"/>
      <c r="AC478" s="56"/>
    </row>
    <row r="479" spans="1:29" ht="15.75" customHeight="1">
      <c r="A479" s="39" t="s">
        <v>2089</v>
      </c>
      <c r="B479" s="107">
        <v>43634</v>
      </c>
      <c r="C479" s="107">
        <v>43635</v>
      </c>
      <c r="D479" s="76" t="s">
        <v>117</v>
      </c>
      <c r="E479" s="76" t="s">
        <v>53</v>
      </c>
      <c r="F479" s="129" t="s">
        <v>2091</v>
      </c>
      <c r="G479" s="399">
        <f>IFERROR(VLOOKUP(A479,醫療院所DATABASE!A:B,2,""),)</f>
        <v>0</v>
      </c>
      <c r="H479" s="64"/>
      <c r="I479" s="109">
        <v>43633</v>
      </c>
      <c r="J479" s="109">
        <v>43635</v>
      </c>
      <c r="K479" s="39" t="s">
        <v>2100</v>
      </c>
      <c r="L479" s="76" t="s">
        <v>2101</v>
      </c>
      <c r="M479" s="49" t="s">
        <v>61</v>
      </c>
      <c r="N479" s="39" t="s">
        <v>51</v>
      </c>
      <c r="O479" s="56"/>
      <c r="P479" s="409" t="s">
        <v>2102</v>
      </c>
      <c r="Q479" s="76" t="s">
        <v>1931</v>
      </c>
      <c r="R479" s="76" t="s">
        <v>1885</v>
      </c>
      <c r="S479" s="24"/>
      <c r="T479" s="24"/>
      <c r="U479" s="76" t="s">
        <v>2099</v>
      </c>
      <c r="V479" s="56"/>
      <c r="W479" s="56"/>
      <c r="X479" s="56"/>
      <c r="Y479" s="56"/>
      <c r="Z479" s="56"/>
      <c r="AA479" s="56"/>
      <c r="AB479" s="56"/>
      <c r="AC479" s="56"/>
    </row>
    <row r="480" spans="1:29" ht="15.75" customHeight="1">
      <c r="A480" s="39" t="s">
        <v>1674</v>
      </c>
      <c r="B480" s="107">
        <v>43635</v>
      </c>
      <c r="C480" s="107">
        <v>43635</v>
      </c>
      <c r="D480" s="76" t="s">
        <v>479</v>
      </c>
      <c r="E480" s="76" t="s">
        <v>479</v>
      </c>
      <c r="F480" s="129" t="s">
        <v>2103</v>
      </c>
      <c r="G480" s="399">
        <f>IFERROR(VLOOKUP(A480,醫療院所DATABASE!A:B,2,""),)</f>
        <v>0</v>
      </c>
      <c r="H480" s="64"/>
      <c r="I480" s="109">
        <v>43633</v>
      </c>
      <c r="J480" s="109">
        <v>43635</v>
      </c>
      <c r="K480" s="39" t="s">
        <v>2104</v>
      </c>
      <c r="L480" s="76" t="s">
        <v>2105</v>
      </c>
      <c r="M480" s="39" t="s">
        <v>963</v>
      </c>
      <c r="N480" s="39" t="s">
        <v>62</v>
      </c>
      <c r="O480" s="56"/>
      <c r="P480" s="409" t="s">
        <v>2106</v>
      </c>
      <c r="Q480" s="76" t="s">
        <v>1207</v>
      </c>
      <c r="R480" s="76" t="s">
        <v>1885</v>
      </c>
      <c r="S480" s="24"/>
      <c r="T480" s="24"/>
      <c r="U480" s="64"/>
      <c r="V480" s="56"/>
      <c r="W480" s="56"/>
      <c r="X480" s="56"/>
      <c r="Y480" s="56"/>
      <c r="Z480" s="56"/>
      <c r="AA480" s="56"/>
      <c r="AB480" s="56"/>
      <c r="AC480" s="56"/>
    </row>
    <row r="481" spans="1:29" ht="15.75" customHeight="1">
      <c r="A481" s="39" t="s">
        <v>2107</v>
      </c>
      <c r="B481" s="107">
        <v>43635</v>
      </c>
      <c r="C481" s="109">
        <v>43637</v>
      </c>
      <c r="D481" s="76" t="s">
        <v>366</v>
      </c>
      <c r="E481" s="76" t="s">
        <v>188</v>
      </c>
      <c r="F481" s="129" t="s">
        <v>1761</v>
      </c>
      <c r="G481" s="399">
        <f>IFERROR(VLOOKUP(A481,醫療院所DATABASE!A:B,2,""),)</f>
        <v>0</v>
      </c>
      <c r="H481" s="76" t="s">
        <v>2108</v>
      </c>
      <c r="I481" s="109">
        <v>43634</v>
      </c>
      <c r="J481" s="109">
        <v>43636</v>
      </c>
      <c r="K481" s="39" t="s">
        <v>2109</v>
      </c>
      <c r="L481" s="76" t="s">
        <v>2110</v>
      </c>
      <c r="M481" s="49" t="s">
        <v>61</v>
      </c>
      <c r="N481" s="39" t="s">
        <v>62</v>
      </c>
      <c r="O481" s="56"/>
      <c r="P481" s="409" t="s">
        <v>2111</v>
      </c>
      <c r="Q481" s="76" t="s">
        <v>64</v>
      </c>
      <c r="R481" s="76" t="s">
        <v>1885</v>
      </c>
      <c r="S481" s="24"/>
      <c r="T481" s="24"/>
      <c r="U481" s="64"/>
      <c r="V481" s="56"/>
      <c r="W481" s="56"/>
      <c r="X481" s="56"/>
      <c r="Y481" s="56"/>
      <c r="Z481" s="56"/>
      <c r="AA481" s="56"/>
      <c r="AB481" s="56"/>
      <c r="AC481" s="56"/>
    </row>
    <row r="482" spans="1:29" ht="15.75" customHeight="1">
      <c r="A482" s="39" t="s">
        <v>2107</v>
      </c>
      <c r="B482" s="107">
        <v>43635</v>
      </c>
      <c r="C482" s="109">
        <v>43637</v>
      </c>
      <c r="D482" s="76" t="s">
        <v>366</v>
      </c>
      <c r="E482" s="76" t="s">
        <v>188</v>
      </c>
      <c r="F482" s="129" t="s">
        <v>1761</v>
      </c>
      <c r="G482" s="399">
        <f>IFERROR(VLOOKUP(A482,醫療院所DATABASE!A:B,2,""),)</f>
        <v>0</v>
      </c>
      <c r="H482" s="76" t="s">
        <v>2112</v>
      </c>
      <c r="I482" s="109">
        <v>43634</v>
      </c>
      <c r="J482" s="109">
        <v>43636</v>
      </c>
      <c r="K482" s="39" t="s">
        <v>2113</v>
      </c>
      <c r="L482" s="76" t="s">
        <v>1998</v>
      </c>
      <c r="M482" s="49" t="s">
        <v>61</v>
      </c>
      <c r="N482" s="39" t="s">
        <v>51</v>
      </c>
      <c r="O482" s="56"/>
      <c r="P482" s="409" t="s">
        <v>2114</v>
      </c>
      <c r="Q482" s="76" t="s">
        <v>64</v>
      </c>
      <c r="R482" s="76" t="s">
        <v>1885</v>
      </c>
      <c r="S482" s="24"/>
      <c r="T482" s="24"/>
      <c r="U482" s="64"/>
      <c r="V482" s="56"/>
      <c r="W482" s="56"/>
      <c r="X482" s="56"/>
      <c r="Y482" s="56"/>
      <c r="Z482" s="56"/>
      <c r="AA482" s="56"/>
      <c r="AB482" s="56"/>
      <c r="AC482" s="56"/>
    </row>
    <row r="483" spans="1:29" ht="15.75" customHeight="1">
      <c r="A483" s="39" t="s">
        <v>2107</v>
      </c>
      <c r="B483" s="107">
        <v>43635</v>
      </c>
      <c r="C483" s="109">
        <v>43637</v>
      </c>
      <c r="D483" s="76" t="s">
        <v>366</v>
      </c>
      <c r="E483" s="76" t="s">
        <v>188</v>
      </c>
      <c r="F483" s="129" t="s">
        <v>1761</v>
      </c>
      <c r="G483" s="399">
        <f>IFERROR(VLOOKUP(A483,醫療院所DATABASE!A:B,2,""),)</f>
        <v>0</v>
      </c>
      <c r="H483" s="76" t="s">
        <v>2115</v>
      </c>
      <c r="I483" s="109">
        <v>43634</v>
      </c>
      <c r="J483" s="109">
        <v>43636</v>
      </c>
      <c r="K483" s="39" t="s">
        <v>2116</v>
      </c>
      <c r="L483" s="76" t="s">
        <v>2117</v>
      </c>
      <c r="M483" s="49" t="s">
        <v>61</v>
      </c>
      <c r="N483" s="39" t="s">
        <v>62</v>
      </c>
      <c r="O483" s="56"/>
      <c r="P483" s="409" t="s">
        <v>2118</v>
      </c>
      <c r="Q483" s="76" t="s">
        <v>64</v>
      </c>
      <c r="R483" s="76" t="s">
        <v>1885</v>
      </c>
      <c r="S483" s="24"/>
      <c r="T483" s="24"/>
      <c r="U483" s="64"/>
      <c r="V483" s="56"/>
      <c r="W483" s="56"/>
      <c r="X483" s="56"/>
      <c r="Y483" s="56"/>
      <c r="Z483" s="56"/>
      <c r="AA483" s="56"/>
      <c r="AB483" s="56"/>
      <c r="AC483" s="56"/>
    </row>
    <row r="484" spans="1:29" ht="15.75" customHeight="1">
      <c r="A484" s="39" t="s">
        <v>2107</v>
      </c>
      <c r="B484" s="107">
        <v>43635</v>
      </c>
      <c r="C484" s="109">
        <v>43636</v>
      </c>
      <c r="D484" s="76" t="s">
        <v>366</v>
      </c>
      <c r="E484" s="76" t="s">
        <v>53</v>
      </c>
      <c r="F484" s="129" t="s">
        <v>1761</v>
      </c>
      <c r="G484" s="399">
        <f>IFERROR(VLOOKUP(A484,醫療院所DATABASE!A:B,2,""),)</f>
        <v>0</v>
      </c>
      <c r="H484" s="64"/>
      <c r="I484" s="109">
        <v>43634</v>
      </c>
      <c r="J484" s="109">
        <v>43636</v>
      </c>
      <c r="K484" s="39" t="s">
        <v>2119</v>
      </c>
      <c r="L484" s="76" t="s">
        <v>2120</v>
      </c>
      <c r="M484" s="49" t="s">
        <v>61</v>
      </c>
      <c r="N484" s="39" t="s">
        <v>51</v>
      </c>
      <c r="O484" s="56"/>
      <c r="P484" s="409" t="s">
        <v>2121</v>
      </c>
      <c r="Q484" s="76" t="s">
        <v>64</v>
      </c>
      <c r="R484" s="76" t="s">
        <v>1885</v>
      </c>
      <c r="S484" s="24"/>
      <c r="T484" s="24"/>
      <c r="U484" s="64"/>
      <c r="V484" s="56"/>
      <c r="W484" s="56"/>
      <c r="X484" s="56"/>
      <c r="Y484" s="56"/>
      <c r="Z484" s="56"/>
      <c r="AA484" s="56"/>
      <c r="AB484" s="56"/>
      <c r="AC484" s="56"/>
    </row>
    <row r="485" spans="1:29" ht="15.75" customHeight="1">
      <c r="A485" s="39" t="s">
        <v>2107</v>
      </c>
      <c r="B485" s="107">
        <v>43635</v>
      </c>
      <c r="C485" s="109">
        <v>43637</v>
      </c>
      <c r="D485" s="76" t="s">
        <v>366</v>
      </c>
      <c r="E485" s="76" t="s">
        <v>188</v>
      </c>
      <c r="F485" s="129" t="s">
        <v>1761</v>
      </c>
      <c r="G485" s="399">
        <f>IFERROR(VLOOKUP(A485,醫療院所DATABASE!A:B,2,""),)</f>
        <v>0</v>
      </c>
      <c r="H485" s="64"/>
      <c r="I485" s="109">
        <v>43634</v>
      </c>
      <c r="J485" s="109">
        <v>43636</v>
      </c>
      <c r="K485" s="39" t="s">
        <v>2122</v>
      </c>
      <c r="L485" s="76" t="s">
        <v>2123</v>
      </c>
      <c r="M485" s="49" t="s">
        <v>61</v>
      </c>
      <c r="N485" s="39" t="s">
        <v>51</v>
      </c>
      <c r="O485" s="56"/>
      <c r="P485" s="409" t="s">
        <v>2124</v>
      </c>
      <c r="Q485" s="76" t="s">
        <v>64</v>
      </c>
      <c r="R485" s="76" t="s">
        <v>1885</v>
      </c>
      <c r="S485" s="24"/>
      <c r="T485" s="24"/>
      <c r="U485" s="76" t="s">
        <v>2125</v>
      </c>
      <c r="V485" s="56"/>
      <c r="W485" s="56"/>
      <c r="X485" s="56"/>
      <c r="Y485" s="56"/>
      <c r="Z485" s="56"/>
      <c r="AA485" s="56"/>
      <c r="AB485" s="56"/>
      <c r="AC485" s="56"/>
    </row>
    <row r="486" spans="1:29" ht="15.75" customHeight="1">
      <c r="A486" s="39" t="s">
        <v>2107</v>
      </c>
      <c r="B486" s="107">
        <v>43635</v>
      </c>
      <c r="C486" s="109">
        <v>43636</v>
      </c>
      <c r="D486" s="76" t="s">
        <v>366</v>
      </c>
      <c r="E486" s="76" t="s">
        <v>53</v>
      </c>
      <c r="F486" s="129" t="s">
        <v>1761</v>
      </c>
      <c r="G486" s="399">
        <f>IFERROR(VLOOKUP(A486,醫療院所DATABASE!A:B,2,""),)</f>
        <v>0</v>
      </c>
      <c r="H486" s="76" t="s">
        <v>2126</v>
      </c>
      <c r="I486" s="109">
        <v>43634</v>
      </c>
      <c r="J486" s="109">
        <v>43636</v>
      </c>
      <c r="K486" s="39" t="s">
        <v>2127</v>
      </c>
      <c r="L486" s="76" t="s">
        <v>2128</v>
      </c>
      <c r="M486" s="49" t="s">
        <v>61</v>
      </c>
      <c r="N486" s="39" t="s">
        <v>62</v>
      </c>
      <c r="O486" s="56"/>
      <c r="P486" s="409" t="s">
        <v>2129</v>
      </c>
      <c r="Q486" s="76" t="s">
        <v>64</v>
      </c>
      <c r="R486" s="76" t="s">
        <v>1885</v>
      </c>
      <c r="S486" s="24"/>
      <c r="T486" s="24"/>
      <c r="U486" s="76" t="s">
        <v>2130</v>
      </c>
      <c r="V486" s="56"/>
      <c r="W486" s="56"/>
      <c r="X486" s="56"/>
      <c r="Y486" s="56"/>
      <c r="Z486" s="56"/>
      <c r="AA486" s="56"/>
      <c r="AB486" s="56"/>
      <c r="AC486" s="56"/>
    </row>
    <row r="487" spans="1:29" ht="15.75" customHeight="1">
      <c r="A487" s="39" t="s">
        <v>2107</v>
      </c>
      <c r="B487" s="107">
        <v>43635</v>
      </c>
      <c r="C487" s="109">
        <v>43636</v>
      </c>
      <c r="D487" s="76" t="s">
        <v>366</v>
      </c>
      <c r="E487" s="76" t="s">
        <v>53</v>
      </c>
      <c r="F487" s="129" t="s">
        <v>1761</v>
      </c>
      <c r="G487" s="399">
        <f>IFERROR(VLOOKUP(A487,醫療院所DATABASE!A:B,2,""),)</f>
        <v>0</v>
      </c>
      <c r="H487" s="76" t="s">
        <v>2131</v>
      </c>
      <c r="I487" s="109">
        <v>43634</v>
      </c>
      <c r="J487" s="109">
        <v>43636</v>
      </c>
      <c r="K487" s="39" t="s">
        <v>2132</v>
      </c>
      <c r="L487" s="76" t="s">
        <v>2133</v>
      </c>
      <c r="M487" s="49" t="s">
        <v>61</v>
      </c>
      <c r="N487" s="39" t="s">
        <v>62</v>
      </c>
      <c r="O487" s="56"/>
      <c r="P487" s="409" t="s">
        <v>2134</v>
      </c>
      <c r="Q487" s="76" t="s">
        <v>64</v>
      </c>
      <c r="R487" s="76" t="s">
        <v>1885</v>
      </c>
      <c r="S487" s="24"/>
      <c r="T487" s="24"/>
      <c r="U487" s="76" t="s">
        <v>2135</v>
      </c>
      <c r="V487" s="56"/>
      <c r="W487" s="56"/>
      <c r="X487" s="56"/>
      <c r="Y487" s="56"/>
      <c r="Z487" s="56"/>
      <c r="AA487" s="56"/>
      <c r="AB487" s="56"/>
      <c r="AC487" s="56"/>
    </row>
    <row r="488" spans="1:29" ht="15.75" customHeight="1">
      <c r="A488" s="39" t="s">
        <v>2107</v>
      </c>
      <c r="B488" s="107">
        <v>43635</v>
      </c>
      <c r="C488" s="109">
        <v>43637</v>
      </c>
      <c r="D488" s="76" t="s">
        <v>366</v>
      </c>
      <c r="E488" s="76" t="s">
        <v>188</v>
      </c>
      <c r="F488" s="129" t="s">
        <v>1761</v>
      </c>
      <c r="G488" s="399">
        <f>IFERROR(VLOOKUP(A488,醫療院所DATABASE!A:B,2,""),)</f>
        <v>0</v>
      </c>
      <c r="H488" s="64"/>
      <c r="I488" s="109">
        <v>43634</v>
      </c>
      <c r="J488" s="109">
        <v>43636</v>
      </c>
      <c r="K488" s="39" t="s">
        <v>2136</v>
      </c>
      <c r="L488" s="76" t="s">
        <v>2137</v>
      </c>
      <c r="M488" s="49" t="s">
        <v>61</v>
      </c>
      <c r="N488" s="39" t="s">
        <v>62</v>
      </c>
      <c r="O488" s="56"/>
      <c r="P488" s="409" t="s">
        <v>2138</v>
      </c>
      <c r="Q488" s="76" t="s">
        <v>64</v>
      </c>
      <c r="R488" s="76" t="s">
        <v>1885</v>
      </c>
      <c r="S488" s="24"/>
      <c r="T488" s="24"/>
      <c r="U488" s="64"/>
      <c r="V488" s="56"/>
      <c r="W488" s="56"/>
      <c r="X488" s="56"/>
      <c r="Y488" s="56"/>
      <c r="Z488" s="56"/>
      <c r="AA488" s="56"/>
      <c r="AB488" s="56"/>
      <c r="AC488" s="56"/>
    </row>
    <row r="489" spans="1:29" ht="15.75" customHeight="1">
      <c r="A489" s="39" t="s">
        <v>2107</v>
      </c>
      <c r="B489" s="107">
        <v>43635</v>
      </c>
      <c r="C489" s="109">
        <v>43636</v>
      </c>
      <c r="D489" s="76" t="s">
        <v>366</v>
      </c>
      <c r="E489" s="76" t="s">
        <v>53</v>
      </c>
      <c r="F489" s="129" t="s">
        <v>1761</v>
      </c>
      <c r="G489" s="399">
        <f>IFERROR(VLOOKUP(A489,醫療院所DATABASE!A:B,2,""),)</f>
        <v>0</v>
      </c>
      <c r="H489" s="64"/>
      <c r="I489" s="109">
        <v>43634</v>
      </c>
      <c r="J489" s="109">
        <v>43636</v>
      </c>
      <c r="K489" s="39" t="s">
        <v>2141</v>
      </c>
      <c r="L489" s="76" t="s">
        <v>2142</v>
      </c>
      <c r="M489" s="49" t="s">
        <v>61</v>
      </c>
      <c r="N489" s="39" t="s">
        <v>51</v>
      </c>
      <c r="O489" s="56"/>
      <c r="P489" s="409" t="s">
        <v>2144</v>
      </c>
      <c r="Q489" s="76" t="s">
        <v>64</v>
      </c>
      <c r="R489" s="76" t="s">
        <v>1885</v>
      </c>
      <c r="S489" s="24"/>
      <c r="T489" s="24"/>
      <c r="U489" s="64"/>
      <c r="V489" s="56"/>
      <c r="W489" s="56"/>
      <c r="X489" s="56"/>
      <c r="Y489" s="56"/>
      <c r="Z489" s="56"/>
      <c r="AA489" s="56"/>
      <c r="AB489" s="56"/>
      <c r="AC489" s="56"/>
    </row>
    <row r="490" spans="1:29" ht="15.75" customHeight="1">
      <c r="A490" s="39" t="s">
        <v>2107</v>
      </c>
      <c r="B490" s="107">
        <v>43635</v>
      </c>
      <c r="C490" s="109">
        <v>43637</v>
      </c>
      <c r="D490" s="76" t="s">
        <v>366</v>
      </c>
      <c r="E490" s="76" t="s">
        <v>188</v>
      </c>
      <c r="F490" s="129" t="s">
        <v>1761</v>
      </c>
      <c r="G490" s="399">
        <f>IFERROR(VLOOKUP(A490,醫療院所DATABASE!A:B,2,""),)</f>
        <v>0</v>
      </c>
      <c r="H490" s="76" t="s">
        <v>2145</v>
      </c>
      <c r="I490" s="109">
        <v>43634</v>
      </c>
      <c r="J490" s="109">
        <v>43636</v>
      </c>
      <c r="K490" s="39" t="s">
        <v>2146</v>
      </c>
      <c r="L490" s="76" t="s">
        <v>2147</v>
      </c>
      <c r="M490" s="49" t="s">
        <v>61</v>
      </c>
      <c r="N490" s="39" t="s">
        <v>62</v>
      </c>
      <c r="O490" s="56"/>
      <c r="P490" s="409" t="s">
        <v>2148</v>
      </c>
      <c r="Q490" s="76" t="s">
        <v>64</v>
      </c>
      <c r="R490" s="76" t="s">
        <v>1885</v>
      </c>
      <c r="S490" s="24"/>
      <c r="T490" s="24"/>
      <c r="U490" s="64"/>
      <c r="V490" s="56"/>
      <c r="W490" s="56"/>
      <c r="X490" s="56"/>
      <c r="Y490" s="56"/>
      <c r="Z490" s="56"/>
      <c r="AA490" s="56"/>
      <c r="AB490" s="56"/>
      <c r="AC490" s="56"/>
    </row>
    <row r="491" spans="1:29" ht="15.75" customHeight="1">
      <c r="A491" s="39" t="s">
        <v>2107</v>
      </c>
      <c r="B491" s="107">
        <v>43635</v>
      </c>
      <c r="C491" s="109">
        <v>43637</v>
      </c>
      <c r="D491" s="76" t="s">
        <v>366</v>
      </c>
      <c r="E491" s="76" t="s">
        <v>188</v>
      </c>
      <c r="F491" s="129" t="s">
        <v>1761</v>
      </c>
      <c r="G491" s="399">
        <f>IFERROR(VLOOKUP(A491,醫療院所DATABASE!A:B,2,""),)</f>
        <v>0</v>
      </c>
      <c r="H491" s="76" t="s">
        <v>2149</v>
      </c>
      <c r="I491" s="109">
        <v>43634</v>
      </c>
      <c r="J491" s="109">
        <v>43636</v>
      </c>
      <c r="K491" s="39" t="s">
        <v>2150</v>
      </c>
      <c r="L491" s="76" t="s">
        <v>2151</v>
      </c>
      <c r="M491" s="49" t="s">
        <v>61</v>
      </c>
      <c r="N491" s="39" t="s">
        <v>62</v>
      </c>
      <c r="O491" s="56"/>
      <c r="P491" s="409" t="s">
        <v>2152</v>
      </c>
      <c r="Q491" s="76" t="s">
        <v>64</v>
      </c>
      <c r="R491" s="76" t="s">
        <v>1885</v>
      </c>
      <c r="S491" s="24"/>
      <c r="T491" s="24"/>
      <c r="U491" s="64"/>
      <c r="V491" s="56"/>
      <c r="W491" s="56"/>
      <c r="X491" s="56"/>
      <c r="Y491" s="56"/>
      <c r="Z491" s="56"/>
      <c r="AA491" s="56"/>
      <c r="AB491" s="56"/>
      <c r="AC491" s="56"/>
    </row>
    <row r="492" spans="1:29" ht="15.75" customHeight="1">
      <c r="A492" s="39" t="s">
        <v>2107</v>
      </c>
      <c r="B492" s="107">
        <v>43636</v>
      </c>
      <c r="C492" s="109">
        <v>43636</v>
      </c>
      <c r="D492" s="76" t="s">
        <v>366</v>
      </c>
      <c r="E492" s="76" t="s">
        <v>53</v>
      </c>
      <c r="F492" s="129" t="s">
        <v>1761</v>
      </c>
      <c r="G492" s="399">
        <f>IFERROR(VLOOKUP(A492,醫療院所DATABASE!A:B,2,""),)</f>
        <v>0</v>
      </c>
      <c r="H492" s="76" t="s">
        <v>2153</v>
      </c>
      <c r="I492" s="109">
        <v>43634</v>
      </c>
      <c r="J492" s="109">
        <v>43636</v>
      </c>
      <c r="K492" s="39" t="s">
        <v>2154</v>
      </c>
      <c r="L492" s="76" t="s">
        <v>2155</v>
      </c>
      <c r="M492" s="49" t="s">
        <v>61</v>
      </c>
      <c r="N492" s="39" t="s">
        <v>62</v>
      </c>
      <c r="O492" s="56"/>
      <c r="P492" s="409" t="s">
        <v>2156</v>
      </c>
      <c r="Q492" s="76" t="s">
        <v>64</v>
      </c>
      <c r="R492" s="76" t="s">
        <v>1885</v>
      </c>
      <c r="S492" s="24"/>
      <c r="T492" s="24"/>
      <c r="U492" s="64"/>
      <c r="V492" s="56"/>
      <c r="W492" s="56"/>
      <c r="X492" s="56"/>
      <c r="Y492" s="56"/>
      <c r="Z492" s="56"/>
      <c r="AA492" s="56"/>
      <c r="AB492" s="56"/>
      <c r="AC492" s="56"/>
    </row>
    <row r="493" spans="1:29" ht="15.75" customHeight="1">
      <c r="A493" s="39" t="s">
        <v>2107</v>
      </c>
      <c r="B493" s="107">
        <v>43635</v>
      </c>
      <c r="C493" s="109">
        <v>43636</v>
      </c>
      <c r="D493" s="76" t="s">
        <v>366</v>
      </c>
      <c r="E493" s="76" t="s">
        <v>53</v>
      </c>
      <c r="F493" s="129" t="s">
        <v>1761</v>
      </c>
      <c r="G493" s="399">
        <f>IFERROR(VLOOKUP(A493,醫療院所DATABASE!A:B,2,""),)</f>
        <v>0</v>
      </c>
      <c r="H493" s="64"/>
      <c r="I493" s="109">
        <v>43634</v>
      </c>
      <c r="J493" s="109">
        <v>43636</v>
      </c>
      <c r="K493" s="39" t="s">
        <v>2157</v>
      </c>
      <c r="L493" s="76" t="s">
        <v>2158</v>
      </c>
      <c r="M493" s="49" t="s">
        <v>61</v>
      </c>
      <c r="N493" s="39" t="s">
        <v>62</v>
      </c>
      <c r="O493" s="56"/>
      <c r="P493" s="409" t="s">
        <v>2159</v>
      </c>
      <c r="Q493" s="76" t="s">
        <v>64</v>
      </c>
      <c r="R493" s="76" t="s">
        <v>1885</v>
      </c>
      <c r="S493" s="24"/>
      <c r="T493" s="24"/>
      <c r="U493" s="64"/>
      <c r="V493" s="56"/>
      <c r="W493" s="56"/>
      <c r="X493" s="56"/>
      <c r="Y493" s="56"/>
      <c r="Z493" s="56"/>
      <c r="AA493" s="56"/>
      <c r="AB493" s="56"/>
      <c r="AC493" s="56"/>
    </row>
    <row r="494" spans="1:29" ht="15.75" customHeight="1">
      <c r="A494" s="39" t="s">
        <v>2107</v>
      </c>
      <c r="B494" s="107">
        <v>43635</v>
      </c>
      <c r="C494" s="109">
        <v>43636</v>
      </c>
      <c r="D494" s="76" t="s">
        <v>366</v>
      </c>
      <c r="E494" s="76" t="s">
        <v>188</v>
      </c>
      <c r="F494" s="129" t="s">
        <v>1761</v>
      </c>
      <c r="G494" s="399">
        <f>IFERROR(VLOOKUP(A494,醫療院所DATABASE!A:B,2,""),)</f>
        <v>0</v>
      </c>
      <c r="H494" s="64"/>
      <c r="I494" s="109">
        <v>43634</v>
      </c>
      <c r="J494" s="109">
        <v>43636</v>
      </c>
      <c r="K494" s="39" t="s">
        <v>2160</v>
      </c>
      <c r="L494" s="76" t="s">
        <v>2161</v>
      </c>
      <c r="M494" s="49" t="s">
        <v>61</v>
      </c>
      <c r="N494" s="39" t="s">
        <v>51</v>
      </c>
      <c r="O494" s="56"/>
      <c r="P494" s="409" t="s">
        <v>2162</v>
      </c>
      <c r="Q494" s="76" t="s">
        <v>64</v>
      </c>
      <c r="R494" s="76" t="s">
        <v>1885</v>
      </c>
      <c r="S494" s="24"/>
      <c r="T494" s="24"/>
      <c r="U494" s="64"/>
      <c r="V494" s="56"/>
      <c r="W494" s="56"/>
      <c r="X494" s="56"/>
      <c r="Y494" s="56"/>
      <c r="Z494" s="56"/>
      <c r="AA494" s="56"/>
      <c r="AB494" s="56"/>
      <c r="AC494" s="56"/>
    </row>
    <row r="495" spans="1:29" ht="15.75" customHeight="1">
      <c r="A495" s="39" t="s">
        <v>2107</v>
      </c>
      <c r="B495" s="107">
        <v>43635</v>
      </c>
      <c r="C495" s="109">
        <v>43636</v>
      </c>
      <c r="D495" s="76" t="s">
        <v>366</v>
      </c>
      <c r="E495" s="76" t="s">
        <v>53</v>
      </c>
      <c r="F495" s="129" t="s">
        <v>1761</v>
      </c>
      <c r="G495" s="399">
        <f>IFERROR(VLOOKUP(A495,醫療院所DATABASE!A:B,2,""),)</f>
        <v>0</v>
      </c>
      <c r="H495" s="64"/>
      <c r="I495" s="109">
        <v>43634</v>
      </c>
      <c r="J495" s="109">
        <v>43636</v>
      </c>
      <c r="K495" s="39" t="s">
        <v>2163</v>
      </c>
      <c r="L495" s="76" t="s">
        <v>2164</v>
      </c>
      <c r="M495" s="49" t="s">
        <v>61</v>
      </c>
      <c r="N495" s="39" t="s">
        <v>62</v>
      </c>
      <c r="O495" s="56"/>
      <c r="P495" s="409" t="s">
        <v>2165</v>
      </c>
      <c r="Q495" s="76" t="s">
        <v>64</v>
      </c>
      <c r="R495" s="76" t="s">
        <v>1885</v>
      </c>
      <c r="S495" s="24"/>
      <c r="T495" s="24"/>
      <c r="U495" s="64"/>
      <c r="V495" s="56"/>
      <c r="W495" s="56"/>
      <c r="X495" s="56"/>
      <c r="Y495" s="56"/>
      <c r="Z495" s="56"/>
      <c r="AA495" s="56"/>
      <c r="AB495" s="56"/>
      <c r="AC495" s="56"/>
    </row>
    <row r="496" spans="1:29" ht="15.75" customHeight="1">
      <c r="A496" s="39" t="s">
        <v>2107</v>
      </c>
      <c r="B496" s="107">
        <v>43635</v>
      </c>
      <c r="C496" s="109">
        <v>43637</v>
      </c>
      <c r="D496" s="76" t="s">
        <v>366</v>
      </c>
      <c r="E496" s="76" t="s">
        <v>188</v>
      </c>
      <c r="F496" s="129" t="s">
        <v>1761</v>
      </c>
      <c r="G496" s="399">
        <f>IFERROR(VLOOKUP(A496,醫療院所DATABASE!A:B,2,""),)</f>
        <v>0</v>
      </c>
      <c r="H496" s="64"/>
      <c r="I496" s="109">
        <v>43634</v>
      </c>
      <c r="J496" s="109">
        <v>43636</v>
      </c>
      <c r="K496" s="39" t="s">
        <v>2166</v>
      </c>
      <c r="L496" s="76" t="s">
        <v>2167</v>
      </c>
      <c r="M496" s="49" t="s">
        <v>61</v>
      </c>
      <c r="N496" s="39" t="s">
        <v>62</v>
      </c>
      <c r="O496" s="56"/>
      <c r="P496" s="409" t="s">
        <v>2168</v>
      </c>
      <c r="Q496" s="76" t="s">
        <v>64</v>
      </c>
      <c r="R496" s="76" t="s">
        <v>1885</v>
      </c>
      <c r="S496" s="24"/>
      <c r="T496" s="24"/>
      <c r="U496" s="64"/>
      <c r="V496" s="56"/>
      <c r="W496" s="56"/>
      <c r="X496" s="56"/>
      <c r="Y496" s="56"/>
      <c r="Z496" s="56"/>
      <c r="AA496" s="56"/>
      <c r="AB496" s="56"/>
      <c r="AC496" s="56"/>
    </row>
    <row r="497" spans="1:29" ht="15.75" customHeight="1">
      <c r="A497" s="39" t="s">
        <v>2107</v>
      </c>
      <c r="B497" s="107">
        <v>43635</v>
      </c>
      <c r="C497" s="109">
        <v>43636</v>
      </c>
      <c r="D497" s="76" t="s">
        <v>366</v>
      </c>
      <c r="E497" s="76" t="s">
        <v>53</v>
      </c>
      <c r="F497" s="129" t="s">
        <v>1761</v>
      </c>
      <c r="G497" s="399">
        <f>IFERROR(VLOOKUP(A497,醫療院所DATABASE!A:B,2,""),)</f>
        <v>0</v>
      </c>
      <c r="H497" s="64"/>
      <c r="I497" s="109">
        <v>43634</v>
      </c>
      <c r="J497" s="109">
        <v>43636</v>
      </c>
      <c r="K497" s="39" t="s">
        <v>2169</v>
      </c>
      <c r="L497" s="76" t="s">
        <v>2170</v>
      </c>
      <c r="M497" s="49" t="s">
        <v>61</v>
      </c>
      <c r="N497" s="39" t="s">
        <v>51</v>
      </c>
      <c r="O497" s="56"/>
      <c r="P497" s="409" t="s">
        <v>2171</v>
      </c>
      <c r="Q497" s="76" t="s">
        <v>64</v>
      </c>
      <c r="R497" s="76" t="s">
        <v>1885</v>
      </c>
      <c r="S497" s="24"/>
      <c r="T497" s="24"/>
      <c r="U497" s="64"/>
      <c r="V497" s="56"/>
      <c r="W497" s="56"/>
      <c r="X497" s="56"/>
      <c r="Y497" s="56"/>
      <c r="Z497" s="56"/>
      <c r="AA497" s="56"/>
      <c r="AB497" s="56"/>
      <c r="AC497" s="56"/>
    </row>
    <row r="498" spans="1:29" ht="15.75" customHeight="1">
      <c r="A498" s="39" t="s">
        <v>2107</v>
      </c>
      <c r="B498" s="107">
        <v>43635</v>
      </c>
      <c r="C498" s="109">
        <v>43637</v>
      </c>
      <c r="D498" s="76" t="s">
        <v>366</v>
      </c>
      <c r="E498" s="76" t="s">
        <v>188</v>
      </c>
      <c r="F498" s="129" t="s">
        <v>1761</v>
      </c>
      <c r="G498" s="399">
        <f>IFERROR(VLOOKUP(A498,醫療院所DATABASE!A:B,2,""),)</f>
        <v>0</v>
      </c>
      <c r="H498" s="64"/>
      <c r="I498" s="109">
        <v>43634</v>
      </c>
      <c r="J498" s="109">
        <v>43636</v>
      </c>
      <c r="K498" s="39" t="s">
        <v>2172</v>
      </c>
      <c r="L498" s="76" t="s">
        <v>2173</v>
      </c>
      <c r="M498" s="49" t="s">
        <v>61</v>
      </c>
      <c r="N498" s="39" t="s">
        <v>51</v>
      </c>
      <c r="O498" s="24"/>
      <c r="P498" s="409" t="s">
        <v>2174</v>
      </c>
      <c r="Q498" s="76" t="s">
        <v>64</v>
      </c>
      <c r="R498" s="76" t="s">
        <v>1885</v>
      </c>
      <c r="S498" s="24"/>
      <c r="T498" s="24"/>
      <c r="U498" s="64"/>
      <c r="V498" s="56"/>
      <c r="W498" s="56"/>
      <c r="X498" s="56"/>
      <c r="Y498" s="56"/>
      <c r="Z498" s="56"/>
      <c r="AA498" s="56"/>
      <c r="AB498" s="56"/>
      <c r="AC498" s="56"/>
    </row>
    <row r="499" spans="1:29" ht="15.75" customHeight="1">
      <c r="A499" s="39" t="s">
        <v>2107</v>
      </c>
      <c r="B499" s="107">
        <v>43635</v>
      </c>
      <c r="C499" s="109">
        <v>43636</v>
      </c>
      <c r="D499" s="76" t="s">
        <v>366</v>
      </c>
      <c r="E499" s="76" t="s">
        <v>53</v>
      </c>
      <c r="F499" s="129" t="s">
        <v>1761</v>
      </c>
      <c r="G499" s="399">
        <f>IFERROR(VLOOKUP(A499,醫療院所DATABASE!A:B,2,""),)</f>
        <v>0</v>
      </c>
      <c r="H499" s="64"/>
      <c r="I499" s="109">
        <v>43634</v>
      </c>
      <c r="J499" s="109">
        <v>43636</v>
      </c>
      <c r="K499" s="39" t="s">
        <v>2175</v>
      </c>
      <c r="L499" s="76" t="s">
        <v>2176</v>
      </c>
      <c r="M499" s="49" t="s">
        <v>61</v>
      </c>
      <c r="N499" s="39" t="s">
        <v>62</v>
      </c>
      <c r="O499" s="24"/>
      <c r="P499" s="409" t="s">
        <v>2177</v>
      </c>
      <c r="Q499" s="76" t="s">
        <v>64</v>
      </c>
      <c r="R499" s="76" t="s">
        <v>1885</v>
      </c>
      <c r="S499" s="24"/>
      <c r="T499" s="24"/>
      <c r="U499" s="64"/>
      <c r="V499" s="56"/>
      <c r="W499" s="56"/>
      <c r="X499" s="56"/>
      <c r="Y499" s="56"/>
      <c r="Z499" s="56"/>
      <c r="AA499" s="56"/>
      <c r="AB499" s="56"/>
      <c r="AC499" s="56"/>
    </row>
    <row r="500" spans="1:29" ht="15.75" customHeight="1">
      <c r="A500" s="39" t="s">
        <v>2107</v>
      </c>
      <c r="B500" s="107">
        <v>43635</v>
      </c>
      <c r="C500" s="109">
        <v>43637</v>
      </c>
      <c r="D500" s="76" t="s">
        <v>366</v>
      </c>
      <c r="E500" s="76" t="s">
        <v>188</v>
      </c>
      <c r="F500" s="129" t="s">
        <v>1761</v>
      </c>
      <c r="G500" s="399">
        <f>IFERROR(VLOOKUP(A500,醫療院所DATABASE!A:B,2,""),)</f>
        <v>0</v>
      </c>
      <c r="H500" s="64"/>
      <c r="I500" s="109">
        <v>43634</v>
      </c>
      <c r="J500" s="109">
        <v>43636</v>
      </c>
      <c r="K500" s="39" t="s">
        <v>2178</v>
      </c>
      <c r="L500" s="76" t="s">
        <v>2179</v>
      </c>
      <c r="M500" s="49" t="s">
        <v>61</v>
      </c>
      <c r="N500" s="39" t="s">
        <v>62</v>
      </c>
      <c r="O500" s="24"/>
      <c r="P500" s="409" t="s">
        <v>2180</v>
      </c>
      <c r="Q500" s="76" t="s">
        <v>64</v>
      </c>
      <c r="R500" s="76" t="s">
        <v>1885</v>
      </c>
      <c r="S500" s="24"/>
      <c r="T500" s="24"/>
      <c r="U500" s="76" t="s">
        <v>2181</v>
      </c>
      <c r="V500" s="56"/>
      <c r="W500" s="56"/>
      <c r="X500" s="56"/>
      <c r="Y500" s="56"/>
      <c r="Z500" s="56"/>
      <c r="AA500" s="56"/>
      <c r="AB500" s="56"/>
      <c r="AC500" s="56"/>
    </row>
    <row r="501" spans="1:29" ht="15.75" customHeight="1">
      <c r="A501" s="39" t="s">
        <v>2107</v>
      </c>
      <c r="B501" s="107">
        <v>43635</v>
      </c>
      <c r="C501" s="109">
        <v>43636</v>
      </c>
      <c r="D501" s="76" t="s">
        <v>366</v>
      </c>
      <c r="E501" s="76" t="s">
        <v>53</v>
      </c>
      <c r="F501" s="129" t="s">
        <v>1761</v>
      </c>
      <c r="G501" s="399">
        <f>IFERROR(VLOOKUP(A501,醫療院所DATABASE!A:B,2,""),)</f>
        <v>0</v>
      </c>
      <c r="H501" s="64"/>
      <c r="I501" s="109">
        <v>43634</v>
      </c>
      <c r="J501" s="109">
        <v>43636</v>
      </c>
      <c r="K501" s="39" t="s">
        <v>2182</v>
      </c>
      <c r="L501" s="76" t="s">
        <v>2183</v>
      </c>
      <c r="M501" s="49" t="s">
        <v>61</v>
      </c>
      <c r="N501" s="39" t="s">
        <v>62</v>
      </c>
      <c r="O501" s="24"/>
      <c r="P501" s="409" t="s">
        <v>2184</v>
      </c>
      <c r="Q501" s="76" t="s">
        <v>64</v>
      </c>
      <c r="R501" s="76" t="s">
        <v>1885</v>
      </c>
      <c r="S501" s="24"/>
      <c r="T501" s="24"/>
      <c r="U501" s="64"/>
      <c r="V501" s="56"/>
      <c r="W501" s="56"/>
      <c r="X501" s="56"/>
      <c r="Y501" s="56"/>
      <c r="Z501" s="56"/>
      <c r="AA501" s="56"/>
      <c r="AB501" s="56"/>
      <c r="AC501" s="56"/>
    </row>
    <row r="502" spans="1:29" ht="15.75" customHeight="1">
      <c r="A502" s="39" t="s">
        <v>2107</v>
      </c>
      <c r="B502" s="107">
        <v>43635</v>
      </c>
      <c r="C502" s="109">
        <v>43637</v>
      </c>
      <c r="D502" s="76" t="s">
        <v>366</v>
      </c>
      <c r="E502" s="76" t="s">
        <v>188</v>
      </c>
      <c r="F502" s="129" t="s">
        <v>1761</v>
      </c>
      <c r="G502" s="399">
        <f>IFERROR(VLOOKUP(A502,醫療院所DATABASE!A:B,2,""),)</f>
        <v>0</v>
      </c>
      <c r="H502" s="64"/>
      <c r="I502" s="109">
        <v>43634</v>
      </c>
      <c r="J502" s="109">
        <v>43636</v>
      </c>
      <c r="K502" s="39" t="s">
        <v>2185</v>
      </c>
      <c r="L502" s="76" t="s">
        <v>2186</v>
      </c>
      <c r="M502" s="49" t="s">
        <v>61</v>
      </c>
      <c r="N502" s="39" t="s">
        <v>62</v>
      </c>
      <c r="O502" s="24"/>
      <c r="P502" s="409" t="s">
        <v>2187</v>
      </c>
      <c r="Q502" s="76" t="s">
        <v>64</v>
      </c>
      <c r="R502" s="76" t="s">
        <v>1885</v>
      </c>
      <c r="S502" s="24"/>
      <c r="T502" s="24"/>
      <c r="U502" s="64"/>
      <c r="V502" s="56"/>
      <c r="W502" s="56"/>
      <c r="X502" s="56"/>
      <c r="Y502" s="56"/>
      <c r="Z502" s="56"/>
      <c r="AA502" s="56"/>
      <c r="AB502" s="56"/>
      <c r="AC502" s="56"/>
    </row>
    <row r="503" spans="1:29" ht="15.75" customHeight="1">
      <c r="A503" s="39">
        <v>19061504</v>
      </c>
      <c r="B503" s="107">
        <v>43635</v>
      </c>
      <c r="C503" s="109">
        <v>43636</v>
      </c>
      <c r="D503" s="76" t="s">
        <v>1415</v>
      </c>
      <c r="E503" s="76" t="s">
        <v>53</v>
      </c>
      <c r="F503" s="129" t="s">
        <v>353</v>
      </c>
      <c r="G503" s="399">
        <f>IFERROR(VLOOKUP(A503,醫療院所DATABASE!A:B,2,""),)</f>
        <v>0</v>
      </c>
      <c r="H503" s="64"/>
      <c r="I503" s="109">
        <v>43634</v>
      </c>
      <c r="J503" s="109">
        <v>43636</v>
      </c>
      <c r="K503" s="39" t="s">
        <v>2188</v>
      </c>
      <c r="L503" s="76" t="s">
        <v>2189</v>
      </c>
      <c r="M503" s="39" t="s">
        <v>1723</v>
      </c>
      <c r="N503" s="39" t="s">
        <v>62</v>
      </c>
      <c r="O503" s="24"/>
      <c r="P503" s="409" t="s">
        <v>2190</v>
      </c>
      <c r="Q503" s="76" t="s">
        <v>64</v>
      </c>
      <c r="R503" s="76" t="s">
        <v>1885</v>
      </c>
      <c r="S503" s="24"/>
      <c r="T503" s="24"/>
      <c r="U503" s="76" t="s">
        <v>2191</v>
      </c>
      <c r="V503" s="56"/>
      <c r="W503" s="56"/>
      <c r="X503" s="56"/>
      <c r="Y503" s="56"/>
      <c r="Z503" s="56"/>
      <c r="AA503" s="56"/>
      <c r="AB503" s="56"/>
      <c r="AC503" s="56"/>
    </row>
    <row r="504" spans="1:29" ht="15.75" customHeight="1">
      <c r="A504" s="39" t="s">
        <v>2107</v>
      </c>
      <c r="B504" s="107">
        <v>43636</v>
      </c>
      <c r="C504" s="109">
        <v>42547</v>
      </c>
      <c r="D504" s="76" t="s">
        <v>366</v>
      </c>
      <c r="E504" s="76" t="s">
        <v>188</v>
      </c>
      <c r="F504" s="129" t="s">
        <v>1761</v>
      </c>
      <c r="G504" s="399">
        <f>IFERROR(VLOOKUP(A504,醫療院所DATABASE!A:B,2,""),)</f>
        <v>0</v>
      </c>
      <c r="H504" s="64"/>
      <c r="I504" s="109">
        <v>43635</v>
      </c>
      <c r="J504" s="109">
        <v>43637</v>
      </c>
      <c r="K504" s="39" t="s">
        <v>2192</v>
      </c>
      <c r="L504" s="76" t="s">
        <v>2193</v>
      </c>
      <c r="M504" s="49" t="s">
        <v>61</v>
      </c>
      <c r="N504" s="39" t="s">
        <v>62</v>
      </c>
      <c r="O504" s="24"/>
      <c r="P504" s="409" t="s">
        <v>2194</v>
      </c>
      <c r="Q504" s="76" t="s">
        <v>64</v>
      </c>
      <c r="R504" s="76" t="s">
        <v>1885</v>
      </c>
      <c r="S504" s="24"/>
      <c r="T504" s="24"/>
      <c r="U504" s="64"/>
      <c r="V504" s="56"/>
      <c r="W504" s="56"/>
      <c r="X504" s="56"/>
      <c r="Y504" s="56"/>
      <c r="Z504" s="56"/>
      <c r="AA504" s="56"/>
      <c r="AB504" s="56"/>
      <c r="AC504" s="56"/>
    </row>
    <row r="505" spans="1:29" ht="15.75" customHeight="1">
      <c r="A505" s="39" t="s">
        <v>1319</v>
      </c>
      <c r="B505" s="107">
        <v>43636</v>
      </c>
      <c r="C505" s="107">
        <v>43641</v>
      </c>
      <c r="D505" s="159" t="s">
        <v>1321</v>
      </c>
      <c r="E505" s="76" t="s">
        <v>53</v>
      </c>
      <c r="F505" s="129" t="s">
        <v>1294</v>
      </c>
      <c r="G505" s="399">
        <f>IFERROR(VLOOKUP(A505,醫療院所DATABASE!A:B,2,""),)</f>
        <v>0</v>
      </c>
      <c r="H505" s="64"/>
      <c r="I505" s="109">
        <v>43635</v>
      </c>
      <c r="J505" s="109">
        <v>43637</v>
      </c>
      <c r="K505" s="39" t="s">
        <v>2195</v>
      </c>
      <c r="L505" s="76" t="s">
        <v>2196</v>
      </c>
      <c r="M505" s="49" t="s">
        <v>61</v>
      </c>
      <c r="N505" s="39" t="s">
        <v>51</v>
      </c>
      <c r="O505" s="24"/>
      <c r="P505" s="409" t="s">
        <v>2197</v>
      </c>
      <c r="Q505" s="76" t="s">
        <v>64</v>
      </c>
      <c r="R505" s="76" t="s">
        <v>1885</v>
      </c>
      <c r="S505" s="24"/>
      <c r="T505" s="24"/>
      <c r="U505" s="64"/>
      <c r="V505" s="56"/>
      <c r="W505" s="56"/>
      <c r="X505" s="56"/>
      <c r="Y505" s="56"/>
      <c r="Z505" s="56"/>
      <c r="AA505" s="56"/>
      <c r="AB505" s="56"/>
      <c r="AC505" s="56"/>
    </row>
    <row r="506" spans="1:29" ht="15.75" customHeight="1">
      <c r="A506" s="39" t="s">
        <v>2198</v>
      </c>
      <c r="B506" s="107">
        <v>43637</v>
      </c>
      <c r="C506" s="107">
        <v>43641</v>
      </c>
      <c r="D506" s="76" t="s">
        <v>1329</v>
      </c>
      <c r="E506" s="76" t="s">
        <v>1329</v>
      </c>
      <c r="F506" s="39" t="s">
        <v>562</v>
      </c>
      <c r="G506" s="399">
        <f>IFERROR(VLOOKUP(A506,醫療院所DATABASE!A:B,2,""),)</f>
        <v>0</v>
      </c>
      <c r="H506" s="64"/>
      <c r="I506" s="109">
        <v>43635</v>
      </c>
      <c r="J506" s="109">
        <v>43637</v>
      </c>
      <c r="K506" s="39" t="s">
        <v>2199</v>
      </c>
      <c r="L506" s="76" t="s">
        <v>2200</v>
      </c>
      <c r="M506" s="39" t="s">
        <v>2201</v>
      </c>
      <c r="N506" s="39" t="s">
        <v>62</v>
      </c>
      <c r="O506" s="24"/>
      <c r="P506" s="409" t="s">
        <v>2202</v>
      </c>
      <c r="Q506" s="76" t="s">
        <v>64</v>
      </c>
      <c r="R506" s="76" t="s">
        <v>1885</v>
      </c>
      <c r="S506" s="24"/>
      <c r="T506" s="24"/>
      <c r="U506" s="64"/>
      <c r="V506" s="56"/>
      <c r="W506" s="56"/>
      <c r="X506" s="56"/>
      <c r="Y506" s="56"/>
      <c r="Z506" s="56"/>
      <c r="AA506" s="56"/>
      <c r="AB506" s="56"/>
      <c r="AC506" s="56"/>
    </row>
    <row r="507" spans="1:29" ht="15.75" customHeight="1">
      <c r="A507" s="39" t="s">
        <v>1389</v>
      </c>
      <c r="B507" s="107">
        <v>43640</v>
      </c>
      <c r="C507" s="109">
        <v>43658</v>
      </c>
      <c r="D507" s="76" t="s">
        <v>479</v>
      </c>
      <c r="E507" s="76" t="s">
        <v>163</v>
      </c>
      <c r="F507" s="39" t="s">
        <v>1709</v>
      </c>
      <c r="G507" s="399">
        <f>IFERROR(VLOOKUP(A507,醫療院所DATABASE!A:B,2,""),)</f>
        <v>0</v>
      </c>
      <c r="H507" s="64"/>
      <c r="I507" s="109">
        <v>43636</v>
      </c>
      <c r="J507" s="109">
        <v>43640</v>
      </c>
      <c r="K507" s="39" t="s">
        <v>2203</v>
      </c>
      <c r="L507" s="76" t="s">
        <v>2204</v>
      </c>
      <c r="M507" s="49" t="s">
        <v>61</v>
      </c>
      <c r="N507" s="39" t="s">
        <v>62</v>
      </c>
      <c r="O507" s="24"/>
      <c r="P507" s="409" t="s">
        <v>2205</v>
      </c>
      <c r="Q507" s="76" t="s">
        <v>1207</v>
      </c>
      <c r="R507" s="76" t="s">
        <v>1885</v>
      </c>
      <c r="S507" s="24"/>
      <c r="T507" s="24"/>
      <c r="U507" s="76" t="s">
        <v>2206</v>
      </c>
      <c r="V507" s="56"/>
      <c r="W507" s="56"/>
      <c r="X507" s="56"/>
      <c r="Y507" s="56"/>
      <c r="Z507" s="56"/>
      <c r="AA507" s="56"/>
      <c r="AB507" s="56"/>
      <c r="AC507" s="56"/>
    </row>
    <row r="508" spans="1:29" ht="15.75" customHeight="1">
      <c r="A508" s="39" t="s">
        <v>2207</v>
      </c>
      <c r="B508" s="107">
        <v>43637</v>
      </c>
      <c r="C508" s="39">
        <v>20190628</v>
      </c>
      <c r="D508" s="76" t="s">
        <v>53</v>
      </c>
      <c r="E508" s="76" t="s">
        <v>53</v>
      </c>
      <c r="F508" s="39" t="s">
        <v>1614</v>
      </c>
      <c r="G508" s="399">
        <f>IFERROR(VLOOKUP(A508,醫療院所DATABASE!A:B,2,""),)</f>
        <v>0</v>
      </c>
      <c r="H508" s="64"/>
      <c r="I508" s="109">
        <v>43636</v>
      </c>
      <c r="J508" s="109">
        <v>43640</v>
      </c>
      <c r="K508" s="39" t="s">
        <v>2208</v>
      </c>
      <c r="L508" s="76" t="s">
        <v>2209</v>
      </c>
      <c r="M508" s="49" t="s">
        <v>61</v>
      </c>
      <c r="N508" s="39" t="s">
        <v>51</v>
      </c>
      <c r="O508" s="24"/>
      <c r="P508" s="409" t="s">
        <v>2210</v>
      </c>
      <c r="Q508" s="76" t="s">
        <v>64</v>
      </c>
      <c r="R508" s="76" t="s">
        <v>1885</v>
      </c>
      <c r="S508" s="24"/>
      <c r="T508" s="24"/>
      <c r="U508" s="64"/>
      <c r="V508" s="56"/>
      <c r="W508" s="56"/>
      <c r="X508" s="56"/>
      <c r="Y508" s="56"/>
      <c r="Z508" s="56"/>
      <c r="AA508" s="56"/>
      <c r="AB508" s="56"/>
      <c r="AC508" s="56"/>
    </row>
    <row r="509" spans="1:29" ht="15.75" customHeight="1">
      <c r="A509" s="39" t="s">
        <v>1792</v>
      </c>
      <c r="B509" s="107">
        <v>43637</v>
      </c>
      <c r="C509" s="109">
        <v>43644</v>
      </c>
      <c r="D509" s="76" t="s">
        <v>665</v>
      </c>
      <c r="E509" s="76" t="s">
        <v>665</v>
      </c>
      <c r="F509" s="39" t="s">
        <v>1569</v>
      </c>
      <c r="G509" s="399">
        <f>IFERROR(VLOOKUP(A509,醫療院所DATABASE!A:B,2,""),)</f>
        <v>0</v>
      </c>
      <c r="H509" s="64"/>
      <c r="I509" s="109">
        <v>43636</v>
      </c>
      <c r="J509" s="109">
        <v>43640</v>
      </c>
      <c r="K509" s="39" t="s">
        <v>2211</v>
      </c>
      <c r="L509" s="76" t="s">
        <v>2212</v>
      </c>
      <c r="M509" s="49" t="s">
        <v>61</v>
      </c>
      <c r="N509" s="39" t="s">
        <v>51</v>
      </c>
      <c r="O509" s="56"/>
      <c r="P509" s="409" t="s">
        <v>2213</v>
      </c>
      <c r="Q509" s="76" t="s">
        <v>1931</v>
      </c>
      <c r="R509" s="76" t="s">
        <v>1885</v>
      </c>
      <c r="S509" s="24"/>
      <c r="T509" s="24"/>
      <c r="U509" s="136" t="s">
        <v>1582</v>
      </c>
      <c r="V509" s="56"/>
      <c r="W509" s="56"/>
      <c r="X509" s="56"/>
      <c r="Y509" s="56"/>
      <c r="Z509" s="56"/>
      <c r="AA509" s="56"/>
      <c r="AB509" s="56"/>
      <c r="AC509" s="56"/>
    </row>
    <row r="510" spans="1:29" ht="15.75" customHeight="1">
      <c r="A510" s="39" t="s">
        <v>1792</v>
      </c>
      <c r="B510" s="107">
        <v>43637</v>
      </c>
      <c r="C510" s="109">
        <v>43644</v>
      </c>
      <c r="D510" s="76" t="s">
        <v>665</v>
      </c>
      <c r="E510" s="76" t="s">
        <v>665</v>
      </c>
      <c r="F510" s="39" t="s">
        <v>1569</v>
      </c>
      <c r="G510" s="399">
        <f>IFERROR(VLOOKUP(A510,醫療院所DATABASE!A:B,2,""),)</f>
        <v>0</v>
      </c>
      <c r="H510" s="64"/>
      <c r="I510" s="109">
        <v>43636</v>
      </c>
      <c r="J510" s="109">
        <v>43640</v>
      </c>
      <c r="K510" s="39" t="s">
        <v>2214</v>
      </c>
      <c r="L510" s="160" t="s">
        <v>2215</v>
      </c>
      <c r="M510" s="49" t="s">
        <v>61</v>
      </c>
      <c r="N510" s="39" t="s">
        <v>62</v>
      </c>
      <c r="O510" s="56"/>
      <c r="P510" s="409" t="s">
        <v>2216</v>
      </c>
      <c r="Q510" s="76" t="s">
        <v>1931</v>
      </c>
      <c r="R510" s="76" t="s">
        <v>1885</v>
      </c>
      <c r="S510" s="24"/>
      <c r="T510" s="24"/>
      <c r="U510" s="136" t="s">
        <v>1582</v>
      </c>
      <c r="V510" s="56"/>
      <c r="W510" s="56"/>
      <c r="X510" s="56"/>
      <c r="Y510" s="56"/>
      <c r="Z510" s="56"/>
      <c r="AA510" s="56"/>
      <c r="AB510" s="56"/>
      <c r="AC510" s="56"/>
    </row>
    <row r="511" spans="1:29" ht="15.75" customHeight="1">
      <c r="A511" s="39" t="s">
        <v>2217</v>
      </c>
      <c r="B511" s="107">
        <v>43640</v>
      </c>
      <c r="C511" s="109">
        <v>43641</v>
      </c>
      <c r="D511" s="76" t="s">
        <v>479</v>
      </c>
      <c r="E511" s="76" t="s">
        <v>479</v>
      </c>
      <c r="F511" s="39" t="s">
        <v>2218</v>
      </c>
      <c r="G511" s="399">
        <f>IFERROR(VLOOKUP(A511,醫療院所DATABASE!A:B,2,""),)</f>
        <v>0</v>
      </c>
      <c r="H511" s="64"/>
      <c r="I511" s="109">
        <v>43636</v>
      </c>
      <c r="J511" s="109">
        <v>43640</v>
      </c>
      <c r="K511" s="39" t="s">
        <v>2219</v>
      </c>
      <c r="L511" s="160" t="s">
        <v>2220</v>
      </c>
      <c r="M511" s="49" t="s">
        <v>61</v>
      </c>
      <c r="N511" s="39" t="s">
        <v>62</v>
      </c>
      <c r="O511" s="56"/>
      <c r="P511" s="409" t="s">
        <v>2221</v>
      </c>
      <c r="Q511" s="76" t="s">
        <v>1207</v>
      </c>
      <c r="R511" s="76" t="s">
        <v>1893</v>
      </c>
      <c r="S511" s="24"/>
      <c r="T511" s="24"/>
      <c r="U511" s="76" t="s">
        <v>2222</v>
      </c>
      <c r="V511" s="56"/>
      <c r="W511" s="56"/>
      <c r="X511" s="56"/>
      <c r="Y511" s="56"/>
      <c r="Z511" s="56"/>
      <c r="AA511" s="56"/>
      <c r="AB511" s="56"/>
      <c r="AC511" s="56"/>
    </row>
    <row r="512" spans="1:29" ht="15.75" customHeight="1">
      <c r="A512" s="39" t="s">
        <v>2223</v>
      </c>
      <c r="B512" s="107">
        <v>43640</v>
      </c>
      <c r="C512" s="109">
        <v>43644</v>
      </c>
      <c r="D512" s="76" t="s">
        <v>53</v>
      </c>
      <c r="E512" s="76" t="s">
        <v>53</v>
      </c>
      <c r="F512" s="39" t="s">
        <v>1916</v>
      </c>
      <c r="G512" s="399">
        <f>IFERROR(VLOOKUP(A512,醫療院所DATABASE!A:B,2,""),)</f>
        <v>0</v>
      </c>
      <c r="H512" s="64"/>
      <c r="I512" s="109">
        <v>43636</v>
      </c>
      <c r="J512" s="109">
        <v>43640</v>
      </c>
      <c r="K512" s="39" t="s">
        <v>2224</v>
      </c>
      <c r="L512" s="76" t="s">
        <v>2225</v>
      </c>
      <c r="M512" s="85" t="s">
        <v>579</v>
      </c>
      <c r="N512" s="39" t="s">
        <v>62</v>
      </c>
      <c r="O512" s="56"/>
      <c r="P512" s="409" t="s">
        <v>2226</v>
      </c>
      <c r="Q512" s="76" t="s">
        <v>64</v>
      </c>
      <c r="R512" s="76" t="s">
        <v>1885</v>
      </c>
      <c r="S512" s="24"/>
      <c r="T512" s="24"/>
      <c r="U512" s="116"/>
      <c r="V512" s="56"/>
      <c r="W512" s="56"/>
      <c r="X512" s="56"/>
      <c r="Y512" s="56"/>
      <c r="Z512" s="56"/>
      <c r="AA512" s="56"/>
      <c r="AB512" s="56"/>
      <c r="AC512" s="56"/>
    </row>
    <row r="513" spans="1:29" ht="15.75" customHeight="1">
      <c r="A513" s="39">
        <v>19061805</v>
      </c>
      <c r="B513" s="107">
        <v>43642</v>
      </c>
      <c r="C513" s="109">
        <v>43642</v>
      </c>
      <c r="D513" s="76" t="s">
        <v>1415</v>
      </c>
      <c r="E513" s="76" t="s">
        <v>188</v>
      </c>
      <c r="F513" s="129" t="s">
        <v>353</v>
      </c>
      <c r="G513" s="399">
        <f>IFERROR(VLOOKUP(A513,醫療院所DATABASE!A:B,2,""),)</f>
        <v>0</v>
      </c>
      <c r="H513" s="64"/>
      <c r="I513" s="109">
        <v>43637</v>
      </c>
      <c r="J513" s="109">
        <v>43641</v>
      </c>
      <c r="K513" s="39" t="s">
        <v>2227</v>
      </c>
      <c r="L513" s="76" t="s">
        <v>2228</v>
      </c>
      <c r="M513" s="39" t="s">
        <v>2143</v>
      </c>
      <c r="N513" s="39" t="s">
        <v>62</v>
      </c>
      <c r="O513" s="24"/>
      <c r="P513" s="409" t="s">
        <v>2229</v>
      </c>
      <c r="Q513" s="76" t="s">
        <v>64</v>
      </c>
      <c r="R513" s="76" t="s">
        <v>1885</v>
      </c>
      <c r="S513" s="24"/>
      <c r="T513" s="24"/>
      <c r="U513" s="76" t="s">
        <v>2230</v>
      </c>
      <c r="V513" s="56"/>
      <c r="W513" s="56"/>
      <c r="X513" s="56"/>
      <c r="Y513" s="56"/>
      <c r="Z513" s="56"/>
      <c r="AA513" s="56"/>
      <c r="AB513" s="56"/>
      <c r="AC513" s="56"/>
    </row>
    <row r="514" spans="1:29" ht="15.75" customHeight="1">
      <c r="A514" s="39">
        <v>19061902</v>
      </c>
      <c r="B514" s="107">
        <v>43642</v>
      </c>
      <c r="C514" s="109">
        <v>43644</v>
      </c>
      <c r="D514" s="76" t="s">
        <v>1029</v>
      </c>
      <c r="E514" s="76" t="s">
        <v>53</v>
      </c>
      <c r="F514" s="129" t="s">
        <v>353</v>
      </c>
      <c r="G514" s="399">
        <f>IFERROR(VLOOKUP(A514,醫療院所DATABASE!A:B,2,""),)</f>
        <v>0</v>
      </c>
      <c r="H514" s="64"/>
      <c r="I514" s="109">
        <v>43637</v>
      </c>
      <c r="J514" s="109">
        <v>43641</v>
      </c>
      <c r="K514" s="39" t="s">
        <v>2231</v>
      </c>
      <c r="L514" s="76" t="s">
        <v>2232</v>
      </c>
      <c r="M514" s="39" t="s">
        <v>2143</v>
      </c>
      <c r="N514" s="39" t="s">
        <v>62</v>
      </c>
      <c r="O514" s="24"/>
      <c r="P514" s="409" t="s">
        <v>2233</v>
      </c>
      <c r="Q514" s="76" t="s">
        <v>64</v>
      </c>
      <c r="R514" s="76" t="s">
        <v>1885</v>
      </c>
      <c r="S514" s="24"/>
      <c r="T514" s="24"/>
      <c r="U514" s="64"/>
      <c r="V514" s="56"/>
      <c r="W514" s="56"/>
      <c r="X514" s="56"/>
      <c r="Y514" s="56"/>
      <c r="Z514" s="56"/>
      <c r="AA514" s="56"/>
      <c r="AB514" s="56"/>
      <c r="AC514" s="56"/>
    </row>
    <row r="515" spans="1:29" ht="15.75" customHeight="1">
      <c r="A515" s="39" t="s">
        <v>2234</v>
      </c>
      <c r="B515" s="107">
        <v>43641</v>
      </c>
      <c r="C515" s="109">
        <v>43644</v>
      </c>
      <c r="D515" s="76" t="s">
        <v>53</v>
      </c>
      <c r="E515" s="76" t="s">
        <v>53</v>
      </c>
      <c r="F515" s="39" t="s">
        <v>975</v>
      </c>
      <c r="G515" s="399">
        <f>IFERROR(VLOOKUP(A515,醫療院所DATABASE!A:B,2,""),)</f>
        <v>0</v>
      </c>
      <c r="H515" s="64"/>
      <c r="I515" s="109">
        <v>43637</v>
      </c>
      <c r="J515" s="109">
        <v>43641</v>
      </c>
      <c r="K515" s="161" t="s">
        <v>1147</v>
      </c>
      <c r="L515" s="76" t="s">
        <v>1148</v>
      </c>
      <c r="M515" s="49" t="s">
        <v>61</v>
      </c>
      <c r="N515" s="39" t="s">
        <v>62</v>
      </c>
      <c r="O515" s="24"/>
      <c r="P515" s="409" t="s">
        <v>2235</v>
      </c>
      <c r="Q515" s="76" t="s">
        <v>64</v>
      </c>
      <c r="R515" s="76" t="s">
        <v>1885</v>
      </c>
      <c r="S515" s="24"/>
      <c r="T515" s="24"/>
      <c r="U515" s="64"/>
      <c r="V515" s="56"/>
      <c r="W515" s="56"/>
      <c r="X515" s="56"/>
      <c r="Y515" s="56"/>
      <c r="Z515" s="56"/>
      <c r="AA515" s="56"/>
      <c r="AB515" s="56"/>
      <c r="AC515" s="56"/>
    </row>
    <row r="516" spans="1:29" ht="15.75" customHeight="1">
      <c r="A516" s="39" t="s">
        <v>2234</v>
      </c>
      <c r="B516" s="107">
        <v>43641</v>
      </c>
      <c r="C516" s="109">
        <v>43644</v>
      </c>
      <c r="D516" s="76" t="s">
        <v>53</v>
      </c>
      <c r="E516" s="76" t="s">
        <v>53</v>
      </c>
      <c r="F516" s="39" t="s">
        <v>975</v>
      </c>
      <c r="G516" s="399">
        <f>IFERROR(VLOOKUP(A516,醫療院所DATABASE!A:B,2,""),)</f>
        <v>0</v>
      </c>
      <c r="H516" s="64"/>
      <c r="I516" s="109">
        <v>43637</v>
      </c>
      <c r="J516" s="109">
        <v>43641</v>
      </c>
      <c r="K516" s="39" t="s">
        <v>2236</v>
      </c>
      <c r="L516" s="76" t="s">
        <v>2237</v>
      </c>
      <c r="M516" s="49" t="s">
        <v>61</v>
      </c>
      <c r="N516" s="39" t="s">
        <v>51</v>
      </c>
      <c r="O516" s="24"/>
      <c r="P516" s="409" t="s">
        <v>2238</v>
      </c>
      <c r="Q516" s="76" t="s">
        <v>64</v>
      </c>
      <c r="R516" s="76" t="s">
        <v>1885</v>
      </c>
      <c r="S516" s="24"/>
      <c r="T516" s="24"/>
      <c r="U516" s="64"/>
      <c r="V516" s="56"/>
      <c r="W516" s="56"/>
      <c r="X516" s="56"/>
      <c r="Y516" s="56"/>
      <c r="Z516" s="56"/>
      <c r="AA516" s="56"/>
      <c r="AB516" s="56"/>
      <c r="AC516" s="56"/>
    </row>
    <row r="517" spans="1:29" ht="15.75" customHeight="1">
      <c r="A517" s="39" t="s">
        <v>2234</v>
      </c>
      <c r="B517" s="107">
        <v>43641</v>
      </c>
      <c r="C517" s="109">
        <v>43644</v>
      </c>
      <c r="D517" s="76" t="s">
        <v>53</v>
      </c>
      <c r="E517" s="76" t="s">
        <v>53</v>
      </c>
      <c r="F517" s="39" t="s">
        <v>975</v>
      </c>
      <c r="G517" s="399">
        <f>IFERROR(VLOOKUP(A517,醫療院所DATABASE!A:B,2,""),)</f>
        <v>0</v>
      </c>
      <c r="H517" s="64"/>
      <c r="I517" s="109">
        <v>43637</v>
      </c>
      <c r="J517" s="109">
        <v>43641</v>
      </c>
      <c r="K517" s="39" t="s">
        <v>2239</v>
      </c>
      <c r="L517" s="76" t="s">
        <v>2240</v>
      </c>
      <c r="M517" s="49" t="s">
        <v>61</v>
      </c>
      <c r="N517" s="39" t="s">
        <v>51</v>
      </c>
      <c r="O517" s="24"/>
      <c r="P517" s="409" t="s">
        <v>2241</v>
      </c>
      <c r="Q517" s="76" t="s">
        <v>64</v>
      </c>
      <c r="R517" s="76" t="s">
        <v>1885</v>
      </c>
      <c r="S517" s="24"/>
      <c r="T517" s="24"/>
      <c r="U517" s="64"/>
      <c r="V517" s="56"/>
      <c r="W517" s="56"/>
      <c r="X517" s="56"/>
      <c r="Y517" s="56"/>
      <c r="Z517" s="56"/>
      <c r="AA517" s="56"/>
      <c r="AB517" s="56"/>
      <c r="AC517" s="56"/>
    </row>
    <row r="518" spans="1:29" ht="15.75" customHeight="1">
      <c r="A518" s="39" t="s">
        <v>2242</v>
      </c>
      <c r="B518" s="107">
        <v>43640</v>
      </c>
      <c r="C518" s="109">
        <v>43644</v>
      </c>
      <c r="D518" s="76" t="s">
        <v>53</v>
      </c>
      <c r="E518" s="76" t="s">
        <v>53</v>
      </c>
      <c r="F518" s="39" t="s">
        <v>1916</v>
      </c>
      <c r="G518" s="399">
        <f>IFERROR(VLOOKUP(A518,醫療院所DATABASE!A:B,2,""),)</f>
        <v>0</v>
      </c>
      <c r="H518" s="64"/>
      <c r="I518" s="109">
        <v>43637</v>
      </c>
      <c r="J518" s="109">
        <v>43641</v>
      </c>
      <c r="K518" s="39" t="s">
        <v>2243</v>
      </c>
      <c r="L518" s="76" t="s">
        <v>2244</v>
      </c>
      <c r="M518" s="85" t="s">
        <v>579</v>
      </c>
      <c r="N518" s="39" t="s">
        <v>62</v>
      </c>
      <c r="O518" s="24"/>
      <c r="P518" s="409" t="s">
        <v>2245</v>
      </c>
      <c r="Q518" s="76" t="s">
        <v>64</v>
      </c>
      <c r="R518" s="76" t="s">
        <v>1885</v>
      </c>
      <c r="S518" s="24"/>
      <c r="T518" s="24"/>
      <c r="U518" s="64"/>
      <c r="V518" s="56"/>
      <c r="W518" s="56"/>
      <c r="X518" s="56"/>
      <c r="Y518" s="56"/>
      <c r="Z518" s="56"/>
      <c r="AA518" s="56"/>
      <c r="AB518" s="56"/>
      <c r="AC518" s="56"/>
    </row>
    <row r="519" spans="1:29" ht="15.75" customHeight="1">
      <c r="A519" s="39" t="s">
        <v>2246</v>
      </c>
      <c r="B519" s="107">
        <v>43641</v>
      </c>
      <c r="C519" s="109">
        <v>43644</v>
      </c>
      <c r="D519" s="76" t="s">
        <v>366</v>
      </c>
      <c r="E519" s="76" t="s">
        <v>366</v>
      </c>
      <c r="F519" s="129" t="s">
        <v>2247</v>
      </c>
      <c r="G519" s="399">
        <f>IFERROR(VLOOKUP(A519,醫療院所DATABASE!A:B,2,""),)</f>
        <v>0</v>
      </c>
      <c r="H519" s="64"/>
      <c r="I519" s="109">
        <v>43637</v>
      </c>
      <c r="J519" s="109">
        <v>43641</v>
      </c>
      <c r="K519" s="39" t="s">
        <v>2248</v>
      </c>
      <c r="L519" s="76" t="s">
        <v>2249</v>
      </c>
      <c r="M519" s="49" t="s">
        <v>61</v>
      </c>
      <c r="N519" s="39" t="s">
        <v>62</v>
      </c>
      <c r="O519" s="24"/>
      <c r="P519" s="409" t="s">
        <v>2250</v>
      </c>
      <c r="Q519" s="76" t="s">
        <v>1207</v>
      </c>
      <c r="R519" s="76" t="s">
        <v>1885</v>
      </c>
      <c r="S519" s="24"/>
      <c r="T519" s="24"/>
      <c r="U519" s="76" t="s">
        <v>2251</v>
      </c>
      <c r="V519" s="56"/>
      <c r="W519" s="56"/>
      <c r="X519" s="56"/>
      <c r="Y519" s="56"/>
      <c r="Z519" s="56"/>
      <c r="AA519" s="56"/>
      <c r="AB519" s="56"/>
      <c r="AC519" s="56"/>
    </row>
    <row r="520" spans="1:29" ht="15.75" customHeight="1">
      <c r="A520" s="39" t="s">
        <v>1666</v>
      </c>
      <c r="B520" s="107">
        <v>43641</v>
      </c>
      <c r="C520" s="107">
        <v>43642</v>
      </c>
      <c r="D520" s="76" t="s">
        <v>479</v>
      </c>
      <c r="E520" s="76" t="s">
        <v>479</v>
      </c>
      <c r="F520" s="39" t="s">
        <v>1667</v>
      </c>
      <c r="G520" s="399">
        <f>IFERROR(VLOOKUP(A520,醫療院所DATABASE!A:B,2,""),)</f>
        <v>0</v>
      </c>
      <c r="H520" s="64"/>
      <c r="I520" s="109">
        <v>43640</v>
      </c>
      <c r="J520" s="109">
        <v>43642</v>
      </c>
      <c r="K520" s="39" t="s">
        <v>2252</v>
      </c>
      <c r="L520" s="76" t="s">
        <v>2253</v>
      </c>
      <c r="M520" s="49" t="s">
        <v>61</v>
      </c>
      <c r="N520" s="39" t="s">
        <v>62</v>
      </c>
      <c r="O520" s="24"/>
      <c r="P520" s="409" t="s">
        <v>2254</v>
      </c>
      <c r="Q520" s="76" t="s">
        <v>1931</v>
      </c>
      <c r="R520" s="76" t="s">
        <v>1885</v>
      </c>
      <c r="S520" s="24"/>
      <c r="T520" s="24"/>
      <c r="U520" s="64"/>
      <c r="V520" s="56"/>
      <c r="W520" s="56"/>
      <c r="X520" s="56"/>
      <c r="Y520" s="56"/>
      <c r="Z520" s="56"/>
      <c r="AA520" s="56"/>
      <c r="AB520" s="56"/>
      <c r="AC520" s="56"/>
    </row>
    <row r="521" spans="1:29" ht="15.75" customHeight="1">
      <c r="A521" s="39" t="s">
        <v>2255</v>
      </c>
      <c r="B521" s="107">
        <v>43642</v>
      </c>
      <c r="C521" s="107">
        <v>43642</v>
      </c>
      <c r="D521" s="76" t="s">
        <v>366</v>
      </c>
      <c r="E521" s="76" t="s">
        <v>366</v>
      </c>
      <c r="F521" s="39" t="s">
        <v>2256</v>
      </c>
      <c r="G521" s="399">
        <f>IFERROR(VLOOKUP(A521,醫療院所DATABASE!A:B,2,""),)</f>
        <v>0</v>
      </c>
      <c r="H521" s="64"/>
      <c r="I521" s="109">
        <v>43641</v>
      </c>
      <c r="J521" s="109">
        <v>43643</v>
      </c>
      <c r="K521" s="39" t="s">
        <v>2257</v>
      </c>
      <c r="L521" s="76" t="s">
        <v>2258</v>
      </c>
      <c r="M521" s="39" t="s">
        <v>1955</v>
      </c>
      <c r="N521" s="39" t="s">
        <v>62</v>
      </c>
      <c r="O521" s="24"/>
      <c r="P521" s="409" t="s">
        <v>2259</v>
      </c>
      <c r="Q521" s="76" t="s">
        <v>64</v>
      </c>
      <c r="R521" s="76" t="s">
        <v>1885</v>
      </c>
      <c r="S521" s="24"/>
      <c r="T521" s="24"/>
      <c r="U521" s="76" t="s">
        <v>2251</v>
      </c>
      <c r="V521" s="56"/>
      <c r="W521" s="56"/>
      <c r="X521" s="56"/>
      <c r="Y521" s="56"/>
      <c r="Z521" s="56"/>
      <c r="AA521" s="56"/>
      <c r="AB521" s="56"/>
      <c r="AC521" s="56"/>
    </row>
    <row r="522" spans="1:29" ht="15.75" customHeight="1">
      <c r="A522" s="39" t="s">
        <v>2255</v>
      </c>
      <c r="B522" s="107">
        <v>43642</v>
      </c>
      <c r="C522" s="107">
        <v>43642</v>
      </c>
      <c r="D522" s="76" t="s">
        <v>366</v>
      </c>
      <c r="E522" s="76" t="s">
        <v>366</v>
      </c>
      <c r="F522" s="39" t="s">
        <v>2256</v>
      </c>
      <c r="G522" s="399">
        <f>IFERROR(VLOOKUP(A522,醫療院所DATABASE!A:B,2,""),)</f>
        <v>0</v>
      </c>
      <c r="H522" s="64"/>
      <c r="I522" s="109">
        <v>43641</v>
      </c>
      <c r="J522" s="109">
        <v>43643</v>
      </c>
      <c r="K522" s="39" t="s">
        <v>2260</v>
      </c>
      <c r="L522" s="76" t="s">
        <v>2261</v>
      </c>
      <c r="M522" s="39" t="s">
        <v>1955</v>
      </c>
      <c r="N522" s="39" t="s">
        <v>62</v>
      </c>
      <c r="O522" s="24"/>
      <c r="P522" s="409" t="s">
        <v>2262</v>
      </c>
      <c r="Q522" s="76" t="s">
        <v>64</v>
      </c>
      <c r="R522" s="76" t="s">
        <v>1885</v>
      </c>
      <c r="S522" s="24"/>
      <c r="T522" s="24"/>
      <c r="U522" s="76" t="s">
        <v>2251</v>
      </c>
      <c r="V522" s="56"/>
      <c r="W522" s="56"/>
      <c r="X522" s="56"/>
      <c r="Y522" s="56"/>
      <c r="Z522" s="56"/>
      <c r="AA522" s="56"/>
      <c r="AB522" s="56"/>
      <c r="AC522" s="56"/>
    </row>
    <row r="523" spans="1:29" ht="15.75" customHeight="1">
      <c r="A523" s="39" t="s">
        <v>2263</v>
      </c>
      <c r="B523" s="107">
        <v>43642</v>
      </c>
      <c r="C523" s="109">
        <v>43647</v>
      </c>
      <c r="D523" s="76" t="s">
        <v>543</v>
      </c>
      <c r="E523" s="76" t="s">
        <v>188</v>
      </c>
      <c r="F523" s="39" t="s">
        <v>2264</v>
      </c>
      <c r="G523" s="399">
        <f>IFERROR(VLOOKUP(A523,醫療院所DATABASE!A:B,2,""),)</f>
        <v>0</v>
      </c>
      <c r="H523" s="64"/>
      <c r="I523" s="109">
        <v>43641</v>
      </c>
      <c r="J523" s="109">
        <v>43643</v>
      </c>
      <c r="K523" s="39" t="s">
        <v>2265</v>
      </c>
      <c r="L523" s="76" t="s">
        <v>2266</v>
      </c>
      <c r="M523" s="39" t="s">
        <v>1955</v>
      </c>
      <c r="N523" s="39" t="s">
        <v>62</v>
      </c>
      <c r="O523" s="24"/>
      <c r="P523" s="409" t="s">
        <v>2267</v>
      </c>
      <c r="Q523" s="76" t="s">
        <v>64</v>
      </c>
      <c r="R523" s="76" t="s">
        <v>1885</v>
      </c>
      <c r="S523" s="24"/>
      <c r="T523" s="24"/>
      <c r="U523" s="64"/>
      <c r="V523" s="56"/>
      <c r="W523" s="56"/>
      <c r="X523" s="56"/>
      <c r="Y523" s="56"/>
      <c r="Z523" s="56"/>
      <c r="AA523" s="56"/>
      <c r="AB523" s="56"/>
      <c r="AC523" s="56"/>
    </row>
    <row r="524" spans="1:29" ht="15.75" customHeight="1">
      <c r="A524" s="39" t="s">
        <v>2263</v>
      </c>
      <c r="B524" s="107">
        <v>43642</v>
      </c>
      <c r="C524" s="107">
        <v>43644</v>
      </c>
      <c r="D524" s="76" t="s">
        <v>543</v>
      </c>
      <c r="E524" s="76" t="s">
        <v>53</v>
      </c>
      <c r="F524" s="39" t="s">
        <v>2264</v>
      </c>
      <c r="G524" s="399">
        <f>IFERROR(VLOOKUP(A524,醫療院所DATABASE!A:B,2,""),)</f>
        <v>0</v>
      </c>
      <c r="H524" s="64"/>
      <c r="I524" s="109">
        <v>43641</v>
      </c>
      <c r="J524" s="109">
        <v>43643</v>
      </c>
      <c r="K524" s="39" t="s">
        <v>2268</v>
      </c>
      <c r="L524" s="76" t="s">
        <v>2269</v>
      </c>
      <c r="M524" s="39" t="s">
        <v>1955</v>
      </c>
      <c r="N524" s="39" t="s">
        <v>51</v>
      </c>
      <c r="O524" s="24"/>
      <c r="P524" s="409" t="s">
        <v>2270</v>
      </c>
      <c r="Q524" s="76" t="s">
        <v>64</v>
      </c>
      <c r="R524" s="76" t="s">
        <v>1885</v>
      </c>
      <c r="S524" s="24"/>
      <c r="T524" s="24"/>
      <c r="U524" s="64"/>
      <c r="V524" s="56"/>
      <c r="W524" s="56"/>
      <c r="X524" s="56"/>
      <c r="Y524" s="56"/>
      <c r="Z524" s="56"/>
      <c r="AA524" s="56"/>
      <c r="AB524" s="56"/>
      <c r="AC524" s="56"/>
    </row>
    <row r="525" spans="1:29" ht="15.75" customHeight="1">
      <c r="A525" s="39" t="s">
        <v>2271</v>
      </c>
      <c r="B525" s="107">
        <v>43641</v>
      </c>
      <c r="C525" s="107">
        <v>43641</v>
      </c>
      <c r="D525" s="76" t="s">
        <v>53</v>
      </c>
      <c r="E525" s="76" t="s">
        <v>53</v>
      </c>
      <c r="F525" s="39" t="s">
        <v>65</v>
      </c>
      <c r="G525" s="399">
        <f>IFERROR(VLOOKUP(A525,醫療院所DATABASE!A:B,2,""),)</f>
        <v>0</v>
      </c>
      <c r="H525" s="64"/>
      <c r="I525" s="109">
        <v>43641</v>
      </c>
      <c r="J525" s="109">
        <v>43643</v>
      </c>
      <c r="K525" s="39" t="s">
        <v>2272</v>
      </c>
      <c r="L525" s="76" t="s">
        <v>2273</v>
      </c>
      <c r="M525" s="155" t="s">
        <v>1963</v>
      </c>
      <c r="N525" s="39" t="s">
        <v>51</v>
      </c>
      <c r="O525" s="24"/>
      <c r="P525" s="409" t="s">
        <v>2274</v>
      </c>
      <c r="Q525" s="76" t="s">
        <v>64</v>
      </c>
      <c r="R525" s="76" t="s">
        <v>1885</v>
      </c>
      <c r="S525" s="24"/>
      <c r="T525" s="24"/>
      <c r="U525" s="76" t="s">
        <v>2275</v>
      </c>
      <c r="V525" s="56"/>
      <c r="W525" s="56"/>
      <c r="X525" s="56"/>
      <c r="Y525" s="56"/>
      <c r="Z525" s="56"/>
      <c r="AA525" s="56"/>
      <c r="AB525" s="56"/>
      <c r="AC525" s="56"/>
    </row>
    <row r="526" spans="1:29" ht="15.75" customHeight="1">
      <c r="A526" s="39" t="s">
        <v>1750</v>
      </c>
      <c r="B526" s="107">
        <v>43644</v>
      </c>
      <c r="C526" s="107">
        <v>43644</v>
      </c>
      <c r="D526" s="76" t="s">
        <v>366</v>
      </c>
      <c r="E526" s="76" t="s">
        <v>366</v>
      </c>
      <c r="F526" s="39" t="s">
        <v>2276</v>
      </c>
      <c r="G526" s="399">
        <f>IFERROR(VLOOKUP(A526,醫療院所DATABASE!A:B,2,""),)</f>
        <v>0</v>
      </c>
      <c r="H526" s="64"/>
      <c r="I526" s="109">
        <v>43641</v>
      </c>
      <c r="J526" s="109">
        <v>43643</v>
      </c>
      <c r="K526" s="39" t="s">
        <v>2277</v>
      </c>
      <c r="L526" s="76" t="s">
        <v>2278</v>
      </c>
      <c r="M526" s="49" t="s">
        <v>61</v>
      </c>
      <c r="N526" s="39" t="s">
        <v>62</v>
      </c>
      <c r="O526" s="24"/>
      <c r="P526" s="409" t="s">
        <v>2279</v>
      </c>
      <c r="Q526" s="76" t="s">
        <v>64</v>
      </c>
      <c r="R526" s="76" t="s">
        <v>1885</v>
      </c>
      <c r="S526" s="24"/>
      <c r="T526" s="24"/>
      <c r="U526" s="76" t="s">
        <v>2251</v>
      </c>
      <c r="V526" s="56"/>
      <c r="W526" s="56"/>
      <c r="X526" s="56"/>
      <c r="Y526" s="56"/>
      <c r="Z526" s="56"/>
      <c r="AA526" s="56"/>
      <c r="AB526" s="56"/>
      <c r="AC526" s="56"/>
    </row>
    <row r="527" spans="1:29" ht="15.75" customHeight="1">
      <c r="A527" s="39" t="s">
        <v>2107</v>
      </c>
      <c r="B527" s="107">
        <v>43642</v>
      </c>
      <c r="C527" s="109">
        <v>43647</v>
      </c>
      <c r="D527" s="76" t="s">
        <v>366</v>
      </c>
      <c r="E527" s="76" t="s">
        <v>188</v>
      </c>
      <c r="F527" s="39" t="s">
        <v>1761</v>
      </c>
      <c r="G527" s="399">
        <f>IFERROR(VLOOKUP(A527,醫療院所DATABASE!A:B,2,""),)</f>
        <v>0</v>
      </c>
      <c r="H527" s="64"/>
      <c r="I527" s="109">
        <v>43641</v>
      </c>
      <c r="J527" s="109">
        <v>43643</v>
      </c>
      <c r="K527" s="39" t="s">
        <v>2280</v>
      </c>
      <c r="L527" s="76" t="s">
        <v>2281</v>
      </c>
      <c r="M527" s="49" t="s">
        <v>61</v>
      </c>
      <c r="N527" s="39" t="s">
        <v>51</v>
      </c>
      <c r="O527" s="24"/>
      <c r="P527" s="409" t="s">
        <v>2282</v>
      </c>
      <c r="Q527" s="76" t="s">
        <v>64</v>
      </c>
      <c r="R527" s="76" t="s">
        <v>1885</v>
      </c>
      <c r="S527" s="24"/>
      <c r="T527" s="24"/>
      <c r="U527" s="64"/>
      <c r="V527" s="56"/>
      <c r="W527" s="56"/>
      <c r="X527" s="56"/>
      <c r="Y527" s="56"/>
      <c r="Z527" s="56"/>
      <c r="AA527" s="56"/>
      <c r="AB527" s="56"/>
      <c r="AC527" s="56"/>
    </row>
    <row r="528" spans="1:29" ht="15.75" customHeight="1">
      <c r="A528" s="39" t="s">
        <v>2283</v>
      </c>
      <c r="B528" s="107">
        <v>43642</v>
      </c>
      <c r="C528" s="109">
        <v>43647</v>
      </c>
      <c r="D528" s="76" t="s">
        <v>479</v>
      </c>
      <c r="E528" s="76" t="s">
        <v>53</v>
      </c>
      <c r="F528" s="39" t="s">
        <v>2284</v>
      </c>
      <c r="G528" s="399">
        <f>IFERROR(VLOOKUP(A528,醫療院所DATABASE!A:B,2,""),)</f>
        <v>0</v>
      </c>
      <c r="H528" s="64"/>
      <c r="I528" s="109">
        <v>43641</v>
      </c>
      <c r="J528" s="109">
        <v>43643</v>
      </c>
      <c r="K528" s="39" t="s">
        <v>2285</v>
      </c>
      <c r="L528" s="76" t="s">
        <v>2286</v>
      </c>
      <c r="M528" s="49" t="s">
        <v>61</v>
      </c>
      <c r="N528" s="39" t="s">
        <v>62</v>
      </c>
      <c r="O528" s="24"/>
      <c r="P528" s="409" t="s">
        <v>2287</v>
      </c>
      <c r="Q528" s="76" t="s">
        <v>64</v>
      </c>
      <c r="R528" s="76" t="s">
        <v>1885</v>
      </c>
      <c r="S528" s="24"/>
      <c r="T528" s="24"/>
      <c r="U528" s="64"/>
      <c r="V528" s="56"/>
      <c r="W528" s="56"/>
      <c r="X528" s="56"/>
      <c r="Y528" s="56"/>
      <c r="Z528" s="56"/>
      <c r="AA528" s="56"/>
      <c r="AB528" s="56"/>
      <c r="AC528" s="56"/>
    </row>
    <row r="529" spans="1:29" ht="15.75" customHeight="1">
      <c r="A529" s="39" t="s">
        <v>2283</v>
      </c>
      <c r="B529" s="107">
        <v>43642</v>
      </c>
      <c r="C529" s="109">
        <v>43647</v>
      </c>
      <c r="D529" s="76" t="s">
        <v>479</v>
      </c>
      <c r="E529" s="76" t="s">
        <v>188</v>
      </c>
      <c r="F529" s="39" t="s">
        <v>2284</v>
      </c>
      <c r="G529" s="399">
        <f>IFERROR(VLOOKUP(A529,醫療院所DATABASE!A:B,2,""),)</f>
        <v>0</v>
      </c>
      <c r="H529" s="64"/>
      <c r="I529" s="109">
        <v>43641</v>
      </c>
      <c r="J529" s="109">
        <v>43643</v>
      </c>
      <c r="K529" s="39" t="s">
        <v>2288</v>
      </c>
      <c r="L529" s="76" t="s">
        <v>2289</v>
      </c>
      <c r="M529" s="49" t="s">
        <v>61</v>
      </c>
      <c r="N529" s="39" t="s">
        <v>51</v>
      </c>
      <c r="O529" s="24"/>
      <c r="P529" s="409" t="s">
        <v>2290</v>
      </c>
      <c r="Q529" s="76" t="s">
        <v>64</v>
      </c>
      <c r="R529" s="76" t="s">
        <v>1885</v>
      </c>
      <c r="S529" s="24"/>
      <c r="T529" s="24"/>
      <c r="U529" s="76"/>
      <c r="V529" s="56"/>
      <c r="W529" s="56"/>
      <c r="X529" s="56"/>
      <c r="Y529" s="56"/>
      <c r="Z529" s="56"/>
      <c r="AA529" s="56"/>
      <c r="AB529" s="56"/>
      <c r="AC529" s="56"/>
    </row>
    <row r="530" spans="1:29" ht="15.75" customHeight="1">
      <c r="A530" s="39" t="s">
        <v>2283</v>
      </c>
      <c r="B530" s="107">
        <v>43642</v>
      </c>
      <c r="C530" s="109">
        <v>43647</v>
      </c>
      <c r="D530" s="76" t="s">
        <v>479</v>
      </c>
      <c r="E530" s="76" t="s">
        <v>53</v>
      </c>
      <c r="F530" s="39" t="s">
        <v>2284</v>
      </c>
      <c r="G530" s="399">
        <f>IFERROR(VLOOKUP(A530,醫療院所DATABASE!A:B,2,""),)</f>
        <v>0</v>
      </c>
      <c r="H530" s="64"/>
      <c r="I530" s="109">
        <v>43641</v>
      </c>
      <c r="J530" s="109">
        <v>43643</v>
      </c>
      <c r="K530" s="39" t="s">
        <v>2291</v>
      </c>
      <c r="L530" s="76" t="s">
        <v>2292</v>
      </c>
      <c r="M530" s="49" t="s">
        <v>61</v>
      </c>
      <c r="N530" s="39" t="s">
        <v>51</v>
      </c>
      <c r="O530" s="24"/>
      <c r="P530" s="409" t="s">
        <v>2293</v>
      </c>
      <c r="Q530" s="76" t="s">
        <v>64</v>
      </c>
      <c r="R530" s="76" t="s">
        <v>1885</v>
      </c>
      <c r="S530" s="24"/>
      <c r="T530" s="24"/>
      <c r="U530" s="76"/>
      <c r="V530" s="56"/>
      <c r="W530" s="56"/>
      <c r="X530" s="56"/>
      <c r="Y530" s="56"/>
      <c r="Z530" s="56"/>
      <c r="AA530" s="56"/>
      <c r="AB530" s="56"/>
      <c r="AC530" s="56"/>
    </row>
    <row r="531" spans="1:29" ht="15.75" customHeight="1">
      <c r="A531" s="39" t="s">
        <v>2283</v>
      </c>
      <c r="B531" s="107">
        <v>43642</v>
      </c>
      <c r="C531" s="109">
        <v>43647</v>
      </c>
      <c r="D531" s="76" t="s">
        <v>479</v>
      </c>
      <c r="E531" s="76" t="s">
        <v>188</v>
      </c>
      <c r="F531" s="39" t="s">
        <v>2284</v>
      </c>
      <c r="G531" s="399">
        <f>IFERROR(VLOOKUP(A531,醫療院所DATABASE!A:B,2,""),)</f>
        <v>0</v>
      </c>
      <c r="H531" s="64"/>
      <c r="I531" s="109">
        <v>43641</v>
      </c>
      <c r="J531" s="109">
        <v>43643</v>
      </c>
      <c r="K531" s="39" t="s">
        <v>2294</v>
      </c>
      <c r="L531" s="76" t="s">
        <v>2295</v>
      </c>
      <c r="M531" s="49" t="s">
        <v>61</v>
      </c>
      <c r="N531" s="39" t="s">
        <v>51</v>
      </c>
      <c r="O531" s="24"/>
      <c r="P531" s="409" t="s">
        <v>2296</v>
      </c>
      <c r="Q531" s="76" t="s">
        <v>64</v>
      </c>
      <c r="R531" s="76" t="s">
        <v>1885</v>
      </c>
      <c r="S531" s="24"/>
      <c r="T531" s="24"/>
      <c r="U531" s="64"/>
      <c r="V531" s="56"/>
      <c r="W531" s="56"/>
      <c r="X531" s="56"/>
      <c r="Y531" s="56"/>
      <c r="Z531" s="56"/>
      <c r="AA531" s="56"/>
      <c r="AB531" s="56"/>
      <c r="AC531" s="56"/>
    </row>
    <row r="532" spans="1:29" ht="15.75" customHeight="1">
      <c r="A532" s="39" t="s">
        <v>2283</v>
      </c>
      <c r="B532" s="107">
        <v>43642</v>
      </c>
      <c r="C532" s="109">
        <v>43647</v>
      </c>
      <c r="D532" s="76" t="s">
        <v>479</v>
      </c>
      <c r="E532" s="76" t="s">
        <v>53</v>
      </c>
      <c r="F532" s="39" t="s">
        <v>2284</v>
      </c>
      <c r="G532" s="399">
        <f>IFERROR(VLOOKUP(A532,醫療院所DATABASE!A:B,2,""),)</f>
        <v>0</v>
      </c>
      <c r="H532" s="64"/>
      <c r="I532" s="109">
        <v>43641</v>
      </c>
      <c r="J532" s="109">
        <v>43643</v>
      </c>
      <c r="K532" s="39" t="s">
        <v>2297</v>
      </c>
      <c r="L532" s="76" t="s">
        <v>2298</v>
      </c>
      <c r="M532" s="49" t="s">
        <v>61</v>
      </c>
      <c r="N532" s="39" t="s">
        <v>62</v>
      </c>
      <c r="O532" s="24"/>
      <c r="P532" s="409" t="s">
        <v>2299</v>
      </c>
      <c r="Q532" s="76" t="s">
        <v>64</v>
      </c>
      <c r="R532" s="76" t="s">
        <v>1885</v>
      </c>
      <c r="S532" s="24"/>
      <c r="T532" s="24"/>
      <c r="U532" s="64"/>
      <c r="V532" s="56"/>
      <c r="W532" s="56"/>
      <c r="X532" s="56"/>
      <c r="Y532" s="56"/>
      <c r="Z532" s="56"/>
      <c r="AA532" s="56"/>
      <c r="AB532" s="56"/>
      <c r="AC532" s="56"/>
    </row>
    <row r="533" spans="1:29" ht="15.75" customHeight="1">
      <c r="A533" s="39" t="s">
        <v>2283</v>
      </c>
      <c r="B533" s="107">
        <v>43642</v>
      </c>
      <c r="C533" s="109">
        <v>43647</v>
      </c>
      <c r="D533" s="76" t="s">
        <v>479</v>
      </c>
      <c r="E533" s="76" t="s">
        <v>188</v>
      </c>
      <c r="F533" s="39" t="s">
        <v>2284</v>
      </c>
      <c r="G533" s="399">
        <f>IFERROR(VLOOKUP(A533,醫療院所DATABASE!A:B,2,""),)</f>
        <v>0</v>
      </c>
      <c r="H533" s="64"/>
      <c r="I533" s="109">
        <v>43641</v>
      </c>
      <c r="J533" s="109">
        <v>43643</v>
      </c>
      <c r="K533" s="39" t="s">
        <v>2300</v>
      </c>
      <c r="L533" s="76" t="s">
        <v>2301</v>
      </c>
      <c r="M533" s="49" t="s">
        <v>61</v>
      </c>
      <c r="N533" s="39" t="s">
        <v>51</v>
      </c>
      <c r="O533" s="24"/>
      <c r="P533" s="409" t="s">
        <v>2302</v>
      </c>
      <c r="Q533" s="76" t="s">
        <v>64</v>
      </c>
      <c r="R533" s="76" t="s">
        <v>1885</v>
      </c>
      <c r="S533" s="24"/>
      <c r="T533" s="24"/>
      <c r="U533" s="64"/>
      <c r="V533" s="56"/>
      <c r="W533" s="56"/>
      <c r="X533" s="56"/>
      <c r="Y533" s="56"/>
      <c r="Z533" s="56"/>
      <c r="AA533" s="56"/>
      <c r="AB533" s="56"/>
      <c r="AC533" s="56"/>
    </row>
    <row r="534" spans="1:29" ht="15.75" customHeight="1">
      <c r="A534" s="39" t="s">
        <v>2303</v>
      </c>
      <c r="B534" s="107">
        <v>43644</v>
      </c>
      <c r="C534" s="109">
        <v>43644</v>
      </c>
      <c r="D534" s="76" t="s">
        <v>53</v>
      </c>
      <c r="E534" s="76" t="s">
        <v>53</v>
      </c>
      <c r="F534" s="39" t="s">
        <v>2304</v>
      </c>
      <c r="G534" s="399">
        <f>IFERROR(VLOOKUP(A534,醫療院所DATABASE!A:B,2,""),)</f>
        <v>0</v>
      </c>
      <c r="H534" s="64"/>
      <c r="I534" s="109">
        <v>43641</v>
      </c>
      <c r="J534" s="109">
        <v>43643</v>
      </c>
      <c r="K534" s="39" t="s">
        <v>740</v>
      </c>
      <c r="L534" s="76" t="s">
        <v>741</v>
      </c>
      <c r="M534" s="39" t="s">
        <v>603</v>
      </c>
      <c r="N534" s="39" t="s">
        <v>62</v>
      </c>
      <c r="O534" s="24"/>
      <c r="P534" s="409" t="s">
        <v>2305</v>
      </c>
      <c r="Q534" s="76" t="s">
        <v>1931</v>
      </c>
      <c r="R534" s="76" t="s">
        <v>1885</v>
      </c>
      <c r="S534" s="24"/>
      <c r="T534" s="24"/>
      <c r="U534" s="76" t="s">
        <v>2306</v>
      </c>
      <c r="V534" s="56"/>
      <c r="W534" s="56"/>
      <c r="X534" s="56"/>
      <c r="Y534" s="56"/>
      <c r="Z534" s="56"/>
      <c r="AA534" s="56"/>
      <c r="AB534" s="56"/>
      <c r="AC534" s="56"/>
    </row>
    <row r="535" spans="1:29" ht="15.75" customHeight="1">
      <c r="A535" s="39" t="s">
        <v>1079</v>
      </c>
      <c r="B535" s="107">
        <v>43643</v>
      </c>
      <c r="C535" s="107">
        <v>43643</v>
      </c>
      <c r="D535" s="76" t="s">
        <v>366</v>
      </c>
      <c r="E535" s="76" t="s">
        <v>366</v>
      </c>
      <c r="F535" s="39" t="s">
        <v>2307</v>
      </c>
      <c r="G535" s="399">
        <f>IFERROR(VLOOKUP(A535,醫療院所DATABASE!A:B,2,""),)</f>
        <v>0</v>
      </c>
      <c r="H535" s="64"/>
      <c r="I535" s="109">
        <v>43641</v>
      </c>
      <c r="J535" s="109">
        <v>43643</v>
      </c>
      <c r="K535" s="39" t="s">
        <v>2308</v>
      </c>
      <c r="L535" s="76" t="s">
        <v>2309</v>
      </c>
      <c r="M535" s="39" t="s">
        <v>963</v>
      </c>
      <c r="N535" s="39" t="s">
        <v>62</v>
      </c>
      <c r="O535" s="24"/>
      <c r="P535" s="409" t="s">
        <v>2310</v>
      </c>
      <c r="Q535" s="76" t="s">
        <v>64</v>
      </c>
      <c r="R535" s="76" t="s">
        <v>1885</v>
      </c>
      <c r="S535" s="24"/>
      <c r="T535" s="24"/>
      <c r="U535" s="76" t="s">
        <v>2251</v>
      </c>
      <c r="V535" s="56"/>
      <c r="W535" s="56"/>
      <c r="X535" s="56"/>
      <c r="Y535" s="56"/>
      <c r="Z535" s="56"/>
      <c r="AA535" s="56"/>
      <c r="AB535" s="56"/>
      <c r="AC535" s="56"/>
    </row>
    <row r="536" spans="1:29" ht="15.75" customHeight="1">
      <c r="A536" s="39" t="s">
        <v>1079</v>
      </c>
      <c r="B536" s="107">
        <v>43643</v>
      </c>
      <c r="C536" s="107">
        <v>43643</v>
      </c>
      <c r="D536" s="76" t="s">
        <v>366</v>
      </c>
      <c r="E536" s="76" t="s">
        <v>366</v>
      </c>
      <c r="F536" s="39" t="s">
        <v>2307</v>
      </c>
      <c r="G536" s="399">
        <f>IFERROR(VLOOKUP(A536,醫療院所DATABASE!A:B,2,""),)</f>
        <v>0</v>
      </c>
      <c r="H536" s="64"/>
      <c r="I536" s="109">
        <v>43641</v>
      </c>
      <c r="J536" s="109">
        <v>43643</v>
      </c>
      <c r="K536" s="39" t="s">
        <v>2311</v>
      </c>
      <c r="L536" s="76" t="s">
        <v>2312</v>
      </c>
      <c r="M536" s="39" t="s">
        <v>963</v>
      </c>
      <c r="N536" s="39" t="s">
        <v>62</v>
      </c>
      <c r="O536" s="24"/>
      <c r="P536" s="409" t="s">
        <v>2313</v>
      </c>
      <c r="Q536" s="76" t="s">
        <v>64</v>
      </c>
      <c r="R536" s="76" t="s">
        <v>1885</v>
      </c>
      <c r="S536" s="24"/>
      <c r="T536" s="24"/>
      <c r="U536" s="76" t="s">
        <v>2251</v>
      </c>
      <c r="V536" s="56"/>
      <c r="W536" s="56"/>
      <c r="X536" s="56"/>
      <c r="Y536" s="56"/>
      <c r="Z536" s="56"/>
      <c r="AA536" s="56"/>
      <c r="AB536" s="56"/>
      <c r="AC536" s="56"/>
    </row>
    <row r="537" spans="1:29" ht="15.75" customHeight="1">
      <c r="A537" s="39" t="s">
        <v>2314</v>
      </c>
      <c r="B537" s="107">
        <v>43643</v>
      </c>
      <c r="C537" s="109">
        <v>43647</v>
      </c>
      <c r="D537" s="76" t="s">
        <v>522</v>
      </c>
      <c r="E537" s="76" t="s">
        <v>188</v>
      </c>
      <c r="F537" s="39" t="s">
        <v>2304</v>
      </c>
      <c r="G537" s="399">
        <f>IFERROR(VLOOKUP(A537,醫療院所DATABASE!A:B,2,""),)</f>
        <v>0</v>
      </c>
      <c r="H537" s="64"/>
      <c r="I537" s="109">
        <v>43642</v>
      </c>
      <c r="J537" s="109">
        <v>43644</v>
      </c>
      <c r="K537" s="39" t="s">
        <v>2315</v>
      </c>
      <c r="L537" s="76" t="s">
        <v>2316</v>
      </c>
      <c r="M537" s="39" t="s">
        <v>1955</v>
      </c>
      <c r="N537" s="39" t="s">
        <v>62</v>
      </c>
      <c r="O537" s="24"/>
      <c r="P537" s="409" t="s">
        <v>2317</v>
      </c>
      <c r="Q537" s="76" t="s">
        <v>64</v>
      </c>
      <c r="R537" s="76" t="s">
        <v>1885</v>
      </c>
      <c r="S537" s="24"/>
      <c r="T537" s="24"/>
      <c r="U537" s="64"/>
      <c r="V537" s="56"/>
      <c r="W537" s="56"/>
      <c r="X537" s="56"/>
      <c r="Y537" s="56"/>
      <c r="Z537" s="56"/>
      <c r="AA537" s="56"/>
      <c r="AB537" s="56"/>
      <c r="AC537" s="56"/>
    </row>
    <row r="538" spans="1:29" ht="15.75" customHeight="1">
      <c r="A538" s="39" t="s">
        <v>1849</v>
      </c>
      <c r="B538" s="107">
        <v>43643</v>
      </c>
      <c r="C538" s="109">
        <v>43644</v>
      </c>
      <c r="D538" s="76" t="s">
        <v>522</v>
      </c>
      <c r="E538" s="76" t="s">
        <v>53</v>
      </c>
      <c r="F538" s="39" t="s">
        <v>1745</v>
      </c>
      <c r="G538" s="399">
        <f>IFERROR(VLOOKUP(A538,醫療院所DATABASE!A:B,2,""),)</f>
        <v>0</v>
      </c>
      <c r="H538" s="76" t="s">
        <v>2318</v>
      </c>
      <c r="I538" s="109">
        <v>43642</v>
      </c>
      <c r="J538" s="109">
        <v>43644</v>
      </c>
      <c r="K538" s="39" t="s">
        <v>2319</v>
      </c>
      <c r="L538" s="76" t="s">
        <v>2320</v>
      </c>
      <c r="M538" s="93" t="s">
        <v>641</v>
      </c>
      <c r="N538" s="39" t="s">
        <v>62</v>
      </c>
      <c r="O538" s="24"/>
      <c r="P538" s="409" t="s">
        <v>2321</v>
      </c>
      <c r="Q538" s="76" t="s">
        <v>64</v>
      </c>
      <c r="R538" s="76" t="s">
        <v>1885</v>
      </c>
      <c r="S538" s="24"/>
      <c r="T538" s="24"/>
      <c r="U538" s="64"/>
      <c r="V538" s="56"/>
      <c r="W538" s="56"/>
      <c r="X538" s="56"/>
      <c r="Y538" s="56"/>
      <c r="Z538" s="56"/>
      <c r="AA538" s="56"/>
      <c r="AB538" s="56"/>
      <c r="AC538" s="56"/>
    </row>
    <row r="539" spans="1:29" ht="15.75" customHeight="1">
      <c r="A539" s="39" t="s">
        <v>1849</v>
      </c>
      <c r="B539" s="107">
        <v>43643</v>
      </c>
      <c r="C539" s="109">
        <v>43647</v>
      </c>
      <c r="D539" s="76" t="s">
        <v>522</v>
      </c>
      <c r="E539" s="76" t="s">
        <v>188</v>
      </c>
      <c r="F539" s="39" t="s">
        <v>1745</v>
      </c>
      <c r="G539" s="399">
        <f>IFERROR(VLOOKUP(A539,醫療院所DATABASE!A:B,2,""),)</f>
        <v>0</v>
      </c>
      <c r="H539" s="76" t="s">
        <v>2318</v>
      </c>
      <c r="I539" s="109">
        <v>43642</v>
      </c>
      <c r="J539" s="109">
        <v>43644</v>
      </c>
      <c r="K539" s="39" t="s">
        <v>2322</v>
      </c>
      <c r="L539" s="76" t="s">
        <v>2323</v>
      </c>
      <c r="M539" s="93" t="s">
        <v>641</v>
      </c>
      <c r="N539" s="39" t="s">
        <v>51</v>
      </c>
      <c r="O539" s="24"/>
      <c r="P539" s="409" t="s">
        <v>2324</v>
      </c>
      <c r="Q539" s="76" t="s">
        <v>64</v>
      </c>
      <c r="R539" s="76" t="s">
        <v>1885</v>
      </c>
      <c r="S539" s="24"/>
      <c r="T539" s="24"/>
      <c r="U539" s="64"/>
      <c r="V539" s="56"/>
      <c r="W539" s="56"/>
      <c r="X539" s="56"/>
      <c r="Y539" s="56"/>
      <c r="Z539" s="56"/>
      <c r="AA539" s="56"/>
      <c r="AB539" s="56"/>
      <c r="AC539" s="56"/>
    </row>
    <row r="540" spans="1:29" ht="15.75" customHeight="1">
      <c r="A540" s="39" t="s">
        <v>2325</v>
      </c>
      <c r="B540" s="107">
        <v>43643</v>
      </c>
      <c r="C540" s="109">
        <v>43644</v>
      </c>
      <c r="D540" s="76" t="s">
        <v>53</v>
      </c>
      <c r="E540" s="76" t="s">
        <v>53</v>
      </c>
      <c r="F540" s="39" t="s">
        <v>2326</v>
      </c>
      <c r="G540" s="399">
        <f>IFERROR(VLOOKUP(A540,醫療院所DATABASE!A:B,2,""),)</f>
        <v>0</v>
      </c>
      <c r="H540" s="64"/>
      <c r="I540" s="109">
        <v>43642</v>
      </c>
      <c r="J540" s="109">
        <v>43644</v>
      </c>
      <c r="K540" s="39" t="s">
        <v>2327</v>
      </c>
      <c r="L540" s="76" t="s">
        <v>2328</v>
      </c>
      <c r="M540" s="39" t="s">
        <v>2083</v>
      </c>
      <c r="N540" s="39" t="s">
        <v>62</v>
      </c>
      <c r="O540" s="24"/>
      <c r="P540" s="409" t="s">
        <v>2329</v>
      </c>
      <c r="Q540" s="76" t="s">
        <v>64</v>
      </c>
      <c r="R540" s="76" t="s">
        <v>1885</v>
      </c>
      <c r="S540" s="24"/>
      <c r="T540" s="24"/>
      <c r="U540" s="64"/>
      <c r="V540" s="56"/>
      <c r="W540" s="56"/>
      <c r="X540" s="56"/>
      <c r="Y540" s="56"/>
      <c r="Z540" s="56"/>
      <c r="AA540" s="56"/>
      <c r="AB540" s="56"/>
      <c r="AC540" s="56"/>
    </row>
    <row r="541" spans="1:29" ht="15.75" customHeight="1">
      <c r="A541" s="39" t="s">
        <v>2330</v>
      </c>
      <c r="B541" s="107">
        <v>43643</v>
      </c>
      <c r="C541" s="109">
        <v>43647</v>
      </c>
      <c r="D541" s="76" t="s">
        <v>522</v>
      </c>
      <c r="E541" s="76" t="s">
        <v>188</v>
      </c>
      <c r="F541" s="39" t="s">
        <v>1569</v>
      </c>
      <c r="G541" s="399">
        <f>IFERROR(VLOOKUP(A541,醫療院所DATABASE!A:B,2,""),)</f>
        <v>0</v>
      </c>
      <c r="H541" s="64"/>
      <c r="I541" s="109">
        <v>43642</v>
      </c>
      <c r="J541" s="109">
        <v>43644</v>
      </c>
      <c r="K541" s="39" t="s">
        <v>2331</v>
      </c>
      <c r="L541" s="76" t="s">
        <v>2332</v>
      </c>
      <c r="M541" s="49" t="s">
        <v>61</v>
      </c>
      <c r="N541" s="39" t="s">
        <v>51</v>
      </c>
      <c r="O541" s="24"/>
      <c r="P541" s="409" t="s">
        <v>2333</v>
      </c>
      <c r="Q541" s="76" t="s">
        <v>64</v>
      </c>
      <c r="R541" s="76" t="s">
        <v>1885</v>
      </c>
      <c r="S541" s="24"/>
      <c r="T541" s="24"/>
      <c r="U541" s="64"/>
      <c r="V541" s="56"/>
      <c r="W541" s="56"/>
      <c r="X541" s="56"/>
      <c r="Y541" s="56"/>
      <c r="Z541" s="56"/>
      <c r="AA541" s="56"/>
      <c r="AB541" s="56"/>
      <c r="AC541" s="56"/>
    </row>
    <row r="542" spans="1:29" ht="15.75" customHeight="1">
      <c r="A542" s="39" t="s">
        <v>2330</v>
      </c>
      <c r="B542" s="107">
        <v>43643</v>
      </c>
      <c r="C542" s="109">
        <v>43647</v>
      </c>
      <c r="D542" s="76" t="s">
        <v>522</v>
      </c>
      <c r="E542" s="76" t="s">
        <v>53</v>
      </c>
      <c r="F542" s="39" t="s">
        <v>1569</v>
      </c>
      <c r="G542" s="399">
        <f>IFERROR(VLOOKUP(A542,醫療院所DATABASE!A:B,2,""),)</f>
        <v>0</v>
      </c>
      <c r="H542" s="64"/>
      <c r="I542" s="109">
        <v>43642</v>
      </c>
      <c r="J542" s="109">
        <v>43644</v>
      </c>
      <c r="K542" s="39" t="s">
        <v>2334</v>
      </c>
      <c r="L542" s="76" t="s">
        <v>2335</v>
      </c>
      <c r="M542" s="49" t="s">
        <v>61</v>
      </c>
      <c r="N542" s="39" t="s">
        <v>62</v>
      </c>
      <c r="O542" s="24"/>
      <c r="P542" s="409" t="s">
        <v>2336</v>
      </c>
      <c r="Q542" s="76" t="s">
        <v>64</v>
      </c>
      <c r="R542" s="76" t="s">
        <v>1885</v>
      </c>
      <c r="S542" s="24"/>
      <c r="T542" s="24"/>
      <c r="U542" s="64"/>
      <c r="V542" s="56"/>
      <c r="W542" s="56"/>
      <c r="X542" s="56"/>
      <c r="Y542" s="56"/>
      <c r="Z542" s="56"/>
      <c r="AA542" s="56"/>
      <c r="AB542" s="56"/>
      <c r="AC542" s="56"/>
    </row>
    <row r="543" spans="1:29" ht="15.75" customHeight="1">
      <c r="A543" s="39" t="s">
        <v>2330</v>
      </c>
      <c r="B543" s="107">
        <v>43643</v>
      </c>
      <c r="C543" s="109">
        <v>43647</v>
      </c>
      <c r="D543" s="76" t="s">
        <v>522</v>
      </c>
      <c r="E543" s="76" t="s">
        <v>188</v>
      </c>
      <c r="F543" s="39" t="s">
        <v>1569</v>
      </c>
      <c r="G543" s="399">
        <f>IFERROR(VLOOKUP(A543,醫療院所DATABASE!A:B,2,""),)</f>
        <v>0</v>
      </c>
      <c r="H543" s="64"/>
      <c r="I543" s="109">
        <v>43642</v>
      </c>
      <c r="J543" s="109">
        <v>43644</v>
      </c>
      <c r="K543" s="39" t="s">
        <v>2337</v>
      </c>
      <c r="L543" s="76" t="s">
        <v>2338</v>
      </c>
      <c r="M543" s="49" t="s">
        <v>61</v>
      </c>
      <c r="N543" s="39" t="s">
        <v>51</v>
      </c>
      <c r="O543" s="24"/>
      <c r="P543" s="409" t="s">
        <v>2339</v>
      </c>
      <c r="Q543" s="76" t="s">
        <v>64</v>
      </c>
      <c r="R543" s="76" t="s">
        <v>1885</v>
      </c>
      <c r="S543" s="24"/>
      <c r="T543" s="24"/>
      <c r="U543" s="64"/>
      <c r="V543" s="56"/>
      <c r="W543" s="56"/>
      <c r="X543" s="56"/>
      <c r="Y543" s="56"/>
      <c r="Z543" s="56"/>
      <c r="AA543" s="56"/>
      <c r="AB543" s="56"/>
      <c r="AC543" s="56"/>
    </row>
    <row r="544" spans="1:29" ht="15.75" customHeight="1">
      <c r="A544" s="39" t="s">
        <v>2330</v>
      </c>
      <c r="B544" s="107">
        <v>43643</v>
      </c>
      <c r="C544" s="109">
        <v>43644</v>
      </c>
      <c r="D544" s="76" t="s">
        <v>522</v>
      </c>
      <c r="E544" s="76" t="s">
        <v>53</v>
      </c>
      <c r="F544" s="39" t="s">
        <v>1569</v>
      </c>
      <c r="G544" s="399">
        <f>IFERROR(VLOOKUP(A544,醫療院所DATABASE!A:B,2,""),)</f>
        <v>0</v>
      </c>
      <c r="H544" s="64"/>
      <c r="I544" s="109">
        <v>43642</v>
      </c>
      <c r="J544" s="109">
        <v>43644</v>
      </c>
      <c r="K544" s="39" t="s">
        <v>2340</v>
      </c>
      <c r="L544" s="76" t="s">
        <v>2341</v>
      </c>
      <c r="M544" s="49" t="s">
        <v>61</v>
      </c>
      <c r="N544" s="39" t="s">
        <v>62</v>
      </c>
      <c r="O544" s="24"/>
      <c r="P544" s="409" t="s">
        <v>2342</v>
      </c>
      <c r="Q544" s="76" t="s">
        <v>64</v>
      </c>
      <c r="R544" s="76" t="s">
        <v>1885</v>
      </c>
      <c r="S544" s="24"/>
      <c r="T544" s="24"/>
      <c r="U544" s="64"/>
      <c r="V544" s="56"/>
      <c r="W544" s="56"/>
      <c r="X544" s="56"/>
      <c r="Y544" s="56"/>
      <c r="Z544" s="56"/>
      <c r="AA544" s="56"/>
      <c r="AB544" s="56"/>
      <c r="AC544" s="56"/>
    </row>
    <row r="545" spans="1:29" ht="15.75" customHeight="1">
      <c r="A545" s="39" t="s">
        <v>2343</v>
      </c>
      <c r="B545" s="107">
        <v>43643</v>
      </c>
      <c r="C545" s="109">
        <v>43647</v>
      </c>
      <c r="D545" s="159" t="s">
        <v>1910</v>
      </c>
      <c r="E545" s="76" t="s">
        <v>188</v>
      </c>
      <c r="F545" s="39" t="s">
        <v>1911</v>
      </c>
      <c r="G545" s="399">
        <f>IFERROR(VLOOKUP(A545,醫療院所DATABASE!A:B,2,""),)</f>
        <v>0</v>
      </c>
      <c r="H545" s="64"/>
      <c r="I545" s="109">
        <v>43642</v>
      </c>
      <c r="J545" s="109">
        <v>43644</v>
      </c>
      <c r="K545" s="39" t="s">
        <v>2344</v>
      </c>
      <c r="L545" s="76" t="s">
        <v>2345</v>
      </c>
      <c r="M545" s="49" t="s">
        <v>61</v>
      </c>
      <c r="N545" s="39" t="s">
        <v>51</v>
      </c>
      <c r="O545" s="24"/>
      <c r="P545" s="409" t="s">
        <v>2346</v>
      </c>
      <c r="Q545" s="76" t="s">
        <v>64</v>
      </c>
      <c r="R545" s="76" t="s">
        <v>1885</v>
      </c>
      <c r="S545" s="24"/>
      <c r="T545" s="24"/>
      <c r="U545" s="64"/>
      <c r="V545" s="56"/>
      <c r="W545" s="56"/>
      <c r="X545" s="56"/>
      <c r="Y545" s="56"/>
      <c r="Z545" s="56"/>
      <c r="AA545" s="56"/>
      <c r="AB545" s="56"/>
      <c r="AC545" s="56"/>
    </row>
    <row r="546" spans="1:29" ht="15.75" customHeight="1">
      <c r="A546" s="39" t="s">
        <v>2283</v>
      </c>
      <c r="B546" s="107">
        <v>43643</v>
      </c>
      <c r="C546" s="109">
        <v>43647</v>
      </c>
      <c r="D546" s="159" t="s">
        <v>479</v>
      </c>
      <c r="E546" s="76" t="s">
        <v>53</v>
      </c>
      <c r="F546" s="39" t="s">
        <v>2284</v>
      </c>
      <c r="G546" s="399">
        <f>IFERROR(VLOOKUP(A546,醫療院所DATABASE!A:B,2,""),)</f>
        <v>0</v>
      </c>
      <c r="H546" s="64"/>
      <c r="I546" s="109">
        <v>43642</v>
      </c>
      <c r="J546" s="109">
        <v>43644</v>
      </c>
      <c r="K546" s="39" t="s">
        <v>2347</v>
      </c>
      <c r="L546" s="76" t="s">
        <v>2348</v>
      </c>
      <c r="M546" s="49" t="s">
        <v>61</v>
      </c>
      <c r="N546" s="39" t="s">
        <v>51</v>
      </c>
      <c r="O546" s="24"/>
      <c r="P546" s="409" t="s">
        <v>2349</v>
      </c>
      <c r="Q546" s="76" t="s">
        <v>64</v>
      </c>
      <c r="R546" s="76" t="s">
        <v>1885</v>
      </c>
      <c r="S546" s="24"/>
      <c r="T546" s="24"/>
      <c r="U546" s="64"/>
      <c r="V546" s="56"/>
      <c r="W546" s="56"/>
      <c r="X546" s="56"/>
      <c r="Y546" s="56"/>
      <c r="Z546" s="56"/>
      <c r="AA546" s="56"/>
      <c r="AB546" s="56"/>
      <c r="AC546" s="56"/>
    </row>
    <row r="547" spans="1:29" ht="15.75" customHeight="1">
      <c r="A547" s="39" t="s">
        <v>2283</v>
      </c>
      <c r="B547" s="107">
        <v>43643</v>
      </c>
      <c r="C547" s="109">
        <v>43647</v>
      </c>
      <c r="D547" s="159" t="s">
        <v>479</v>
      </c>
      <c r="E547" s="76" t="s">
        <v>188</v>
      </c>
      <c r="F547" s="39" t="s">
        <v>2284</v>
      </c>
      <c r="G547" s="399">
        <f>IFERROR(VLOOKUP(A547,醫療院所DATABASE!A:B,2,""),)</f>
        <v>0</v>
      </c>
      <c r="H547" s="64"/>
      <c r="I547" s="109">
        <v>43642</v>
      </c>
      <c r="J547" s="109">
        <v>43644</v>
      </c>
      <c r="K547" s="39" t="s">
        <v>2350</v>
      </c>
      <c r="L547" s="76" t="s">
        <v>2351</v>
      </c>
      <c r="M547" s="49" t="s">
        <v>61</v>
      </c>
      <c r="N547" s="39" t="s">
        <v>51</v>
      </c>
      <c r="O547" s="24"/>
      <c r="P547" s="409" t="s">
        <v>2352</v>
      </c>
      <c r="Q547" s="76" t="s">
        <v>64</v>
      </c>
      <c r="R547" s="76" t="s">
        <v>1885</v>
      </c>
      <c r="S547" s="24"/>
      <c r="T547" s="24"/>
      <c r="U547" s="64"/>
      <c r="V547" s="56"/>
      <c r="W547" s="56"/>
      <c r="X547" s="56"/>
      <c r="Y547" s="56"/>
      <c r="Z547" s="56"/>
      <c r="AA547" s="56"/>
      <c r="AB547" s="56"/>
      <c r="AC547" s="56"/>
    </row>
    <row r="548" spans="1:29" ht="15.75" customHeight="1">
      <c r="A548" s="39" t="s">
        <v>2283</v>
      </c>
      <c r="B548" s="107">
        <v>43644</v>
      </c>
      <c r="C548" s="109">
        <v>43647</v>
      </c>
      <c r="D548" s="159" t="s">
        <v>479</v>
      </c>
      <c r="E548" s="76" t="s">
        <v>53</v>
      </c>
      <c r="F548" s="39" t="s">
        <v>2284</v>
      </c>
      <c r="G548" s="399">
        <f>IFERROR(VLOOKUP(A548,醫療院所DATABASE!A:B,2,""),)</f>
        <v>0</v>
      </c>
      <c r="H548" s="64"/>
      <c r="I548" s="109">
        <v>43642</v>
      </c>
      <c r="J548" s="109">
        <v>43644</v>
      </c>
      <c r="K548" s="39" t="s">
        <v>2353</v>
      </c>
      <c r="L548" s="76" t="s">
        <v>2354</v>
      </c>
      <c r="M548" s="49" t="s">
        <v>61</v>
      </c>
      <c r="N548" s="39" t="s">
        <v>51</v>
      </c>
      <c r="O548" s="24"/>
      <c r="P548" s="409" t="s">
        <v>2355</v>
      </c>
      <c r="Q548" s="76" t="s">
        <v>64</v>
      </c>
      <c r="R548" s="76" t="s">
        <v>1885</v>
      </c>
      <c r="S548" s="24"/>
      <c r="T548" s="24"/>
      <c r="U548" s="64"/>
      <c r="V548" s="56"/>
      <c r="W548" s="56"/>
      <c r="X548" s="56"/>
      <c r="Y548" s="56"/>
      <c r="Z548" s="56"/>
      <c r="AA548" s="56"/>
      <c r="AB548" s="56"/>
      <c r="AC548" s="56"/>
    </row>
    <row r="549" spans="1:29" ht="15.75" customHeight="1">
      <c r="A549" s="39" t="s">
        <v>2283</v>
      </c>
      <c r="B549" s="107">
        <v>43643</v>
      </c>
      <c r="C549" s="109">
        <v>43647</v>
      </c>
      <c r="D549" s="159" t="s">
        <v>479</v>
      </c>
      <c r="E549" s="76" t="s">
        <v>188</v>
      </c>
      <c r="F549" s="39" t="s">
        <v>2284</v>
      </c>
      <c r="G549" s="399">
        <f>IFERROR(VLOOKUP(A549,醫療院所DATABASE!A:B,2,""),)</f>
        <v>0</v>
      </c>
      <c r="H549" s="64"/>
      <c r="I549" s="109">
        <v>43642</v>
      </c>
      <c r="J549" s="109">
        <v>43644</v>
      </c>
      <c r="K549" s="39" t="s">
        <v>2356</v>
      </c>
      <c r="L549" s="76" t="s">
        <v>2357</v>
      </c>
      <c r="M549" s="49" t="s">
        <v>61</v>
      </c>
      <c r="N549" s="39" t="s">
        <v>51</v>
      </c>
      <c r="O549" s="24"/>
      <c r="P549" s="409" t="s">
        <v>2358</v>
      </c>
      <c r="Q549" s="76" t="s">
        <v>64</v>
      </c>
      <c r="R549" s="76" t="s">
        <v>1885</v>
      </c>
      <c r="S549" s="24"/>
      <c r="T549" s="24"/>
      <c r="U549" s="64"/>
      <c r="V549" s="56"/>
      <c r="W549" s="56"/>
      <c r="X549" s="56"/>
      <c r="Y549" s="56"/>
      <c r="Z549" s="56"/>
      <c r="AA549" s="56"/>
      <c r="AB549" s="56"/>
      <c r="AC549" s="56"/>
    </row>
    <row r="550" spans="1:29" ht="15.75" customHeight="1">
      <c r="A550" s="39" t="s">
        <v>2283</v>
      </c>
      <c r="B550" s="107">
        <v>43643</v>
      </c>
      <c r="C550" s="109">
        <v>43647</v>
      </c>
      <c r="D550" s="159" t="s">
        <v>479</v>
      </c>
      <c r="E550" s="76" t="s">
        <v>53</v>
      </c>
      <c r="F550" s="39" t="s">
        <v>2284</v>
      </c>
      <c r="G550" s="399">
        <f>IFERROR(VLOOKUP(A550,醫療院所DATABASE!A:B,2,""),)</f>
        <v>0</v>
      </c>
      <c r="H550" s="64"/>
      <c r="I550" s="109">
        <v>43642</v>
      </c>
      <c r="J550" s="109">
        <v>43644</v>
      </c>
      <c r="K550" s="39" t="s">
        <v>2359</v>
      </c>
      <c r="L550" s="76" t="s">
        <v>2360</v>
      </c>
      <c r="M550" s="49" t="s">
        <v>61</v>
      </c>
      <c r="N550" s="39" t="s">
        <v>51</v>
      </c>
      <c r="O550" s="24"/>
      <c r="P550" s="409" t="s">
        <v>2361</v>
      </c>
      <c r="Q550" s="76" t="s">
        <v>64</v>
      </c>
      <c r="R550" s="76" t="s">
        <v>1885</v>
      </c>
      <c r="S550" s="24"/>
      <c r="T550" s="24"/>
      <c r="U550" s="64"/>
      <c r="V550" s="56"/>
      <c r="W550" s="56"/>
      <c r="X550" s="56"/>
      <c r="Y550" s="56"/>
      <c r="Z550" s="56"/>
      <c r="AA550" s="56"/>
      <c r="AB550" s="56"/>
      <c r="AC550" s="56"/>
    </row>
    <row r="551" spans="1:29" ht="15.75" customHeight="1">
      <c r="A551" s="39" t="s">
        <v>2283</v>
      </c>
      <c r="B551" s="107">
        <v>43643</v>
      </c>
      <c r="C551" s="109">
        <v>43647</v>
      </c>
      <c r="D551" s="159" t="s">
        <v>479</v>
      </c>
      <c r="E551" s="76" t="s">
        <v>188</v>
      </c>
      <c r="F551" s="39" t="s">
        <v>2284</v>
      </c>
      <c r="G551" s="399">
        <f>IFERROR(VLOOKUP(A551,醫療院所DATABASE!A:B,2,""),)</f>
        <v>0</v>
      </c>
      <c r="H551" s="64"/>
      <c r="I551" s="109">
        <v>43642</v>
      </c>
      <c r="J551" s="109">
        <v>43644</v>
      </c>
      <c r="K551" s="39" t="s">
        <v>2362</v>
      </c>
      <c r="L551" s="76" t="s">
        <v>2363</v>
      </c>
      <c r="M551" s="49" t="s">
        <v>61</v>
      </c>
      <c r="N551" s="39" t="s">
        <v>62</v>
      </c>
      <c r="O551" s="24"/>
      <c r="P551" s="409" t="s">
        <v>2364</v>
      </c>
      <c r="Q551" s="76" t="s">
        <v>64</v>
      </c>
      <c r="R551" s="76" t="s">
        <v>1885</v>
      </c>
      <c r="S551" s="24"/>
      <c r="T551" s="24"/>
      <c r="U551" s="64"/>
      <c r="V551" s="56"/>
      <c r="W551" s="56"/>
      <c r="X551" s="56"/>
      <c r="Y551" s="56"/>
      <c r="Z551" s="56"/>
      <c r="AA551" s="56"/>
      <c r="AB551" s="56"/>
      <c r="AC551" s="56"/>
    </row>
    <row r="552" spans="1:29" ht="15.75" customHeight="1">
      <c r="A552" s="39">
        <v>19062503</v>
      </c>
      <c r="B552" s="107">
        <v>43644</v>
      </c>
      <c r="C552" s="109">
        <v>43647</v>
      </c>
      <c r="D552" s="159" t="s">
        <v>2365</v>
      </c>
      <c r="E552" s="76" t="s">
        <v>53</v>
      </c>
      <c r="F552" s="129" t="s">
        <v>353</v>
      </c>
      <c r="G552" s="399">
        <f>IFERROR(VLOOKUP(A552,醫療院所DATABASE!A:B,2,""),)</f>
        <v>0</v>
      </c>
      <c r="H552" s="64"/>
      <c r="I552" s="109">
        <v>43643</v>
      </c>
      <c r="J552" s="109">
        <v>43647</v>
      </c>
      <c r="K552" s="39" t="s">
        <v>431</v>
      </c>
      <c r="L552" s="76" t="s">
        <v>432</v>
      </c>
      <c r="M552" s="49" t="s">
        <v>61</v>
      </c>
      <c r="N552" s="39" t="s">
        <v>51</v>
      </c>
      <c r="O552" s="24"/>
      <c r="P552" s="409" t="s">
        <v>2366</v>
      </c>
      <c r="Q552" s="76" t="s">
        <v>64</v>
      </c>
      <c r="R552" s="76" t="s">
        <v>1885</v>
      </c>
      <c r="S552" s="24"/>
      <c r="T552" s="24"/>
      <c r="U552" s="64"/>
      <c r="V552" s="56"/>
      <c r="W552" s="56"/>
      <c r="X552" s="56"/>
      <c r="Y552" s="56"/>
      <c r="Z552" s="56"/>
      <c r="AA552" s="56"/>
      <c r="AB552" s="56"/>
      <c r="AC552" s="56"/>
    </row>
    <row r="553" spans="1:29" ht="15.75" customHeight="1">
      <c r="A553" s="39" t="s">
        <v>2343</v>
      </c>
      <c r="B553" s="107">
        <v>43644</v>
      </c>
      <c r="C553" s="109">
        <v>43647</v>
      </c>
      <c r="D553" s="159" t="s">
        <v>1910</v>
      </c>
      <c r="E553" s="76" t="s">
        <v>188</v>
      </c>
      <c r="F553" s="39" t="s">
        <v>1911</v>
      </c>
      <c r="G553" s="399">
        <f>IFERROR(VLOOKUP(A553,醫療院所DATABASE!A:B,2,""),)</f>
        <v>0</v>
      </c>
      <c r="H553" s="64"/>
      <c r="I553" s="109">
        <v>43643</v>
      </c>
      <c r="J553" s="109">
        <v>43647</v>
      </c>
      <c r="K553" s="39" t="s">
        <v>2367</v>
      </c>
      <c r="L553" s="76" t="s">
        <v>2368</v>
      </c>
      <c r="M553" s="49" t="s">
        <v>61</v>
      </c>
      <c r="N553" s="39" t="s">
        <v>51</v>
      </c>
      <c r="O553" s="24"/>
      <c r="P553" s="409" t="s">
        <v>2369</v>
      </c>
      <c r="Q553" s="76" t="s">
        <v>64</v>
      </c>
      <c r="R553" s="76" t="s">
        <v>1885</v>
      </c>
      <c r="S553" s="24"/>
      <c r="T553" s="24"/>
      <c r="U553" s="64"/>
      <c r="V553" s="56"/>
      <c r="W553" s="56"/>
      <c r="X553" s="56"/>
      <c r="Y553" s="56"/>
      <c r="Z553" s="56"/>
      <c r="AA553" s="56"/>
      <c r="AB553" s="56"/>
      <c r="AC553" s="56"/>
    </row>
    <row r="554" spans="1:29" ht="15.75" customHeight="1">
      <c r="A554" s="39" t="s">
        <v>2343</v>
      </c>
      <c r="B554" s="107">
        <v>43644</v>
      </c>
      <c r="C554" s="109">
        <v>43647</v>
      </c>
      <c r="D554" s="159" t="s">
        <v>1910</v>
      </c>
      <c r="E554" s="76" t="s">
        <v>53</v>
      </c>
      <c r="F554" s="39" t="s">
        <v>1911</v>
      </c>
      <c r="G554" s="399">
        <f>IFERROR(VLOOKUP(A554,醫療院所DATABASE!A:B,2,""),)</f>
        <v>0</v>
      </c>
      <c r="H554" s="64"/>
      <c r="I554" s="109">
        <v>43643</v>
      </c>
      <c r="J554" s="109">
        <v>43647</v>
      </c>
      <c r="K554" s="39" t="s">
        <v>2370</v>
      </c>
      <c r="L554" s="76" t="s">
        <v>2371</v>
      </c>
      <c r="M554" s="49" t="s">
        <v>61</v>
      </c>
      <c r="N554" s="39" t="s">
        <v>62</v>
      </c>
      <c r="O554" s="24"/>
      <c r="P554" s="409" t="s">
        <v>2372</v>
      </c>
      <c r="Q554" s="76" t="s">
        <v>64</v>
      </c>
      <c r="R554" s="76" t="s">
        <v>1885</v>
      </c>
      <c r="S554" s="24"/>
      <c r="T554" s="24"/>
      <c r="U554" s="64"/>
      <c r="V554" s="56"/>
      <c r="W554" s="56"/>
      <c r="X554" s="56"/>
      <c r="Y554" s="56"/>
      <c r="Z554" s="56"/>
      <c r="AA554" s="56"/>
      <c r="AB554" s="56"/>
      <c r="AC554" s="56"/>
    </row>
    <row r="555" spans="1:29" ht="15.75" customHeight="1">
      <c r="A555" s="39" t="s">
        <v>2283</v>
      </c>
      <c r="B555" s="107">
        <v>43644</v>
      </c>
      <c r="C555" s="109">
        <v>43647</v>
      </c>
      <c r="D555" s="159" t="s">
        <v>479</v>
      </c>
      <c r="E555" s="76" t="s">
        <v>188</v>
      </c>
      <c r="F555" s="39" t="s">
        <v>2284</v>
      </c>
      <c r="G555" s="399">
        <f>IFERROR(VLOOKUP(A555,醫療院所DATABASE!A:B,2,""),)</f>
        <v>0</v>
      </c>
      <c r="H555" s="64"/>
      <c r="I555" s="109">
        <v>43643</v>
      </c>
      <c r="J555" s="109">
        <v>43647</v>
      </c>
      <c r="K555" s="39" t="s">
        <v>2373</v>
      </c>
      <c r="L555" s="76" t="s">
        <v>2374</v>
      </c>
      <c r="M555" s="49" t="s">
        <v>61</v>
      </c>
      <c r="N555" s="39" t="s">
        <v>62</v>
      </c>
      <c r="O555" s="24"/>
      <c r="P555" s="409" t="s">
        <v>2375</v>
      </c>
      <c r="Q555" s="76" t="s">
        <v>64</v>
      </c>
      <c r="R555" s="76" t="s">
        <v>1885</v>
      </c>
      <c r="S555" s="24"/>
      <c r="T555" s="24"/>
      <c r="U555" s="64"/>
      <c r="V555" s="56"/>
      <c r="W555" s="56"/>
      <c r="X555" s="56"/>
      <c r="Y555" s="56"/>
      <c r="Z555" s="56"/>
      <c r="AA555" s="56"/>
      <c r="AB555" s="56"/>
      <c r="AC555" s="56"/>
    </row>
    <row r="556" spans="1:29" ht="15.75" customHeight="1">
      <c r="A556" s="39" t="s">
        <v>2283</v>
      </c>
      <c r="B556" s="107">
        <v>43644</v>
      </c>
      <c r="C556" s="109">
        <v>43647</v>
      </c>
      <c r="D556" s="76" t="s">
        <v>479</v>
      </c>
      <c r="E556" s="76" t="s">
        <v>53</v>
      </c>
      <c r="F556" s="39" t="s">
        <v>2284</v>
      </c>
      <c r="G556" s="399">
        <f>IFERROR(VLOOKUP(A556,醫療院所DATABASE!A:B,2,""),)</f>
        <v>0</v>
      </c>
      <c r="H556" s="64"/>
      <c r="I556" s="109">
        <v>43643</v>
      </c>
      <c r="J556" s="109">
        <v>43647</v>
      </c>
      <c r="K556" s="39" t="s">
        <v>2376</v>
      </c>
      <c r="L556" s="76" t="s">
        <v>2377</v>
      </c>
      <c r="M556" s="49" t="s">
        <v>61</v>
      </c>
      <c r="N556" s="39" t="s">
        <v>62</v>
      </c>
      <c r="O556" s="24"/>
      <c r="P556" s="409" t="s">
        <v>2378</v>
      </c>
      <c r="Q556" s="76" t="s">
        <v>64</v>
      </c>
      <c r="R556" s="76" t="s">
        <v>1885</v>
      </c>
      <c r="S556" s="24"/>
      <c r="T556" s="24"/>
      <c r="U556" s="64"/>
      <c r="V556" s="56"/>
      <c r="W556" s="56"/>
      <c r="X556" s="56"/>
      <c r="Y556" s="56"/>
      <c r="Z556" s="56"/>
      <c r="AA556" s="56"/>
      <c r="AB556" s="56"/>
      <c r="AC556" s="56"/>
    </row>
    <row r="557" spans="1:29" ht="15.75" customHeight="1">
      <c r="A557" s="39" t="s">
        <v>2283</v>
      </c>
      <c r="B557" s="107">
        <v>43644</v>
      </c>
      <c r="C557" s="109">
        <v>43647</v>
      </c>
      <c r="D557" s="76" t="s">
        <v>479</v>
      </c>
      <c r="E557" s="76" t="s">
        <v>188</v>
      </c>
      <c r="F557" s="39" t="s">
        <v>2284</v>
      </c>
      <c r="G557" s="399">
        <f>IFERROR(VLOOKUP(A557,醫療院所DATABASE!A:B,2,""),)</f>
        <v>0</v>
      </c>
      <c r="H557" s="64"/>
      <c r="I557" s="109">
        <v>43643</v>
      </c>
      <c r="J557" s="109">
        <v>43647</v>
      </c>
      <c r="K557" s="39" t="s">
        <v>2379</v>
      </c>
      <c r="L557" s="76" t="s">
        <v>2380</v>
      </c>
      <c r="M557" s="49" t="s">
        <v>61</v>
      </c>
      <c r="N557" s="39" t="s">
        <v>62</v>
      </c>
      <c r="O557" s="24"/>
      <c r="P557" s="409" t="s">
        <v>2381</v>
      </c>
      <c r="Q557" s="76" t="s">
        <v>64</v>
      </c>
      <c r="R557" s="76" t="s">
        <v>1885</v>
      </c>
      <c r="S557" s="24"/>
      <c r="T557" s="24"/>
      <c r="U557" s="64"/>
      <c r="V557" s="56"/>
      <c r="W557" s="56"/>
      <c r="X557" s="56"/>
      <c r="Y557" s="56"/>
      <c r="Z557" s="56"/>
      <c r="AA557" s="56"/>
      <c r="AB557" s="56"/>
      <c r="AC557" s="56"/>
    </row>
    <row r="558" spans="1:29" ht="15.75" customHeight="1">
      <c r="A558" s="39" t="s">
        <v>2283</v>
      </c>
      <c r="B558" s="107">
        <v>43644</v>
      </c>
      <c r="C558" s="109">
        <v>43647</v>
      </c>
      <c r="D558" s="76" t="s">
        <v>479</v>
      </c>
      <c r="E558" s="76" t="s">
        <v>53</v>
      </c>
      <c r="F558" s="39" t="s">
        <v>2284</v>
      </c>
      <c r="G558" s="399">
        <f>IFERROR(VLOOKUP(A558,醫療院所DATABASE!A:B,2,""),)</f>
        <v>0</v>
      </c>
      <c r="H558" s="64"/>
      <c r="I558" s="109">
        <v>43643</v>
      </c>
      <c r="J558" s="109">
        <v>43647</v>
      </c>
      <c r="K558" s="39" t="s">
        <v>2382</v>
      </c>
      <c r="L558" s="76" t="s">
        <v>2383</v>
      </c>
      <c r="M558" s="49" t="s">
        <v>61</v>
      </c>
      <c r="N558" s="39" t="s">
        <v>51</v>
      </c>
      <c r="O558" s="24"/>
      <c r="P558" s="409" t="s">
        <v>2384</v>
      </c>
      <c r="Q558" s="76" t="s">
        <v>64</v>
      </c>
      <c r="R558" s="76" t="s">
        <v>1885</v>
      </c>
      <c r="S558" s="24"/>
      <c r="T558" s="24"/>
      <c r="U558" s="64"/>
      <c r="V558" s="56"/>
      <c r="W558" s="56"/>
      <c r="X558" s="56"/>
      <c r="Y558" s="56"/>
      <c r="Z558" s="56"/>
      <c r="AA558" s="56"/>
      <c r="AB558" s="56"/>
      <c r="AC558" s="56"/>
    </row>
    <row r="559" spans="1:29" ht="15.75" customHeight="1">
      <c r="A559" s="39" t="s">
        <v>2283</v>
      </c>
      <c r="B559" s="107">
        <v>43644</v>
      </c>
      <c r="C559" s="109">
        <v>43647</v>
      </c>
      <c r="D559" s="76" t="s">
        <v>479</v>
      </c>
      <c r="E559" s="76" t="s">
        <v>188</v>
      </c>
      <c r="F559" s="39" t="s">
        <v>2284</v>
      </c>
      <c r="G559" s="399">
        <f>IFERROR(VLOOKUP(A559,醫療院所DATABASE!A:B,2,""),)</f>
        <v>0</v>
      </c>
      <c r="H559" s="64"/>
      <c r="I559" s="109">
        <v>43643</v>
      </c>
      <c r="J559" s="109">
        <v>43647</v>
      </c>
      <c r="K559" s="39" t="s">
        <v>2385</v>
      </c>
      <c r="L559" s="76" t="s">
        <v>2386</v>
      </c>
      <c r="M559" s="49" t="s">
        <v>61</v>
      </c>
      <c r="N559" s="39" t="s">
        <v>51</v>
      </c>
      <c r="O559" s="24"/>
      <c r="P559" s="409" t="s">
        <v>2387</v>
      </c>
      <c r="Q559" s="76" t="s">
        <v>64</v>
      </c>
      <c r="R559" s="76" t="s">
        <v>1885</v>
      </c>
      <c r="S559" s="24"/>
      <c r="T559" s="24"/>
      <c r="U559" s="64"/>
      <c r="V559" s="56"/>
      <c r="W559" s="56"/>
      <c r="X559" s="56"/>
      <c r="Y559" s="56"/>
      <c r="Z559" s="56"/>
      <c r="AA559" s="56"/>
      <c r="AB559" s="56"/>
      <c r="AC559" s="56"/>
    </row>
    <row r="560" spans="1:29" ht="15.75" customHeight="1">
      <c r="A560" s="39" t="s">
        <v>2283</v>
      </c>
      <c r="B560" s="107">
        <v>43644</v>
      </c>
      <c r="C560" s="109">
        <v>43647</v>
      </c>
      <c r="D560" s="76" t="s">
        <v>479</v>
      </c>
      <c r="E560" s="76" t="s">
        <v>53</v>
      </c>
      <c r="F560" s="39" t="s">
        <v>2284</v>
      </c>
      <c r="G560" s="399">
        <f>IFERROR(VLOOKUP(A560,醫療院所DATABASE!A:B,2,""),)</f>
        <v>0</v>
      </c>
      <c r="H560" s="64"/>
      <c r="I560" s="109">
        <v>43643</v>
      </c>
      <c r="J560" s="109">
        <v>43647</v>
      </c>
      <c r="K560" s="39" t="s">
        <v>2388</v>
      </c>
      <c r="L560" s="76" t="s">
        <v>2389</v>
      </c>
      <c r="M560" s="49" t="s">
        <v>61</v>
      </c>
      <c r="N560" s="39" t="s">
        <v>51</v>
      </c>
      <c r="O560" s="24"/>
      <c r="P560" s="409" t="s">
        <v>2390</v>
      </c>
      <c r="Q560" s="76" t="s">
        <v>64</v>
      </c>
      <c r="R560" s="76" t="s">
        <v>1885</v>
      </c>
      <c r="S560" s="24"/>
      <c r="T560" s="24"/>
      <c r="U560" s="64"/>
      <c r="V560" s="56"/>
      <c r="W560" s="56"/>
      <c r="X560" s="56"/>
      <c r="Y560" s="56"/>
      <c r="Z560" s="56"/>
      <c r="AA560" s="56"/>
      <c r="AB560" s="56"/>
      <c r="AC560" s="56"/>
    </row>
    <row r="561" spans="1:29" ht="15.75" customHeight="1">
      <c r="A561" s="39" t="s">
        <v>2283</v>
      </c>
      <c r="B561" s="107">
        <v>43644</v>
      </c>
      <c r="C561" s="109">
        <v>43647</v>
      </c>
      <c r="D561" s="76" t="s">
        <v>479</v>
      </c>
      <c r="E561" s="76" t="s">
        <v>188</v>
      </c>
      <c r="F561" s="39" t="s">
        <v>2284</v>
      </c>
      <c r="G561" s="399">
        <f>IFERROR(VLOOKUP(A561,醫療院所DATABASE!A:B,2,""),)</f>
        <v>0</v>
      </c>
      <c r="H561" s="64"/>
      <c r="I561" s="109">
        <v>43643</v>
      </c>
      <c r="J561" s="109">
        <v>43647</v>
      </c>
      <c r="K561" s="39" t="s">
        <v>2391</v>
      </c>
      <c r="L561" s="76" t="s">
        <v>2392</v>
      </c>
      <c r="M561" s="49" t="s">
        <v>61</v>
      </c>
      <c r="N561" s="39" t="s">
        <v>62</v>
      </c>
      <c r="O561" s="24"/>
      <c r="P561" s="409" t="s">
        <v>2393</v>
      </c>
      <c r="Q561" s="76" t="s">
        <v>64</v>
      </c>
      <c r="R561" s="76" t="s">
        <v>1885</v>
      </c>
      <c r="S561" s="24"/>
      <c r="T561" s="24"/>
      <c r="U561" s="64"/>
      <c r="V561" s="56"/>
      <c r="W561" s="56"/>
      <c r="X561" s="56"/>
      <c r="Y561" s="56"/>
      <c r="Z561" s="56"/>
      <c r="AA561" s="56"/>
      <c r="AB561" s="56"/>
      <c r="AC561" s="56"/>
    </row>
    <row r="562" spans="1:29" ht="15.75" customHeight="1">
      <c r="A562" s="39" t="s">
        <v>2283</v>
      </c>
      <c r="B562" s="107">
        <v>43644</v>
      </c>
      <c r="C562" s="109">
        <v>43647</v>
      </c>
      <c r="D562" s="76" t="s">
        <v>479</v>
      </c>
      <c r="E562" s="76" t="s">
        <v>53</v>
      </c>
      <c r="F562" s="39" t="s">
        <v>2284</v>
      </c>
      <c r="G562" s="399">
        <f>IFERROR(VLOOKUP(A562,醫療院所DATABASE!A:B,2,""),)</f>
        <v>0</v>
      </c>
      <c r="H562" s="64"/>
      <c r="I562" s="109">
        <v>43643</v>
      </c>
      <c r="J562" s="109">
        <v>43647</v>
      </c>
      <c r="K562" s="39" t="s">
        <v>2394</v>
      </c>
      <c r="L562" s="76" t="s">
        <v>2395</v>
      </c>
      <c r="M562" s="49" t="s">
        <v>61</v>
      </c>
      <c r="N562" s="39" t="s">
        <v>51</v>
      </c>
      <c r="O562" s="24"/>
      <c r="P562" s="409" t="s">
        <v>2396</v>
      </c>
      <c r="Q562" s="76" t="s">
        <v>64</v>
      </c>
      <c r="R562" s="76" t="s">
        <v>1885</v>
      </c>
      <c r="S562" s="24"/>
      <c r="T562" s="24"/>
      <c r="U562" s="64"/>
      <c r="V562" s="56"/>
      <c r="W562" s="56"/>
      <c r="X562" s="56"/>
      <c r="Y562" s="56"/>
      <c r="Z562" s="56"/>
      <c r="AA562" s="56"/>
      <c r="AB562" s="56"/>
      <c r="AC562" s="56"/>
    </row>
    <row r="563" spans="1:29" ht="15.75" customHeight="1">
      <c r="A563" s="39" t="s">
        <v>2283</v>
      </c>
      <c r="B563" s="107">
        <v>43644</v>
      </c>
      <c r="C563" s="109">
        <v>43647</v>
      </c>
      <c r="D563" s="159" t="s">
        <v>479</v>
      </c>
      <c r="E563" s="76" t="s">
        <v>188</v>
      </c>
      <c r="F563" s="39" t="s">
        <v>2284</v>
      </c>
      <c r="G563" s="399">
        <f>IFERROR(VLOOKUP(A563,醫療院所DATABASE!A:B,2,""),)</f>
        <v>0</v>
      </c>
      <c r="H563" s="64"/>
      <c r="I563" s="109">
        <v>43643</v>
      </c>
      <c r="J563" s="109">
        <v>43647</v>
      </c>
      <c r="K563" s="39" t="s">
        <v>2397</v>
      </c>
      <c r="L563" s="76" t="s">
        <v>2398</v>
      </c>
      <c r="M563" s="49" t="s">
        <v>61</v>
      </c>
      <c r="N563" s="39" t="s">
        <v>62</v>
      </c>
      <c r="O563" s="24"/>
      <c r="P563" s="409" t="s">
        <v>2399</v>
      </c>
      <c r="Q563" s="76" t="s">
        <v>64</v>
      </c>
      <c r="R563" s="76" t="s">
        <v>1885</v>
      </c>
      <c r="S563" s="24"/>
      <c r="T563" s="24"/>
      <c r="U563" s="64"/>
      <c r="V563" s="56"/>
      <c r="W563" s="56"/>
      <c r="X563" s="56"/>
      <c r="Y563" s="56"/>
      <c r="Z563" s="56"/>
      <c r="AA563" s="56"/>
      <c r="AB563" s="56"/>
      <c r="AC563" s="56"/>
    </row>
    <row r="564" spans="1:29" ht="15.75" customHeight="1">
      <c r="A564" s="39" t="s">
        <v>2283</v>
      </c>
      <c r="B564" s="107">
        <v>43644</v>
      </c>
      <c r="C564" s="109">
        <v>43647</v>
      </c>
      <c r="D564" s="159" t="s">
        <v>479</v>
      </c>
      <c r="E564" s="76" t="s">
        <v>53</v>
      </c>
      <c r="F564" s="39" t="s">
        <v>2284</v>
      </c>
      <c r="G564" s="399">
        <f>IFERROR(VLOOKUP(A564,醫療院所DATABASE!A:B,2,""),)</f>
        <v>0</v>
      </c>
      <c r="H564" s="64"/>
      <c r="I564" s="109">
        <v>43643</v>
      </c>
      <c r="J564" s="109">
        <v>43647</v>
      </c>
      <c r="K564" s="39" t="s">
        <v>2400</v>
      </c>
      <c r="L564" s="76" t="s">
        <v>2401</v>
      </c>
      <c r="M564" s="49" t="s">
        <v>61</v>
      </c>
      <c r="N564" s="39" t="s">
        <v>51</v>
      </c>
      <c r="O564" s="24"/>
      <c r="P564" s="409" t="s">
        <v>2402</v>
      </c>
      <c r="Q564" s="76" t="s">
        <v>64</v>
      </c>
      <c r="R564" s="76" t="s">
        <v>1885</v>
      </c>
      <c r="S564" s="24"/>
      <c r="T564" s="24"/>
      <c r="U564" s="64"/>
      <c r="V564" s="56"/>
      <c r="W564" s="56"/>
      <c r="X564" s="56"/>
      <c r="Y564" s="56"/>
      <c r="Z564" s="56"/>
      <c r="AA564" s="56"/>
      <c r="AB564" s="56"/>
      <c r="AC564" s="56"/>
    </row>
    <row r="565" spans="1:29" ht="15.75" customHeight="1">
      <c r="A565" s="39" t="s">
        <v>2403</v>
      </c>
      <c r="B565" s="107">
        <v>43648</v>
      </c>
      <c r="C565" s="109">
        <v>43649</v>
      </c>
      <c r="D565" s="159" t="s">
        <v>1329</v>
      </c>
      <c r="E565" s="76" t="s">
        <v>188</v>
      </c>
      <c r="F565" s="39" t="s">
        <v>1423</v>
      </c>
      <c r="G565" s="399">
        <f>IFERROR(VLOOKUP(A565,醫療院所DATABASE!A:B,2,""),)</f>
        <v>0</v>
      </c>
      <c r="H565" s="64"/>
      <c r="I565" s="109">
        <v>43644</v>
      </c>
      <c r="J565" s="109">
        <v>43648</v>
      </c>
      <c r="K565" s="39" t="s">
        <v>2404</v>
      </c>
      <c r="L565" s="76" t="s">
        <v>2405</v>
      </c>
      <c r="M565" s="49" t="s">
        <v>61</v>
      </c>
      <c r="N565" s="39" t="s">
        <v>62</v>
      </c>
      <c r="O565" s="24"/>
      <c r="P565" s="409" t="s">
        <v>2406</v>
      </c>
      <c r="Q565" s="76" t="s">
        <v>64</v>
      </c>
      <c r="R565" s="76" t="s">
        <v>1885</v>
      </c>
      <c r="S565" s="24"/>
      <c r="T565" s="24"/>
      <c r="U565" s="64"/>
      <c r="V565" s="56"/>
      <c r="W565" s="56"/>
      <c r="X565" s="56"/>
      <c r="Y565" s="56"/>
      <c r="Z565" s="56"/>
      <c r="AA565" s="56"/>
      <c r="AB565" s="56"/>
      <c r="AC565" s="56"/>
    </row>
    <row r="566" spans="1:29" ht="15.75" customHeight="1">
      <c r="A566" s="39">
        <v>19062401</v>
      </c>
      <c r="B566" s="107">
        <v>43648</v>
      </c>
      <c r="C566" s="109">
        <v>43649</v>
      </c>
      <c r="D566" s="159" t="s">
        <v>1029</v>
      </c>
      <c r="E566" s="76" t="s">
        <v>53</v>
      </c>
      <c r="F566" s="129" t="s">
        <v>353</v>
      </c>
      <c r="G566" s="399">
        <f>IFERROR(VLOOKUP(A566,醫療院所DATABASE!A:B,2,""),)</f>
        <v>0</v>
      </c>
      <c r="H566" s="64"/>
      <c r="I566" s="109">
        <v>43644</v>
      </c>
      <c r="J566" s="109">
        <v>43648</v>
      </c>
      <c r="K566" s="39" t="s">
        <v>2407</v>
      </c>
      <c r="L566" s="76" t="s">
        <v>2408</v>
      </c>
      <c r="M566" s="49" t="s">
        <v>61</v>
      </c>
      <c r="N566" s="39" t="s">
        <v>62</v>
      </c>
      <c r="O566" s="24"/>
      <c r="P566" s="409" t="s">
        <v>2409</v>
      </c>
      <c r="Q566" s="76" t="s">
        <v>64</v>
      </c>
      <c r="R566" s="76" t="s">
        <v>1885</v>
      </c>
      <c r="S566" s="24"/>
      <c r="T566" s="24"/>
      <c r="U566" s="64"/>
      <c r="V566" s="56"/>
      <c r="W566" s="56"/>
      <c r="X566" s="56"/>
      <c r="Y566" s="56"/>
      <c r="Z566" s="56"/>
      <c r="AA566" s="56"/>
      <c r="AB566" s="56"/>
      <c r="AC566" s="56"/>
    </row>
    <row r="567" spans="1:29" ht="15.75" customHeight="1">
      <c r="A567" s="39" t="s">
        <v>2410</v>
      </c>
      <c r="B567" s="107">
        <v>43648</v>
      </c>
      <c r="C567" s="109">
        <v>43649</v>
      </c>
      <c r="D567" s="159" t="s">
        <v>1542</v>
      </c>
      <c r="E567" s="76" t="s">
        <v>188</v>
      </c>
      <c r="F567" s="39" t="s">
        <v>1423</v>
      </c>
      <c r="G567" s="399">
        <f>IFERROR(VLOOKUP(A567,醫療院所DATABASE!A:B,2,""),)</f>
        <v>0</v>
      </c>
      <c r="H567" s="64"/>
      <c r="I567" s="109">
        <v>43644</v>
      </c>
      <c r="J567" s="109">
        <v>43648</v>
      </c>
      <c r="K567" s="39" t="s">
        <v>2411</v>
      </c>
      <c r="L567" s="76" t="s">
        <v>2412</v>
      </c>
      <c r="M567" s="49" t="s">
        <v>61</v>
      </c>
      <c r="N567" s="39" t="s">
        <v>62</v>
      </c>
      <c r="O567" s="24"/>
      <c r="P567" s="409" t="s">
        <v>2413</v>
      </c>
      <c r="Q567" s="76" t="s">
        <v>1931</v>
      </c>
      <c r="R567" s="76" t="s">
        <v>1885</v>
      </c>
      <c r="S567" s="24"/>
      <c r="T567" s="24"/>
      <c r="U567" s="64"/>
      <c r="V567" s="56"/>
      <c r="W567" s="56"/>
      <c r="X567" s="56"/>
      <c r="Y567" s="56"/>
      <c r="Z567" s="56"/>
      <c r="AA567" s="56"/>
      <c r="AB567" s="56"/>
      <c r="AC567" s="56"/>
    </row>
    <row r="568" spans="1:29" ht="15.75" customHeight="1">
      <c r="A568" s="39" t="s">
        <v>2414</v>
      </c>
      <c r="B568" s="107">
        <v>43648</v>
      </c>
      <c r="C568" s="109">
        <v>43649</v>
      </c>
      <c r="D568" s="159" t="s">
        <v>1542</v>
      </c>
      <c r="E568" s="76" t="s">
        <v>53</v>
      </c>
      <c r="F568" s="39" t="s">
        <v>1423</v>
      </c>
      <c r="G568" s="399">
        <f>IFERROR(VLOOKUP(A568,醫療院所DATABASE!A:B,2,""),)</f>
        <v>0</v>
      </c>
      <c r="H568" s="64"/>
      <c r="I568" s="109">
        <v>43644</v>
      </c>
      <c r="J568" s="109">
        <v>43648</v>
      </c>
      <c r="K568" s="39" t="s">
        <v>2415</v>
      </c>
      <c r="L568" s="76" t="s">
        <v>2416</v>
      </c>
      <c r="M568" s="49" t="s">
        <v>61</v>
      </c>
      <c r="N568" s="39" t="s">
        <v>62</v>
      </c>
      <c r="O568" s="24"/>
      <c r="P568" s="409" t="s">
        <v>2417</v>
      </c>
      <c r="Q568" s="76" t="s">
        <v>1931</v>
      </c>
      <c r="R568" s="76" t="s">
        <v>1885</v>
      </c>
      <c r="S568" s="24"/>
      <c r="T568" s="24"/>
      <c r="U568" s="64"/>
      <c r="V568" s="56"/>
      <c r="W568" s="56"/>
      <c r="X568" s="56"/>
      <c r="Y568" s="56"/>
      <c r="Z568" s="56"/>
      <c r="AA568" s="56"/>
      <c r="AB568" s="56"/>
      <c r="AC568" s="56"/>
    </row>
    <row r="569" spans="1:29" ht="15.75" customHeight="1">
      <c r="A569" s="39" t="s">
        <v>2343</v>
      </c>
      <c r="B569" s="107">
        <v>43648</v>
      </c>
      <c r="C569" s="109">
        <v>43649</v>
      </c>
      <c r="D569" s="159" t="s">
        <v>1910</v>
      </c>
      <c r="E569" s="76" t="s">
        <v>188</v>
      </c>
      <c r="F569" s="39" t="s">
        <v>1911</v>
      </c>
      <c r="G569" s="399">
        <f>IFERROR(VLOOKUP(A569,醫療院所DATABASE!A:B,2,""),)</f>
        <v>0</v>
      </c>
      <c r="H569" s="64"/>
      <c r="I569" s="109">
        <v>43644</v>
      </c>
      <c r="J569" s="109">
        <v>43648</v>
      </c>
      <c r="K569" s="39" t="s">
        <v>2418</v>
      </c>
      <c r="L569" s="76" t="s">
        <v>2419</v>
      </c>
      <c r="M569" s="49" t="s">
        <v>61</v>
      </c>
      <c r="N569" s="39" t="s">
        <v>62</v>
      </c>
      <c r="O569" s="24"/>
      <c r="P569" s="409" t="s">
        <v>2420</v>
      </c>
      <c r="Q569" s="76" t="s">
        <v>64</v>
      </c>
      <c r="R569" s="76" t="s">
        <v>1885</v>
      </c>
      <c r="S569" s="24"/>
      <c r="T569" s="24"/>
      <c r="U569" s="64"/>
      <c r="V569" s="56"/>
      <c r="W569" s="56"/>
      <c r="X569" s="56"/>
      <c r="Y569" s="56"/>
      <c r="Z569" s="56"/>
      <c r="AA569" s="56"/>
      <c r="AB569" s="56"/>
      <c r="AC569" s="56"/>
    </row>
    <row r="570" spans="1:29" ht="15.75" customHeight="1">
      <c r="A570" s="39" t="s">
        <v>2283</v>
      </c>
      <c r="B570" s="107">
        <v>43648</v>
      </c>
      <c r="C570" s="109">
        <v>43649</v>
      </c>
      <c r="D570" s="159" t="s">
        <v>479</v>
      </c>
      <c r="E570" s="76" t="s">
        <v>53</v>
      </c>
      <c r="F570" s="39" t="s">
        <v>2284</v>
      </c>
      <c r="G570" s="399">
        <f>IFERROR(VLOOKUP(A570,醫療院所DATABASE!A:B,2,""),)</f>
        <v>0</v>
      </c>
      <c r="H570" s="64"/>
      <c r="I570" s="109">
        <v>43644</v>
      </c>
      <c r="J570" s="109">
        <v>43648</v>
      </c>
      <c r="K570" s="39" t="s">
        <v>2421</v>
      </c>
      <c r="L570" s="76" t="s">
        <v>2422</v>
      </c>
      <c r="M570" s="49" t="s">
        <v>61</v>
      </c>
      <c r="N570" s="39" t="s">
        <v>51</v>
      </c>
      <c r="O570" s="24"/>
      <c r="P570" s="409" t="s">
        <v>2423</v>
      </c>
      <c r="Q570" s="76" t="s">
        <v>64</v>
      </c>
      <c r="R570" s="76" t="s">
        <v>1885</v>
      </c>
      <c r="S570" s="24"/>
      <c r="T570" s="24"/>
      <c r="U570" s="64"/>
      <c r="V570" s="56"/>
      <c r="W570" s="56"/>
      <c r="X570" s="56"/>
      <c r="Y570" s="56"/>
      <c r="Z570" s="56"/>
      <c r="AA570" s="56"/>
      <c r="AB570" s="56"/>
      <c r="AC570" s="56"/>
    </row>
    <row r="571" spans="1:29" ht="15.75" customHeight="1">
      <c r="A571" s="39" t="s">
        <v>2424</v>
      </c>
      <c r="B571" s="107">
        <v>43648</v>
      </c>
      <c r="C571" s="109">
        <v>43649</v>
      </c>
      <c r="D571" s="159" t="s">
        <v>1910</v>
      </c>
      <c r="E571" s="76" t="s">
        <v>188</v>
      </c>
      <c r="F571" s="39" t="s">
        <v>1911</v>
      </c>
      <c r="G571" s="399">
        <f>IFERROR(VLOOKUP(A571,醫療院所DATABASE!A:B,2,""),)</f>
        <v>0</v>
      </c>
      <c r="H571" s="64"/>
      <c r="I571" s="109">
        <v>43644</v>
      </c>
      <c r="J571" s="109">
        <v>43648</v>
      </c>
      <c r="K571" s="39" t="s">
        <v>133</v>
      </c>
      <c r="L571" s="76" t="s">
        <v>136</v>
      </c>
      <c r="M571" s="39" t="s">
        <v>1955</v>
      </c>
      <c r="N571" s="39" t="s">
        <v>62</v>
      </c>
      <c r="O571" s="24"/>
      <c r="P571" s="409" t="s">
        <v>2425</v>
      </c>
      <c r="Q571" s="76" t="s">
        <v>1931</v>
      </c>
      <c r="R571" s="76" t="s">
        <v>1885</v>
      </c>
      <c r="S571" s="24"/>
      <c r="T571" s="24"/>
      <c r="U571" s="64"/>
      <c r="V571" s="56"/>
      <c r="W571" s="56"/>
      <c r="X571" s="56"/>
      <c r="Y571" s="56"/>
      <c r="Z571" s="56"/>
      <c r="AA571" s="56"/>
      <c r="AB571" s="56"/>
      <c r="AC571" s="56"/>
    </row>
    <row r="572" spans="1:29" ht="15.75" customHeight="1">
      <c r="A572" s="39" t="s">
        <v>2343</v>
      </c>
      <c r="B572" s="107">
        <v>43649</v>
      </c>
      <c r="C572" s="109">
        <v>43649</v>
      </c>
      <c r="D572" s="159" t="s">
        <v>1910</v>
      </c>
      <c r="E572" s="76" t="s">
        <v>53</v>
      </c>
      <c r="F572" s="39" t="s">
        <v>1911</v>
      </c>
      <c r="G572" s="399">
        <f>IFERROR(VLOOKUP(A572,醫療院所DATABASE!A:B,2,""),)</f>
        <v>0</v>
      </c>
      <c r="H572" s="76" t="s">
        <v>2426</v>
      </c>
      <c r="I572" s="109">
        <v>43647</v>
      </c>
      <c r="J572" s="109">
        <v>43649</v>
      </c>
      <c r="K572" s="39" t="s">
        <v>2427</v>
      </c>
      <c r="L572" s="76" t="s">
        <v>2428</v>
      </c>
      <c r="M572" s="49" t="s">
        <v>61</v>
      </c>
      <c r="N572" s="39" t="s">
        <v>51</v>
      </c>
      <c r="O572" s="24"/>
      <c r="P572" s="409" t="s">
        <v>2429</v>
      </c>
      <c r="Q572" s="76" t="s">
        <v>64</v>
      </c>
      <c r="R572" s="76" t="s">
        <v>1885</v>
      </c>
      <c r="S572" s="24"/>
      <c r="T572" s="24"/>
      <c r="U572" s="64"/>
      <c r="V572" s="56"/>
      <c r="W572" s="56"/>
      <c r="X572" s="56"/>
      <c r="Y572" s="56"/>
      <c r="Z572" s="56"/>
      <c r="AA572" s="56"/>
      <c r="AB572" s="56"/>
      <c r="AC572" s="56"/>
    </row>
    <row r="573" spans="1:29" ht="15.75" customHeight="1">
      <c r="A573" s="39" t="s">
        <v>2343</v>
      </c>
      <c r="B573" s="107">
        <v>43649</v>
      </c>
      <c r="C573" s="109">
        <v>43654</v>
      </c>
      <c r="D573" s="159" t="s">
        <v>1910</v>
      </c>
      <c r="E573" s="76" t="s">
        <v>188</v>
      </c>
      <c r="F573" s="39" t="s">
        <v>1911</v>
      </c>
      <c r="G573" s="399">
        <f>IFERROR(VLOOKUP(A573,醫療院所DATABASE!A:B,2,""),)</f>
        <v>0</v>
      </c>
      <c r="H573" s="76" t="s">
        <v>2430</v>
      </c>
      <c r="I573" s="109">
        <v>43647</v>
      </c>
      <c r="J573" s="109">
        <v>43649</v>
      </c>
      <c r="K573" s="39" t="s">
        <v>2431</v>
      </c>
      <c r="L573" s="76" t="s">
        <v>2432</v>
      </c>
      <c r="M573" s="49" t="s">
        <v>61</v>
      </c>
      <c r="N573" s="39" t="s">
        <v>62</v>
      </c>
      <c r="O573" s="24"/>
      <c r="P573" s="409" t="s">
        <v>2433</v>
      </c>
      <c r="Q573" s="76" t="s">
        <v>64</v>
      </c>
      <c r="R573" s="76" t="s">
        <v>1885</v>
      </c>
      <c r="S573" s="24"/>
      <c r="T573" s="24"/>
      <c r="U573" s="64"/>
      <c r="V573" s="56"/>
      <c r="W573" s="56"/>
      <c r="X573" s="56"/>
      <c r="Y573" s="56"/>
      <c r="Z573" s="56"/>
      <c r="AA573" s="56"/>
      <c r="AB573" s="56"/>
      <c r="AC573" s="56"/>
    </row>
    <row r="574" spans="1:29" ht="15.75" customHeight="1">
      <c r="A574" s="39" t="s">
        <v>2343</v>
      </c>
      <c r="B574" s="107">
        <v>43650</v>
      </c>
      <c r="C574" s="109">
        <v>43654</v>
      </c>
      <c r="D574" s="159" t="s">
        <v>1910</v>
      </c>
      <c r="E574" s="76" t="s">
        <v>53</v>
      </c>
      <c r="F574" s="39" t="s">
        <v>1911</v>
      </c>
      <c r="G574" s="399">
        <f>IFERROR(VLOOKUP(A574,醫療院所DATABASE!A:B,2,""),)</f>
        <v>0</v>
      </c>
      <c r="H574" s="76" t="s">
        <v>2435</v>
      </c>
      <c r="I574" s="109">
        <v>43647</v>
      </c>
      <c r="J574" s="109">
        <v>43649</v>
      </c>
      <c r="K574" s="39" t="s">
        <v>2436</v>
      </c>
      <c r="L574" s="76" t="s">
        <v>2437</v>
      </c>
      <c r="M574" s="49" t="s">
        <v>61</v>
      </c>
      <c r="N574" s="39" t="s">
        <v>62</v>
      </c>
      <c r="O574" s="24"/>
      <c r="P574" s="409" t="s">
        <v>2438</v>
      </c>
      <c r="Q574" s="76" t="s">
        <v>64</v>
      </c>
      <c r="R574" s="76" t="s">
        <v>1885</v>
      </c>
      <c r="S574" s="24"/>
      <c r="T574" s="24"/>
      <c r="U574" s="64"/>
      <c r="V574" s="56"/>
      <c r="W574" s="56"/>
      <c r="X574" s="56"/>
      <c r="Y574" s="56"/>
      <c r="Z574" s="56"/>
      <c r="AA574" s="56"/>
      <c r="AB574" s="56"/>
      <c r="AC574" s="56"/>
    </row>
    <row r="575" spans="1:29" ht="15.75" customHeight="1">
      <c r="A575" s="39" t="s">
        <v>2439</v>
      </c>
      <c r="B575" s="107">
        <v>43649</v>
      </c>
      <c r="C575" s="109">
        <v>43654</v>
      </c>
      <c r="D575" s="159" t="s">
        <v>1910</v>
      </c>
      <c r="E575" s="76" t="s">
        <v>188</v>
      </c>
      <c r="F575" s="39" t="s">
        <v>1911</v>
      </c>
      <c r="G575" s="399">
        <f>IFERROR(VLOOKUP(A575,醫療院所DATABASE!A:B,2,""),)</f>
        <v>0</v>
      </c>
      <c r="H575" s="64"/>
      <c r="I575" s="109">
        <v>43647</v>
      </c>
      <c r="J575" s="109">
        <v>43649</v>
      </c>
      <c r="K575" s="39" t="s">
        <v>2440</v>
      </c>
      <c r="L575" s="76" t="s">
        <v>2441</v>
      </c>
      <c r="M575" s="49" t="s">
        <v>61</v>
      </c>
      <c r="N575" s="39" t="s">
        <v>62</v>
      </c>
      <c r="O575" s="24"/>
      <c r="P575" s="409" t="s">
        <v>2442</v>
      </c>
      <c r="Q575" s="76" t="s">
        <v>64</v>
      </c>
      <c r="R575" s="76" t="s">
        <v>1885</v>
      </c>
      <c r="S575" s="24"/>
      <c r="T575" s="24"/>
      <c r="U575" s="64"/>
      <c r="V575" s="56"/>
      <c r="W575" s="56"/>
      <c r="X575" s="56"/>
      <c r="Y575" s="56"/>
      <c r="Z575" s="56"/>
      <c r="AA575" s="56"/>
      <c r="AB575" s="56"/>
      <c r="AC575" s="56"/>
    </row>
    <row r="576" spans="1:29" ht="15.75" customHeight="1">
      <c r="A576" s="39" t="s">
        <v>2439</v>
      </c>
      <c r="B576" s="107">
        <v>43649</v>
      </c>
      <c r="C576" s="109">
        <v>43654</v>
      </c>
      <c r="D576" s="159" t="s">
        <v>1910</v>
      </c>
      <c r="E576" s="76" t="s">
        <v>53</v>
      </c>
      <c r="F576" s="39" t="s">
        <v>1911</v>
      </c>
      <c r="G576" s="399">
        <f>IFERROR(VLOOKUP(A576,醫療院所DATABASE!A:B,2,""),)</f>
        <v>0</v>
      </c>
      <c r="H576" s="64"/>
      <c r="I576" s="109">
        <v>43647</v>
      </c>
      <c r="J576" s="109">
        <v>43649</v>
      </c>
      <c r="K576" s="39" t="s">
        <v>2443</v>
      </c>
      <c r="L576" s="76" t="s">
        <v>2444</v>
      </c>
      <c r="M576" s="49" t="s">
        <v>61</v>
      </c>
      <c r="N576" s="39" t="s">
        <v>51</v>
      </c>
      <c r="O576" s="24"/>
      <c r="P576" s="409" t="s">
        <v>2445</v>
      </c>
      <c r="Q576" s="76" t="s">
        <v>64</v>
      </c>
      <c r="R576" s="76" t="s">
        <v>1885</v>
      </c>
      <c r="S576" s="24"/>
      <c r="T576" s="24"/>
      <c r="U576" s="64"/>
      <c r="V576" s="56"/>
      <c r="W576" s="56"/>
      <c r="X576" s="56"/>
      <c r="Y576" s="56"/>
      <c r="Z576" s="56"/>
      <c r="AA576" s="56"/>
      <c r="AB576" s="56"/>
      <c r="AC576" s="56"/>
    </row>
    <row r="577" spans="1:29" ht="15.75" customHeight="1">
      <c r="A577" s="39" t="s">
        <v>2283</v>
      </c>
      <c r="B577" s="107">
        <v>43649</v>
      </c>
      <c r="C577" s="109">
        <v>43649</v>
      </c>
      <c r="D577" s="76" t="s">
        <v>479</v>
      </c>
      <c r="E577" s="76" t="s">
        <v>188</v>
      </c>
      <c r="F577" s="39" t="s">
        <v>2284</v>
      </c>
      <c r="G577" s="399">
        <f>IFERROR(VLOOKUP(A577,醫療院所DATABASE!A:B,2,""),)</f>
        <v>0</v>
      </c>
      <c r="H577" s="64"/>
      <c r="I577" s="109">
        <v>43647</v>
      </c>
      <c r="J577" s="109">
        <v>43649</v>
      </c>
      <c r="K577" s="39" t="s">
        <v>2446</v>
      </c>
      <c r="L577" s="76" t="s">
        <v>2447</v>
      </c>
      <c r="M577" s="49" t="s">
        <v>61</v>
      </c>
      <c r="N577" s="39" t="s">
        <v>51</v>
      </c>
      <c r="O577" s="24"/>
      <c r="P577" s="409" t="s">
        <v>2448</v>
      </c>
      <c r="Q577" s="76" t="s">
        <v>64</v>
      </c>
      <c r="R577" s="76" t="s">
        <v>1885</v>
      </c>
      <c r="S577" s="24"/>
      <c r="T577" s="24"/>
      <c r="U577" s="64"/>
      <c r="V577" s="56"/>
      <c r="W577" s="56"/>
      <c r="X577" s="56"/>
      <c r="Y577" s="56"/>
      <c r="Z577" s="56"/>
      <c r="AA577" s="56"/>
      <c r="AB577" s="56"/>
      <c r="AC577" s="56"/>
    </row>
    <row r="578" spans="1:29" ht="15.75" customHeight="1">
      <c r="A578" s="39" t="s">
        <v>2449</v>
      </c>
      <c r="B578" s="107">
        <v>43648</v>
      </c>
      <c r="C578" s="109">
        <v>43654</v>
      </c>
      <c r="D578" s="159" t="s">
        <v>1415</v>
      </c>
      <c r="E578" s="76" t="s">
        <v>53</v>
      </c>
      <c r="F578" s="39" t="s">
        <v>975</v>
      </c>
      <c r="G578" s="399">
        <f>IFERROR(VLOOKUP(A578,醫療院所DATABASE!A:B,2,""),)</f>
        <v>0</v>
      </c>
      <c r="H578" s="64"/>
      <c r="I578" s="109">
        <v>43647</v>
      </c>
      <c r="J578" s="109">
        <v>43649</v>
      </c>
      <c r="K578" s="39" t="s">
        <v>2450</v>
      </c>
      <c r="L578" s="76" t="s">
        <v>2451</v>
      </c>
      <c r="M578" s="93" t="s">
        <v>641</v>
      </c>
      <c r="N578" s="39" t="s">
        <v>62</v>
      </c>
      <c r="O578" s="24"/>
      <c r="P578" s="409" t="s">
        <v>2452</v>
      </c>
      <c r="Q578" s="76" t="s">
        <v>64</v>
      </c>
      <c r="R578" s="76" t="s">
        <v>1885</v>
      </c>
      <c r="S578" s="24"/>
      <c r="T578" s="24"/>
      <c r="U578" s="64"/>
      <c r="V578" s="56"/>
      <c r="W578" s="56"/>
      <c r="X578" s="56"/>
      <c r="Y578" s="56"/>
      <c r="Z578" s="56"/>
      <c r="AA578" s="56"/>
      <c r="AB578" s="56"/>
      <c r="AC578" s="56"/>
    </row>
    <row r="579" spans="1:29" ht="15.75" customHeight="1">
      <c r="A579" s="39" t="s">
        <v>2453</v>
      </c>
      <c r="B579" s="107">
        <v>43650</v>
      </c>
      <c r="C579" s="109">
        <v>43651</v>
      </c>
      <c r="D579" s="159" t="s">
        <v>1613</v>
      </c>
      <c r="E579" s="76" t="s">
        <v>53</v>
      </c>
      <c r="F579" s="39" t="s">
        <v>975</v>
      </c>
      <c r="G579" s="399">
        <f>IFERROR(VLOOKUP(A579,醫療院所DATABASE!A:B,2,""),)</f>
        <v>0</v>
      </c>
      <c r="H579" s="64"/>
      <c r="I579" s="109">
        <v>43647</v>
      </c>
      <c r="J579" s="109">
        <v>43649</v>
      </c>
      <c r="K579" s="39" t="s">
        <v>418</v>
      </c>
      <c r="L579" s="76" t="s">
        <v>419</v>
      </c>
      <c r="M579" s="39" t="s">
        <v>963</v>
      </c>
      <c r="N579" s="39" t="s">
        <v>62</v>
      </c>
      <c r="O579" s="24"/>
      <c r="P579" s="409" t="s">
        <v>2454</v>
      </c>
      <c r="Q579" s="76" t="s">
        <v>1931</v>
      </c>
      <c r="R579" s="76" t="s">
        <v>1885</v>
      </c>
      <c r="S579" s="24"/>
      <c r="T579" s="24"/>
      <c r="U579" s="64"/>
      <c r="V579" s="56"/>
      <c r="W579" s="56"/>
      <c r="X579" s="56"/>
      <c r="Y579" s="56"/>
      <c r="Z579" s="56"/>
      <c r="AA579" s="56"/>
      <c r="AB579" s="56"/>
      <c r="AC579" s="56"/>
    </row>
    <row r="580" spans="1:29" ht="15.75" customHeight="1">
      <c r="A580" s="39" t="s">
        <v>2453</v>
      </c>
      <c r="B580" s="107">
        <v>43648</v>
      </c>
      <c r="C580" s="109">
        <v>43651</v>
      </c>
      <c r="D580" s="159" t="s">
        <v>1613</v>
      </c>
      <c r="E580" s="76" t="s">
        <v>53</v>
      </c>
      <c r="F580" s="39" t="s">
        <v>975</v>
      </c>
      <c r="G580" s="399">
        <f>IFERROR(VLOOKUP(A580,醫療院所DATABASE!A:B,2,""),)</f>
        <v>0</v>
      </c>
      <c r="H580" s="64"/>
      <c r="I580" s="109">
        <v>43647</v>
      </c>
      <c r="J580" s="109">
        <v>43649</v>
      </c>
      <c r="K580" s="39" t="s">
        <v>418</v>
      </c>
      <c r="L580" s="76" t="s">
        <v>419</v>
      </c>
      <c r="M580" s="39" t="s">
        <v>2143</v>
      </c>
      <c r="N580" s="39" t="s">
        <v>62</v>
      </c>
      <c r="O580" s="24"/>
      <c r="P580" s="409" t="s">
        <v>2455</v>
      </c>
      <c r="Q580" s="76" t="s">
        <v>1931</v>
      </c>
      <c r="R580" s="76" t="s">
        <v>1885</v>
      </c>
      <c r="S580" s="24"/>
      <c r="T580" s="24"/>
      <c r="U580" s="64"/>
      <c r="V580" s="56"/>
      <c r="W580" s="56"/>
      <c r="X580" s="56"/>
      <c r="Y580" s="56"/>
      <c r="Z580" s="56"/>
      <c r="AA580" s="56"/>
      <c r="AB580" s="56"/>
      <c r="AC580" s="56"/>
    </row>
    <row r="581" spans="1:29" ht="15.75" customHeight="1">
      <c r="A581" s="39" t="s">
        <v>2453</v>
      </c>
      <c r="B581" s="107">
        <v>43648</v>
      </c>
      <c r="C581" s="109">
        <v>43651</v>
      </c>
      <c r="D581" s="159" t="s">
        <v>1613</v>
      </c>
      <c r="E581" s="76" t="s">
        <v>53</v>
      </c>
      <c r="F581" s="39" t="s">
        <v>975</v>
      </c>
      <c r="G581" s="399">
        <f>IFERROR(VLOOKUP(A581,醫療院所DATABASE!A:B,2,""),)</f>
        <v>0</v>
      </c>
      <c r="H581" s="64"/>
      <c r="I581" s="109">
        <v>43647</v>
      </c>
      <c r="J581" s="109">
        <v>43649</v>
      </c>
      <c r="K581" s="39" t="s">
        <v>418</v>
      </c>
      <c r="L581" s="76" t="s">
        <v>419</v>
      </c>
      <c r="M581" s="85" t="s">
        <v>579</v>
      </c>
      <c r="N581" s="39" t="s">
        <v>62</v>
      </c>
      <c r="O581" s="24"/>
      <c r="P581" s="409" t="s">
        <v>2456</v>
      </c>
      <c r="Q581" s="76" t="s">
        <v>1931</v>
      </c>
      <c r="R581" s="76" t="s">
        <v>1885</v>
      </c>
      <c r="S581" s="24"/>
      <c r="T581" s="24"/>
      <c r="U581" s="64"/>
      <c r="V581" s="56"/>
      <c r="W581" s="56"/>
      <c r="X581" s="56"/>
      <c r="Y581" s="56"/>
      <c r="Z581" s="56"/>
      <c r="AA581" s="56"/>
      <c r="AB581" s="56"/>
      <c r="AC581" s="56"/>
    </row>
    <row r="582" spans="1:29" ht="15.75" customHeight="1">
      <c r="A582" s="39" t="s">
        <v>2457</v>
      </c>
      <c r="B582" s="107">
        <v>43649</v>
      </c>
      <c r="C582" s="109">
        <v>43654</v>
      </c>
      <c r="D582" s="159" t="s">
        <v>366</v>
      </c>
      <c r="E582" s="76" t="s">
        <v>188</v>
      </c>
      <c r="F582" s="129" t="s">
        <v>1761</v>
      </c>
      <c r="G582" s="399">
        <f>IFERROR(VLOOKUP(A582,醫療院所DATABASE!A:B,2,""),)</f>
        <v>0</v>
      </c>
      <c r="H582" s="64"/>
      <c r="I582" s="109">
        <v>43648</v>
      </c>
      <c r="J582" s="109">
        <v>43650</v>
      </c>
      <c r="K582" s="39" t="s">
        <v>2458</v>
      </c>
      <c r="L582" s="76" t="s">
        <v>2459</v>
      </c>
      <c r="M582" s="49" t="s">
        <v>61</v>
      </c>
      <c r="N582" s="39" t="s">
        <v>51</v>
      </c>
      <c r="O582" s="24"/>
      <c r="P582" s="409" t="s">
        <v>2460</v>
      </c>
      <c r="Q582" s="76" t="s">
        <v>64</v>
      </c>
      <c r="R582" s="76" t="s">
        <v>1885</v>
      </c>
      <c r="S582" s="24"/>
      <c r="T582" s="24"/>
      <c r="U582" s="64"/>
      <c r="V582" s="56"/>
      <c r="W582" s="56"/>
      <c r="X582" s="56"/>
      <c r="Y582" s="56"/>
      <c r="Z582" s="56"/>
      <c r="AA582" s="56"/>
      <c r="AB582" s="56"/>
      <c r="AC582" s="56"/>
    </row>
    <row r="583" spans="1:29" ht="15.75" customHeight="1">
      <c r="A583" s="39" t="s">
        <v>2457</v>
      </c>
      <c r="B583" s="107">
        <v>43649</v>
      </c>
      <c r="C583" s="109">
        <v>43654</v>
      </c>
      <c r="D583" s="159" t="s">
        <v>366</v>
      </c>
      <c r="E583" s="76" t="s">
        <v>53</v>
      </c>
      <c r="F583" s="129" t="s">
        <v>1761</v>
      </c>
      <c r="G583" s="399">
        <f>IFERROR(VLOOKUP(A583,醫療院所DATABASE!A:B,2,""),)</f>
        <v>0</v>
      </c>
      <c r="H583" s="64"/>
      <c r="I583" s="109">
        <v>43648</v>
      </c>
      <c r="J583" s="109">
        <v>43650</v>
      </c>
      <c r="K583" s="39" t="s">
        <v>2461</v>
      </c>
      <c r="L583" s="76" t="s">
        <v>2462</v>
      </c>
      <c r="M583" s="49" t="s">
        <v>61</v>
      </c>
      <c r="N583" s="39" t="s">
        <v>62</v>
      </c>
      <c r="O583" s="24"/>
      <c r="P583" s="409" t="s">
        <v>2463</v>
      </c>
      <c r="Q583" s="76" t="s">
        <v>64</v>
      </c>
      <c r="R583" s="76" t="s">
        <v>1885</v>
      </c>
      <c r="S583" s="24"/>
      <c r="T583" s="24"/>
      <c r="U583" s="64"/>
      <c r="V583" s="56"/>
      <c r="W583" s="56"/>
      <c r="X583" s="56"/>
      <c r="Y583" s="56"/>
      <c r="Z583" s="56"/>
      <c r="AA583" s="56"/>
      <c r="AB583" s="56"/>
      <c r="AC583" s="56"/>
    </row>
    <row r="584" spans="1:29" ht="15.75" customHeight="1">
      <c r="A584" s="39" t="s">
        <v>2457</v>
      </c>
      <c r="B584" s="107">
        <v>43649</v>
      </c>
      <c r="C584" s="109">
        <v>43654</v>
      </c>
      <c r="D584" s="159" t="s">
        <v>366</v>
      </c>
      <c r="E584" s="76" t="s">
        <v>188</v>
      </c>
      <c r="F584" s="129" t="s">
        <v>1761</v>
      </c>
      <c r="G584" s="399">
        <f>IFERROR(VLOOKUP(A584,醫療院所DATABASE!A:B,2,""),)</f>
        <v>0</v>
      </c>
      <c r="H584" s="64"/>
      <c r="I584" s="109">
        <v>43648</v>
      </c>
      <c r="J584" s="109">
        <v>43650</v>
      </c>
      <c r="K584" s="39" t="s">
        <v>2464</v>
      </c>
      <c r="L584" s="76" t="s">
        <v>2465</v>
      </c>
      <c r="M584" s="49" t="s">
        <v>61</v>
      </c>
      <c r="N584" s="39" t="s">
        <v>62</v>
      </c>
      <c r="O584" s="24"/>
      <c r="P584" s="409" t="s">
        <v>2466</v>
      </c>
      <c r="Q584" s="76" t="s">
        <v>64</v>
      </c>
      <c r="R584" s="76" t="s">
        <v>1885</v>
      </c>
      <c r="S584" s="24"/>
      <c r="T584" s="24"/>
      <c r="U584" s="64"/>
      <c r="V584" s="56"/>
      <c r="W584" s="56"/>
      <c r="X584" s="56"/>
      <c r="Y584" s="56"/>
      <c r="Z584" s="56"/>
      <c r="AA584" s="56"/>
      <c r="AB584" s="56"/>
      <c r="AC584" s="56"/>
    </row>
    <row r="585" spans="1:29" ht="15.75" customHeight="1">
      <c r="A585" s="39" t="s">
        <v>2457</v>
      </c>
      <c r="B585" s="107">
        <v>43649</v>
      </c>
      <c r="C585" s="109">
        <v>43654</v>
      </c>
      <c r="D585" s="159" t="s">
        <v>366</v>
      </c>
      <c r="E585" s="76" t="s">
        <v>53</v>
      </c>
      <c r="F585" s="129" t="s">
        <v>1761</v>
      </c>
      <c r="G585" s="399">
        <f>IFERROR(VLOOKUP(A585,醫療院所DATABASE!A:B,2,""),)</f>
        <v>0</v>
      </c>
      <c r="H585" s="64"/>
      <c r="I585" s="109">
        <v>43648</v>
      </c>
      <c r="J585" s="109">
        <v>43650</v>
      </c>
      <c r="K585" s="39" t="s">
        <v>2467</v>
      </c>
      <c r="L585" s="138" t="s">
        <v>2468</v>
      </c>
      <c r="M585" s="49" t="s">
        <v>61</v>
      </c>
      <c r="N585" s="39" t="s">
        <v>62</v>
      </c>
      <c r="O585" s="24"/>
      <c r="P585" s="409" t="s">
        <v>2469</v>
      </c>
      <c r="Q585" s="76" t="s">
        <v>64</v>
      </c>
      <c r="R585" s="76" t="s">
        <v>1885</v>
      </c>
      <c r="S585" s="24"/>
      <c r="T585" s="24"/>
      <c r="U585" s="64"/>
      <c r="V585" s="56"/>
      <c r="W585" s="56"/>
      <c r="X585" s="56"/>
      <c r="Y585" s="56"/>
      <c r="Z585" s="56"/>
      <c r="AA585" s="56"/>
      <c r="AB585" s="56"/>
      <c r="AC585" s="56"/>
    </row>
    <row r="586" spans="1:29" ht="15.75" customHeight="1">
      <c r="A586" s="39" t="s">
        <v>2457</v>
      </c>
      <c r="B586" s="107">
        <v>43649</v>
      </c>
      <c r="C586" s="109">
        <v>43654</v>
      </c>
      <c r="D586" s="159" t="s">
        <v>366</v>
      </c>
      <c r="E586" s="76" t="s">
        <v>188</v>
      </c>
      <c r="F586" s="129" t="s">
        <v>1761</v>
      </c>
      <c r="G586" s="399">
        <f>IFERROR(VLOOKUP(A586,醫療院所DATABASE!A:B,2,""),)</f>
        <v>0</v>
      </c>
      <c r="H586" s="64"/>
      <c r="I586" s="109">
        <v>43648</v>
      </c>
      <c r="J586" s="109">
        <v>43650</v>
      </c>
      <c r="K586" s="39" t="s">
        <v>2470</v>
      </c>
      <c r="L586" s="76" t="s">
        <v>2471</v>
      </c>
      <c r="M586" s="49" t="s">
        <v>61</v>
      </c>
      <c r="N586" s="39" t="s">
        <v>62</v>
      </c>
      <c r="O586" s="24"/>
      <c r="P586" s="409" t="s">
        <v>2472</v>
      </c>
      <c r="Q586" s="76" t="s">
        <v>64</v>
      </c>
      <c r="R586" s="76" t="s">
        <v>1885</v>
      </c>
      <c r="S586" s="24"/>
      <c r="T586" s="24"/>
      <c r="U586" s="64"/>
      <c r="V586" s="56"/>
      <c r="W586" s="56"/>
      <c r="X586" s="56"/>
      <c r="Y586" s="56"/>
      <c r="Z586" s="56"/>
      <c r="AA586" s="56"/>
      <c r="AB586" s="56"/>
      <c r="AC586" s="56"/>
    </row>
    <row r="587" spans="1:29" ht="15.75" customHeight="1">
      <c r="A587" s="39" t="s">
        <v>2457</v>
      </c>
      <c r="B587" s="107">
        <v>43649</v>
      </c>
      <c r="C587" s="109">
        <v>43654</v>
      </c>
      <c r="D587" s="159" t="s">
        <v>366</v>
      </c>
      <c r="E587" s="76" t="s">
        <v>53</v>
      </c>
      <c r="F587" s="129" t="s">
        <v>1761</v>
      </c>
      <c r="G587" s="399">
        <f>IFERROR(VLOOKUP(A587,醫療院所DATABASE!A:B,2,""),)</f>
        <v>0</v>
      </c>
      <c r="H587" s="64"/>
      <c r="I587" s="109">
        <v>43648</v>
      </c>
      <c r="J587" s="109">
        <v>43650</v>
      </c>
      <c r="K587" s="39" t="s">
        <v>2473</v>
      </c>
      <c r="L587" s="76" t="s">
        <v>2474</v>
      </c>
      <c r="M587" s="49" t="s">
        <v>61</v>
      </c>
      <c r="N587" s="39" t="s">
        <v>62</v>
      </c>
      <c r="O587" s="24"/>
      <c r="P587" s="409" t="s">
        <v>2475</v>
      </c>
      <c r="Q587" s="76" t="s">
        <v>64</v>
      </c>
      <c r="R587" s="76" t="s">
        <v>1885</v>
      </c>
      <c r="S587" s="24"/>
      <c r="T587" s="24"/>
      <c r="U587" s="64"/>
      <c r="V587" s="56"/>
      <c r="W587" s="56"/>
      <c r="X587" s="56"/>
      <c r="Y587" s="56"/>
      <c r="Z587" s="56"/>
      <c r="AA587" s="56"/>
      <c r="AB587" s="56"/>
      <c r="AC587" s="56"/>
    </row>
    <row r="588" spans="1:29" ht="15.75" customHeight="1">
      <c r="A588" s="39" t="s">
        <v>2457</v>
      </c>
      <c r="B588" s="107">
        <v>43649</v>
      </c>
      <c r="C588" s="109">
        <v>43654</v>
      </c>
      <c r="D588" s="159" t="s">
        <v>366</v>
      </c>
      <c r="E588" s="76" t="s">
        <v>188</v>
      </c>
      <c r="F588" s="129" t="s">
        <v>1761</v>
      </c>
      <c r="G588" s="399">
        <f>IFERROR(VLOOKUP(A588,醫療院所DATABASE!A:B,2,""),)</f>
        <v>0</v>
      </c>
      <c r="H588" s="64"/>
      <c r="I588" s="109">
        <v>43648</v>
      </c>
      <c r="J588" s="109">
        <v>43650</v>
      </c>
      <c r="K588" s="39" t="s">
        <v>2479</v>
      </c>
      <c r="L588" s="76" t="s">
        <v>2480</v>
      </c>
      <c r="M588" s="49" t="s">
        <v>61</v>
      </c>
      <c r="N588" s="39" t="s">
        <v>62</v>
      </c>
      <c r="O588" s="24"/>
      <c r="P588" s="409" t="s">
        <v>2481</v>
      </c>
      <c r="Q588" s="76" t="s">
        <v>64</v>
      </c>
      <c r="R588" s="76" t="s">
        <v>1885</v>
      </c>
      <c r="S588" s="24"/>
      <c r="T588" s="24"/>
      <c r="U588" s="64"/>
      <c r="V588" s="56"/>
      <c r="W588" s="56"/>
      <c r="X588" s="56"/>
      <c r="Y588" s="56"/>
      <c r="Z588" s="56"/>
      <c r="AA588" s="56"/>
      <c r="AB588" s="56"/>
      <c r="AC588" s="56"/>
    </row>
    <row r="589" spans="1:29" ht="15.75" customHeight="1">
      <c r="A589" s="39" t="s">
        <v>2457</v>
      </c>
      <c r="B589" s="107">
        <v>43649</v>
      </c>
      <c r="C589" s="109">
        <v>43654</v>
      </c>
      <c r="D589" s="159" t="s">
        <v>366</v>
      </c>
      <c r="E589" s="76" t="s">
        <v>53</v>
      </c>
      <c r="F589" s="129" t="s">
        <v>1761</v>
      </c>
      <c r="G589" s="399">
        <f>IFERROR(VLOOKUP(A589,醫療院所DATABASE!A:B,2,""),)</f>
        <v>0</v>
      </c>
      <c r="H589" s="64"/>
      <c r="I589" s="109">
        <v>43648</v>
      </c>
      <c r="J589" s="109">
        <v>43650</v>
      </c>
      <c r="K589" s="39" t="s">
        <v>2482</v>
      </c>
      <c r="L589" s="76" t="s">
        <v>2483</v>
      </c>
      <c r="M589" s="49" t="s">
        <v>61</v>
      </c>
      <c r="N589" s="39" t="s">
        <v>62</v>
      </c>
      <c r="O589" s="24"/>
      <c r="P589" s="409" t="s">
        <v>2484</v>
      </c>
      <c r="Q589" s="76" t="s">
        <v>64</v>
      </c>
      <c r="R589" s="76" t="s">
        <v>1885</v>
      </c>
      <c r="S589" s="24"/>
      <c r="T589" s="24"/>
      <c r="U589" s="64"/>
      <c r="V589" s="56"/>
      <c r="W589" s="56"/>
      <c r="X589" s="56"/>
      <c r="Y589" s="56"/>
      <c r="Z589" s="56"/>
      <c r="AA589" s="56"/>
      <c r="AB589" s="56"/>
      <c r="AC589" s="56"/>
    </row>
    <row r="590" spans="1:29" ht="15.75" customHeight="1">
      <c r="A590" s="39" t="s">
        <v>2457</v>
      </c>
      <c r="B590" s="107">
        <v>43649</v>
      </c>
      <c r="C590" s="109">
        <v>43654</v>
      </c>
      <c r="D590" s="159" t="s">
        <v>366</v>
      </c>
      <c r="E590" s="76" t="s">
        <v>188</v>
      </c>
      <c r="F590" s="129" t="s">
        <v>1761</v>
      </c>
      <c r="G590" s="399">
        <f>IFERROR(VLOOKUP(A590,醫療院所DATABASE!A:B,2,""),)</f>
        <v>0</v>
      </c>
      <c r="H590" s="76" t="s">
        <v>2485</v>
      </c>
      <c r="I590" s="109">
        <v>43648</v>
      </c>
      <c r="J590" s="109">
        <v>43650</v>
      </c>
      <c r="K590" s="39" t="s">
        <v>2486</v>
      </c>
      <c r="L590" s="76" t="s">
        <v>2487</v>
      </c>
      <c r="M590" s="49" t="s">
        <v>61</v>
      </c>
      <c r="N590" s="39" t="s">
        <v>62</v>
      </c>
      <c r="O590" s="24"/>
      <c r="P590" s="409" t="s">
        <v>2488</v>
      </c>
      <c r="Q590" s="76" t="s">
        <v>64</v>
      </c>
      <c r="R590" s="76" t="s">
        <v>1885</v>
      </c>
      <c r="S590" s="24"/>
      <c r="T590" s="24"/>
      <c r="U590" s="64"/>
      <c r="V590" s="56"/>
      <c r="W590" s="56"/>
      <c r="X590" s="56"/>
      <c r="Y590" s="56"/>
      <c r="Z590" s="56"/>
      <c r="AA590" s="56"/>
      <c r="AB590" s="56"/>
      <c r="AC590" s="56"/>
    </row>
    <row r="591" spans="1:29" ht="15.75" customHeight="1">
      <c r="A591" s="39" t="s">
        <v>2457</v>
      </c>
      <c r="B591" s="107">
        <v>43649</v>
      </c>
      <c r="C591" s="109">
        <v>43654</v>
      </c>
      <c r="D591" s="159" t="s">
        <v>366</v>
      </c>
      <c r="E591" s="76" t="s">
        <v>53</v>
      </c>
      <c r="F591" s="129" t="s">
        <v>1761</v>
      </c>
      <c r="G591" s="399">
        <f>IFERROR(VLOOKUP(A591,醫療院所DATABASE!A:B,2,""),)</f>
        <v>0</v>
      </c>
      <c r="H591" s="76" t="s">
        <v>2489</v>
      </c>
      <c r="I591" s="109">
        <v>43648</v>
      </c>
      <c r="J591" s="109">
        <v>43650</v>
      </c>
      <c r="K591" s="39" t="s">
        <v>2490</v>
      </c>
      <c r="L591" s="76" t="s">
        <v>2491</v>
      </c>
      <c r="M591" s="49" t="s">
        <v>61</v>
      </c>
      <c r="N591" s="39" t="s">
        <v>51</v>
      </c>
      <c r="O591" s="24"/>
      <c r="P591" s="409" t="s">
        <v>2492</v>
      </c>
      <c r="Q591" s="76" t="s">
        <v>64</v>
      </c>
      <c r="R591" s="76" t="s">
        <v>1885</v>
      </c>
      <c r="S591" s="24"/>
      <c r="T591" s="24"/>
      <c r="U591" s="64"/>
      <c r="V591" s="56"/>
      <c r="W591" s="56"/>
      <c r="X591" s="56"/>
      <c r="Y591" s="56"/>
      <c r="Z591" s="56"/>
      <c r="AA591" s="56"/>
      <c r="AB591" s="56"/>
      <c r="AC591" s="56"/>
    </row>
    <row r="592" spans="1:29" ht="15.75" customHeight="1">
      <c r="A592" s="39" t="s">
        <v>2457</v>
      </c>
      <c r="B592" s="107">
        <v>43650</v>
      </c>
      <c r="C592" s="109">
        <v>43654</v>
      </c>
      <c r="D592" s="159" t="s">
        <v>366</v>
      </c>
      <c r="E592" s="76" t="s">
        <v>188</v>
      </c>
      <c r="F592" s="129" t="s">
        <v>1761</v>
      </c>
      <c r="G592" s="399">
        <f>IFERROR(VLOOKUP(A592,醫療院所DATABASE!A:B,2,""),)</f>
        <v>0</v>
      </c>
      <c r="H592" s="76" t="s">
        <v>2493</v>
      </c>
      <c r="I592" s="109">
        <v>43648</v>
      </c>
      <c r="J592" s="109">
        <v>43650</v>
      </c>
      <c r="K592" s="39" t="s">
        <v>2494</v>
      </c>
      <c r="L592" s="76" t="s">
        <v>2495</v>
      </c>
      <c r="M592" s="49" t="s">
        <v>61</v>
      </c>
      <c r="N592" s="39" t="s">
        <v>62</v>
      </c>
      <c r="O592" s="24"/>
      <c r="P592" s="409" t="s">
        <v>2496</v>
      </c>
      <c r="Q592" s="76" t="s">
        <v>64</v>
      </c>
      <c r="R592" s="76" t="s">
        <v>1885</v>
      </c>
      <c r="S592" s="24"/>
      <c r="T592" s="24"/>
      <c r="U592" s="64"/>
      <c r="V592" s="56"/>
      <c r="W592" s="56"/>
      <c r="X592" s="56"/>
      <c r="Y592" s="56"/>
      <c r="Z592" s="56"/>
      <c r="AA592" s="56"/>
      <c r="AB592" s="56"/>
      <c r="AC592" s="56"/>
    </row>
    <row r="593" spans="1:29" ht="15.75" customHeight="1">
      <c r="A593" s="39" t="s">
        <v>2040</v>
      </c>
      <c r="B593" s="107">
        <v>43649</v>
      </c>
      <c r="C593" s="109">
        <v>43654</v>
      </c>
      <c r="D593" s="159" t="s">
        <v>2041</v>
      </c>
      <c r="E593" s="76" t="s">
        <v>53</v>
      </c>
      <c r="F593" s="39" t="s">
        <v>1213</v>
      </c>
      <c r="G593" s="399">
        <f>IFERROR(VLOOKUP(A593,醫療院所DATABASE!A:B,2,""),)</f>
        <v>0</v>
      </c>
      <c r="H593" s="64"/>
      <c r="I593" s="109">
        <v>43648</v>
      </c>
      <c r="J593" s="109">
        <v>43650</v>
      </c>
      <c r="K593" s="39" t="s">
        <v>2497</v>
      </c>
      <c r="L593" s="76" t="s">
        <v>2498</v>
      </c>
      <c r="M593" s="39" t="s">
        <v>963</v>
      </c>
      <c r="N593" s="39" t="s">
        <v>62</v>
      </c>
      <c r="O593" s="24"/>
      <c r="P593" s="409" t="s">
        <v>2499</v>
      </c>
      <c r="Q593" s="76" t="s">
        <v>64</v>
      </c>
      <c r="R593" s="76" t="s">
        <v>1885</v>
      </c>
      <c r="S593" s="24"/>
      <c r="T593" s="24"/>
      <c r="U593" s="64"/>
      <c r="V593" s="56"/>
      <c r="W593" s="56"/>
      <c r="X593" s="56"/>
      <c r="Y593" s="56"/>
      <c r="Z593" s="56"/>
      <c r="AA593" s="56"/>
      <c r="AB593" s="56"/>
      <c r="AC593" s="56"/>
    </row>
    <row r="594" spans="1:29" ht="15.75" customHeight="1">
      <c r="A594" s="39" t="s">
        <v>2500</v>
      </c>
      <c r="B594" s="107">
        <v>43650</v>
      </c>
      <c r="C594" s="109">
        <v>43654</v>
      </c>
      <c r="D594" s="159" t="s">
        <v>53</v>
      </c>
      <c r="E594" s="76" t="s">
        <v>53</v>
      </c>
      <c r="F594" s="39" t="s">
        <v>1614</v>
      </c>
      <c r="G594" s="399">
        <f>IFERROR(VLOOKUP(A594,醫療院所DATABASE!A:B,2,""),)</f>
        <v>0</v>
      </c>
      <c r="H594" s="64"/>
      <c r="I594" s="109">
        <v>43649</v>
      </c>
      <c r="J594" s="109">
        <v>43651</v>
      </c>
      <c r="K594" s="39" t="s">
        <v>2501</v>
      </c>
      <c r="L594" s="76" t="s">
        <v>2502</v>
      </c>
      <c r="M594" s="39" t="s">
        <v>2503</v>
      </c>
      <c r="N594" s="39" t="s">
        <v>62</v>
      </c>
      <c r="O594" s="24"/>
      <c r="P594" s="409" t="s">
        <v>2504</v>
      </c>
      <c r="Q594" s="76" t="s">
        <v>1931</v>
      </c>
      <c r="R594" s="76" t="s">
        <v>1885</v>
      </c>
      <c r="S594" s="24"/>
      <c r="T594" s="24"/>
      <c r="U594" s="76" t="s">
        <v>2505</v>
      </c>
      <c r="V594" s="56"/>
      <c r="W594" s="56"/>
      <c r="X594" s="56"/>
      <c r="Y594" s="56"/>
      <c r="Z594" s="56"/>
      <c r="AA594" s="56"/>
      <c r="AB594" s="56"/>
      <c r="AC594" s="56"/>
    </row>
    <row r="595" spans="1:29" ht="15.75" customHeight="1">
      <c r="A595" s="39">
        <v>19070104</v>
      </c>
      <c r="B595" s="107">
        <v>43650</v>
      </c>
      <c r="C595" s="109">
        <v>43654</v>
      </c>
      <c r="D595" s="159" t="s">
        <v>1029</v>
      </c>
      <c r="E595" s="76" t="s">
        <v>188</v>
      </c>
      <c r="F595" s="39" t="s">
        <v>353</v>
      </c>
      <c r="G595" s="399">
        <f>IFERROR(VLOOKUP(A595,醫療院所DATABASE!A:B,2,""),)</f>
        <v>0</v>
      </c>
      <c r="H595" s="64"/>
      <c r="I595" s="109">
        <v>43649</v>
      </c>
      <c r="J595" s="109">
        <v>43651</v>
      </c>
      <c r="K595" s="39" t="s">
        <v>2506</v>
      </c>
      <c r="L595" s="171" t="s">
        <v>2507</v>
      </c>
      <c r="M595" s="39" t="s">
        <v>2508</v>
      </c>
      <c r="N595" s="39" t="s">
        <v>62</v>
      </c>
      <c r="O595" s="24"/>
      <c r="P595" s="409" t="s">
        <v>2509</v>
      </c>
      <c r="Q595" s="76" t="s">
        <v>64</v>
      </c>
      <c r="R595" s="76" t="s">
        <v>1885</v>
      </c>
      <c r="S595" s="24"/>
      <c r="T595" s="24"/>
      <c r="U595" s="76"/>
      <c r="V595" s="56"/>
      <c r="W595" s="56"/>
      <c r="X595" s="56"/>
      <c r="Y595" s="56"/>
      <c r="Z595" s="56"/>
      <c r="AA595" s="56"/>
      <c r="AB595" s="56"/>
      <c r="AC595" s="56"/>
    </row>
    <row r="596" spans="1:29" ht="15.75" customHeight="1">
      <c r="A596" s="39">
        <v>19070105</v>
      </c>
      <c r="B596" s="107">
        <v>43650</v>
      </c>
      <c r="C596" s="109">
        <v>43654</v>
      </c>
      <c r="D596" s="159" t="s">
        <v>1029</v>
      </c>
      <c r="E596" s="76" t="s">
        <v>188</v>
      </c>
      <c r="F596" s="39" t="s">
        <v>353</v>
      </c>
      <c r="G596" s="399">
        <f>IFERROR(VLOOKUP(A596,醫療院所DATABASE!A:B,2,""),)</f>
        <v>0</v>
      </c>
      <c r="H596" s="64"/>
      <c r="I596" s="109">
        <v>43649</v>
      </c>
      <c r="J596" s="109">
        <v>43651</v>
      </c>
      <c r="K596" s="39" t="s">
        <v>2506</v>
      </c>
      <c r="L596" s="171" t="s">
        <v>2507</v>
      </c>
      <c r="M596" s="39" t="s">
        <v>2510</v>
      </c>
      <c r="N596" s="39" t="s">
        <v>62</v>
      </c>
      <c r="O596" s="24"/>
      <c r="P596" s="411" t="s">
        <v>2509</v>
      </c>
      <c r="Q596" s="76" t="s">
        <v>64</v>
      </c>
      <c r="R596" s="76" t="s">
        <v>1885</v>
      </c>
      <c r="S596" s="24"/>
      <c r="T596" s="24"/>
      <c r="U596" s="76"/>
      <c r="V596" s="56"/>
      <c r="W596" s="56"/>
      <c r="X596" s="56"/>
      <c r="Y596" s="56"/>
      <c r="Z596" s="56"/>
      <c r="AA596" s="56"/>
      <c r="AB596" s="56"/>
      <c r="AC596" s="56"/>
    </row>
    <row r="597" spans="1:29" ht="15.75" customHeight="1">
      <c r="A597" s="39" t="s">
        <v>2330</v>
      </c>
      <c r="B597" s="107">
        <v>43654</v>
      </c>
      <c r="C597" s="109">
        <v>43655</v>
      </c>
      <c r="D597" s="159" t="s">
        <v>522</v>
      </c>
      <c r="E597" s="76" t="s">
        <v>53</v>
      </c>
      <c r="F597" s="39" t="s">
        <v>2511</v>
      </c>
      <c r="G597" s="399">
        <f>IFERROR(VLOOKUP(A597,醫療院所DATABASE!A:B,2,""),)</f>
        <v>0</v>
      </c>
      <c r="H597" s="64"/>
      <c r="I597" s="109">
        <v>43650</v>
      </c>
      <c r="J597" s="109">
        <v>43654</v>
      </c>
      <c r="K597" s="39" t="s">
        <v>2512</v>
      </c>
      <c r="L597" s="76" t="s">
        <v>2513</v>
      </c>
      <c r="M597" s="49" t="s">
        <v>61</v>
      </c>
      <c r="N597" s="39" t="s">
        <v>62</v>
      </c>
      <c r="O597" s="24"/>
      <c r="P597" s="409" t="s">
        <v>2514</v>
      </c>
      <c r="Q597" s="76" t="s">
        <v>64</v>
      </c>
      <c r="R597" s="76" t="s">
        <v>1885</v>
      </c>
      <c r="S597" s="24"/>
      <c r="T597" s="24"/>
      <c r="U597" s="76" t="s">
        <v>2515</v>
      </c>
      <c r="V597" s="56"/>
      <c r="W597" s="56"/>
      <c r="X597" s="56"/>
      <c r="Y597" s="56"/>
      <c r="Z597" s="56"/>
      <c r="AA597" s="56"/>
      <c r="AB597" s="56"/>
      <c r="AC597" s="56"/>
    </row>
    <row r="598" spans="1:29" ht="15.75" customHeight="1">
      <c r="A598" s="39" t="s">
        <v>2330</v>
      </c>
      <c r="B598" s="107">
        <v>43654</v>
      </c>
      <c r="C598" s="109">
        <v>43655</v>
      </c>
      <c r="D598" s="159" t="s">
        <v>522</v>
      </c>
      <c r="E598" s="76" t="s">
        <v>188</v>
      </c>
      <c r="F598" s="39" t="s">
        <v>2511</v>
      </c>
      <c r="G598" s="399">
        <f>IFERROR(VLOOKUP(A598,醫療院所DATABASE!A:B,2,""),)</f>
        <v>0</v>
      </c>
      <c r="H598" s="64"/>
      <c r="I598" s="109">
        <v>43650</v>
      </c>
      <c r="J598" s="109">
        <v>43654</v>
      </c>
      <c r="K598" s="39" t="s">
        <v>2516</v>
      </c>
      <c r="L598" s="76" t="s">
        <v>2517</v>
      </c>
      <c r="M598" s="49" t="s">
        <v>61</v>
      </c>
      <c r="N598" s="39" t="s">
        <v>62</v>
      </c>
      <c r="O598" s="24"/>
      <c r="P598" s="409" t="s">
        <v>2518</v>
      </c>
      <c r="Q598" s="76" t="s">
        <v>64</v>
      </c>
      <c r="R598" s="76" t="s">
        <v>1885</v>
      </c>
      <c r="S598" s="24"/>
      <c r="T598" s="24"/>
      <c r="U598" s="76" t="s">
        <v>2515</v>
      </c>
      <c r="V598" s="56"/>
      <c r="W598" s="56"/>
      <c r="X598" s="56"/>
      <c r="Y598" s="56"/>
      <c r="Z598" s="56"/>
      <c r="AA598" s="56"/>
      <c r="AB598" s="56"/>
      <c r="AC598" s="56"/>
    </row>
    <row r="599" spans="1:29" ht="15.75" customHeight="1">
      <c r="A599" s="39" t="s">
        <v>2330</v>
      </c>
      <c r="B599" s="107">
        <v>43654</v>
      </c>
      <c r="C599" s="109">
        <v>43655</v>
      </c>
      <c r="D599" s="159" t="s">
        <v>522</v>
      </c>
      <c r="E599" s="76" t="s">
        <v>53</v>
      </c>
      <c r="F599" s="39" t="s">
        <v>2511</v>
      </c>
      <c r="G599" s="399">
        <f>IFERROR(VLOOKUP(A599,醫療院所DATABASE!A:B,2,""),)</f>
        <v>0</v>
      </c>
      <c r="H599" s="64"/>
      <c r="I599" s="109">
        <v>43650</v>
      </c>
      <c r="J599" s="109">
        <v>43654</v>
      </c>
      <c r="K599" s="39" t="s">
        <v>2519</v>
      </c>
      <c r="L599" s="76" t="s">
        <v>2520</v>
      </c>
      <c r="M599" s="49" t="s">
        <v>61</v>
      </c>
      <c r="N599" s="39" t="s">
        <v>62</v>
      </c>
      <c r="O599" s="24"/>
      <c r="P599" s="409" t="s">
        <v>2521</v>
      </c>
      <c r="Q599" s="76" t="s">
        <v>64</v>
      </c>
      <c r="R599" s="76" t="s">
        <v>1885</v>
      </c>
      <c r="S599" s="24"/>
      <c r="T599" s="24"/>
      <c r="U599" s="76" t="s">
        <v>2515</v>
      </c>
      <c r="V599" s="56"/>
      <c r="W599" s="56"/>
      <c r="X599" s="56"/>
      <c r="Y599" s="56"/>
      <c r="Z599" s="56"/>
      <c r="AA599" s="56"/>
      <c r="AB599" s="56"/>
      <c r="AC599" s="56"/>
    </row>
    <row r="600" spans="1:29" ht="15.75" customHeight="1">
      <c r="A600" s="39">
        <v>19070204</v>
      </c>
      <c r="B600" s="107">
        <v>43654</v>
      </c>
      <c r="C600" s="109">
        <v>43656</v>
      </c>
      <c r="D600" s="159" t="s">
        <v>1415</v>
      </c>
      <c r="E600" s="76" t="s">
        <v>188</v>
      </c>
      <c r="F600" s="79" t="s">
        <v>353</v>
      </c>
      <c r="G600" s="399">
        <f>IFERROR(VLOOKUP(A600,醫療院所DATABASE!A:B,2,""),)</f>
        <v>0</v>
      </c>
      <c r="H600" s="64"/>
      <c r="I600" s="109">
        <v>43650</v>
      </c>
      <c r="J600" s="109">
        <v>43654</v>
      </c>
      <c r="K600" s="39" t="s">
        <v>2522</v>
      </c>
      <c r="L600" s="76" t="s">
        <v>2523</v>
      </c>
      <c r="M600" s="39" t="s">
        <v>2508</v>
      </c>
      <c r="N600" s="39" t="s">
        <v>62</v>
      </c>
      <c r="O600" s="24"/>
      <c r="P600" s="409" t="s">
        <v>2524</v>
      </c>
      <c r="Q600" s="76" t="s">
        <v>64</v>
      </c>
      <c r="R600" s="76" t="s">
        <v>1885</v>
      </c>
      <c r="S600" s="24"/>
      <c r="T600" s="24"/>
      <c r="U600" s="64"/>
      <c r="V600" s="56"/>
      <c r="W600" s="56"/>
      <c r="X600" s="56"/>
      <c r="Y600" s="56"/>
      <c r="Z600" s="56"/>
      <c r="AA600" s="56"/>
      <c r="AB600" s="56"/>
      <c r="AC600" s="56"/>
    </row>
    <row r="601" spans="1:29" ht="15.75" customHeight="1">
      <c r="A601" s="39">
        <v>19070205</v>
      </c>
      <c r="B601" s="107">
        <v>43654</v>
      </c>
      <c r="C601" s="109">
        <v>43656</v>
      </c>
      <c r="D601" s="159" t="s">
        <v>1415</v>
      </c>
      <c r="E601" s="76" t="s">
        <v>188</v>
      </c>
      <c r="F601" s="79" t="s">
        <v>353</v>
      </c>
      <c r="G601" s="399">
        <f>IFERROR(VLOOKUP(A601,醫療院所DATABASE!A:B,2,""),)</f>
        <v>0</v>
      </c>
      <c r="H601" s="64"/>
      <c r="I601" s="109">
        <v>43650</v>
      </c>
      <c r="J601" s="109">
        <v>43654</v>
      </c>
      <c r="K601" s="39" t="s">
        <v>2522</v>
      </c>
      <c r="L601" s="76" t="s">
        <v>2523</v>
      </c>
      <c r="M601" s="39" t="s">
        <v>2525</v>
      </c>
      <c r="N601" s="39" t="s">
        <v>62</v>
      </c>
      <c r="O601" s="24"/>
      <c r="P601" s="409" t="s">
        <v>2524</v>
      </c>
      <c r="Q601" s="76" t="s">
        <v>64</v>
      </c>
      <c r="R601" s="76" t="s">
        <v>1885</v>
      </c>
      <c r="S601" s="24"/>
      <c r="T601" s="24"/>
      <c r="U601" s="64"/>
      <c r="V601" s="56"/>
      <c r="W601" s="56"/>
      <c r="X601" s="56"/>
      <c r="Y601" s="56"/>
      <c r="Z601" s="56"/>
      <c r="AA601" s="56"/>
      <c r="AB601" s="56"/>
      <c r="AC601" s="56"/>
    </row>
    <row r="602" spans="1:29" ht="15.75" customHeight="1">
      <c r="A602" s="39" t="s">
        <v>2526</v>
      </c>
      <c r="B602" s="107">
        <v>43651</v>
      </c>
      <c r="C602" s="109">
        <v>43655</v>
      </c>
      <c r="D602" s="159" t="s">
        <v>479</v>
      </c>
      <c r="E602" s="76" t="s">
        <v>53</v>
      </c>
      <c r="F602" s="39" t="s">
        <v>2527</v>
      </c>
      <c r="G602" s="399">
        <f>IFERROR(VLOOKUP(A602,醫療院所DATABASE!A:B,2,""),)</f>
        <v>0</v>
      </c>
      <c r="H602" s="64"/>
      <c r="I602" s="109">
        <v>43651</v>
      </c>
      <c r="J602" s="109">
        <v>43654</v>
      </c>
      <c r="K602" s="39" t="s">
        <v>2528</v>
      </c>
      <c r="L602" s="76" t="s">
        <v>2529</v>
      </c>
      <c r="M602" s="39" t="s">
        <v>2201</v>
      </c>
      <c r="N602" s="39" t="s">
        <v>62</v>
      </c>
      <c r="O602" s="24"/>
      <c r="P602" s="409" t="s">
        <v>2530</v>
      </c>
      <c r="Q602" s="76" t="s">
        <v>1207</v>
      </c>
      <c r="R602" s="76" t="s">
        <v>2531</v>
      </c>
      <c r="S602" s="24"/>
      <c r="T602" s="24"/>
      <c r="U602" s="76" t="s">
        <v>2532</v>
      </c>
      <c r="V602" s="56"/>
      <c r="W602" s="56"/>
      <c r="X602" s="56"/>
      <c r="Y602" s="56"/>
      <c r="Z602" s="56"/>
      <c r="AA602" s="56"/>
      <c r="AB602" s="56"/>
      <c r="AC602" s="56"/>
    </row>
    <row r="603" spans="1:29" ht="15.75" customHeight="1">
      <c r="A603" s="39" t="s">
        <v>2526</v>
      </c>
      <c r="B603" s="107">
        <v>43651</v>
      </c>
      <c r="C603" s="109">
        <v>43655</v>
      </c>
      <c r="D603" s="159" t="s">
        <v>479</v>
      </c>
      <c r="E603" s="76" t="s">
        <v>53</v>
      </c>
      <c r="F603" s="39" t="s">
        <v>2527</v>
      </c>
      <c r="G603" s="399">
        <f>IFERROR(VLOOKUP(A603,醫療院所DATABASE!A:B,2,""),)</f>
        <v>0</v>
      </c>
      <c r="H603" s="64"/>
      <c r="I603" s="109">
        <v>43651</v>
      </c>
      <c r="J603" s="109">
        <v>43654</v>
      </c>
      <c r="K603" s="39" t="s">
        <v>2533</v>
      </c>
      <c r="L603" s="76" t="s">
        <v>2534</v>
      </c>
      <c r="M603" s="39" t="s">
        <v>2201</v>
      </c>
      <c r="N603" s="39" t="s">
        <v>62</v>
      </c>
      <c r="O603" s="24"/>
      <c r="P603" s="409" t="s">
        <v>2535</v>
      </c>
      <c r="Q603" s="76" t="s">
        <v>1207</v>
      </c>
      <c r="R603" s="76" t="s">
        <v>2531</v>
      </c>
      <c r="S603" s="24"/>
      <c r="T603" s="24"/>
      <c r="U603" s="76" t="s">
        <v>2532</v>
      </c>
      <c r="V603" s="56"/>
      <c r="W603" s="56"/>
      <c r="X603" s="56"/>
      <c r="Y603" s="56"/>
      <c r="Z603" s="56"/>
      <c r="AA603" s="56"/>
      <c r="AB603" s="56"/>
      <c r="AC603" s="56"/>
    </row>
    <row r="604" spans="1:29" ht="15.75" customHeight="1">
      <c r="A604" s="39" t="s">
        <v>2536</v>
      </c>
      <c r="B604" s="107">
        <v>43654</v>
      </c>
      <c r="C604" s="109">
        <v>43658</v>
      </c>
      <c r="D604" s="159" t="s">
        <v>1542</v>
      </c>
      <c r="E604" s="76" t="s">
        <v>1542</v>
      </c>
      <c r="F604" s="39" t="s">
        <v>65</v>
      </c>
      <c r="G604" s="399">
        <f>IFERROR(VLOOKUP(A604,醫療院所DATABASE!A:B,2,""),)</f>
        <v>0</v>
      </c>
      <c r="H604" s="64"/>
      <c r="I604" s="109">
        <v>43651</v>
      </c>
      <c r="J604" s="109">
        <v>43655</v>
      </c>
      <c r="K604" s="39" t="s">
        <v>2537</v>
      </c>
      <c r="L604" s="76" t="s">
        <v>2538</v>
      </c>
      <c r="M604" s="39" t="s">
        <v>2503</v>
      </c>
      <c r="N604" s="39" t="s">
        <v>51</v>
      </c>
      <c r="O604" s="24"/>
      <c r="P604" s="409" t="s">
        <v>2539</v>
      </c>
      <c r="Q604" s="76" t="s">
        <v>1931</v>
      </c>
      <c r="R604" s="76" t="s">
        <v>1885</v>
      </c>
      <c r="S604" s="24"/>
      <c r="T604" s="24"/>
      <c r="U604" s="64"/>
      <c r="V604" s="56"/>
      <c r="W604" s="56"/>
      <c r="X604" s="56"/>
      <c r="Y604" s="56"/>
      <c r="Z604" s="56"/>
      <c r="AA604" s="56"/>
      <c r="AB604" s="56"/>
      <c r="AC604" s="56"/>
    </row>
    <row r="605" spans="1:29" ht="15.75" customHeight="1">
      <c r="A605" s="39" t="s">
        <v>2343</v>
      </c>
      <c r="B605" s="107">
        <v>43656</v>
      </c>
      <c r="C605" s="109">
        <v>43661</v>
      </c>
      <c r="D605" s="159" t="s">
        <v>1910</v>
      </c>
      <c r="E605" s="76" t="s">
        <v>188</v>
      </c>
      <c r="F605" s="39" t="s">
        <v>1911</v>
      </c>
      <c r="G605" s="399">
        <f>IFERROR(VLOOKUP(A605,醫療院所DATABASE!A:B,2,""),)</f>
        <v>0</v>
      </c>
      <c r="H605" s="64"/>
      <c r="I605" s="109">
        <v>43654</v>
      </c>
      <c r="J605" s="109">
        <v>43656</v>
      </c>
      <c r="K605" s="39" t="s">
        <v>2540</v>
      </c>
      <c r="L605" s="76" t="s">
        <v>2541</v>
      </c>
      <c r="M605" s="49" t="s">
        <v>61</v>
      </c>
      <c r="N605" s="39" t="s">
        <v>51</v>
      </c>
      <c r="O605" s="24"/>
      <c r="P605" s="409" t="s">
        <v>2542</v>
      </c>
      <c r="Q605" s="76" t="s">
        <v>64</v>
      </c>
      <c r="R605" s="76" t="s">
        <v>1885</v>
      </c>
      <c r="S605" s="24"/>
      <c r="T605" s="24"/>
      <c r="U605" s="64"/>
      <c r="V605" s="56"/>
      <c r="W605" s="56"/>
      <c r="X605" s="56"/>
      <c r="Y605" s="56"/>
      <c r="Z605" s="56"/>
      <c r="AA605" s="56"/>
      <c r="AB605" s="56"/>
      <c r="AC605" s="56"/>
    </row>
    <row r="606" spans="1:29" ht="15.75" customHeight="1">
      <c r="A606" s="39">
        <v>19070702</v>
      </c>
      <c r="B606" s="107">
        <v>43656</v>
      </c>
      <c r="C606" s="109">
        <v>43661</v>
      </c>
      <c r="D606" s="159" t="s">
        <v>53</v>
      </c>
      <c r="E606" s="76" t="s">
        <v>53</v>
      </c>
      <c r="F606" s="39" t="s">
        <v>353</v>
      </c>
      <c r="G606" s="399">
        <f>IFERROR(VLOOKUP(A606,醫療院所DATABASE!A:B,2,""),)</f>
        <v>0</v>
      </c>
      <c r="H606" s="64"/>
      <c r="I606" s="109">
        <v>43654</v>
      </c>
      <c r="J606" s="109">
        <v>43656</v>
      </c>
      <c r="K606" s="39" t="s">
        <v>2543</v>
      </c>
      <c r="L606" s="76" t="s">
        <v>2544</v>
      </c>
      <c r="M606" s="49" t="s">
        <v>61</v>
      </c>
      <c r="N606" s="39" t="s">
        <v>51</v>
      </c>
      <c r="O606" s="24"/>
      <c r="P606" s="409" t="s">
        <v>2545</v>
      </c>
      <c r="Q606" s="76" t="s">
        <v>1931</v>
      </c>
      <c r="R606" s="76" t="s">
        <v>1885</v>
      </c>
      <c r="S606" s="24"/>
      <c r="T606" s="24"/>
      <c r="U606" s="64"/>
      <c r="V606" s="56"/>
      <c r="W606" s="56"/>
      <c r="X606" s="56"/>
      <c r="Y606" s="56"/>
      <c r="Z606" s="56"/>
      <c r="AA606" s="56"/>
      <c r="AB606" s="56"/>
      <c r="AC606" s="56"/>
    </row>
    <row r="607" spans="1:29" ht="15.75" customHeight="1">
      <c r="A607" s="39">
        <v>19070501</v>
      </c>
      <c r="B607" s="107">
        <v>43656</v>
      </c>
      <c r="C607" s="109">
        <v>43661</v>
      </c>
      <c r="D607" s="173" t="s">
        <v>1029</v>
      </c>
      <c r="E607" s="76" t="s">
        <v>188</v>
      </c>
      <c r="F607" s="39" t="s">
        <v>353</v>
      </c>
      <c r="G607" s="399">
        <f>IFERROR(VLOOKUP(A607,醫療院所DATABASE!A:B,2,""),)</f>
        <v>0</v>
      </c>
      <c r="H607" s="76" t="s">
        <v>2546</v>
      </c>
      <c r="I607" s="109">
        <v>43654</v>
      </c>
      <c r="J607" s="109">
        <v>43656</v>
      </c>
      <c r="K607" s="39" t="s">
        <v>2547</v>
      </c>
      <c r="L607" s="76" t="s">
        <v>2548</v>
      </c>
      <c r="M607" s="39" t="s">
        <v>2549</v>
      </c>
      <c r="N607" s="39" t="s">
        <v>62</v>
      </c>
      <c r="O607" s="24"/>
      <c r="P607" s="409" t="s">
        <v>2550</v>
      </c>
      <c r="Q607" s="76" t="s">
        <v>64</v>
      </c>
      <c r="R607" s="76" t="s">
        <v>1885</v>
      </c>
      <c r="S607" s="24"/>
      <c r="T607" s="24"/>
      <c r="U607" s="64"/>
      <c r="V607" s="56"/>
      <c r="W607" s="56"/>
      <c r="X607" s="56"/>
      <c r="Y607" s="56"/>
      <c r="Z607" s="56"/>
      <c r="AA607" s="56"/>
      <c r="AB607" s="56"/>
      <c r="AC607" s="56"/>
    </row>
    <row r="608" spans="1:29" ht="15.75" customHeight="1">
      <c r="A608" s="39">
        <v>19070502</v>
      </c>
      <c r="B608" s="107">
        <v>43656</v>
      </c>
      <c r="C608" s="109">
        <v>43661</v>
      </c>
      <c r="D608" s="173" t="s">
        <v>1029</v>
      </c>
      <c r="E608" s="76" t="s">
        <v>53</v>
      </c>
      <c r="F608" s="39" t="s">
        <v>353</v>
      </c>
      <c r="G608" s="399">
        <f>IFERROR(VLOOKUP(A608,醫療院所DATABASE!A:B,2,""),)</f>
        <v>0</v>
      </c>
      <c r="H608" s="76" t="s">
        <v>2551</v>
      </c>
      <c r="I608" s="109">
        <v>43654</v>
      </c>
      <c r="J608" s="109">
        <v>43656</v>
      </c>
      <c r="K608" s="39" t="s">
        <v>2552</v>
      </c>
      <c r="L608" s="76" t="s">
        <v>2553</v>
      </c>
      <c r="M608" s="39" t="s">
        <v>2554</v>
      </c>
      <c r="N608" s="39" t="s">
        <v>62</v>
      </c>
      <c r="O608" s="24"/>
      <c r="P608" s="409" t="s">
        <v>2555</v>
      </c>
      <c r="Q608" s="76" t="s">
        <v>64</v>
      </c>
      <c r="R608" s="76" t="s">
        <v>1885</v>
      </c>
      <c r="S608" s="24"/>
      <c r="T608" s="24"/>
      <c r="U608" s="64"/>
      <c r="V608" s="56"/>
      <c r="W608" s="56"/>
      <c r="X608" s="56"/>
      <c r="Y608" s="56"/>
      <c r="Z608" s="56"/>
      <c r="AA608" s="56"/>
      <c r="AB608" s="56"/>
      <c r="AC608" s="56"/>
    </row>
    <row r="609" spans="1:29" ht="15.75" customHeight="1">
      <c r="A609" s="39" t="s">
        <v>1750</v>
      </c>
      <c r="B609" s="107">
        <v>43656</v>
      </c>
      <c r="C609" s="109">
        <v>43656</v>
      </c>
      <c r="D609" s="159" t="s">
        <v>366</v>
      </c>
      <c r="E609" s="76" t="s">
        <v>366</v>
      </c>
      <c r="F609" s="39" t="s">
        <v>2556</v>
      </c>
      <c r="G609" s="399">
        <f>IFERROR(VLOOKUP(A609,醫療院所DATABASE!A:B,2,""),)</f>
        <v>0</v>
      </c>
      <c r="H609" s="64"/>
      <c r="I609" s="109">
        <v>43654</v>
      </c>
      <c r="J609" s="109">
        <v>43656</v>
      </c>
      <c r="K609" s="39" t="s">
        <v>2557</v>
      </c>
      <c r="L609" s="76" t="s">
        <v>2558</v>
      </c>
      <c r="M609" s="49" t="s">
        <v>61</v>
      </c>
      <c r="N609" s="39" t="s">
        <v>51</v>
      </c>
      <c r="O609" s="24"/>
      <c r="P609" s="409" t="s">
        <v>2559</v>
      </c>
      <c r="Q609" s="76" t="s">
        <v>64</v>
      </c>
      <c r="R609" s="76" t="s">
        <v>1885</v>
      </c>
      <c r="S609" s="24"/>
      <c r="T609" s="24"/>
      <c r="U609" s="76" t="s">
        <v>2560</v>
      </c>
      <c r="V609" s="56"/>
      <c r="W609" s="56"/>
      <c r="X609" s="56"/>
      <c r="Y609" s="56"/>
      <c r="Z609" s="56"/>
      <c r="AA609" s="56"/>
      <c r="AB609" s="56"/>
      <c r="AC609" s="56"/>
    </row>
    <row r="610" spans="1:29" ht="15.75" customHeight="1">
      <c r="A610" s="39" t="s">
        <v>2457</v>
      </c>
      <c r="B610" s="107">
        <v>43656</v>
      </c>
      <c r="C610" s="109">
        <v>43661</v>
      </c>
      <c r="D610" s="159" t="s">
        <v>366</v>
      </c>
      <c r="E610" s="76" t="s">
        <v>188</v>
      </c>
      <c r="F610" s="129" t="s">
        <v>1761</v>
      </c>
      <c r="G610" s="399">
        <f>IFERROR(VLOOKUP(#REF!,醫療院所DATABASE!A:B,2,""),)</f>
        <v>0</v>
      </c>
      <c r="H610" s="76" t="s">
        <v>2561</v>
      </c>
      <c r="I610" s="109">
        <v>43655</v>
      </c>
      <c r="J610" s="109">
        <v>43657</v>
      </c>
      <c r="K610" s="39" t="s">
        <v>2562</v>
      </c>
      <c r="L610" s="76" t="s">
        <v>2563</v>
      </c>
      <c r="M610" s="49" t="s">
        <v>61</v>
      </c>
      <c r="N610" s="39" t="s">
        <v>51</v>
      </c>
      <c r="O610" s="24"/>
      <c r="P610" s="409" t="s">
        <v>2564</v>
      </c>
      <c r="Q610" s="76" t="s">
        <v>64</v>
      </c>
      <c r="R610" s="76" t="s">
        <v>1885</v>
      </c>
      <c r="S610" s="24"/>
      <c r="T610" s="24"/>
      <c r="U610" s="64"/>
      <c r="V610" s="56"/>
      <c r="W610" s="56"/>
      <c r="X610" s="56"/>
      <c r="Y610" s="56"/>
      <c r="Z610" s="56"/>
      <c r="AA610" s="56"/>
      <c r="AB610" s="56"/>
      <c r="AC610" s="56"/>
    </row>
    <row r="611" spans="1:29" ht="15.75" customHeight="1">
      <c r="A611" s="39" t="s">
        <v>2457</v>
      </c>
      <c r="B611" s="107">
        <v>43656</v>
      </c>
      <c r="C611" s="109">
        <v>43661</v>
      </c>
      <c r="D611" s="159" t="s">
        <v>366</v>
      </c>
      <c r="E611" s="76" t="s">
        <v>53</v>
      </c>
      <c r="F611" s="129" t="s">
        <v>1761</v>
      </c>
      <c r="G611" s="399">
        <f>IFERROR(VLOOKUP(A610,醫療院所DATABASE!A:B,2,""),)</f>
        <v>0</v>
      </c>
      <c r="H611" s="76" t="s">
        <v>2565</v>
      </c>
      <c r="I611" s="109">
        <v>43655</v>
      </c>
      <c r="J611" s="109">
        <v>43657</v>
      </c>
      <c r="K611" s="120" t="s">
        <v>2566</v>
      </c>
      <c r="L611" s="76" t="s">
        <v>2567</v>
      </c>
      <c r="M611" s="49" t="s">
        <v>61</v>
      </c>
      <c r="N611" s="39" t="s">
        <v>62</v>
      </c>
      <c r="O611" s="24"/>
      <c r="P611" s="409" t="s">
        <v>2568</v>
      </c>
      <c r="Q611" s="76" t="s">
        <v>64</v>
      </c>
      <c r="R611" s="76" t="s">
        <v>1885</v>
      </c>
      <c r="S611" s="24"/>
      <c r="T611" s="24"/>
      <c r="U611" s="64"/>
      <c r="V611" s="56"/>
      <c r="W611" s="56"/>
      <c r="X611" s="56"/>
      <c r="Y611" s="56"/>
      <c r="Z611" s="56"/>
      <c r="AA611" s="56"/>
      <c r="AB611" s="56"/>
      <c r="AC611" s="56"/>
    </row>
    <row r="612" spans="1:29" ht="15.75" customHeight="1">
      <c r="A612" s="39" t="s">
        <v>2457</v>
      </c>
      <c r="B612" s="107">
        <v>43656</v>
      </c>
      <c r="C612" s="109">
        <v>43661</v>
      </c>
      <c r="D612" s="159" t="s">
        <v>366</v>
      </c>
      <c r="E612" s="76" t="s">
        <v>188</v>
      </c>
      <c r="F612" s="129" t="s">
        <v>1761</v>
      </c>
      <c r="G612" s="399">
        <f>IFERROR(VLOOKUP(A612,醫療院所DATABASE!A:B,2,""),)</f>
        <v>0</v>
      </c>
      <c r="H612" s="76" t="s">
        <v>2569</v>
      </c>
      <c r="I612" s="109">
        <v>43655</v>
      </c>
      <c r="J612" s="109">
        <v>43657</v>
      </c>
      <c r="K612" s="39" t="s">
        <v>2570</v>
      </c>
      <c r="L612" s="76" t="s">
        <v>2571</v>
      </c>
      <c r="M612" s="49" t="s">
        <v>61</v>
      </c>
      <c r="N612" s="39" t="s">
        <v>62</v>
      </c>
      <c r="O612" s="24"/>
      <c r="P612" s="409" t="s">
        <v>2572</v>
      </c>
      <c r="Q612" s="76" t="s">
        <v>64</v>
      </c>
      <c r="R612" s="76" t="s">
        <v>1885</v>
      </c>
      <c r="S612" s="24"/>
      <c r="T612" s="24"/>
      <c r="U612" s="64"/>
      <c r="V612" s="56"/>
      <c r="W612" s="56"/>
      <c r="X612" s="56"/>
      <c r="Y612" s="56"/>
      <c r="Z612" s="56"/>
      <c r="AA612" s="56"/>
      <c r="AB612" s="56"/>
      <c r="AC612" s="56"/>
    </row>
    <row r="613" spans="1:29" ht="15.75" customHeight="1">
      <c r="A613" s="39" t="s">
        <v>2457</v>
      </c>
      <c r="B613" s="107">
        <v>43656</v>
      </c>
      <c r="C613" s="109">
        <v>43661</v>
      </c>
      <c r="D613" s="159" t="s">
        <v>366</v>
      </c>
      <c r="E613" s="76" t="s">
        <v>53</v>
      </c>
      <c r="F613" s="129" t="s">
        <v>1761</v>
      </c>
      <c r="G613" s="399">
        <f>IFERROR(VLOOKUP(A613,醫療院所DATABASE!A:B,2,""),)</f>
        <v>0</v>
      </c>
      <c r="H613" s="64"/>
      <c r="I613" s="109">
        <v>43655</v>
      </c>
      <c r="J613" s="109">
        <v>43657</v>
      </c>
      <c r="K613" s="39" t="s">
        <v>2573</v>
      </c>
      <c r="L613" s="76" t="s">
        <v>2574</v>
      </c>
      <c r="M613" s="49" t="s">
        <v>61</v>
      </c>
      <c r="N613" s="39" t="s">
        <v>62</v>
      </c>
      <c r="O613" s="24"/>
      <c r="P613" s="409" t="s">
        <v>2575</v>
      </c>
      <c r="Q613" s="76" t="s">
        <v>64</v>
      </c>
      <c r="R613" s="76" t="s">
        <v>1885</v>
      </c>
      <c r="S613" s="24"/>
      <c r="T613" s="24"/>
      <c r="U613" s="64"/>
      <c r="V613" s="56"/>
      <c r="W613" s="56"/>
      <c r="X613" s="56"/>
      <c r="Y613" s="56"/>
      <c r="Z613" s="56"/>
      <c r="AA613" s="56"/>
      <c r="AB613" s="56"/>
      <c r="AC613" s="56"/>
    </row>
    <row r="614" spans="1:29" ht="15.75" customHeight="1">
      <c r="A614" s="39" t="s">
        <v>2457</v>
      </c>
      <c r="B614" s="107">
        <v>43656</v>
      </c>
      <c r="C614" s="109">
        <v>43661</v>
      </c>
      <c r="D614" s="159" t="s">
        <v>366</v>
      </c>
      <c r="E614" s="76" t="s">
        <v>188</v>
      </c>
      <c r="F614" s="129" t="s">
        <v>1761</v>
      </c>
      <c r="G614" s="399">
        <f>IFERROR(VLOOKUP(A614,醫療院所DATABASE!A:B,2,""),)</f>
        <v>0</v>
      </c>
      <c r="H614" s="76" t="s">
        <v>2576</v>
      </c>
      <c r="I614" s="109">
        <v>43655</v>
      </c>
      <c r="J614" s="109">
        <v>43657</v>
      </c>
      <c r="K614" s="39" t="s">
        <v>2577</v>
      </c>
      <c r="L614" s="76" t="s">
        <v>2578</v>
      </c>
      <c r="M614" s="49" t="s">
        <v>61</v>
      </c>
      <c r="N614" s="39" t="s">
        <v>51</v>
      </c>
      <c r="O614" s="24"/>
      <c r="P614" s="409" t="s">
        <v>2579</v>
      </c>
      <c r="Q614" s="76" t="s">
        <v>64</v>
      </c>
      <c r="R614" s="76" t="s">
        <v>1885</v>
      </c>
      <c r="S614" s="24"/>
      <c r="T614" s="24"/>
      <c r="U614" s="64"/>
      <c r="V614" s="56"/>
      <c r="W614" s="56"/>
      <c r="X614" s="56"/>
      <c r="Y614" s="56"/>
      <c r="Z614" s="56"/>
      <c r="AA614" s="56"/>
      <c r="AB614" s="56"/>
      <c r="AC614" s="56"/>
    </row>
    <row r="615" spans="1:29" ht="15.75" customHeight="1">
      <c r="A615" s="39" t="s">
        <v>2457</v>
      </c>
      <c r="B615" s="107">
        <v>43656</v>
      </c>
      <c r="C615" s="109">
        <v>43661</v>
      </c>
      <c r="D615" s="159" t="s">
        <v>366</v>
      </c>
      <c r="E615" s="76" t="s">
        <v>53</v>
      </c>
      <c r="F615" s="129" t="s">
        <v>1761</v>
      </c>
      <c r="G615" s="399">
        <f>IFERROR(VLOOKUP(A615,醫療院所DATABASE!A:B,2,""),)</f>
        <v>0</v>
      </c>
      <c r="H615" s="174" t="s">
        <v>2563</v>
      </c>
      <c r="I615" s="109">
        <v>43655</v>
      </c>
      <c r="J615" s="109">
        <v>43657</v>
      </c>
      <c r="K615" s="39" t="s">
        <v>2580</v>
      </c>
      <c r="L615" s="76" t="s">
        <v>2561</v>
      </c>
      <c r="M615" s="49" t="s">
        <v>61</v>
      </c>
      <c r="N615" s="39" t="s">
        <v>51</v>
      </c>
      <c r="O615" s="24"/>
      <c r="P615" s="409" t="s">
        <v>2581</v>
      </c>
      <c r="Q615" s="76" t="s">
        <v>64</v>
      </c>
      <c r="R615" s="76" t="s">
        <v>1885</v>
      </c>
      <c r="S615" s="24"/>
      <c r="T615" s="24"/>
      <c r="U615" s="64"/>
      <c r="V615" s="56"/>
      <c r="W615" s="56"/>
      <c r="X615" s="56"/>
      <c r="Y615" s="56"/>
      <c r="Z615" s="56"/>
      <c r="AA615" s="56"/>
      <c r="AB615" s="56"/>
      <c r="AC615" s="56"/>
    </row>
    <row r="616" spans="1:29" ht="15.75" customHeight="1">
      <c r="A616" s="39" t="s">
        <v>2457</v>
      </c>
      <c r="B616" s="107">
        <v>43656</v>
      </c>
      <c r="C616" s="109">
        <v>43661</v>
      </c>
      <c r="D616" s="159" t="s">
        <v>366</v>
      </c>
      <c r="E616" s="76" t="s">
        <v>188</v>
      </c>
      <c r="F616" s="129" t="s">
        <v>1761</v>
      </c>
      <c r="G616" s="399">
        <f>IFERROR(VLOOKUP(A616,醫療院所DATABASE!A:B,2,""),)</f>
        <v>0</v>
      </c>
      <c r="H616" s="76" t="s">
        <v>2582</v>
      </c>
      <c r="I616" s="109">
        <v>43655</v>
      </c>
      <c r="J616" s="109">
        <v>43657</v>
      </c>
      <c r="K616" s="39" t="s">
        <v>2583</v>
      </c>
      <c r="L616" s="76" t="s">
        <v>2584</v>
      </c>
      <c r="M616" s="49" t="s">
        <v>61</v>
      </c>
      <c r="N616" s="39" t="s">
        <v>62</v>
      </c>
      <c r="O616" s="24"/>
      <c r="P616" s="409" t="s">
        <v>2585</v>
      </c>
      <c r="Q616" s="76" t="s">
        <v>64</v>
      </c>
      <c r="R616" s="76" t="s">
        <v>1885</v>
      </c>
      <c r="S616" s="24"/>
      <c r="T616" s="24"/>
      <c r="U616" s="76" t="s">
        <v>2586</v>
      </c>
      <c r="V616" s="56"/>
      <c r="W616" s="56"/>
      <c r="X616" s="56"/>
      <c r="Y616" s="56"/>
      <c r="Z616" s="56"/>
      <c r="AA616" s="56"/>
      <c r="AB616" s="56"/>
      <c r="AC616" s="56"/>
    </row>
    <row r="617" spans="1:29" ht="15.75" customHeight="1">
      <c r="A617" s="39" t="s">
        <v>2457</v>
      </c>
      <c r="B617" s="107">
        <v>43656</v>
      </c>
      <c r="C617" s="109">
        <v>43661</v>
      </c>
      <c r="D617" s="159" t="s">
        <v>366</v>
      </c>
      <c r="E617" s="76" t="s">
        <v>53</v>
      </c>
      <c r="F617" s="129" t="s">
        <v>1761</v>
      </c>
      <c r="G617" s="399">
        <f>IFERROR(VLOOKUP(A617,醫療院所DATABASE!A:B,2,""),)</f>
        <v>0</v>
      </c>
      <c r="H617" s="76" t="s">
        <v>2587</v>
      </c>
      <c r="I617" s="109">
        <v>43655</v>
      </c>
      <c r="J617" s="109">
        <v>43657</v>
      </c>
      <c r="K617" s="39" t="s">
        <v>2588</v>
      </c>
      <c r="L617" s="76" t="s">
        <v>2589</v>
      </c>
      <c r="M617" s="49" t="s">
        <v>61</v>
      </c>
      <c r="N617" s="39" t="s">
        <v>62</v>
      </c>
      <c r="O617" s="24"/>
      <c r="P617" s="409" t="s">
        <v>2590</v>
      </c>
      <c r="Q617" s="76" t="s">
        <v>64</v>
      </c>
      <c r="R617" s="76" t="s">
        <v>1885</v>
      </c>
      <c r="S617" s="24"/>
      <c r="T617" s="24"/>
      <c r="U617" s="64"/>
      <c r="V617" s="56"/>
      <c r="W617" s="56"/>
      <c r="X617" s="56"/>
      <c r="Y617" s="56"/>
      <c r="Z617" s="56"/>
      <c r="AA617" s="56"/>
      <c r="AB617" s="56"/>
      <c r="AC617" s="56"/>
    </row>
    <row r="618" spans="1:29" ht="15.75" customHeight="1">
      <c r="A618" s="39" t="s">
        <v>2457</v>
      </c>
      <c r="B618" s="107">
        <v>43656</v>
      </c>
      <c r="C618" s="109">
        <v>43661</v>
      </c>
      <c r="D618" s="159" t="s">
        <v>366</v>
      </c>
      <c r="E618" s="76" t="s">
        <v>188</v>
      </c>
      <c r="F618" s="129" t="s">
        <v>1761</v>
      </c>
      <c r="G618" s="399">
        <f>IFERROR(VLOOKUP(A618,醫療院所DATABASE!A:B,2,""),)</f>
        <v>0</v>
      </c>
      <c r="H618" s="76" t="s">
        <v>2591</v>
      </c>
      <c r="I618" s="109">
        <v>43655</v>
      </c>
      <c r="J618" s="109">
        <v>43657</v>
      </c>
      <c r="K618" s="39" t="s">
        <v>2592</v>
      </c>
      <c r="L618" s="76" t="s">
        <v>2593</v>
      </c>
      <c r="M618" s="49" t="s">
        <v>61</v>
      </c>
      <c r="N618" s="39" t="s">
        <v>51</v>
      </c>
      <c r="O618" s="24"/>
      <c r="P618" s="409" t="s">
        <v>2594</v>
      </c>
      <c r="Q618" s="76" t="s">
        <v>64</v>
      </c>
      <c r="R618" s="76" t="s">
        <v>1885</v>
      </c>
      <c r="S618" s="24"/>
      <c r="T618" s="24"/>
      <c r="U618" s="64"/>
      <c r="V618" s="56"/>
      <c r="W618" s="56"/>
      <c r="X618" s="56"/>
      <c r="Y618" s="56"/>
      <c r="Z618" s="56"/>
      <c r="AA618" s="56"/>
      <c r="AB618" s="56"/>
      <c r="AC618" s="56"/>
    </row>
    <row r="619" spans="1:29" ht="15.75" customHeight="1">
      <c r="A619" s="39" t="s">
        <v>2457</v>
      </c>
      <c r="B619" s="107">
        <v>43656</v>
      </c>
      <c r="C619" s="109">
        <v>43661</v>
      </c>
      <c r="D619" s="159" t="s">
        <v>366</v>
      </c>
      <c r="E619" s="76" t="s">
        <v>53</v>
      </c>
      <c r="F619" s="129" t="s">
        <v>1761</v>
      </c>
      <c r="G619" s="399">
        <f>IFERROR(VLOOKUP(A619,醫療院所DATABASE!A:B,2,""),)</f>
        <v>0</v>
      </c>
      <c r="H619" s="175" t="s">
        <v>2587</v>
      </c>
      <c r="I619" s="109">
        <v>43655</v>
      </c>
      <c r="J619" s="109">
        <v>43657</v>
      </c>
      <c r="K619" s="39" t="s">
        <v>2595</v>
      </c>
      <c r="L619" s="76" t="s">
        <v>2596</v>
      </c>
      <c r="M619" s="49" t="s">
        <v>61</v>
      </c>
      <c r="N619" s="39" t="s">
        <v>62</v>
      </c>
      <c r="O619" s="24"/>
      <c r="P619" s="409" t="s">
        <v>2597</v>
      </c>
      <c r="Q619" s="76" t="s">
        <v>64</v>
      </c>
      <c r="R619" s="76" t="s">
        <v>1885</v>
      </c>
      <c r="S619" s="24"/>
      <c r="T619" s="24"/>
      <c r="U619" s="64"/>
      <c r="V619" s="56"/>
      <c r="W619" s="56"/>
      <c r="X619" s="56"/>
      <c r="Y619" s="56"/>
      <c r="Z619" s="56"/>
      <c r="AA619" s="56"/>
      <c r="AB619" s="56"/>
      <c r="AC619" s="56"/>
    </row>
    <row r="620" spans="1:29" ht="15.75" customHeight="1">
      <c r="A620" s="39" t="s">
        <v>2457</v>
      </c>
      <c r="B620" s="107">
        <v>43656</v>
      </c>
      <c r="C620" s="109">
        <v>43661</v>
      </c>
      <c r="D620" s="159" t="s">
        <v>366</v>
      </c>
      <c r="E620" s="76" t="s">
        <v>188</v>
      </c>
      <c r="F620" s="129" t="s">
        <v>1761</v>
      </c>
      <c r="G620" s="399">
        <f>IFERROR(VLOOKUP(A620,醫療院所DATABASE!A:B,2,""),)</f>
        <v>0</v>
      </c>
      <c r="H620" s="76" t="s">
        <v>2598</v>
      </c>
      <c r="I620" s="109">
        <v>43655</v>
      </c>
      <c r="J620" s="109">
        <v>43657</v>
      </c>
      <c r="K620" s="39" t="s">
        <v>2599</v>
      </c>
      <c r="L620" s="76" t="s">
        <v>2600</v>
      </c>
      <c r="M620" s="49" t="s">
        <v>61</v>
      </c>
      <c r="N620" s="39" t="s">
        <v>51</v>
      </c>
      <c r="O620" s="24"/>
      <c r="P620" s="409" t="s">
        <v>2601</v>
      </c>
      <c r="Q620" s="76" t="s">
        <v>64</v>
      </c>
      <c r="R620" s="76" t="s">
        <v>1885</v>
      </c>
      <c r="S620" s="24"/>
      <c r="T620" s="24"/>
      <c r="U620" s="64"/>
      <c r="V620" s="56"/>
      <c r="W620" s="56"/>
      <c r="X620" s="56"/>
      <c r="Y620" s="56"/>
      <c r="Z620" s="56"/>
      <c r="AA620" s="56"/>
      <c r="AB620" s="56"/>
      <c r="AC620" s="56"/>
    </row>
    <row r="621" spans="1:29" ht="15.75" customHeight="1">
      <c r="A621" s="39" t="s">
        <v>2457</v>
      </c>
      <c r="B621" s="107">
        <v>43656</v>
      </c>
      <c r="C621" s="109">
        <v>43661</v>
      </c>
      <c r="D621" s="159" t="s">
        <v>366</v>
      </c>
      <c r="E621" s="76" t="s">
        <v>53</v>
      </c>
      <c r="F621" s="129" t="s">
        <v>1761</v>
      </c>
      <c r="G621" s="399">
        <f>IFERROR(VLOOKUP(A621,醫療院所DATABASE!A:B,2,""),)</f>
        <v>0</v>
      </c>
      <c r="H621" s="76" t="s">
        <v>2602</v>
      </c>
      <c r="I621" s="109">
        <v>43655</v>
      </c>
      <c r="J621" s="109">
        <v>43657</v>
      </c>
      <c r="K621" s="39" t="s">
        <v>2603</v>
      </c>
      <c r="L621" s="76" t="s">
        <v>2604</v>
      </c>
      <c r="M621" s="49" t="s">
        <v>61</v>
      </c>
      <c r="N621" s="39" t="s">
        <v>62</v>
      </c>
      <c r="O621" s="24"/>
      <c r="P621" s="409" t="s">
        <v>2605</v>
      </c>
      <c r="Q621" s="76" t="s">
        <v>64</v>
      </c>
      <c r="R621" s="76" t="s">
        <v>1885</v>
      </c>
      <c r="S621" s="24"/>
      <c r="T621" s="24"/>
      <c r="U621" s="64"/>
      <c r="V621" s="56"/>
      <c r="W621" s="56"/>
      <c r="X621" s="56"/>
      <c r="Y621" s="56"/>
      <c r="Z621" s="56"/>
      <c r="AA621" s="56"/>
      <c r="AB621" s="56"/>
      <c r="AC621" s="56"/>
    </row>
    <row r="622" spans="1:29" ht="15.75" customHeight="1">
      <c r="A622" s="39" t="s">
        <v>2457</v>
      </c>
      <c r="B622" s="107">
        <v>43656</v>
      </c>
      <c r="C622" s="109">
        <v>43661</v>
      </c>
      <c r="D622" s="159" t="s">
        <v>366</v>
      </c>
      <c r="E622" s="76" t="s">
        <v>188</v>
      </c>
      <c r="F622" s="129" t="s">
        <v>1761</v>
      </c>
      <c r="G622" s="399">
        <f>IFERROR(VLOOKUP(A622,醫療院所DATABASE!A:B,2,""),)</f>
        <v>0</v>
      </c>
      <c r="H622" s="76" t="s">
        <v>2606</v>
      </c>
      <c r="I622" s="109">
        <v>43655</v>
      </c>
      <c r="J622" s="109">
        <v>43657</v>
      </c>
      <c r="K622" s="39" t="s">
        <v>2607</v>
      </c>
      <c r="L622" s="76" t="s">
        <v>2608</v>
      </c>
      <c r="M622" s="49" t="s">
        <v>61</v>
      </c>
      <c r="N622" s="39" t="s">
        <v>51</v>
      </c>
      <c r="O622" s="24"/>
      <c r="P622" s="409" t="s">
        <v>2609</v>
      </c>
      <c r="Q622" s="76" t="s">
        <v>64</v>
      </c>
      <c r="R622" s="76" t="s">
        <v>1885</v>
      </c>
      <c r="S622" s="24"/>
      <c r="T622" s="24"/>
      <c r="U622" s="64"/>
      <c r="V622" s="56"/>
      <c r="W622" s="56"/>
      <c r="X622" s="56"/>
      <c r="Y622" s="56"/>
      <c r="Z622" s="56"/>
      <c r="AA622" s="56"/>
      <c r="AB622" s="56"/>
      <c r="AC622" s="56"/>
    </row>
    <row r="623" spans="1:29" ht="15.75" customHeight="1">
      <c r="A623" s="39" t="s">
        <v>2457</v>
      </c>
      <c r="B623" s="107">
        <v>43656</v>
      </c>
      <c r="C623" s="109">
        <v>43661</v>
      </c>
      <c r="D623" s="159" t="s">
        <v>366</v>
      </c>
      <c r="E623" s="76" t="s">
        <v>53</v>
      </c>
      <c r="F623" s="129" t="s">
        <v>1761</v>
      </c>
      <c r="G623" s="399">
        <f>IFERROR(VLOOKUP(A623,醫療院所DATABASE!A:B,2,""),)</f>
        <v>0</v>
      </c>
      <c r="H623" s="76" t="s">
        <v>2610</v>
      </c>
      <c r="I623" s="109">
        <v>43655</v>
      </c>
      <c r="J623" s="109">
        <v>43657</v>
      </c>
      <c r="K623" s="39" t="s">
        <v>2611</v>
      </c>
      <c r="L623" s="76" t="s">
        <v>2612</v>
      </c>
      <c r="M623" s="49" t="s">
        <v>61</v>
      </c>
      <c r="N623" s="39" t="s">
        <v>51</v>
      </c>
      <c r="O623" s="24"/>
      <c r="P623" s="409" t="s">
        <v>2613</v>
      </c>
      <c r="Q623" s="76" t="s">
        <v>64</v>
      </c>
      <c r="R623" s="76" t="s">
        <v>1885</v>
      </c>
      <c r="S623" s="24"/>
      <c r="T623" s="24"/>
      <c r="U623" s="64"/>
      <c r="V623" s="56"/>
      <c r="W623" s="56"/>
      <c r="X623" s="56"/>
      <c r="Y623" s="56"/>
      <c r="Z623" s="56"/>
      <c r="AA623" s="56"/>
      <c r="AB623" s="56"/>
      <c r="AC623" s="56"/>
    </row>
    <row r="624" spans="1:29" ht="15.75" customHeight="1">
      <c r="A624" s="39" t="s">
        <v>2283</v>
      </c>
      <c r="B624" s="107">
        <v>43656</v>
      </c>
      <c r="C624" s="109">
        <v>43658</v>
      </c>
      <c r="D624" s="159" t="s">
        <v>479</v>
      </c>
      <c r="E624" s="76" t="s">
        <v>188</v>
      </c>
      <c r="F624" s="39" t="s">
        <v>2284</v>
      </c>
      <c r="G624" s="399">
        <f>IFERROR(VLOOKUP(A624,醫療院所DATABASE!A:B,2,""),)</f>
        <v>0</v>
      </c>
      <c r="H624" s="64"/>
      <c r="I624" s="109">
        <v>43655</v>
      </c>
      <c r="J624" s="109">
        <v>43657</v>
      </c>
      <c r="K624" s="39" t="s">
        <v>2195</v>
      </c>
      <c r="L624" s="76" t="s">
        <v>2196</v>
      </c>
      <c r="M624" s="49" t="s">
        <v>61</v>
      </c>
      <c r="N624" s="39" t="s">
        <v>51</v>
      </c>
      <c r="O624" s="24"/>
      <c r="P624" s="409" t="s">
        <v>2614</v>
      </c>
      <c r="Q624" s="76" t="s">
        <v>64</v>
      </c>
      <c r="R624" s="76" t="s">
        <v>1885</v>
      </c>
      <c r="S624" s="24"/>
      <c r="T624" s="24"/>
      <c r="U624" s="76" t="s">
        <v>2615</v>
      </c>
      <c r="V624" s="56"/>
      <c r="W624" s="56"/>
      <c r="X624" s="56"/>
      <c r="Y624" s="56"/>
      <c r="Z624" s="56"/>
      <c r="AA624" s="56"/>
      <c r="AB624" s="56"/>
      <c r="AC624" s="56"/>
    </row>
    <row r="625" spans="1:29" ht="15.75" customHeight="1">
      <c r="A625" s="39" t="s">
        <v>1389</v>
      </c>
      <c r="B625" s="107">
        <v>43656</v>
      </c>
      <c r="C625" s="109">
        <v>43658</v>
      </c>
      <c r="D625" s="76" t="s">
        <v>479</v>
      </c>
      <c r="E625" s="76" t="s">
        <v>163</v>
      </c>
      <c r="F625" s="39" t="s">
        <v>1709</v>
      </c>
      <c r="G625" s="399">
        <f>IFERROR(VLOOKUP(A625,醫療院所DATABASE!A:B,2,""),)</f>
        <v>0</v>
      </c>
      <c r="H625" s="64"/>
      <c r="I625" s="109">
        <v>43655</v>
      </c>
      <c r="J625" s="109">
        <v>43657</v>
      </c>
      <c r="K625" s="39" t="s">
        <v>2616</v>
      </c>
      <c r="L625" s="76" t="s">
        <v>2617</v>
      </c>
      <c r="M625" s="49" t="s">
        <v>61</v>
      </c>
      <c r="N625" s="39" t="s">
        <v>62</v>
      </c>
      <c r="O625" s="24"/>
      <c r="P625" s="409" t="s">
        <v>2618</v>
      </c>
      <c r="Q625" s="76" t="s">
        <v>1207</v>
      </c>
      <c r="R625" s="76" t="s">
        <v>1885</v>
      </c>
      <c r="S625" s="24"/>
      <c r="T625" s="24"/>
      <c r="U625" s="64"/>
      <c r="V625" s="56"/>
      <c r="W625" s="56"/>
      <c r="X625" s="56"/>
      <c r="Y625" s="56"/>
      <c r="Z625" s="56"/>
      <c r="AA625" s="56"/>
      <c r="AB625" s="56"/>
      <c r="AC625" s="56"/>
    </row>
    <row r="626" spans="1:29" ht="15.75" customHeight="1">
      <c r="A626" s="39" t="s">
        <v>766</v>
      </c>
      <c r="B626" s="107">
        <v>43657</v>
      </c>
      <c r="C626" s="109">
        <v>43661</v>
      </c>
      <c r="D626" s="159" t="s">
        <v>665</v>
      </c>
      <c r="E626" s="76" t="s">
        <v>665</v>
      </c>
      <c r="F626" s="39" t="s">
        <v>1569</v>
      </c>
      <c r="G626" s="399">
        <f>IFERROR(VLOOKUP(A626,醫療院所DATABASE!A:B,2,""),)</f>
        <v>0</v>
      </c>
      <c r="H626" s="64"/>
      <c r="I626" s="109">
        <v>43656</v>
      </c>
      <c r="J626" s="109">
        <v>43658</v>
      </c>
      <c r="K626" s="39" t="s">
        <v>2619</v>
      </c>
      <c r="L626" s="76" t="s">
        <v>2620</v>
      </c>
      <c r="M626" s="49" t="s">
        <v>61</v>
      </c>
      <c r="N626" s="39" t="s">
        <v>62</v>
      </c>
      <c r="O626" s="24"/>
      <c r="P626" s="409" t="s">
        <v>2621</v>
      </c>
      <c r="Q626" s="76" t="s">
        <v>64</v>
      </c>
      <c r="R626" s="76" t="s">
        <v>1885</v>
      </c>
      <c r="S626" s="24"/>
      <c r="T626" s="24"/>
      <c r="U626" s="76" t="s">
        <v>2622</v>
      </c>
      <c r="V626" s="56"/>
      <c r="W626" s="56"/>
      <c r="X626" s="56"/>
      <c r="Y626" s="56"/>
      <c r="Z626" s="56"/>
      <c r="AA626" s="56"/>
      <c r="AB626" s="56"/>
      <c r="AC626" s="56"/>
    </row>
    <row r="627" spans="1:29" ht="15.75" customHeight="1">
      <c r="A627" s="39" t="s">
        <v>2623</v>
      </c>
      <c r="B627" s="107">
        <v>43658</v>
      </c>
      <c r="C627" s="109">
        <v>43661</v>
      </c>
      <c r="D627" s="159" t="s">
        <v>543</v>
      </c>
      <c r="E627" s="76" t="s">
        <v>53</v>
      </c>
      <c r="F627" s="39" t="s">
        <v>1745</v>
      </c>
      <c r="G627" s="399">
        <f>IFERROR(VLOOKUP(A627,醫療院所DATABASE!A:B,2,""),)</f>
        <v>0</v>
      </c>
      <c r="H627" s="64"/>
      <c r="I627" s="109">
        <v>43657</v>
      </c>
      <c r="J627" s="109">
        <v>43661</v>
      </c>
      <c r="K627" s="39" t="s">
        <v>2624</v>
      </c>
      <c r="L627" s="76" t="s">
        <v>2625</v>
      </c>
      <c r="M627" s="49" t="s">
        <v>61</v>
      </c>
      <c r="N627" s="39" t="s">
        <v>51</v>
      </c>
      <c r="O627" s="24"/>
      <c r="P627" s="409" t="s">
        <v>2626</v>
      </c>
      <c r="Q627" s="76" t="s">
        <v>64</v>
      </c>
      <c r="R627" s="76" t="s">
        <v>1885</v>
      </c>
      <c r="S627" s="24"/>
      <c r="T627" s="24"/>
      <c r="U627" s="76"/>
      <c r="V627" s="56"/>
      <c r="W627" s="56"/>
      <c r="X627" s="56"/>
      <c r="Y627" s="56"/>
      <c r="Z627" s="56"/>
      <c r="AA627" s="56"/>
      <c r="AB627" s="56"/>
      <c r="AC627" s="56"/>
    </row>
    <row r="628" spans="1:29" ht="15.75" customHeight="1">
      <c r="A628" s="39" t="s">
        <v>2330</v>
      </c>
      <c r="B628" s="107">
        <v>43661</v>
      </c>
      <c r="C628" s="109">
        <v>43662</v>
      </c>
      <c r="D628" s="159" t="s">
        <v>522</v>
      </c>
      <c r="E628" s="76" t="s">
        <v>53</v>
      </c>
      <c r="F628" s="39" t="s">
        <v>2627</v>
      </c>
      <c r="G628" s="399">
        <f>IFERROR(VLOOKUP(A628,醫療院所DATABASE!A:B,2,""),)</f>
        <v>0</v>
      </c>
      <c r="H628" s="64"/>
      <c r="I628" s="109">
        <v>43658</v>
      </c>
      <c r="J628" s="109">
        <v>43662</v>
      </c>
      <c r="K628" s="39" t="s">
        <v>2628</v>
      </c>
      <c r="L628" s="76" t="s">
        <v>2629</v>
      </c>
      <c r="M628" s="49" t="s">
        <v>61</v>
      </c>
      <c r="N628" s="39" t="s">
        <v>62</v>
      </c>
      <c r="O628" s="24"/>
      <c r="P628" s="409" t="s">
        <v>2630</v>
      </c>
      <c r="Q628" s="76" t="s">
        <v>64</v>
      </c>
      <c r="R628" s="76" t="s">
        <v>1885</v>
      </c>
      <c r="S628" s="24"/>
      <c r="T628" s="24"/>
      <c r="U628" s="76" t="s">
        <v>2631</v>
      </c>
      <c r="V628" s="56">
        <v>155</v>
      </c>
      <c r="W628" s="56">
        <v>50</v>
      </c>
      <c r="X628" s="56"/>
      <c r="Y628" s="56"/>
      <c r="Z628" s="56"/>
      <c r="AA628" s="56"/>
      <c r="AB628" s="56"/>
      <c r="AC628" s="56"/>
    </row>
    <row r="629" spans="1:29" ht="15.75" customHeight="1">
      <c r="A629" s="39" t="s">
        <v>2632</v>
      </c>
      <c r="B629" s="107">
        <v>43661</v>
      </c>
      <c r="C629" s="109">
        <v>43661</v>
      </c>
      <c r="D629" s="159" t="s">
        <v>522</v>
      </c>
      <c r="E629" s="76" t="s">
        <v>188</v>
      </c>
      <c r="F629" s="39" t="s">
        <v>1569</v>
      </c>
      <c r="G629" s="399">
        <f>IFERROR(VLOOKUP(A629,醫療院所DATABASE!A:B,2,""),)</f>
        <v>0</v>
      </c>
      <c r="H629" s="64"/>
      <c r="I629" s="109">
        <v>43658</v>
      </c>
      <c r="J629" s="109">
        <v>43662</v>
      </c>
      <c r="K629" s="39" t="s">
        <v>2633</v>
      </c>
      <c r="L629" s="76" t="s">
        <v>2634</v>
      </c>
      <c r="M629" s="49" t="s">
        <v>61</v>
      </c>
      <c r="N629" s="39" t="s">
        <v>62</v>
      </c>
      <c r="O629" s="24"/>
      <c r="P629" s="409" t="s">
        <v>2635</v>
      </c>
      <c r="Q629" s="76" t="s">
        <v>64</v>
      </c>
      <c r="R629" s="76" t="s">
        <v>1885</v>
      </c>
      <c r="S629" s="24"/>
      <c r="T629" s="24"/>
      <c r="U629" s="64"/>
      <c r="V629" s="56"/>
      <c r="W629" s="56"/>
      <c r="X629" s="56"/>
      <c r="Y629" s="56"/>
      <c r="Z629" s="56"/>
      <c r="AA629" s="56"/>
      <c r="AB629" s="56"/>
      <c r="AC629" s="56"/>
    </row>
    <row r="630" spans="1:29" ht="15.75" customHeight="1">
      <c r="A630" s="39" t="s">
        <v>2636</v>
      </c>
      <c r="B630" s="107">
        <v>43661</v>
      </c>
      <c r="C630" s="109">
        <v>43668</v>
      </c>
      <c r="D630" s="159" t="s">
        <v>366</v>
      </c>
      <c r="E630" s="76" t="s">
        <v>53</v>
      </c>
      <c r="F630" s="129" t="s">
        <v>1761</v>
      </c>
      <c r="G630" s="399">
        <f>IFERROR(VLOOKUP(A630,醫療院所DATABASE!A:B,2,""),)</f>
        <v>0</v>
      </c>
      <c r="H630" s="64"/>
      <c r="I630" s="109">
        <v>43658</v>
      </c>
      <c r="J630" s="109">
        <v>43662</v>
      </c>
      <c r="K630" s="39" t="s">
        <v>2637</v>
      </c>
      <c r="L630" s="76" t="s">
        <v>2638</v>
      </c>
      <c r="M630" s="49" t="s">
        <v>61</v>
      </c>
      <c r="N630" s="39" t="s">
        <v>62</v>
      </c>
      <c r="O630" s="24"/>
      <c r="P630" s="409" t="s">
        <v>2639</v>
      </c>
      <c r="Q630" s="76" t="s">
        <v>64</v>
      </c>
      <c r="R630" s="76" t="s">
        <v>1885</v>
      </c>
      <c r="S630" s="24"/>
      <c r="T630" s="24"/>
      <c r="U630" s="64"/>
      <c r="V630" s="56"/>
      <c r="W630" s="56"/>
      <c r="X630" s="56"/>
      <c r="Y630" s="56"/>
      <c r="Z630" s="56"/>
      <c r="AA630" s="56"/>
      <c r="AB630" s="56"/>
      <c r="AC630" s="56"/>
    </row>
    <row r="631" spans="1:29" ht="15.75" customHeight="1">
      <c r="A631" s="39" t="s">
        <v>2636</v>
      </c>
      <c r="B631" s="107">
        <v>43661</v>
      </c>
      <c r="C631" s="109">
        <v>43670</v>
      </c>
      <c r="D631" s="159" t="s">
        <v>366</v>
      </c>
      <c r="E631" s="76" t="s">
        <v>188</v>
      </c>
      <c r="F631" s="129" t="s">
        <v>1761</v>
      </c>
      <c r="G631" s="399">
        <f>IFERROR(VLOOKUP(A631,醫療院所DATABASE!A:B,2,""),)</f>
        <v>0</v>
      </c>
      <c r="H631" s="64"/>
      <c r="I631" s="109">
        <v>43658</v>
      </c>
      <c r="J631" s="109">
        <v>43662</v>
      </c>
      <c r="K631" s="39" t="s">
        <v>2640</v>
      </c>
      <c r="L631" s="76" t="s">
        <v>2641</v>
      </c>
      <c r="M631" s="49" t="s">
        <v>61</v>
      </c>
      <c r="N631" s="39" t="s">
        <v>62</v>
      </c>
      <c r="O631" s="24"/>
      <c r="P631" s="409" t="s">
        <v>2642</v>
      </c>
      <c r="Q631" s="76" t="s">
        <v>64</v>
      </c>
      <c r="R631" s="76" t="s">
        <v>1885</v>
      </c>
      <c r="S631" s="24"/>
      <c r="T631" s="24"/>
      <c r="U631" s="64"/>
      <c r="V631" s="56"/>
      <c r="W631" s="56"/>
      <c r="X631" s="56"/>
      <c r="Y631" s="56"/>
      <c r="Z631" s="56"/>
      <c r="AA631" s="56"/>
      <c r="AB631" s="56"/>
      <c r="AC631" s="56"/>
    </row>
    <row r="632" spans="1:29" ht="15.75" customHeight="1">
      <c r="A632" s="39" t="s">
        <v>2636</v>
      </c>
      <c r="B632" s="107">
        <v>43661</v>
      </c>
      <c r="C632" s="109">
        <v>43670</v>
      </c>
      <c r="D632" s="159" t="s">
        <v>366</v>
      </c>
      <c r="E632" s="76" t="s">
        <v>53</v>
      </c>
      <c r="F632" s="129" t="s">
        <v>1761</v>
      </c>
      <c r="G632" s="399">
        <f>IFERROR(VLOOKUP(A632,醫療院所DATABASE!A:B,2,""),)</f>
        <v>0</v>
      </c>
      <c r="H632" s="64"/>
      <c r="I632" s="109">
        <v>43658</v>
      </c>
      <c r="J632" s="109">
        <v>43662</v>
      </c>
      <c r="K632" s="39" t="s">
        <v>2643</v>
      </c>
      <c r="L632" s="76" t="s">
        <v>2644</v>
      </c>
      <c r="M632" s="49" t="s">
        <v>61</v>
      </c>
      <c r="N632" s="39" t="s">
        <v>62</v>
      </c>
      <c r="O632" s="24"/>
      <c r="P632" s="409" t="s">
        <v>2645</v>
      </c>
      <c r="Q632" s="76" t="s">
        <v>64</v>
      </c>
      <c r="R632" s="76" t="s">
        <v>1885</v>
      </c>
      <c r="S632" s="24"/>
      <c r="T632" s="24"/>
      <c r="U632" s="64"/>
      <c r="V632" s="56"/>
      <c r="W632" s="56"/>
      <c r="X632" s="56"/>
      <c r="Y632" s="56"/>
      <c r="Z632" s="56"/>
      <c r="AA632" s="56"/>
      <c r="AB632" s="56"/>
      <c r="AC632" s="56"/>
    </row>
    <row r="633" spans="1:29" ht="15.75" customHeight="1">
      <c r="A633" s="39" t="s">
        <v>2636</v>
      </c>
      <c r="B633" s="107">
        <v>43661</v>
      </c>
      <c r="C633" s="109">
        <v>43670</v>
      </c>
      <c r="D633" s="159" t="s">
        <v>366</v>
      </c>
      <c r="E633" s="76" t="s">
        <v>188</v>
      </c>
      <c r="F633" s="129" t="s">
        <v>1761</v>
      </c>
      <c r="G633" s="399">
        <f>IFERROR(VLOOKUP(A633,醫療院所DATABASE!A:B,2,""),)</f>
        <v>0</v>
      </c>
      <c r="H633" s="76" t="s">
        <v>2646</v>
      </c>
      <c r="I633" s="109">
        <v>43658</v>
      </c>
      <c r="J633" s="109">
        <v>43662</v>
      </c>
      <c r="K633" s="39" t="s">
        <v>2647</v>
      </c>
      <c r="L633" s="76" t="s">
        <v>2648</v>
      </c>
      <c r="M633" s="49" t="s">
        <v>61</v>
      </c>
      <c r="N633" s="39" t="s">
        <v>62</v>
      </c>
      <c r="O633" s="24"/>
      <c r="P633" s="409" t="s">
        <v>2649</v>
      </c>
      <c r="Q633" s="76" t="s">
        <v>64</v>
      </c>
      <c r="R633" s="76" t="s">
        <v>1885</v>
      </c>
      <c r="S633" s="24"/>
      <c r="T633" s="24"/>
      <c r="U633" s="64"/>
      <c r="V633" s="56"/>
      <c r="W633" s="56"/>
      <c r="X633" s="56"/>
      <c r="Y633" s="56"/>
      <c r="Z633" s="56"/>
      <c r="AA633" s="56"/>
      <c r="AB633" s="56"/>
      <c r="AC633" s="56"/>
    </row>
    <row r="634" spans="1:29" ht="15.75" customHeight="1">
      <c r="A634" s="39" t="s">
        <v>2636</v>
      </c>
      <c r="B634" s="107">
        <v>43661</v>
      </c>
      <c r="C634" s="109">
        <v>43669</v>
      </c>
      <c r="D634" s="159" t="s">
        <v>366</v>
      </c>
      <c r="E634" s="76" t="s">
        <v>53</v>
      </c>
      <c r="F634" s="129" t="s">
        <v>1761</v>
      </c>
      <c r="G634" s="399">
        <f>IFERROR(VLOOKUP(A634,醫療院所DATABASE!A:B,2,""),)</f>
        <v>0</v>
      </c>
      <c r="H634" s="64"/>
      <c r="I634" s="109">
        <v>43658</v>
      </c>
      <c r="J634" s="109">
        <v>43662</v>
      </c>
      <c r="K634" s="39" t="s">
        <v>2650</v>
      </c>
      <c r="L634" s="76" t="s">
        <v>2651</v>
      </c>
      <c r="M634" s="49" t="s">
        <v>61</v>
      </c>
      <c r="N634" s="39" t="s">
        <v>62</v>
      </c>
      <c r="O634" s="24"/>
      <c r="P634" s="409" t="s">
        <v>2652</v>
      </c>
      <c r="Q634" s="76" t="s">
        <v>64</v>
      </c>
      <c r="R634" s="76" t="s">
        <v>1885</v>
      </c>
      <c r="S634" s="24"/>
      <c r="T634" s="24"/>
      <c r="U634" s="64"/>
      <c r="V634" s="56"/>
      <c r="W634" s="56"/>
      <c r="X634" s="56"/>
      <c r="Y634" s="56"/>
      <c r="Z634" s="56"/>
      <c r="AA634" s="56"/>
      <c r="AB634" s="56"/>
      <c r="AC634" s="56"/>
    </row>
    <row r="635" spans="1:29" ht="15.75" customHeight="1">
      <c r="A635" s="39" t="s">
        <v>2636</v>
      </c>
      <c r="B635" s="107">
        <v>43661</v>
      </c>
      <c r="C635" s="109">
        <v>43670</v>
      </c>
      <c r="D635" s="159" t="s">
        <v>366</v>
      </c>
      <c r="E635" s="76" t="s">
        <v>188</v>
      </c>
      <c r="F635" s="129" t="s">
        <v>1761</v>
      </c>
      <c r="G635" s="399">
        <f>IFERROR(VLOOKUP(A635,醫療院所DATABASE!A:B,2,""),)</f>
        <v>0</v>
      </c>
      <c r="H635" s="64"/>
      <c r="I635" s="109">
        <v>43658</v>
      </c>
      <c r="J635" s="109">
        <v>43662</v>
      </c>
      <c r="K635" s="39" t="s">
        <v>2653</v>
      </c>
      <c r="L635" s="76" t="s">
        <v>2654</v>
      </c>
      <c r="M635" s="49" t="s">
        <v>61</v>
      </c>
      <c r="N635" s="39" t="s">
        <v>62</v>
      </c>
      <c r="O635" s="24"/>
      <c r="P635" s="409" t="s">
        <v>2655</v>
      </c>
      <c r="Q635" s="76" t="s">
        <v>64</v>
      </c>
      <c r="R635" s="76" t="s">
        <v>1885</v>
      </c>
      <c r="S635" s="24"/>
      <c r="T635" s="24"/>
      <c r="U635" s="64"/>
      <c r="V635" s="56"/>
      <c r="W635" s="56"/>
      <c r="X635" s="56"/>
      <c r="Y635" s="56"/>
      <c r="Z635" s="56"/>
      <c r="AA635" s="56"/>
      <c r="AB635" s="56"/>
      <c r="AC635" s="56"/>
    </row>
    <row r="636" spans="1:29" ht="15.75" customHeight="1">
      <c r="A636" s="39" t="s">
        <v>2636</v>
      </c>
      <c r="B636" s="107">
        <v>43661</v>
      </c>
      <c r="C636" s="109">
        <v>43668</v>
      </c>
      <c r="D636" s="159" t="s">
        <v>366</v>
      </c>
      <c r="E636" s="76" t="s">
        <v>53</v>
      </c>
      <c r="F636" s="129" t="s">
        <v>1761</v>
      </c>
      <c r="G636" s="399">
        <f>IFERROR(VLOOKUP(A636,醫療院所DATABASE!A:B,2,""),)</f>
        <v>0</v>
      </c>
      <c r="H636" s="64"/>
      <c r="I636" s="109">
        <v>43658</v>
      </c>
      <c r="J636" s="109">
        <v>43662</v>
      </c>
      <c r="K636" s="39" t="s">
        <v>2656</v>
      </c>
      <c r="L636" s="76" t="s">
        <v>2657</v>
      </c>
      <c r="M636" s="49" t="s">
        <v>61</v>
      </c>
      <c r="N636" s="39" t="s">
        <v>51</v>
      </c>
      <c r="O636" s="24"/>
      <c r="P636" s="409" t="s">
        <v>2658</v>
      </c>
      <c r="Q636" s="76" t="s">
        <v>64</v>
      </c>
      <c r="R636" s="76" t="s">
        <v>1885</v>
      </c>
      <c r="S636" s="24"/>
      <c r="T636" s="24"/>
      <c r="U636" s="64"/>
      <c r="V636" s="56"/>
      <c r="W636" s="56"/>
      <c r="X636" s="56"/>
      <c r="Y636" s="56"/>
      <c r="Z636" s="56"/>
      <c r="AA636" s="56"/>
      <c r="AB636" s="56"/>
      <c r="AC636" s="56"/>
    </row>
    <row r="637" spans="1:29" ht="15.75" customHeight="1">
      <c r="A637" s="39" t="s">
        <v>2636</v>
      </c>
      <c r="B637" s="107">
        <v>43661</v>
      </c>
      <c r="C637" s="109">
        <v>43670</v>
      </c>
      <c r="D637" s="159" t="s">
        <v>366</v>
      </c>
      <c r="E637" s="76" t="s">
        <v>188</v>
      </c>
      <c r="F637" s="129" t="s">
        <v>1761</v>
      </c>
      <c r="G637" s="399">
        <f>IFERROR(VLOOKUP(A637,醫療院所DATABASE!A:B,2,""),)</f>
        <v>0</v>
      </c>
      <c r="H637" s="64"/>
      <c r="I637" s="109">
        <v>43658</v>
      </c>
      <c r="J637" s="109">
        <v>43662</v>
      </c>
      <c r="K637" s="39" t="s">
        <v>2659</v>
      </c>
      <c r="L637" s="76" t="s">
        <v>2660</v>
      </c>
      <c r="M637" s="49" t="s">
        <v>61</v>
      </c>
      <c r="N637" s="39" t="s">
        <v>51</v>
      </c>
      <c r="O637" s="24"/>
      <c r="P637" s="409" t="s">
        <v>2661</v>
      </c>
      <c r="Q637" s="76" t="s">
        <v>64</v>
      </c>
      <c r="R637" s="76" t="s">
        <v>1885</v>
      </c>
      <c r="S637" s="24"/>
      <c r="T637" s="24"/>
      <c r="U637" s="64"/>
      <c r="V637" s="56"/>
      <c r="W637" s="56"/>
      <c r="X637" s="56"/>
      <c r="Y637" s="56"/>
      <c r="Z637" s="56"/>
      <c r="AA637" s="56"/>
      <c r="AB637" s="56"/>
      <c r="AC637" s="56"/>
    </row>
    <row r="638" spans="1:29" ht="15.75" customHeight="1">
      <c r="A638" s="39" t="s">
        <v>2636</v>
      </c>
      <c r="B638" s="107">
        <v>43661</v>
      </c>
      <c r="C638" s="109">
        <v>43668</v>
      </c>
      <c r="D638" s="159" t="s">
        <v>366</v>
      </c>
      <c r="E638" s="76" t="s">
        <v>53</v>
      </c>
      <c r="F638" s="129" t="s">
        <v>1761</v>
      </c>
      <c r="G638" s="399">
        <f>IFERROR(VLOOKUP(A638,醫療院所DATABASE!A:B,2,""),)</f>
        <v>0</v>
      </c>
      <c r="H638" s="64"/>
      <c r="I638" s="109">
        <v>43658</v>
      </c>
      <c r="J638" s="109">
        <v>43662</v>
      </c>
      <c r="K638" s="39" t="s">
        <v>2662</v>
      </c>
      <c r="L638" s="76" t="s">
        <v>2663</v>
      </c>
      <c r="M638" s="49" t="s">
        <v>61</v>
      </c>
      <c r="N638" s="39" t="s">
        <v>51</v>
      </c>
      <c r="O638" s="24"/>
      <c r="P638" s="409" t="s">
        <v>2664</v>
      </c>
      <c r="Q638" s="76" t="s">
        <v>64</v>
      </c>
      <c r="R638" s="76" t="s">
        <v>1885</v>
      </c>
      <c r="S638" s="24"/>
      <c r="T638" s="24"/>
      <c r="U638" s="64"/>
      <c r="V638" s="56"/>
      <c r="W638" s="56"/>
      <c r="X638" s="56"/>
      <c r="Y638" s="56"/>
      <c r="Z638" s="56"/>
      <c r="AA638" s="56"/>
      <c r="AB638" s="56"/>
      <c r="AC638" s="56"/>
    </row>
    <row r="639" spans="1:29" ht="15.75" customHeight="1">
      <c r="A639" s="39" t="s">
        <v>2636</v>
      </c>
      <c r="B639" s="107">
        <v>43661</v>
      </c>
      <c r="C639" s="109">
        <v>43670</v>
      </c>
      <c r="D639" s="159" t="s">
        <v>366</v>
      </c>
      <c r="E639" s="76" t="s">
        <v>188</v>
      </c>
      <c r="F639" s="129" t="s">
        <v>1761</v>
      </c>
      <c r="G639" s="399">
        <f>IFERROR(VLOOKUP(A639,醫療院所DATABASE!A:B,2,""),)</f>
        <v>0</v>
      </c>
      <c r="H639" s="64"/>
      <c r="I639" s="109">
        <v>43658</v>
      </c>
      <c r="J639" s="109">
        <v>43662</v>
      </c>
      <c r="K639" s="39" t="s">
        <v>2665</v>
      </c>
      <c r="L639" s="76" t="s">
        <v>2666</v>
      </c>
      <c r="M639" s="49" t="s">
        <v>61</v>
      </c>
      <c r="N639" s="39" t="s">
        <v>62</v>
      </c>
      <c r="O639" s="24"/>
      <c r="P639" s="409" t="s">
        <v>2667</v>
      </c>
      <c r="Q639" s="76" t="s">
        <v>64</v>
      </c>
      <c r="R639" s="76" t="s">
        <v>1885</v>
      </c>
      <c r="S639" s="24"/>
      <c r="T639" s="24"/>
      <c r="U639" s="64"/>
      <c r="V639" s="56"/>
      <c r="W639" s="56"/>
      <c r="X639" s="56"/>
      <c r="Y639" s="56"/>
      <c r="Z639" s="56"/>
      <c r="AA639" s="56"/>
      <c r="AB639" s="56"/>
      <c r="AC639" s="56"/>
    </row>
    <row r="640" spans="1:29" ht="15.75" customHeight="1">
      <c r="A640" s="39" t="s">
        <v>2636</v>
      </c>
      <c r="B640" s="107">
        <v>43661</v>
      </c>
      <c r="C640" s="109">
        <v>43668</v>
      </c>
      <c r="D640" s="159" t="s">
        <v>366</v>
      </c>
      <c r="E640" s="76" t="s">
        <v>53</v>
      </c>
      <c r="F640" s="129" t="s">
        <v>1761</v>
      </c>
      <c r="G640" s="399">
        <f>IFERROR(VLOOKUP(A640,醫療院所DATABASE!A:B,2,""),)</f>
        <v>0</v>
      </c>
      <c r="H640" s="64"/>
      <c r="I640" s="109">
        <v>43658</v>
      </c>
      <c r="J640" s="109">
        <v>43662</v>
      </c>
      <c r="K640" s="39" t="s">
        <v>2668</v>
      </c>
      <c r="L640" s="76" t="s">
        <v>2669</v>
      </c>
      <c r="M640" s="49" t="s">
        <v>61</v>
      </c>
      <c r="N640" s="39" t="s">
        <v>62</v>
      </c>
      <c r="O640" s="24"/>
      <c r="P640" s="409" t="s">
        <v>2670</v>
      </c>
      <c r="Q640" s="76" t="s">
        <v>64</v>
      </c>
      <c r="R640" s="76" t="s">
        <v>1885</v>
      </c>
      <c r="S640" s="24"/>
      <c r="T640" s="24"/>
      <c r="U640" s="64"/>
      <c r="V640" s="56"/>
      <c r="W640" s="56"/>
      <c r="X640" s="56"/>
      <c r="Y640" s="56"/>
      <c r="Z640" s="56"/>
      <c r="AA640" s="56"/>
      <c r="AB640" s="56"/>
      <c r="AC640" s="56"/>
    </row>
    <row r="641" spans="1:29" ht="15.75" customHeight="1">
      <c r="A641" s="39" t="s">
        <v>2636</v>
      </c>
      <c r="B641" s="107">
        <v>43661</v>
      </c>
      <c r="C641" s="109">
        <v>43670</v>
      </c>
      <c r="D641" s="159" t="s">
        <v>366</v>
      </c>
      <c r="E641" s="76" t="s">
        <v>188</v>
      </c>
      <c r="F641" s="129" t="s">
        <v>1761</v>
      </c>
      <c r="G641" s="399">
        <f>IFERROR(VLOOKUP(A641,醫療院所DATABASE!A:B,2,""),)</f>
        <v>0</v>
      </c>
      <c r="H641" s="76" t="s">
        <v>2648</v>
      </c>
      <c r="I641" s="109">
        <v>43658</v>
      </c>
      <c r="J641" s="109">
        <v>43662</v>
      </c>
      <c r="K641" s="39" t="s">
        <v>2671</v>
      </c>
      <c r="L641" s="76" t="s">
        <v>2646</v>
      </c>
      <c r="M641" s="49" t="s">
        <v>61</v>
      </c>
      <c r="N641" s="39" t="s">
        <v>51</v>
      </c>
      <c r="O641" s="24"/>
      <c r="P641" s="409" t="s">
        <v>2672</v>
      </c>
      <c r="Q641" s="76" t="s">
        <v>64</v>
      </c>
      <c r="R641" s="76" t="s">
        <v>1885</v>
      </c>
      <c r="S641" s="24"/>
      <c r="T641" s="24"/>
      <c r="U641" s="64"/>
      <c r="V641" s="56"/>
      <c r="W641" s="56"/>
      <c r="X641" s="56"/>
      <c r="Y641" s="56"/>
      <c r="Z641" s="56"/>
      <c r="AA641" s="56"/>
      <c r="AB641" s="56"/>
      <c r="AC641" s="56"/>
    </row>
    <row r="642" spans="1:29" ht="15.75" customHeight="1">
      <c r="A642" s="39" t="s">
        <v>2636</v>
      </c>
      <c r="B642" s="107">
        <v>43661</v>
      </c>
      <c r="C642" s="109">
        <v>43670</v>
      </c>
      <c r="D642" s="159" t="s">
        <v>366</v>
      </c>
      <c r="E642" s="76" t="s">
        <v>53</v>
      </c>
      <c r="F642" s="129" t="s">
        <v>1761</v>
      </c>
      <c r="G642" s="399">
        <f>IFERROR(VLOOKUP(A642,醫療院所DATABASE!A:B,2,""),)</f>
        <v>0</v>
      </c>
      <c r="H642" s="64"/>
      <c r="I642" s="109">
        <v>43658</v>
      </c>
      <c r="J642" s="109">
        <v>43662</v>
      </c>
      <c r="K642" s="39" t="s">
        <v>2673</v>
      </c>
      <c r="L642" s="76" t="s">
        <v>2674</v>
      </c>
      <c r="M642" s="49" t="s">
        <v>61</v>
      </c>
      <c r="N642" s="39" t="s">
        <v>51</v>
      </c>
      <c r="O642" s="24"/>
      <c r="P642" s="409" t="s">
        <v>2675</v>
      </c>
      <c r="Q642" s="76" t="s">
        <v>64</v>
      </c>
      <c r="R642" s="76" t="s">
        <v>1885</v>
      </c>
      <c r="S642" s="24"/>
      <c r="T642" s="24"/>
      <c r="U642" s="64"/>
      <c r="V642" s="56"/>
      <c r="W642" s="56"/>
      <c r="X642" s="56"/>
      <c r="Y642" s="56"/>
      <c r="Z642" s="56"/>
      <c r="AA642" s="56"/>
      <c r="AB642" s="56"/>
      <c r="AC642" s="56"/>
    </row>
    <row r="643" spans="1:29" ht="15.75" customHeight="1">
      <c r="A643" s="39" t="s">
        <v>2636</v>
      </c>
      <c r="B643" s="107">
        <v>43661</v>
      </c>
      <c r="C643" s="109">
        <v>43670</v>
      </c>
      <c r="D643" s="159" t="s">
        <v>366</v>
      </c>
      <c r="E643" s="76" t="s">
        <v>188</v>
      </c>
      <c r="F643" s="129" t="s">
        <v>1761</v>
      </c>
      <c r="G643" s="399">
        <f>IFERROR(VLOOKUP(A643,醫療院所DATABASE!A:B,2,""),)</f>
        <v>0</v>
      </c>
      <c r="H643" s="64"/>
      <c r="I643" s="109">
        <v>43658</v>
      </c>
      <c r="J643" s="109">
        <v>43662</v>
      </c>
      <c r="K643" s="39" t="s">
        <v>2676</v>
      </c>
      <c r="L643" s="76" t="s">
        <v>2677</v>
      </c>
      <c r="M643" s="49" t="s">
        <v>61</v>
      </c>
      <c r="N643" s="39" t="s">
        <v>51</v>
      </c>
      <c r="O643" s="24"/>
      <c r="P643" s="409" t="s">
        <v>2678</v>
      </c>
      <c r="Q643" s="76" t="s">
        <v>64</v>
      </c>
      <c r="R643" s="76" t="s">
        <v>1885</v>
      </c>
      <c r="S643" s="24"/>
      <c r="T643" s="24"/>
      <c r="U643" s="64"/>
      <c r="V643" s="56"/>
      <c r="W643" s="56"/>
      <c r="X643" s="56"/>
      <c r="Y643" s="56"/>
      <c r="Z643" s="56"/>
      <c r="AA643" s="56"/>
      <c r="AB643" s="56"/>
      <c r="AC643" s="56"/>
    </row>
    <row r="644" spans="1:29" ht="15.75" customHeight="1">
      <c r="A644" s="39" t="s">
        <v>2636</v>
      </c>
      <c r="B644" s="107">
        <v>43661</v>
      </c>
      <c r="C644" s="109">
        <v>43670</v>
      </c>
      <c r="D644" s="159" t="s">
        <v>366</v>
      </c>
      <c r="E644" s="76" t="s">
        <v>53</v>
      </c>
      <c r="F644" s="129" t="s">
        <v>1761</v>
      </c>
      <c r="G644" s="399">
        <f>IFERROR(VLOOKUP(A644,醫療院所DATABASE!A:B,2,""),)</f>
        <v>0</v>
      </c>
      <c r="H644" s="64"/>
      <c r="I644" s="109">
        <v>43658</v>
      </c>
      <c r="J644" s="109">
        <v>43662</v>
      </c>
      <c r="K644" s="39" t="s">
        <v>2679</v>
      </c>
      <c r="L644" s="76" t="s">
        <v>2680</v>
      </c>
      <c r="M644" s="49" t="s">
        <v>61</v>
      </c>
      <c r="N644" s="39" t="s">
        <v>62</v>
      </c>
      <c r="O644" s="24"/>
      <c r="P644" s="409" t="s">
        <v>2681</v>
      </c>
      <c r="Q644" s="76" t="s">
        <v>64</v>
      </c>
      <c r="R644" s="76" t="s">
        <v>1885</v>
      </c>
      <c r="S644" s="24"/>
      <c r="T644" s="24"/>
      <c r="U644" s="64"/>
      <c r="V644" s="56"/>
      <c r="W644" s="56"/>
      <c r="X644" s="56"/>
      <c r="Y644" s="56"/>
      <c r="Z644" s="56"/>
      <c r="AA644" s="56"/>
      <c r="AB644" s="56"/>
      <c r="AC644" s="56"/>
    </row>
    <row r="645" spans="1:29" ht="15.75" customHeight="1">
      <c r="A645" s="39" t="s">
        <v>2636</v>
      </c>
      <c r="B645" s="107">
        <v>43661</v>
      </c>
      <c r="C645" s="109">
        <v>43670</v>
      </c>
      <c r="D645" s="159" t="s">
        <v>366</v>
      </c>
      <c r="E645" s="76" t="s">
        <v>188</v>
      </c>
      <c r="F645" s="129" t="s">
        <v>1761</v>
      </c>
      <c r="G645" s="399">
        <f>IFERROR(VLOOKUP(A645,醫療院所DATABASE!A:B,2,""),)</f>
        <v>0</v>
      </c>
      <c r="H645" s="64"/>
      <c r="I645" s="109">
        <v>43658</v>
      </c>
      <c r="J645" s="109">
        <v>43662</v>
      </c>
      <c r="K645" s="39" t="s">
        <v>2682</v>
      </c>
      <c r="L645" s="76" t="s">
        <v>2683</v>
      </c>
      <c r="M645" s="49" t="s">
        <v>61</v>
      </c>
      <c r="N645" s="39" t="s">
        <v>51</v>
      </c>
      <c r="O645" s="24"/>
      <c r="P645" s="409" t="s">
        <v>2684</v>
      </c>
      <c r="Q645" s="76" t="s">
        <v>64</v>
      </c>
      <c r="R645" s="76" t="s">
        <v>1885</v>
      </c>
      <c r="S645" s="24"/>
      <c r="T645" s="24"/>
      <c r="U645" s="64"/>
      <c r="V645" s="56"/>
      <c r="W645" s="56"/>
      <c r="X645" s="56"/>
      <c r="Y645" s="56"/>
      <c r="Z645" s="56"/>
      <c r="AA645" s="56"/>
      <c r="AB645" s="56"/>
      <c r="AC645" s="56"/>
    </row>
    <row r="646" spans="1:29" ht="15.75" customHeight="1">
      <c r="A646" s="39" t="s">
        <v>2685</v>
      </c>
      <c r="B646" s="107">
        <v>43661</v>
      </c>
      <c r="C646" s="109">
        <v>43662</v>
      </c>
      <c r="D646" s="159" t="s">
        <v>1613</v>
      </c>
      <c r="E646" s="76" t="s">
        <v>53</v>
      </c>
      <c r="F646" s="39" t="s">
        <v>2686</v>
      </c>
      <c r="G646" s="399">
        <f>IFERROR(VLOOKUP(A646,醫療院所DATABASE!A:B,2,""),)</f>
        <v>0</v>
      </c>
      <c r="H646" s="64"/>
      <c r="I646" s="109">
        <v>43658</v>
      </c>
      <c r="J646" s="109">
        <v>43662</v>
      </c>
      <c r="K646" s="39" t="s">
        <v>2687</v>
      </c>
      <c r="L646" s="76" t="s">
        <v>2688</v>
      </c>
      <c r="M646" s="49" t="s">
        <v>61</v>
      </c>
      <c r="N646" s="39" t="s">
        <v>51</v>
      </c>
      <c r="O646" s="24"/>
      <c r="P646" s="409" t="s">
        <v>2689</v>
      </c>
      <c r="Q646" s="76" t="s">
        <v>1931</v>
      </c>
      <c r="R646" s="76" t="s">
        <v>1885</v>
      </c>
      <c r="S646" s="24"/>
      <c r="T646" s="24"/>
      <c r="U646" s="64"/>
      <c r="V646" s="56"/>
      <c r="W646" s="56"/>
      <c r="X646" s="56"/>
      <c r="Y646" s="56"/>
      <c r="Z646" s="56"/>
      <c r="AA646" s="56"/>
      <c r="AB646" s="56"/>
      <c r="AC646" s="56"/>
    </row>
    <row r="647" spans="1:29" ht="15.75" customHeight="1">
      <c r="A647" s="39" t="s">
        <v>2685</v>
      </c>
      <c r="B647" s="107">
        <v>43661</v>
      </c>
      <c r="C647" s="109">
        <v>43662</v>
      </c>
      <c r="D647" s="159" t="s">
        <v>1613</v>
      </c>
      <c r="E647" s="76" t="s">
        <v>53</v>
      </c>
      <c r="F647" s="39" t="s">
        <v>2686</v>
      </c>
      <c r="G647" s="399">
        <f>IFERROR(VLOOKUP(A647,醫療院所DATABASE!A:B,2,""),)</f>
        <v>0</v>
      </c>
      <c r="H647" s="64"/>
      <c r="I647" s="109">
        <v>43658</v>
      </c>
      <c r="J647" s="109">
        <v>43662</v>
      </c>
      <c r="K647" s="39" t="s">
        <v>2690</v>
      </c>
      <c r="L647" s="76" t="s">
        <v>2691</v>
      </c>
      <c r="M647" s="49" t="s">
        <v>61</v>
      </c>
      <c r="N647" s="39" t="s">
        <v>51</v>
      </c>
      <c r="O647" s="24"/>
      <c r="P647" s="409" t="s">
        <v>2692</v>
      </c>
      <c r="Q647" s="76" t="s">
        <v>1931</v>
      </c>
      <c r="R647" s="76" t="s">
        <v>1885</v>
      </c>
      <c r="S647" s="24"/>
      <c r="T647" s="24"/>
      <c r="U647" s="64"/>
      <c r="V647" s="56"/>
      <c r="W647" s="56"/>
      <c r="X647" s="56"/>
      <c r="Y647" s="56"/>
      <c r="Z647" s="56"/>
      <c r="AA647" s="56"/>
      <c r="AB647" s="56"/>
      <c r="AC647" s="56"/>
    </row>
    <row r="648" spans="1:29" ht="15.75" customHeight="1">
      <c r="A648" s="39" t="s">
        <v>1389</v>
      </c>
      <c r="B648" s="107">
        <v>43663</v>
      </c>
      <c r="C648" s="109">
        <v>43663</v>
      </c>
      <c r="D648" s="159" t="s">
        <v>479</v>
      </c>
      <c r="E648" s="76" t="s">
        <v>2693</v>
      </c>
      <c r="F648" s="39" t="s">
        <v>808</v>
      </c>
      <c r="G648" s="399">
        <f>IFERROR(VLOOKUP(A648,醫療院所DATABASE!A:B,2,""),)</f>
        <v>0</v>
      </c>
      <c r="H648" s="64"/>
      <c r="I648" s="109">
        <v>43661</v>
      </c>
      <c r="J648" s="109">
        <v>43663</v>
      </c>
      <c r="K648" s="39" t="s">
        <v>2694</v>
      </c>
      <c r="L648" s="76" t="s">
        <v>2695</v>
      </c>
      <c r="M648" s="39" t="s">
        <v>963</v>
      </c>
      <c r="N648" s="39" t="s">
        <v>62</v>
      </c>
      <c r="O648" s="24"/>
      <c r="P648" s="409" t="s">
        <v>2696</v>
      </c>
      <c r="Q648" s="76" t="s">
        <v>1207</v>
      </c>
      <c r="R648" s="76" t="s">
        <v>1885</v>
      </c>
      <c r="S648" s="24"/>
      <c r="T648" s="24"/>
      <c r="U648" s="76" t="s">
        <v>2697</v>
      </c>
      <c r="V648" s="56"/>
      <c r="W648" s="56"/>
      <c r="X648" s="56"/>
      <c r="Y648" s="56"/>
      <c r="Z648" s="56"/>
      <c r="AA648" s="56"/>
      <c r="AB648" s="56"/>
      <c r="AC648" s="56"/>
    </row>
    <row r="649" spans="1:29" ht="15.75" customHeight="1">
      <c r="A649" s="39" t="s">
        <v>701</v>
      </c>
      <c r="B649" s="107">
        <v>43664</v>
      </c>
      <c r="C649" s="109">
        <v>43675</v>
      </c>
      <c r="D649" s="159" t="s">
        <v>522</v>
      </c>
      <c r="E649" s="76" t="s">
        <v>522</v>
      </c>
      <c r="F649" s="39" t="s">
        <v>2698</v>
      </c>
      <c r="G649" s="399">
        <f>IFERROR(VLOOKUP(A649,醫療院所DATABASE!A:B,2,""),)</f>
        <v>0</v>
      </c>
      <c r="H649" s="64"/>
      <c r="I649" s="109">
        <v>43662</v>
      </c>
      <c r="J649" s="109">
        <v>43664</v>
      </c>
      <c r="K649" s="39" t="s">
        <v>2699</v>
      </c>
      <c r="L649" s="76" t="s">
        <v>2700</v>
      </c>
      <c r="M649" s="49" t="s">
        <v>61</v>
      </c>
      <c r="N649" s="39" t="s">
        <v>62</v>
      </c>
      <c r="O649" s="24"/>
      <c r="P649" s="409" t="s">
        <v>2701</v>
      </c>
      <c r="Q649" s="76" t="s">
        <v>64</v>
      </c>
      <c r="R649" s="76" t="s">
        <v>1885</v>
      </c>
      <c r="S649" s="24"/>
      <c r="T649" s="24"/>
      <c r="U649" s="76" t="s">
        <v>2702</v>
      </c>
      <c r="V649" s="56"/>
      <c r="W649" s="56"/>
      <c r="X649" s="56"/>
      <c r="Y649" s="56"/>
      <c r="Z649" s="56"/>
      <c r="AA649" s="56"/>
      <c r="AB649" s="56"/>
      <c r="AC649" s="56"/>
    </row>
    <row r="650" spans="1:29" ht="15.75" customHeight="1">
      <c r="A650" s="39" t="s">
        <v>1618</v>
      </c>
      <c r="B650" s="107">
        <v>43663</v>
      </c>
      <c r="C650" s="109">
        <v>43675</v>
      </c>
      <c r="D650" s="159" t="s">
        <v>522</v>
      </c>
      <c r="E650" s="76" t="s">
        <v>188</v>
      </c>
      <c r="F650" s="39" t="s">
        <v>1569</v>
      </c>
      <c r="G650" s="399">
        <f>IFERROR(VLOOKUP(A650,醫療院所DATABASE!A:B,2,""),)</f>
        <v>0</v>
      </c>
      <c r="H650" s="64"/>
      <c r="I650" s="109">
        <v>43662</v>
      </c>
      <c r="J650" s="109">
        <v>43664</v>
      </c>
      <c r="K650" s="39" t="s">
        <v>2703</v>
      </c>
      <c r="L650" s="76" t="s">
        <v>2704</v>
      </c>
      <c r="M650" s="49" t="s">
        <v>61</v>
      </c>
      <c r="N650" s="39" t="s">
        <v>51</v>
      </c>
      <c r="O650" s="24"/>
      <c r="P650" s="409" t="s">
        <v>2705</v>
      </c>
      <c r="Q650" s="76" t="s">
        <v>64</v>
      </c>
      <c r="R650" s="76" t="s">
        <v>1885</v>
      </c>
      <c r="S650" s="24"/>
      <c r="T650" s="24"/>
      <c r="U650" s="64"/>
      <c r="V650" s="56"/>
      <c r="W650" s="56"/>
      <c r="X650" s="56"/>
      <c r="Y650" s="56"/>
      <c r="Z650" s="56"/>
      <c r="AA650" s="56"/>
      <c r="AB650" s="56"/>
      <c r="AC650" s="56"/>
    </row>
    <row r="651" spans="1:29" ht="15.75" customHeight="1">
      <c r="A651" s="39" t="s">
        <v>1332</v>
      </c>
      <c r="B651" s="107">
        <v>43664</v>
      </c>
      <c r="C651" s="109">
        <v>43671</v>
      </c>
      <c r="D651" s="159" t="s">
        <v>665</v>
      </c>
      <c r="E651" s="159" t="s">
        <v>665</v>
      </c>
      <c r="F651" s="39" t="s">
        <v>1569</v>
      </c>
      <c r="G651" s="399">
        <f>IFERROR(VLOOKUP(A651,醫療院所DATABASE!A:B,2,""),)</f>
        <v>0</v>
      </c>
      <c r="H651" s="64"/>
      <c r="I651" s="109">
        <v>43662</v>
      </c>
      <c r="J651" s="109">
        <v>43664</v>
      </c>
      <c r="K651" s="39" t="s">
        <v>2706</v>
      </c>
      <c r="L651" s="76" t="s">
        <v>2707</v>
      </c>
      <c r="M651" s="49" t="s">
        <v>61</v>
      </c>
      <c r="N651" s="39" t="s">
        <v>62</v>
      </c>
      <c r="O651" s="24"/>
      <c r="P651" s="409" t="s">
        <v>2708</v>
      </c>
      <c r="Q651" s="76" t="s">
        <v>64</v>
      </c>
      <c r="R651" s="76" t="s">
        <v>1885</v>
      </c>
      <c r="S651" s="24"/>
      <c r="T651" s="24"/>
      <c r="U651" s="76" t="s">
        <v>2709</v>
      </c>
      <c r="V651" s="56"/>
      <c r="W651" s="56"/>
      <c r="X651" s="56"/>
      <c r="Y651" s="56"/>
      <c r="Z651" s="56"/>
      <c r="AA651" s="56"/>
      <c r="AB651" s="56"/>
      <c r="AC651" s="56"/>
    </row>
    <row r="652" spans="1:29" ht="15.75" customHeight="1">
      <c r="A652" s="39" t="s">
        <v>1332</v>
      </c>
      <c r="B652" s="107">
        <v>43664</v>
      </c>
      <c r="C652" s="109">
        <v>43671</v>
      </c>
      <c r="D652" s="159" t="s">
        <v>665</v>
      </c>
      <c r="E652" s="159" t="s">
        <v>665</v>
      </c>
      <c r="F652" s="39" t="s">
        <v>1569</v>
      </c>
      <c r="G652" s="399">
        <f>IFERROR(VLOOKUP(A652,醫療院所DATABASE!A:B,2,""),)</f>
        <v>0</v>
      </c>
      <c r="H652" s="76" t="s">
        <v>2710</v>
      </c>
      <c r="I652" s="109">
        <v>43662</v>
      </c>
      <c r="J652" s="109">
        <v>43664</v>
      </c>
      <c r="K652" s="39" t="s">
        <v>2711</v>
      </c>
      <c r="L652" s="76" t="s">
        <v>2712</v>
      </c>
      <c r="M652" s="49" t="s">
        <v>61</v>
      </c>
      <c r="N652" s="39" t="s">
        <v>51</v>
      </c>
      <c r="O652" s="24"/>
      <c r="P652" s="409" t="s">
        <v>2713</v>
      </c>
      <c r="Q652" s="76" t="s">
        <v>1931</v>
      </c>
      <c r="R652" s="76" t="s">
        <v>1885</v>
      </c>
      <c r="S652" s="24"/>
      <c r="T652" s="24"/>
      <c r="U652" s="76" t="s">
        <v>2709</v>
      </c>
      <c r="V652" s="56"/>
      <c r="W652" s="56"/>
      <c r="X652" s="56"/>
      <c r="Y652" s="56"/>
      <c r="Z652" s="56"/>
      <c r="AA652" s="56"/>
      <c r="AB652" s="56"/>
      <c r="AC652" s="56"/>
    </row>
    <row r="653" spans="1:29" ht="15.75" customHeight="1">
      <c r="A653" s="39" t="s">
        <v>1332</v>
      </c>
      <c r="B653" s="107">
        <v>43664</v>
      </c>
      <c r="C653" s="109">
        <v>43671</v>
      </c>
      <c r="D653" s="159" t="s">
        <v>665</v>
      </c>
      <c r="E653" s="159" t="s">
        <v>665</v>
      </c>
      <c r="F653" s="39" t="s">
        <v>1569</v>
      </c>
      <c r="G653" s="399">
        <f>IFERROR(VLOOKUP(A653,醫療院所DATABASE!A:B,2,""),)</f>
        <v>0</v>
      </c>
      <c r="H653" s="76" t="s">
        <v>2710</v>
      </c>
      <c r="I653" s="109">
        <v>43662</v>
      </c>
      <c r="J653" s="109">
        <v>43664</v>
      </c>
      <c r="K653" s="39" t="s">
        <v>2714</v>
      </c>
      <c r="L653" s="76" t="s">
        <v>2715</v>
      </c>
      <c r="M653" s="49" t="s">
        <v>61</v>
      </c>
      <c r="N653" s="39" t="s">
        <v>51</v>
      </c>
      <c r="O653" s="24"/>
      <c r="P653" s="409" t="s">
        <v>2716</v>
      </c>
      <c r="Q653" s="76" t="s">
        <v>1931</v>
      </c>
      <c r="R653" s="76" t="s">
        <v>1885</v>
      </c>
      <c r="S653" s="24"/>
      <c r="T653" s="24"/>
      <c r="U653" s="76" t="s">
        <v>2709</v>
      </c>
      <c r="V653" s="56"/>
      <c r="W653" s="56"/>
      <c r="X653" s="56"/>
      <c r="Y653" s="56"/>
      <c r="Z653" s="56"/>
      <c r="AA653" s="56"/>
      <c r="AB653" s="56"/>
      <c r="AC653" s="56"/>
    </row>
    <row r="654" spans="1:29" ht="15.75" customHeight="1">
      <c r="A654" s="39" t="s">
        <v>1332</v>
      </c>
      <c r="B654" s="107">
        <v>43664</v>
      </c>
      <c r="C654" s="109">
        <v>43671</v>
      </c>
      <c r="D654" s="159" t="s">
        <v>665</v>
      </c>
      <c r="E654" s="159" t="s">
        <v>665</v>
      </c>
      <c r="F654" s="39" t="s">
        <v>1569</v>
      </c>
      <c r="G654" s="399">
        <f>IFERROR(VLOOKUP(A654,醫療院所DATABASE!A:B,2,""),)</f>
        <v>0</v>
      </c>
      <c r="H654" s="76" t="s">
        <v>2717</v>
      </c>
      <c r="I654" s="109">
        <v>43662</v>
      </c>
      <c r="J654" s="109">
        <v>43664</v>
      </c>
      <c r="K654" s="39" t="s">
        <v>2718</v>
      </c>
      <c r="L654" s="76" t="s">
        <v>2719</v>
      </c>
      <c r="M654" s="49" t="s">
        <v>61</v>
      </c>
      <c r="N654" s="39" t="s">
        <v>62</v>
      </c>
      <c r="O654" s="24"/>
      <c r="P654" s="409" t="s">
        <v>2720</v>
      </c>
      <c r="Q654" s="76" t="s">
        <v>1931</v>
      </c>
      <c r="R654" s="76" t="s">
        <v>1885</v>
      </c>
      <c r="S654" s="24"/>
      <c r="T654" s="24"/>
      <c r="U654" s="76" t="s">
        <v>2709</v>
      </c>
      <c r="V654" s="56"/>
      <c r="W654" s="56"/>
      <c r="X654" s="56"/>
      <c r="Y654" s="56"/>
      <c r="Z654" s="56"/>
      <c r="AA654" s="56"/>
      <c r="AB654" s="56"/>
      <c r="AC654" s="56"/>
    </row>
    <row r="655" spans="1:29" ht="15.75" customHeight="1">
      <c r="A655" s="39" t="s">
        <v>1332</v>
      </c>
      <c r="B655" s="107">
        <v>43664</v>
      </c>
      <c r="C655" s="109">
        <v>43671</v>
      </c>
      <c r="D655" s="159" t="s">
        <v>665</v>
      </c>
      <c r="E655" s="159" t="s">
        <v>665</v>
      </c>
      <c r="F655" s="39" t="s">
        <v>1569</v>
      </c>
      <c r="G655" s="399">
        <f>IFERROR(VLOOKUP(A655,醫療院所DATABASE!A:B,2,""),)</f>
        <v>0</v>
      </c>
      <c r="H655" s="76" t="s">
        <v>2721</v>
      </c>
      <c r="I655" s="109">
        <v>43662</v>
      </c>
      <c r="J655" s="109">
        <v>43664</v>
      </c>
      <c r="K655" s="39" t="s">
        <v>2722</v>
      </c>
      <c r="L655" s="76" t="s">
        <v>2723</v>
      </c>
      <c r="M655" s="49" t="s">
        <v>61</v>
      </c>
      <c r="N655" s="39" t="s">
        <v>62</v>
      </c>
      <c r="O655" s="24"/>
      <c r="P655" s="409" t="s">
        <v>2724</v>
      </c>
      <c r="Q655" s="76" t="s">
        <v>1931</v>
      </c>
      <c r="R655" s="76" t="s">
        <v>1885</v>
      </c>
      <c r="S655" s="24"/>
      <c r="T655" s="24"/>
      <c r="U655" s="76" t="s">
        <v>2709</v>
      </c>
      <c r="V655" s="56"/>
      <c r="W655" s="56"/>
      <c r="X655" s="56"/>
      <c r="Y655" s="56"/>
      <c r="Z655" s="56"/>
      <c r="AA655" s="56"/>
      <c r="AB655" s="56"/>
      <c r="AC655" s="56"/>
    </row>
    <row r="656" spans="1:29" ht="15.75" customHeight="1">
      <c r="A656" s="39" t="s">
        <v>1792</v>
      </c>
      <c r="B656" s="107">
        <v>43664</v>
      </c>
      <c r="C656" s="109">
        <v>43671</v>
      </c>
      <c r="D656" s="159" t="s">
        <v>665</v>
      </c>
      <c r="E656" s="159" t="s">
        <v>665</v>
      </c>
      <c r="F656" s="39" t="s">
        <v>1569</v>
      </c>
      <c r="G656" s="399">
        <f>IFERROR(VLOOKUP(A656,醫療院所DATABASE!A:B,2,""),)</f>
        <v>0</v>
      </c>
      <c r="H656" s="76" t="s">
        <v>2725</v>
      </c>
      <c r="I656" s="109">
        <v>43662</v>
      </c>
      <c r="J656" s="109">
        <v>43664</v>
      </c>
      <c r="K656" s="39" t="s">
        <v>2726</v>
      </c>
      <c r="L656" s="76" t="s">
        <v>2727</v>
      </c>
      <c r="M656" s="49" t="s">
        <v>61</v>
      </c>
      <c r="N656" s="39" t="s">
        <v>62</v>
      </c>
      <c r="O656" s="24"/>
      <c r="P656" s="409" t="s">
        <v>2728</v>
      </c>
      <c r="Q656" s="76" t="s">
        <v>1931</v>
      </c>
      <c r="R656" s="76" t="s">
        <v>1885</v>
      </c>
      <c r="S656" s="24"/>
      <c r="T656" s="24"/>
      <c r="U656" s="76" t="s">
        <v>2709</v>
      </c>
      <c r="V656" s="56"/>
      <c r="W656" s="56"/>
      <c r="X656" s="56"/>
      <c r="Y656" s="56"/>
      <c r="Z656" s="56"/>
      <c r="AA656" s="56"/>
      <c r="AB656" s="56"/>
      <c r="AC656" s="56"/>
    </row>
    <row r="657" spans="1:29" ht="15.75" customHeight="1">
      <c r="A657" s="39" t="s">
        <v>1792</v>
      </c>
      <c r="B657" s="107">
        <v>43664</v>
      </c>
      <c r="C657" s="109">
        <v>43671</v>
      </c>
      <c r="D657" s="159" t="s">
        <v>665</v>
      </c>
      <c r="E657" s="159" t="s">
        <v>665</v>
      </c>
      <c r="F657" s="39" t="s">
        <v>1569</v>
      </c>
      <c r="G657" s="399">
        <f>IFERROR(VLOOKUP(A657,醫療院所DATABASE!A:B,2,""),)</f>
        <v>0</v>
      </c>
      <c r="H657" s="76" t="s">
        <v>2729</v>
      </c>
      <c r="I657" s="109">
        <v>43662</v>
      </c>
      <c r="J657" s="109">
        <v>43664</v>
      </c>
      <c r="K657" s="39" t="s">
        <v>2730</v>
      </c>
      <c r="L657" s="76" t="s">
        <v>2731</v>
      </c>
      <c r="M657" s="49" t="s">
        <v>61</v>
      </c>
      <c r="N657" s="39" t="s">
        <v>51</v>
      </c>
      <c r="O657" s="24"/>
      <c r="P657" s="409" t="s">
        <v>2732</v>
      </c>
      <c r="Q657" s="76" t="s">
        <v>1931</v>
      </c>
      <c r="R657" s="76" t="s">
        <v>1885</v>
      </c>
      <c r="S657" s="24"/>
      <c r="T657" s="24"/>
      <c r="U657" s="76" t="s">
        <v>2709</v>
      </c>
      <c r="V657" s="56"/>
      <c r="W657" s="56"/>
      <c r="X657" s="56"/>
      <c r="Y657" s="56"/>
      <c r="Z657" s="56"/>
      <c r="AA657" s="56"/>
      <c r="AB657" s="56"/>
      <c r="AC657" s="56"/>
    </row>
    <row r="658" spans="1:29" ht="15.75" customHeight="1">
      <c r="A658" s="39" t="s">
        <v>1792</v>
      </c>
      <c r="B658" s="107">
        <v>43664</v>
      </c>
      <c r="C658" s="109">
        <v>43671</v>
      </c>
      <c r="D658" s="159" t="s">
        <v>665</v>
      </c>
      <c r="E658" s="159" t="s">
        <v>665</v>
      </c>
      <c r="F658" s="39" t="s">
        <v>1569</v>
      </c>
      <c r="G658" s="399">
        <f>IFERROR(VLOOKUP(A658,醫療院所DATABASE!A:B,2,""),)</f>
        <v>0</v>
      </c>
      <c r="H658" s="76" t="s">
        <v>2733</v>
      </c>
      <c r="I658" s="109">
        <v>43662</v>
      </c>
      <c r="J658" s="109">
        <v>43664</v>
      </c>
      <c r="K658" s="39" t="s">
        <v>2734</v>
      </c>
      <c r="L658" s="76" t="s">
        <v>2735</v>
      </c>
      <c r="M658" s="49" t="s">
        <v>2736</v>
      </c>
      <c r="N658" s="39" t="s">
        <v>51</v>
      </c>
      <c r="O658" s="24"/>
      <c r="P658" s="409" t="s">
        <v>2737</v>
      </c>
      <c r="Q658" s="76" t="s">
        <v>1931</v>
      </c>
      <c r="R658" s="76" t="s">
        <v>1885</v>
      </c>
      <c r="S658" s="24"/>
      <c r="T658" s="24"/>
      <c r="U658" s="76" t="s">
        <v>2709</v>
      </c>
      <c r="V658" s="56"/>
      <c r="W658" s="56"/>
      <c r="X658" s="56"/>
      <c r="Y658" s="56"/>
      <c r="Z658" s="56"/>
      <c r="AA658" s="56"/>
      <c r="AB658" s="56"/>
      <c r="AC658" s="56"/>
    </row>
    <row r="659" spans="1:29" ht="15.75" customHeight="1">
      <c r="A659" s="39" t="s">
        <v>2738</v>
      </c>
      <c r="B659" s="107">
        <v>43664</v>
      </c>
      <c r="C659" s="109">
        <v>43665</v>
      </c>
      <c r="D659" s="159" t="s">
        <v>1910</v>
      </c>
      <c r="E659" s="76" t="s">
        <v>2693</v>
      </c>
      <c r="F659" s="39" t="s">
        <v>1911</v>
      </c>
      <c r="G659" s="399">
        <f>IFERROR(VLOOKUP(A659,醫療院所DATABASE!A:B,2,""),)</f>
        <v>0</v>
      </c>
      <c r="H659" s="76" t="s">
        <v>2739</v>
      </c>
      <c r="I659" s="109">
        <v>43662</v>
      </c>
      <c r="J659" s="109">
        <v>43664</v>
      </c>
      <c r="K659" s="39" t="s">
        <v>2740</v>
      </c>
      <c r="L659" s="76" t="s">
        <v>2741</v>
      </c>
      <c r="M659" s="49" t="s">
        <v>61</v>
      </c>
      <c r="N659" s="39" t="s">
        <v>62</v>
      </c>
      <c r="O659" s="24"/>
      <c r="P659" s="409" t="s">
        <v>2742</v>
      </c>
      <c r="Q659" s="76" t="s">
        <v>64</v>
      </c>
      <c r="R659" s="76" t="s">
        <v>1885</v>
      </c>
      <c r="S659" s="24"/>
      <c r="T659" s="24"/>
      <c r="U659" s="76" t="s">
        <v>2743</v>
      </c>
      <c r="V659" s="56"/>
      <c r="W659" s="56"/>
      <c r="X659" s="56"/>
      <c r="Y659" s="56"/>
      <c r="Z659" s="56"/>
      <c r="AA659" s="56"/>
      <c r="AB659" s="56"/>
      <c r="AC659" s="56"/>
    </row>
    <row r="660" spans="1:29" ht="15.75" customHeight="1">
      <c r="A660" s="39" t="s">
        <v>2738</v>
      </c>
      <c r="B660" s="107">
        <v>43664</v>
      </c>
      <c r="C660" s="109">
        <v>43665</v>
      </c>
      <c r="D660" s="159" t="s">
        <v>1910</v>
      </c>
      <c r="E660" s="76" t="s">
        <v>2693</v>
      </c>
      <c r="F660" s="39" t="s">
        <v>1911</v>
      </c>
      <c r="G660" s="399">
        <f>IFERROR(VLOOKUP(A660,醫療院所DATABASE!A:B,2,""),)</f>
        <v>0</v>
      </c>
      <c r="H660" s="76" t="s">
        <v>2741</v>
      </c>
      <c r="I660" s="109">
        <v>43662</v>
      </c>
      <c r="J660" s="109">
        <v>43664</v>
      </c>
      <c r="K660" s="39" t="s">
        <v>2744</v>
      </c>
      <c r="L660" s="76" t="s">
        <v>2739</v>
      </c>
      <c r="M660" s="49" t="s">
        <v>61</v>
      </c>
      <c r="N660" s="39" t="s">
        <v>51</v>
      </c>
      <c r="O660" s="24"/>
      <c r="P660" s="409" t="s">
        <v>2745</v>
      </c>
      <c r="Q660" s="76" t="s">
        <v>64</v>
      </c>
      <c r="R660" s="76" t="s">
        <v>1885</v>
      </c>
      <c r="S660" s="24"/>
      <c r="T660" s="24"/>
      <c r="U660" s="76" t="s">
        <v>2743</v>
      </c>
      <c r="V660" s="56"/>
      <c r="W660" s="56"/>
      <c r="X660" s="56"/>
      <c r="Y660" s="56"/>
      <c r="Z660" s="56"/>
      <c r="AA660" s="56"/>
      <c r="AB660" s="56"/>
      <c r="AC660" s="56"/>
    </row>
    <row r="661" spans="1:29" ht="15.75" customHeight="1">
      <c r="A661" s="39" t="s">
        <v>595</v>
      </c>
      <c r="B661" s="107">
        <v>43664</v>
      </c>
      <c r="C661" s="109">
        <v>43670</v>
      </c>
      <c r="D661" s="159" t="s">
        <v>522</v>
      </c>
      <c r="E661" s="76" t="s">
        <v>522</v>
      </c>
      <c r="F661" s="39" t="s">
        <v>2746</v>
      </c>
      <c r="G661" s="399">
        <f>IFERROR(VLOOKUP(A661,醫療院所DATABASE!A:B,2,""),)</f>
        <v>0</v>
      </c>
      <c r="H661" s="76" t="s">
        <v>2747</v>
      </c>
      <c r="I661" s="109">
        <v>43662</v>
      </c>
      <c r="J661" s="109">
        <v>43664</v>
      </c>
      <c r="K661" s="39" t="s">
        <v>2748</v>
      </c>
      <c r="L661" s="76" t="s">
        <v>2749</v>
      </c>
      <c r="M661" s="49" t="s">
        <v>593</v>
      </c>
      <c r="N661" s="39" t="s">
        <v>51</v>
      </c>
      <c r="O661" s="24"/>
      <c r="P661" s="409" t="s">
        <v>2750</v>
      </c>
      <c r="Q661" s="76" t="s">
        <v>64</v>
      </c>
      <c r="R661" s="76" t="s">
        <v>1885</v>
      </c>
      <c r="S661" s="24"/>
      <c r="T661" s="24"/>
      <c r="U661" s="76" t="s">
        <v>2751</v>
      </c>
      <c r="V661" s="56"/>
      <c r="W661" s="56"/>
      <c r="X661" s="56"/>
      <c r="Y661" s="56"/>
      <c r="Z661" s="56"/>
      <c r="AA661" s="56"/>
      <c r="AB661" s="56"/>
      <c r="AC661" s="56"/>
    </row>
    <row r="662" spans="1:29" ht="15.75" customHeight="1">
      <c r="A662" s="39" t="s">
        <v>595</v>
      </c>
      <c r="B662" s="107">
        <v>43664</v>
      </c>
      <c r="C662" s="109">
        <v>43670</v>
      </c>
      <c r="D662" s="159" t="s">
        <v>522</v>
      </c>
      <c r="E662" s="76" t="s">
        <v>522</v>
      </c>
      <c r="F662" s="39" t="s">
        <v>2746</v>
      </c>
      <c r="G662" s="399">
        <f>IFERROR(VLOOKUP(A662,醫療院所DATABASE!A:B,2,""),)</f>
        <v>0</v>
      </c>
      <c r="H662" s="76" t="s">
        <v>2749</v>
      </c>
      <c r="I662" s="109">
        <v>43662</v>
      </c>
      <c r="J662" s="109">
        <v>43664</v>
      </c>
      <c r="K662" s="39" t="s">
        <v>2752</v>
      </c>
      <c r="L662" s="76" t="s">
        <v>2747</v>
      </c>
      <c r="M662" s="49" t="s">
        <v>593</v>
      </c>
      <c r="N662" s="39" t="s">
        <v>62</v>
      </c>
      <c r="O662" s="24"/>
      <c r="P662" s="409" t="s">
        <v>2753</v>
      </c>
      <c r="Q662" s="76" t="s">
        <v>64</v>
      </c>
      <c r="R662" s="76" t="s">
        <v>1885</v>
      </c>
      <c r="S662" s="24"/>
      <c r="T662" s="24"/>
      <c r="U662" s="76" t="s">
        <v>2751</v>
      </c>
      <c r="V662" s="56"/>
      <c r="W662" s="56"/>
      <c r="X662" s="56"/>
      <c r="Y662" s="56"/>
      <c r="Z662" s="56"/>
      <c r="AA662" s="56"/>
      <c r="AB662" s="56"/>
      <c r="AC662" s="56"/>
    </row>
    <row r="663" spans="1:29" ht="15.75" customHeight="1">
      <c r="A663" s="39" t="s">
        <v>595</v>
      </c>
      <c r="B663" s="107">
        <v>43664</v>
      </c>
      <c r="C663" s="109">
        <v>43670</v>
      </c>
      <c r="D663" s="159" t="s">
        <v>522</v>
      </c>
      <c r="E663" s="76" t="s">
        <v>522</v>
      </c>
      <c r="F663" s="39" t="s">
        <v>2754</v>
      </c>
      <c r="G663" s="399">
        <f>IFERROR(VLOOKUP(A663,醫療院所DATABASE!A:B,2,""),)</f>
        <v>0</v>
      </c>
      <c r="H663" s="76"/>
      <c r="I663" s="109">
        <v>43662</v>
      </c>
      <c r="J663" s="109">
        <v>43664</v>
      </c>
      <c r="K663" s="39" t="s">
        <v>2755</v>
      </c>
      <c r="L663" s="76" t="s">
        <v>2756</v>
      </c>
      <c r="M663" s="49" t="s">
        <v>593</v>
      </c>
      <c r="N663" s="39" t="s">
        <v>62</v>
      </c>
      <c r="O663" s="24"/>
      <c r="P663" s="409" t="s">
        <v>2757</v>
      </c>
      <c r="Q663" s="76" t="s">
        <v>64</v>
      </c>
      <c r="R663" s="76" t="s">
        <v>1885</v>
      </c>
      <c r="S663" s="24"/>
      <c r="T663" s="24"/>
      <c r="U663" s="76" t="s">
        <v>2758</v>
      </c>
      <c r="V663" s="56"/>
      <c r="W663" s="56"/>
      <c r="X663" s="56"/>
      <c r="Y663" s="56"/>
      <c r="Z663" s="56"/>
      <c r="AA663" s="56"/>
      <c r="AB663" s="56"/>
      <c r="AC663" s="56"/>
    </row>
    <row r="664" spans="1:29" ht="15.75" customHeight="1">
      <c r="A664" s="39" t="s">
        <v>1750</v>
      </c>
      <c r="B664" s="107">
        <v>43664</v>
      </c>
      <c r="C664" s="109">
        <v>43665</v>
      </c>
      <c r="D664" s="159" t="s">
        <v>366</v>
      </c>
      <c r="E664" s="159" t="s">
        <v>366</v>
      </c>
      <c r="F664" s="39" t="s">
        <v>2759</v>
      </c>
      <c r="G664" s="399">
        <f>IFERROR(VLOOKUP(A664,醫療院所DATABASE!A:B,2,""),)</f>
        <v>0</v>
      </c>
      <c r="H664" s="76" t="s">
        <v>2760</v>
      </c>
      <c r="I664" s="109">
        <v>43663</v>
      </c>
      <c r="J664" s="109">
        <v>43665</v>
      </c>
      <c r="K664" s="39" t="s">
        <v>2761</v>
      </c>
      <c r="L664" s="76" t="s">
        <v>2762</v>
      </c>
      <c r="M664" s="49" t="s">
        <v>61</v>
      </c>
      <c r="N664" s="39" t="s">
        <v>51</v>
      </c>
      <c r="O664" s="24"/>
      <c r="P664" s="409" t="s">
        <v>2763</v>
      </c>
      <c r="Q664" s="76" t="s">
        <v>64</v>
      </c>
      <c r="R664" s="76" t="s">
        <v>1885</v>
      </c>
      <c r="S664" s="24"/>
      <c r="T664" s="24"/>
      <c r="U664" s="76" t="s">
        <v>2764</v>
      </c>
      <c r="V664" s="56"/>
      <c r="W664" s="56"/>
      <c r="X664" s="56"/>
      <c r="Y664" s="56"/>
      <c r="Z664" s="56"/>
      <c r="AA664" s="56"/>
      <c r="AB664" s="56"/>
      <c r="AC664" s="56"/>
    </row>
    <row r="665" spans="1:29" ht="15.75" customHeight="1">
      <c r="A665" s="39" t="s">
        <v>1750</v>
      </c>
      <c r="B665" s="107">
        <v>43664</v>
      </c>
      <c r="C665" s="109">
        <v>43665</v>
      </c>
      <c r="D665" s="159" t="s">
        <v>366</v>
      </c>
      <c r="E665" s="159" t="s">
        <v>366</v>
      </c>
      <c r="F665" s="39" t="s">
        <v>2759</v>
      </c>
      <c r="G665" s="399">
        <f>IFERROR(VLOOKUP(A665,醫療院所DATABASE!A:B,2,""),)</f>
        <v>0</v>
      </c>
      <c r="H665" s="76" t="s">
        <v>2762</v>
      </c>
      <c r="I665" s="109">
        <v>43663</v>
      </c>
      <c r="J665" s="109">
        <v>43665</v>
      </c>
      <c r="K665" s="39" t="s">
        <v>2765</v>
      </c>
      <c r="L665" s="76" t="s">
        <v>2760</v>
      </c>
      <c r="M665" s="49" t="s">
        <v>61</v>
      </c>
      <c r="N665" s="39" t="s">
        <v>62</v>
      </c>
      <c r="O665" s="24"/>
      <c r="P665" s="409" t="s">
        <v>2766</v>
      </c>
      <c r="Q665" s="76" t="s">
        <v>64</v>
      </c>
      <c r="R665" s="76" t="s">
        <v>1885</v>
      </c>
      <c r="S665" s="24"/>
      <c r="T665" s="24"/>
      <c r="U665" s="76" t="s">
        <v>2764</v>
      </c>
      <c r="V665" s="56"/>
      <c r="W665" s="56"/>
      <c r="X665" s="56"/>
      <c r="Y665" s="56"/>
      <c r="Z665" s="56"/>
      <c r="AA665" s="56"/>
      <c r="AB665" s="56"/>
      <c r="AC665" s="56"/>
    </row>
    <row r="666" spans="1:29" ht="15.75" customHeight="1">
      <c r="A666" s="39" t="s">
        <v>1750</v>
      </c>
      <c r="B666" s="107">
        <v>43664</v>
      </c>
      <c r="C666" s="109">
        <v>43665</v>
      </c>
      <c r="D666" s="159" t="s">
        <v>366</v>
      </c>
      <c r="E666" s="159" t="s">
        <v>366</v>
      </c>
      <c r="F666" s="39" t="s">
        <v>2759</v>
      </c>
      <c r="G666" s="399">
        <f>IFERROR(VLOOKUP(A666,醫療院所DATABASE!A:B,2,""),)</f>
        <v>0</v>
      </c>
      <c r="H666" s="76" t="s">
        <v>2767</v>
      </c>
      <c r="I666" s="109">
        <v>43663</v>
      </c>
      <c r="J666" s="109">
        <v>43665</v>
      </c>
      <c r="K666" s="39" t="s">
        <v>2768</v>
      </c>
      <c r="L666" s="76" t="s">
        <v>2769</v>
      </c>
      <c r="M666" s="49" t="s">
        <v>61</v>
      </c>
      <c r="N666" s="39" t="s">
        <v>62</v>
      </c>
      <c r="O666" s="24"/>
      <c r="P666" s="409" t="s">
        <v>2770</v>
      </c>
      <c r="Q666" s="76" t="s">
        <v>64</v>
      </c>
      <c r="R666" s="76" t="s">
        <v>1885</v>
      </c>
      <c r="S666" s="24"/>
      <c r="T666" s="24"/>
      <c r="U666" s="76" t="s">
        <v>2764</v>
      </c>
      <c r="V666" s="56"/>
      <c r="W666" s="56"/>
      <c r="X666" s="56"/>
      <c r="Y666" s="56"/>
      <c r="Z666" s="56"/>
      <c r="AA666" s="56"/>
      <c r="AB666" s="56"/>
      <c r="AC666" s="56"/>
    </row>
    <row r="667" spans="1:29" ht="15.75" customHeight="1">
      <c r="A667" s="39" t="s">
        <v>1750</v>
      </c>
      <c r="B667" s="107">
        <v>43664</v>
      </c>
      <c r="C667" s="109">
        <v>43665</v>
      </c>
      <c r="D667" s="159" t="s">
        <v>366</v>
      </c>
      <c r="E667" s="159" t="s">
        <v>366</v>
      </c>
      <c r="F667" s="39" t="s">
        <v>2759</v>
      </c>
      <c r="G667" s="399">
        <f>IFERROR(VLOOKUP(A667,醫療院所DATABASE!A:B,2,""),)</f>
        <v>0</v>
      </c>
      <c r="H667" s="76" t="s">
        <v>2769</v>
      </c>
      <c r="I667" s="109">
        <v>43663</v>
      </c>
      <c r="J667" s="109">
        <v>43665</v>
      </c>
      <c r="K667" s="39" t="s">
        <v>2771</v>
      </c>
      <c r="L667" s="76" t="s">
        <v>2767</v>
      </c>
      <c r="M667" s="49" t="s">
        <v>61</v>
      </c>
      <c r="N667" s="39" t="s">
        <v>51</v>
      </c>
      <c r="O667" s="24"/>
      <c r="P667" s="409" t="s">
        <v>2772</v>
      </c>
      <c r="Q667" s="76" t="s">
        <v>64</v>
      </c>
      <c r="R667" s="76" t="s">
        <v>1885</v>
      </c>
      <c r="S667" s="24"/>
      <c r="T667" s="24"/>
      <c r="U667" s="76" t="s">
        <v>2764</v>
      </c>
      <c r="V667" s="56"/>
      <c r="W667" s="56"/>
      <c r="X667" s="56"/>
      <c r="Y667" s="56"/>
      <c r="Z667" s="56"/>
      <c r="AA667" s="56"/>
      <c r="AB667" s="56"/>
      <c r="AC667" s="56"/>
    </row>
    <row r="668" spans="1:29" ht="15.75" customHeight="1">
      <c r="A668" s="39" t="s">
        <v>1389</v>
      </c>
      <c r="B668" s="107">
        <v>43665</v>
      </c>
      <c r="C668" s="109">
        <v>43668</v>
      </c>
      <c r="D668" s="159" t="s">
        <v>479</v>
      </c>
      <c r="E668" s="76" t="s">
        <v>2693</v>
      </c>
      <c r="F668" s="39" t="s">
        <v>1709</v>
      </c>
      <c r="G668" s="399">
        <f>IFERROR(VLOOKUP(A668,醫療院所DATABASE!A:B,2,""),)</f>
        <v>0</v>
      </c>
      <c r="H668" s="76"/>
      <c r="I668" s="109">
        <v>43664</v>
      </c>
      <c r="J668" s="109">
        <v>43668</v>
      </c>
      <c r="K668" s="39" t="s">
        <v>2773</v>
      </c>
      <c r="L668" s="76" t="s">
        <v>2774</v>
      </c>
      <c r="M668" s="49" t="s">
        <v>61</v>
      </c>
      <c r="N668" s="39" t="s">
        <v>51</v>
      </c>
      <c r="O668" s="24"/>
      <c r="P668" s="409" t="s">
        <v>2775</v>
      </c>
      <c r="Q668" s="76" t="s">
        <v>1207</v>
      </c>
      <c r="R668" s="76" t="s">
        <v>1885</v>
      </c>
      <c r="S668" s="24"/>
      <c r="T668" s="24"/>
      <c r="U668" s="76" t="s">
        <v>2776</v>
      </c>
      <c r="V668" s="56"/>
      <c r="W668" s="56"/>
      <c r="X668" s="56"/>
      <c r="Y668" s="56"/>
      <c r="Z668" s="56"/>
      <c r="AA668" s="56"/>
      <c r="AB668" s="56"/>
      <c r="AC668" s="56"/>
    </row>
    <row r="669" spans="1:29" ht="15.75" customHeight="1">
      <c r="A669" s="39" t="s">
        <v>1674</v>
      </c>
      <c r="B669" s="107">
        <v>43665</v>
      </c>
      <c r="C669" s="109">
        <v>43668</v>
      </c>
      <c r="D669" s="159" t="s">
        <v>479</v>
      </c>
      <c r="E669" s="76" t="s">
        <v>2693</v>
      </c>
      <c r="F669" s="39" t="s">
        <v>2103</v>
      </c>
      <c r="G669" s="399">
        <f>IFERROR(VLOOKUP(A669,醫療院所DATABASE!A:B,2,""),)</f>
        <v>0</v>
      </c>
      <c r="H669" s="76"/>
      <c r="I669" s="109">
        <v>43664</v>
      </c>
      <c r="J669" s="109">
        <v>43668</v>
      </c>
      <c r="K669" s="39" t="s">
        <v>2777</v>
      </c>
      <c r="L669" s="76" t="s">
        <v>2778</v>
      </c>
      <c r="M669" s="39" t="s">
        <v>2201</v>
      </c>
      <c r="N669" s="39" t="s">
        <v>62</v>
      </c>
      <c r="O669" s="24"/>
      <c r="P669" s="409" t="s">
        <v>2779</v>
      </c>
      <c r="Q669" s="76" t="s">
        <v>1207</v>
      </c>
      <c r="R669" s="76" t="s">
        <v>1885</v>
      </c>
      <c r="S669" s="24"/>
      <c r="T669" s="24"/>
      <c r="U669" s="76" t="s">
        <v>2780</v>
      </c>
      <c r="V669" s="56"/>
      <c r="W669" s="56"/>
      <c r="X669" s="56"/>
      <c r="Y669" s="56"/>
      <c r="Z669" s="56"/>
      <c r="AA669" s="56"/>
      <c r="AB669" s="56"/>
      <c r="AC669" s="56"/>
    </row>
    <row r="670" spans="1:29" ht="15.75" customHeight="1">
      <c r="A670" s="39" t="s">
        <v>1674</v>
      </c>
      <c r="B670" s="107">
        <v>43665</v>
      </c>
      <c r="C670" s="109">
        <v>43668</v>
      </c>
      <c r="D670" s="159" t="s">
        <v>479</v>
      </c>
      <c r="E670" s="76" t="s">
        <v>2693</v>
      </c>
      <c r="F670" s="39" t="s">
        <v>2103</v>
      </c>
      <c r="G670" s="399">
        <f>IFERROR(VLOOKUP(A670,醫療院所DATABASE!A:B,2,""),)</f>
        <v>0</v>
      </c>
      <c r="H670" s="76"/>
      <c r="I670" s="109">
        <v>43664</v>
      </c>
      <c r="J670" s="109">
        <v>43668</v>
      </c>
      <c r="K670" s="39" t="s">
        <v>2781</v>
      </c>
      <c r="L670" s="76" t="s">
        <v>2782</v>
      </c>
      <c r="M670" s="39" t="s">
        <v>2201</v>
      </c>
      <c r="N670" s="39" t="s">
        <v>62</v>
      </c>
      <c r="O670" s="24"/>
      <c r="P670" s="409" t="s">
        <v>2783</v>
      </c>
      <c r="Q670" s="76" t="s">
        <v>1207</v>
      </c>
      <c r="R670" s="76" t="s">
        <v>1885</v>
      </c>
      <c r="S670" s="24"/>
      <c r="T670" s="24"/>
      <c r="U670" s="76" t="s">
        <v>2780</v>
      </c>
      <c r="V670" s="56"/>
      <c r="W670" s="56"/>
      <c r="X670" s="56"/>
      <c r="Y670" s="56"/>
      <c r="Z670" s="56"/>
      <c r="AA670" s="56"/>
      <c r="AB670" s="56"/>
      <c r="AC670" s="56"/>
    </row>
    <row r="671" spans="1:29" ht="15.75" customHeight="1">
      <c r="A671" s="39" t="s">
        <v>1674</v>
      </c>
      <c r="B671" s="107">
        <v>43668</v>
      </c>
      <c r="C671" s="109">
        <v>43668</v>
      </c>
      <c r="D671" s="159" t="s">
        <v>479</v>
      </c>
      <c r="E671" s="76" t="s">
        <v>2693</v>
      </c>
      <c r="F671" s="39" t="s">
        <v>2103</v>
      </c>
      <c r="G671" s="399">
        <f>IFERROR(VLOOKUP(A671,醫療院所DATABASE!A:B,2,""),)</f>
        <v>0</v>
      </c>
      <c r="H671" s="76"/>
      <c r="I671" s="109">
        <v>43664</v>
      </c>
      <c r="J671" s="109">
        <v>43668</v>
      </c>
      <c r="K671" s="39" t="s">
        <v>2784</v>
      </c>
      <c r="L671" s="76" t="s">
        <v>2785</v>
      </c>
      <c r="M671" s="39" t="s">
        <v>2201</v>
      </c>
      <c r="N671" s="39" t="s">
        <v>62</v>
      </c>
      <c r="O671" s="24"/>
      <c r="P671" s="409" t="s">
        <v>2786</v>
      </c>
      <c r="Q671" s="76" t="s">
        <v>1207</v>
      </c>
      <c r="R671" s="76" t="s">
        <v>1885</v>
      </c>
      <c r="S671" s="24"/>
      <c r="T671" s="24"/>
      <c r="U671" s="76" t="s">
        <v>2780</v>
      </c>
      <c r="V671" s="56"/>
      <c r="W671" s="56"/>
      <c r="X671" s="56"/>
      <c r="Y671" s="56"/>
      <c r="Z671" s="56"/>
      <c r="AA671" s="56"/>
      <c r="AB671" s="56"/>
      <c r="AC671" s="56"/>
    </row>
    <row r="672" spans="1:29" ht="15.75" customHeight="1">
      <c r="A672" s="39" t="s">
        <v>1674</v>
      </c>
      <c r="B672" s="107">
        <v>43665</v>
      </c>
      <c r="C672" s="109">
        <v>43668</v>
      </c>
      <c r="D672" s="159" t="s">
        <v>479</v>
      </c>
      <c r="E672" s="76" t="s">
        <v>2693</v>
      </c>
      <c r="F672" s="39" t="s">
        <v>2103</v>
      </c>
      <c r="G672" s="399">
        <f>IFERROR(VLOOKUP(A672,醫療院所DATABASE!A:B,2,""),)</f>
        <v>0</v>
      </c>
      <c r="H672" s="76"/>
      <c r="I672" s="109">
        <v>43664</v>
      </c>
      <c r="J672" s="109">
        <v>43668</v>
      </c>
      <c r="K672" s="39" t="s">
        <v>2777</v>
      </c>
      <c r="L672" s="76" t="s">
        <v>2778</v>
      </c>
      <c r="M672" s="177" t="s">
        <v>963</v>
      </c>
      <c r="N672" s="39" t="s">
        <v>62</v>
      </c>
      <c r="O672" s="24"/>
      <c r="P672" s="409" t="s">
        <v>2787</v>
      </c>
      <c r="Q672" s="76" t="s">
        <v>1207</v>
      </c>
      <c r="R672" s="76" t="s">
        <v>1885</v>
      </c>
      <c r="S672" s="24"/>
      <c r="T672" s="24"/>
      <c r="U672" s="76" t="s">
        <v>2780</v>
      </c>
      <c r="V672" s="56"/>
      <c r="W672" s="56"/>
      <c r="X672" s="56"/>
      <c r="Y672" s="56"/>
      <c r="Z672" s="56"/>
      <c r="AA672" s="56"/>
      <c r="AB672" s="56"/>
      <c r="AC672" s="56"/>
    </row>
    <row r="673" spans="1:29" ht="15.75" customHeight="1">
      <c r="A673" s="39" t="s">
        <v>1674</v>
      </c>
      <c r="B673" s="107">
        <v>43665</v>
      </c>
      <c r="C673" s="109">
        <v>43668</v>
      </c>
      <c r="D673" s="159" t="s">
        <v>479</v>
      </c>
      <c r="E673" s="76" t="s">
        <v>2693</v>
      </c>
      <c r="F673" s="39" t="s">
        <v>2103</v>
      </c>
      <c r="G673" s="399">
        <f>IFERROR(VLOOKUP(A673,醫療院所DATABASE!A:B,2,""),)</f>
        <v>0</v>
      </c>
      <c r="H673" s="76"/>
      <c r="I673" s="109">
        <v>43664</v>
      </c>
      <c r="J673" s="109">
        <v>43668</v>
      </c>
      <c r="K673" s="39" t="s">
        <v>2781</v>
      </c>
      <c r="L673" s="76" t="s">
        <v>2782</v>
      </c>
      <c r="M673" s="177" t="s">
        <v>963</v>
      </c>
      <c r="N673" s="39" t="s">
        <v>62</v>
      </c>
      <c r="O673" s="24"/>
      <c r="P673" s="409" t="s">
        <v>2788</v>
      </c>
      <c r="Q673" s="76" t="s">
        <v>1207</v>
      </c>
      <c r="R673" s="76" t="s">
        <v>1885</v>
      </c>
      <c r="S673" s="24"/>
      <c r="T673" s="24"/>
      <c r="U673" s="76" t="s">
        <v>2780</v>
      </c>
      <c r="V673" s="56"/>
      <c r="W673" s="56"/>
      <c r="X673" s="56"/>
      <c r="Y673" s="56"/>
      <c r="Z673" s="56"/>
      <c r="AA673" s="56"/>
      <c r="AB673" s="56"/>
      <c r="AC673" s="56"/>
    </row>
    <row r="674" spans="1:29" ht="15.75" customHeight="1">
      <c r="A674" s="39" t="s">
        <v>1674</v>
      </c>
      <c r="B674" s="107">
        <v>43665</v>
      </c>
      <c r="C674" s="109">
        <v>43668</v>
      </c>
      <c r="D674" s="159" t="s">
        <v>479</v>
      </c>
      <c r="E674" s="76" t="s">
        <v>2693</v>
      </c>
      <c r="F674" s="39" t="s">
        <v>2103</v>
      </c>
      <c r="G674" s="399">
        <f>IFERROR(VLOOKUP(A674,醫療院所DATABASE!A:B,2,""),)</f>
        <v>0</v>
      </c>
      <c r="H674" s="76"/>
      <c r="I674" s="109">
        <v>43664</v>
      </c>
      <c r="J674" s="109">
        <v>43668</v>
      </c>
      <c r="K674" s="39" t="s">
        <v>2784</v>
      </c>
      <c r="L674" s="76" t="s">
        <v>2785</v>
      </c>
      <c r="M674" s="177" t="s">
        <v>963</v>
      </c>
      <c r="N674" s="39" t="s">
        <v>62</v>
      </c>
      <c r="O674" s="24"/>
      <c r="P674" s="409" t="s">
        <v>2789</v>
      </c>
      <c r="Q674" s="76" t="s">
        <v>1207</v>
      </c>
      <c r="R674" s="76" t="s">
        <v>1885</v>
      </c>
      <c r="S674" s="24"/>
      <c r="T674" s="24"/>
      <c r="U674" s="76" t="s">
        <v>2780</v>
      </c>
      <c r="V674" s="56"/>
      <c r="W674" s="56"/>
      <c r="X674" s="56"/>
      <c r="Y674" s="56"/>
      <c r="Z674" s="56"/>
      <c r="AA674" s="56"/>
      <c r="AB674" s="56"/>
      <c r="AC674" s="56"/>
    </row>
    <row r="675" spans="1:29" ht="15.75" customHeight="1">
      <c r="A675" s="39" t="s">
        <v>2790</v>
      </c>
      <c r="B675" s="107">
        <v>43664</v>
      </c>
      <c r="C675" s="109">
        <v>43665</v>
      </c>
      <c r="D675" s="159" t="s">
        <v>117</v>
      </c>
      <c r="E675" s="76" t="s">
        <v>117</v>
      </c>
      <c r="F675" s="39" t="s">
        <v>2791</v>
      </c>
      <c r="G675" s="399">
        <f>IFERROR(VLOOKUP(A675,醫療院所DATABASE!A:B,2,""),)</f>
        <v>0</v>
      </c>
      <c r="H675" s="76"/>
      <c r="I675" s="109">
        <v>43664</v>
      </c>
      <c r="J675" s="109">
        <v>43665</v>
      </c>
      <c r="K675" s="39" t="s">
        <v>2792</v>
      </c>
      <c r="L675" s="76" t="s">
        <v>2793</v>
      </c>
      <c r="M675" s="49" t="s">
        <v>61</v>
      </c>
      <c r="N675" s="39" t="s">
        <v>51</v>
      </c>
      <c r="O675" s="24"/>
      <c r="P675" s="409" t="s">
        <v>2794</v>
      </c>
      <c r="Q675" s="76" t="s">
        <v>1207</v>
      </c>
      <c r="R675" s="76" t="s">
        <v>1885</v>
      </c>
      <c r="S675" s="24"/>
      <c r="T675" s="24"/>
      <c r="U675" s="76" t="s">
        <v>2795</v>
      </c>
      <c r="V675" s="56"/>
      <c r="W675" s="56"/>
      <c r="X675" s="56"/>
      <c r="Y675" s="56"/>
      <c r="Z675" s="56"/>
      <c r="AA675" s="56"/>
      <c r="AB675" s="56"/>
      <c r="AC675" s="56"/>
    </row>
    <row r="676" spans="1:29" ht="15.75" customHeight="1">
      <c r="A676" s="39" t="s">
        <v>2790</v>
      </c>
      <c r="B676" s="107">
        <v>43664</v>
      </c>
      <c r="C676" s="109">
        <v>43670</v>
      </c>
      <c r="D676" s="159" t="s">
        <v>117</v>
      </c>
      <c r="E676" s="76" t="s">
        <v>53</v>
      </c>
      <c r="F676" s="39" t="s">
        <v>2791</v>
      </c>
      <c r="G676" s="399">
        <f>IFERROR(VLOOKUP(A676,醫療院所DATABASE!A:B,2,""),)</f>
        <v>0</v>
      </c>
      <c r="H676" s="76"/>
      <c r="I676" s="109">
        <v>43664</v>
      </c>
      <c r="J676" s="109">
        <v>43664</v>
      </c>
      <c r="K676" s="39" t="s">
        <v>2796</v>
      </c>
      <c r="L676" s="76" t="s">
        <v>2797</v>
      </c>
      <c r="M676" s="93" t="s">
        <v>641</v>
      </c>
      <c r="N676" s="39" t="s">
        <v>62</v>
      </c>
      <c r="O676" s="24"/>
      <c r="P676" s="409" t="s">
        <v>2798</v>
      </c>
      <c r="Q676" s="76" t="s">
        <v>1207</v>
      </c>
      <c r="R676" s="76" t="s">
        <v>1885</v>
      </c>
      <c r="S676" s="24"/>
      <c r="T676" s="24"/>
      <c r="U676" s="76" t="s">
        <v>2799</v>
      </c>
      <c r="V676" s="56"/>
      <c r="W676" s="56"/>
      <c r="X676" s="56"/>
      <c r="Y676" s="56"/>
      <c r="Z676" s="56"/>
      <c r="AA676" s="56"/>
      <c r="AB676" s="56"/>
      <c r="AC676" s="56"/>
    </row>
    <row r="677" spans="1:29" ht="15.75" customHeight="1">
      <c r="A677" s="39" t="s">
        <v>2790</v>
      </c>
      <c r="B677" s="107">
        <v>43664</v>
      </c>
      <c r="C677" s="109">
        <v>43664</v>
      </c>
      <c r="D677" s="159" t="s">
        <v>117</v>
      </c>
      <c r="E677" s="76" t="s">
        <v>188</v>
      </c>
      <c r="F677" s="39" t="s">
        <v>2791</v>
      </c>
      <c r="G677" s="399">
        <f>IFERROR(VLOOKUP(A677,醫療院所DATABASE!A:B,2,""),)</f>
        <v>0</v>
      </c>
      <c r="H677" s="76"/>
      <c r="I677" s="109">
        <v>43664</v>
      </c>
      <c r="J677" s="109">
        <v>43664</v>
      </c>
      <c r="K677" s="39" t="s">
        <v>2800</v>
      </c>
      <c r="L677" s="76" t="s">
        <v>2801</v>
      </c>
      <c r="M677" s="93" t="s">
        <v>641</v>
      </c>
      <c r="N677" s="39" t="s">
        <v>51</v>
      </c>
      <c r="O677" s="24"/>
      <c r="P677" s="409" t="s">
        <v>2802</v>
      </c>
      <c r="Q677" s="76" t="s">
        <v>1207</v>
      </c>
      <c r="R677" s="76" t="s">
        <v>1885</v>
      </c>
      <c r="S677" s="24"/>
      <c r="T677" s="24"/>
      <c r="U677" s="76" t="s">
        <v>2799</v>
      </c>
      <c r="V677" s="56"/>
      <c r="W677" s="56"/>
      <c r="X677" s="56"/>
      <c r="Y677" s="56"/>
      <c r="Z677" s="56"/>
      <c r="AA677" s="56"/>
      <c r="AB677" s="56"/>
      <c r="AC677" s="56"/>
    </row>
    <row r="678" spans="1:29" ht="15.75" customHeight="1">
      <c r="A678" s="39" t="s">
        <v>2790</v>
      </c>
      <c r="B678" s="107">
        <v>43664</v>
      </c>
      <c r="C678" s="109">
        <v>43664</v>
      </c>
      <c r="D678" s="159" t="s">
        <v>117</v>
      </c>
      <c r="E678" s="76" t="s">
        <v>188</v>
      </c>
      <c r="F678" s="39" t="s">
        <v>2791</v>
      </c>
      <c r="G678" s="399">
        <f>IFERROR(VLOOKUP(A678,醫療院所DATABASE!A:B,2,""),)</f>
        <v>0</v>
      </c>
      <c r="H678" s="76"/>
      <c r="I678" s="109">
        <v>43664</v>
      </c>
      <c r="J678" s="109">
        <v>43664</v>
      </c>
      <c r="K678" s="39" t="s">
        <v>2803</v>
      </c>
      <c r="L678" s="76" t="s">
        <v>2804</v>
      </c>
      <c r="M678" s="93" t="s">
        <v>641</v>
      </c>
      <c r="N678" s="39" t="s">
        <v>51</v>
      </c>
      <c r="O678" s="24"/>
      <c r="P678" s="409" t="s">
        <v>2805</v>
      </c>
      <c r="Q678" s="76" t="s">
        <v>1207</v>
      </c>
      <c r="R678" s="76" t="s">
        <v>1885</v>
      </c>
      <c r="S678" s="24"/>
      <c r="T678" s="24"/>
      <c r="U678" s="76" t="s">
        <v>2799</v>
      </c>
      <c r="V678" s="56"/>
      <c r="W678" s="56"/>
      <c r="X678" s="56"/>
      <c r="Y678" s="56"/>
      <c r="Z678" s="56"/>
      <c r="AA678" s="56"/>
      <c r="AB678" s="56"/>
      <c r="AC678" s="56"/>
    </row>
    <row r="679" spans="1:29" ht="15.75" customHeight="1">
      <c r="A679" s="39" t="s">
        <v>2790</v>
      </c>
      <c r="B679" s="107">
        <v>43664</v>
      </c>
      <c r="C679" s="109">
        <v>43670</v>
      </c>
      <c r="D679" s="159" t="s">
        <v>117</v>
      </c>
      <c r="E679" s="76" t="s">
        <v>53</v>
      </c>
      <c r="F679" s="39" t="s">
        <v>2791</v>
      </c>
      <c r="G679" s="399">
        <f>IFERROR(VLOOKUP(A679,醫療院所DATABASE!A:B,2,""),)</f>
        <v>0</v>
      </c>
      <c r="H679" s="76"/>
      <c r="I679" s="109">
        <v>43664</v>
      </c>
      <c r="J679" s="109">
        <v>43664</v>
      </c>
      <c r="K679" s="39" t="s">
        <v>2806</v>
      </c>
      <c r="L679" s="76" t="s">
        <v>2807</v>
      </c>
      <c r="M679" s="93" t="s">
        <v>641</v>
      </c>
      <c r="N679" s="39" t="s">
        <v>51</v>
      </c>
      <c r="O679" s="24"/>
      <c r="P679" s="409" t="s">
        <v>2808</v>
      </c>
      <c r="Q679" s="76" t="s">
        <v>1207</v>
      </c>
      <c r="R679" s="76" t="s">
        <v>1885</v>
      </c>
      <c r="S679" s="24"/>
      <c r="T679" s="24"/>
      <c r="U679" s="76" t="s">
        <v>2799</v>
      </c>
      <c r="V679" s="56"/>
      <c r="W679" s="56"/>
      <c r="X679" s="56"/>
      <c r="Y679" s="56"/>
      <c r="Z679" s="56"/>
      <c r="AA679" s="56"/>
      <c r="AB679" s="56"/>
      <c r="AC679" s="56"/>
    </row>
    <row r="680" spans="1:29" ht="15.75" customHeight="1">
      <c r="A680" s="39" t="s">
        <v>2790</v>
      </c>
      <c r="B680" s="107">
        <v>43664</v>
      </c>
      <c r="C680" s="109">
        <v>43670</v>
      </c>
      <c r="D680" s="159" t="s">
        <v>117</v>
      </c>
      <c r="E680" s="76" t="s">
        <v>53</v>
      </c>
      <c r="F680" s="39" t="s">
        <v>2791</v>
      </c>
      <c r="G680" s="399">
        <f>IFERROR(VLOOKUP(A680,醫療院所DATABASE!A:B,2,""),)</f>
        <v>0</v>
      </c>
      <c r="H680" s="76"/>
      <c r="I680" s="109">
        <v>43664</v>
      </c>
      <c r="J680" s="109">
        <v>43664</v>
      </c>
      <c r="K680" s="39" t="s">
        <v>2809</v>
      </c>
      <c r="L680" s="76" t="s">
        <v>2810</v>
      </c>
      <c r="M680" s="93" t="s">
        <v>641</v>
      </c>
      <c r="N680" s="39" t="s">
        <v>62</v>
      </c>
      <c r="O680" s="24"/>
      <c r="P680" s="409" t="s">
        <v>2811</v>
      </c>
      <c r="Q680" s="76" t="s">
        <v>1207</v>
      </c>
      <c r="R680" s="76" t="s">
        <v>1885</v>
      </c>
      <c r="S680" s="24"/>
      <c r="T680" s="24"/>
      <c r="U680" s="76" t="s">
        <v>2799</v>
      </c>
      <c r="V680" s="56"/>
      <c r="W680" s="56"/>
      <c r="X680" s="56"/>
      <c r="Y680" s="56"/>
      <c r="Z680" s="56"/>
      <c r="AA680" s="56"/>
      <c r="AB680" s="56"/>
      <c r="AC680" s="56"/>
    </row>
    <row r="681" spans="1:29" ht="15.75" customHeight="1">
      <c r="A681" s="39" t="s">
        <v>2812</v>
      </c>
      <c r="B681" s="107">
        <v>43665</v>
      </c>
      <c r="C681" s="109">
        <v>43665</v>
      </c>
      <c r="D681" s="159" t="s">
        <v>117</v>
      </c>
      <c r="E681" s="76" t="s">
        <v>188</v>
      </c>
      <c r="F681" s="39" t="s">
        <v>2791</v>
      </c>
      <c r="G681" s="399">
        <f>IFERROR(VLOOKUP(A681,醫療院所DATABASE!A:B,2,""),)</f>
        <v>0</v>
      </c>
      <c r="H681" s="76"/>
      <c r="I681" s="109">
        <v>43664</v>
      </c>
      <c r="J681" s="109">
        <v>43665</v>
      </c>
      <c r="K681" s="39" t="s">
        <v>2813</v>
      </c>
      <c r="L681" s="76" t="s">
        <v>2814</v>
      </c>
      <c r="M681" s="93" t="s">
        <v>641</v>
      </c>
      <c r="N681" s="39" t="s">
        <v>62</v>
      </c>
      <c r="O681" s="24"/>
      <c r="P681" s="409" t="s">
        <v>2815</v>
      </c>
      <c r="Q681" s="76" t="s">
        <v>1207</v>
      </c>
      <c r="R681" s="76" t="s">
        <v>1885</v>
      </c>
      <c r="S681" s="24"/>
      <c r="T681" s="24"/>
      <c r="U681" s="76" t="s">
        <v>2816</v>
      </c>
      <c r="V681" s="56"/>
      <c r="W681" s="56"/>
      <c r="X681" s="56"/>
      <c r="Y681" s="56"/>
      <c r="Z681" s="56"/>
      <c r="AA681" s="56"/>
      <c r="AB681" s="56"/>
      <c r="AC681" s="56"/>
    </row>
    <row r="682" spans="1:29" ht="15.75" customHeight="1">
      <c r="A682" s="39" t="s">
        <v>2790</v>
      </c>
      <c r="B682" s="107">
        <v>43669</v>
      </c>
      <c r="C682" s="109">
        <v>43669</v>
      </c>
      <c r="D682" s="159" t="s">
        <v>1542</v>
      </c>
      <c r="E682" s="76" t="s">
        <v>1542</v>
      </c>
      <c r="F682" s="39" t="s">
        <v>2791</v>
      </c>
      <c r="G682" s="399">
        <f>IFERROR(VLOOKUP(A682,醫療院所DATABASE!A:B,2,""),)</f>
        <v>0</v>
      </c>
      <c r="H682" s="76"/>
      <c r="I682" s="109">
        <v>43665</v>
      </c>
      <c r="J682" s="109">
        <v>43669</v>
      </c>
      <c r="K682" s="39" t="s">
        <v>2817</v>
      </c>
      <c r="L682" s="76" t="s">
        <v>2818</v>
      </c>
      <c r="M682" s="49" t="s">
        <v>61</v>
      </c>
      <c r="N682" s="39" t="s">
        <v>51</v>
      </c>
      <c r="O682" s="24"/>
      <c r="P682" s="409" t="s">
        <v>2819</v>
      </c>
      <c r="Q682" s="76" t="s">
        <v>64</v>
      </c>
      <c r="R682" s="76" t="s">
        <v>1885</v>
      </c>
      <c r="S682" s="24"/>
      <c r="T682" s="24"/>
      <c r="U682" s="76" t="s">
        <v>2820</v>
      </c>
      <c r="V682" s="56"/>
      <c r="W682" s="56"/>
      <c r="X682" s="56"/>
      <c r="Y682" s="56"/>
      <c r="Z682" s="56"/>
      <c r="AA682" s="56"/>
      <c r="AB682" s="56"/>
      <c r="AC682" s="56"/>
    </row>
    <row r="683" spans="1:29" ht="15.75" customHeight="1">
      <c r="A683" s="39" t="s">
        <v>2812</v>
      </c>
      <c r="B683" s="107">
        <v>43670</v>
      </c>
      <c r="C683" s="109">
        <v>43671</v>
      </c>
      <c r="D683" s="159" t="s">
        <v>2821</v>
      </c>
      <c r="E683" s="76" t="s">
        <v>188</v>
      </c>
      <c r="F683" s="39" t="s">
        <v>2791</v>
      </c>
      <c r="G683" s="399">
        <f>IFERROR(VLOOKUP(A683,醫療院所DATABASE!A:B,2,""),)</f>
        <v>0</v>
      </c>
      <c r="H683" s="76"/>
      <c r="I683" s="109">
        <v>43665</v>
      </c>
      <c r="J683" s="109">
        <v>43669</v>
      </c>
      <c r="K683" s="39" t="s">
        <v>2822</v>
      </c>
      <c r="L683" s="76" t="s">
        <v>2823</v>
      </c>
      <c r="M683" s="49" t="s">
        <v>61</v>
      </c>
      <c r="N683" s="39" t="s">
        <v>62</v>
      </c>
      <c r="O683" s="24"/>
      <c r="P683" s="409" t="s">
        <v>2824</v>
      </c>
      <c r="Q683" s="76" t="s">
        <v>1207</v>
      </c>
      <c r="R683" s="76" t="s">
        <v>1885</v>
      </c>
      <c r="S683" s="24"/>
      <c r="T683" s="24"/>
      <c r="U683" s="76"/>
      <c r="V683" s="56"/>
      <c r="W683" s="56"/>
      <c r="X683" s="56"/>
      <c r="Y683" s="56"/>
      <c r="Z683" s="56"/>
      <c r="AA683" s="56"/>
      <c r="AB683" s="56"/>
      <c r="AC683" s="56"/>
    </row>
    <row r="684" spans="1:29" ht="15.75" customHeight="1">
      <c r="A684" s="39" t="s">
        <v>2790</v>
      </c>
      <c r="B684" s="107">
        <v>43669</v>
      </c>
      <c r="C684" s="109">
        <v>43671</v>
      </c>
      <c r="D684" s="159" t="s">
        <v>117</v>
      </c>
      <c r="E684" s="76" t="s">
        <v>53</v>
      </c>
      <c r="F684" s="39" t="s">
        <v>2791</v>
      </c>
      <c r="G684" s="399">
        <f>IFERROR(VLOOKUP(A684,醫療院所DATABASE!A:B,2,""),)</f>
        <v>0</v>
      </c>
      <c r="H684" s="76"/>
      <c r="I684" s="109">
        <v>43665</v>
      </c>
      <c r="J684" s="109">
        <v>43669</v>
      </c>
      <c r="K684" s="39" t="s">
        <v>2825</v>
      </c>
      <c r="L684" s="76" t="s">
        <v>2826</v>
      </c>
      <c r="M684" s="93" t="s">
        <v>641</v>
      </c>
      <c r="N684" s="39" t="s">
        <v>62</v>
      </c>
      <c r="O684" s="24"/>
      <c r="P684" s="409" t="s">
        <v>2827</v>
      </c>
      <c r="Q684" s="76" t="s">
        <v>64</v>
      </c>
      <c r="R684" s="76" t="s">
        <v>1885</v>
      </c>
      <c r="S684" s="24"/>
      <c r="T684" s="24"/>
      <c r="U684" s="76"/>
      <c r="V684" s="56"/>
      <c r="W684" s="56"/>
      <c r="X684" s="56"/>
      <c r="Y684" s="56"/>
      <c r="Z684" s="56"/>
      <c r="AA684" s="56"/>
      <c r="AB684" s="56"/>
      <c r="AC684" s="56"/>
    </row>
    <row r="685" spans="1:29" ht="15.75" customHeight="1">
      <c r="A685" s="39" t="s">
        <v>2790</v>
      </c>
      <c r="B685" s="107">
        <v>43669</v>
      </c>
      <c r="C685" s="109">
        <v>43670</v>
      </c>
      <c r="D685" s="159" t="s">
        <v>117</v>
      </c>
      <c r="E685" s="76" t="s">
        <v>188</v>
      </c>
      <c r="F685" s="39" t="s">
        <v>2791</v>
      </c>
      <c r="G685" s="399">
        <f>IFERROR(VLOOKUP(A685,醫療院所DATABASE!A:B,2,""),)</f>
        <v>0</v>
      </c>
      <c r="H685" s="76"/>
      <c r="I685" s="109">
        <v>43665</v>
      </c>
      <c r="J685" s="109">
        <v>43669</v>
      </c>
      <c r="K685" s="39" t="s">
        <v>2828</v>
      </c>
      <c r="L685" s="76" t="s">
        <v>2829</v>
      </c>
      <c r="M685" s="93" t="s">
        <v>641</v>
      </c>
      <c r="N685" s="39" t="s">
        <v>51</v>
      </c>
      <c r="O685" s="24"/>
      <c r="P685" s="409" t="s">
        <v>2830</v>
      </c>
      <c r="Q685" s="76" t="s">
        <v>64</v>
      </c>
      <c r="R685" s="76" t="s">
        <v>1885</v>
      </c>
      <c r="S685" s="24"/>
      <c r="T685" s="24"/>
      <c r="U685" s="76"/>
      <c r="V685" s="56"/>
      <c r="W685" s="56"/>
      <c r="X685" s="56"/>
      <c r="Y685" s="56"/>
      <c r="Z685" s="56"/>
      <c r="AA685" s="56"/>
      <c r="AB685" s="56"/>
      <c r="AC685" s="56"/>
    </row>
    <row r="686" spans="1:29" ht="15.75" customHeight="1">
      <c r="A686" s="39" t="s">
        <v>2790</v>
      </c>
      <c r="B686" s="107">
        <v>43669</v>
      </c>
      <c r="C686" s="109">
        <v>43669</v>
      </c>
      <c r="D686" s="159" t="s">
        <v>1329</v>
      </c>
      <c r="E686" s="76" t="s">
        <v>1329</v>
      </c>
      <c r="F686" s="39" t="s">
        <v>2791</v>
      </c>
      <c r="G686" s="399">
        <f>IFERROR(VLOOKUP(A686,醫療院所DATABASE!A:B,2,""),)</f>
        <v>0</v>
      </c>
      <c r="H686" s="76"/>
      <c r="I686" s="109">
        <v>43665</v>
      </c>
      <c r="J686" s="109">
        <v>43669</v>
      </c>
      <c r="K686" s="39" t="s">
        <v>2831</v>
      </c>
      <c r="L686" s="76" t="s">
        <v>2832</v>
      </c>
      <c r="M686" s="93" t="s">
        <v>641</v>
      </c>
      <c r="N686" s="39" t="s">
        <v>62</v>
      </c>
      <c r="O686" s="24"/>
      <c r="P686" s="409" t="s">
        <v>2833</v>
      </c>
      <c r="Q686" s="76" t="s">
        <v>64</v>
      </c>
      <c r="R686" s="76" t="s">
        <v>1885</v>
      </c>
      <c r="S686" s="24"/>
      <c r="T686" s="24"/>
      <c r="U686" s="76" t="s">
        <v>2834</v>
      </c>
      <c r="V686" s="56"/>
      <c r="W686" s="56"/>
      <c r="X686" s="56"/>
      <c r="Y686" s="56"/>
      <c r="Z686" s="56"/>
      <c r="AA686" s="56"/>
      <c r="AB686" s="56"/>
      <c r="AC686" s="56"/>
    </row>
    <row r="687" spans="1:29" ht="15.75" customHeight="1">
      <c r="A687" s="39" t="s">
        <v>2812</v>
      </c>
      <c r="B687" s="107">
        <v>43669</v>
      </c>
      <c r="C687" s="109">
        <v>43671</v>
      </c>
      <c r="D687" s="159" t="s">
        <v>117</v>
      </c>
      <c r="E687" s="76" t="s">
        <v>53</v>
      </c>
      <c r="F687" s="39" t="s">
        <v>2791</v>
      </c>
      <c r="G687" s="399">
        <f>IFERROR(VLOOKUP(A687,醫療院所DATABASE!A:B,2,""),)</f>
        <v>0</v>
      </c>
      <c r="H687" s="76"/>
      <c r="I687" s="109">
        <v>43665</v>
      </c>
      <c r="J687" s="109">
        <v>43669</v>
      </c>
      <c r="K687" s="39" t="s">
        <v>2835</v>
      </c>
      <c r="L687" s="76" t="s">
        <v>2836</v>
      </c>
      <c r="M687" s="93" t="s">
        <v>641</v>
      </c>
      <c r="N687" s="39" t="s">
        <v>62</v>
      </c>
      <c r="O687" s="24"/>
      <c r="P687" s="409" t="s">
        <v>2837</v>
      </c>
      <c r="Q687" s="76" t="s">
        <v>64</v>
      </c>
      <c r="R687" s="76" t="s">
        <v>1885</v>
      </c>
      <c r="S687" s="24"/>
      <c r="T687" s="24"/>
      <c r="U687" s="76"/>
      <c r="V687" s="56"/>
      <c r="W687" s="56"/>
      <c r="X687" s="56"/>
      <c r="Y687" s="56"/>
      <c r="Z687" s="56"/>
      <c r="AA687" s="56"/>
      <c r="AB687" s="56"/>
      <c r="AC687" s="56"/>
    </row>
    <row r="688" spans="1:29" ht="15.75" customHeight="1">
      <c r="A688" s="39" t="s">
        <v>2790</v>
      </c>
      <c r="B688" s="107">
        <v>43669</v>
      </c>
      <c r="C688" s="109">
        <v>43671</v>
      </c>
      <c r="D688" s="159" t="s">
        <v>117</v>
      </c>
      <c r="E688" s="76" t="s">
        <v>53</v>
      </c>
      <c r="F688" s="39" t="s">
        <v>2791</v>
      </c>
      <c r="G688" s="399">
        <f>IFERROR(VLOOKUP(A688,醫療院所DATABASE!A:B,2,""),)</f>
        <v>0</v>
      </c>
      <c r="H688" s="76"/>
      <c r="I688" s="109">
        <v>43665</v>
      </c>
      <c r="J688" s="109">
        <v>43669</v>
      </c>
      <c r="K688" s="39" t="s">
        <v>2838</v>
      </c>
      <c r="L688" s="76" t="s">
        <v>2839</v>
      </c>
      <c r="M688" s="93" t="s">
        <v>641</v>
      </c>
      <c r="N688" s="39" t="s">
        <v>62</v>
      </c>
      <c r="O688" s="24"/>
      <c r="P688" s="409" t="s">
        <v>2840</v>
      </c>
      <c r="Q688" s="76" t="s">
        <v>64</v>
      </c>
      <c r="R688" s="76" t="s">
        <v>1885</v>
      </c>
      <c r="S688" s="24"/>
      <c r="T688" s="24"/>
      <c r="U688" s="76"/>
      <c r="V688" s="56"/>
      <c r="W688" s="56"/>
      <c r="X688" s="56"/>
      <c r="Y688" s="56"/>
      <c r="Z688" s="56"/>
      <c r="AA688" s="56"/>
      <c r="AB688" s="56"/>
      <c r="AC688" s="56"/>
    </row>
    <row r="689" spans="1:29" ht="15.75" customHeight="1">
      <c r="A689" s="39" t="s">
        <v>2790</v>
      </c>
      <c r="B689" s="107">
        <v>43669</v>
      </c>
      <c r="C689" s="109">
        <v>43671</v>
      </c>
      <c r="D689" s="159" t="s">
        <v>117</v>
      </c>
      <c r="E689" s="76" t="s">
        <v>188</v>
      </c>
      <c r="F689" s="39" t="s">
        <v>2791</v>
      </c>
      <c r="G689" s="399">
        <f>IFERROR(VLOOKUP(A689,醫療院所DATABASE!A:B,2,""),)</f>
        <v>0</v>
      </c>
      <c r="H689" s="76"/>
      <c r="I689" s="109">
        <v>43665</v>
      </c>
      <c r="J689" s="109">
        <v>43669</v>
      </c>
      <c r="K689" s="39" t="s">
        <v>2841</v>
      </c>
      <c r="L689" s="76" t="s">
        <v>2842</v>
      </c>
      <c r="M689" s="93" t="s">
        <v>641</v>
      </c>
      <c r="N689" s="39" t="s">
        <v>62</v>
      </c>
      <c r="O689" s="24"/>
      <c r="P689" s="409" t="s">
        <v>2843</v>
      </c>
      <c r="Q689" s="76" t="s">
        <v>64</v>
      </c>
      <c r="R689" s="76" t="s">
        <v>1885</v>
      </c>
      <c r="S689" s="24"/>
      <c r="T689" s="24"/>
      <c r="U689" s="76"/>
      <c r="V689" s="56"/>
      <c r="W689" s="56"/>
      <c r="X689" s="56"/>
      <c r="Y689" s="56"/>
      <c r="Z689" s="56"/>
      <c r="AA689" s="56"/>
      <c r="AB689" s="56"/>
      <c r="AC689" s="56"/>
    </row>
    <row r="690" spans="1:29" ht="15.75" customHeight="1">
      <c r="A690" s="39" t="s">
        <v>2812</v>
      </c>
      <c r="B690" s="107">
        <v>43669</v>
      </c>
      <c r="C690" s="109">
        <v>43671</v>
      </c>
      <c r="D690" s="159" t="s">
        <v>117</v>
      </c>
      <c r="E690" s="76" t="s">
        <v>188</v>
      </c>
      <c r="F690" s="39" t="s">
        <v>2791</v>
      </c>
      <c r="G690" s="399">
        <f>IFERROR(VLOOKUP(A690,醫療院所DATABASE!A:B,2,""),)</f>
        <v>0</v>
      </c>
      <c r="H690" s="64"/>
      <c r="I690" s="109">
        <v>43665</v>
      </c>
      <c r="J690" s="109">
        <v>43669</v>
      </c>
      <c r="K690" s="39" t="s">
        <v>2844</v>
      </c>
      <c r="L690" s="76" t="s">
        <v>2845</v>
      </c>
      <c r="M690" s="93" t="s">
        <v>641</v>
      </c>
      <c r="N690" s="39" t="s">
        <v>62</v>
      </c>
      <c r="O690" s="24"/>
      <c r="P690" s="409" t="s">
        <v>2846</v>
      </c>
      <c r="Q690" s="76" t="s">
        <v>64</v>
      </c>
      <c r="R690" s="76" t="s">
        <v>1885</v>
      </c>
      <c r="S690" s="24"/>
      <c r="T690" s="24"/>
      <c r="U690" s="64"/>
      <c r="V690" s="56"/>
      <c r="W690" s="56"/>
      <c r="X690" s="56"/>
      <c r="Y690" s="56"/>
      <c r="Z690" s="56"/>
      <c r="AA690" s="56"/>
      <c r="AB690" s="56"/>
      <c r="AC690" s="56"/>
    </row>
    <row r="691" spans="1:29" ht="15.75" customHeight="1">
      <c r="A691" s="39" t="s">
        <v>2812</v>
      </c>
      <c r="B691" s="107">
        <v>43669</v>
      </c>
      <c r="C691" s="109">
        <v>43671</v>
      </c>
      <c r="D691" s="159" t="s">
        <v>117</v>
      </c>
      <c r="E691" s="76" t="s">
        <v>53</v>
      </c>
      <c r="F691" s="39" t="s">
        <v>2791</v>
      </c>
      <c r="G691" s="399">
        <f>IFERROR(VLOOKUP(A691,醫療院所DATABASE!A:B,2,""),)</f>
        <v>0</v>
      </c>
      <c r="H691" s="64"/>
      <c r="I691" s="109">
        <v>43665</v>
      </c>
      <c r="J691" s="109">
        <v>43669</v>
      </c>
      <c r="K691" s="39" t="s">
        <v>2847</v>
      </c>
      <c r="L691" s="76" t="s">
        <v>2848</v>
      </c>
      <c r="M691" s="93" t="s">
        <v>641</v>
      </c>
      <c r="N691" s="39" t="s">
        <v>62</v>
      </c>
      <c r="O691" s="24"/>
      <c r="P691" s="409" t="s">
        <v>2849</v>
      </c>
      <c r="Q691" s="76" t="s">
        <v>64</v>
      </c>
      <c r="R691" s="76" t="s">
        <v>1885</v>
      </c>
      <c r="S691" s="24"/>
      <c r="T691" s="24"/>
      <c r="U691" s="64"/>
      <c r="V691" s="56"/>
      <c r="W691" s="56"/>
      <c r="X691" s="56"/>
      <c r="Y691" s="56"/>
      <c r="Z691" s="56"/>
      <c r="AA691" s="56"/>
      <c r="AB691" s="56"/>
      <c r="AC691" s="56"/>
    </row>
    <row r="692" spans="1:29" ht="15.75" customHeight="1">
      <c r="A692" s="39" t="s">
        <v>2790</v>
      </c>
      <c r="B692" s="107">
        <v>43669</v>
      </c>
      <c r="C692" s="109">
        <v>43671</v>
      </c>
      <c r="D692" s="159" t="s">
        <v>117</v>
      </c>
      <c r="E692" s="76" t="s">
        <v>188</v>
      </c>
      <c r="F692" s="39" t="s">
        <v>2791</v>
      </c>
      <c r="G692" s="399">
        <f>IFERROR(VLOOKUP(A692,醫療院所DATABASE!A:B,2,""),)</f>
        <v>0</v>
      </c>
      <c r="H692" s="64"/>
      <c r="I692" s="109">
        <v>43665</v>
      </c>
      <c r="J692" s="109">
        <v>43669</v>
      </c>
      <c r="K692" s="39" t="s">
        <v>2850</v>
      </c>
      <c r="L692" s="76" t="s">
        <v>2851</v>
      </c>
      <c r="M692" s="93" t="s">
        <v>641</v>
      </c>
      <c r="N692" s="39" t="s">
        <v>62</v>
      </c>
      <c r="O692" s="24"/>
      <c r="P692" s="409" t="s">
        <v>2852</v>
      </c>
      <c r="Q692" s="76" t="s">
        <v>64</v>
      </c>
      <c r="R692" s="76" t="s">
        <v>1885</v>
      </c>
      <c r="S692" s="24"/>
      <c r="T692" s="24"/>
      <c r="U692" s="64"/>
      <c r="V692" s="56"/>
      <c r="W692" s="56"/>
      <c r="X692" s="56"/>
      <c r="Y692" s="56"/>
      <c r="Z692" s="56"/>
      <c r="AA692" s="56"/>
      <c r="AB692" s="56"/>
      <c r="AC692" s="56"/>
    </row>
    <row r="693" spans="1:29" ht="15.75" customHeight="1">
      <c r="A693" s="39" t="s">
        <v>2790</v>
      </c>
      <c r="B693" s="107">
        <v>43669</v>
      </c>
      <c r="C693" s="109">
        <v>43671</v>
      </c>
      <c r="D693" s="159" t="s">
        <v>117</v>
      </c>
      <c r="E693" s="76" t="s">
        <v>53</v>
      </c>
      <c r="F693" s="39" t="s">
        <v>2791</v>
      </c>
      <c r="G693" s="399">
        <f>IFERROR(VLOOKUP(A693,醫療院所DATABASE!A:B,2,""),)</f>
        <v>0</v>
      </c>
      <c r="H693" s="64"/>
      <c r="I693" s="109">
        <v>43665</v>
      </c>
      <c r="J693" s="109">
        <v>43669</v>
      </c>
      <c r="K693" s="39" t="s">
        <v>2853</v>
      </c>
      <c r="L693" s="76" t="s">
        <v>2854</v>
      </c>
      <c r="M693" s="93" t="s">
        <v>641</v>
      </c>
      <c r="N693" s="39" t="s">
        <v>62</v>
      </c>
      <c r="O693" s="24"/>
      <c r="P693" s="409" t="s">
        <v>2855</v>
      </c>
      <c r="Q693" s="76" t="s">
        <v>64</v>
      </c>
      <c r="R693" s="76" t="s">
        <v>1885</v>
      </c>
      <c r="S693" s="24"/>
      <c r="T693" s="24"/>
      <c r="U693" s="64"/>
      <c r="V693" s="56"/>
      <c r="W693" s="56"/>
      <c r="X693" s="56"/>
      <c r="Y693" s="56"/>
      <c r="Z693" s="56"/>
      <c r="AA693" s="56"/>
      <c r="AB693" s="56"/>
      <c r="AC693" s="56"/>
    </row>
    <row r="694" spans="1:29" ht="15.75" customHeight="1">
      <c r="A694" s="39" t="s">
        <v>2790</v>
      </c>
      <c r="B694" s="107">
        <v>43669</v>
      </c>
      <c r="C694" s="109">
        <v>43671</v>
      </c>
      <c r="D694" s="159" t="s">
        <v>117</v>
      </c>
      <c r="E694" s="76" t="s">
        <v>188</v>
      </c>
      <c r="F694" s="39" t="s">
        <v>2791</v>
      </c>
      <c r="G694" s="399">
        <f>IFERROR(VLOOKUP(A694,醫療院所DATABASE!A:B,2,""),)</f>
        <v>0</v>
      </c>
      <c r="H694" s="64"/>
      <c r="I694" s="109">
        <v>43665</v>
      </c>
      <c r="J694" s="109">
        <v>43669</v>
      </c>
      <c r="K694" s="39" t="s">
        <v>2856</v>
      </c>
      <c r="L694" s="76" t="s">
        <v>2857</v>
      </c>
      <c r="M694" s="93" t="s">
        <v>641</v>
      </c>
      <c r="N694" s="39" t="s">
        <v>51</v>
      </c>
      <c r="O694" s="24"/>
      <c r="P694" s="409" t="s">
        <v>2858</v>
      </c>
      <c r="Q694" s="76" t="s">
        <v>64</v>
      </c>
      <c r="R694" s="76" t="s">
        <v>1885</v>
      </c>
      <c r="S694" s="24"/>
      <c r="T694" s="24"/>
      <c r="U694" s="64"/>
      <c r="V694" s="56"/>
      <c r="W694" s="56"/>
      <c r="X694" s="56"/>
      <c r="Y694" s="56"/>
      <c r="Z694" s="56"/>
      <c r="AA694" s="56"/>
      <c r="AB694" s="56"/>
      <c r="AC694" s="56"/>
    </row>
    <row r="695" spans="1:29" ht="15.75" customHeight="1">
      <c r="A695" s="39" t="s">
        <v>2790</v>
      </c>
      <c r="B695" s="107">
        <v>43669</v>
      </c>
      <c r="C695" s="109">
        <v>43671</v>
      </c>
      <c r="D695" s="159" t="s">
        <v>117</v>
      </c>
      <c r="E695" s="76" t="s">
        <v>53</v>
      </c>
      <c r="F695" s="39" t="s">
        <v>2791</v>
      </c>
      <c r="G695" s="399">
        <f>IFERROR(VLOOKUP(A695,醫療院所DATABASE!A:B,2,""),)</f>
        <v>0</v>
      </c>
      <c r="H695" s="64"/>
      <c r="I695" s="109">
        <v>43665</v>
      </c>
      <c r="J695" s="109">
        <v>43669</v>
      </c>
      <c r="K695" s="39" t="s">
        <v>2859</v>
      </c>
      <c r="L695" s="76" t="s">
        <v>2860</v>
      </c>
      <c r="M695" s="93" t="s">
        <v>641</v>
      </c>
      <c r="N695" s="39" t="s">
        <v>51</v>
      </c>
      <c r="O695" s="24"/>
      <c r="P695" s="409" t="s">
        <v>2861</v>
      </c>
      <c r="Q695" s="76" t="s">
        <v>64</v>
      </c>
      <c r="R695" s="76" t="s">
        <v>1885</v>
      </c>
      <c r="S695" s="24"/>
      <c r="T695" s="24"/>
      <c r="U695" s="64"/>
      <c r="V695" s="56"/>
      <c r="W695" s="56"/>
      <c r="X695" s="56"/>
      <c r="Y695" s="56"/>
      <c r="Z695" s="56"/>
      <c r="AA695" s="56"/>
      <c r="AB695" s="56"/>
      <c r="AC695" s="56"/>
    </row>
    <row r="696" spans="1:29" ht="15.75" customHeight="1">
      <c r="A696" s="39" t="s">
        <v>2862</v>
      </c>
      <c r="B696" s="107">
        <v>43669</v>
      </c>
      <c r="C696" s="109">
        <v>43670</v>
      </c>
      <c r="D696" s="76" t="s">
        <v>1329</v>
      </c>
      <c r="E696" s="76" t="s">
        <v>1329</v>
      </c>
      <c r="F696" s="39" t="s">
        <v>2304</v>
      </c>
      <c r="G696" s="399">
        <f>IFERROR(VLOOKUP(A696,醫療院所DATABASE!A:B,2,""),)</f>
        <v>0</v>
      </c>
      <c r="H696" s="64"/>
      <c r="I696" s="109">
        <v>43668</v>
      </c>
      <c r="J696" s="109">
        <v>43670</v>
      </c>
      <c r="K696" s="39" t="s">
        <v>2866</v>
      </c>
      <c r="L696" s="76" t="s">
        <v>2867</v>
      </c>
      <c r="M696" s="177" t="s">
        <v>963</v>
      </c>
      <c r="N696" s="39" t="s">
        <v>62</v>
      </c>
      <c r="O696" s="24"/>
      <c r="P696" s="409" t="s">
        <v>2868</v>
      </c>
      <c r="Q696" s="76" t="s">
        <v>1207</v>
      </c>
      <c r="R696" s="76" t="s">
        <v>1885</v>
      </c>
      <c r="S696" s="24"/>
      <c r="T696" s="24"/>
      <c r="U696" s="178"/>
      <c r="V696" s="56"/>
      <c r="W696" s="56"/>
      <c r="X696" s="56"/>
      <c r="Y696" s="56"/>
      <c r="Z696" s="56"/>
      <c r="AA696" s="56"/>
      <c r="AB696" s="56"/>
      <c r="AC696" s="56"/>
    </row>
    <row r="697" spans="1:29" ht="15.75" customHeight="1">
      <c r="A697" s="39" t="s">
        <v>2862</v>
      </c>
      <c r="B697" s="107">
        <v>43669</v>
      </c>
      <c r="C697" s="109">
        <v>43670</v>
      </c>
      <c r="D697" s="159" t="s">
        <v>1329</v>
      </c>
      <c r="E697" s="76" t="s">
        <v>1329</v>
      </c>
      <c r="F697" s="39" t="s">
        <v>2304</v>
      </c>
      <c r="G697" s="399">
        <f>IFERROR(VLOOKUP(A697,醫療院所DATABASE!A:B,2,""),)</f>
        <v>0</v>
      </c>
      <c r="H697" s="64"/>
      <c r="I697" s="109">
        <v>43668</v>
      </c>
      <c r="J697" s="109">
        <v>43670</v>
      </c>
      <c r="K697" s="39" t="s">
        <v>2866</v>
      </c>
      <c r="L697" s="76" t="s">
        <v>2867</v>
      </c>
      <c r="M697" s="39" t="s">
        <v>2869</v>
      </c>
      <c r="N697" s="39" t="s">
        <v>62</v>
      </c>
      <c r="O697" s="24"/>
      <c r="P697" s="409" t="s">
        <v>2870</v>
      </c>
      <c r="Q697" s="76" t="s">
        <v>1207</v>
      </c>
      <c r="R697" s="76" t="s">
        <v>1885</v>
      </c>
      <c r="S697" s="24"/>
      <c r="T697" s="24"/>
      <c r="U697" s="178"/>
      <c r="V697" s="56"/>
      <c r="W697" s="56"/>
      <c r="X697" s="56"/>
      <c r="Y697" s="56"/>
      <c r="Z697" s="56"/>
      <c r="AA697" s="56"/>
      <c r="AB697" s="56"/>
      <c r="AC697" s="56"/>
    </row>
    <row r="698" spans="1:29" ht="15.75" customHeight="1">
      <c r="A698" s="39" t="s">
        <v>1341</v>
      </c>
      <c r="B698" s="107">
        <v>43669</v>
      </c>
      <c r="C698" s="109">
        <v>43670</v>
      </c>
      <c r="D698" s="159" t="s">
        <v>1910</v>
      </c>
      <c r="E698" s="76" t="s">
        <v>2693</v>
      </c>
      <c r="F698" s="39" t="s">
        <v>1911</v>
      </c>
      <c r="G698" s="399">
        <f>IFERROR(VLOOKUP(A698,醫療院所DATABASE!A:B,2,""),)</f>
        <v>0</v>
      </c>
      <c r="H698" s="76" t="s">
        <v>2871</v>
      </c>
      <c r="I698" s="109">
        <v>43668</v>
      </c>
      <c r="J698" s="109">
        <v>43670</v>
      </c>
      <c r="K698" s="39" t="s">
        <v>2872</v>
      </c>
      <c r="L698" s="76" t="s">
        <v>2873</v>
      </c>
      <c r="M698" s="49" t="s">
        <v>61</v>
      </c>
      <c r="N698" s="39" t="s">
        <v>51</v>
      </c>
      <c r="O698" s="24"/>
      <c r="P698" s="409" t="s">
        <v>2874</v>
      </c>
      <c r="Q698" s="76" t="s">
        <v>1207</v>
      </c>
      <c r="R698" s="76" t="s">
        <v>2531</v>
      </c>
      <c r="S698" s="24"/>
      <c r="T698" s="24"/>
      <c r="U698" s="76" t="s">
        <v>2875</v>
      </c>
      <c r="V698" s="56"/>
      <c r="W698" s="56"/>
      <c r="X698" s="56"/>
      <c r="Y698" s="56"/>
      <c r="Z698" s="56"/>
      <c r="AA698" s="56"/>
      <c r="AB698" s="56"/>
      <c r="AC698" s="56"/>
    </row>
    <row r="699" spans="1:29" ht="15.75" customHeight="1">
      <c r="A699" s="39" t="s">
        <v>1341</v>
      </c>
      <c r="B699" s="107">
        <v>43669</v>
      </c>
      <c r="C699" s="109">
        <v>43670</v>
      </c>
      <c r="D699" s="159" t="s">
        <v>1910</v>
      </c>
      <c r="E699" s="76" t="s">
        <v>2693</v>
      </c>
      <c r="F699" s="39" t="s">
        <v>1911</v>
      </c>
      <c r="G699" s="399">
        <f>IFERROR(VLOOKUP(A699,醫療院所DATABASE!A:B,2,""),)</f>
        <v>0</v>
      </c>
      <c r="H699" s="76" t="s">
        <v>2876</v>
      </c>
      <c r="I699" s="109">
        <v>43668</v>
      </c>
      <c r="J699" s="109">
        <v>43670</v>
      </c>
      <c r="K699" s="39" t="s">
        <v>2877</v>
      </c>
      <c r="L699" s="76" t="s">
        <v>2878</v>
      </c>
      <c r="M699" s="49" t="s">
        <v>61</v>
      </c>
      <c r="N699" s="39" t="s">
        <v>51</v>
      </c>
      <c r="O699" s="24"/>
      <c r="P699" s="409" t="s">
        <v>2879</v>
      </c>
      <c r="Q699" s="76" t="s">
        <v>1207</v>
      </c>
      <c r="R699" s="76" t="s">
        <v>2531</v>
      </c>
      <c r="S699" s="24"/>
      <c r="T699" s="24"/>
      <c r="U699" s="76" t="s">
        <v>2875</v>
      </c>
      <c r="V699" s="56"/>
      <c r="W699" s="56"/>
      <c r="X699" s="56"/>
      <c r="Y699" s="56"/>
      <c r="Z699" s="56"/>
      <c r="AA699" s="56"/>
      <c r="AB699" s="56"/>
      <c r="AC699" s="56"/>
    </row>
    <row r="700" spans="1:29" ht="15.75" customHeight="1">
      <c r="A700" s="39" t="s">
        <v>1341</v>
      </c>
      <c r="B700" s="107">
        <v>43669</v>
      </c>
      <c r="C700" s="109">
        <v>43670</v>
      </c>
      <c r="D700" s="159" t="s">
        <v>1910</v>
      </c>
      <c r="E700" s="76" t="s">
        <v>2693</v>
      </c>
      <c r="F700" s="39" t="s">
        <v>1911</v>
      </c>
      <c r="G700" s="399">
        <f>IFERROR(VLOOKUP(A700,醫療院所DATABASE!A:B,2,""),)</f>
        <v>0</v>
      </c>
      <c r="H700" s="76" t="s">
        <v>2880</v>
      </c>
      <c r="I700" s="109">
        <v>43668</v>
      </c>
      <c r="J700" s="109">
        <v>43670</v>
      </c>
      <c r="K700" s="39" t="s">
        <v>2881</v>
      </c>
      <c r="L700" s="76" t="s">
        <v>2882</v>
      </c>
      <c r="M700" s="49" t="s">
        <v>61</v>
      </c>
      <c r="N700" s="39" t="s">
        <v>51</v>
      </c>
      <c r="O700" s="24"/>
      <c r="P700" s="409" t="s">
        <v>2883</v>
      </c>
      <c r="Q700" s="76" t="s">
        <v>1207</v>
      </c>
      <c r="R700" s="76" t="s">
        <v>2531</v>
      </c>
      <c r="S700" s="24"/>
      <c r="T700" s="24"/>
      <c r="U700" s="76" t="s">
        <v>2875</v>
      </c>
      <c r="V700" s="56"/>
      <c r="W700" s="56"/>
      <c r="X700" s="56"/>
      <c r="Y700" s="56"/>
      <c r="Z700" s="56"/>
      <c r="AA700" s="56"/>
      <c r="AB700" s="56"/>
      <c r="AC700" s="56"/>
    </row>
    <row r="701" spans="1:29" ht="15.75" customHeight="1">
      <c r="A701" s="39" t="s">
        <v>2884</v>
      </c>
      <c r="B701" s="107">
        <v>43669</v>
      </c>
      <c r="C701" s="109">
        <v>43672</v>
      </c>
      <c r="D701" s="159" t="s">
        <v>479</v>
      </c>
      <c r="E701" s="76" t="s">
        <v>2693</v>
      </c>
      <c r="F701" s="39" t="s">
        <v>2885</v>
      </c>
      <c r="G701" s="399">
        <f>IFERROR(VLOOKUP(A701,醫療院所DATABASE!A:B,2,""),)</f>
        <v>0</v>
      </c>
      <c r="H701" s="64"/>
      <c r="I701" s="109">
        <v>43668</v>
      </c>
      <c r="J701" s="109">
        <v>43670</v>
      </c>
      <c r="K701" s="39" t="s">
        <v>2886</v>
      </c>
      <c r="L701" s="76" t="s">
        <v>2887</v>
      </c>
      <c r="M701" s="49" t="s">
        <v>61</v>
      </c>
      <c r="N701" s="39" t="s">
        <v>62</v>
      </c>
      <c r="O701" s="24"/>
      <c r="P701" s="409" t="s">
        <v>2888</v>
      </c>
      <c r="Q701" s="76" t="s">
        <v>1207</v>
      </c>
      <c r="R701" s="76" t="s">
        <v>2075</v>
      </c>
      <c r="S701" s="24"/>
      <c r="T701" s="24"/>
      <c r="U701" s="76"/>
      <c r="V701" s="56"/>
      <c r="W701" s="56"/>
      <c r="X701" s="56"/>
      <c r="Y701" s="56"/>
      <c r="Z701" s="56"/>
      <c r="AA701" s="56"/>
      <c r="AB701" s="56"/>
      <c r="AC701" s="56"/>
    </row>
    <row r="702" spans="1:29" ht="15.75" customHeight="1">
      <c r="A702" s="39" t="s">
        <v>2884</v>
      </c>
      <c r="B702" s="107">
        <v>43669</v>
      </c>
      <c r="C702" s="109">
        <v>43672</v>
      </c>
      <c r="D702" s="76" t="s">
        <v>479</v>
      </c>
      <c r="E702" s="76" t="s">
        <v>2693</v>
      </c>
      <c r="F702" s="39" t="s">
        <v>2885</v>
      </c>
      <c r="G702" s="399">
        <f>IFERROR(VLOOKUP(A702,醫療院所DATABASE!A:B,2,""),)</f>
        <v>0</v>
      </c>
      <c r="H702" s="64"/>
      <c r="I702" s="109">
        <v>43668</v>
      </c>
      <c r="J702" s="109">
        <v>43670</v>
      </c>
      <c r="K702" s="39" t="s">
        <v>2889</v>
      </c>
      <c r="L702" s="76" t="s">
        <v>2890</v>
      </c>
      <c r="M702" s="49" t="s">
        <v>61</v>
      </c>
      <c r="N702" s="39" t="s">
        <v>62</v>
      </c>
      <c r="O702" s="24"/>
      <c r="P702" s="409" t="s">
        <v>2891</v>
      </c>
      <c r="Q702" s="76" t="s">
        <v>1207</v>
      </c>
      <c r="R702" s="76" t="s">
        <v>2075</v>
      </c>
      <c r="S702" s="24"/>
      <c r="T702" s="24"/>
      <c r="U702" s="76"/>
      <c r="V702" s="56"/>
      <c r="W702" s="56"/>
      <c r="X702" s="56"/>
      <c r="Y702" s="56"/>
      <c r="Z702" s="56"/>
      <c r="AA702" s="56"/>
      <c r="AB702" s="56"/>
      <c r="AC702" s="56"/>
    </row>
    <row r="703" spans="1:29" ht="15.75" customHeight="1">
      <c r="A703" s="39" t="s">
        <v>2884</v>
      </c>
      <c r="B703" s="107">
        <v>43669</v>
      </c>
      <c r="C703" s="109">
        <v>43672</v>
      </c>
      <c r="D703" s="76" t="s">
        <v>479</v>
      </c>
      <c r="E703" s="76" t="s">
        <v>2693</v>
      </c>
      <c r="F703" s="39" t="s">
        <v>2885</v>
      </c>
      <c r="G703" s="399">
        <f>IFERROR(VLOOKUP(A703,醫療院所DATABASE!A:B,2,""),)</f>
        <v>0</v>
      </c>
      <c r="H703" s="64"/>
      <c r="I703" s="109">
        <v>43668</v>
      </c>
      <c r="J703" s="109">
        <v>43670</v>
      </c>
      <c r="K703" s="39" t="s">
        <v>2892</v>
      </c>
      <c r="L703" s="76" t="s">
        <v>2893</v>
      </c>
      <c r="M703" s="49" t="s">
        <v>61</v>
      </c>
      <c r="N703" s="39" t="s">
        <v>62</v>
      </c>
      <c r="O703" s="24"/>
      <c r="P703" s="409" t="s">
        <v>2894</v>
      </c>
      <c r="Q703" s="76" t="s">
        <v>1207</v>
      </c>
      <c r="R703" s="76" t="s">
        <v>2075</v>
      </c>
      <c r="S703" s="24"/>
      <c r="T703" s="24"/>
      <c r="U703" s="76"/>
      <c r="V703" s="56"/>
      <c r="W703" s="56"/>
      <c r="X703" s="56"/>
      <c r="Y703" s="56"/>
      <c r="Z703" s="56"/>
      <c r="AA703" s="56"/>
      <c r="AB703" s="56"/>
      <c r="AC703" s="56"/>
    </row>
    <row r="704" spans="1:29" ht="15.75" customHeight="1">
      <c r="A704" s="39" t="s">
        <v>2884</v>
      </c>
      <c r="B704" s="107">
        <v>43669</v>
      </c>
      <c r="C704" s="109">
        <v>43672</v>
      </c>
      <c r="D704" s="76" t="s">
        <v>479</v>
      </c>
      <c r="E704" s="76" t="s">
        <v>2693</v>
      </c>
      <c r="F704" s="39" t="s">
        <v>2885</v>
      </c>
      <c r="G704" s="399">
        <f>IFERROR(VLOOKUP(A704,醫療院所DATABASE!A:B,2,""),)</f>
        <v>0</v>
      </c>
      <c r="H704" s="64"/>
      <c r="I704" s="109">
        <v>43668</v>
      </c>
      <c r="J704" s="109">
        <v>43670</v>
      </c>
      <c r="K704" s="39" t="s">
        <v>2895</v>
      </c>
      <c r="L704" s="76" t="s">
        <v>2896</v>
      </c>
      <c r="M704" s="49" t="s">
        <v>61</v>
      </c>
      <c r="N704" s="39" t="s">
        <v>51</v>
      </c>
      <c r="O704" s="24"/>
      <c r="P704" s="409" t="s">
        <v>2897</v>
      </c>
      <c r="Q704" s="76" t="s">
        <v>1931</v>
      </c>
      <c r="R704" s="76" t="s">
        <v>2075</v>
      </c>
      <c r="S704" s="24"/>
      <c r="T704" s="24"/>
      <c r="U704" s="76" t="s">
        <v>2898</v>
      </c>
      <c r="V704" s="56"/>
      <c r="W704" s="56"/>
      <c r="X704" s="56"/>
      <c r="Y704" s="56"/>
      <c r="Z704" s="56"/>
      <c r="AA704" s="56"/>
      <c r="AB704" s="56"/>
      <c r="AC704" s="56"/>
    </row>
    <row r="705" spans="1:29" ht="15.75" customHeight="1">
      <c r="A705" s="39" t="s">
        <v>2636</v>
      </c>
      <c r="B705" s="107">
        <v>43669</v>
      </c>
      <c r="C705" s="109">
        <v>43671</v>
      </c>
      <c r="D705" s="76" t="s">
        <v>366</v>
      </c>
      <c r="E705" s="76" t="s">
        <v>188</v>
      </c>
      <c r="F705" s="129" t="s">
        <v>1761</v>
      </c>
      <c r="G705" s="399">
        <f>IFERROR(VLOOKUP(A705,醫療院所DATABASE!A:B,2,""),)</f>
        <v>0</v>
      </c>
      <c r="H705" s="64"/>
      <c r="I705" s="109">
        <v>43668</v>
      </c>
      <c r="J705" s="109">
        <v>43670</v>
      </c>
      <c r="K705" s="39" t="s">
        <v>2899</v>
      </c>
      <c r="L705" s="76" t="s">
        <v>2900</v>
      </c>
      <c r="M705" s="49" t="s">
        <v>61</v>
      </c>
      <c r="N705" s="39" t="s">
        <v>62</v>
      </c>
      <c r="O705" s="24"/>
      <c r="P705" s="409" t="s">
        <v>2901</v>
      </c>
      <c r="Q705" s="76" t="s">
        <v>64</v>
      </c>
      <c r="R705" s="76" t="s">
        <v>1885</v>
      </c>
      <c r="S705" s="24"/>
      <c r="T705" s="24"/>
      <c r="U705" s="64"/>
      <c r="V705" s="56"/>
      <c r="W705" s="56"/>
      <c r="X705" s="56"/>
      <c r="Y705" s="56"/>
      <c r="Z705" s="56"/>
      <c r="AA705" s="56"/>
      <c r="AB705" s="56"/>
      <c r="AC705" s="56"/>
    </row>
    <row r="706" spans="1:29" ht="15.75" customHeight="1">
      <c r="A706" s="39" t="s">
        <v>2636</v>
      </c>
      <c r="B706" s="107">
        <v>43669</v>
      </c>
      <c r="C706" s="109">
        <v>43670</v>
      </c>
      <c r="D706" s="76" t="s">
        <v>366</v>
      </c>
      <c r="E706" s="76" t="s">
        <v>53</v>
      </c>
      <c r="F706" s="129" t="s">
        <v>1761</v>
      </c>
      <c r="G706" s="399">
        <f>IFERROR(VLOOKUP(A706,醫療院所DATABASE!A:B,2,""),)</f>
        <v>0</v>
      </c>
      <c r="H706" s="64"/>
      <c r="I706" s="109">
        <v>43668</v>
      </c>
      <c r="J706" s="109">
        <v>43670</v>
      </c>
      <c r="K706" s="39" t="s">
        <v>2902</v>
      </c>
      <c r="L706" s="76" t="s">
        <v>2903</v>
      </c>
      <c r="M706" s="49" t="s">
        <v>61</v>
      </c>
      <c r="N706" s="39" t="s">
        <v>51</v>
      </c>
      <c r="O706" s="24"/>
      <c r="P706" s="409" t="s">
        <v>2904</v>
      </c>
      <c r="Q706" s="76" t="s">
        <v>64</v>
      </c>
      <c r="R706" s="76" t="s">
        <v>1885</v>
      </c>
      <c r="S706" s="24"/>
      <c r="T706" s="24"/>
      <c r="U706" s="64"/>
      <c r="V706" s="56"/>
      <c r="W706" s="56"/>
      <c r="X706" s="56"/>
      <c r="Y706" s="56"/>
      <c r="Z706" s="56"/>
      <c r="AA706" s="56"/>
      <c r="AB706" s="56"/>
      <c r="AC706" s="56"/>
    </row>
    <row r="707" spans="1:29" ht="15.75" customHeight="1">
      <c r="A707" s="39" t="s">
        <v>2636</v>
      </c>
      <c r="B707" s="107">
        <v>43669</v>
      </c>
      <c r="C707" s="109">
        <v>43671</v>
      </c>
      <c r="D707" s="76" t="s">
        <v>366</v>
      </c>
      <c r="E707" s="76" t="s">
        <v>188</v>
      </c>
      <c r="F707" s="129" t="s">
        <v>1761</v>
      </c>
      <c r="G707" s="399">
        <f>IFERROR(VLOOKUP(A707,醫療院所DATABASE!A:B,2,""),)</f>
        <v>0</v>
      </c>
      <c r="H707" s="64"/>
      <c r="I707" s="109">
        <v>43668</v>
      </c>
      <c r="J707" s="109">
        <v>43670</v>
      </c>
      <c r="K707" s="39" t="s">
        <v>2905</v>
      </c>
      <c r="L707" s="76" t="s">
        <v>2906</v>
      </c>
      <c r="M707" s="49" t="s">
        <v>61</v>
      </c>
      <c r="N707" s="39" t="s">
        <v>51</v>
      </c>
      <c r="O707" s="24"/>
      <c r="P707" s="409" t="s">
        <v>2907</v>
      </c>
      <c r="Q707" s="76" t="s">
        <v>64</v>
      </c>
      <c r="R707" s="76" t="s">
        <v>1885</v>
      </c>
      <c r="S707" s="24"/>
      <c r="T707" s="24"/>
      <c r="U707" s="64"/>
      <c r="V707" s="56"/>
      <c r="W707" s="56"/>
      <c r="X707" s="56"/>
      <c r="Y707" s="56"/>
      <c r="Z707" s="56"/>
      <c r="AA707" s="56"/>
      <c r="AB707" s="56"/>
      <c r="AC707" s="56"/>
    </row>
    <row r="708" spans="1:29" ht="15.75" customHeight="1">
      <c r="A708" s="39" t="s">
        <v>2636</v>
      </c>
      <c r="B708" s="107">
        <v>43669</v>
      </c>
      <c r="C708" s="109">
        <v>43670</v>
      </c>
      <c r="D708" s="76" t="s">
        <v>366</v>
      </c>
      <c r="E708" s="76" t="s">
        <v>53</v>
      </c>
      <c r="F708" s="129" t="s">
        <v>1761</v>
      </c>
      <c r="G708" s="399">
        <f>IFERROR(VLOOKUP(A708,醫療院所DATABASE!A:B,2,""),)</f>
        <v>0</v>
      </c>
      <c r="H708" s="64"/>
      <c r="I708" s="109">
        <v>43668</v>
      </c>
      <c r="J708" s="109">
        <v>43670</v>
      </c>
      <c r="K708" s="39" t="s">
        <v>2908</v>
      </c>
      <c r="L708" s="76" t="s">
        <v>2909</v>
      </c>
      <c r="M708" s="49" t="s">
        <v>61</v>
      </c>
      <c r="N708" s="39" t="s">
        <v>62</v>
      </c>
      <c r="O708" s="24"/>
      <c r="P708" s="409" t="s">
        <v>2910</v>
      </c>
      <c r="Q708" s="76" t="s">
        <v>64</v>
      </c>
      <c r="R708" s="76" t="s">
        <v>1885</v>
      </c>
      <c r="S708" s="24"/>
      <c r="T708" s="24"/>
      <c r="U708" s="64"/>
      <c r="V708" s="56"/>
      <c r="W708" s="56"/>
      <c r="X708" s="56"/>
      <c r="Y708" s="56"/>
      <c r="Z708" s="56"/>
      <c r="AA708" s="56"/>
      <c r="AB708" s="56"/>
      <c r="AC708" s="56"/>
    </row>
    <row r="709" spans="1:29" ht="15.75" customHeight="1">
      <c r="A709" s="39" t="s">
        <v>2636</v>
      </c>
      <c r="B709" s="107">
        <v>43669</v>
      </c>
      <c r="C709" s="109">
        <v>43671</v>
      </c>
      <c r="D709" s="76" t="s">
        <v>366</v>
      </c>
      <c r="E709" s="76" t="s">
        <v>188</v>
      </c>
      <c r="F709" s="129" t="s">
        <v>1761</v>
      </c>
      <c r="G709" s="399">
        <f>IFERROR(VLOOKUP(A709,醫療院所DATABASE!A:B,2,""),)</f>
        <v>0</v>
      </c>
      <c r="H709" s="64"/>
      <c r="I709" s="109">
        <v>43668</v>
      </c>
      <c r="J709" s="109">
        <v>43670</v>
      </c>
      <c r="K709" s="39" t="s">
        <v>2911</v>
      </c>
      <c r="L709" s="76" t="s">
        <v>2912</v>
      </c>
      <c r="M709" s="49" t="s">
        <v>61</v>
      </c>
      <c r="N709" s="39" t="s">
        <v>51</v>
      </c>
      <c r="O709" s="24"/>
      <c r="P709" s="409" t="s">
        <v>2913</v>
      </c>
      <c r="Q709" s="76" t="s">
        <v>64</v>
      </c>
      <c r="R709" s="76" t="s">
        <v>1885</v>
      </c>
      <c r="S709" s="24"/>
      <c r="T709" s="24"/>
      <c r="U709" s="64"/>
      <c r="V709" s="56"/>
      <c r="W709" s="56"/>
      <c r="X709" s="56"/>
      <c r="Y709" s="56"/>
      <c r="Z709" s="56"/>
      <c r="AA709" s="56"/>
      <c r="AB709" s="56"/>
      <c r="AC709" s="56"/>
    </row>
    <row r="710" spans="1:29" ht="15.75" customHeight="1">
      <c r="A710" s="39" t="s">
        <v>2636</v>
      </c>
      <c r="B710" s="107">
        <v>43669</v>
      </c>
      <c r="C710" s="109">
        <v>43670</v>
      </c>
      <c r="D710" s="76" t="s">
        <v>366</v>
      </c>
      <c r="E710" s="76" t="s">
        <v>53</v>
      </c>
      <c r="F710" s="129" t="s">
        <v>1761</v>
      </c>
      <c r="G710" s="399">
        <f>IFERROR(VLOOKUP(A710,醫療院所DATABASE!A:B,2,""),)</f>
        <v>0</v>
      </c>
      <c r="H710" s="64"/>
      <c r="I710" s="109">
        <v>43668</v>
      </c>
      <c r="J710" s="109">
        <v>43670</v>
      </c>
      <c r="K710" s="39" t="s">
        <v>2914</v>
      </c>
      <c r="L710" s="76" t="s">
        <v>2915</v>
      </c>
      <c r="M710" s="49" t="s">
        <v>61</v>
      </c>
      <c r="N710" s="39" t="s">
        <v>51</v>
      </c>
      <c r="O710" s="24"/>
      <c r="P710" s="409" t="s">
        <v>2916</v>
      </c>
      <c r="Q710" s="76" t="s">
        <v>64</v>
      </c>
      <c r="R710" s="76" t="s">
        <v>1885</v>
      </c>
      <c r="S710" s="24"/>
      <c r="T710" s="24"/>
      <c r="U710" s="64"/>
      <c r="V710" s="56"/>
      <c r="W710" s="56"/>
      <c r="X710" s="56"/>
      <c r="Y710" s="56"/>
      <c r="Z710" s="56"/>
      <c r="AA710" s="56"/>
      <c r="AB710" s="56"/>
      <c r="AC710" s="56"/>
    </row>
    <row r="711" spans="1:29" ht="15.75" customHeight="1">
      <c r="A711" s="39" t="s">
        <v>2636</v>
      </c>
      <c r="B711" s="107">
        <v>43669</v>
      </c>
      <c r="C711" s="109">
        <v>43671</v>
      </c>
      <c r="D711" s="76" t="s">
        <v>366</v>
      </c>
      <c r="E711" s="76" t="s">
        <v>188</v>
      </c>
      <c r="F711" s="129" t="s">
        <v>1761</v>
      </c>
      <c r="G711" s="399">
        <f>IFERROR(VLOOKUP(A711,醫療院所DATABASE!A:B,2,""),)</f>
        <v>0</v>
      </c>
      <c r="H711" s="64"/>
      <c r="I711" s="109">
        <v>43668</v>
      </c>
      <c r="J711" s="109">
        <v>43670</v>
      </c>
      <c r="K711" s="39" t="s">
        <v>2917</v>
      </c>
      <c r="L711" s="76" t="s">
        <v>2918</v>
      </c>
      <c r="M711" s="49" t="s">
        <v>61</v>
      </c>
      <c r="N711" s="39" t="s">
        <v>51</v>
      </c>
      <c r="O711" s="24"/>
      <c r="P711" s="409" t="s">
        <v>2919</v>
      </c>
      <c r="Q711" s="76" t="s">
        <v>64</v>
      </c>
      <c r="R711" s="76" t="s">
        <v>1885</v>
      </c>
      <c r="S711" s="24"/>
      <c r="T711" s="24"/>
      <c r="U711" s="64"/>
      <c r="V711" s="56"/>
      <c r="W711" s="56"/>
      <c r="X711" s="56"/>
      <c r="Y711" s="56"/>
      <c r="Z711" s="56"/>
      <c r="AA711" s="56"/>
      <c r="AB711" s="56"/>
      <c r="AC711" s="56"/>
    </row>
    <row r="712" spans="1:29" ht="15.75" customHeight="1">
      <c r="A712" s="39" t="s">
        <v>2636</v>
      </c>
      <c r="B712" s="107">
        <v>43669</v>
      </c>
      <c r="C712" s="109">
        <v>43670</v>
      </c>
      <c r="D712" s="76" t="s">
        <v>366</v>
      </c>
      <c r="E712" s="76" t="s">
        <v>53</v>
      </c>
      <c r="F712" s="129" t="s">
        <v>1761</v>
      </c>
      <c r="G712" s="399">
        <f>IFERROR(VLOOKUP(A712,醫療院所DATABASE!A:B,2,""),)</f>
        <v>0</v>
      </c>
      <c r="H712" s="64"/>
      <c r="I712" s="109">
        <v>43668</v>
      </c>
      <c r="J712" s="109">
        <v>43670</v>
      </c>
      <c r="K712" s="39" t="s">
        <v>2920</v>
      </c>
      <c r="L712" s="76" t="s">
        <v>2921</v>
      </c>
      <c r="M712" s="49" t="s">
        <v>61</v>
      </c>
      <c r="N712" s="39" t="s">
        <v>51</v>
      </c>
      <c r="O712" s="24"/>
      <c r="P712" s="409" t="s">
        <v>2922</v>
      </c>
      <c r="Q712" s="76" t="s">
        <v>64</v>
      </c>
      <c r="R712" s="76" t="s">
        <v>1885</v>
      </c>
      <c r="S712" s="24"/>
      <c r="T712" s="24"/>
      <c r="U712" s="64"/>
      <c r="V712" s="56"/>
      <c r="W712" s="56"/>
      <c r="X712" s="56"/>
      <c r="Y712" s="56"/>
      <c r="Z712" s="56"/>
      <c r="AA712" s="56"/>
      <c r="AB712" s="56"/>
      <c r="AC712" s="56"/>
    </row>
    <row r="713" spans="1:29" ht="15.75" customHeight="1">
      <c r="A713" s="39" t="s">
        <v>2636</v>
      </c>
      <c r="B713" s="107">
        <v>43669</v>
      </c>
      <c r="C713" s="109">
        <v>43670</v>
      </c>
      <c r="D713" s="76" t="s">
        <v>366</v>
      </c>
      <c r="E713" s="76" t="s">
        <v>53</v>
      </c>
      <c r="F713" s="129" t="s">
        <v>1761</v>
      </c>
      <c r="G713" s="399">
        <f>IFERROR(VLOOKUP(A713,醫療院所DATABASE!A:B,2,""),)</f>
        <v>0</v>
      </c>
      <c r="H713" s="64"/>
      <c r="I713" s="109">
        <v>43668</v>
      </c>
      <c r="J713" s="109">
        <v>43670</v>
      </c>
      <c r="K713" s="39" t="s">
        <v>2923</v>
      </c>
      <c r="L713" s="76" t="s">
        <v>2924</v>
      </c>
      <c r="M713" s="49" t="s">
        <v>61</v>
      </c>
      <c r="N713" s="39" t="s">
        <v>62</v>
      </c>
      <c r="O713" s="24"/>
      <c r="P713" s="409" t="s">
        <v>2925</v>
      </c>
      <c r="Q713" s="76" t="s">
        <v>64</v>
      </c>
      <c r="R713" s="76" t="s">
        <v>1885</v>
      </c>
      <c r="S713" s="24"/>
      <c r="T713" s="24"/>
      <c r="U713" s="64"/>
      <c r="V713" s="56"/>
      <c r="W713" s="56"/>
      <c r="X713" s="56"/>
      <c r="Y713" s="56"/>
      <c r="Z713" s="56"/>
      <c r="AA713" s="56"/>
      <c r="AB713" s="56"/>
      <c r="AC713" s="56"/>
    </row>
    <row r="714" spans="1:29" ht="15.75" customHeight="1">
      <c r="A714" s="39" t="s">
        <v>2926</v>
      </c>
      <c r="B714" s="107">
        <v>43669</v>
      </c>
      <c r="C714" s="109">
        <v>43671</v>
      </c>
      <c r="D714" s="76" t="s">
        <v>188</v>
      </c>
      <c r="E714" s="76" t="s">
        <v>188</v>
      </c>
      <c r="F714" s="39" t="s">
        <v>975</v>
      </c>
      <c r="G714" s="399">
        <f>IFERROR(VLOOKUP(A714,醫療院所DATABASE!A:B,2,""),)</f>
        <v>0</v>
      </c>
      <c r="H714" s="64"/>
      <c r="I714" s="109">
        <v>43668</v>
      </c>
      <c r="J714" s="109">
        <v>43670</v>
      </c>
      <c r="K714" s="39" t="s">
        <v>2927</v>
      </c>
      <c r="L714" s="76" t="s">
        <v>2928</v>
      </c>
      <c r="M714" s="177" t="s">
        <v>963</v>
      </c>
      <c r="N714" s="39" t="s">
        <v>51</v>
      </c>
      <c r="O714" s="24"/>
      <c r="P714" s="409" t="s">
        <v>2929</v>
      </c>
      <c r="Q714" s="76" t="s">
        <v>64</v>
      </c>
      <c r="R714" s="76" t="s">
        <v>1885</v>
      </c>
      <c r="S714" s="24"/>
      <c r="T714" s="24"/>
      <c r="U714" s="64"/>
      <c r="V714" s="56"/>
      <c r="W714" s="56"/>
      <c r="X714" s="56"/>
      <c r="Y714" s="56"/>
      <c r="Z714" s="56"/>
      <c r="AA714" s="56"/>
      <c r="AB714" s="56"/>
      <c r="AC714" s="56"/>
    </row>
    <row r="715" spans="1:29" ht="15.75" customHeight="1">
      <c r="A715" s="151" t="s">
        <v>1750</v>
      </c>
      <c r="B715" s="107">
        <v>43670</v>
      </c>
      <c r="C715" s="109">
        <v>43670</v>
      </c>
      <c r="D715" s="76" t="s">
        <v>366</v>
      </c>
      <c r="E715" s="179" t="s">
        <v>366</v>
      </c>
      <c r="F715" s="39" t="s">
        <v>2930</v>
      </c>
      <c r="G715" s="399">
        <f>IFERROR(VLOOKUP(A715,醫療院所DATABASE!A:B,2,""),)</f>
        <v>0</v>
      </c>
      <c r="H715" s="76" t="s">
        <v>2931</v>
      </c>
      <c r="I715" s="109">
        <v>43669</v>
      </c>
      <c r="J715" s="109">
        <v>43671</v>
      </c>
      <c r="K715" s="39" t="s">
        <v>2932</v>
      </c>
      <c r="L715" s="76" t="s">
        <v>2933</v>
      </c>
      <c r="M715" s="49" t="s">
        <v>61</v>
      </c>
      <c r="N715" s="39" t="s">
        <v>62</v>
      </c>
      <c r="O715" s="24"/>
      <c r="P715" s="409" t="s">
        <v>2934</v>
      </c>
      <c r="Q715" s="76" t="s">
        <v>64</v>
      </c>
      <c r="R715" s="76" t="s">
        <v>1885</v>
      </c>
      <c r="S715" s="24"/>
      <c r="T715" s="24"/>
      <c r="U715" s="76" t="s">
        <v>2935</v>
      </c>
      <c r="V715" s="56"/>
      <c r="W715" s="56"/>
      <c r="X715" s="56"/>
      <c r="Y715" s="56"/>
      <c r="Z715" s="56"/>
      <c r="AA715" s="56"/>
      <c r="AB715" s="56"/>
      <c r="AC715" s="56"/>
    </row>
    <row r="716" spans="1:29" ht="15.75" customHeight="1">
      <c r="A716" s="151" t="s">
        <v>1750</v>
      </c>
      <c r="B716" s="107">
        <v>43670</v>
      </c>
      <c r="C716" s="109">
        <v>43670</v>
      </c>
      <c r="D716" s="76" t="s">
        <v>366</v>
      </c>
      <c r="E716" s="179" t="s">
        <v>366</v>
      </c>
      <c r="F716" s="39" t="s">
        <v>2930</v>
      </c>
      <c r="G716" s="399">
        <f>IFERROR(VLOOKUP(A716,醫療院所DATABASE!A:B,2,""),)</f>
        <v>0</v>
      </c>
      <c r="H716" s="76" t="s">
        <v>2933</v>
      </c>
      <c r="I716" s="109">
        <v>43669</v>
      </c>
      <c r="J716" s="109">
        <v>43671</v>
      </c>
      <c r="K716" s="39" t="s">
        <v>2936</v>
      </c>
      <c r="L716" s="76" t="s">
        <v>2931</v>
      </c>
      <c r="M716" s="49" t="s">
        <v>61</v>
      </c>
      <c r="N716" s="39" t="s">
        <v>51</v>
      </c>
      <c r="O716" s="24"/>
      <c r="P716" s="409" t="s">
        <v>2937</v>
      </c>
      <c r="Q716" s="76" t="s">
        <v>64</v>
      </c>
      <c r="R716" s="76" t="s">
        <v>1885</v>
      </c>
      <c r="S716" s="24"/>
      <c r="T716" s="24"/>
      <c r="U716" s="76" t="s">
        <v>2935</v>
      </c>
      <c r="V716" s="56"/>
      <c r="W716" s="56"/>
      <c r="X716" s="56"/>
      <c r="Y716" s="56"/>
      <c r="Z716" s="56"/>
      <c r="AA716" s="56"/>
      <c r="AB716" s="56"/>
      <c r="AC716" s="56"/>
    </row>
    <row r="717" spans="1:29" ht="15.75" customHeight="1">
      <c r="A717" s="39" t="s">
        <v>2938</v>
      </c>
      <c r="B717" s="107">
        <v>43671</v>
      </c>
      <c r="C717" s="109">
        <v>43675</v>
      </c>
      <c r="D717" s="76" t="s">
        <v>665</v>
      </c>
      <c r="E717" s="179" t="s">
        <v>665</v>
      </c>
      <c r="F717" s="39" t="s">
        <v>2939</v>
      </c>
      <c r="G717" s="399">
        <f>IFERROR(VLOOKUP(A717,醫療院所DATABASE!A:B,2,""),)</f>
        <v>0</v>
      </c>
      <c r="H717" s="76" t="s">
        <v>2940</v>
      </c>
      <c r="I717" s="109">
        <v>43670</v>
      </c>
      <c r="J717" s="109">
        <v>43672</v>
      </c>
      <c r="K717" s="39" t="s">
        <v>2941</v>
      </c>
      <c r="L717" s="76" t="s">
        <v>2942</v>
      </c>
      <c r="M717" s="49" t="s">
        <v>61</v>
      </c>
      <c r="N717" s="39" t="s">
        <v>62</v>
      </c>
      <c r="O717" s="24"/>
      <c r="P717" s="409" t="s">
        <v>2943</v>
      </c>
      <c r="Q717" s="76" t="s">
        <v>64</v>
      </c>
      <c r="R717" s="76" t="s">
        <v>1885</v>
      </c>
      <c r="S717" s="24"/>
      <c r="T717" s="24"/>
      <c r="U717" s="76" t="s">
        <v>2944</v>
      </c>
      <c r="V717" s="56"/>
      <c r="W717" s="56"/>
      <c r="X717" s="56"/>
      <c r="Y717" s="56"/>
      <c r="Z717" s="56"/>
      <c r="AA717" s="56"/>
      <c r="AB717" s="56"/>
      <c r="AC717" s="56"/>
    </row>
    <row r="718" spans="1:29" ht="15.75" customHeight="1">
      <c r="A718" s="39" t="s">
        <v>2938</v>
      </c>
      <c r="B718" s="107">
        <v>43671</v>
      </c>
      <c r="C718" s="109">
        <v>43675</v>
      </c>
      <c r="D718" s="76" t="s">
        <v>665</v>
      </c>
      <c r="E718" s="179" t="s">
        <v>665</v>
      </c>
      <c r="F718" s="39" t="s">
        <v>2939</v>
      </c>
      <c r="G718" s="399">
        <f>IFERROR(VLOOKUP(A718,醫療院所DATABASE!A:B,2,""),)</f>
        <v>0</v>
      </c>
      <c r="H718" s="76" t="s">
        <v>2942</v>
      </c>
      <c r="I718" s="109">
        <v>43670</v>
      </c>
      <c r="J718" s="109">
        <v>43672</v>
      </c>
      <c r="K718" s="39" t="s">
        <v>2945</v>
      </c>
      <c r="L718" s="76" t="s">
        <v>2940</v>
      </c>
      <c r="M718" s="49" t="s">
        <v>61</v>
      </c>
      <c r="N718" s="39" t="s">
        <v>51</v>
      </c>
      <c r="O718" s="24"/>
      <c r="P718" s="409" t="s">
        <v>2946</v>
      </c>
      <c r="Q718" s="76" t="s">
        <v>64</v>
      </c>
      <c r="R718" s="76" t="s">
        <v>1885</v>
      </c>
      <c r="S718" s="24"/>
      <c r="T718" s="24"/>
      <c r="U718" s="76" t="s">
        <v>2944</v>
      </c>
      <c r="V718" s="56"/>
      <c r="W718" s="56"/>
      <c r="X718" s="56"/>
      <c r="Y718" s="56"/>
      <c r="Z718" s="56"/>
      <c r="AA718" s="56"/>
      <c r="AB718" s="56"/>
      <c r="AC718" s="56"/>
    </row>
    <row r="719" spans="1:29" ht="15.75" customHeight="1">
      <c r="A719" s="39" t="s">
        <v>2947</v>
      </c>
      <c r="B719" s="107">
        <v>43671</v>
      </c>
      <c r="C719" s="109">
        <v>43675</v>
      </c>
      <c r="D719" s="76" t="s">
        <v>665</v>
      </c>
      <c r="E719" s="179" t="s">
        <v>665</v>
      </c>
      <c r="F719" s="39" t="s">
        <v>2939</v>
      </c>
      <c r="G719" s="399">
        <f>IFERROR(VLOOKUP(A719,醫療院所DATABASE!A:B,2,""),)</f>
        <v>0</v>
      </c>
      <c r="H719" s="64"/>
      <c r="I719" s="109">
        <v>43670</v>
      </c>
      <c r="J719" s="109">
        <v>43672</v>
      </c>
      <c r="K719" s="39" t="s">
        <v>2948</v>
      </c>
      <c r="L719" s="76" t="s">
        <v>2949</v>
      </c>
      <c r="M719" s="49" t="s">
        <v>61</v>
      </c>
      <c r="N719" s="39" t="s">
        <v>62</v>
      </c>
      <c r="O719" s="24"/>
      <c r="P719" s="409" t="s">
        <v>2950</v>
      </c>
      <c r="Q719" s="76" t="s">
        <v>64</v>
      </c>
      <c r="R719" s="76" t="s">
        <v>1885</v>
      </c>
      <c r="S719" s="24"/>
      <c r="T719" s="24"/>
      <c r="U719" s="76" t="s">
        <v>2944</v>
      </c>
      <c r="V719" s="56"/>
      <c r="W719" s="56"/>
      <c r="X719" s="56"/>
      <c r="Y719" s="56"/>
      <c r="Z719" s="56"/>
      <c r="AA719" s="56"/>
      <c r="AB719" s="56"/>
      <c r="AC719" s="56"/>
    </row>
    <row r="720" spans="1:29" ht="15.75" customHeight="1">
      <c r="A720" s="39">
        <v>19072301</v>
      </c>
      <c r="B720" s="107">
        <v>43671</v>
      </c>
      <c r="C720" s="109">
        <v>43672</v>
      </c>
      <c r="D720" s="76" t="s">
        <v>1029</v>
      </c>
      <c r="E720" s="76" t="s">
        <v>53</v>
      </c>
      <c r="F720" s="39" t="s">
        <v>353</v>
      </c>
      <c r="G720" s="399">
        <f>IFERROR(VLOOKUP(A720,醫療院所DATABASE!A:B,2,""),)</f>
        <v>0</v>
      </c>
      <c r="H720" s="64"/>
      <c r="I720" s="109">
        <v>43670</v>
      </c>
      <c r="J720" s="109">
        <v>43672</v>
      </c>
      <c r="K720" s="39" t="s">
        <v>2951</v>
      </c>
      <c r="L720" s="76" t="s">
        <v>2952</v>
      </c>
      <c r="M720" s="39" t="s">
        <v>2143</v>
      </c>
      <c r="N720" s="39" t="s">
        <v>62</v>
      </c>
      <c r="O720" s="24"/>
      <c r="P720" s="409" t="s">
        <v>2953</v>
      </c>
      <c r="Q720" s="76" t="s">
        <v>64</v>
      </c>
      <c r="R720" s="76" t="s">
        <v>1885</v>
      </c>
      <c r="S720" s="24"/>
      <c r="T720" s="24"/>
      <c r="U720" s="64"/>
      <c r="V720" s="56"/>
      <c r="W720" s="56"/>
      <c r="X720" s="56"/>
      <c r="Y720" s="56"/>
      <c r="Z720" s="56"/>
      <c r="AA720" s="56"/>
      <c r="AB720" s="56"/>
      <c r="AC720" s="56"/>
    </row>
    <row r="721" spans="1:29" ht="15.75" customHeight="1">
      <c r="A721" s="39" t="s">
        <v>2330</v>
      </c>
      <c r="B721" s="107">
        <v>43672</v>
      </c>
      <c r="C721" s="109">
        <v>43675</v>
      </c>
      <c r="D721" s="76" t="s">
        <v>522</v>
      </c>
      <c r="E721" s="76" t="s">
        <v>53</v>
      </c>
      <c r="F721" s="39" t="s">
        <v>2954</v>
      </c>
      <c r="G721" s="399">
        <f>IFERROR(VLOOKUP(A721,醫療院所DATABASE!A:B,2,""),)</f>
        <v>0</v>
      </c>
      <c r="H721" s="64"/>
      <c r="I721" s="109">
        <v>43671</v>
      </c>
      <c r="J721" s="109">
        <v>43675</v>
      </c>
      <c r="K721" s="39" t="s">
        <v>2955</v>
      </c>
      <c r="L721" s="76" t="s">
        <v>2956</v>
      </c>
      <c r="M721" s="49" t="s">
        <v>61</v>
      </c>
      <c r="N721" s="39" t="s">
        <v>62</v>
      </c>
      <c r="O721" s="24"/>
      <c r="P721" s="409" t="s">
        <v>2957</v>
      </c>
      <c r="Q721" s="76" t="s">
        <v>64</v>
      </c>
      <c r="R721" s="76" t="s">
        <v>1885</v>
      </c>
      <c r="S721" s="24"/>
      <c r="T721" s="24"/>
      <c r="U721" s="76" t="s">
        <v>2958</v>
      </c>
      <c r="V721" s="56"/>
      <c r="W721" s="56"/>
      <c r="X721" s="56"/>
      <c r="Y721" s="56"/>
      <c r="Z721" s="56"/>
      <c r="AA721" s="56"/>
      <c r="AB721" s="56"/>
      <c r="AC721" s="56"/>
    </row>
    <row r="722" spans="1:29" ht="15.75" customHeight="1">
      <c r="A722" s="39" t="s">
        <v>2330</v>
      </c>
      <c r="B722" s="107">
        <v>43672</v>
      </c>
      <c r="C722" s="109">
        <v>43675</v>
      </c>
      <c r="D722" s="76" t="s">
        <v>522</v>
      </c>
      <c r="E722" s="76" t="s">
        <v>53</v>
      </c>
      <c r="F722" s="39" t="s">
        <v>2954</v>
      </c>
      <c r="G722" s="399">
        <f>IFERROR(VLOOKUP(A722,醫療院所DATABASE!A:B,2,""),)</f>
        <v>0</v>
      </c>
      <c r="H722" s="64"/>
      <c r="I722" s="109">
        <v>43671</v>
      </c>
      <c r="J722" s="109">
        <v>43675</v>
      </c>
      <c r="K722" s="39" t="s">
        <v>2959</v>
      </c>
      <c r="L722" s="76" t="s">
        <v>2960</v>
      </c>
      <c r="M722" s="49" t="s">
        <v>61</v>
      </c>
      <c r="N722" s="39" t="s">
        <v>51</v>
      </c>
      <c r="O722" s="24"/>
      <c r="P722" s="409" t="s">
        <v>2961</v>
      </c>
      <c r="Q722" s="76" t="s">
        <v>64</v>
      </c>
      <c r="R722" s="76" t="s">
        <v>1885</v>
      </c>
      <c r="S722" s="24"/>
      <c r="T722" s="24"/>
      <c r="U722" s="76" t="s">
        <v>2958</v>
      </c>
      <c r="V722" s="56"/>
      <c r="W722" s="56"/>
      <c r="X722" s="56"/>
      <c r="Y722" s="56"/>
      <c r="Z722" s="56"/>
      <c r="AA722" s="56"/>
      <c r="AB722" s="56"/>
      <c r="AC722" s="56"/>
    </row>
    <row r="723" spans="1:29" ht="15.75" customHeight="1">
      <c r="A723" s="39" t="s">
        <v>2738</v>
      </c>
      <c r="B723" s="107">
        <v>43672</v>
      </c>
      <c r="C723" s="109">
        <v>43675</v>
      </c>
      <c r="D723" s="159" t="s">
        <v>1910</v>
      </c>
      <c r="E723" s="76" t="s">
        <v>188</v>
      </c>
      <c r="F723" s="39" t="s">
        <v>2885</v>
      </c>
      <c r="G723" s="399">
        <f>IFERROR(VLOOKUP(A723,醫療院所DATABASE!A:B,2,""),)</f>
        <v>0</v>
      </c>
      <c r="H723" s="64"/>
      <c r="I723" s="109">
        <v>43671</v>
      </c>
      <c r="J723" s="109">
        <v>43675</v>
      </c>
      <c r="K723" s="39" t="s">
        <v>2962</v>
      </c>
      <c r="L723" s="76" t="s">
        <v>2963</v>
      </c>
      <c r="M723" s="49" t="s">
        <v>61</v>
      </c>
      <c r="N723" s="39" t="s">
        <v>62</v>
      </c>
      <c r="O723" s="24"/>
      <c r="P723" s="409" t="s">
        <v>2964</v>
      </c>
      <c r="Q723" s="76" t="s">
        <v>64</v>
      </c>
      <c r="R723" s="76" t="s">
        <v>1885</v>
      </c>
      <c r="S723" s="24"/>
      <c r="T723" s="24"/>
      <c r="U723" s="64"/>
      <c r="V723" s="56"/>
      <c r="W723" s="56"/>
      <c r="X723" s="56"/>
      <c r="Y723" s="56"/>
      <c r="Z723" s="56"/>
      <c r="AA723" s="56"/>
      <c r="AB723" s="56"/>
      <c r="AC723" s="56"/>
    </row>
    <row r="724" spans="1:29" ht="15.75" customHeight="1">
      <c r="A724" s="39" t="s">
        <v>2965</v>
      </c>
      <c r="B724" s="107">
        <v>43672</v>
      </c>
      <c r="C724" s="109">
        <v>43675</v>
      </c>
      <c r="D724" s="76" t="s">
        <v>53</v>
      </c>
      <c r="E724" s="76" t="s">
        <v>53</v>
      </c>
      <c r="F724" s="39" t="s">
        <v>2686</v>
      </c>
      <c r="G724" s="399">
        <f>IFERROR(VLOOKUP(A724,醫療院所DATABASE!A:B,2,""),)</f>
        <v>0</v>
      </c>
      <c r="H724" s="64"/>
      <c r="I724" s="109">
        <v>43671</v>
      </c>
      <c r="J724" s="109">
        <v>43675</v>
      </c>
      <c r="K724" s="39" t="s">
        <v>2966</v>
      </c>
      <c r="L724" s="76" t="s">
        <v>2967</v>
      </c>
      <c r="M724" s="85" t="s">
        <v>579</v>
      </c>
      <c r="N724" s="39" t="s">
        <v>62</v>
      </c>
      <c r="O724" s="24"/>
      <c r="P724" s="409" t="s">
        <v>2968</v>
      </c>
      <c r="Q724" s="76" t="s">
        <v>64</v>
      </c>
      <c r="R724" s="76" t="s">
        <v>1885</v>
      </c>
      <c r="S724" s="24"/>
      <c r="T724" s="24"/>
      <c r="U724" s="64"/>
      <c r="V724" s="56"/>
      <c r="W724" s="56"/>
      <c r="X724" s="56"/>
      <c r="Y724" s="56"/>
      <c r="Z724" s="56"/>
      <c r="AA724" s="56"/>
      <c r="AB724" s="56"/>
      <c r="AC724" s="56"/>
    </row>
    <row r="725" spans="1:29" ht="15.75" customHeight="1">
      <c r="A725" s="39">
        <v>19071903</v>
      </c>
      <c r="B725" s="107">
        <v>43676</v>
      </c>
      <c r="C725" s="109">
        <v>43677</v>
      </c>
      <c r="D725" s="76" t="s">
        <v>188</v>
      </c>
      <c r="E725" s="76" t="s">
        <v>188</v>
      </c>
      <c r="F725" s="39" t="s">
        <v>353</v>
      </c>
      <c r="G725" s="399">
        <f>IFERROR(VLOOKUP(A725,醫療院所DATABASE!A:B,2,""),)</f>
        <v>0</v>
      </c>
      <c r="H725" s="76" t="s">
        <v>2969</v>
      </c>
      <c r="I725" s="109">
        <v>43675</v>
      </c>
      <c r="J725" s="109">
        <v>43677</v>
      </c>
      <c r="K725" s="39" t="s">
        <v>2970</v>
      </c>
      <c r="L725" s="76" t="s">
        <v>2971</v>
      </c>
      <c r="M725" s="39" t="s">
        <v>2508</v>
      </c>
      <c r="N725" s="39" t="s">
        <v>62</v>
      </c>
      <c r="O725" s="24"/>
      <c r="P725" s="409" t="s">
        <v>2972</v>
      </c>
      <c r="Q725" s="76" t="s">
        <v>64</v>
      </c>
      <c r="R725" s="76" t="s">
        <v>1885</v>
      </c>
      <c r="S725" s="24"/>
      <c r="T725" s="24"/>
      <c r="U725" s="64"/>
      <c r="V725" s="56"/>
      <c r="W725" s="56"/>
      <c r="X725" s="56"/>
      <c r="Y725" s="56"/>
      <c r="Z725" s="56"/>
      <c r="AA725" s="56"/>
      <c r="AB725" s="56"/>
      <c r="AC725" s="56"/>
    </row>
    <row r="726" spans="1:29" ht="15.75" customHeight="1">
      <c r="A726" s="39">
        <v>19071905</v>
      </c>
      <c r="B726" s="107">
        <v>43677</v>
      </c>
      <c r="C726" s="109">
        <v>43677</v>
      </c>
      <c r="D726" s="76" t="s">
        <v>188</v>
      </c>
      <c r="E726" s="76" t="s">
        <v>188</v>
      </c>
      <c r="F726" s="39" t="s">
        <v>353</v>
      </c>
      <c r="G726" s="399">
        <f>IFERROR(VLOOKUP(A726,醫療院所DATABASE!A:B,2,""),)</f>
        <v>0</v>
      </c>
      <c r="H726" s="76" t="s">
        <v>2969</v>
      </c>
      <c r="I726" s="109">
        <v>43675</v>
      </c>
      <c r="J726" s="109">
        <v>43677</v>
      </c>
      <c r="K726" s="39" t="s">
        <v>2970</v>
      </c>
      <c r="L726" s="76" t="s">
        <v>2971</v>
      </c>
      <c r="M726" s="180" t="s">
        <v>2973</v>
      </c>
      <c r="N726" s="39" t="s">
        <v>62</v>
      </c>
      <c r="O726" s="24"/>
      <c r="P726" s="409" t="s">
        <v>2974</v>
      </c>
      <c r="Q726" s="76" t="s">
        <v>64</v>
      </c>
      <c r="R726" s="76" t="s">
        <v>1885</v>
      </c>
      <c r="S726" s="24"/>
      <c r="T726" s="24"/>
      <c r="U726" s="64"/>
      <c r="V726" s="56"/>
      <c r="W726" s="56"/>
      <c r="X726" s="56"/>
      <c r="Y726" s="56"/>
      <c r="Z726" s="56"/>
      <c r="AA726" s="56"/>
      <c r="AB726" s="56"/>
      <c r="AC726" s="56"/>
    </row>
    <row r="727" spans="1:29" ht="15.75" customHeight="1">
      <c r="A727" s="39">
        <v>19071904</v>
      </c>
      <c r="B727" s="107">
        <v>43676</v>
      </c>
      <c r="C727" s="109">
        <v>43677</v>
      </c>
      <c r="D727" s="76" t="s">
        <v>188</v>
      </c>
      <c r="E727" s="76" t="s">
        <v>188</v>
      </c>
      <c r="F727" s="39" t="s">
        <v>353</v>
      </c>
      <c r="G727" s="399">
        <f>IFERROR(VLOOKUP(A727,醫療院所DATABASE!A:B,2,""),)</f>
        <v>0</v>
      </c>
      <c r="H727" s="76" t="s">
        <v>2971</v>
      </c>
      <c r="I727" s="109">
        <v>43675</v>
      </c>
      <c r="J727" s="109">
        <v>43677</v>
      </c>
      <c r="K727" s="39" t="s">
        <v>2975</v>
      </c>
      <c r="L727" s="181" t="s">
        <v>2969</v>
      </c>
      <c r="M727" s="39" t="s">
        <v>2976</v>
      </c>
      <c r="N727" s="39" t="s">
        <v>62</v>
      </c>
      <c r="O727" s="24"/>
      <c r="P727" s="409" t="s">
        <v>2977</v>
      </c>
      <c r="Q727" s="76" t="s">
        <v>64</v>
      </c>
      <c r="R727" s="76" t="s">
        <v>1885</v>
      </c>
      <c r="S727" s="24"/>
      <c r="T727" s="24"/>
      <c r="U727" s="64"/>
      <c r="V727" s="56"/>
      <c r="W727" s="56"/>
      <c r="X727" s="56"/>
      <c r="Y727" s="56"/>
      <c r="Z727" s="56"/>
      <c r="AA727" s="56"/>
      <c r="AB727" s="56"/>
      <c r="AC727" s="56"/>
    </row>
    <row r="728" spans="1:29" ht="15.75" customHeight="1">
      <c r="A728" s="39">
        <v>19072701</v>
      </c>
      <c r="B728" s="107">
        <v>43676</v>
      </c>
      <c r="C728" s="109">
        <v>43677</v>
      </c>
      <c r="D728" s="76" t="s">
        <v>53</v>
      </c>
      <c r="E728" s="76" t="s">
        <v>53</v>
      </c>
      <c r="F728" s="39" t="s">
        <v>353</v>
      </c>
      <c r="G728" s="399">
        <f>IFERROR(VLOOKUP(A728,醫療院所DATABASE!A:B,2,""),)</f>
        <v>0</v>
      </c>
      <c r="H728" s="64"/>
      <c r="I728" s="109">
        <v>43675</v>
      </c>
      <c r="J728" s="109">
        <v>43677</v>
      </c>
      <c r="K728" s="39" t="s">
        <v>2978</v>
      </c>
      <c r="L728" s="76" t="s">
        <v>2979</v>
      </c>
      <c r="M728" s="39" t="s">
        <v>2508</v>
      </c>
      <c r="N728" s="39" t="s">
        <v>51</v>
      </c>
      <c r="O728" s="24"/>
      <c r="P728" s="409" t="s">
        <v>2980</v>
      </c>
      <c r="Q728" s="76" t="s">
        <v>64</v>
      </c>
      <c r="R728" s="76" t="s">
        <v>1885</v>
      </c>
      <c r="S728" s="24"/>
      <c r="T728" s="24"/>
      <c r="U728" s="64"/>
      <c r="V728" s="56"/>
      <c r="W728" s="56"/>
      <c r="X728" s="56"/>
      <c r="Y728" s="56"/>
      <c r="Z728" s="56"/>
      <c r="AA728" s="56"/>
      <c r="AB728" s="56"/>
      <c r="AC728" s="56"/>
    </row>
    <row r="729" spans="1:29" ht="15.75" customHeight="1">
      <c r="A729" s="39">
        <v>19072901</v>
      </c>
      <c r="B729" s="107">
        <v>43677</v>
      </c>
      <c r="C729" s="109">
        <v>43678</v>
      </c>
      <c r="D729" s="76" t="s">
        <v>151</v>
      </c>
      <c r="E729" s="76" t="s">
        <v>151</v>
      </c>
      <c r="F729" s="39" t="s">
        <v>353</v>
      </c>
      <c r="G729" s="399">
        <f>IFERROR(VLOOKUP(A729,醫療院所DATABASE!A:B,2,""),)</f>
        <v>0</v>
      </c>
      <c r="H729" s="64"/>
      <c r="I729" s="109">
        <v>43676</v>
      </c>
      <c r="J729" s="109">
        <v>43678</v>
      </c>
      <c r="K729" s="39" t="s">
        <v>2981</v>
      </c>
      <c r="L729" s="76" t="s">
        <v>2982</v>
      </c>
      <c r="M729" s="49" t="s">
        <v>61</v>
      </c>
      <c r="N729" s="39" t="s">
        <v>62</v>
      </c>
      <c r="O729" s="24"/>
      <c r="P729" s="409" t="s">
        <v>2983</v>
      </c>
      <c r="Q729" s="76" t="s">
        <v>1931</v>
      </c>
      <c r="R729" s="76" t="s">
        <v>2531</v>
      </c>
      <c r="S729" s="24"/>
      <c r="T729" s="24"/>
      <c r="U729" s="76" t="s">
        <v>2984</v>
      </c>
      <c r="V729" s="56"/>
      <c r="W729" s="56"/>
      <c r="X729" s="56"/>
      <c r="Y729" s="56"/>
      <c r="Z729" s="56"/>
      <c r="AA729" s="56"/>
      <c r="AB729" s="56"/>
      <c r="AC729" s="56"/>
    </row>
    <row r="730" spans="1:29" ht="15.75" customHeight="1">
      <c r="A730" s="39" t="s">
        <v>2985</v>
      </c>
      <c r="B730" s="107">
        <v>43677</v>
      </c>
      <c r="C730" s="109">
        <v>43677</v>
      </c>
      <c r="D730" s="76" t="s">
        <v>665</v>
      </c>
      <c r="E730" s="76" t="s">
        <v>665</v>
      </c>
      <c r="F730" s="39" t="s">
        <v>2939</v>
      </c>
      <c r="G730" s="399">
        <f>IFERROR(VLOOKUP(A730,醫療院所DATABASE!A:B,2,""),)</f>
        <v>0</v>
      </c>
      <c r="H730" s="64"/>
      <c r="I730" s="109">
        <v>43676</v>
      </c>
      <c r="J730" s="109">
        <v>43678</v>
      </c>
      <c r="K730" s="39" t="s">
        <v>2986</v>
      </c>
      <c r="L730" s="76" t="s">
        <v>2987</v>
      </c>
      <c r="M730" s="49" t="s">
        <v>61</v>
      </c>
      <c r="N730" s="39" t="s">
        <v>51</v>
      </c>
      <c r="O730" s="24"/>
      <c r="P730" s="409" t="s">
        <v>2988</v>
      </c>
      <c r="Q730" s="76" t="s">
        <v>64</v>
      </c>
      <c r="R730" s="76" t="s">
        <v>1885</v>
      </c>
      <c r="S730" s="24"/>
      <c r="T730" s="24"/>
      <c r="U730" s="64"/>
      <c r="V730" s="56"/>
      <c r="W730" s="56"/>
      <c r="X730" s="56"/>
      <c r="Y730" s="56"/>
      <c r="Z730" s="56"/>
      <c r="AA730" s="56"/>
      <c r="AB730" s="56"/>
      <c r="AC730" s="56"/>
    </row>
    <row r="731" spans="1:29" ht="15.75" customHeight="1">
      <c r="A731" s="39" t="s">
        <v>2989</v>
      </c>
      <c r="B731" s="107">
        <v>43677</v>
      </c>
      <c r="C731" s="109">
        <v>43678</v>
      </c>
      <c r="D731" s="76" t="s">
        <v>188</v>
      </c>
      <c r="E731" s="76" t="s">
        <v>188</v>
      </c>
      <c r="F731" s="39" t="s">
        <v>975</v>
      </c>
      <c r="G731" s="399">
        <f>IFERROR(VLOOKUP(A731,醫療院所DATABASE!A:B,2,""),)</f>
        <v>0</v>
      </c>
      <c r="H731" s="64"/>
      <c r="I731" s="109">
        <v>43676</v>
      </c>
      <c r="J731" s="109">
        <v>43678</v>
      </c>
      <c r="K731" s="39" t="s">
        <v>2990</v>
      </c>
      <c r="L731" s="76" t="s">
        <v>2991</v>
      </c>
      <c r="M731" s="177" t="s">
        <v>963</v>
      </c>
      <c r="N731" s="39" t="s">
        <v>62</v>
      </c>
      <c r="O731" s="24"/>
      <c r="P731" s="409" t="s">
        <v>2992</v>
      </c>
      <c r="Q731" s="76" t="s">
        <v>64</v>
      </c>
      <c r="R731" s="76" t="s">
        <v>1885</v>
      </c>
      <c r="S731" s="24"/>
      <c r="T731" s="24"/>
      <c r="U731" s="64"/>
      <c r="V731" s="56"/>
      <c r="W731" s="56"/>
      <c r="X731" s="56"/>
      <c r="Y731" s="56"/>
      <c r="Z731" s="56"/>
      <c r="AA731" s="56"/>
      <c r="AB731" s="56"/>
      <c r="AC731" s="56"/>
    </row>
    <row r="732" spans="1:29" ht="15.75" customHeight="1">
      <c r="A732" s="39" t="s">
        <v>1079</v>
      </c>
      <c r="B732" s="107">
        <v>43677</v>
      </c>
      <c r="C732" s="109">
        <v>43678</v>
      </c>
      <c r="D732" s="76" t="s">
        <v>366</v>
      </c>
      <c r="E732" s="76" t="s">
        <v>366</v>
      </c>
      <c r="F732" s="39" t="s">
        <v>2307</v>
      </c>
      <c r="G732" s="399">
        <f>IFERROR(VLOOKUP(A732,醫療院所DATABASE!A:B,2,""),)</f>
        <v>0</v>
      </c>
      <c r="H732" s="64"/>
      <c r="I732" s="109">
        <v>43676</v>
      </c>
      <c r="J732" s="109">
        <v>43678</v>
      </c>
      <c r="K732" s="39" t="s">
        <v>2993</v>
      </c>
      <c r="L732" s="76" t="s">
        <v>2994</v>
      </c>
      <c r="M732" s="177" t="s">
        <v>963</v>
      </c>
      <c r="N732" s="39" t="s">
        <v>62</v>
      </c>
      <c r="O732" s="24"/>
      <c r="P732" s="409" t="s">
        <v>2995</v>
      </c>
      <c r="Q732" s="76" t="s">
        <v>64</v>
      </c>
      <c r="R732" s="76" t="s">
        <v>1885</v>
      </c>
      <c r="S732" s="24"/>
      <c r="T732" s="24"/>
      <c r="U732" s="76" t="s">
        <v>2996</v>
      </c>
      <c r="V732" s="56"/>
      <c r="W732" s="56"/>
      <c r="X732" s="56"/>
      <c r="Y732" s="56"/>
      <c r="Z732" s="56"/>
      <c r="AA732" s="56"/>
      <c r="AB732" s="56"/>
      <c r="AC732" s="56"/>
    </row>
    <row r="733" spans="1:29" ht="15.75" customHeight="1">
      <c r="A733" s="39" t="s">
        <v>1674</v>
      </c>
      <c r="B733" s="107">
        <v>43677</v>
      </c>
      <c r="C733" s="109">
        <v>43678</v>
      </c>
      <c r="D733" s="76" t="s">
        <v>479</v>
      </c>
      <c r="E733" s="76" t="s">
        <v>2693</v>
      </c>
      <c r="F733" s="39" t="s">
        <v>2103</v>
      </c>
      <c r="G733" s="399">
        <f>IFERROR(VLOOKUP(A733,醫療院所DATABASE!A:B,2,""),)</f>
        <v>0</v>
      </c>
      <c r="H733" s="64"/>
      <c r="I733" s="109">
        <v>43676</v>
      </c>
      <c r="J733" s="109">
        <v>43678</v>
      </c>
      <c r="K733" s="39" t="s">
        <v>2997</v>
      </c>
      <c r="L733" s="76" t="s">
        <v>2998</v>
      </c>
      <c r="M733" s="177" t="s">
        <v>963</v>
      </c>
      <c r="N733" s="39" t="s">
        <v>62</v>
      </c>
      <c r="O733" s="24"/>
      <c r="P733" s="409" t="s">
        <v>2999</v>
      </c>
      <c r="Q733" s="76" t="s">
        <v>1207</v>
      </c>
      <c r="R733" s="76" t="s">
        <v>1885</v>
      </c>
      <c r="S733" s="24"/>
      <c r="T733" s="24"/>
      <c r="U733" s="64"/>
      <c r="V733" s="56"/>
      <c r="W733" s="56"/>
      <c r="X733" s="56"/>
      <c r="Y733" s="56"/>
      <c r="Z733" s="56"/>
      <c r="AA733" s="56"/>
      <c r="AB733" s="56"/>
      <c r="AC733" s="56"/>
    </row>
    <row r="734" spans="1:29" ht="15.75" customHeight="1">
      <c r="A734" s="39" t="s">
        <v>1674</v>
      </c>
      <c r="B734" s="107">
        <v>43678</v>
      </c>
      <c r="C734" s="109">
        <v>43678</v>
      </c>
      <c r="D734" s="76" t="s">
        <v>479</v>
      </c>
      <c r="E734" s="76" t="s">
        <v>2693</v>
      </c>
      <c r="F734" s="39" t="s">
        <v>2103</v>
      </c>
      <c r="G734" s="399">
        <f>IFERROR(VLOOKUP(A734,醫療院所DATABASE!A:B,2,""),)</f>
        <v>0</v>
      </c>
      <c r="H734" s="64"/>
      <c r="I734" s="109">
        <v>43676</v>
      </c>
      <c r="J734" s="109">
        <v>43678</v>
      </c>
      <c r="K734" s="39" t="s">
        <v>3000</v>
      </c>
      <c r="L734" s="182" t="s">
        <v>3001</v>
      </c>
      <c r="M734" s="177" t="s">
        <v>963</v>
      </c>
      <c r="N734" s="39" t="s">
        <v>51</v>
      </c>
      <c r="O734" s="24"/>
      <c r="P734" s="409" t="s">
        <v>3002</v>
      </c>
      <c r="Q734" s="76" t="s">
        <v>1207</v>
      </c>
      <c r="R734" s="76" t="s">
        <v>1885</v>
      </c>
      <c r="S734" s="24"/>
      <c r="T734" s="24"/>
      <c r="U734" s="64"/>
      <c r="V734" s="56"/>
      <c r="W734" s="56"/>
      <c r="X734" s="56"/>
      <c r="Y734" s="56"/>
      <c r="Z734" s="56"/>
      <c r="AA734" s="56"/>
      <c r="AB734" s="56"/>
      <c r="AC734" s="56"/>
    </row>
    <row r="735" spans="1:29" ht="15.75" customHeight="1">
      <c r="A735" s="39" t="s">
        <v>1674</v>
      </c>
      <c r="B735" s="107">
        <v>43677</v>
      </c>
      <c r="C735" s="109">
        <v>43678</v>
      </c>
      <c r="D735" s="76" t="s">
        <v>479</v>
      </c>
      <c r="E735" s="76" t="s">
        <v>2693</v>
      </c>
      <c r="F735" s="39" t="s">
        <v>2103</v>
      </c>
      <c r="G735" s="399">
        <f>IFERROR(VLOOKUP(A735,醫療院所DATABASE!A:B,2,""),)</f>
        <v>0</v>
      </c>
      <c r="H735" s="64"/>
      <c r="I735" s="109">
        <v>43676</v>
      </c>
      <c r="J735" s="109">
        <v>43678</v>
      </c>
      <c r="K735" s="39" t="s">
        <v>3000</v>
      </c>
      <c r="L735" s="182" t="s">
        <v>3001</v>
      </c>
      <c r="M735" s="39" t="s">
        <v>2869</v>
      </c>
      <c r="N735" s="39" t="s">
        <v>51</v>
      </c>
      <c r="O735" s="24"/>
      <c r="P735" s="409" t="s">
        <v>3003</v>
      </c>
      <c r="Q735" s="76" t="s">
        <v>1207</v>
      </c>
      <c r="R735" s="76" t="s">
        <v>1885</v>
      </c>
      <c r="S735" s="24"/>
      <c r="T735" s="24"/>
      <c r="U735" s="64"/>
      <c r="V735" s="56"/>
      <c r="W735" s="56"/>
      <c r="X735" s="56"/>
      <c r="Y735" s="56"/>
      <c r="Z735" s="56"/>
      <c r="AA735" s="56"/>
      <c r="AB735" s="56"/>
      <c r="AC735" s="56"/>
    </row>
    <row r="736" spans="1:29" ht="15.75" customHeight="1">
      <c r="A736" s="39" t="s">
        <v>2283</v>
      </c>
      <c r="B736" s="107">
        <v>43683</v>
      </c>
      <c r="C736" s="109">
        <v>43691</v>
      </c>
      <c r="D736" s="76" t="s">
        <v>479</v>
      </c>
      <c r="E736" s="76" t="s">
        <v>53</v>
      </c>
      <c r="F736" s="39" t="s">
        <v>2284</v>
      </c>
      <c r="G736" s="399">
        <f>IFERROR(VLOOKUP(A736,醫療院所DATABASE!A:B,2,""),)</f>
        <v>0</v>
      </c>
      <c r="H736" s="64"/>
      <c r="I736" s="109">
        <v>43677</v>
      </c>
      <c r="J736" s="109">
        <v>43679</v>
      </c>
      <c r="K736" s="39" t="s">
        <v>3004</v>
      </c>
      <c r="L736" s="76" t="s">
        <v>3005</v>
      </c>
      <c r="M736" s="49" t="s">
        <v>61</v>
      </c>
      <c r="N736" s="39" t="s">
        <v>51</v>
      </c>
      <c r="O736" s="24"/>
      <c r="P736" s="409" t="s">
        <v>3006</v>
      </c>
      <c r="Q736" s="76" t="s">
        <v>64</v>
      </c>
      <c r="R736" s="76" t="s">
        <v>1885</v>
      </c>
      <c r="S736" s="24"/>
      <c r="T736" s="24"/>
      <c r="U736" s="64"/>
      <c r="V736" s="56"/>
      <c r="W736" s="56"/>
      <c r="X736" s="56"/>
      <c r="Y736" s="56"/>
      <c r="Z736" s="56"/>
      <c r="AA736" s="56"/>
      <c r="AB736" s="56"/>
      <c r="AC736" s="56"/>
    </row>
    <row r="737" spans="1:29" ht="15.75" customHeight="1">
      <c r="A737" s="39" t="s">
        <v>2283</v>
      </c>
      <c r="B737" s="107">
        <v>43683</v>
      </c>
      <c r="C737" s="109">
        <v>43691</v>
      </c>
      <c r="D737" s="76" t="s">
        <v>479</v>
      </c>
      <c r="E737" s="76" t="s">
        <v>53</v>
      </c>
      <c r="F737" s="39" t="s">
        <v>2284</v>
      </c>
      <c r="G737" s="399">
        <f>IFERROR(VLOOKUP(A737,醫療院所DATABASE!A:B,2,""),)</f>
        <v>0</v>
      </c>
      <c r="H737" s="64"/>
      <c r="I737" s="109">
        <v>43677</v>
      </c>
      <c r="J737" s="109">
        <v>43679</v>
      </c>
      <c r="K737" s="39" t="s">
        <v>3007</v>
      </c>
      <c r="L737" s="76" t="s">
        <v>3008</v>
      </c>
      <c r="M737" s="49" t="s">
        <v>61</v>
      </c>
      <c r="N737" s="39" t="s">
        <v>51</v>
      </c>
      <c r="O737" s="24"/>
      <c r="P737" s="409" t="s">
        <v>3009</v>
      </c>
      <c r="Q737" s="76" t="s">
        <v>64</v>
      </c>
      <c r="R737" s="76" t="s">
        <v>1885</v>
      </c>
      <c r="S737" s="24"/>
      <c r="T737" s="24"/>
      <c r="U737" s="64"/>
      <c r="V737" s="56"/>
      <c r="W737" s="56"/>
      <c r="X737" s="56"/>
      <c r="Y737" s="56"/>
      <c r="Z737" s="56"/>
      <c r="AA737" s="56"/>
      <c r="AB737" s="56"/>
      <c r="AC737" s="56"/>
    </row>
    <row r="738" spans="1:29" ht="15.75" customHeight="1">
      <c r="A738" s="39" t="s">
        <v>2283</v>
      </c>
      <c r="B738" s="107">
        <v>43683</v>
      </c>
      <c r="C738" s="109">
        <v>43691</v>
      </c>
      <c r="D738" s="76" t="s">
        <v>479</v>
      </c>
      <c r="E738" s="76" t="s">
        <v>53</v>
      </c>
      <c r="F738" s="39" t="s">
        <v>2284</v>
      </c>
      <c r="G738" s="399">
        <f>IFERROR(VLOOKUP(A738,醫療院所DATABASE!A:B,2,""),)</f>
        <v>0</v>
      </c>
      <c r="H738" s="64"/>
      <c r="I738" s="109">
        <v>43677</v>
      </c>
      <c r="J738" s="109">
        <v>43679</v>
      </c>
      <c r="K738" s="39" t="s">
        <v>3010</v>
      </c>
      <c r="L738" s="76" t="s">
        <v>3011</v>
      </c>
      <c r="M738" s="49" t="s">
        <v>61</v>
      </c>
      <c r="N738" s="39" t="s">
        <v>51</v>
      </c>
      <c r="O738" s="24"/>
      <c r="P738" s="409" t="s">
        <v>3012</v>
      </c>
      <c r="Q738" s="76" t="s">
        <v>64</v>
      </c>
      <c r="R738" s="76" t="s">
        <v>1885</v>
      </c>
      <c r="S738" s="24"/>
      <c r="T738" s="24"/>
      <c r="U738" s="64"/>
      <c r="V738" s="56"/>
      <c r="W738" s="56"/>
      <c r="X738" s="56"/>
      <c r="Y738" s="56"/>
      <c r="Z738" s="56"/>
      <c r="AA738" s="56"/>
      <c r="AB738" s="56"/>
      <c r="AC738" s="56"/>
    </row>
    <row r="739" spans="1:29" ht="15.75" customHeight="1">
      <c r="A739" s="39" t="s">
        <v>2283</v>
      </c>
      <c r="B739" s="107">
        <v>43683</v>
      </c>
      <c r="C739" s="109">
        <v>43691</v>
      </c>
      <c r="D739" s="76" t="s">
        <v>479</v>
      </c>
      <c r="E739" s="76" t="s">
        <v>53</v>
      </c>
      <c r="F739" s="39" t="s">
        <v>2284</v>
      </c>
      <c r="G739" s="399">
        <f>IFERROR(VLOOKUP(A739,醫療院所DATABASE!A:B,2,""),)</f>
        <v>0</v>
      </c>
      <c r="H739" s="64"/>
      <c r="I739" s="109">
        <v>43677</v>
      </c>
      <c r="J739" s="109">
        <v>43679</v>
      </c>
      <c r="K739" s="39" t="s">
        <v>3013</v>
      </c>
      <c r="L739" s="76" t="s">
        <v>3014</v>
      </c>
      <c r="M739" s="49" t="s">
        <v>61</v>
      </c>
      <c r="N739" s="39" t="s">
        <v>51</v>
      </c>
      <c r="O739" s="24"/>
      <c r="P739" s="409" t="s">
        <v>3015</v>
      </c>
      <c r="Q739" s="76" t="s">
        <v>64</v>
      </c>
      <c r="R739" s="76" t="s">
        <v>1885</v>
      </c>
      <c r="S739" s="24"/>
      <c r="T739" s="24"/>
      <c r="U739" s="64"/>
      <c r="V739" s="56"/>
      <c r="W739" s="56"/>
      <c r="X739" s="56"/>
      <c r="Y739" s="56"/>
      <c r="Z739" s="56"/>
      <c r="AA739" s="56"/>
      <c r="AB739" s="56"/>
      <c r="AC739" s="56"/>
    </row>
    <row r="740" spans="1:29" ht="15.75" customHeight="1">
      <c r="A740" s="39" t="s">
        <v>2283</v>
      </c>
      <c r="B740" s="107">
        <v>43683</v>
      </c>
      <c r="C740" s="109">
        <v>43691</v>
      </c>
      <c r="D740" s="76" t="s">
        <v>479</v>
      </c>
      <c r="E740" s="76" t="s">
        <v>53</v>
      </c>
      <c r="F740" s="39" t="s">
        <v>2284</v>
      </c>
      <c r="G740" s="399">
        <f>IFERROR(VLOOKUP(A740,醫療院所DATABASE!A:B,2,""),)</f>
        <v>0</v>
      </c>
      <c r="H740" s="64"/>
      <c r="I740" s="109">
        <v>43677</v>
      </c>
      <c r="J740" s="109">
        <v>43679</v>
      </c>
      <c r="K740" s="39" t="s">
        <v>3016</v>
      </c>
      <c r="L740" s="76" t="s">
        <v>3017</v>
      </c>
      <c r="M740" s="49" t="s">
        <v>61</v>
      </c>
      <c r="N740" s="39" t="s">
        <v>51</v>
      </c>
      <c r="O740" s="24"/>
      <c r="P740" s="409" t="s">
        <v>3018</v>
      </c>
      <c r="Q740" s="76" t="s">
        <v>64</v>
      </c>
      <c r="R740" s="76" t="s">
        <v>1885</v>
      </c>
      <c r="S740" s="24"/>
      <c r="T740" s="24"/>
      <c r="U740" s="64"/>
      <c r="V740" s="56"/>
      <c r="W740" s="56"/>
      <c r="X740" s="56"/>
      <c r="Y740" s="56"/>
      <c r="Z740" s="56"/>
      <c r="AA740" s="56"/>
      <c r="AB740" s="56"/>
      <c r="AC740" s="56"/>
    </row>
    <row r="741" spans="1:29" ht="15.75" customHeight="1">
      <c r="A741" s="39" t="s">
        <v>2283</v>
      </c>
      <c r="B741" s="107">
        <v>43683</v>
      </c>
      <c r="C741" s="109">
        <v>43691</v>
      </c>
      <c r="D741" s="76" t="s">
        <v>479</v>
      </c>
      <c r="E741" s="76" t="s">
        <v>53</v>
      </c>
      <c r="F741" s="39" t="s">
        <v>2284</v>
      </c>
      <c r="G741" s="399">
        <f>IFERROR(VLOOKUP(A741,醫療院所DATABASE!A:B,2,""),)</f>
        <v>0</v>
      </c>
      <c r="H741" s="64"/>
      <c r="I741" s="109">
        <v>43677</v>
      </c>
      <c r="J741" s="109">
        <v>43679</v>
      </c>
      <c r="K741" s="39" t="s">
        <v>3019</v>
      </c>
      <c r="L741" s="76" t="s">
        <v>3020</v>
      </c>
      <c r="M741" s="49" t="s">
        <v>61</v>
      </c>
      <c r="N741" s="39" t="s">
        <v>51</v>
      </c>
      <c r="O741" s="24"/>
      <c r="P741" s="409" t="s">
        <v>3021</v>
      </c>
      <c r="Q741" s="76" t="s">
        <v>64</v>
      </c>
      <c r="R741" s="76" t="s">
        <v>1885</v>
      </c>
      <c r="S741" s="24"/>
      <c r="T741" s="24"/>
      <c r="U741" s="64"/>
      <c r="V741" s="56"/>
      <c r="W741" s="56"/>
      <c r="X741" s="56"/>
      <c r="Y741" s="56"/>
      <c r="Z741" s="56"/>
      <c r="AA741" s="56"/>
      <c r="AB741" s="56"/>
      <c r="AC741" s="56"/>
    </row>
    <row r="742" spans="1:29" ht="15.75" customHeight="1">
      <c r="A742" s="39" t="s">
        <v>2283</v>
      </c>
      <c r="B742" s="107">
        <v>43683</v>
      </c>
      <c r="C742" s="109">
        <v>43691</v>
      </c>
      <c r="D742" s="76" t="s">
        <v>479</v>
      </c>
      <c r="E742" s="76" t="s">
        <v>53</v>
      </c>
      <c r="F742" s="39" t="s">
        <v>2284</v>
      </c>
      <c r="G742" s="399">
        <f>IFERROR(VLOOKUP(A742,醫療院所DATABASE!A:B,2,""),)</f>
        <v>0</v>
      </c>
      <c r="H742" s="64"/>
      <c r="I742" s="109">
        <v>43677</v>
      </c>
      <c r="J742" s="109">
        <v>43679</v>
      </c>
      <c r="K742" s="39" t="s">
        <v>3022</v>
      </c>
      <c r="L742" s="76" t="s">
        <v>3023</v>
      </c>
      <c r="M742" s="49" t="s">
        <v>61</v>
      </c>
      <c r="N742" s="39" t="s">
        <v>51</v>
      </c>
      <c r="O742" s="24"/>
      <c r="P742" s="409" t="s">
        <v>3024</v>
      </c>
      <c r="Q742" s="76" t="s">
        <v>64</v>
      </c>
      <c r="R742" s="76" t="s">
        <v>1885</v>
      </c>
      <c r="S742" s="24"/>
      <c r="T742" s="24"/>
      <c r="U742" s="64"/>
      <c r="V742" s="56"/>
      <c r="W742" s="56"/>
      <c r="X742" s="56"/>
      <c r="Y742" s="56"/>
      <c r="Z742" s="56"/>
      <c r="AA742" s="56"/>
      <c r="AB742" s="56"/>
      <c r="AC742" s="56"/>
    </row>
    <row r="743" spans="1:29" ht="15.75" customHeight="1">
      <c r="A743" s="39" t="s">
        <v>2283</v>
      </c>
      <c r="B743" s="107">
        <v>43683</v>
      </c>
      <c r="C743" s="109">
        <v>43691</v>
      </c>
      <c r="D743" s="76" t="s">
        <v>479</v>
      </c>
      <c r="E743" s="76" t="s">
        <v>53</v>
      </c>
      <c r="F743" s="39" t="s">
        <v>2284</v>
      </c>
      <c r="G743" s="399">
        <f>IFERROR(VLOOKUP(A743,醫療院所DATABASE!A:B,2,""),)</f>
        <v>0</v>
      </c>
      <c r="H743" s="64"/>
      <c r="I743" s="109">
        <v>43677</v>
      </c>
      <c r="J743" s="109">
        <v>43679</v>
      </c>
      <c r="K743" s="39" t="s">
        <v>3025</v>
      </c>
      <c r="L743" s="76" t="s">
        <v>3026</v>
      </c>
      <c r="M743" s="49" t="s">
        <v>61</v>
      </c>
      <c r="N743" s="39" t="s">
        <v>51</v>
      </c>
      <c r="O743" s="24"/>
      <c r="P743" s="409" t="s">
        <v>3027</v>
      </c>
      <c r="Q743" s="76" t="s">
        <v>64</v>
      </c>
      <c r="R743" s="76" t="s">
        <v>1885</v>
      </c>
      <c r="S743" s="24"/>
      <c r="T743" s="24"/>
      <c r="U743" s="64"/>
      <c r="V743" s="56"/>
      <c r="W743" s="56"/>
      <c r="X743" s="56"/>
      <c r="Y743" s="56"/>
      <c r="Z743" s="56"/>
      <c r="AA743" s="56"/>
      <c r="AB743" s="56"/>
      <c r="AC743" s="56"/>
    </row>
    <row r="744" spans="1:29" ht="15.75" customHeight="1">
      <c r="A744" s="39" t="s">
        <v>2283</v>
      </c>
      <c r="B744" s="107">
        <v>43683</v>
      </c>
      <c r="C744" s="109">
        <v>43691</v>
      </c>
      <c r="D744" s="76" t="s">
        <v>479</v>
      </c>
      <c r="E744" s="76" t="s">
        <v>53</v>
      </c>
      <c r="F744" s="39" t="s">
        <v>2284</v>
      </c>
      <c r="G744" s="399">
        <f>IFERROR(VLOOKUP(A744,醫療院所DATABASE!A:B,2,""),)</f>
        <v>0</v>
      </c>
      <c r="H744" s="64"/>
      <c r="I744" s="109">
        <v>43677</v>
      </c>
      <c r="J744" s="109">
        <v>43679</v>
      </c>
      <c r="K744" s="39" t="s">
        <v>3028</v>
      </c>
      <c r="L744" s="76" t="s">
        <v>3029</v>
      </c>
      <c r="M744" s="49" t="s">
        <v>61</v>
      </c>
      <c r="N744" s="39" t="s">
        <v>62</v>
      </c>
      <c r="O744" s="24"/>
      <c r="P744" s="409" t="s">
        <v>3030</v>
      </c>
      <c r="Q744" s="76" t="s">
        <v>64</v>
      </c>
      <c r="R744" s="76" t="s">
        <v>1885</v>
      </c>
      <c r="S744" s="24"/>
      <c r="T744" s="24"/>
      <c r="U744" s="64"/>
      <c r="V744" s="56"/>
      <c r="W744" s="56"/>
      <c r="X744" s="56"/>
      <c r="Y744" s="56"/>
      <c r="Z744" s="56"/>
      <c r="AA744" s="56"/>
      <c r="AB744" s="56"/>
      <c r="AC744" s="56"/>
    </row>
    <row r="745" spans="1:29" ht="15.75" customHeight="1">
      <c r="A745" s="39" t="s">
        <v>2283</v>
      </c>
      <c r="B745" s="107">
        <v>43683</v>
      </c>
      <c r="C745" s="109">
        <v>43691</v>
      </c>
      <c r="D745" s="76" t="s">
        <v>479</v>
      </c>
      <c r="E745" s="76" t="s">
        <v>53</v>
      </c>
      <c r="F745" s="39" t="s">
        <v>2284</v>
      </c>
      <c r="G745" s="399">
        <f>IFERROR(VLOOKUP(A745,醫療院所DATABASE!A:B,2,""),)</f>
        <v>0</v>
      </c>
      <c r="H745" s="64"/>
      <c r="I745" s="109">
        <v>43677</v>
      </c>
      <c r="J745" s="109">
        <v>43679</v>
      </c>
      <c r="K745" s="39" t="s">
        <v>3031</v>
      </c>
      <c r="L745" s="76" t="s">
        <v>3032</v>
      </c>
      <c r="M745" s="49" t="s">
        <v>61</v>
      </c>
      <c r="N745" s="39" t="s">
        <v>62</v>
      </c>
      <c r="O745" s="24"/>
      <c r="P745" s="409" t="s">
        <v>3033</v>
      </c>
      <c r="Q745" s="76" t="s">
        <v>64</v>
      </c>
      <c r="R745" s="76" t="s">
        <v>1885</v>
      </c>
      <c r="S745" s="24"/>
      <c r="T745" s="24"/>
      <c r="U745" s="64"/>
      <c r="V745" s="56"/>
      <c r="W745" s="56"/>
      <c r="X745" s="56"/>
      <c r="Y745" s="56"/>
      <c r="Z745" s="56"/>
      <c r="AA745" s="56"/>
      <c r="AB745" s="56"/>
      <c r="AC745" s="56"/>
    </row>
    <row r="746" spans="1:29" ht="15.75" customHeight="1">
      <c r="A746" s="39" t="s">
        <v>3034</v>
      </c>
      <c r="B746" s="107">
        <v>43678</v>
      </c>
      <c r="C746" s="109">
        <v>43679</v>
      </c>
      <c r="D746" s="76" t="s">
        <v>543</v>
      </c>
      <c r="E746" s="76" t="s">
        <v>53</v>
      </c>
      <c r="F746" s="39" t="s">
        <v>3035</v>
      </c>
      <c r="G746" s="399">
        <f>IFERROR(VLOOKUP(A746,醫療院所DATABASE!A:B,2,""),)</f>
        <v>0</v>
      </c>
      <c r="H746" s="64"/>
      <c r="I746" s="109">
        <v>43677</v>
      </c>
      <c r="J746" s="109">
        <v>43679</v>
      </c>
      <c r="K746" s="39" t="s">
        <v>3036</v>
      </c>
      <c r="L746" s="76" t="s">
        <v>3037</v>
      </c>
      <c r="M746" s="49" t="s">
        <v>61</v>
      </c>
      <c r="N746" s="39" t="s">
        <v>62</v>
      </c>
      <c r="O746" s="24"/>
      <c r="P746" s="409" t="s">
        <v>3038</v>
      </c>
      <c r="Q746" s="76" t="s">
        <v>1931</v>
      </c>
      <c r="R746" s="76" t="s">
        <v>1885</v>
      </c>
      <c r="S746" s="24"/>
      <c r="T746" s="24"/>
      <c r="U746" s="76" t="s">
        <v>3039</v>
      </c>
      <c r="V746" s="56"/>
      <c r="W746" s="56"/>
      <c r="X746" s="56"/>
      <c r="Y746" s="56"/>
      <c r="Z746" s="56"/>
      <c r="AA746" s="56"/>
      <c r="AB746" s="56"/>
      <c r="AC746" s="56"/>
    </row>
    <row r="747" spans="1:29" ht="15.75" customHeight="1">
      <c r="A747" s="39" t="s">
        <v>3034</v>
      </c>
      <c r="B747" s="107">
        <v>43678</v>
      </c>
      <c r="C747" s="109">
        <v>43679</v>
      </c>
      <c r="D747" s="76" t="s">
        <v>543</v>
      </c>
      <c r="E747" s="76" t="s">
        <v>53</v>
      </c>
      <c r="F747" s="39" t="s">
        <v>3035</v>
      </c>
      <c r="G747" s="399">
        <f>IFERROR(VLOOKUP(A747,醫療院所DATABASE!A:B,2,""),)</f>
        <v>0</v>
      </c>
      <c r="H747" s="64"/>
      <c r="I747" s="109">
        <v>43677</v>
      </c>
      <c r="J747" s="109">
        <v>43679</v>
      </c>
      <c r="K747" s="39" t="s">
        <v>3040</v>
      </c>
      <c r="L747" s="76" t="s">
        <v>3041</v>
      </c>
      <c r="M747" s="49" t="s">
        <v>61</v>
      </c>
      <c r="N747" s="39" t="s">
        <v>62</v>
      </c>
      <c r="O747" s="24"/>
      <c r="P747" s="409" t="s">
        <v>3042</v>
      </c>
      <c r="Q747" s="76" t="s">
        <v>1931</v>
      </c>
      <c r="R747" s="76" t="s">
        <v>1885</v>
      </c>
      <c r="S747" s="24"/>
      <c r="T747" s="24"/>
      <c r="U747" s="76" t="s">
        <v>3039</v>
      </c>
      <c r="V747" s="56"/>
      <c r="W747" s="56"/>
      <c r="X747" s="56"/>
      <c r="Y747" s="56"/>
      <c r="Z747" s="56"/>
      <c r="AA747" s="56"/>
      <c r="AB747" s="56"/>
      <c r="AC747" s="56"/>
    </row>
    <row r="748" spans="1:29" ht="15.75" customHeight="1">
      <c r="A748" s="39" t="s">
        <v>3043</v>
      </c>
      <c r="B748" s="107">
        <v>43678</v>
      </c>
      <c r="C748" s="109">
        <v>43679</v>
      </c>
      <c r="D748" s="76" t="s">
        <v>543</v>
      </c>
      <c r="E748" s="76" t="s">
        <v>53</v>
      </c>
      <c r="F748" s="39" t="s">
        <v>3035</v>
      </c>
      <c r="G748" s="399">
        <f>IFERROR(VLOOKUP(A748,醫療院所DATABASE!A:B,2,""),)</f>
        <v>0</v>
      </c>
      <c r="H748" s="64"/>
      <c r="I748" s="109">
        <v>43677</v>
      </c>
      <c r="J748" s="109">
        <v>43679</v>
      </c>
      <c r="K748" s="39" t="s">
        <v>3044</v>
      </c>
      <c r="L748" s="76" t="s">
        <v>3045</v>
      </c>
      <c r="M748" s="49" t="s">
        <v>61</v>
      </c>
      <c r="N748" s="39" t="s">
        <v>51</v>
      </c>
      <c r="O748" s="24"/>
      <c r="P748" s="409" t="s">
        <v>3046</v>
      </c>
      <c r="Q748" s="76" t="s">
        <v>1931</v>
      </c>
      <c r="R748" s="76" t="s">
        <v>1885</v>
      </c>
      <c r="S748" s="24"/>
      <c r="T748" s="24"/>
      <c r="U748" s="76" t="s">
        <v>3039</v>
      </c>
      <c r="V748" s="56"/>
      <c r="W748" s="56"/>
      <c r="X748" s="56"/>
      <c r="Y748" s="56"/>
      <c r="Z748" s="56"/>
      <c r="AA748" s="56"/>
      <c r="AB748" s="56"/>
      <c r="AC748" s="56"/>
    </row>
    <row r="749" spans="1:29" ht="15.75" customHeight="1">
      <c r="A749" s="39" t="s">
        <v>3047</v>
      </c>
      <c r="B749" s="107">
        <v>43679</v>
      </c>
      <c r="C749" s="109">
        <v>43682</v>
      </c>
      <c r="D749" s="76" t="s">
        <v>665</v>
      </c>
      <c r="E749" s="76" t="s">
        <v>53</v>
      </c>
      <c r="F749" s="39" t="s">
        <v>2939</v>
      </c>
      <c r="G749" s="399">
        <f>IFERROR(VLOOKUP(A749,醫療院所DATABASE!A:B,2,""),)</f>
        <v>0</v>
      </c>
      <c r="H749" s="76" t="s">
        <v>3048</v>
      </c>
      <c r="I749" s="109">
        <v>43678</v>
      </c>
      <c r="J749" s="109">
        <v>43682</v>
      </c>
      <c r="K749" s="39" t="s">
        <v>3049</v>
      </c>
      <c r="L749" s="76" t="s">
        <v>3050</v>
      </c>
      <c r="M749" s="49" t="s">
        <v>61</v>
      </c>
      <c r="N749" s="39" t="s">
        <v>62</v>
      </c>
      <c r="O749" s="24"/>
      <c r="P749" s="409" t="s">
        <v>3051</v>
      </c>
      <c r="Q749" s="76" t="s">
        <v>64</v>
      </c>
      <c r="R749" s="76" t="s">
        <v>1885</v>
      </c>
      <c r="S749" s="24"/>
      <c r="T749" s="24"/>
      <c r="U749" s="76" t="s">
        <v>3052</v>
      </c>
      <c r="V749" s="56"/>
      <c r="W749" s="56"/>
      <c r="X749" s="56"/>
      <c r="Y749" s="56"/>
      <c r="Z749" s="56"/>
      <c r="AA749" s="56"/>
      <c r="AB749" s="56"/>
      <c r="AC749" s="56"/>
    </row>
    <row r="750" spans="1:29" ht="15.75" customHeight="1">
      <c r="A750" s="39" t="s">
        <v>3047</v>
      </c>
      <c r="B750" s="107">
        <v>43679</v>
      </c>
      <c r="C750" s="109">
        <v>43682</v>
      </c>
      <c r="D750" s="76" t="s">
        <v>665</v>
      </c>
      <c r="E750" s="76" t="s">
        <v>53</v>
      </c>
      <c r="F750" s="39" t="s">
        <v>2939</v>
      </c>
      <c r="G750" s="399">
        <f>IFERROR(VLOOKUP(A750,醫療院所DATABASE!A:B,2,""),)</f>
        <v>0</v>
      </c>
      <c r="H750" s="175" t="s">
        <v>3050</v>
      </c>
      <c r="I750" s="109">
        <v>43678</v>
      </c>
      <c r="J750" s="109">
        <v>43682</v>
      </c>
      <c r="K750" s="39" t="s">
        <v>3053</v>
      </c>
      <c r="L750" s="76" t="s">
        <v>3048</v>
      </c>
      <c r="M750" s="49" t="s">
        <v>61</v>
      </c>
      <c r="N750" s="39" t="s">
        <v>51</v>
      </c>
      <c r="O750" s="24"/>
      <c r="P750" s="409" t="s">
        <v>3054</v>
      </c>
      <c r="Q750" s="76" t="s">
        <v>64</v>
      </c>
      <c r="R750" s="76" t="s">
        <v>1885</v>
      </c>
      <c r="S750" s="24"/>
      <c r="T750" s="24"/>
      <c r="U750" s="76" t="s">
        <v>3052</v>
      </c>
      <c r="V750" s="56"/>
      <c r="W750" s="56"/>
      <c r="X750" s="56"/>
      <c r="Y750" s="56"/>
      <c r="Z750" s="56"/>
      <c r="AA750" s="56"/>
      <c r="AB750" s="56"/>
      <c r="AC750" s="56"/>
    </row>
    <row r="751" spans="1:29" ht="15.75" customHeight="1">
      <c r="A751" s="39" t="s">
        <v>3055</v>
      </c>
      <c r="B751" s="107">
        <v>43679</v>
      </c>
      <c r="C751" s="109">
        <v>43682</v>
      </c>
      <c r="D751" s="76" t="s">
        <v>366</v>
      </c>
      <c r="E751" s="76" t="s">
        <v>53</v>
      </c>
      <c r="F751" s="129" t="s">
        <v>1761</v>
      </c>
      <c r="G751" s="399">
        <f>IFERROR(VLOOKUP(A751,醫療院所DATABASE!A:B,2,""),)</f>
        <v>0</v>
      </c>
      <c r="H751" s="76"/>
      <c r="I751" s="109">
        <v>43678</v>
      </c>
      <c r="J751" s="109">
        <v>43682</v>
      </c>
      <c r="K751" s="39" t="s">
        <v>3056</v>
      </c>
      <c r="L751" s="76" t="s">
        <v>3057</v>
      </c>
      <c r="M751" s="49" t="s">
        <v>61</v>
      </c>
      <c r="N751" s="39" t="s">
        <v>51</v>
      </c>
      <c r="O751" s="24"/>
      <c r="P751" s="409" t="s">
        <v>3058</v>
      </c>
      <c r="Q751" s="76" t="s">
        <v>64</v>
      </c>
      <c r="R751" s="76" t="s">
        <v>1885</v>
      </c>
      <c r="S751" s="24"/>
      <c r="T751" s="24"/>
      <c r="U751" s="64"/>
      <c r="V751" s="56"/>
      <c r="W751" s="56"/>
      <c r="X751" s="56"/>
      <c r="Y751" s="56"/>
      <c r="Z751" s="56"/>
      <c r="AA751" s="56"/>
      <c r="AB751" s="56"/>
      <c r="AC751" s="56"/>
    </row>
    <row r="752" spans="1:29" ht="15.75" customHeight="1">
      <c r="A752" s="39" t="s">
        <v>3055</v>
      </c>
      <c r="B752" s="107">
        <v>43682</v>
      </c>
      <c r="C752" s="109">
        <v>43683</v>
      </c>
      <c r="D752" s="76" t="s">
        <v>366</v>
      </c>
      <c r="E752" s="76" t="s">
        <v>53</v>
      </c>
      <c r="F752" s="129" t="s">
        <v>1761</v>
      </c>
      <c r="G752" s="399">
        <f>IFERROR(VLOOKUP(A752,醫療院所DATABASE!A:B,2,""),)</f>
        <v>0</v>
      </c>
      <c r="H752" s="64"/>
      <c r="I752" s="109">
        <v>43678</v>
      </c>
      <c r="J752" s="109">
        <v>43682</v>
      </c>
      <c r="K752" s="39" t="s">
        <v>3059</v>
      </c>
      <c r="L752" s="76" t="s">
        <v>3060</v>
      </c>
      <c r="M752" s="49" t="s">
        <v>61</v>
      </c>
      <c r="N752" s="39" t="s">
        <v>51</v>
      </c>
      <c r="O752" s="24"/>
      <c r="P752" s="409" t="s">
        <v>3061</v>
      </c>
      <c r="Q752" s="76" t="s">
        <v>64</v>
      </c>
      <c r="R752" s="76" t="s">
        <v>1885</v>
      </c>
      <c r="S752" s="24"/>
      <c r="T752" s="24"/>
      <c r="U752" s="64"/>
      <c r="V752" s="56"/>
      <c r="W752" s="56"/>
      <c r="X752" s="56"/>
      <c r="Y752" s="56"/>
      <c r="Z752" s="56"/>
      <c r="AA752" s="56"/>
      <c r="AB752" s="56"/>
      <c r="AC752" s="56"/>
    </row>
    <row r="753" spans="1:29" ht="15.75" customHeight="1">
      <c r="A753" s="39" t="s">
        <v>3055</v>
      </c>
      <c r="B753" s="107">
        <v>43682</v>
      </c>
      <c r="C753" s="109">
        <v>43683</v>
      </c>
      <c r="D753" s="76" t="s">
        <v>366</v>
      </c>
      <c r="E753" s="76" t="s">
        <v>53</v>
      </c>
      <c r="F753" s="129" t="s">
        <v>1761</v>
      </c>
      <c r="G753" s="399">
        <f>IFERROR(VLOOKUP(A753,醫療院所DATABASE!A:B,2,""),)</f>
        <v>0</v>
      </c>
      <c r="H753" s="64"/>
      <c r="I753" s="109">
        <v>43678</v>
      </c>
      <c r="J753" s="109">
        <v>43682</v>
      </c>
      <c r="K753" s="39" t="s">
        <v>3062</v>
      </c>
      <c r="L753" s="76" t="s">
        <v>3063</v>
      </c>
      <c r="M753" s="49" t="s">
        <v>61</v>
      </c>
      <c r="N753" s="39" t="s">
        <v>62</v>
      </c>
      <c r="O753" s="24"/>
      <c r="P753" s="409" t="s">
        <v>3064</v>
      </c>
      <c r="Q753" s="76" t="s">
        <v>64</v>
      </c>
      <c r="R753" s="76" t="s">
        <v>1885</v>
      </c>
      <c r="S753" s="24"/>
      <c r="T753" s="24"/>
      <c r="U753" s="64"/>
      <c r="V753" s="56"/>
      <c r="W753" s="56"/>
      <c r="X753" s="56"/>
      <c r="Y753" s="56"/>
      <c r="Z753" s="56"/>
      <c r="AA753" s="56"/>
      <c r="AB753" s="56"/>
      <c r="AC753" s="56"/>
    </row>
    <row r="754" spans="1:29" ht="15.75" customHeight="1">
      <c r="A754" s="39" t="s">
        <v>3055</v>
      </c>
      <c r="B754" s="107">
        <v>43679</v>
      </c>
      <c r="C754" s="109">
        <v>43682</v>
      </c>
      <c r="D754" s="76" t="s">
        <v>366</v>
      </c>
      <c r="E754" s="76" t="s">
        <v>53</v>
      </c>
      <c r="F754" s="129" t="s">
        <v>1761</v>
      </c>
      <c r="G754" s="399">
        <f>IFERROR(VLOOKUP(A754,醫療院所DATABASE!A:B,2,""),)</f>
        <v>0</v>
      </c>
      <c r="H754" s="64"/>
      <c r="I754" s="109">
        <v>43678</v>
      </c>
      <c r="J754" s="109">
        <v>43682</v>
      </c>
      <c r="K754" s="39" t="s">
        <v>3065</v>
      </c>
      <c r="L754" s="76" t="s">
        <v>3066</v>
      </c>
      <c r="M754" s="49" t="s">
        <v>61</v>
      </c>
      <c r="N754" s="39" t="s">
        <v>51</v>
      </c>
      <c r="O754" s="24"/>
      <c r="P754" s="409" t="s">
        <v>3067</v>
      </c>
      <c r="Q754" s="76" t="s">
        <v>64</v>
      </c>
      <c r="R754" s="76" t="s">
        <v>1885</v>
      </c>
      <c r="S754" s="24"/>
      <c r="T754" s="24"/>
      <c r="U754" s="64"/>
      <c r="V754" s="56"/>
      <c r="W754" s="56"/>
      <c r="X754" s="56"/>
      <c r="Y754" s="56"/>
      <c r="Z754" s="56"/>
      <c r="AA754" s="56"/>
      <c r="AB754" s="56"/>
      <c r="AC754" s="56"/>
    </row>
    <row r="755" spans="1:29" ht="15.75" customHeight="1">
      <c r="A755" s="39" t="s">
        <v>3055</v>
      </c>
      <c r="B755" s="107">
        <v>43682</v>
      </c>
      <c r="C755" s="109">
        <v>43683</v>
      </c>
      <c r="D755" s="76" t="s">
        <v>366</v>
      </c>
      <c r="E755" s="76" t="s">
        <v>53</v>
      </c>
      <c r="F755" s="129" t="s">
        <v>1761</v>
      </c>
      <c r="G755" s="399">
        <f>IFERROR(VLOOKUP(A755,醫療院所DATABASE!A:B,2,""),)</f>
        <v>0</v>
      </c>
      <c r="H755" s="64"/>
      <c r="I755" s="109">
        <v>43678</v>
      </c>
      <c r="J755" s="109">
        <v>43682</v>
      </c>
      <c r="K755" s="39" t="s">
        <v>3068</v>
      </c>
      <c r="L755" s="76" t="s">
        <v>3069</v>
      </c>
      <c r="M755" s="49" t="s">
        <v>61</v>
      </c>
      <c r="N755" s="39" t="s">
        <v>62</v>
      </c>
      <c r="O755" s="24"/>
      <c r="P755" s="409" t="s">
        <v>3070</v>
      </c>
      <c r="Q755" s="76" t="s">
        <v>64</v>
      </c>
      <c r="R755" s="76" t="s">
        <v>1885</v>
      </c>
      <c r="S755" s="24"/>
      <c r="T755" s="24"/>
      <c r="U755" s="64"/>
      <c r="V755" s="56"/>
      <c r="W755" s="56"/>
      <c r="X755" s="56"/>
      <c r="Y755" s="56"/>
      <c r="Z755" s="56"/>
      <c r="AA755" s="56"/>
      <c r="AB755" s="56"/>
      <c r="AC755" s="56"/>
    </row>
    <row r="756" spans="1:29" ht="15.75" customHeight="1">
      <c r="A756" s="39" t="s">
        <v>3055</v>
      </c>
      <c r="B756" s="107">
        <v>43679</v>
      </c>
      <c r="C756" s="109">
        <v>43682</v>
      </c>
      <c r="D756" s="76" t="s">
        <v>366</v>
      </c>
      <c r="E756" s="76" t="s">
        <v>53</v>
      </c>
      <c r="F756" s="129" t="s">
        <v>1761</v>
      </c>
      <c r="G756" s="399">
        <f>IFERROR(VLOOKUP(A756,醫療院所DATABASE!A:B,2,""),)</f>
        <v>0</v>
      </c>
      <c r="H756" s="64"/>
      <c r="I756" s="109">
        <v>43678</v>
      </c>
      <c r="J756" s="109">
        <v>43682</v>
      </c>
      <c r="K756" s="39" t="s">
        <v>3071</v>
      </c>
      <c r="L756" s="76" t="s">
        <v>3072</v>
      </c>
      <c r="M756" s="49" t="s">
        <v>61</v>
      </c>
      <c r="N756" s="39" t="s">
        <v>62</v>
      </c>
      <c r="O756" s="24"/>
      <c r="P756" s="409" t="s">
        <v>3073</v>
      </c>
      <c r="Q756" s="76" t="s">
        <v>64</v>
      </c>
      <c r="R756" s="76" t="s">
        <v>1885</v>
      </c>
      <c r="S756" s="24"/>
      <c r="T756" s="24"/>
      <c r="U756" s="64"/>
      <c r="V756" s="56"/>
      <c r="W756" s="56"/>
      <c r="X756" s="56"/>
      <c r="Y756" s="56"/>
      <c r="Z756" s="56"/>
      <c r="AA756" s="56"/>
      <c r="AB756" s="56"/>
      <c r="AC756" s="56"/>
    </row>
    <row r="757" spans="1:29" ht="15.75" customHeight="1">
      <c r="A757" s="39" t="s">
        <v>3055</v>
      </c>
      <c r="B757" s="107">
        <v>43679</v>
      </c>
      <c r="C757" s="109">
        <v>43682</v>
      </c>
      <c r="D757" s="76" t="s">
        <v>366</v>
      </c>
      <c r="E757" s="76" t="s">
        <v>53</v>
      </c>
      <c r="F757" s="129" t="s">
        <v>1761</v>
      </c>
      <c r="G757" s="399">
        <f>IFERROR(VLOOKUP(A757,醫療院所DATABASE!A:B,2,""),)</f>
        <v>0</v>
      </c>
      <c r="H757" s="64"/>
      <c r="I757" s="109">
        <v>43678</v>
      </c>
      <c r="J757" s="109">
        <v>43682</v>
      </c>
      <c r="K757" s="39" t="s">
        <v>3074</v>
      </c>
      <c r="L757" s="76" t="s">
        <v>3075</v>
      </c>
      <c r="M757" s="49" t="s">
        <v>61</v>
      </c>
      <c r="N757" s="39" t="s">
        <v>62</v>
      </c>
      <c r="O757" s="24"/>
      <c r="P757" s="409" t="s">
        <v>3076</v>
      </c>
      <c r="Q757" s="76" t="s">
        <v>64</v>
      </c>
      <c r="R757" s="76" t="s">
        <v>1885</v>
      </c>
      <c r="S757" s="24"/>
      <c r="T757" s="24"/>
      <c r="U757" s="64"/>
      <c r="V757" s="56"/>
      <c r="W757" s="56"/>
      <c r="X757" s="56"/>
      <c r="Y757" s="56"/>
      <c r="Z757" s="56"/>
      <c r="AA757" s="56"/>
      <c r="AB757" s="56"/>
      <c r="AC757" s="56"/>
    </row>
    <row r="758" spans="1:29" ht="15.75" customHeight="1">
      <c r="A758" s="39" t="s">
        <v>3055</v>
      </c>
      <c r="B758" s="107">
        <v>43679</v>
      </c>
      <c r="C758" s="109">
        <v>43682</v>
      </c>
      <c r="D758" s="76" t="s">
        <v>366</v>
      </c>
      <c r="E758" s="76" t="s">
        <v>53</v>
      </c>
      <c r="F758" s="129" t="s">
        <v>1761</v>
      </c>
      <c r="G758" s="399">
        <f>IFERROR(VLOOKUP(A758,醫療院所DATABASE!A:B,2,""),)</f>
        <v>0</v>
      </c>
      <c r="H758" s="64"/>
      <c r="I758" s="109">
        <v>43678</v>
      </c>
      <c r="J758" s="109">
        <v>43682</v>
      </c>
      <c r="K758" s="39" t="s">
        <v>3077</v>
      </c>
      <c r="L758" s="76" t="s">
        <v>3078</v>
      </c>
      <c r="M758" s="49" t="s">
        <v>61</v>
      </c>
      <c r="N758" s="39" t="s">
        <v>51</v>
      </c>
      <c r="O758" s="24"/>
      <c r="P758" s="409" t="s">
        <v>3079</v>
      </c>
      <c r="Q758" s="76" t="s">
        <v>64</v>
      </c>
      <c r="R758" s="76" t="s">
        <v>1885</v>
      </c>
      <c r="S758" s="24"/>
      <c r="T758" s="24"/>
      <c r="U758" s="64"/>
      <c r="V758" s="56"/>
      <c r="W758" s="56"/>
      <c r="X758" s="56"/>
      <c r="Y758" s="56"/>
      <c r="Z758" s="56"/>
      <c r="AA758" s="56"/>
      <c r="AB758" s="56"/>
      <c r="AC758" s="56"/>
    </row>
    <row r="759" spans="1:29" ht="15.75" customHeight="1">
      <c r="A759" s="39" t="s">
        <v>3055</v>
      </c>
      <c r="B759" s="107">
        <v>43679</v>
      </c>
      <c r="C759" s="109">
        <v>43682</v>
      </c>
      <c r="D759" s="76" t="s">
        <v>366</v>
      </c>
      <c r="E759" s="76" t="s">
        <v>53</v>
      </c>
      <c r="F759" s="129" t="s">
        <v>1761</v>
      </c>
      <c r="G759" s="399">
        <f>IFERROR(VLOOKUP(A759,醫療院所DATABASE!A:B,2,""),)</f>
        <v>0</v>
      </c>
      <c r="H759" s="64"/>
      <c r="I759" s="109">
        <v>43678</v>
      </c>
      <c r="J759" s="109">
        <v>43682</v>
      </c>
      <c r="K759" s="39" t="s">
        <v>3080</v>
      </c>
      <c r="L759" s="76" t="s">
        <v>2151</v>
      </c>
      <c r="M759" s="49" t="s">
        <v>61</v>
      </c>
      <c r="N759" s="39" t="s">
        <v>62</v>
      </c>
      <c r="O759" s="24"/>
      <c r="P759" s="409" t="s">
        <v>3081</v>
      </c>
      <c r="Q759" s="76" t="s">
        <v>64</v>
      </c>
      <c r="R759" s="76" t="s">
        <v>1885</v>
      </c>
      <c r="S759" s="24"/>
      <c r="T759" s="24"/>
      <c r="U759" s="64"/>
      <c r="V759" s="56"/>
      <c r="W759" s="56"/>
      <c r="X759" s="56"/>
      <c r="Y759" s="56"/>
      <c r="Z759" s="56"/>
      <c r="AA759" s="56"/>
      <c r="AB759" s="56"/>
      <c r="AC759" s="56"/>
    </row>
    <row r="760" spans="1:29" ht="15.75" customHeight="1">
      <c r="A760" s="39" t="s">
        <v>3055</v>
      </c>
      <c r="B760" s="107">
        <v>43683</v>
      </c>
      <c r="C760" s="109">
        <v>43685</v>
      </c>
      <c r="D760" s="76" t="s">
        <v>366</v>
      </c>
      <c r="E760" s="76" t="s">
        <v>53</v>
      </c>
      <c r="F760" s="129" t="s">
        <v>1761</v>
      </c>
      <c r="G760" s="399">
        <f>IFERROR(VLOOKUP(A760,醫療院所DATABASE!A:B,2,""),)</f>
        <v>0</v>
      </c>
      <c r="H760" s="64"/>
      <c r="I760" s="109">
        <v>43678</v>
      </c>
      <c r="J760" s="109">
        <v>43682</v>
      </c>
      <c r="K760" s="39" t="s">
        <v>3082</v>
      </c>
      <c r="L760" s="76" t="s">
        <v>3083</v>
      </c>
      <c r="M760" s="49" t="s">
        <v>61</v>
      </c>
      <c r="N760" s="39" t="s">
        <v>62</v>
      </c>
      <c r="O760" s="24"/>
      <c r="P760" s="409" t="s">
        <v>3084</v>
      </c>
      <c r="Q760" s="76" t="s">
        <v>64</v>
      </c>
      <c r="R760" s="76" t="s">
        <v>1885</v>
      </c>
      <c r="S760" s="24"/>
      <c r="T760" s="24"/>
      <c r="U760" s="64"/>
      <c r="V760" s="56"/>
      <c r="W760" s="56"/>
      <c r="X760" s="56"/>
      <c r="Y760" s="56"/>
      <c r="Z760" s="56"/>
      <c r="AA760" s="56"/>
      <c r="AB760" s="56"/>
      <c r="AC760" s="56"/>
    </row>
    <row r="761" spans="1:29" ht="15.75" customHeight="1">
      <c r="A761" s="39" t="s">
        <v>3055</v>
      </c>
      <c r="B761" s="107">
        <v>43679</v>
      </c>
      <c r="C761" s="109">
        <v>43682</v>
      </c>
      <c r="D761" s="76" t="s">
        <v>366</v>
      </c>
      <c r="E761" s="76" t="s">
        <v>53</v>
      </c>
      <c r="F761" s="129" t="s">
        <v>1761</v>
      </c>
      <c r="G761" s="399">
        <f>IFERROR(VLOOKUP(A761,醫療院所DATABASE!A:B,2,""),)</f>
        <v>0</v>
      </c>
      <c r="H761" s="64"/>
      <c r="I761" s="109">
        <v>43678</v>
      </c>
      <c r="J761" s="109">
        <v>43682</v>
      </c>
      <c r="K761" s="39" t="s">
        <v>3085</v>
      </c>
      <c r="L761" s="76" t="s">
        <v>3086</v>
      </c>
      <c r="M761" s="49" t="s">
        <v>61</v>
      </c>
      <c r="N761" s="39" t="s">
        <v>51</v>
      </c>
      <c r="O761" s="24"/>
      <c r="P761" s="409" t="s">
        <v>3087</v>
      </c>
      <c r="Q761" s="76" t="s">
        <v>64</v>
      </c>
      <c r="R761" s="76" t="s">
        <v>1885</v>
      </c>
      <c r="S761" s="24"/>
      <c r="T761" s="24"/>
      <c r="U761" s="64"/>
      <c r="V761" s="56"/>
      <c r="W761" s="56"/>
      <c r="X761" s="56"/>
      <c r="Y761" s="56"/>
      <c r="Z761" s="56"/>
      <c r="AA761" s="56"/>
      <c r="AB761" s="56"/>
      <c r="AC761" s="56"/>
    </row>
    <row r="762" spans="1:29" ht="15.75" customHeight="1">
      <c r="A762" s="39" t="s">
        <v>3055</v>
      </c>
      <c r="B762" s="107">
        <v>43683</v>
      </c>
      <c r="C762" s="109">
        <v>43685</v>
      </c>
      <c r="D762" s="76" t="s">
        <v>366</v>
      </c>
      <c r="E762" s="76" t="s">
        <v>53</v>
      </c>
      <c r="F762" s="129" t="s">
        <v>1761</v>
      </c>
      <c r="G762" s="399">
        <f>IFERROR(VLOOKUP(A762,醫療院所DATABASE!A:B,2,""),)</f>
        <v>0</v>
      </c>
      <c r="H762" s="64"/>
      <c r="I762" s="109">
        <v>43678</v>
      </c>
      <c r="J762" s="109">
        <v>43682</v>
      </c>
      <c r="K762" s="39" t="s">
        <v>3088</v>
      </c>
      <c r="L762" s="76" t="s">
        <v>3089</v>
      </c>
      <c r="M762" s="49" t="s">
        <v>61</v>
      </c>
      <c r="N762" s="39" t="s">
        <v>62</v>
      </c>
      <c r="O762" s="24"/>
      <c r="P762" s="409" t="s">
        <v>3090</v>
      </c>
      <c r="Q762" s="76" t="s">
        <v>64</v>
      </c>
      <c r="R762" s="76" t="s">
        <v>1885</v>
      </c>
      <c r="S762" s="24"/>
      <c r="T762" s="24"/>
      <c r="U762" s="64"/>
      <c r="V762" s="56"/>
      <c r="W762" s="56"/>
      <c r="X762" s="56"/>
      <c r="Y762" s="56"/>
      <c r="Z762" s="56"/>
      <c r="AA762" s="56"/>
      <c r="AB762" s="56"/>
      <c r="AC762" s="56"/>
    </row>
    <row r="763" spans="1:29" ht="15.75" customHeight="1">
      <c r="A763" s="39" t="s">
        <v>3055</v>
      </c>
      <c r="B763" s="107">
        <v>43682</v>
      </c>
      <c r="C763" s="109">
        <v>43683</v>
      </c>
      <c r="D763" s="76" t="s">
        <v>366</v>
      </c>
      <c r="E763" s="76" t="s">
        <v>53</v>
      </c>
      <c r="F763" s="129" t="s">
        <v>1761</v>
      </c>
      <c r="G763" s="399">
        <f>IFERROR(VLOOKUP(A763,醫療院所DATABASE!A:B,2,""),)</f>
        <v>0</v>
      </c>
      <c r="H763" s="76" t="s">
        <v>3091</v>
      </c>
      <c r="I763" s="109">
        <v>43678</v>
      </c>
      <c r="J763" s="109">
        <v>43682</v>
      </c>
      <c r="K763" s="39" t="s">
        <v>3092</v>
      </c>
      <c r="L763" s="76" t="s">
        <v>3093</v>
      </c>
      <c r="M763" s="49" t="s">
        <v>61</v>
      </c>
      <c r="N763" s="39" t="s">
        <v>51</v>
      </c>
      <c r="O763" s="24"/>
      <c r="P763" s="409" t="s">
        <v>3094</v>
      </c>
      <c r="Q763" s="76" t="s">
        <v>64</v>
      </c>
      <c r="R763" s="76" t="s">
        <v>1885</v>
      </c>
      <c r="S763" s="24"/>
      <c r="T763" s="24"/>
      <c r="U763" s="76" t="s">
        <v>3095</v>
      </c>
      <c r="V763" s="56"/>
      <c r="W763" s="56"/>
      <c r="X763" s="56"/>
      <c r="Y763" s="56"/>
      <c r="Z763" s="56"/>
      <c r="AA763" s="56"/>
      <c r="AB763" s="56"/>
      <c r="AC763" s="56"/>
    </row>
    <row r="764" spans="1:29" ht="15.75" customHeight="1">
      <c r="A764" s="39" t="s">
        <v>3055</v>
      </c>
      <c r="B764" s="107">
        <v>43682</v>
      </c>
      <c r="C764" s="109">
        <v>43683</v>
      </c>
      <c r="D764" s="76" t="s">
        <v>366</v>
      </c>
      <c r="E764" s="76" t="s">
        <v>53</v>
      </c>
      <c r="F764" s="129" t="s">
        <v>1761</v>
      </c>
      <c r="G764" s="399">
        <f>IFERROR(VLOOKUP(A764,醫療院所DATABASE!A:B,2,""),)</f>
        <v>0</v>
      </c>
      <c r="H764" s="76" t="s">
        <v>3096</v>
      </c>
      <c r="I764" s="109">
        <v>43678</v>
      </c>
      <c r="J764" s="109">
        <v>43682</v>
      </c>
      <c r="K764" s="39" t="s">
        <v>3097</v>
      </c>
      <c r="L764" s="76" t="s">
        <v>3098</v>
      </c>
      <c r="M764" s="49" t="s">
        <v>61</v>
      </c>
      <c r="N764" s="39" t="s">
        <v>62</v>
      </c>
      <c r="O764" s="24"/>
      <c r="P764" s="409" t="s">
        <v>3099</v>
      </c>
      <c r="Q764" s="76" t="s">
        <v>64</v>
      </c>
      <c r="R764" s="76" t="s">
        <v>1885</v>
      </c>
      <c r="S764" s="24"/>
      <c r="T764" s="24"/>
      <c r="U764" s="64"/>
      <c r="V764" s="56"/>
      <c r="W764" s="56"/>
      <c r="X764" s="56"/>
      <c r="Y764" s="56"/>
      <c r="Z764" s="56"/>
      <c r="AA764" s="56"/>
      <c r="AB764" s="56"/>
      <c r="AC764" s="56"/>
    </row>
    <row r="765" spans="1:29" ht="15.75" customHeight="1">
      <c r="A765" s="39" t="s">
        <v>3055</v>
      </c>
      <c r="B765" s="107">
        <v>43679</v>
      </c>
      <c r="C765" s="109">
        <v>43683</v>
      </c>
      <c r="D765" s="76" t="s">
        <v>366</v>
      </c>
      <c r="E765" s="76" t="s">
        <v>53</v>
      </c>
      <c r="F765" s="129" t="s">
        <v>1761</v>
      </c>
      <c r="G765" s="399">
        <f>IFERROR(VLOOKUP(A765,醫療院所DATABASE!A:B,2,""),)</f>
        <v>0</v>
      </c>
      <c r="H765" s="76" t="s">
        <v>3100</v>
      </c>
      <c r="I765" s="109">
        <v>43678</v>
      </c>
      <c r="J765" s="109">
        <v>43682</v>
      </c>
      <c r="K765" s="39" t="s">
        <v>3101</v>
      </c>
      <c r="L765" s="76" t="s">
        <v>3102</v>
      </c>
      <c r="M765" s="49" t="s">
        <v>61</v>
      </c>
      <c r="N765" s="39" t="s">
        <v>62</v>
      </c>
      <c r="O765" s="24"/>
      <c r="P765" s="409" t="s">
        <v>3103</v>
      </c>
      <c r="Q765" s="76" t="s">
        <v>64</v>
      </c>
      <c r="R765" s="76" t="s">
        <v>1885</v>
      </c>
      <c r="S765" s="24"/>
      <c r="T765" s="24"/>
      <c r="U765" s="64"/>
      <c r="V765" s="56"/>
      <c r="W765" s="56"/>
      <c r="X765" s="56"/>
      <c r="Y765" s="56"/>
      <c r="Z765" s="56"/>
      <c r="AA765" s="56"/>
      <c r="AB765" s="56"/>
      <c r="AC765" s="56"/>
    </row>
    <row r="766" spans="1:29" ht="15.75" customHeight="1">
      <c r="A766" s="39" t="s">
        <v>3055</v>
      </c>
      <c r="B766" s="107">
        <v>43679</v>
      </c>
      <c r="C766" s="109">
        <v>43683</v>
      </c>
      <c r="D766" s="76" t="s">
        <v>366</v>
      </c>
      <c r="E766" s="76" t="s">
        <v>53</v>
      </c>
      <c r="F766" s="129" t="s">
        <v>1761</v>
      </c>
      <c r="G766" s="399">
        <f>IFERROR(VLOOKUP(A766,醫療院所DATABASE!A:B,2,""),)</f>
        <v>0</v>
      </c>
      <c r="H766" s="76" t="s">
        <v>3104</v>
      </c>
      <c r="I766" s="109">
        <v>43678</v>
      </c>
      <c r="J766" s="109">
        <v>43682</v>
      </c>
      <c r="K766" s="39" t="s">
        <v>3105</v>
      </c>
      <c r="L766" s="76" t="s">
        <v>3106</v>
      </c>
      <c r="M766" s="49" t="s">
        <v>61</v>
      </c>
      <c r="N766" s="39" t="s">
        <v>62</v>
      </c>
      <c r="O766" s="24"/>
      <c r="P766" s="409" t="s">
        <v>3107</v>
      </c>
      <c r="Q766" s="76" t="s">
        <v>64</v>
      </c>
      <c r="R766" s="76" t="s">
        <v>1885</v>
      </c>
      <c r="S766" s="24"/>
      <c r="T766" s="24"/>
      <c r="U766" s="64"/>
      <c r="V766" s="56"/>
      <c r="W766" s="56"/>
      <c r="X766" s="56"/>
      <c r="Y766" s="56"/>
      <c r="Z766" s="56"/>
      <c r="AA766" s="56"/>
      <c r="AB766" s="56"/>
      <c r="AC766" s="56"/>
    </row>
    <row r="767" spans="1:29" ht="15.75" customHeight="1">
      <c r="A767" s="39" t="s">
        <v>3055</v>
      </c>
      <c r="B767" s="107">
        <v>43682</v>
      </c>
      <c r="C767" s="109">
        <v>43683</v>
      </c>
      <c r="D767" s="76" t="s">
        <v>366</v>
      </c>
      <c r="E767" s="76" t="s">
        <v>53</v>
      </c>
      <c r="F767" s="129" t="s">
        <v>1761</v>
      </c>
      <c r="G767" s="399">
        <f>IFERROR(VLOOKUP(A767,醫療院所DATABASE!A:B,2,""),)</f>
        <v>0</v>
      </c>
      <c r="H767" s="76" t="s">
        <v>3108</v>
      </c>
      <c r="I767" s="109">
        <v>43678</v>
      </c>
      <c r="J767" s="109">
        <v>43682</v>
      </c>
      <c r="K767" s="39" t="s">
        <v>3109</v>
      </c>
      <c r="L767" s="76" t="s">
        <v>3110</v>
      </c>
      <c r="M767" s="49" t="s">
        <v>61</v>
      </c>
      <c r="N767" s="39" t="s">
        <v>62</v>
      </c>
      <c r="O767" s="24"/>
      <c r="P767" s="409" t="s">
        <v>3111</v>
      </c>
      <c r="Q767" s="76" t="s">
        <v>64</v>
      </c>
      <c r="R767" s="76" t="s">
        <v>1885</v>
      </c>
      <c r="S767" s="24"/>
      <c r="T767" s="24"/>
      <c r="U767" s="64"/>
      <c r="V767" s="56"/>
      <c r="W767" s="56"/>
      <c r="X767" s="56"/>
      <c r="Y767" s="56"/>
      <c r="Z767" s="56"/>
      <c r="AA767" s="56"/>
      <c r="AB767" s="56"/>
      <c r="AC767" s="56"/>
    </row>
    <row r="768" spans="1:29" ht="15.75" customHeight="1">
      <c r="A768" s="39" t="s">
        <v>3055</v>
      </c>
      <c r="B768" s="107">
        <v>43682</v>
      </c>
      <c r="C768" s="109">
        <v>43685</v>
      </c>
      <c r="D768" s="76" t="s">
        <v>366</v>
      </c>
      <c r="E768" s="76" t="s">
        <v>53</v>
      </c>
      <c r="F768" s="129" t="s">
        <v>1761</v>
      </c>
      <c r="G768" s="399">
        <f>IFERROR(VLOOKUP(A768,醫療院所DATABASE!A:B,2,""),)</f>
        <v>0</v>
      </c>
      <c r="H768" s="64"/>
      <c r="I768" s="109">
        <v>43678</v>
      </c>
      <c r="J768" s="109">
        <v>43682</v>
      </c>
      <c r="K768" s="39" t="s">
        <v>3112</v>
      </c>
      <c r="L768" s="76" t="s">
        <v>3113</v>
      </c>
      <c r="M768" s="49" t="s">
        <v>61</v>
      </c>
      <c r="N768" s="39" t="s">
        <v>62</v>
      </c>
      <c r="O768" s="24"/>
      <c r="P768" s="409" t="s">
        <v>3114</v>
      </c>
      <c r="Q768" s="76" t="s">
        <v>64</v>
      </c>
      <c r="R768" s="76" t="s">
        <v>1885</v>
      </c>
      <c r="S768" s="24"/>
      <c r="T768" s="24"/>
      <c r="U768" s="64"/>
      <c r="V768" s="56"/>
      <c r="W768" s="56"/>
      <c r="X768" s="56"/>
      <c r="Y768" s="56"/>
      <c r="Z768" s="56"/>
      <c r="AA768" s="56"/>
      <c r="AB768" s="56"/>
      <c r="AC768" s="56"/>
    </row>
    <row r="769" spans="1:29" ht="15.75" customHeight="1">
      <c r="A769" s="39" t="s">
        <v>3055</v>
      </c>
      <c r="B769" s="107">
        <v>43682</v>
      </c>
      <c r="C769" s="109">
        <v>43683</v>
      </c>
      <c r="D769" s="76" t="s">
        <v>366</v>
      </c>
      <c r="E769" s="76" t="s">
        <v>53</v>
      </c>
      <c r="F769" s="129" t="s">
        <v>1761</v>
      </c>
      <c r="G769" s="399">
        <f>IFERROR(VLOOKUP(A769,醫療院所DATABASE!A:B,2,""),)</f>
        <v>0</v>
      </c>
      <c r="H769" s="64"/>
      <c r="I769" s="109">
        <v>43678</v>
      </c>
      <c r="J769" s="109">
        <v>43682</v>
      </c>
      <c r="K769" s="183" t="s">
        <v>3115</v>
      </c>
      <c r="L769" s="76" t="s">
        <v>3116</v>
      </c>
      <c r="M769" s="49" t="s">
        <v>61</v>
      </c>
      <c r="N769" s="39" t="s">
        <v>62</v>
      </c>
      <c r="O769" s="24"/>
      <c r="P769" s="409" t="s">
        <v>3117</v>
      </c>
      <c r="Q769" s="76" t="s">
        <v>64</v>
      </c>
      <c r="R769" s="76" t="s">
        <v>1885</v>
      </c>
      <c r="S769" s="24"/>
      <c r="T769" s="24"/>
      <c r="U769" s="64"/>
      <c r="V769" s="56"/>
      <c r="W769" s="56"/>
      <c r="X769" s="56"/>
      <c r="Y769" s="56"/>
      <c r="Z769" s="56"/>
      <c r="AA769" s="56"/>
      <c r="AB769" s="56"/>
      <c r="AC769" s="56"/>
    </row>
    <row r="770" spans="1:29" ht="15.75" customHeight="1">
      <c r="A770" s="39" t="s">
        <v>3055</v>
      </c>
      <c r="B770" s="107">
        <v>43682</v>
      </c>
      <c r="C770" s="109">
        <v>43683</v>
      </c>
      <c r="D770" s="76" t="s">
        <v>366</v>
      </c>
      <c r="E770" s="76" t="s">
        <v>53</v>
      </c>
      <c r="F770" s="129" t="s">
        <v>1761</v>
      </c>
      <c r="G770" s="399">
        <f>IFERROR(VLOOKUP(A770,醫療院所DATABASE!A:B,2,""),)</f>
        <v>0</v>
      </c>
      <c r="H770" s="64"/>
      <c r="I770" s="109">
        <v>43678</v>
      </c>
      <c r="J770" s="109">
        <v>43682</v>
      </c>
      <c r="K770" s="39" t="s">
        <v>3118</v>
      </c>
      <c r="L770" s="76" t="s">
        <v>3119</v>
      </c>
      <c r="M770" s="49" t="s">
        <v>61</v>
      </c>
      <c r="N770" s="39" t="s">
        <v>51</v>
      </c>
      <c r="O770" s="24"/>
      <c r="P770" s="409" t="s">
        <v>3120</v>
      </c>
      <c r="Q770" s="76" t="s">
        <v>64</v>
      </c>
      <c r="R770" s="76" t="s">
        <v>1885</v>
      </c>
      <c r="S770" s="24"/>
      <c r="T770" s="24"/>
      <c r="U770" s="64"/>
      <c r="V770" s="56"/>
      <c r="W770" s="56"/>
      <c r="X770" s="56"/>
      <c r="Y770" s="56"/>
      <c r="Z770" s="56"/>
      <c r="AA770" s="56"/>
      <c r="AB770" s="56"/>
      <c r="AC770" s="56"/>
    </row>
    <row r="771" spans="1:29" ht="15.75" customHeight="1">
      <c r="A771" s="39" t="s">
        <v>3055</v>
      </c>
      <c r="B771" s="107">
        <v>43682</v>
      </c>
      <c r="C771" s="109">
        <v>43683</v>
      </c>
      <c r="D771" s="76" t="s">
        <v>366</v>
      </c>
      <c r="E771" s="76" t="s">
        <v>53</v>
      </c>
      <c r="F771" s="129" t="s">
        <v>1761</v>
      </c>
      <c r="G771" s="399">
        <f>IFERROR(VLOOKUP(A771,醫療院所DATABASE!A:B,2,""),)</f>
        <v>0</v>
      </c>
      <c r="H771" s="64"/>
      <c r="I771" s="109">
        <v>43678</v>
      </c>
      <c r="J771" s="109">
        <v>43682</v>
      </c>
      <c r="K771" s="39" t="s">
        <v>3121</v>
      </c>
      <c r="L771" s="76" t="s">
        <v>3122</v>
      </c>
      <c r="M771" s="49" t="s">
        <v>61</v>
      </c>
      <c r="N771" s="39" t="s">
        <v>51</v>
      </c>
      <c r="O771" s="24"/>
      <c r="P771" s="409" t="s">
        <v>3123</v>
      </c>
      <c r="Q771" s="76" t="s">
        <v>64</v>
      </c>
      <c r="R771" s="76" t="s">
        <v>1885</v>
      </c>
      <c r="S771" s="24"/>
      <c r="T771" s="24"/>
      <c r="U771" s="64"/>
      <c r="V771" s="56"/>
      <c r="W771" s="56"/>
      <c r="X771" s="56"/>
      <c r="Y771" s="56"/>
      <c r="Z771" s="56"/>
      <c r="AA771" s="56"/>
      <c r="AB771" s="56"/>
      <c r="AC771" s="56"/>
    </row>
    <row r="772" spans="1:29" ht="15.75" customHeight="1">
      <c r="A772" s="39" t="s">
        <v>3055</v>
      </c>
      <c r="B772" s="107">
        <v>43682</v>
      </c>
      <c r="C772" s="109">
        <v>43683</v>
      </c>
      <c r="D772" s="76" t="s">
        <v>366</v>
      </c>
      <c r="E772" s="76" t="s">
        <v>53</v>
      </c>
      <c r="F772" s="129" t="s">
        <v>1761</v>
      </c>
      <c r="G772" s="399">
        <f>IFERROR(VLOOKUP(A772,醫療院所DATABASE!A:B,2,""),)</f>
        <v>0</v>
      </c>
      <c r="H772" s="64"/>
      <c r="I772" s="109">
        <v>43678</v>
      </c>
      <c r="J772" s="109">
        <v>43682</v>
      </c>
      <c r="K772" s="39" t="s">
        <v>3124</v>
      </c>
      <c r="L772" s="76" t="s">
        <v>3125</v>
      </c>
      <c r="M772" s="49" t="s">
        <v>61</v>
      </c>
      <c r="N772" s="39" t="s">
        <v>51</v>
      </c>
      <c r="O772" s="24"/>
      <c r="P772" s="409" t="s">
        <v>3126</v>
      </c>
      <c r="Q772" s="76" t="s">
        <v>64</v>
      </c>
      <c r="R772" s="76" t="s">
        <v>1885</v>
      </c>
      <c r="S772" s="24"/>
      <c r="T772" s="24"/>
      <c r="U772" s="64"/>
      <c r="V772" s="56"/>
      <c r="W772" s="56"/>
      <c r="X772" s="56"/>
      <c r="Y772" s="56"/>
      <c r="Z772" s="56"/>
      <c r="AA772" s="56"/>
      <c r="AB772" s="56"/>
      <c r="AC772" s="56"/>
    </row>
    <row r="773" spans="1:29" ht="15.75" customHeight="1">
      <c r="A773" s="39" t="s">
        <v>3055</v>
      </c>
      <c r="B773" s="107">
        <v>43682</v>
      </c>
      <c r="C773" s="109">
        <v>43683</v>
      </c>
      <c r="D773" s="76" t="s">
        <v>366</v>
      </c>
      <c r="E773" s="76" t="s">
        <v>53</v>
      </c>
      <c r="F773" s="129" t="s">
        <v>1761</v>
      </c>
      <c r="G773" s="399">
        <f>IFERROR(VLOOKUP(A773,醫療院所DATABASE!A:B,2,""),)</f>
        <v>0</v>
      </c>
      <c r="H773" s="64"/>
      <c r="I773" s="109">
        <v>43678</v>
      </c>
      <c r="J773" s="109">
        <v>43682</v>
      </c>
      <c r="K773" s="39" t="s">
        <v>3127</v>
      </c>
      <c r="L773" s="76" t="s">
        <v>3128</v>
      </c>
      <c r="M773" s="49" t="s">
        <v>61</v>
      </c>
      <c r="N773" s="39" t="s">
        <v>62</v>
      </c>
      <c r="O773" s="24"/>
      <c r="P773" s="409" t="s">
        <v>3129</v>
      </c>
      <c r="Q773" s="76" t="s">
        <v>64</v>
      </c>
      <c r="R773" s="76" t="s">
        <v>1885</v>
      </c>
      <c r="S773" s="24"/>
      <c r="T773" s="24"/>
      <c r="U773" s="64"/>
      <c r="V773" s="56"/>
      <c r="W773" s="56"/>
      <c r="X773" s="56"/>
      <c r="Y773" s="56"/>
      <c r="Z773" s="56"/>
      <c r="AA773" s="56"/>
      <c r="AB773" s="56"/>
      <c r="AC773" s="56"/>
    </row>
    <row r="774" spans="1:29" ht="15.75" customHeight="1">
      <c r="A774" s="39" t="s">
        <v>3055</v>
      </c>
      <c r="B774" s="107">
        <v>43682</v>
      </c>
      <c r="C774" s="109">
        <v>43683</v>
      </c>
      <c r="D774" s="76" t="s">
        <v>366</v>
      </c>
      <c r="E774" s="76" t="s">
        <v>53</v>
      </c>
      <c r="F774" s="129" t="s">
        <v>1761</v>
      </c>
      <c r="G774" s="399">
        <f>IFERROR(VLOOKUP(A774,醫療院所DATABASE!A:B,2,""),)</f>
        <v>0</v>
      </c>
      <c r="H774" s="64"/>
      <c r="I774" s="109">
        <v>43678</v>
      </c>
      <c r="J774" s="109">
        <v>43682</v>
      </c>
      <c r="K774" s="39" t="s">
        <v>3130</v>
      </c>
      <c r="L774" s="76" t="s">
        <v>3131</v>
      </c>
      <c r="M774" s="49" t="s">
        <v>61</v>
      </c>
      <c r="N774" s="39" t="s">
        <v>51</v>
      </c>
      <c r="O774" s="24"/>
      <c r="P774" s="409" t="s">
        <v>3132</v>
      </c>
      <c r="Q774" s="76" t="s">
        <v>64</v>
      </c>
      <c r="R774" s="76" t="s">
        <v>1885</v>
      </c>
      <c r="S774" s="24"/>
      <c r="T774" s="24"/>
      <c r="U774" s="64"/>
      <c r="V774" s="56"/>
      <c r="W774" s="56"/>
      <c r="X774" s="56"/>
      <c r="Y774" s="56"/>
      <c r="Z774" s="56"/>
      <c r="AA774" s="56"/>
      <c r="AB774" s="56"/>
      <c r="AC774" s="56"/>
    </row>
    <row r="775" spans="1:29" ht="15.75" customHeight="1">
      <c r="A775" s="39" t="s">
        <v>3055</v>
      </c>
      <c r="B775" s="107">
        <v>43683</v>
      </c>
      <c r="C775" s="109">
        <v>43685</v>
      </c>
      <c r="D775" s="76" t="s">
        <v>366</v>
      </c>
      <c r="E775" s="76" t="s">
        <v>53</v>
      </c>
      <c r="F775" s="129" t="s">
        <v>1761</v>
      </c>
      <c r="G775" s="399">
        <f>IFERROR(VLOOKUP(A775,醫療院所DATABASE!A:B,2,""),)</f>
        <v>0</v>
      </c>
      <c r="H775" s="64"/>
      <c r="I775" s="109">
        <v>43678</v>
      </c>
      <c r="J775" s="109">
        <v>43682</v>
      </c>
      <c r="K775" s="39" t="s">
        <v>3133</v>
      </c>
      <c r="L775" s="76" t="s">
        <v>3134</v>
      </c>
      <c r="M775" s="49" t="s">
        <v>61</v>
      </c>
      <c r="N775" s="39" t="s">
        <v>62</v>
      </c>
      <c r="O775" s="24"/>
      <c r="P775" s="409" t="s">
        <v>3135</v>
      </c>
      <c r="Q775" s="76" t="s">
        <v>64</v>
      </c>
      <c r="R775" s="76" t="s">
        <v>1885</v>
      </c>
      <c r="S775" s="24"/>
      <c r="T775" s="24"/>
      <c r="U775" s="64"/>
      <c r="V775" s="56"/>
      <c r="W775" s="56"/>
      <c r="X775" s="56"/>
      <c r="Y775" s="56"/>
      <c r="Z775" s="56"/>
      <c r="AA775" s="56"/>
      <c r="AB775" s="56"/>
      <c r="AC775" s="56"/>
    </row>
    <row r="776" spans="1:29" ht="15.75" customHeight="1">
      <c r="A776" s="39" t="s">
        <v>1856</v>
      </c>
      <c r="B776" s="107">
        <v>43683</v>
      </c>
      <c r="C776" s="109">
        <v>43683</v>
      </c>
      <c r="D776" s="76" t="s">
        <v>522</v>
      </c>
      <c r="E776" s="76" t="s">
        <v>53</v>
      </c>
      <c r="F776" s="39" t="s">
        <v>1745</v>
      </c>
      <c r="G776" s="399">
        <f>IFERROR(VLOOKUP(A776,醫療院所DATABASE!A:B,2,""),)</f>
        <v>0</v>
      </c>
      <c r="H776" s="64"/>
      <c r="I776" s="109">
        <v>43679</v>
      </c>
      <c r="J776" s="109">
        <v>43683</v>
      </c>
      <c r="K776" s="39" t="s">
        <v>3136</v>
      </c>
      <c r="L776" s="76" t="s">
        <v>3137</v>
      </c>
      <c r="M776" s="93" t="s">
        <v>641</v>
      </c>
      <c r="N776" s="39" t="s">
        <v>62</v>
      </c>
      <c r="O776" s="24"/>
      <c r="P776" s="409" t="s">
        <v>3138</v>
      </c>
      <c r="Q776" s="76" t="s">
        <v>64</v>
      </c>
      <c r="R776" s="76" t="s">
        <v>1885</v>
      </c>
      <c r="S776" s="24"/>
      <c r="T776" s="24"/>
      <c r="U776" s="64"/>
      <c r="V776" s="56"/>
      <c r="W776" s="56"/>
      <c r="X776" s="56"/>
      <c r="Y776" s="56"/>
      <c r="Z776" s="56"/>
      <c r="AA776" s="56"/>
      <c r="AB776" s="56"/>
      <c r="AC776" s="56"/>
    </row>
    <row r="777" spans="1:29" ht="15.75" customHeight="1">
      <c r="A777" s="39" t="s">
        <v>1856</v>
      </c>
      <c r="B777" s="107">
        <v>43683</v>
      </c>
      <c r="C777" s="109">
        <v>43683</v>
      </c>
      <c r="D777" s="76" t="s">
        <v>522</v>
      </c>
      <c r="E777" s="76" t="s">
        <v>53</v>
      </c>
      <c r="F777" s="39" t="s">
        <v>1745</v>
      </c>
      <c r="G777" s="399">
        <f>IFERROR(VLOOKUP(A777,醫療院所DATABASE!A:B,2,""),)</f>
        <v>0</v>
      </c>
      <c r="H777" s="64"/>
      <c r="I777" s="109">
        <v>43679</v>
      </c>
      <c r="J777" s="109">
        <v>43683</v>
      </c>
      <c r="K777" s="39" t="s">
        <v>3139</v>
      </c>
      <c r="L777" s="76" t="s">
        <v>3140</v>
      </c>
      <c r="M777" s="93" t="s">
        <v>641</v>
      </c>
      <c r="N777" s="39" t="s">
        <v>62</v>
      </c>
      <c r="O777" s="24"/>
      <c r="P777" s="409" t="s">
        <v>3141</v>
      </c>
      <c r="Q777" s="76" t="s">
        <v>64</v>
      </c>
      <c r="R777" s="76" t="s">
        <v>1885</v>
      </c>
      <c r="S777" s="24"/>
      <c r="T777" s="24"/>
      <c r="U777" s="64"/>
      <c r="V777" s="56"/>
      <c r="W777" s="56"/>
      <c r="X777" s="56"/>
      <c r="Y777" s="56"/>
      <c r="Z777" s="56"/>
      <c r="AA777" s="56"/>
      <c r="AB777" s="56"/>
      <c r="AC777" s="56"/>
    </row>
    <row r="778" spans="1:29" ht="15.75" customHeight="1">
      <c r="A778" s="39" t="s">
        <v>1856</v>
      </c>
      <c r="B778" s="107">
        <v>43683</v>
      </c>
      <c r="C778" s="109">
        <v>43683</v>
      </c>
      <c r="D778" s="76" t="s">
        <v>522</v>
      </c>
      <c r="E778" s="76" t="s">
        <v>53</v>
      </c>
      <c r="F778" s="39" t="s">
        <v>1745</v>
      </c>
      <c r="G778" s="399">
        <f>IFERROR(VLOOKUP(A778,醫療院所DATABASE!A:B,2,""),)</f>
        <v>0</v>
      </c>
      <c r="H778" s="64"/>
      <c r="I778" s="109">
        <v>43679</v>
      </c>
      <c r="J778" s="109">
        <v>43683</v>
      </c>
      <c r="K778" s="39" t="s">
        <v>3142</v>
      </c>
      <c r="L778" s="76" t="s">
        <v>3143</v>
      </c>
      <c r="M778" s="93" t="s">
        <v>641</v>
      </c>
      <c r="N778" s="39" t="s">
        <v>62</v>
      </c>
      <c r="O778" s="24"/>
      <c r="P778" s="409" t="s">
        <v>3144</v>
      </c>
      <c r="Q778" s="76" t="s">
        <v>64</v>
      </c>
      <c r="R778" s="76" t="s">
        <v>1885</v>
      </c>
      <c r="S778" s="24"/>
      <c r="T778" s="24"/>
      <c r="U778" s="64"/>
      <c r="V778" s="56"/>
      <c r="W778" s="56"/>
      <c r="X778" s="56"/>
      <c r="Y778" s="56"/>
      <c r="Z778" s="56"/>
      <c r="AA778" s="56"/>
      <c r="AB778" s="56"/>
      <c r="AC778" s="56"/>
    </row>
    <row r="779" spans="1:29" ht="15.75" customHeight="1">
      <c r="A779" s="39" t="s">
        <v>1856</v>
      </c>
      <c r="B779" s="107">
        <v>43683</v>
      </c>
      <c r="C779" s="109">
        <v>43683</v>
      </c>
      <c r="D779" s="76" t="s">
        <v>522</v>
      </c>
      <c r="E779" s="76" t="s">
        <v>53</v>
      </c>
      <c r="F779" s="39" t="s">
        <v>1745</v>
      </c>
      <c r="G779" s="399">
        <f>IFERROR(VLOOKUP(A779,醫療院所DATABASE!A:B,2,""),)</f>
        <v>0</v>
      </c>
      <c r="H779" s="64"/>
      <c r="I779" s="109">
        <v>43679</v>
      </c>
      <c r="J779" s="109">
        <v>43683</v>
      </c>
      <c r="K779" s="39" t="s">
        <v>3145</v>
      </c>
      <c r="L779" s="76" t="s">
        <v>3146</v>
      </c>
      <c r="M779" s="93" t="s">
        <v>641</v>
      </c>
      <c r="N779" s="39" t="s">
        <v>51</v>
      </c>
      <c r="O779" s="24"/>
      <c r="P779" s="409" t="s">
        <v>3147</v>
      </c>
      <c r="Q779" s="76" t="s">
        <v>64</v>
      </c>
      <c r="R779" s="76" t="s">
        <v>1885</v>
      </c>
      <c r="S779" s="24"/>
      <c r="T779" s="24"/>
      <c r="U779" s="64"/>
      <c r="V779" s="56"/>
      <c r="W779" s="56"/>
      <c r="X779" s="56"/>
      <c r="Y779" s="56"/>
      <c r="Z779" s="56"/>
      <c r="AA779" s="56"/>
      <c r="AB779" s="56"/>
      <c r="AC779" s="56"/>
    </row>
    <row r="780" spans="1:29" ht="15.75" customHeight="1">
      <c r="A780" s="39">
        <v>19080101</v>
      </c>
      <c r="B780" s="107">
        <v>43682</v>
      </c>
      <c r="C780" s="109">
        <v>43683</v>
      </c>
      <c r="D780" s="76" t="s">
        <v>1029</v>
      </c>
      <c r="E780" s="76" t="s">
        <v>53</v>
      </c>
      <c r="F780" s="39" t="s">
        <v>353</v>
      </c>
      <c r="G780" s="399">
        <f>IFERROR(VLOOKUP(A780,醫療院所DATABASE!A:B,2,""),)</f>
        <v>0</v>
      </c>
      <c r="H780" s="64"/>
      <c r="I780" s="109">
        <v>43679</v>
      </c>
      <c r="J780" s="109">
        <v>43683</v>
      </c>
      <c r="K780" s="39" t="s">
        <v>3148</v>
      </c>
      <c r="L780" s="76" t="s">
        <v>3149</v>
      </c>
      <c r="M780" s="39" t="s">
        <v>3150</v>
      </c>
      <c r="N780" s="39" t="s">
        <v>62</v>
      </c>
      <c r="O780" s="24"/>
      <c r="P780" s="412" t="s">
        <v>3151</v>
      </c>
      <c r="Q780" s="76" t="s">
        <v>64</v>
      </c>
      <c r="R780" s="76" t="s">
        <v>1885</v>
      </c>
      <c r="S780" s="24"/>
      <c r="T780" s="24"/>
      <c r="U780" s="64"/>
      <c r="V780" s="56"/>
      <c r="W780" s="56"/>
      <c r="X780" s="56"/>
      <c r="Y780" s="56"/>
      <c r="Z780" s="56"/>
      <c r="AA780" s="56"/>
      <c r="AB780" s="56"/>
      <c r="AC780" s="56"/>
    </row>
    <row r="781" spans="1:29" ht="15.75" customHeight="1">
      <c r="A781" s="39">
        <v>19080102</v>
      </c>
      <c r="B781" s="107">
        <v>43682</v>
      </c>
      <c r="C781" s="109">
        <v>43683</v>
      </c>
      <c r="D781" s="76" t="s">
        <v>1029</v>
      </c>
      <c r="E781" s="76" t="s">
        <v>53</v>
      </c>
      <c r="F781" s="39" t="s">
        <v>353</v>
      </c>
      <c r="G781" s="399">
        <f>IFERROR(VLOOKUP(A781,醫療院所DATABASE!A:B,2,""),)</f>
        <v>0</v>
      </c>
      <c r="H781" s="64"/>
      <c r="I781" s="109">
        <v>43679</v>
      </c>
      <c r="J781" s="109">
        <v>43683</v>
      </c>
      <c r="K781" s="39" t="s">
        <v>3148</v>
      </c>
      <c r="L781" s="76" t="s">
        <v>3149</v>
      </c>
      <c r="M781" s="39" t="s">
        <v>2554</v>
      </c>
      <c r="N781" s="39" t="s">
        <v>62</v>
      </c>
      <c r="O781" s="24"/>
      <c r="P781" s="412" t="s">
        <v>3151</v>
      </c>
      <c r="Q781" s="76" t="s">
        <v>64</v>
      </c>
      <c r="R781" s="76" t="s">
        <v>1885</v>
      </c>
      <c r="S781" s="24"/>
      <c r="T781" s="24"/>
      <c r="U781" s="64"/>
      <c r="V781" s="56"/>
      <c r="W781" s="56"/>
      <c r="X781" s="56"/>
      <c r="Y781" s="56"/>
      <c r="Z781" s="56"/>
      <c r="AA781" s="56"/>
      <c r="AB781" s="56"/>
      <c r="AC781" s="56"/>
    </row>
    <row r="782" spans="1:29" ht="15.75" customHeight="1">
      <c r="A782" s="39" t="s">
        <v>3152</v>
      </c>
      <c r="B782" s="107">
        <v>43684</v>
      </c>
      <c r="C782" s="109">
        <v>43684</v>
      </c>
      <c r="D782" s="76" t="s">
        <v>53</v>
      </c>
      <c r="E782" s="76" t="s">
        <v>53</v>
      </c>
      <c r="F782" s="39" t="s">
        <v>3153</v>
      </c>
      <c r="G782" s="399">
        <f>IFERROR(VLOOKUP(A782,醫療院所DATABASE!A:B,2,""),)</f>
        <v>0</v>
      </c>
      <c r="H782" s="76" t="s">
        <v>3154</v>
      </c>
      <c r="I782" s="109">
        <v>43679</v>
      </c>
      <c r="J782" s="109">
        <v>43683</v>
      </c>
      <c r="K782" s="39" t="s">
        <v>3155</v>
      </c>
      <c r="L782" s="76" t="s">
        <v>3156</v>
      </c>
      <c r="M782" s="39" t="s">
        <v>3157</v>
      </c>
      <c r="N782" s="39" t="s">
        <v>62</v>
      </c>
      <c r="O782" s="24"/>
      <c r="P782" s="412" t="s">
        <v>3158</v>
      </c>
      <c r="Q782" s="76" t="s">
        <v>64</v>
      </c>
      <c r="R782" s="76" t="s">
        <v>1885</v>
      </c>
      <c r="S782" s="24"/>
      <c r="T782" s="24"/>
      <c r="U782" s="64"/>
      <c r="V782" s="56"/>
      <c r="W782" s="56"/>
      <c r="X782" s="56"/>
      <c r="Y782" s="56"/>
      <c r="Z782" s="56"/>
      <c r="AA782" s="56"/>
      <c r="AB782" s="56"/>
      <c r="AC782" s="56"/>
    </row>
    <row r="783" spans="1:29" ht="15.75" customHeight="1">
      <c r="A783" s="39" t="s">
        <v>3159</v>
      </c>
      <c r="B783" s="107">
        <v>43684</v>
      </c>
      <c r="C783" s="109">
        <v>43684</v>
      </c>
      <c r="D783" s="76" t="s">
        <v>53</v>
      </c>
      <c r="E783" s="76" t="s">
        <v>53</v>
      </c>
      <c r="F783" s="39" t="s">
        <v>3153</v>
      </c>
      <c r="G783" s="399">
        <f>IFERROR(VLOOKUP(A783,醫療院所DATABASE!A:B,2,""),)</f>
        <v>0</v>
      </c>
      <c r="H783" s="64"/>
      <c r="I783" s="109">
        <v>43679</v>
      </c>
      <c r="J783" s="109">
        <v>43683</v>
      </c>
      <c r="K783" s="39" t="s">
        <v>3155</v>
      </c>
      <c r="L783" s="76" t="s">
        <v>3156</v>
      </c>
      <c r="M783" s="180" t="s">
        <v>579</v>
      </c>
      <c r="N783" s="39" t="s">
        <v>62</v>
      </c>
      <c r="O783" s="24"/>
      <c r="P783" s="412" t="s">
        <v>3160</v>
      </c>
      <c r="Q783" s="76" t="s">
        <v>64</v>
      </c>
      <c r="R783" s="76" t="s">
        <v>1885</v>
      </c>
      <c r="S783" s="24"/>
      <c r="T783" s="24"/>
      <c r="U783" s="64"/>
      <c r="V783" s="56"/>
      <c r="W783" s="56"/>
      <c r="X783" s="56"/>
      <c r="Y783" s="56"/>
      <c r="Z783" s="56"/>
      <c r="AA783" s="56"/>
      <c r="AB783" s="56"/>
      <c r="AC783" s="56"/>
    </row>
    <row r="784" spans="1:29" ht="15.75" customHeight="1">
      <c r="A784" s="39" t="s">
        <v>472</v>
      </c>
      <c r="B784" s="107">
        <v>43689</v>
      </c>
      <c r="C784" s="109">
        <v>43690</v>
      </c>
      <c r="D784" s="76" t="s">
        <v>53</v>
      </c>
      <c r="E784" s="76" t="s">
        <v>53</v>
      </c>
      <c r="F784" s="39" t="s">
        <v>975</v>
      </c>
      <c r="G784" s="399">
        <f>IFERROR(VLOOKUP(A784,醫療院所DATABASE!A:B,2,""),)</f>
        <v>0</v>
      </c>
      <c r="H784" s="64"/>
      <c r="I784" s="109">
        <v>43682</v>
      </c>
      <c r="J784" s="109">
        <v>43684</v>
      </c>
      <c r="K784" s="39" t="s">
        <v>475</v>
      </c>
      <c r="L784" s="76" t="s">
        <v>476</v>
      </c>
      <c r="M784" s="184" t="s">
        <v>1019</v>
      </c>
      <c r="N784" s="39" t="s">
        <v>51</v>
      </c>
      <c r="O784" s="24"/>
      <c r="P784" s="409" t="s">
        <v>3161</v>
      </c>
      <c r="Q784" s="76" t="s">
        <v>1931</v>
      </c>
      <c r="R784" s="76" t="s">
        <v>1885</v>
      </c>
      <c r="S784" s="24"/>
      <c r="T784" s="24"/>
      <c r="U784" s="64"/>
      <c r="V784" s="56"/>
      <c r="W784" s="56"/>
      <c r="X784" s="56"/>
      <c r="Y784" s="56"/>
      <c r="Z784" s="56"/>
      <c r="AA784" s="56"/>
      <c r="AB784" s="56"/>
      <c r="AC784" s="56"/>
    </row>
    <row r="785" spans="1:29" ht="15.75" customHeight="1">
      <c r="A785" s="39" t="s">
        <v>472</v>
      </c>
      <c r="B785" s="107">
        <v>43685</v>
      </c>
      <c r="C785" s="109">
        <v>43690</v>
      </c>
      <c r="D785" s="76" t="s">
        <v>53</v>
      </c>
      <c r="E785" s="76" t="s">
        <v>53</v>
      </c>
      <c r="F785" s="39" t="s">
        <v>975</v>
      </c>
      <c r="G785" s="399">
        <f>IFERROR(VLOOKUP(A785,醫療院所DATABASE!A:B,2,""),)</f>
        <v>0</v>
      </c>
      <c r="H785" s="64"/>
      <c r="I785" s="109">
        <v>43682</v>
      </c>
      <c r="J785" s="109">
        <v>43684</v>
      </c>
      <c r="K785" s="39" t="s">
        <v>475</v>
      </c>
      <c r="L785" s="76" t="s">
        <v>476</v>
      </c>
      <c r="M785" s="39" t="s">
        <v>3162</v>
      </c>
      <c r="N785" s="39" t="s">
        <v>51</v>
      </c>
      <c r="O785" s="24"/>
      <c r="P785" s="409" t="s">
        <v>3163</v>
      </c>
      <c r="Q785" s="76" t="s">
        <v>1931</v>
      </c>
      <c r="R785" s="76" t="s">
        <v>1885</v>
      </c>
      <c r="S785" s="24"/>
      <c r="T785" s="24"/>
      <c r="U785" s="64"/>
      <c r="V785" s="56"/>
      <c r="W785" s="56"/>
      <c r="X785" s="56"/>
      <c r="Y785" s="56"/>
      <c r="Z785" s="56"/>
      <c r="AA785" s="56"/>
      <c r="AB785" s="56"/>
      <c r="AC785" s="56"/>
    </row>
    <row r="786" spans="1:29" ht="15.75" customHeight="1">
      <c r="A786" s="39" t="s">
        <v>3164</v>
      </c>
      <c r="B786" s="107">
        <v>43684</v>
      </c>
      <c r="C786" s="109">
        <v>43685</v>
      </c>
      <c r="D786" s="76" t="s">
        <v>53</v>
      </c>
      <c r="E786" s="76" t="s">
        <v>53</v>
      </c>
      <c r="F786" s="39" t="s">
        <v>1916</v>
      </c>
      <c r="G786" s="399">
        <f>IFERROR(VLOOKUP(A786,醫療院所DATABASE!A:B,2,""),)</f>
        <v>0</v>
      </c>
      <c r="H786" s="64"/>
      <c r="I786" s="109">
        <v>43682</v>
      </c>
      <c r="J786" s="109">
        <v>43684</v>
      </c>
      <c r="K786" s="39" t="s">
        <v>2224</v>
      </c>
      <c r="L786" s="76" t="s">
        <v>2225</v>
      </c>
      <c r="M786" s="39" t="s">
        <v>3165</v>
      </c>
      <c r="N786" s="39" t="s">
        <v>62</v>
      </c>
      <c r="O786" s="24"/>
      <c r="P786" s="412" t="s">
        <v>3166</v>
      </c>
      <c r="Q786" s="76" t="s">
        <v>64</v>
      </c>
      <c r="R786" s="76" t="s">
        <v>1885</v>
      </c>
      <c r="S786" s="24"/>
      <c r="T786" s="24"/>
      <c r="U786" s="64"/>
      <c r="V786" s="56"/>
      <c r="W786" s="56"/>
      <c r="X786" s="56"/>
      <c r="Y786" s="56"/>
      <c r="Z786" s="56"/>
      <c r="AA786" s="56"/>
      <c r="AB786" s="56"/>
      <c r="AC786" s="56"/>
    </row>
    <row r="787" spans="1:29" ht="15.75" customHeight="1">
      <c r="A787" s="39">
        <v>19080403</v>
      </c>
      <c r="B787" s="107">
        <v>43684</v>
      </c>
      <c r="C787" s="109">
        <v>43685</v>
      </c>
      <c r="D787" s="76" t="s">
        <v>53</v>
      </c>
      <c r="E787" s="76" t="s">
        <v>53</v>
      </c>
      <c r="F787" s="39" t="s">
        <v>353</v>
      </c>
      <c r="G787" s="399">
        <f>IFERROR(VLOOKUP(A787,醫療院所DATABASE!A:B,2,""),)</f>
        <v>0</v>
      </c>
      <c r="H787" s="64"/>
      <c r="I787" s="109">
        <v>43682</v>
      </c>
      <c r="J787" s="109">
        <v>43684</v>
      </c>
      <c r="K787" s="39" t="s">
        <v>3167</v>
      </c>
      <c r="L787" s="76" t="s">
        <v>3168</v>
      </c>
      <c r="M787" s="180" t="s">
        <v>3150</v>
      </c>
      <c r="N787" s="39" t="s">
        <v>62</v>
      </c>
      <c r="O787" s="24"/>
      <c r="P787" s="412" t="s">
        <v>3169</v>
      </c>
      <c r="Q787" s="76" t="s">
        <v>1931</v>
      </c>
      <c r="R787" s="76" t="s">
        <v>1885</v>
      </c>
      <c r="S787" s="24"/>
      <c r="T787" s="24"/>
      <c r="U787" s="64"/>
      <c r="V787" s="56"/>
      <c r="W787" s="56"/>
      <c r="X787" s="56"/>
      <c r="Y787" s="56"/>
      <c r="Z787" s="56"/>
      <c r="AA787" s="56"/>
      <c r="AB787" s="56"/>
      <c r="AC787" s="56"/>
    </row>
    <row r="788" spans="1:29" ht="15.75" customHeight="1">
      <c r="A788" s="39">
        <v>19080404</v>
      </c>
      <c r="B788" s="107">
        <v>43684</v>
      </c>
      <c r="C788" s="109">
        <v>43685</v>
      </c>
      <c r="D788" s="76" t="s">
        <v>53</v>
      </c>
      <c r="E788" s="76" t="s">
        <v>53</v>
      </c>
      <c r="F788" s="39" t="s">
        <v>353</v>
      </c>
      <c r="G788" s="399">
        <f>IFERROR(VLOOKUP(A788,醫療院所DATABASE!A:B,2,""),)</f>
        <v>0</v>
      </c>
      <c r="H788" s="64"/>
      <c r="I788" s="109">
        <v>43682</v>
      </c>
      <c r="J788" s="109">
        <v>43684</v>
      </c>
      <c r="K788" s="39" t="s">
        <v>3167</v>
      </c>
      <c r="L788" s="76" t="s">
        <v>3168</v>
      </c>
      <c r="M788" s="185" t="s">
        <v>2510</v>
      </c>
      <c r="N788" s="39" t="s">
        <v>62</v>
      </c>
      <c r="O788" s="24"/>
      <c r="P788" s="412" t="s">
        <v>3169</v>
      </c>
      <c r="Q788" s="76" t="s">
        <v>1931</v>
      </c>
      <c r="R788" s="76" t="s">
        <v>1885</v>
      </c>
      <c r="S788" s="24"/>
      <c r="T788" s="24"/>
      <c r="U788" s="64"/>
      <c r="V788" s="56"/>
      <c r="W788" s="56"/>
      <c r="X788" s="56"/>
      <c r="Y788" s="56"/>
      <c r="Z788" s="56"/>
      <c r="AA788" s="56"/>
      <c r="AB788" s="56"/>
      <c r="AC788" s="56"/>
    </row>
    <row r="789" spans="1:29" ht="15.75" customHeight="1">
      <c r="A789" s="39">
        <v>19080405</v>
      </c>
      <c r="B789" s="107">
        <v>43684</v>
      </c>
      <c r="C789" s="109">
        <v>43685</v>
      </c>
      <c r="D789" s="76" t="s">
        <v>53</v>
      </c>
      <c r="E789" s="76" t="s">
        <v>53</v>
      </c>
      <c r="F789" s="39" t="s">
        <v>353</v>
      </c>
      <c r="G789" s="399">
        <f>IFERROR(VLOOKUP(A789,醫療院所DATABASE!A:B,2,""),)</f>
        <v>0</v>
      </c>
      <c r="H789" s="64"/>
      <c r="I789" s="109">
        <v>43682</v>
      </c>
      <c r="J789" s="109">
        <v>43684</v>
      </c>
      <c r="K789" s="39" t="s">
        <v>3170</v>
      </c>
      <c r="L789" s="76" t="s">
        <v>3171</v>
      </c>
      <c r="M789" s="180" t="s">
        <v>3150</v>
      </c>
      <c r="N789" s="39" t="s">
        <v>62</v>
      </c>
      <c r="O789" s="24"/>
      <c r="P789" s="412" t="s">
        <v>3172</v>
      </c>
      <c r="Q789" s="76" t="s">
        <v>1931</v>
      </c>
      <c r="R789" s="76" t="s">
        <v>1885</v>
      </c>
      <c r="S789" s="24"/>
      <c r="T789" s="24"/>
      <c r="U789" s="64"/>
      <c r="V789" s="56"/>
      <c r="W789" s="56"/>
      <c r="X789" s="56"/>
      <c r="Y789" s="56"/>
      <c r="Z789" s="56"/>
      <c r="AA789" s="56"/>
      <c r="AB789" s="56"/>
      <c r="AC789" s="56"/>
    </row>
    <row r="790" spans="1:29" ht="15.75" customHeight="1">
      <c r="A790" s="39">
        <v>19080406</v>
      </c>
      <c r="B790" s="107">
        <v>43684</v>
      </c>
      <c r="C790" s="109">
        <v>43685</v>
      </c>
      <c r="D790" s="76" t="s">
        <v>53</v>
      </c>
      <c r="E790" s="76" t="s">
        <v>53</v>
      </c>
      <c r="F790" s="39" t="s">
        <v>353</v>
      </c>
      <c r="G790" s="399">
        <f>IFERROR(VLOOKUP(A790,醫療院所DATABASE!A:B,2,""),)</f>
        <v>0</v>
      </c>
      <c r="H790" s="64"/>
      <c r="I790" s="109">
        <v>43682</v>
      </c>
      <c r="J790" s="109">
        <v>43684</v>
      </c>
      <c r="K790" s="39" t="s">
        <v>3170</v>
      </c>
      <c r="L790" s="76" t="s">
        <v>3171</v>
      </c>
      <c r="M790" s="185" t="s">
        <v>2510</v>
      </c>
      <c r="N790" s="39" t="s">
        <v>62</v>
      </c>
      <c r="O790" s="24"/>
      <c r="P790" s="412" t="s">
        <v>3172</v>
      </c>
      <c r="Q790" s="76" t="s">
        <v>1931</v>
      </c>
      <c r="R790" s="76" t="s">
        <v>1885</v>
      </c>
      <c r="S790" s="24"/>
      <c r="T790" s="24"/>
      <c r="U790" s="64"/>
      <c r="V790" s="56"/>
      <c r="W790" s="56"/>
      <c r="X790" s="56"/>
      <c r="Y790" s="56"/>
      <c r="Z790" s="56"/>
      <c r="AA790" s="56"/>
      <c r="AB790" s="56"/>
      <c r="AC790" s="56"/>
    </row>
    <row r="791" spans="1:29" ht="15.75" customHeight="1">
      <c r="A791" s="39" t="s">
        <v>2965</v>
      </c>
      <c r="B791" s="107">
        <v>43684</v>
      </c>
      <c r="C791" s="109">
        <v>43685</v>
      </c>
      <c r="D791" s="76" t="s">
        <v>53</v>
      </c>
      <c r="E791" s="76" t="s">
        <v>53</v>
      </c>
      <c r="F791" s="39" t="s">
        <v>2686</v>
      </c>
      <c r="G791" s="399">
        <f>IFERROR(VLOOKUP(A791,醫療院所DATABASE!A:B,2,""),)</f>
        <v>0</v>
      </c>
      <c r="H791" s="64"/>
      <c r="I791" s="109">
        <v>43682</v>
      </c>
      <c r="J791" s="109">
        <v>43684</v>
      </c>
      <c r="K791" s="39" t="s">
        <v>3173</v>
      </c>
      <c r="L791" s="76" t="s">
        <v>3174</v>
      </c>
      <c r="M791" s="177" t="s">
        <v>963</v>
      </c>
      <c r="N791" s="39" t="s">
        <v>62</v>
      </c>
      <c r="O791" s="24"/>
      <c r="P791" s="409" t="s">
        <v>3175</v>
      </c>
      <c r="Q791" s="76" t="s">
        <v>1931</v>
      </c>
      <c r="R791" s="76" t="s">
        <v>1885</v>
      </c>
      <c r="S791" s="24"/>
      <c r="T791" s="24"/>
      <c r="U791" s="64"/>
      <c r="V791" s="56"/>
      <c r="W791" s="56"/>
      <c r="X791" s="56"/>
      <c r="Y791" s="56"/>
      <c r="Z791" s="56"/>
      <c r="AA791" s="56"/>
      <c r="AB791" s="56"/>
      <c r="AC791" s="56"/>
    </row>
    <row r="792" spans="1:29" ht="15.75" customHeight="1">
      <c r="A792" s="39" t="s">
        <v>3176</v>
      </c>
      <c r="B792" s="107">
        <v>43684</v>
      </c>
      <c r="C792" s="109">
        <v>43685</v>
      </c>
      <c r="D792" s="76" t="s">
        <v>151</v>
      </c>
      <c r="E792" s="76" t="s">
        <v>53</v>
      </c>
      <c r="F792" s="39" t="s">
        <v>2304</v>
      </c>
      <c r="G792" s="399">
        <f>IFERROR(VLOOKUP(A792,醫療院所DATABASE!A:B,2,""),)</f>
        <v>0</v>
      </c>
      <c r="H792" s="64"/>
      <c r="I792" s="109">
        <v>43682</v>
      </c>
      <c r="J792" s="109">
        <v>43684</v>
      </c>
      <c r="K792" s="39" t="s">
        <v>3177</v>
      </c>
      <c r="L792" s="76" t="s">
        <v>3178</v>
      </c>
      <c r="M792" s="180" t="s">
        <v>579</v>
      </c>
      <c r="N792" s="39" t="s">
        <v>62</v>
      </c>
      <c r="O792" s="24"/>
      <c r="P792" s="409" t="s">
        <v>3179</v>
      </c>
      <c r="Q792" s="76" t="s">
        <v>1931</v>
      </c>
      <c r="R792" s="76" t="s">
        <v>1885</v>
      </c>
      <c r="S792" s="24"/>
      <c r="T792" s="24"/>
      <c r="U792" s="64"/>
      <c r="V792" s="56"/>
      <c r="W792" s="56"/>
      <c r="X792" s="56"/>
      <c r="Y792" s="56"/>
      <c r="Z792" s="56"/>
      <c r="AA792" s="56"/>
      <c r="AB792" s="56"/>
      <c r="AC792" s="56"/>
    </row>
    <row r="793" spans="1:29" ht="15.75" customHeight="1">
      <c r="A793" s="39" t="s">
        <v>595</v>
      </c>
      <c r="B793" s="107">
        <v>43684</v>
      </c>
      <c r="C793" s="109">
        <v>43686</v>
      </c>
      <c r="D793" s="76" t="s">
        <v>522</v>
      </c>
      <c r="E793" s="76" t="s">
        <v>522</v>
      </c>
      <c r="F793" s="39" t="s">
        <v>2754</v>
      </c>
      <c r="G793" s="399">
        <f>IFERROR(VLOOKUP(A793,醫療院所DATABASE!A:B,2,""),)</f>
        <v>0</v>
      </c>
      <c r="H793" s="64"/>
      <c r="I793" s="109">
        <v>43682</v>
      </c>
      <c r="J793" s="109">
        <v>43684</v>
      </c>
      <c r="K793" s="39" t="s">
        <v>3180</v>
      </c>
      <c r="L793" s="76" t="s">
        <v>3181</v>
      </c>
      <c r="M793" s="39" t="s">
        <v>593</v>
      </c>
      <c r="N793" s="39" t="s">
        <v>62</v>
      </c>
      <c r="O793" s="24"/>
      <c r="P793" s="409" t="s">
        <v>3182</v>
      </c>
      <c r="Q793" s="76" t="s">
        <v>64</v>
      </c>
      <c r="R793" s="76" t="s">
        <v>1885</v>
      </c>
      <c r="S793" s="24"/>
      <c r="T793" s="24"/>
      <c r="U793" s="64"/>
      <c r="V793" s="56"/>
      <c r="W793" s="56"/>
      <c r="X793" s="56"/>
      <c r="Y793" s="56"/>
      <c r="Z793" s="56"/>
      <c r="AA793" s="56"/>
      <c r="AB793" s="56"/>
      <c r="AC793" s="56"/>
    </row>
    <row r="794" spans="1:29" ht="15.75" customHeight="1">
      <c r="A794" s="39" t="s">
        <v>3159</v>
      </c>
      <c r="B794" s="107">
        <v>43684</v>
      </c>
      <c r="C794" s="109">
        <v>43685</v>
      </c>
      <c r="D794" s="76" t="s">
        <v>53</v>
      </c>
      <c r="E794" s="76" t="s">
        <v>53</v>
      </c>
      <c r="F794" s="39" t="s">
        <v>3153</v>
      </c>
      <c r="G794" s="399">
        <f>IFERROR(VLOOKUP(A794,醫療院所DATABASE!A:B,2,""),)</f>
        <v>0</v>
      </c>
      <c r="H794" s="76" t="s">
        <v>3156</v>
      </c>
      <c r="I794" s="109">
        <v>43682</v>
      </c>
      <c r="J794" s="109">
        <v>43684</v>
      </c>
      <c r="K794" s="39" t="s">
        <v>3183</v>
      </c>
      <c r="L794" s="76" t="s">
        <v>3154</v>
      </c>
      <c r="M794" s="180" t="s">
        <v>579</v>
      </c>
      <c r="N794" s="39" t="s">
        <v>62</v>
      </c>
      <c r="O794" s="24"/>
      <c r="P794" s="409" t="s">
        <v>3184</v>
      </c>
      <c r="Q794" s="76" t="s">
        <v>1931</v>
      </c>
      <c r="R794" s="76" t="s">
        <v>1885</v>
      </c>
      <c r="S794" s="24"/>
      <c r="T794" s="24"/>
      <c r="U794" s="64"/>
      <c r="V794" s="56"/>
      <c r="W794" s="56"/>
      <c r="X794" s="56"/>
      <c r="Y794" s="56"/>
      <c r="Z794" s="56"/>
      <c r="AA794" s="56"/>
      <c r="AB794" s="56"/>
      <c r="AC794" s="56"/>
    </row>
    <row r="795" spans="1:29" ht="15.75" customHeight="1">
      <c r="A795" s="39" t="s">
        <v>3185</v>
      </c>
      <c r="B795" s="107">
        <v>43684</v>
      </c>
      <c r="C795" s="109">
        <v>43684</v>
      </c>
      <c r="D795" s="76" t="s">
        <v>494</v>
      </c>
      <c r="E795" s="76" t="s">
        <v>494</v>
      </c>
      <c r="F795" s="39" t="s">
        <v>3186</v>
      </c>
      <c r="G795" s="399">
        <f>IFERROR(VLOOKUP(A795,醫療院所DATABASE!A:B,2,""),)</f>
        <v>0</v>
      </c>
      <c r="H795" s="64"/>
      <c r="I795" s="109">
        <v>43682</v>
      </c>
      <c r="J795" s="109">
        <v>43684</v>
      </c>
      <c r="K795" s="39" t="s">
        <v>3187</v>
      </c>
      <c r="L795" s="76" t="s">
        <v>3188</v>
      </c>
      <c r="M795" s="49" t="s">
        <v>61</v>
      </c>
      <c r="N795" s="39" t="s">
        <v>51</v>
      </c>
      <c r="O795" s="24"/>
      <c r="P795" s="409" t="s">
        <v>3189</v>
      </c>
      <c r="Q795" s="76" t="s">
        <v>1931</v>
      </c>
      <c r="R795" s="76" t="s">
        <v>1885</v>
      </c>
      <c r="S795" s="24"/>
      <c r="T795" s="24"/>
      <c r="U795" s="76" t="s">
        <v>3190</v>
      </c>
      <c r="V795" s="56"/>
      <c r="W795" s="56"/>
      <c r="X795" s="56"/>
      <c r="Y795" s="56"/>
      <c r="Z795" s="56"/>
      <c r="AA795" s="56"/>
      <c r="AB795" s="56"/>
      <c r="AC795" s="56"/>
    </row>
    <row r="796" spans="1:29" ht="15.75" customHeight="1">
      <c r="A796" s="39" t="s">
        <v>3191</v>
      </c>
      <c r="B796" s="107">
        <v>43684</v>
      </c>
      <c r="C796" s="109">
        <v>43684</v>
      </c>
      <c r="D796" s="76" t="s">
        <v>494</v>
      </c>
      <c r="E796" s="76" t="s">
        <v>494</v>
      </c>
      <c r="F796" s="39" t="s">
        <v>3186</v>
      </c>
      <c r="G796" s="399">
        <f>IFERROR(VLOOKUP(A796,醫療院所DATABASE!A:B,2,""),)</f>
        <v>0</v>
      </c>
      <c r="H796" s="64"/>
      <c r="I796" s="109">
        <v>43682</v>
      </c>
      <c r="J796" s="109">
        <v>43684</v>
      </c>
      <c r="K796" s="39" t="s">
        <v>3192</v>
      </c>
      <c r="L796" s="76" t="s">
        <v>3193</v>
      </c>
      <c r="M796" s="49" t="s">
        <v>61</v>
      </c>
      <c r="N796" s="39" t="s">
        <v>51</v>
      </c>
      <c r="O796" s="24"/>
      <c r="P796" s="409" t="s">
        <v>3194</v>
      </c>
      <c r="Q796" s="76" t="s">
        <v>1931</v>
      </c>
      <c r="R796" s="76" t="s">
        <v>1885</v>
      </c>
      <c r="S796" s="24"/>
      <c r="T796" s="24"/>
      <c r="U796" s="76" t="s">
        <v>3190</v>
      </c>
      <c r="V796" s="56"/>
      <c r="W796" s="56"/>
      <c r="X796" s="56"/>
      <c r="Y796" s="56"/>
      <c r="Z796" s="56"/>
      <c r="AA796" s="56"/>
      <c r="AB796" s="56"/>
      <c r="AC796" s="56"/>
    </row>
    <row r="797" spans="1:29" ht="15.75" customHeight="1">
      <c r="A797" s="39" t="s">
        <v>3195</v>
      </c>
      <c r="B797" s="107">
        <v>43684</v>
      </c>
      <c r="C797" s="109">
        <v>43684</v>
      </c>
      <c r="D797" s="76" t="s">
        <v>494</v>
      </c>
      <c r="E797" s="76" t="s">
        <v>494</v>
      </c>
      <c r="F797" s="39" t="s">
        <v>3186</v>
      </c>
      <c r="G797" s="399">
        <f>IFERROR(VLOOKUP(A797,醫療院所DATABASE!A:B,2,""),)</f>
        <v>0</v>
      </c>
      <c r="H797" s="64"/>
      <c r="I797" s="109">
        <v>43682</v>
      </c>
      <c r="J797" s="109">
        <v>43684</v>
      </c>
      <c r="K797" s="39" t="s">
        <v>3196</v>
      </c>
      <c r="L797" s="76" t="s">
        <v>3197</v>
      </c>
      <c r="M797" s="49" t="s">
        <v>61</v>
      </c>
      <c r="N797" s="39" t="s">
        <v>51</v>
      </c>
      <c r="O797" s="24"/>
      <c r="P797" s="409" t="s">
        <v>3198</v>
      </c>
      <c r="Q797" s="76" t="s">
        <v>1931</v>
      </c>
      <c r="R797" s="76" t="s">
        <v>1885</v>
      </c>
      <c r="S797" s="24"/>
      <c r="T797" s="24"/>
      <c r="U797" s="76" t="s">
        <v>3190</v>
      </c>
      <c r="V797" s="56"/>
      <c r="W797" s="56"/>
      <c r="X797" s="56"/>
      <c r="Y797" s="56"/>
      <c r="Z797" s="56"/>
      <c r="AA797" s="56"/>
      <c r="AB797" s="56"/>
      <c r="AC797" s="56"/>
    </row>
    <row r="798" spans="1:29" ht="15.75" customHeight="1">
      <c r="A798" s="39" t="s">
        <v>3195</v>
      </c>
      <c r="B798" s="107">
        <v>43684</v>
      </c>
      <c r="C798" s="109">
        <v>43684</v>
      </c>
      <c r="D798" s="76" t="s">
        <v>494</v>
      </c>
      <c r="E798" s="76" t="s">
        <v>494</v>
      </c>
      <c r="F798" s="39" t="s">
        <v>3186</v>
      </c>
      <c r="G798" s="399">
        <f>IFERROR(VLOOKUP(A798,醫療院所DATABASE!A:B,2,""),)</f>
        <v>0</v>
      </c>
      <c r="H798" s="64"/>
      <c r="I798" s="109">
        <v>43682</v>
      </c>
      <c r="J798" s="109">
        <v>43684</v>
      </c>
      <c r="K798" s="39" t="s">
        <v>3196</v>
      </c>
      <c r="L798" s="76" t="s">
        <v>3197</v>
      </c>
      <c r="M798" s="186" t="s">
        <v>3199</v>
      </c>
      <c r="N798" s="39" t="s">
        <v>51</v>
      </c>
      <c r="O798" s="24"/>
      <c r="P798" s="409" t="s">
        <v>3200</v>
      </c>
      <c r="Q798" s="76" t="s">
        <v>1931</v>
      </c>
      <c r="R798" s="76" t="s">
        <v>1885</v>
      </c>
      <c r="S798" s="24"/>
      <c r="T798" s="24"/>
      <c r="U798" s="76" t="s">
        <v>3190</v>
      </c>
      <c r="V798" s="56"/>
      <c r="W798" s="56"/>
      <c r="X798" s="56"/>
      <c r="Y798" s="56"/>
      <c r="Z798" s="56"/>
      <c r="AA798" s="56"/>
      <c r="AB798" s="56"/>
      <c r="AC798" s="56"/>
    </row>
    <row r="799" spans="1:29" ht="15.75" customHeight="1">
      <c r="A799" s="39" t="s">
        <v>3201</v>
      </c>
      <c r="B799" s="107">
        <v>43690</v>
      </c>
      <c r="C799" s="109">
        <v>43691</v>
      </c>
      <c r="D799" s="159" t="s">
        <v>1910</v>
      </c>
      <c r="E799" s="76" t="s">
        <v>53</v>
      </c>
      <c r="F799" s="39" t="s">
        <v>2885</v>
      </c>
      <c r="G799" s="399">
        <f>IFERROR(VLOOKUP(A799,醫療院所DATABASE!A:B,2,""),)</f>
        <v>0</v>
      </c>
      <c r="H799" s="64"/>
      <c r="I799" s="109">
        <v>43683</v>
      </c>
      <c r="J799" s="109">
        <v>43685</v>
      </c>
      <c r="K799" s="39" t="s">
        <v>3202</v>
      </c>
      <c r="L799" s="76" t="s">
        <v>3203</v>
      </c>
      <c r="M799" s="49" t="s">
        <v>61</v>
      </c>
      <c r="N799" s="39" t="s">
        <v>62</v>
      </c>
      <c r="O799" s="24"/>
      <c r="P799" s="409" t="s">
        <v>3204</v>
      </c>
      <c r="Q799" s="76" t="s">
        <v>1207</v>
      </c>
      <c r="R799" s="76" t="s">
        <v>2531</v>
      </c>
      <c r="S799" s="24"/>
      <c r="T799" s="24"/>
      <c r="U799" s="64"/>
      <c r="V799" s="56"/>
      <c r="W799" s="56"/>
      <c r="X799" s="56"/>
      <c r="Y799" s="56"/>
      <c r="Z799" s="56"/>
      <c r="AA799" s="56"/>
      <c r="AB799" s="56"/>
      <c r="AC799" s="56"/>
    </row>
    <row r="800" spans="1:29" ht="15.75" customHeight="1">
      <c r="A800" s="39" t="s">
        <v>2283</v>
      </c>
      <c r="B800" s="107">
        <v>43689</v>
      </c>
      <c r="C800" s="109">
        <v>43691</v>
      </c>
      <c r="D800" s="76" t="s">
        <v>479</v>
      </c>
      <c r="E800" s="76" t="s">
        <v>188</v>
      </c>
      <c r="F800" s="39" t="s">
        <v>2284</v>
      </c>
      <c r="G800" s="399">
        <f>IFERROR(VLOOKUP(A800,醫療院所DATABASE!A:B,2,""),)</f>
        <v>0</v>
      </c>
      <c r="H800" s="64"/>
      <c r="I800" s="109">
        <v>43683</v>
      </c>
      <c r="J800" s="109">
        <v>43685</v>
      </c>
      <c r="K800" s="39" t="s">
        <v>3205</v>
      </c>
      <c r="L800" s="76" t="s">
        <v>3206</v>
      </c>
      <c r="M800" s="49" t="s">
        <v>61</v>
      </c>
      <c r="N800" s="39" t="s">
        <v>51</v>
      </c>
      <c r="O800" s="24"/>
      <c r="P800" s="409" t="s">
        <v>3207</v>
      </c>
      <c r="Q800" s="76" t="s">
        <v>64</v>
      </c>
      <c r="R800" s="76" t="s">
        <v>1885</v>
      </c>
      <c r="S800" s="24"/>
      <c r="T800" s="24"/>
      <c r="U800" s="64"/>
      <c r="V800" s="56"/>
      <c r="W800" s="56"/>
      <c r="X800" s="56"/>
      <c r="Y800" s="56"/>
      <c r="Z800" s="56"/>
      <c r="AA800" s="56"/>
      <c r="AB800" s="56"/>
      <c r="AC800" s="56"/>
    </row>
    <row r="801" spans="1:29" ht="15.75" customHeight="1">
      <c r="A801" s="39" t="s">
        <v>2283</v>
      </c>
      <c r="B801" s="107">
        <v>43689</v>
      </c>
      <c r="C801" s="109">
        <v>43691</v>
      </c>
      <c r="D801" s="76" t="s">
        <v>479</v>
      </c>
      <c r="E801" s="76" t="s">
        <v>53</v>
      </c>
      <c r="F801" s="39" t="s">
        <v>2284</v>
      </c>
      <c r="G801" s="399">
        <f>IFERROR(VLOOKUP(A801,醫療院所DATABASE!A:B,2,""),)</f>
        <v>0</v>
      </c>
      <c r="H801" s="64"/>
      <c r="I801" s="109">
        <v>43683</v>
      </c>
      <c r="J801" s="109">
        <v>43685</v>
      </c>
      <c r="K801" s="39" t="s">
        <v>3208</v>
      </c>
      <c r="L801" s="76" t="s">
        <v>3209</v>
      </c>
      <c r="M801" s="49" t="s">
        <v>61</v>
      </c>
      <c r="N801" s="39" t="s">
        <v>62</v>
      </c>
      <c r="O801" s="24"/>
      <c r="P801" s="409" t="s">
        <v>3210</v>
      </c>
      <c r="Q801" s="76" t="s">
        <v>64</v>
      </c>
      <c r="R801" s="76" t="s">
        <v>1885</v>
      </c>
      <c r="S801" s="24"/>
      <c r="T801" s="24"/>
      <c r="U801" s="64"/>
      <c r="V801" s="56"/>
      <c r="W801" s="56"/>
      <c r="X801" s="56"/>
      <c r="Y801" s="56"/>
      <c r="Z801" s="56"/>
      <c r="AA801" s="56"/>
      <c r="AB801" s="56"/>
      <c r="AC801" s="56"/>
    </row>
    <row r="802" spans="1:29" ht="15.75" customHeight="1">
      <c r="A802" s="39" t="s">
        <v>2283</v>
      </c>
      <c r="B802" s="107">
        <v>43689</v>
      </c>
      <c r="C802" s="109">
        <v>43691</v>
      </c>
      <c r="D802" s="76" t="s">
        <v>479</v>
      </c>
      <c r="E802" s="76" t="s">
        <v>188</v>
      </c>
      <c r="F802" s="39" t="s">
        <v>2284</v>
      </c>
      <c r="G802" s="399">
        <f>IFERROR(VLOOKUP(A802,醫療院所DATABASE!A:B,2,""),)</f>
        <v>0</v>
      </c>
      <c r="H802" s="64"/>
      <c r="I802" s="109">
        <v>43683</v>
      </c>
      <c r="J802" s="109">
        <v>43685</v>
      </c>
      <c r="K802" s="39" t="s">
        <v>3211</v>
      </c>
      <c r="L802" s="76" t="s">
        <v>3212</v>
      </c>
      <c r="M802" s="49" t="s">
        <v>61</v>
      </c>
      <c r="N802" s="39" t="s">
        <v>62</v>
      </c>
      <c r="O802" s="24"/>
      <c r="P802" s="409" t="s">
        <v>3213</v>
      </c>
      <c r="Q802" s="76" t="s">
        <v>64</v>
      </c>
      <c r="R802" s="76" t="s">
        <v>1885</v>
      </c>
      <c r="S802" s="24"/>
      <c r="T802" s="24"/>
      <c r="U802" s="64"/>
      <c r="V802" s="56"/>
      <c r="W802" s="56"/>
      <c r="X802" s="56"/>
      <c r="Y802" s="56"/>
      <c r="Z802" s="56"/>
      <c r="AA802" s="56"/>
      <c r="AB802" s="56"/>
      <c r="AC802" s="56"/>
    </row>
    <row r="803" spans="1:29" ht="15.75" customHeight="1">
      <c r="A803" s="39" t="s">
        <v>2283</v>
      </c>
      <c r="B803" s="107">
        <v>43689</v>
      </c>
      <c r="C803" s="109">
        <v>43691</v>
      </c>
      <c r="D803" s="76" t="s">
        <v>479</v>
      </c>
      <c r="E803" s="76" t="s">
        <v>53</v>
      </c>
      <c r="F803" s="39" t="s">
        <v>2284</v>
      </c>
      <c r="G803" s="399">
        <f>IFERROR(VLOOKUP(A803,醫療院所DATABASE!A:B,2,""),)</f>
        <v>0</v>
      </c>
      <c r="H803" s="64"/>
      <c r="I803" s="109">
        <v>43683</v>
      </c>
      <c r="J803" s="109">
        <v>43685</v>
      </c>
      <c r="K803" s="39" t="s">
        <v>3214</v>
      </c>
      <c r="L803" s="76" t="s">
        <v>3215</v>
      </c>
      <c r="M803" s="49" t="s">
        <v>61</v>
      </c>
      <c r="N803" s="39" t="s">
        <v>51</v>
      </c>
      <c r="O803" s="24"/>
      <c r="P803" s="409" t="s">
        <v>3216</v>
      </c>
      <c r="Q803" s="76" t="s">
        <v>64</v>
      </c>
      <c r="R803" s="76" t="s">
        <v>1885</v>
      </c>
      <c r="S803" s="24"/>
      <c r="T803" s="24"/>
      <c r="U803" s="64"/>
      <c r="V803" s="56"/>
      <c r="W803" s="56"/>
      <c r="X803" s="56"/>
      <c r="Y803" s="56"/>
      <c r="Z803" s="56"/>
      <c r="AA803" s="56"/>
      <c r="AB803" s="56"/>
      <c r="AC803" s="56"/>
    </row>
    <row r="804" spans="1:29" ht="15.75" customHeight="1">
      <c r="A804" s="39" t="s">
        <v>2283</v>
      </c>
      <c r="B804" s="107">
        <v>43690</v>
      </c>
      <c r="C804" s="109">
        <v>43691</v>
      </c>
      <c r="D804" s="76" t="s">
        <v>479</v>
      </c>
      <c r="E804" s="76" t="s">
        <v>188</v>
      </c>
      <c r="F804" s="39" t="s">
        <v>2284</v>
      </c>
      <c r="G804" s="399">
        <f>IFERROR(VLOOKUP(A804,醫療院所DATABASE!A:B,2,""),)</f>
        <v>0</v>
      </c>
      <c r="H804" s="64"/>
      <c r="I804" s="109">
        <v>43683</v>
      </c>
      <c r="J804" s="109">
        <v>43685</v>
      </c>
      <c r="K804" s="39" t="s">
        <v>3220</v>
      </c>
      <c r="L804" s="76" t="s">
        <v>3221</v>
      </c>
      <c r="M804" s="49" t="s">
        <v>61</v>
      </c>
      <c r="N804" s="39" t="s">
        <v>51</v>
      </c>
      <c r="O804" s="24"/>
      <c r="P804" s="409" t="s">
        <v>3222</v>
      </c>
      <c r="Q804" s="76" t="s">
        <v>64</v>
      </c>
      <c r="R804" s="76" t="s">
        <v>1885</v>
      </c>
      <c r="S804" s="24"/>
      <c r="T804" s="24"/>
      <c r="U804" s="64"/>
      <c r="V804" s="56"/>
      <c r="W804" s="56"/>
      <c r="X804" s="56"/>
      <c r="Y804" s="56"/>
      <c r="Z804" s="56"/>
      <c r="AA804" s="56"/>
      <c r="AB804" s="56"/>
      <c r="AC804" s="56"/>
    </row>
    <row r="805" spans="1:29" ht="15.75" customHeight="1">
      <c r="A805" s="39" t="s">
        <v>2283</v>
      </c>
      <c r="B805" s="107">
        <v>43689</v>
      </c>
      <c r="C805" s="109">
        <v>43691</v>
      </c>
      <c r="D805" s="76" t="s">
        <v>479</v>
      </c>
      <c r="E805" s="76" t="s">
        <v>53</v>
      </c>
      <c r="F805" s="39" t="s">
        <v>2284</v>
      </c>
      <c r="G805" s="399">
        <f>IFERROR(VLOOKUP(A805,醫療院所DATABASE!A:B,2,""),)</f>
        <v>0</v>
      </c>
      <c r="H805" s="64"/>
      <c r="I805" s="109">
        <v>43683</v>
      </c>
      <c r="J805" s="109">
        <v>43685</v>
      </c>
      <c r="K805" s="39" t="s">
        <v>3223</v>
      </c>
      <c r="L805" s="76" t="s">
        <v>3224</v>
      </c>
      <c r="M805" s="49" t="s">
        <v>61</v>
      </c>
      <c r="N805" s="39" t="s">
        <v>51</v>
      </c>
      <c r="O805" s="24"/>
      <c r="P805" s="409" t="s">
        <v>3225</v>
      </c>
      <c r="Q805" s="76" t="s">
        <v>64</v>
      </c>
      <c r="R805" s="76" t="s">
        <v>1885</v>
      </c>
      <c r="S805" s="24"/>
      <c r="T805" s="24"/>
      <c r="U805" s="64"/>
      <c r="V805" s="56"/>
      <c r="W805" s="56"/>
      <c r="X805" s="56"/>
      <c r="Y805" s="56"/>
      <c r="Z805" s="56"/>
      <c r="AA805" s="56"/>
      <c r="AB805" s="56"/>
      <c r="AC805" s="56"/>
    </row>
    <row r="806" spans="1:29" ht="15.75" customHeight="1">
      <c r="A806" s="39" t="s">
        <v>3226</v>
      </c>
      <c r="B806" s="107">
        <v>43685</v>
      </c>
      <c r="C806" s="109">
        <v>43691</v>
      </c>
      <c r="D806" s="76" t="s">
        <v>366</v>
      </c>
      <c r="E806" s="76" t="s">
        <v>366</v>
      </c>
      <c r="F806" s="39" t="s">
        <v>2304</v>
      </c>
      <c r="G806" s="399">
        <f>IFERROR(VLOOKUP(A806,醫療院所DATABASE!A:B,2,""),)</f>
        <v>0</v>
      </c>
      <c r="H806" s="64"/>
      <c r="I806" s="109">
        <v>43684</v>
      </c>
      <c r="J806" s="109">
        <v>43686</v>
      </c>
      <c r="K806" s="39" t="s">
        <v>3227</v>
      </c>
      <c r="L806" s="76" t="s">
        <v>3228</v>
      </c>
      <c r="M806" s="49" t="s">
        <v>61</v>
      </c>
      <c r="N806" s="39" t="s">
        <v>51</v>
      </c>
      <c r="O806" s="24"/>
      <c r="P806" s="409" t="s">
        <v>3229</v>
      </c>
      <c r="Q806" s="76" t="s">
        <v>64</v>
      </c>
      <c r="R806" s="76" t="s">
        <v>1885</v>
      </c>
      <c r="S806" s="24"/>
      <c r="T806" s="24"/>
      <c r="U806" s="76" t="s">
        <v>2996</v>
      </c>
      <c r="V806" s="56"/>
      <c r="W806" s="56"/>
      <c r="X806" s="56"/>
      <c r="Y806" s="56"/>
      <c r="Z806" s="56"/>
      <c r="AA806" s="56"/>
      <c r="AB806" s="56"/>
      <c r="AC806" s="56"/>
    </row>
    <row r="807" spans="1:29" ht="15.75" customHeight="1">
      <c r="A807" s="39" t="s">
        <v>3226</v>
      </c>
      <c r="B807" s="107">
        <v>43689</v>
      </c>
      <c r="C807" s="109">
        <v>43691</v>
      </c>
      <c r="D807" s="76" t="s">
        <v>366</v>
      </c>
      <c r="E807" s="76" t="s">
        <v>366</v>
      </c>
      <c r="F807" s="39" t="s">
        <v>2304</v>
      </c>
      <c r="G807" s="399">
        <f>IFERROR(VLOOKUP(A807,醫療院所DATABASE!A:B,2,""),)</f>
        <v>0</v>
      </c>
      <c r="H807" s="64"/>
      <c r="I807" s="109">
        <v>43684</v>
      </c>
      <c r="J807" s="109">
        <v>43686</v>
      </c>
      <c r="K807" s="39" t="s">
        <v>3230</v>
      </c>
      <c r="L807" s="76" t="s">
        <v>3231</v>
      </c>
      <c r="M807" s="49" t="s">
        <v>61</v>
      </c>
      <c r="N807" s="39" t="s">
        <v>62</v>
      </c>
      <c r="O807" s="24"/>
      <c r="P807" s="409" t="s">
        <v>3232</v>
      </c>
      <c r="Q807" s="76" t="s">
        <v>64</v>
      </c>
      <c r="R807" s="76" t="s">
        <v>1885</v>
      </c>
      <c r="S807" s="24"/>
      <c r="T807" s="24"/>
      <c r="U807" s="76" t="s">
        <v>2996</v>
      </c>
      <c r="V807" s="56"/>
      <c r="W807" s="56"/>
      <c r="X807" s="56"/>
      <c r="Y807" s="56"/>
      <c r="Z807" s="56"/>
      <c r="AA807" s="56"/>
      <c r="AB807" s="56"/>
      <c r="AC807" s="56"/>
    </row>
    <row r="808" spans="1:29" ht="15.75" customHeight="1">
      <c r="A808" s="39" t="s">
        <v>3226</v>
      </c>
      <c r="B808" s="107">
        <v>43685</v>
      </c>
      <c r="C808" s="109">
        <v>43691</v>
      </c>
      <c r="D808" s="76" t="s">
        <v>366</v>
      </c>
      <c r="E808" s="76" t="s">
        <v>366</v>
      </c>
      <c r="F808" s="39" t="s">
        <v>2304</v>
      </c>
      <c r="G808" s="399">
        <f>IFERROR(VLOOKUP(A808,醫療院所DATABASE!A:B,2,""),)</f>
        <v>0</v>
      </c>
      <c r="H808" s="64"/>
      <c r="I808" s="109">
        <v>43684</v>
      </c>
      <c r="J808" s="109">
        <v>43686</v>
      </c>
      <c r="K808" s="39" t="s">
        <v>3233</v>
      </c>
      <c r="L808" s="76" t="s">
        <v>3234</v>
      </c>
      <c r="M808" s="49" t="s">
        <v>61</v>
      </c>
      <c r="N808" s="39" t="s">
        <v>51</v>
      </c>
      <c r="O808" s="24"/>
      <c r="P808" s="409" t="s">
        <v>3235</v>
      </c>
      <c r="Q808" s="76" t="s">
        <v>64</v>
      </c>
      <c r="R808" s="76" t="s">
        <v>1885</v>
      </c>
      <c r="S808" s="24"/>
      <c r="T808" s="24"/>
      <c r="U808" s="76" t="s">
        <v>2996</v>
      </c>
      <c r="V808" s="56"/>
      <c r="W808" s="56"/>
      <c r="X808" s="56"/>
      <c r="Y808" s="56"/>
      <c r="Z808" s="56"/>
      <c r="AA808" s="56"/>
      <c r="AB808" s="56"/>
      <c r="AC808" s="56"/>
    </row>
    <row r="809" spans="1:29" ht="15.75" customHeight="1">
      <c r="A809" s="39" t="s">
        <v>3226</v>
      </c>
      <c r="B809" s="107">
        <v>43689</v>
      </c>
      <c r="C809" s="109">
        <v>43691</v>
      </c>
      <c r="D809" s="76" t="s">
        <v>366</v>
      </c>
      <c r="E809" s="76" t="s">
        <v>366</v>
      </c>
      <c r="F809" s="39" t="s">
        <v>2304</v>
      </c>
      <c r="G809" s="399">
        <f>IFERROR(VLOOKUP(A809,醫療院所DATABASE!A:B,2,""),)</f>
        <v>0</v>
      </c>
      <c r="H809" s="64"/>
      <c r="I809" s="109">
        <v>43684</v>
      </c>
      <c r="J809" s="109">
        <v>43686</v>
      </c>
      <c r="K809" s="39" t="s">
        <v>3236</v>
      </c>
      <c r="L809" s="76" t="s">
        <v>499</v>
      </c>
      <c r="M809" s="49" t="s">
        <v>61</v>
      </c>
      <c r="N809" s="39" t="s">
        <v>62</v>
      </c>
      <c r="O809" s="24"/>
      <c r="P809" s="409" t="s">
        <v>3237</v>
      </c>
      <c r="Q809" s="76" t="s">
        <v>64</v>
      </c>
      <c r="R809" s="76" t="s">
        <v>1885</v>
      </c>
      <c r="S809" s="24"/>
      <c r="T809" s="24"/>
      <c r="U809" s="76" t="s">
        <v>2996</v>
      </c>
      <c r="V809" s="56"/>
      <c r="W809" s="56"/>
      <c r="X809" s="56"/>
      <c r="Y809" s="56"/>
      <c r="Z809" s="56"/>
      <c r="AA809" s="56"/>
      <c r="AB809" s="56"/>
      <c r="AC809" s="56"/>
    </row>
    <row r="810" spans="1:29" ht="15.75" customHeight="1">
      <c r="A810" s="39" t="s">
        <v>3226</v>
      </c>
      <c r="B810" s="107">
        <v>43689</v>
      </c>
      <c r="C810" s="109">
        <v>43691</v>
      </c>
      <c r="D810" s="76" t="s">
        <v>366</v>
      </c>
      <c r="E810" s="76" t="s">
        <v>366</v>
      </c>
      <c r="F810" s="39" t="s">
        <v>2304</v>
      </c>
      <c r="G810" s="399">
        <f>IFERROR(VLOOKUP(A810,醫療院所DATABASE!A:B,2,""),)</f>
        <v>0</v>
      </c>
      <c r="H810" s="64"/>
      <c r="I810" s="109">
        <v>43684</v>
      </c>
      <c r="J810" s="109">
        <v>43686</v>
      </c>
      <c r="K810" s="39" t="s">
        <v>3238</v>
      </c>
      <c r="L810" s="76" t="s">
        <v>3239</v>
      </c>
      <c r="M810" s="49" t="s">
        <v>61</v>
      </c>
      <c r="N810" s="39" t="s">
        <v>62</v>
      </c>
      <c r="O810" s="24"/>
      <c r="P810" s="409" t="s">
        <v>3240</v>
      </c>
      <c r="Q810" s="76" t="s">
        <v>64</v>
      </c>
      <c r="R810" s="76" t="s">
        <v>1885</v>
      </c>
      <c r="S810" s="24"/>
      <c r="T810" s="24"/>
      <c r="U810" s="76" t="s">
        <v>2996</v>
      </c>
      <c r="V810" s="56"/>
      <c r="W810" s="56"/>
      <c r="X810" s="56"/>
      <c r="Y810" s="56"/>
      <c r="Z810" s="56"/>
      <c r="AA810" s="56"/>
      <c r="AB810" s="56"/>
      <c r="AC810" s="56"/>
    </row>
    <row r="811" spans="1:29" ht="15.75" customHeight="1">
      <c r="A811" s="39" t="s">
        <v>3241</v>
      </c>
      <c r="B811" s="107">
        <v>43685</v>
      </c>
      <c r="C811" s="109">
        <v>43691</v>
      </c>
      <c r="D811" s="76" t="s">
        <v>366</v>
      </c>
      <c r="E811" s="76" t="s">
        <v>366</v>
      </c>
      <c r="F811" s="39" t="s">
        <v>3242</v>
      </c>
      <c r="G811" s="399">
        <f>IFERROR(VLOOKUP(A811,醫療院所DATABASE!A:B,2,""),)</f>
        <v>0</v>
      </c>
      <c r="H811" s="64"/>
      <c r="I811" s="109">
        <v>43684</v>
      </c>
      <c r="J811" s="109">
        <v>43686</v>
      </c>
      <c r="K811" s="39" t="s">
        <v>3243</v>
      </c>
      <c r="L811" s="76" t="s">
        <v>3244</v>
      </c>
      <c r="M811" s="49" t="s">
        <v>61</v>
      </c>
      <c r="N811" s="39" t="s">
        <v>51</v>
      </c>
      <c r="O811" s="24"/>
      <c r="P811" s="409" t="s">
        <v>3245</v>
      </c>
      <c r="Q811" s="76" t="s">
        <v>64</v>
      </c>
      <c r="R811" s="76" t="s">
        <v>1885</v>
      </c>
      <c r="S811" s="24"/>
      <c r="T811" s="24"/>
      <c r="U811" s="76" t="s">
        <v>2996</v>
      </c>
      <c r="V811" s="56"/>
      <c r="W811" s="56"/>
      <c r="X811" s="56"/>
      <c r="Y811" s="56"/>
      <c r="Z811" s="56"/>
      <c r="AA811" s="56"/>
      <c r="AB811" s="56"/>
      <c r="AC811" s="56"/>
    </row>
    <row r="812" spans="1:29" ht="15.75" customHeight="1">
      <c r="A812" s="39" t="s">
        <v>3241</v>
      </c>
      <c r="B812" s="107">
        <v>43685</v>
      </c>
      <c r="C812" s="109">
        <v>43691</v>
      </c>
      <c r="D812" s="76" t="s">
        <v>366</v>
      </c>
      <c r="E812" s="76" t="s">
        <v>366</v>
      </c>
      <c r="F812" s="39" t="s">
        <v>3242</v>
      </c>
      <c r="G812" s="399">
        <f>IFERROR(VLOOKUP(A812,醫療院所DATABASE!A:B,2,""),)</f>
        <v>0</v>
      </c>
      <c r="H812" s="64"/>
      <c r="I812" s="109">
        <v>43684</v>
      </c>
      <c r="J812" s="109">
        <v>43686</v>
      </c>
      <c r="K812" s="39" t="s">
        <v>3246</v>
      </c>
      <c r="L812" s="76" t="s">
        <v>3247</v>
      </c>
      <c r="M812" s="49" t="s">
        <v>61</v>
      </c>
      <c r="N812" s="39" t="s">
        <v>62</v>
      </c>
      <c r="O812" s="24"/>
      <c r="P812" s="409" t="s">
        <v>3248</v>
      </c>
      <c r="Q812" s="76" t="s">
        <v>64</v>
      </c>
      <c r="R812" s="76" t="s">
        <v>1885</v>
      </c>
      <c r="S812" s="24"/>
      <c r="T812" s="24"/>
      <c r="U812" s="76" t="s">
        <v>2996</v>
      </c>
      <c r="V812" s="56"/>
      <c r="W812" s="56"/>
      <c r="X812" s="56"/>
      <c r="Y812" s="56"/>
      <c r="Z812" s="56"/>
      <c r="AA812" s="56"/>
      <c r="AB812" s="56"/>
      <c r="AC812" s="56"/>
    </row>
    <row r="813" spans="1:29" ht="15.75" customHeight="1">
      <c r="A813" s="39" t="s">
        <v>3241</v>
      </c>
      <c r="B813" s="107">
        <v>43689</v>
      </c>
      <c r="C813" s="109">
        <v>43691</v>
      </c>
      <c r="D813" s="76" t="s">
        <v>366</v>
      </c>
      <c r="E813" s="76" t="s">
        <v>366</v>
      </c>
      <c r="F813" s="39" t="s">
        <v>3242</v>
      </c>
      <c r="G813" s="399">
        <f>IFERROR(VLOOKUP(A813,醫療院所DATABASE!A:B,2,""),)</f>
        <v>0</v>
      </c>
      <c r="H813" s="64"/>
      <c r="I813" s="109">
        <v>43684</v>
      </c>
      <c r="J813" s="109">
        <v>43686</v>
      </c>
      <c r="K813" s="39" t="s">
        <v>3249</v>
      </c>
      <c r="L813" s="76" t="s">
        <v>3250</v>
      </c>
      <c r="M813" s="49" t="s">
        <v>61</v>
      </c>
      <c r="N813" s="39" t="s">
        <v>62</v>
      </c>
      <c r="O813" s="24"/>
      <c r="P813" s="409" t="s">
        <v>3251</v>
      </c>
      <c r="Q813" s="76" t="s">
        <v>64</v>
      </c>
      <c r="R813" s="76" t="s">
        <v>1885</v>
      </c>
      <c r="S813" s="24"/>
      <c r="T813" s="24"/>
      <c r="U813" s="76" t="s">
        <v>2996</v>
      </c>
      <c r="V813" s="56"/>
      <c r="W813" s="56"/>
      <c r="X813" s="56"/>
      <c r="Y813" s="56"/>
      <c r="Z813" s="56"/>
      <c r="AA813" s="56"/>
      <c r="AB813" s="56"/>
      <c r="AC813" s="56"/>
    </row>
    <row r="814" spans="1:29" ht="15.75" customHeight="1">
      <c r="A814" s="39" t="s">
        <v>3241</v>
      </c>
      <c r="B814" s="107">
        <v>43689</v>
      </c>
      <c r="C814" s="109">
        <v>43691</v>
      </c>
      <c r="D814" s="76" t="s">
        <v>366</v>
      </c>
      <c r="E814" s="76" t="s">
        <v>366</v>
      </c>
      <c r="F814" s="39" t="s">
        <v>3242</v>
      </c>
      <c r="G814" s="399">
        <f>IFERROR(VLOOKUP(A814,醫療院所DATABASE!A:B,2,""),)</f>
        <v>0</v>
      </c>
      <c r="H814" s="64"/>
      <c r="I814" s="109">
        <v>43684</v>
      </c>
      <c r="J814" s="109">
        <v>43686</v>
      </c>
      <c r="K814" s="39" t="s">
        <v>3252</v>
      </c>
      <c r="L814" s="76" t="s">
        <v>3253</v>
      </c>
      <c r="M814" s="49" t="s">
        <v>61</v>
      </c>
      <c r="N814" s="39" t="s">
        <v>62</v>
      </c>
      <c r="O814" s="24"/>
      <c r="P814" s="409" t="s">
        <v>3254</v>
      </c>
      <c r="Q814" s="76" t="s">
        <v>64</v>
      </c>
      <c r="R814" s="76" t="s">
        <v>1885</v>
      </c>
      <c r="S814" s="24"/>
      <c r="T814" s="24"/>
      <c r="U814" s="76" t="s">
        <v>2996</v>
      </c>
      <c r="V814" s="56"/>
      <c r="W814" s="56"/>
      <c r="X814" s="56"/>
      <c r="Y814" s="56"/>
      <c r="Z814" s="56"/>
      <c r="AA814" s="56"/>
      <c r="AB814" s="56"/>
      <c r="AC814" s="56"/>
    </row>
    <row r="815" spans="1:29" ht="15.75" customHeight="1">
      <c r="A815" s="39" t="s">
        <v>3255</v>
      </c>
      <c r="B815" s="107">
        <v>43685</v>
      </c>
      <c r="C815" s="130">
        <v>43690</v>
      </c>
      <c r="D815" s="76" t="s">
        <v>1613</v>
      </c>
      <c r="E815" s="76" t="s">
        <v>53</v>
      </c>
      <c r="F815" s="39" t="s">
        <v>2686</v>
      </c>
      <c r="G815" s="399">
        <f>IFERROR(VLOOKUP(A815,醫療院所DATABASE!A:B,2,""),)</f>
        <v>0</v>
      </c>
      <c r="H815" s="64"/>
      <c r="I815" s="109">
        <v>43684</v>
      </c>
      <c r="J815" s="109">
        <v>43686</v>
      </c>
      <c r="K815" s="39" t="s">
        <v>3256</v>
      </c>
      <c r="L815" s="76" t="s">
        <v>3257</v>
      </c>
      <c r="M815" s="93" t="s">
        <v>641</v>
      </c>
      <c r="N815" s="39" t="s">
        <v>62</v>
      </c>
      <c r="O815" s="24"/>
      <c r="P815" s="409" t="s">
        <v>3258</v>
      </c>
      <c r="Q815" s="76" t="s">
        <v>64</v>
      </c>
      <c r="R815" s="76" t="s">
        <v>1885</v>
      </c>
      <c r="S815" s="24"/>
      <c r="T815" s="24"/>
      <c r="U815" s="76"/>
      <c r="V815" s="56"/>
      <c r="W815" s="56"/>
      <c r="X815" s="56"/>
      <c r="Y815" s="56"/>
      <c r="Z815" s="56"/>
      <c r="AA815" s="56"/>
      <c r="AB815" s="56"/>
      <c r="AC815" s="56"/>
    </row>
    <row r="816" spans="1:29" ht="15.75" customHeight="1">
      <c r="A816" s="39" t="s">
        <v>1079</v>
      </c>
      <c r="B816" s="107">
        <v>43685</v>
      </c>
      <c r="C816" s="109">
        <v>43691</v>
      </c>
      <c r="D816" s="76" t="s">
        <v>366</v>
      </c>
      <c r="E816" s="76" t="s">
        <v>366</v>
      </c>
      <c r="F816" s="39" t="s">
        <v>2307</v>
      </c>
      <c r="G816" s="399">
        <f>IFERROR(VLOOKUP(A816,醫療院所DATABASE!A:B,2,""),)</f>
        <v>0</v>
      </c>
      <c r="H816" s="64"/>
      <c r="I816" s="109">
        <v>43684</v>
      </c>
      <c r="J816" s="109">
        <v>43686</v>
      </c>
      <c r="K816" s="39" t="s">
        <v>3259</v>
      </c>
      <c r="L816" s="76" t="s">
        <v>3260</v>
      </c>
      <c r="M816" s="177" t="s">
        <v>963</v>
      </c>
      <c r="N816" s="39" t="s">
        <v>62</v>
      </c>
      <c r="O816" s="24"/>
      <c r="P816" s="409" t="s">
        <v>3261</v>
      </c>
      <c r="Q816" s="76" t="s">
        <v>64</v>
      </c>
      <c r="R816" s="76" t="s">
        <v>1885</v>
      </c>
      <c r="S816" s="24"/>
      <c r="T816" s="24"/>
      <c r="U816" s="76" t="s">
        <v>2996</v>
      </c>
      <c r="V816" s="56"/>
      <c r="W816" s="56"/>
      <c r="X816" s="56"/>
      <c r="Y816" s="56"/>
      <c r="Z816" s="56"/>
      <c r="AA816" s="56"/>
      <c r="AB816" s="56"/>
      <c r="AC816" s="56"/>
    </row>
    <row r="817" spans="1:29" ht="15.75" customHeight="1">
      <c r="A817" s="39" t="s">
        <v>1674</v>
      </c>
      <c r="B817" s="107">
        <v>43689</v>
      </c>
      <c r="C817" s="109">
        <v>43689</v>
      </c>
      <c r="D817" s="76" t="s">
        <v>479</v>
      </c>
      <c r="E817" s="76" t="s">
        <v>2693</v>
      </c>
      <c r="F817" s="39" t="s">
        <v>2103</v>
      </c>
      <c r="G817" s="399">
        <f>IFERROR(VLOOKUP(A817,醫療院所DATABASE!A:B,2,""),)</f>
        <v>0</v>
      </c>
      <c r="H817" s="64"/>
      <c r="I817" s="109">
        <v>43684</v>
      </c>
      <c r="J817" s="109">
        <v>43686</v>
      </c>
      <c r="K817" s="39" t="s">
        <v>3262</v>
      </c>
      <c r="L817" s="76" t="s">
        <v>3263</v>
      </c>
      <c r="M817" s="177" t="s">
        <v>963</v>
      </c>
      <c r="N817" s="39" t="s">
        <v>62</v>
      </c>
      <c r="O817" s="24"/>
      <c r="P817" s="409" t="s">
        <v>3264</v>
      </c>
      <c r="Q817" s="76" t="s">
        <v>1207</v>
      </c>
      <c r="R817" s="76" t="s">
        <v>1885</v>
      </c>
      <c r="S817" s="24"/>
      <c r="T817" s="24"/>
      <c r="U817" s="76"/>
      <c r="V817" s="56"/>
      <c r="W817" s="56"/>
      <c r="X817" s="56"/>
      <c r="Y817" s="56"/>
      <c r="Z817" s="56"/>
      <c r="AA817" s="56"/>
      <c r="AB817" s="56"/>
      <c r="AC817" s="56"/>
    </row>
    <row r="818" spans="1:29" ht="15.75" customHeight="1">
      <c r="A818" s="39" t="s">
        <v>1674</v>
      </c>
      <c r="B818" s="107">
        <v>43689</v>
      </c>
      <c r="C818" s="109">
        <v>43689</v>
      </c>
      <c r="D818" s="76" t="s">
        <v>479</v>
      </c>
      <c r="E818" s="76" t="s">
        <v>2693</v>
      </c>
      <c r="F818" s="39" t="s">
        <v>2103</v>
      </c>
      <c r="G818" s="399">
        <f>IFERROR(VLOOKUP(A818,醫療院所DATABASE!A:B,2,""),)</f>
        <v>0</v>
      </c>
      <c r="H818" s="64"/>
      <c r="I818" s="109">
        <v>43684</v>
      </c>
      <c r="J818" s="109">
        <v>43686</v>
      </c>
      <c r="K818" s="39" t="s">
        <v>3265</v>
      </c>
      <c r="L818" s="76" t="s">
        <v>3266</v>
      </c>
      <c r="M818" s="177" t="s">
        <v>963</v>
      </c>
      <c r="N818" s="39" t="s">
        <v>62</v>
      </c>
      <c r="O818" s="24"/>
      <c r="P818" s="409" t="s">
        <v>3267</v>
      </c>
      <c r="Q818" s="76" t="s">
        <v>1207</v>
      </c>
      <c r="R818" s="76" t="s">
        <v>1885</v>
      </c>
      <c r="S818" s="24"/>
      <c r="T818" s="24"/>
      <c r="U818" s="64"/>
      <c r="V818" s="56"/>
      <c r="W818" s="56"/>
      <c r="X818" s="56"/>
      <c r="Y818" s="56"/>
      <c r="Z818" s="56"/>
      <c r="AA818" s="56"/>
      <c r="AB818" s="56"/>
      <c r="AC818" s="56"/>
    </row>
    <row r="819" spans="1:29" ht="15.75" customHeight="1">
      <c r="A819" s="39" t="s">
        <v>1674</v>
      </c>
      <c r="B819" s="107">
        <v>43689</v>
      </c>
      <c r="C819" s="109">
        <v>43689</v>
      </c>
      <c r="D819" s="76" t="s">
        <v>479</v>
      </c>
      <c r="E819" s="76" t="s">
        <v>2693</v>
      </c>
      <c r="F819" s="39" t="s">
        <v>2103</v>
      </c>
      <c r="G819" s="399">
        <f>IFERROR(VLOOKUP(A819,醫療院所DATABASE!A:B,2,""),)</f>
        <v>0</v>
      </c>
      <c r="H819" s="64"/>
      <c r="I819" s="109">
        <v>43684</v>
      </c>
      <c r="J819" s="109">
        <v>43686</v>
      </c>
      <c r="K819" s="39" t="s">
        <v>3268</v>
      </c>
      <c r="L819" s="76" t="s">
        <v>3269</v>
      </c>
      <c r="M819" s="177" t="s">
        <v>963</v>
      </c>
      <c r="N819" s="39" t="s">
        <v>62</v>
      </c>
      <c r="O819" s="24"/>
      <c r="P819" s="409" t="s">
        <v>3270</v>
      </c>
      <c r="Q819" s="76" t="s">
        <v>1207</v>
      </c>
      <c r="R819" s="76" t="s">
        <v>1885</v>
      </c>
      <c r="S819" s="24"/>
      <c r="T819" s="24"/>
      <c r="U819" s="64"/>
      <c r="V819" s="56"/>
      <c r="W819" s="56"/>
      <c r="X819" s="56"/>
      <c r="Y819" s="56"/>
      <c r="Z819" s="56"/>
      <c r="AA819" s="56"/>
      <c r="AB819" s="56"/>
      <c r="AC819" s="56"/>
    </row>
    <row r="820" spans="1:29" ht="15.75" customHeight="1">
      <c r="A820" s="39" t="s">
        <v>1674</v>
      </c>
      <c r="B820" s="107">
        <v>43689</v>
      </c>
      <c r="C820" s="109">
        <v>43689</v>
      </c>
      <c r="D820" s="76" t="s">
        <v>479</v>
      </c>
      <c r="E820" s="76" t="s">
        <v>2693</v>
      </c>
      <c r="F820" s="39" t="s">
        <v>2103</v>
      </c>
      <c r="G820" s="399">
        <f>IFERROR(VLOOKUP(A820,醫療院所DATABASE!A:B,2,""),)</f>
        <v>0</v>
      </c>
      <c r="H820" s="64"/>
      <c r="I820" s="109">
        <v>43684</v>
      </c>
      <c r="J820" s="109">
        <v>43686</v>
      </c>
      <c r="K820" s="39" t="s">
        <v>3271</v>
      </c>
      <c r="L820" s="76" t="s">
        <v>3272</v>
      </c>
      <c r="M820" s="177" t="s">
        <v>963</v>
      </c>
      <c r="N820" s="39" t="s">
        <v>62</v>
      </c>
      <c r="O820" s="24"/>
      <c r="P820" s="409" t="s">
        <v>3273</v>
      </c>
      <c r="Q820" s="76" t="s">
        <v>1207</v>
      </c>
      <c r="R820" s="76" t="s">
        <v>1885</v>
      </c>
      <c r="S820" s="24"/>
      <c r="T820" s="24"/>
      <c r="U820" s="64"/>
      <c r="V820" s="56"/>
      <c r="W820" s="56"/>
      <c r="X820" s="56"/>
      <c r="Y820" s="56"/>
      <c r="Z820" s="56"/>
      <c r="AA820" s="56"/>
      <c r="AB820" s="56"/>
      <c r="AC820" s="56"/>
    </row>
    <row r="821" spans="1:29" ht="15.75" customHeight="1">
      <c r="A821" s="39" t="s">
        <v>1674</v>
      </c>
      <c r="B821" s="107">
        <v>43689</v>
      </c>
      <c r="C821" s="109">
        <v>43689</v>
      </c>
      <c r="D821" s="76" t="s">
        <v>479</v>
      </c>
      <c r="E821" s="76" t="s">
        <v>2693</v>
      </c>
      <c r="F821" s="39" t="s">
        <v>2103</v>
      </c>
      <c r="G821" s="399">
        <f>IFERROR(VLOOKUP(A821,醫療院所DATABASE!A:B,2,""),)</f>
        <v>0</v>
      </c>
      <c r="H821" s="64"/>
      <c r="I821" s="109">
        <v>43684</v>
      </c>
      <c r="J821" s="109">
        <v>43686</v>
      </c>
      <c r="K821" s="39" t="s">
        <v>3262</v>
      </c>
      <c r="L821" s="76" t="s">
        <v>3263</v>
      </c>
      <c r="M821" s="39" t="s">
        <v>2201</v>
      </c>
      <c r="N821" s="39" t="s">
        <v>62</v>
      </c>
      <c r="O821" s="24"/>
      <c r="P821" s="409" t="s">
        <v>3274</v>
      </c>
      <c r="Q821" s="76" t="s">
        <v>1207</v>
      </c>
      <c r="R821" s="76" t="s">
        <v>1885</v>
      </c>
      <c r="S821" s="24"/>
      <c r="T821" s="24"/>
      <c r="U821" s="64"/>
      <c r="V821" s="56"/>
      <c r="W821" s="56"/>
      <c r="X821" s="56"/>
      <c r="Y821" s="56"/>
      <c r="Z821" s="56"/>
      <c r="AA821" s="56"/>
      <c r="AB821" s="56"/>
      <c r="AC821" s="56"/>
    </row>
    <row r="822" spans="1:29" ht="15.75" customHeight="1">
      <c r="A822" s="39" t="s">
        <v>1674</v>
      </c>
      <c r="B822" s="107">
        <v>43689</v>
      </c>
      <c r="C822" s="109">
        <v>43689</v>
      </c>
      <c r="D822" s="76" t="s">
        <v>479</v>
      </c>
      <c r="E822" s="76" t="s">
        <v>2693</v>
      </c>
      <c r="F822" s="39" t="s">
        <v>2103</v>
      </c>
      <c r="G822" s="399">
        <f>IFERROR(VLOOKUP(A822,醫療院所DATABASE!A:B,2,""),)</f>
        <v>0</v>
      </c>
      <c r="H822" s="64"/>
      <c r="I822" s="109">
        <v>43684</v>
      </c>
      <c r="J822" s="109">
        <v>43686</v>
      </c>
      <c r="K822" s="39" t="s">
        <v>3265</v>
      </c>
      <c r="L822" s="174" t="s">
        <v>3266</v>
      </c>
      <c r="M822" s="39" t="s">
        <v>2201</v>
      </c>
      <c r="N822" s="39" t="s">
        <v>62</v>
      </c>
      <c r="O822" s="24"/>
      <c r="P822" s="409" t="s">
        <v>3275</v>
      </c>
      <c r="Q822" s="76" t="s">
        <v>1207</v>
      </c>
      <c r="R822" s="76" t="s">
        <v>1885</v>
      </c>
      <c r="S822" s="24"/>
      <c r="T822" s="24"/>
      <c r="U822" s="64"/>
      <c r="V822" s="56"/>
      <c r="W822" s="56"/>
      <c r="X822" s="56"/>
      <c r="Y822" s="56"/>
      <c r="Z822" s="56"/>
      <c r="AA822" s="56"/>
      <c r="AB822" s="56"/>
      <c r="AC822" s="56"/>
    </row>
    <row r="823" spans="1:29" ht="15.75" customHeight="1">
      <c r="A823" s="39" t="s">
        <v>1674</v>
      </c>
      <c r="B823" s="107">
        <v>43689</v>
      </c>
      <c r="C823" s="109">
        <v>43689</v>
      </c>
      <c r="D823" s="76" t="s">
        <v>479</v>
      </c>
      <c r="E823" s="76" t="s">
        <v>2693</v>
      </c>
      <c r="F823" s="39" t="s">
        <v>2103</v>
      </c>
      <c r="G823" s="399">
        <f>IFERROR(VLOOKUP(A823,醫療院所DATABASE!A:B,2,""),)</f>
        <v>0</v>
      </c>
      <c r="H823" s="64"/>
      <c r="I823" s="109">
        <v>43684</v>
      </c>
      <c r="J823" s="109">
        <v>43686</v>
      </c>
      <c r="K823" s="39" t="s">
        <v>3268</v>
      </c>
      <c r="L823" s="174" t="s">
        <v>3269</v>
      </c>
      <c r="M823" s="39" t="s">
        <v>2201</v>
      </c>
      <c r="N823" s="39" t="s">
        <v>62</v>
      </c>
      <c r="O823" s="24"/>
      <c r="P823" s="409" t="s">
        <v>3276</v>
      </c>
      <c r="Q823" s="76" t="s">
        <v>1207</v>
      </c>
      <c r="R823" s="76" t="s">
        <v>1885</v>
      </c>
      <c r="S823" s="24"/>
      <c r="T823" s="24"/>
      <c r="U823" s="64"/>
      <c r="V823" s="56"/>
      <c r="W823" s="56"/>
      <c r="X823" s="56"/>
      <c r="Y823" s="56"/>
      <c r="Z823" s="56"/>
      <c r="AA823" s="56"/>
      <c r="AB823" s="56"/>
      <c r="AC823" s="56"/>
    </row>
    <row r="824" spans="1:29" ht="15.75" customHeight="1">
      <c r="A824" s="39" t="s">
        <v>1674</v>
      </c>
      <c r="B824" s="107">
        <v>43689</v>
      </c>
      <c r="C824" s="109">
        <v>43689</v>
      </c>
      <c r="D824" s="76" t="s">
        <v>479</v>
      </c>
      <c r="E824" s="76" t="s">
        <v>2693</v>
      </c>
      <c r="F824" s="39" t="s">
        <v>2103</v>
      </c>
      <c r="G824" s="399">
        <f>IFERROR(VLOOKUP(A824,醫療院所DATABASE!A:B,2,""),)</f>
        <v>0</v>
      </c>
      <c r="H824" s="64"/>
      <c r="I824" s="109">
        <v>43684</v>
      </c>
      <c r="J824" s="109">
        <v>43686</v>
      </c>
      <c r="K824" s="39" t="s">
        <v>3271</v>
      </c>
      <c r="L824" s="174" t="s">
        <v>3272</v>
      </c>
      <c r="M824" s="39" t="s">
        <v>2201</v>
      </c>
      <c r="N824" s="39" t="s">
        <v>62</v>
      </c>
      <c r="O824" s="24"/>
      <c r="P824" s="409" t="s">
        <v>3277</v>
      </c>
      <c r="Q824" s="76" t="s">
        <v>1207</v>
      </c>
      <c r="R824" s="76" t="s">
        <v>1885</v>
      </c>
      <c r="S824" s="24"/>
      <c r="T824" s="24"/>
      <c r="U824" s="64"/>
      <c r="V824" s="56"/>
      <c r="W824" s="56"/>
      <c r="X824" s="56"/>
      <c r="Y824" s="56"/>
      <c r="Z824" s="56"/>
      <c r="AA824" s="56"/>
      <c r="AB824" s="56"/>
      <c r="AC824" s="56"/>
    </row>
    <row r="825" spans="1:29" ht="15.75" customHeight="1">
      <c r="A825" s="39">
        <v>19070501</v>
      </c>
      <c r="B825" s="107">
        <v>43690</v>
      </c>
      <c r="C825" s="109">
        <v>43691</v>
      </c>
      <c r="D825" s="173" t="s">
        <v>1029</v>
      </c>
      <c r="E825" s="76" t="s">
        <v>188</v>
      </c>
      <c r="F825" s="39" t="s">
        <v>353</v>
      </c>
      <c r="G825" s="399">
        <f>IFERROR(VLOOKUP(A825,醫療院所DATABASE!A:B,2,""),)</f>
        <v>0</v>
      </c>
      <c r="H825" s="64"/>
      <c r="I825" s="109">
        <v>43684</v>
      </c>
      <c r="J825" s="109">
        <v>43686</v>
      </c>
      <c r="K825" s="39" t="s">
        <v>2547</v>
      </c>
      <c r="L825" s="174" t="s">
        <v>2548</v>
      </c>
      <c r="M825" s="180" t="s">
        <v>579</v>
      </c>
      <c r="N825" s="39" t="s">
        <v>62</v>
      </c>
      <c r="O825" s="24"/>
      <c r="P825" s="409" t="s">
        <v>3278</v>
      </c>
      <c r="Q825" s="76" t="s">
        <v>64</v>
      </c>
      <c r="R825" s="76" t="s">
        <v>1885</v>
      </c>
      <c r="S825" s="24"/>
      <c r="T825" s="24"/>
      <c r="U825" s="76" t="s">
        <v>2550</v>
      </c>
      <c r="V825" s="56"/>
      <c r="W825" s="56"/>
      <c r="X825" s="56"/>
      <c r="Y825" s="56"/>
      <c r="Z825" s="56"/>
      <c r="AA825" s="56"/>
      <c r="AB825" s="56"/>
      <c r="AC825" s="56"/>
    </row>
    <row r="826" spans="1:29" ht="15.75" customHeight="1">
      <c r="A826" s="39" t="s">
        <v>2283</v>
      </c>
      <c r="B826" s="107">
        <v>43689</v>
      </c>
      <c r="C826" s="109">
        <v>43691</v>
      </c>
      <c r="D826" s="76" t="s">
        <v>479</v>
      </c>
      <c r="E826" s="76" t="s">
        <v>53</v>
      </c>
      <c r="F826" s="39" t="s">
        <v>2284</v>
      </c>
      <c r="G826" s="399">
        <f>IFERROR(VLOOKUP(A826,醫療院所DATABASE!A:B,2,""),)</f>
        <v>0</v>
      </c>
      <c r="H826" s="64"/>
      <c r="I826" s="109">
        <v>43685</v>
      </c>
      <c r="J826" s="109">
        <v>43688</v>
      </c>
      <c r="K826" s="39" t="s">
        <v>3279</v>
      </c>
      <c r="L826" s="76" t="s">
        <v>3280</v>
      </c>
      <c r="M826" s="49" t="s">
        <v>61</v>
      </c>
      <c r="N826" s="39" t="s">
        <v>62</v>
      </c>
      <c r="O826" s="24"/>
      <c r="P826" s="409" t="s">
        <v>3281</v>
      </c>
      <c r="Q826" s="76" t="s">
        <v>64</v>
      </c>
      <c r="R826" s="76" t="s">
        <v>1885</v>
      </c>
      <c r="S826" s="24"/>
      <c r="T826" s="24"/>
      <c r="U826" s="64"/>
      <c r="V826" s="56"/>
      <c r="W826" s="56"/>
      <c r="X826" s="56"/>
      <c r="Y826" s="56"/>
      <c r="Z826" s="56"/>
      <c r="AA826" s="56"/>
      <c r="AB826" s="56"/>
      <c r="AC826" s="56"/>
    </row>
    <row r="827" spans="1:29" ht="15.75" customHeight="1">
      <c r="A827" s="39" t="s">
        <v>2283</v>
      </c>
      <c r="B827" s="107">
        <v>43689</v>
      </c>
      <c r="C827" s="109">
        <v>43691</v>
      </c>
      <c r="D827" s="76" t="s">
        <v>479</v>
      </c>
      <c r="E827" s="76" t="s">
        <v>188</v>
      </c>
      <c r="F827" s="39" t="s">
        <v>2284</v>
      </c>
      <c r="G827" s="399">
        <f>IFERROR(VLOOKUP(A827,醫療院所DATABASE!A:B,2,""),)</f>
        <v>0</v>
      </c>
      <c r="H827" s="64"/>
      <c r="I827" s="109">
        <v>43685</v>
      </c>
      <c r="J827" s="109">
        <v>43688</v>
      </c>
      <c r="K827" s="39" t="s">
        <v>3282</v>
      </c>
      <c r="L827" s="76" t="s">
        <v>3283</v>
      </c>
      <c r="M827" s="49" t="s">
        <v>61</v>
      </c>
      <c r="N827" s="39" t="s">
        <v>51</v>
      </c>
      <c r="O827" s="24"/>
      <c r="P827" s="409" t="s">
        <v>3284</v>
      </c>
      <c r="Q827" s="76" t="s">
        <v>64</v>
      </c>
      <c r="R827" s="76" t="s">
        <v>1885</v>
      </c>
      <c r="S827" s="24"/>
      <c r="T827" s="24"/>
      <c r="U827" s="64"/>
      <c r="V827" s="56"/>
      <c r="W827" s="56"/>
      <c r="X827" s="56"/>
      <c r="Y827" s="56"/>
      <c r="Z827" s="56"/>
      <c r="AA827" s="56"/>
      <c r="AB827" s="56"/>
      <c r="AC827" s="56"/>
    </row>
    <row r="828" spans="1:29" ht="15.75" customHeight="1">
      <c r="A828" s="39" t="s">
        <v>2283</v>
      </c>
      <c r="B828" s="107">
        <v>43689</v>
      </c>
      <c r="C828" s="109">
        <v>43691</v>
      </c>
      <c r="D828" s="76" t="s">
        <v>479</v>
      </c>
      <c r="E828" s="76" t="s">
        <v>53</v>
      </c>
      <c r="F828" s="39" t="s">
        <v>2284</v>
      </c>
      <c r="G828" s="399">
        <f>IFERROR(VLOOKUP(A828,醫療院所DATABASE!A:B,2,""),)</f>
        <v>0</v>
      </c>
      <c r="H828" s="64"/>
      <c r="I828" s="109">
        <v>43685</v>
      </c>
      <c r="J828" s="109">
        <v>43688</v>
      </c>
      <c r="K828" s="39" t="s">
        <v>3285</v>
      </c>
      <c r="L828" s="76" t="s">
        <v>3286</v>
      </c>
      <c r="M828" s="49" t="s">
        <v>61</v>
      </c>
      <c r="N828" s="39" t="s">
        <v>51</v>
      </c>
      <c r="O828" s="24"/>
      <c r="P828" s="409" t="s">
        <v>3287</v>
      </c>
      <c r="Q828" s="76" t="s">
        <v>64</v>
      </c>
      <c r="R828" s="76" t="s">
        <v>1885</v>
      </c>
      <c r="S828" s="24"/>
      <c r="T828" s="24"/>
      <c r="U828" s="64"/>
      <c r="V828" s="56"/>
      <c r="W828" s="56"/>
      <c r="X828" s="56"/>
      <c r="Y828" s="56"/>
      <c r="Z828" s="56"/>
      <c r="AA828" s="56"/>
      <c r="AB828" s="56"/>
      <c r="AC828" s="56"/>
    </row>
    <row r="829" spans="1:29" ht="15.75" customHeight="1">
      <c r="A829" s="139" t="s">
        <v>3288</v>
      </c>
      <c r="B829" s="107"/>
      <c r="C829" s="109"/>
      <c r="D829" s="76" t="s">
        <v>479</v>
      </c>
      <c r="E829" s="76" t="s">
        <v>188</v>
      </c>
      <c r="F829" s="39" t="s">
        <v>2284</v>
      </c>
      <c r="G829" s="399">
        <f>IFERROR(VLOOKUP(A829,醫療院所DATABASE!A:B,2,""),)</f>
        <v>0</v>
      </c>
      <c r="H829" s="64"/>
      <c r="I829" s="109">
        <v>43685</v>
      </c>
      <c r="J829" s="109">
        <v>43688</v>
      </c>
      <c r="K829" s="39" t="s">
        <v>3289</v>
      </c>
      <c r="L829" s="76" t="s">
        <v>3290</v>
      </c>
      <c r="M829" s="49" t="s">
        <v>61</v>
      </c>
      <c r="N829" s="39" t="s">
        <v>51</v>
      </c>
      <c r="O829" s="24"/>
      <c r="P829" s="409" t="s">
        <v>3291</v>
      </c>
      <c r="Q829" s="76" t="s">
        <v>64</v>
      </c>
      <c r="R829" s="76" t="s">
        <v>1885</v>
      </c>
      <c r="S829" s="24"/>
      <c r="T829" s="24"/>
      <c r="U829" s="76" t="s">
        <v>3292</v>
      </c>
      <c r="V829" s="56"/>
      <c r="W829" s="56"/>
      <c r="X829" s="56"/>
      <c r="Y829" s="56"/>
      <c r="Z829" s="56"/>
      <c r="AA829" s="56"/>
      <c r="AB829" s="56"/>
      <c r="AC829" s="56"/>
    </row>
    <row r="830" spans="1:29" ht="15.75" customHeight="1">
      <c r="A830" s="39" t="s">
        <v>2283</v>
      </c>
      <c r="B830" s="107">
        <v>43689</v>
      </c>
      <c r="C830" s="109">
        <v>43691</v>
      </c>
      <c r="D830" s="76" t="s">
        <v>479</v>
      </c>
      <c r="E830" s="76" t="s">
        <v>53</v>
      </c>
      <c r="F830" s="39" t="s">
        <v>2284</v>
      </c>
      <c r="G830" s="399">
        <f>IFERROR(VLOOKUP(A830,醫療院所DATABASE!A:B,2,""),)</f>
        <v>0</v>
      </c>
      <c r="H830" s="64"/>
      <c r="I830" s="109">
        <v>43685</v>
      </c>
      <c r="J830" s="109">
        <v>43688</v>
      </c>
      <c r="K830" s="39" t="s">
        <v>3293</v>
      </c>
      <c r="L830" s="76" t="s">
        <v>3294</v>
      </c>
      <c r="M830" s="49" t="s">
        <v>61</v>
      </c>
      <c r="N830" s="39" t="s">
        <v>62</v>
      </c>
      <c r="O830" s="24"/>
      <c r="P830" s="409" t="s">
        <v>3295</v>
      </c>
      <c r="Q830" s="76" t="s">
        <v>64</v>
      </c>
      <c r="R830" s="76" t="s">
        <v>1885</v>
      </c>
      <c r="S830" s="24"/>
      <c r="T830" s="24"/>
      <c r="U830" s="64"/>
      <c r="V830" s="56"/>
      <c r="W830" s="56"/>
      <c r="X830" s="56"/>
      <c r="Y830" s="56"/>
      <c r="Z830" s="56"/>
      <c r="AA830" s="56"/>
      <c r="AB830" s="56"/>
      <c r="AC830" s="56"/>
    </row>
    <row r="831" spans="1:29" ht="15.75" customHeight="1">
      <c r="A831" s="39" t="s">
        <v>3296</v>
      </c>
      <c r="B831" s="107">
        <v>43690</v>
      </c>
      <c r="C831" s="109">
        <v>43691</v>
      </c>
      <c r="D831" s="76" t="s">
        <v>494</v>
      </c>
      <c r="E831" s="76" t="s">
        <v>494</v>
      </c>
      <c r="F831" s="39" t="s">
        <v>3186</v>
      </c>
      <c r="G831" s="399">
        <f>IFERROR(VLOOKUP(A831,醫療院所DATABASE!A:B,2,""),)</f>
        <v>0</v>
      </c>
      <c r="H831" s="64"/>
      <c r="I831" s="109">
        <v>43689</v>
      </c>
      <c r="J831" s="109">
        <v>43691</v>
      </c>
      <c r="K831" s="39" t="s">
        <v>3297</v>
      </c>
      <c r="L831" s="76" t="s">
        <v>3298</v>
      </c>
      <c r="M831" s="49" t="s">
        <v>61</v>
      </c>
      <c r="N831" s="39" t="s">
        <v>51</v>
      </c>
      <c r="O831" s="24"/>
      <c r="P831" s="409" t="s">
        <v>3299</v>
      </c>
      <c r="Q831" s="76" t="s">
        <v>1931</v>
      </c>
      <c r="R831" s="76" t="s">
        <v>1885</v>
      </c>
      <c r="S831" s="24"/>
      <c r="T831" s="24"/>
      <c r="U831" s="64"/>
      <c r="V831" s="56"/>
      <c r="W831" s="56"/>
      <c r="X831" s="56"/>
      <c r="Y831" s="56"/>
      <c r="Z831" s="56"/>
      <c r="AA831" s="56"/>
      <c r="AB831" s="56"/>
      <c r="AC831" s="56"/>
    </row>
    <row r="832" spans="1:29" ht="15.75" customHeight="1">
      <c r="A832" s="39" t="s">
        <v>1760</v>
      </c>
      <c r="B832" s="107">
        <v>43691</v>
      </c>
      <c r="C832" s="109">
        <v>43692</v>
      </c>
      <c r="D832" s="76" t="s">
        <v>366</v>
      </c>
      <c r="E832" s="76" t="s">
        <v>53</v>
      </c>
      <c r="F832" s="39" t="s">
        <v>1761</v>
      </c>
      <c r="G832" s="399">
        <f>IFERROR(VLOOKUP(A832,醫療院所DATABASE!A:B,2,""),)</f>
        <v>0</v>
      </c>
      <c r="H832" s="64"/>
      <c r="I832" s="109">
        <v>43690</v>
      </c>
      <c r="J832" s="109">
        <v>43692</v>
      </c>
      <c r="K832" s="39" t="s">
        <v>2007</v>
      </c>
      <c r="L832" s="76" t="s">
        <v>2008</v>
      </c>
      <c r="M832" s="49" t="s">
        <v>61</v>
      </c>
      <c r="N832" s="39" t="s">
        <v>62</v>
      </c>
      <c r="O832" s="24"/>
      <c r="P832" s="409" t="s">
        <v>3300</v>
      </c>
      <c r="Q832" s="76" t="s">
        <v>64</v>
      </c>
      <c r="R832" s="76" t="s">
        <v>1885</v>
      </c>
      <c r="S832" s="24"/>
      <c r="T832" s="24"/>
      <c r="U832" s="64"/>
      <c r="V832" s="56"/>
      <c r="W832" s="56"/>
      <c r="X832" s="56"/>
      <c r="Y832" s="56"/>
      <c r="Z832" s="56"/>
      <c r="AA832" s="56"/>
      <c r="AB832" s="56"/>
      <c r="AC832" s="56"/>
    </row>
    <row r="833" spans="1:29" ht="15.75" customHeight="1">
      <c r="A833" s="39" t="s">
        <v>3301</v>
      </c>
      <c r="B833" s="107">
        <v>43691</v>
      </c>
      <c r="C833" s="109">
        <v>43692</v>
      </c>
      <c r="D833" s="76" t="s">
        <v>187</v>
      </c>
      <c r="E833" s="76" t="s">
        <v>188</v>
      </c>
      <c r="F833" s="39" t="s">
        <v>3302</v>
      </c>
      <c r="G833" s="399">
        <f>IFERROR(VLOOKUP(A833,醫療院所DATABASE!A:B,2,""),)</f>
        <v>0</v>
      </c>
      <c r="H833" s="76" t="s">
        <v>3303</v>
      </c>
      <c r="I833" s="109">
        <v>43690</v>
      </c>
      <c r="J833" s="109">
        <v>43692</v>
      </c>
      <c r="K833" s="39" t="s">
        <v>3304</v>
      </c>
      <c r="L833" s="76" t="s">
        <v>3305</v>
      </c>
      <c r="M833" s="49" t="s">
        <v>61</v>
      </c>
      <c r="N833" s="39" t="s">
        <v>62</v>
      </c>
      <c r="O833" s="24"/>
      <c r="P833" s="409" t="s">
        <v>3306</v>
      </c>
      <c r="Q833" s="76" t="s">
        <v>64</v>
      </c>
      <c r="R833" s="76" t="s">
        <v>1885</v>
      </c>
      <c r="S833" s="24"/>
      <c r="T833" s="24"/>
      <c r="U833" s="64"/>
      <c r="V833" s="56"/>
      <c r="W833" s="56"/>
      <c r="X833" s="56"/>
      <c r="Y833" s="56"/>
      <c r="Z833" s="56"/>
      <c r="AA833" s="56"/>
      <c r="AB833" s="56"/>
      <c r="AC833" s="56"/>
    </row>
    <row r="834" spans="1:29" ht="15.75" customHeight="1">
      <c r="A834" s="39" t="s">
        <v>3301</v>
      </c>
      <c r="B834" s="107">
        <v>43691</v>
      </c>
      <c r="C834" s="109">
        <v>43692</v>
      </c>
      <c r="D834" s="76" t="s">
        <v>187</v>
      </c>
      <c r="E834" s="76" t="s">
        <v>188</v>
      </c>
      <c r="F834" s="39" t="s">
        <v>3302</v>
      </c>
      <c r="G834" s="399">
        <f>IFERROR(VLOOKUP(A834,醫療院所DATABASE!A:B,2,""),)</f>
        <v>0</v>
      </c>
      <c r="H834" s="76" t="s">
        <v>3307</v>
      </c>
      <c r="I834" s="109">
        <v>43690</v>
      </c>
      <c r="J834" s="109">
        <v>43692</v>
      </c>
      <c r="K834" s="39" t="s">
        <v>3308</v>
      </c>
      <c r="L834" s="76" t="s">
        <v>3309</v>
      </c>
      <c r="M834" s="49" t="s">
        <v>61</v>
      </c>
      <c r="N834" s="39" t="s">
        <v>51</v>
      </c>
      <c r="O834" s="24"/>
      <c r="P834" s="409" t="s">
        <v>3310</v>
      </c>
      <c r="Q834" s="76" t="s">
        <v>64</v>
      </c>
      <c r="R834" s="76" t="s">
        <v>1885</v>
      </c>
      <c r="S834" s="24"/>
      <c r="T834" s="24"/>
      <c r="U834" s="64"/>
      <c r="V834" s="56"/>
      <c r="W834" s="56"/>
      <c r="X834" s="56"/>
      <c r="Y834" s="56"/>
      <c r="Z834" s="56"/>
      <c r="AA834" s="56"/>
      <c r="AB834" s="56"/>
      <c r="AC834" s="56"/>
    </row>
    <row r="835" spans="1:29" ht="15.75" customHeight="1">
      <c r="A835" s="39" t="s">
        <v>3301</v>
      </c>
      <c r="B835" s="107">
        <v>43691</v>
      </c>
      <c r="C835" s="109">
        <v>43692</v>
      </c>
      <c r="D835" s="76" t="s">
        <v>187</v>
      </c>
      <c r="E835" s="76" t="s">
        <v>188</v>
      </c>
      <c r="F835" s="39" t="s">
        <v>3302</v>
      </c>
      <c r="G835" s="399">
        <f>IFERROR(VLOOKUP(A835,醫療院所DATABASE!A:B,2,""),)</f>
        <v>0</v>
      </c>
      <c r="H835" s="76" t="s">
        <v>3311</v>
      </c>
      <c r="I835" s="109">
        <v>43690</v>
      </c>
      <c r="J835" s="109">
        <v>43692</v>
      </c>
      <c r="K835" s="39" t="s">
        <v>3312</v>
      </c>
      <c r="L835" s="76" t="s">
        <v>3313</v>
      </c>
      <c r="M835" s="49" t="s">
        <v>61</v>
      </c>
      <c r="N835" s="39" t="s">
        <v>62</v>
      </c>
      <c r="O835" s="24"/>
      <c r="P835" s="409" t="s">
        <v>3314</v>
      </c>
      <c r="Q835" s="76" t="s">
        <v>64</v>
      </c>
      <c r="R835" s="76" t="s">
        <v>1885</v>
      </c>
      <c r="S835" s="24"/>
      <c r="T835" s="24"/>
      <c r="U835" s="64"/>
      <c r="V835" s="56"/>
      <c r="W835" s="56"/>
      <c r="X835" s="56"/>
      <c r="Y835" s="56"/>
      <c r="Z835" s="56"/>
      <c r="AA835" s="56"/>
      <c r="AB835" s="56"/>
      <c r="AC835" s="56"/>
    </row>
    <row r="836" spans="1:29" ht="15.75" customHeight="1">
      <c r="A836" s="39" t="s">
        <v>3301</v>
      </c>
      <c r="B836" s="107">
        <v>43691</v>
      </c>
      <c r="C836" s="109">
        <v>43692</v>
      </c>
      <c r="D836" s="76" t="s">
        <v>187</v>
      </c>
      <c r="E836" s="76" t="s">
        <v>188</v>
      </c>
      <c r="F836" s="39" t="s">
        <v>3302</v>
      </c>
      <c r="G836" s="399">
        <f>IFERROR(VLOOKUP(A836,醫療院所DATABASE!A:B,2,""),)</f>
        <v>0</v>
      </c>
      <c r="H836" s="76" t="s">
        <v>3315</v>
      </c>
      <c r="I836" s="109">
        <v>43690</v>
      </c>
      <c r="J836" s="109">
        <v>43692</v>
      </c>
      <c r="K836" s="39" t="s">
        <v>3316</v>
      </c>
      <c r="L836" s="76" t="s">
        <v>3317</v>
      </c>
      <c r="M836" s="49" t="s">
        <v>61</v>
      </c>
      <c r="N836" s="39" t="s">
        <v>51</v>
      </c>
      <c r="O836" s="24"/>
      <c r="P836" s="409" t="s">
        <v>3318</v>
      </c>
      <c r="Q836" s="76" t="s">
        <v>64</v>
      </c>
      <c r="R836" s="76" t="s">
        <v>1885</v>
      </c>
      <c r="S836" s="24"/>
      <c r="T836" s="24"/>
      <c r="U836" s="64"/>
      <c r="V836" s="56"/>
      <c r="W836" s="56"/>
      <c r="X836" s="56"/>
      <c r="Y836" s="56"/>
      <c r="Z836" s="56"/>
      <c r="AA836" s="56"/>
      <c r="AB836" s="56"/>
      <c r="AC836" s="56"/>
    </row>
    <row r="837" spans="1:29" ht="15.75" customHeight="1">
      <c r="A837" s="39" t="s">
        <v>3319</v>
      </c>
      <c r="B837" s="107">
        <v>43691</v>
      </c>
      <c r="C837" s="109">
        <v>43692</v>
      </c>
      <c r="D837" s="76" t="s">
        <v>53</v>
      </c>
      <c r="E837" s="76" t="s">
        <v>53</v>
      </c>
      <c r="F837" s="39" t="s">
        <v>3320</v>
      </c>
      <c r="G837" s="399">
        <f>IFERROR(VLOOKUP(A837,醫療院所DATABASE!A:B,2,""),)</f>
        <v>0</v>
      </c>
      <c r="H837" s="64"/>
      <c r="I837" s="109">
        <v>43690</v>
      </c>
      <c r="J837" s="109">
        <v>43692</v>
      </c>
      <c r="K837" s="39" t="s">
        <v>2825</v>
      </c>
      <c r="L837" s="76" t="s">
        <v>2826</v>
      </c>
      <c r="M837" s="49" t="s">
        <v>61</v>
      </c>
      <c r="N837" s="39" t="s">
        <v>62</v>
      </c>
      <c r="O837" s="24"/>
      <c r="P837" s="409" t="s">
        <v>3321</v>
      </c>
      <c r="Q837" s="76" t="s">
        <v>64</v>
      </c>
      <c r="R837" s="76" t="s">
        <v>1885</v>
      </c>
      <c r="S837" s="24"/>
      <c r="T837" s="24"/>
      <c r="U837" s="76" t="s">
        <v>2827</v>
      </c>
      <c r="V837" s="56"/>
      <c r="W837" s="56"/>
      <c r="X837" s="56"/>
      <c r="Y837" s="56"/>
      <c r="Z837" s="56"/>
      <c r="AA837" s="56"/>
      <c r="AB837" s="56"/>
      <c r="AC837" s="56"/>
    </row>
    <row r="838" spans="1:29" ht="15.75" customHeight="1">
      <c r="A838" s="39" t="s">
        <v>3322</v>
      </c>
      <c r="B838" s="107">
        <v>43691</v>
      </c>
      <c r="C838" s="109">
        <v>43692</v>
      </c>
      <c r="D838" s="76" t="s">
        <v>53</v>
      </c>
      <c r="E838" s="76" t="s">
        <v>53</v>
      </c>
      <c r="F838" s="39" t="s">
        <v>3323</v>
      </c>
      <c r="G838" s="399">
        <f>IFERROR(VLOOKUP(A838,醫療院所DATABASE!A:B,2,""),)</f>
        <v>0</v>
      </c>
      <c r="H838" s="64"/>
      <c r="I838" s="109">
        <v>43690</v>
      </c>
      <c r="J838" s="109">
        <v>43692</v>
      </c>
      <c r="K838" s="39" t="s">
        <v>3324</v>
      </c>
      <c r="L838" s="76" t="s">
        <v>3325</v>
      </c>
      <c r="M838" s="49" t="s">
        <v>61</v>
      </c>
      <c r="N838" s="39" t="s">
        <v>62</v>
      </c>
      <c r="O838" s="24"/>
      <c r="P838" s="409" t="s">
        <v>3326</v>
      </c>
      <c r="Q838" s="76" t="s">
        <v>64</v>
      </c>
      <c r="R838" s="76" t="s">
        <v>1885</v>
      </c>
      <c r="S838" s="24"/>
      <c r="T838" s="24"/>
      <c r="U838" s="64"/>
      <c r="V838" s="56"/>
      <c r="W838" s="56"/>
      <c r="X838" s="56"/>
      <c r="Y838" s="56"/>
      <c r="Z838" s="56"/>
      <c r="AA838" s="56"/>
      <c r="AB838" s="56"/>
      <c r="AC838" s="56"/>
    </row>
    <row r="839" spans="1:29" ht="15.75" customHeight="1">
      <c r="A839" s="39" t="s">
        <v>3327</v>
      </c>
      <c r="B839" s="107">
        <v>43692</v>
      </c>
      <c r="C839" s="109">
        <v>43693</v>
      </c>
      <c r="D839" s="76" t="s">
        <v>187</v>
      </c>
      <c r="E839" s="76" t="s">
        <v>53</v>
      </c>
      <c r="F839" s="39" t="s">
        <v>3328</v>
      </c>
      <c r="G839" s="399">
        <f>IFERROR(VLOOKUP(A839,醫療院所DATABASE!A:B,2,""),)</f>
        <v>0</v>
      </c>
      <c r="H839" s="64"/>
      <c r="I839" s="109">
        <v>43691</v>
      </c>
      <c r="J839" s="109">
        <v>43693</v>
      </c>
      <c r="K839" s="39" t="s">
        <v>3329</v>
      </c>
      <c r="L839" s="76" t="s">
        <v>3330</v>
      </c>
      <c r="M839" s="49" t="s">
        <v>61</v>
      </c>
      <c r="N839" s="39" t="s">
        <v>62</v>
      </c>
      <c r="O839" s="24"/>
      <c r="P839" s="409" t="s">
        <v>3331</v>
      </c>
      <c r="Q839" s="76" t="s">
        <v>1207</v>
      </c>
      <c r="R839" s="76" t="s">
        <v>1885</v>
      </c>
      <c r="S839" s="24"/>
      <c r="T839" s="24"/>
      <c r="U839" s="64"/>
      <c r="V839" s="56"/>
      <c r="W839" s="56"/>
      <c r="X839" s="56"/>
      <c r="Y839" s="56"/>
      <c r="Z839" s="56"/>
      <c r="AA839" s="56"/>
      <c r="AB839" s="56"/>
      <c r="AC839" s="56"/>
    </row>
    <row r="840" spans="1:29" ht="15.75" customHeight="1">
      <c r="A840" s="39" t="s">
        <v>3327</v>
      </c>
      <c r="B840" s="107">
        <v>43692</v>
      </c>
      <c r="C840" s="109">
        <v>43693</v>
      </c>
      <c r="D840" s="76" t="s">
        <v>187</v>
      </c>
      <c r="E840" s="76" t="s">
        <v>53</v>
      </c>
      <c r="F840" s="39" t="s">
        <v>3328</v>
      </c>
      <c r="G840" s="399">
        <f>IFERROR(VLOOKUP(A840,醫療院所DATABASE!A:B,2,""),)</f>
        <v>0</v>
      </c>
      <c r="H840" s="64"/>
      <c r="I840" s="109">
        <v>43691</v>
      </c>
      <c r="J840" s="109">
        <v>43693</v>
      </c>
      <c r="K840" s="39" t="s">
        <v>3332</v>
      </c>
      <c r="L840" s="76" t="s">
        <v>3333</v>
      </c>
      <c r="M840" s="49" t="s">
        <v>61</v>
      </c>
      <c r="N840" s="39" t="s">
        <v>51</v>
      </c>
      <c r="O840" s="24"/>
      <c r="P840" s="409" t="s">
        <v>3334</v>
      </c>
      <c r="Q840" s="76" t="s">
        <v>1207</v>
      </c>
      <c r="R840" s="76" t="s">
        <v>1885</v>
      </c>
      <c r="S840" s="24"/>
      <c r="T840" s="24"/>
      <c r="U840" s="64"/>
      <c r="V840" s="56"/>
      <c r="W840" s="56"/>
      <c r="X840" s="56"/>
      <c r="Y840" s="56"/>
      <c r="Z840" s="56"/>
      <c r="AA840" s="56"/>
      <c r="AB840" s="56"/>
      <c r="AC840" s="56"/>
    </row>
    <row r="841" spans="1:29" ht="15.75" customHeight="1">
      <c r="A841" s="39" t="s">
        <v>3335</v>
      </c>
      <c r="B841" s="107">
        <v>43699</v>
      </c>
      <c r="C841" s="109">
        <v>43699</v>
      </c>
      <c r="D841" s="76" t="s">
        <v>188</v>
      </c>
      <c r="E841" s="76" t="s">
        <v>188</v>
      </c>
      <c r="F841" s="39" t="s">
        <v>1587</v>
      </c>
      <c r="G841" s="399">
        <f>IFERROR(VLOOKUP(A841,醫療院所DATABASE!A:B,2,""),)</f>
        <v>0</v>
      </c>
      <c r="H841" s="64"/>
      <c r="I841" s="109">
        <v>43692</v>
      </c>
      <c r="J841" s="109">
        <v>43696</v>
      </c>
      <c r="K841" s="39" t="s">
        <v>3336</v>
      </c>
      <c r="L841" s="76" t="s">
        <v>3337</v>
      </c>
      <c r="M841" s="177" t="s">
        <v>963</v>
      </c>
      <c r="N841" s="39" t="s">
        <v>51</v>
      </c>
      <c r="O841" s="24"/>
      <c r="P841" s="409" t="s">
        <v>3338</v>
      </c>
      <c r="Q841" s="76" t="s">
        <v>64</v>
      </c>
      <c r="R841" s="76" t="s">
        <v>1885</v>
      </c>
      <c r="S841" s="24"/>
      <c r="T841" s="24"/>
      <c r="U841" s="64"/>
      <c r="V841" s="56"/>
      <c r="W841" s="56"/>
      <c r="X841" s="56"/>
      <c r="Y841" s="56"/>
      <c r="Z841" s="56"/>
      <c r="AA841" s="56"/>
      <c r="AB841" s="56"/>
      <c r="AC841" s="56"/>
    </row>
    <row r="842" spans="1:29" ht="15.75" customHeight="1">
      <c r="A842" s="39" t="s">
        <v>3339</v>
      </c>
      <c r="B842" s="107">
        <v>43696</v>
      </c>
      <c r="C842" s="109">
        <v>43697</v>
      </c>
      <c r="D842" s="76" t="s">
        <v>522</v>
      </c>
      <c r="E842" s="76" t="s">
        <v>522</v>
      </c>
      <c r="F842" s="39" t="s">
        <v>2304</v>
      </c>
      <c r="G842" s="399">
        <f>IFERROR(VLOOKUP(A842,醫療院所DATABASE!A:B,2,""),)</f>
        <v>0</v>
      </c>
      <c r="H842" s="64"/>
      <c r="I842" s="109">
        <v>43693</v>
      </c>
      <c r="J842" s="109">
        <v>43697</v>
      </c>
      <c r="K842" s="39" t="s">
        <v>3340</v>
      </c>
      <c r="L842" s="76" t="s">
        <v>3341</v>
      </c>
      <c r="M842" s="49" t="s">
        <v>61</v>
      </c>
      <c r="N842" s="39" t="s">
        <v>51</v>
      </c>
      <c r="O842" s="24"/>
      <c r="P842" s="409" t="s">
        <v>3342</v>
      </c>
      <c r="Q842" s="76" t="s">
        <v>64</v>
      </c>
      <c r="R842" s="76" t="s">
        <v>1885</v>
      </c>
      <c r="S842" s="24"/>
      <c r="T842" s="24"/>
      <c r="U842" s="76" t="s">
        <v>2709</v>
      </c>
      <c r="V842" s="56"/>
      <c r="W842" s="56"/>
      <c r="X842" s="56"/>
      <c r="Y842" s="56"/>
      <c r="Z842" s="56"/>
      <c r="AA842" s="56"/>
      <c r="AB842" s="56"/>
      <c r="AC842" s="56"/>
    </row>
    <row r="843" spans="1:29" ht="15.75" customHeight="1">
      <c r="A843" s="39" t="s">
        <v>3339</v>
      </c>
      <c r="B843" s="107">
        <v>43696</v>
      </c>
      <c r="C843" s="109">
        <v>43697</v>
      </c>
      <c r="D843" s="76" t="s">
        <v>522</v>
      </c>
      <c r="E843" s="76" t="s">
        <v>522</v>
      </c>
      <c r="F843" s="39" t="s">
        <v>2304</v>
      </c>
      <c r="G843" s="399">
        <f>IFERROR(VLOOKUP(A843,醫療院所DATABASE!A:B,2,""),)</f>
        <v>0</v>
      </c>
      <c r="H843" s="64"/>
      <c r="I843" s="109">
        <v>43693</v>
      </c>
      <c r="J843" s="109">
        <v>43697</v>
      </c>
      <c r="K843" s="39" t="s">
        <v>3343</v>
      </c>
      <c r="L843" s="76" t="s">
        <v>3344</v>
      </c>
      <c r="M843" s="49" t="s">
        <v>61</v>
      </c>
      <c r="N843" s="39" t="s">
        <v>62</v>
      </c>
      <c r="O843" s="24"/>
      <c r="P843" s="409" t="s">
        <v>3345</v>
      </c>
      <c r="Q843" s="76" t="s">
        <v>64</v>
      </c>
      <c r="R843" s="76" t="s">
        <v>1885</v>
      </c>
      <c r="S843" s="24"/>
      <c r="T843" s="24"/>
      <c r="U843" s="76" t="s">
        <v>2709</v>
      </c>
      <c r="V843" s="56"/>
      <c r="W843" s="56"/>
      <c r="X843" s="56"/>
      <c r="Y843" s="56"/>
      <c r="Z843" s="56"/>
      <c r="AA843" s="56"/>
      <c r="AB843" s="56"/>
      <c r="AC843" s="56"/>
    </row>
    <row r="844" spans="1:29" ht="15.75" customHeight="1">
      <c r="A844" s="39" t="s">
        <v>3339</v>
      </c>
      <c r="B844" s="107">
        <v>43696</v>
      </c>
      <c r="C844" s="109">
        <v>43697</v>
      </c>
      <c r="D844" s="76" t="s">
        <v>522</v>
      </c>
      <c r="E844" s="76" t="s">
        <v>522</v>
      </c>
      <c r="F844" s="39" t="s">
        <v>2304</v>
      </c>
      <c r="G844" s="399">
        <f>IFERROR(VLOOKUP(A844,醫療院所DATABASE!A:B,2,""),)</f>
        <v>0</v>
      </c>
      <c r="H844" s="64"/>
      <c r="I844" s="109">
        <v>43693</v>
      </c>
      <c r="J844" s="109">
        <v>43697</v>
      </c>
      <c r="K844" s="39" t="s">
        <v>3346</v>
      </c>
      <c r="L844" s="76" t="s">
        <v>3347</v>
      </c>
      <c r="M844" s="49" t="s">
        <v>61</v>
      </c>
      <c r="N844" s="39" t="s">
        <v>51</v>
      </c>
      <c r="O844" s="24"/>
      <c r="P844" s="409" t="s">
        <v>3348</v>
      </c>
      <c r="Q844" s="76" t="s">
        <v>64</v>
      </c>
      <c r="R844" s="76" t="s">
        <v>1885</v>
      </c>
      <c r="S844" s="24"/>
      <c r="T844" s="24"/>
      <c r="U844" s="76" t="s">
        <v>2709</v>
      </c>
      <c r="V844" s="56"/>
      <c r="W844" s="56"/>
      <c r="X844" s="56"/>
      <c r="Y844" s="56"/>
      <c r="Z844" s="56"/>
      <c r="AA844" s="56"/>
      <c r="AB844" s="56"/>
      <c r="AC844" s="56"/>
    </row>
    <row r="845" spans="1:29" ht="15.75" customHeight="1">
      <c r="A845" s="39" t="s">
        <v>3339</v>
      </c>
      <c r="B845" s="107">
        <v>43696</v>
      </c>
      <c r="C845" s="109">
        <v>43697</v>
      </c>
      <c r="D845" s="76" t="s">
        <v>522</v>
      </c>
      <c r="E845" s="76" t="s">
        <v>522</v>
      </c>
      <c r="F845" s="39" t="s">
        <v>2304</v>
      </c>
      <c r="G845" s="399">
        <f>IFERROR(VLOOKUP(A845,醫療院所DATABASE!A:B,2,""),)</f>
        <v>0</v>
      </c>
      <c r="H845" s="64"/>
      <c r="I845" s="109">
        <v>43693</v>
      </c>
      <c r="J845" s="109">
        <v>43697</v>
      </c>
      <c r="K845" s="39" t="s">
        <v>3349</v>
      </c>
      <c r="L845" s="76" t="s">
        <v>3350</v>
      </c>
      <c r="M845" s="49" t="s">
        <v>61</v>
      </c>
      <c r="N845" s="39" t="s">
        <v>62</v>
      </c>
      <c r="O845" s="24"/>
      <c r="P845" s="409" t="s">
        <v>3351</v>
      </c>
      <c r="Q845" s="76" t="s">
        <v>64</v>
      </c>
      <c r="R845" s="76" t="s">
        <v>1885</v>
      </c>
      <c r="S845" s="24"/>
      <c r="T845" s="24"/>
      <c r="U845" s="76" t="s">
        <v>2709</v>
      </c>
      <c r="V845" s="56"/>
      <c r="W845" s="56"/>
      <c r="X845" s="56"/>
      <c r="Y845" s="56"/>
      <c r="Z845" s="56"/>
      <c r="AA845" s="56"/>
      <c r="AB845" s="56"/>
      <c r="AC845" s="56"/>
    </row>
    <row r="846" spans="1:29" ht="15.75" customHeight="1">
      <c r="A846" s="39" t="s">
        <v>1618</v>
      </c>
      <c r="B846" s="107">
        <v>43696</v>
      </c>
      <c r="C846" s="109">
        <v>43699</v>
      </c>
      <c r="D846" s="76" t="s">
        <v>522</v>
      </c>
      <c r="E846" s="174" t="s">
        <v>53</v>
      </c>
      <c r="F846" s="39" t="s">
        <v>1569</v>
      </c>
      <c r="G846" s="399">
        <f>IFERROR(VLOOKUP(A846,醫療院所DATABASE!A:B,2,""),)</f>
        <v>0</v>
      </c>
      <c r="H846" s="64"/>
      <c r="I846" s="109">
        <v>43693</v>
      </c>
      <c r="J846" s="109">
        <v>43697</v>
      </c>
      <c r="K846" s="39" t="s">
        <v>3352</v>
      </c>
      <c r="L846" s="76" t="s">
        <v>3353</v>
      </c>
      <c r="M846" s="49" t="s">
        <v>61</v>
      </c>
      <c r="N846" s="39" t="s">
        <v>51</v>
      </c>
      <c r="O846" s="24"/>
      <c r="P846" s="409" t="s">
        <v>3354</v>
      </c>
      <c r="Q846" s="76" t="s">
        <v>64</v>
      </c>
      <c r="R846" s="76" t="s">
        <v>1885</v>
      </c>
      <c r="S846" s="24"/>
      <c r="T846" s="24"/>
      <c r="U846" s="64"/>
      <c r="V846" s="56"/>
      <c r="W846" s="56"/>
      <c r="X846" s="56"/>
      <c r="Y846" s="56"/>
      <c r="Z846" s="56"/>
      <c r="AA846" s="56"/>
      <c r="AB846" s="56"/>
      <c r="AC846" s="56"/>
    </row>
    <row r="847" spans="1:29" ht="15.75" customHeight="1">
      <c r="A847" s="39" t="s">
        <v>3355</v>
      </c>
      <c r="B847" s="107">
        <v>43696</v>
      </c>
      <c r="C847" s="109">
        <v>43699</v>
      </c>
      <c r="D847" s="76" t="s">
        <v>366</v>
      </c>
      <c r="E847" s="174" t="s">
        <v>188</v>
      </c>
      <c r="F847" s="39" t="s">
        <v>1761</v>
      </c>
      <c r="G847" s="399">
        <f>IFERROR(VLOOKUP(A847,醫療院所DATABASE!A:B,2,""),)</f>
        <v>0</v>
      </c>
      <c r="H847" s="64"/>
      <c r="I847" s="109">
        <v>43693</v>
      </c>
      <c r="J847" s="109">
        <v>43697</v>
      </c>
      <c r="K847" s="39" t="s">
        <v>3356</v>
      </c>
      <c r="L847" s="76" t="s">
        <v>3357</v>
      </c>
      <c r="M847" s="49" t="s">
        <v>61</v>
      </c>
      <c r="N847" s="39" t="s">
        <v>51</v>
      </c>
      <c r="O847" s="24"/>
      <c r="P847" s="409" t="s">
        <v>3358</v>
      </c>
      <c r="Q847" s="76" t="s">
        <v>64</v>
      </c>
      <c r="R847" s="76" t="s">
        <v>1885</v>
      </c>
      <c r="S847" s="24"/>
      <c r="T847" s="24"/>
      <c r="U847" s="64"/>
      <c r="V847" s="56"/>
      <c r="W847" s="56"/>
      <c r="X847" s="56"/>
      <c r="Y847" s="56"/>
      <c r="Z847" s="56"/>
      <c r="AA847" s="56"/>
      <c r="AB847" s="56"/>
      <c r="AC847" s="56"/>
    </row>
    <row r="848" spans="1:29" ht="15.75" customHeight="1">
      <c r="A848" s="39" t="s">
        <v>3355</v>
      </c>
      <c r="B848" s="107">
        <v>43696</v>
      </c>
      <c r="C848" s="130">
        <v>43699</v>
      </c>
      <c r="D848" s="76" t="s">
        <v>366</v>
      </c>
      <c r="E848" s="174" t="s">
        <v>53</v>
      </c>
      <c r="F848" s="39" t="s">
        <v>1761</v>
      </c>
      <c r="G848" s="399">
        <f>IFERROR(VLOOKUP(A848,醫療院所DATABASE!A:B,2,""),)</f>
        <v>0</v>
      </c>
      <c r="H848" s="64"/>
      <c r="I848" s="109">
        <v>43693</v>
      </c>
      <c r="J848" s="109">
        <v>43697</v>
      </c>
      <c r="K848" s="39" t="s">
        <v>3359</v>
      </c>
      <c r="L848" s="76" t="s">
        <v>3360</v>
      </c>
      <c r="M848" s="49" t="s">
        <v>61</v>
      </c>
      <c r="N848" s="39" t="s">
        <v>51</v>
      </c>
      <c r="O848" s="24"/>
      <c r="P848" s="409" t="s">
        <v>3361</v>
      </c>
      <c r="Q848" s="76" t="s">
        <v>64</v>
      </c>
      <c r="R848" s="76" t="s">
        <v>1885</v>
      </c>
      <c r="S848" s="24"/>
      <c r="T848" s="24"/>
      <c r="U848" s="64"/>
      <c r="V848" s="56"/>
      <c r="W848" s="56"/>
      <c r="X848" s="56"/>
      <c r="Y848" s="56"/>
      <c r="Z848" s="56"/>
      <c r="AA848" s="56"/>
      <c r="AB848" s="56"/>
      <c r="AC848" s="56"/>
    </row>
    <row r="849" spans="1:29" ht="15.75" customHeight="1">
      <c r="A849" s="39" t="s">
        <v>3355</v>
      </c>
      <c r="B849" s="107">
        <v>43696</v>
      </c>
      <c r="C849" s="109">
        <v>43699</v>
      </c>
      <c r="D849" s="76" t="s">
        <v>366</v>
      </c>
      <c r="E849" s="174" t="s">
        <v>188</v>
      </c>
      <c r="F849" s="39" t="s">
        <v>1761</v>
      </c>
      <c r="G849" s="399">
        <f>IFERROR(VLOOKUP(A849,醫療院所DATABASE!A:B,2,""),)</f>
        <v>0</v>
      </c>
      <c r="H849" s="64"/>
      <c r="I849" s="109">
        <v>43693</v>
      </c>
      <c r="J849" s="109">
        <v>43697</v>
      </c>
      <c r="K849" s="39" t="s">
        <v>3362</v>
      </c>
      <c r="L849" s="76" t="s">
        <v>3363</v>
      </c>
      <c r="M849" s="49" t="s">
        <v>61</v>
      </c>
      <c r="N849" s="39" t="s">
        <v>62</v>
      </c>
      <c r="O849" s="24"/>
      <c r="P849" s="409" t="s">
        <v>3364</v>
      </c>
      <c r="Q849" s="76" t="s">
        <v>64</v>
      </c>
      <c r="R849" s="76" t="s">
        <v>1885</v>
      </c>
      <c r="S849" s="24"/>
      <c r="T849" s="24"/>
      <c r="U849" s="64"/>
      <c r="V849" s="56"/>
      <c r="W849" s="56"/>
      <c r="X849" s="56"/>
      <c r="Y849" s="56"/>
      <c r="Z849" s="56"/>
      <c r="AA849" s="56"/>
      <c r="AB849" s="56"/>
      <c r="AC849" s="56"/>
    </row>
    <row r="850" spans="1:29" ht="15.75" customHeight="1">
      <c r="A850" s="39" t="s">
        <v>3355</v>
      </c>
      <c r="B850" s="107">
        <v>43696</v>
      </c>
      <c r="C850" s="109">
        <v>43699</v>
      </c>
      <c r="D850" s="76" t="s">
        <v>366</v>
      </c>
      <c r="E850" s="174" t="s">
        <v>53</v>
      </c>
      <c r="F850" s="39" t="s">
        <v>1761</v>
      </c>
      <c r="G850" s="399">
        <f>IFERROR(VLOOKUP(A850,醫療院所DATABASE!A:B,2,""),)</f>
        <v>0</v>
      </c>
      <c r="H850" s="64"/>
      <c r="I850" s="109">
        <v>43693</v>
      </c>
      <c r="J850" s="109">
        <v>43697</v>
      </c>
      <c r="K850" s="39" t="s">
        <v>3365</v>
      </c>
      <c r="L850" s="76" t="s">
        <v>3366</v>
      </c>
      <c r="M850" s="49" t="s">
        <v>61</v>
      </c>
      <c r="N850" s="39" t="s">
        <v>51</v>
      </c>
      <c r="O850" s="24"/>
      <c r="P850" s="409" t="s">
        <v>3367</v>
      </c>
      <c r="Q850" s="76" t="s">
        <v>64</v>
      </c>
      <c r="R850" s="76" t="s">
        <v>1885</v>
      </c>
      <c r="S850" s="24"/>
      <c r="T850" s="24"/>
      <c r="U850" s="64"/>
      <c r="V850" s="56"/>
      <c r="W850" s="56"/>
      <c r="X850" s="56"/>
      <c r="Y850" s="56"/>
      <c r="Z850" s="56"/>
      <c r="AA850" s="56"/>
      <c r="AB850" s="56"/>
      <c r="AC850" s="56"/>
    </row>
    <row r="851" spans="1:29" ht="15.75" customHeight="1">
      <c r="A851" s="39" t="s">
        <v>3355</v>
      </c>
      <c r="B851" s="107">
        <v>43696</v>
      </c>
      <c r="C851" s="109">
        <v>43699</v>
      </c>
      <c r="D851" s="76" t="s">
        <v>366</v>
      </c>
      <c r="E851" s="174" t="s">
        <v>188</v>
      </c>
      <c r="F851" s="39" t="s">
        <v>1761</v>
      </c>
      <c r="G851" s="399">
        <f>IFERROR(VLOOKUP(A851,醫療院所DATABASE!A:B,2,""),)</f>
        <v>0</v>
      </c>
      <c r="H851" s="64"/>
      <c r="I851" s="109">
        <v>43693</v>
      </c>
      <c r="J851" s="109">
        <v>43697</v>
      </c>
      <c r="K851" s="39" t="s">
        <v>3368</v>
      </c>
      <c r="L851" s="76" t="s">
        <v>3369</v>
      </c>
      <c r="M851" s="49" t="s">
        <v>61</v>
      </c>
      <c r="N851" s="39" t="s">
        <v>62</v>
      </c>
      <c r="O851" s="24"/>
      <c r="P851" s="409" t="s">
        <v>3370</v>
      </c>
      <c r="Q851" s="76" t="s">
        <v>64</v>
      </c>
      <c r="R851" s="76" t="s">
        <v>1885</v>
      </c>
      <c r="S851" s="24"/>
      <c r="T851" s="24"/>
      <c r="U851" s="64"/>
      <c r="V851" s="56"/>
      <c r="W851" s="56"/>
      <c r="X851" s="56"/>
      <c r="Y851" s="56"/>
      <c r="Z851" s="56"/>
      <c r="AA851" s="56"/>
      <c r="AB851" s="56"/>
      <c r="AC851" s="56"/>
    </row>
    <row r="852" spans="1:29" ht="15.75" customHeight="1">
      <c r="A852" s="39" t="s">
        <v>3355</v>
      </c>
      <c r="B852" s="107">
        <v>43696</v>
      </c>
      <c r="C852" s="109">
        <v>43699</v>
      </c>
      <c r="D852" s="76" t="s">
        <v>366</v>
      </c>
      <c r="E852" s="174" t="s">
        <v>53</v>
      </c>
      <c r="F852" s="39" t="s">
        <v>1761</v>
      </c>
      <c r="G852" s="399">
        <f>IFERROR(VLOOKUP(A852,醫療院所DATABASE!A:B,2,""),)</f>
        <v>0</v>
      </c>
      <c r="H852" s="76" t="s">
        <v>3371</v>
      </c>
      <c r="I852" s="109">
        <v>43693</v>
      </c>
      <c r="J852" s="109">
        <v>43697</v>
      </c>
      <c r="K852" s="39" t="s">
        <v>3372</v>
      </c>
      <c r="L852" s="76" t="s">
        <v>3373</v>
      </c>
      <c r="M852" s="49" t="s">
        <v>61</v>
      </c>
      <c r="N852" s="39" t="s">
        <v>51</v>
      </c>
      <c r="O852" s="24"/>
      <c r="P852" s="409" t="s">
        <v>3374</v>
      </c>
      <c r="Q852" s="76" t="s">
        <v>64</v>
      </c>
      <c r="R852" s="76" t="s">
        <v>1885</v>
      </c>
      <c r="S852" s="24"/>
      <c r="T852" s="24"/>
      <c r="U852" s="64"/>
      <c r="V852" s="56"/>
      <c r="W852" s="56"/>
      <c r="X852" s="56"/>
      <c r="Y852" s="56"/>
      <c r="Z852" s="56"/>
      <c r="AA852" s="56"/>
      <c r="AB852" s="56"/>
      <c r="AC852" s="56"/>
    </row>
    <row r="853" spans="1:29" ht="15.75" customHeight="1">
      <c r="A853" s="39" t="s">
        <v>3355</v>
      </c>
      <c r="B853" s="107">
        <v>43696</v>
      </c>
      <c r="C853" s="130">
        <v>43699</v>
      </c>
      <c r="D853" s="76" t="s">
        <v>366</v>
      </c>
      <c r="E853" s="174" t="s">
        <v>53</v>
      </c>
      <c r="F853" s="39" t="s">
        <v>1761</v>
      </c>
      <c r="G853" s="399">
        <f>IFERROR(VLOOKUP(A853,醫療院所DATABASE!A:B,2,""),)</f>
        <v>0</v>
      </c>
      <c r="H853" s="76" t="s">
        <v>3373</v>
      </c>
      <c r="I853" s="109">
        <v>43693</v>
      </c>
      <c r="J853" s="109">
        <v>43697</v>
      </c>
      <c r="K853" s="39" t="s">
        <v>3375</v>
      </c>
      <c r="L853" s="76" t="s">
        <v>3371</v>
      </c>
      <c r="M853" s="49" t="s">
        <v>61</v>
      </c>
      <c r="N853" s="39" t="s">
        <v>62</v>
      </c>
      <c r="O853" s="24"/>
      <c r="P853" s="409" t="s">
        <v>3376</v>
      </c>
      <c r="Q853" s="76" t="s">
        <v>64</v>
      </c>
      <c r="R853" s="76" t="s">
        <v>1885</v>
      </c>
      <c r="S853" s="24"/>
      <c r="T853" s="24"/>
      <c r="U853" s="64"/>
      <c r="V853" s="56"/>
      <c r="W853" s="56"/>
      <c r="X853" s="56"/>
      <c r="Y853" s="56"/>
      <c r="Z853" s="56"/>
      <c r="AA853" s="56"/>
      <c r="AB853" s="56"/>
      <c r="AC853" s="56"/>
    </row>
    <row r="854" spans="1:29" ht="15.75" customHeight="1">
      <c r="A854" s="39" t="s">
        <v>3355</v>
      </c>
      <c r="B854" s="107">
        <v>43696</v>
      </c>
      <c r="C854" s="109">
        <v>43699</v>
      </c>
      <c r="D854" s="76" t="s">
        <v>366</v>
      </c>
      <c r="E854" s="174" t="s">
        <v>188</v>
      </c>
      <c r="F854" s="39" t="s">
        <v>1761</v>
      </c>
      <c r="G854" s="399">
        <f>IFERROR(VLOOKUP(A854,醫療院所DATABASE!A:B,2,""),)</f>
        <v>0</v>
      </c>
      <c r="H854" s="64"/>
      <c r="I854" s="109">
        <v>43693</v>
      </c>
      <c r="J854" s="109">
        <v>43697</v>
      </c>
      <c r="K854" s="39" t="s">
        <v>3377</v>
      </c>
      <c r="L854" s="76" t="s">
        <v>3378</v>
      </c>
      <c r="M854" s="49" t="s">
        <v>61</v>
      </c>
      <c r="N854" s="39" t="s">
        <v>62</v>
      </c>
      <c r="O854" s="24"/>
      <c r="P854" s="409" t="s">
        <v>3379</v>
      </c>
      <c r="Q854" s="76" t="s">
        <v>64</v>
      </c>
      <c r="R854" s="76" t="s">
        <v>1885</v>
      </c>
      <c r="S854" s="24"/>
      <c r="T854" s="24"/>
      <c r="U854" s="64"/>
      <c r="V854" s="56"/>
      <c r="W854" s="56"/>
      <c r="X854" s="56"/>
      <c r="Y854" s="56"/>
      <c r="Z854" s="56"/>
      <c r="AA854" s="56"/>
      <c r="AB854" s="56"/>
      <c r="AC854" s="56"/>
    </row>
    <row r="855" spans="1:29" ht="15.75" customHeight="1">
      <c r="A855" s="39" t="s">
        <v>3355</v>
      </c>
      <c r="B855" s="107">
        <v>43696</v>
      </c>
      <c r="C855" s="109">
        <v>43699</v>
      </c>
      <c r="D855" s="76" t="s">
        <v>366</v>
      </c>
      <c r="E855" s="174" t="s">
        <v>188</v>
      </c>
      <c r="F855" s="39" t="s">
        <v>1761</v>
      </c>
      <c r="G855" s="399">
        <f>IFERROR(VLOOKUP(A855,醫療院所DATABASE!A:B,2,""),)</f>
        <v>0</v>
      </c>
      <c r="H855" s="64"/>
      <c r="I855" s="109">
        <v>43693</v>
      </c>
      <c r="J855" s="109">
        <v>43697</v>
      </c>
      <c r="K855" s="39" t="s">
        <v>3380</v>
      </c>
      <c r="L855" s="76" t="s">
        <v>3381</v>
      </c>
      <c r="M855" s="49" t="s">
        <v>61</v>
      </c>
      <c r="N855" s="39" t="s">
        <v>62</v>
      </c>
      <c r="O855" s="24"/>
      <c r="P855" s="409" t="s">
        <v>3382</v>
      </c>
      <c r="Q855" s="76" t="s">
        <v>64</v>
      </c>
      <c r="R855" s="76" t="s">
        <v>1885</v>
      </c>
      <c r="S855" s="24"/>
      <c r="T855" s="24"/>
      <c r="U855" s="64"/>
      <c r="V855" s="56"/>
      <c r="W855" s="56"/>
      <c r="X855" s="56"/>
      <c r="Y855" s="56"/>
      <c r="Z855" s="56"/>
      <c r="AA855" s="56"/>
      <c r="AB855" s="56"/>
      <c r="AC855" s="56"/>
    </row>
    <row r="856" spans="1:29" ht="15.75" customHeight="1">
      <c r="A856" s="39" t="s">
        <v>3355</v>
      </c>
      <c r="B856" s="107">
        <v>43696</v>
      </c>
      <c r="C856" s="109">
        <v>43699</v>
      </c>
      <c r="D856" s="76" t="s">
        <v>366</v>
      </c>
      <c r="E856" s="174" t="s">
        <v>53</v>
      </c>
      <c r="F856" s="39" t="s">
        <v>1761</v>
      </c>
      <c r="G856" s="399">
        <f>IFERROR(VLOOKUP(A856,醫療院所DATABASE!A:B,2,""),)</f>
        <v>0</v>
      </c>
      <c r="H856" s="64"/>
      <c r="I856" s="109">
        <v>43693</v>
      </c>
      <c r="J856" s="109">
        <v>43697</v>
      </c>
      <c r="K856" s="39" t="s">
        <v>3383</v>
      </c>
      <c r="L856" s="76" t="s">
        <v>3384</v>
      </c>
      <c r="M856" s="49" t="s">
        <v>61</v>
      </c>
      <c r="N856" s="39" t="s">
        <v>62</v>
      </c>
      <c r="O856" s="24"/>
      <c r="P856" s="409" t="s">
        <v>3385</v>
      </c>
      <c r="Q856" s="76" t="s">
        <v>64</v>
      </c>
      <c r="R856" s="76" t="s">
        <v>1885</v>
      </c>
      <c r="S856" s="24"/>
      <c r="T856" s="24"/>
      <c r="U856" s="64"/>
      <c r="V856" s="56"/>
      <c r="W856" s="56"/>
      <c r="X856" s="56"/>
      <c r="Y856" s="56"/>
      <c r="Z856" s="56"/>
      <c r="AA856" s="56"/>
      <c r="AB856" s="56"/>
      <c r="AC856" s="56"/>
    </row>
    <row r="857" spans="1:29" ht="15.75" customHeight="1">
      <c r="A857" s="39" t="s">
        <v>3355</v>
      </c>
      <c r="B857" s="107">
        <v>43696</v>
      </c>
      <c r="C857" s="109">
        <v>43699</v>
      </c>
      <c r="D857" s="76" t="s">
        <v>366</v>
      </c>
      <c r="E857" s="174" t="s">
        <v>188</v>
      </c>
      <c r="F857" s="39" t="s">
        <v>1761</v>
      </c>
      <c r="G857" s="399">
        <f>IFERROR(VLOOKUP(A857,醫療院所DATABASE!A:B,2,""),)</f>
        <v>0</v>
      </c>
      <c r="H857" s="64"/>
      <c r="I857" s="109">
        <v>43693</v>
      </c>
      <c r="J857" s="109">
        <v>43697</v>
      </c>
      <c r="K857" s="39" t="s">
        <v>3386</v>
      </c>
      <c r="L857" s="76" t="s">
        <v>3387</v>
      </c>
      <c r="M857" s="49" t="s">
        <v>61</v>
      </c>
      <c r="N857" s="39" t="s">
        <v>62</v>
      </c>
      <c r="O857" s="24"/>
      <c r="P857" s="409" t="s">
        <v>3388</v>
      </c>
      <c r="Q857" s="76" t="s">
        <v>64</v>
      </c>
      <c r="R857" s="76" t="s">
        <v>1885</v>
      </c>
      <c r="S857" s="24"/>
      <c r="T857" s="24"/>
      <c r="U857" s="64"/>
      <c r="V857" s="56"/>
      <c r="W857" s="56"/>
      <c r="X857" s="56"/>
      <c r="Y857" s="56"/>
      <c r="Z857" s="56"/>
      <c r="AA857" s="56"/>
      <c r="AB857" s="56"/>
      <c r="AC857" s="56"/>
    </row>
    <row r="858" spans="1:29" ht="15.75" customHeight="1">
      <c r="A858" s="39" t="s">
        <v>3355</v>
      </c>
      <c r="B858" s="107">
        <v>43696</v>
      </c>
      <c r="C858" s="109">
        <v>43699</v>
      </c>
      <c r="D858" s="76" t="s">
        <v>366</v>
      </c>
      <c r="E858" s="174" t="s">
        <v>53</v>
      </c>
      <c r="F858" s="39" t="s">
        <v>1761</v>
      </c>
      <c r="G858" s="399">
        <f>IFERROR(VLOOKUP(A858,醫療院所DATABASE!A:B,2,""),)</f>
        <v>0</v>
      </c>
      <c r="H858" s="64"/>
      <c r="I858" s="109">
        <v>43693</v>
      </c>
      <c r="J858" s="109">
        <v>43697</v>
      </c>
      <c r="K858" s="39" t="s">
        <v>3389</v>
      </c>
      <c r="L858" s="76" t="s">
        <v>3390</v>
      </c>
      <c r="M858" s="49" t="s">
        <v>61</v>
      </c>
      <c r="N858" s="39" t="s">
        <v>62</v>
      </c>
      <c r="O858" s="24"/>
      <c r="P858" s="409" t="s">
        <v>3391</v>
      </c>
      <c r="Q858" s="76" t="s">
        <v>64</v>
      </c>
      <c r="R858" s="76" t="s">
        <v>1885</v>
      </c>
      <c r="S858" s="24"/>
      <c r="T858" s="24"/>
      <c r="U858" s="64"/>
      <c r="V858" s="56"/>
      <c r="W858" s="56"/>
      <c r="X858" s="56"/>
      <c r="Y858" s="56"/>
      <c r="Z858" s="56"/>
      <c r="AA858" s="56"/>
      <c r="AB858" s="56"/>
      <c r="AC858" s="56"/>
    </row>
    <row r="859" spans="1:29" ht="15.75" customHeight="1">
      <c r="A859" s="39" t="s">
        <v>3355</v>
      </c>
      <c r="B859" s="107">
        <v>43696</v>
      </c>
      <c r="C859" s="109">
        <v>43699</v>
      </c>
      <c r="D859" s="76" t="s">
        <v>366</v>
      </c>
      <c r="E859" s="174" t="s">
        <v>188</v>
      </c>
      <c r="F859" s="39" t="s">
        <v>1761</v>
      </c>
      <c r="G859" s="399">
        <f>IFERROR(VLOOKUP(A859,醫療院所DATABASE!A:B,2,""),)</f>
        <v>0</v>
      </c>
      <c r="H859" s="64"/>
      <c r="I859" s="109">
        <v>43693</v>
      </c>
      <c r="J859" s="109">
        <v>43697</v>
      </c>
      <c r="K859" s="39" t="s">
        <v>3392</v>
      </c>
      <c r="L859" s="76" t="s">
        <v>3393</v>
      </c>
      <c r="M859" s="49" t="s">
        <v>61</v>
      </c>
      <c r="N859" s="39" t="s">
        <v>62</v>
      </c>
      <c r="O859" s="24"/>
      <c r="P859" s="409" t="s">
        <v>3394</v>
      </c>
      <c r="Q859" s="76" t="s">
        <v>64</v>
      </c>
      <c r="R859" s="76" t="s">
        <v>1885</v>
      </c>
      <c r="S859" s="24"/>
      <c r="T859" s="24"/>
      <c r="U859" s="64"/>
      <c r="V859" s="56"/>
      <c r="W859" s="56"/>
      <c r="X859" s="56"/>
      <c r="Y859" s="56"/>
      <c r="Z859" s="56"/>
      <c r="AA859" s="56"/>
      <c r="AB859" s="56"/>
      <c r="AC859" s="56"/>
    </row>
    <row r="860" spans="1:29" ht="15.75" customHeight="1">
      <c r="A860" s="39" t="s">
        <v>3355</v>
      </c>
      <c r="B860" s="107">
        <v>43696</v>
      </c>
      <c r="C860" s="109">
        <v>43699</v>
      </c>
      <c r="D860" s="76" t="s">
        <v>366</v>
      </c>
      <c r="E860" s="174" t="s">
        <v>53</v>
      </c>
      <c r="F860" s="39" t="s">
        <v>1761</v>
      </c>
      <c r="G860" s="399">
        <f>IFERROR(VLOOKUP(A860,醫療院所DATABASE!A:B,2,""),)</f>
        <v>0</v>
      </c>
      <c r="H860" s="64"/>
      <c r="I860" s="109">
        <v>43693</v>
      </c>
      <c r="J860" s="109">
        <v>43697</v>
      </c>
      <c r="K860" s="39" t="s">
        <v>3395</v>
      </c>
      <c r="L860" s="76" t="s">
        <v>3396</v>
      </c>
      <c r="M860" s="49" t="s">
        <v>61</v>
      </c>
      <c r="N860" s="39" t="s">
        <v>62</v>
      </c>
      <c r="O860" s="24"/>
      <c r="P860" s="409" t="s">
        <v>3397</v>
      </c>
      <c r="Q860" s="76" t="s">
        <v>64</v>
      </c>
      <c r="R860" s="76" t="s">
        <v>1885</v>
      </c>
      <c r="S860" s="24"/>
      <c r="T860" s="24"/>
      <c r="U860" s="64"/>
      <c r="V860" s="56"/>
      <c r="W860" s="56"/>
      <c r="X860" s="56"/>
      <c r="Y860" s="56"/>
      <c r="Z860" s="56"/>
      <c r="AA860" s="56"/>
      <c r="AB860" s="56"/>
      <c r="AC860" s="56"/>
    </row>
    <row r="861" spans="1:29" ht="15.75" customHeight="1">
      <c r="A861" s="39" t="s">
        <v>3355</v>
      </c>
      <c r="B861" s="107">
        <v>43696</v>
      </c>
      <c r="C861" s="109">
        <v>43699</v>
      </c>
      <c r="D861" s="76" t="s">
        <v>366</v>
      </c>
      <c r="E861" s="174" t="s">
        <v>188</v>
      </c>
      <c r="F861" s="39" t="s">
        <v>1761</v>
      </c>
      <c r="G861" s="399">
        <f>IFERROR(VLOOKUP(A861,醫療院所DATABASE!A:B,2,""),)</f>
        <v>0</v>
      </c>
      <c r="H861" s="76" t="s">
        <v>3398</v>
      </c>
      <c r="I861" s="109">
        <v>43693</v>
      </c>
      <c r="J861" s="109">
        <v>43697</v>
      </c>
      <c r="K861" s="39" t="s">
        <v>3399</v>
      </c>
      <c r="L861" s="76" t="s">
        <v>3400</v>
      </c>
      <c r="M861" s="49" t="s">
        <v>61</v>
      </c>
      <c r="N861" s="39" t="s">
        <v>51</v>
      </c>
      <c r="O861" s="24"/>
      <c r="P861" s="409" t="s">
        <v>3401</v>
      </c>
      <c r="Q861" s="76" t="s">
        <v>64</v>
      </c>
      <c r="R861" s="76" t="s">
        <v>1885</v>
      </c>
      <c r="S861" s="24"/>
      <c r="T861" s="24"/>
      <c r="U861" s="64"/>
      <c r="V861" s="56"/>
      <c r="W861" s="56"/>
      <c r="X861" s="56"/>
      <c r="Y861" s="56"/>
      <c r="Z861" s="56"/>
      <c r="AA861" s="56"/>
      <c r="AB861" s="56"/>
      <c r="AC861" s="56"/>
    </row>
    <row r="862" spans="1:29" ht="15.75" customHeight="1">
      <c r="A862" s="39" t="s">
        <v>3355</v>
      </c>
      <c r="B862" s="107">
        <v>43696</v>
      </c>
      <c r="C862" s="109">
        <v>43699</v>
      </c>
      <c r="D862" s="76" t="s">
        <v>366</v>
      </c>
      <c r="E862" s="174" t="s">
        <v>188</v>
      </c>
      <c r="F862" s="39" t="s">
        <v>1761</v>
      </c>
      <c r="G862" s="399">
        <f>IFERROR(VLOOKUP(A862,醫療院所DATABASE!A:B,2,""),)</f>
        <v>0</v>
      </c>
      <c r="H862" s="76" t="s">
        <v>3400</v>
      </c>
      <c r="I862" s="109">
        <v>43693</v>
      </c>
      <c r="J862" s="109">
        <v>43697</v>
      </c>
      <c r="K862" s="39" t="s">
        <v>3402</v>
      </c>
      <c r="L862" s="76" t="s">
        <v>3398</v>
      </c>
      <c r="M862" s="49" t="s">
        <v>61</v>
      </c>
      <c r="N862" s="39" t="s">
        <v>62</v>
      </c>
      <c r="O862" s="24"/>
      <c r="P862" s="409" t="s">
        <v>3403</v>
      </c>
      <c r="Q862" s="76" t="s">
        <v>64</v>
      </c>
      <c r="R862" s="76" t="s">
        <v>1885</v>
      </c>
      <c r="S862" s="24"/>
      <c r="T862" s="24"/>
      <c r="U862" s="64"/>
      <c r="V862" s="56"/>
      <c r="W862" s="56"/>
      <c r="X862" s="56"/>
      <c r="Y862" s="56"/>
      <c r="Z862" s="56"/>
      <c r="AA862" s="56"/>
      <c r="AB862" s="56"/>
      <c r="AC862" s="56"/>
    </row>
    <row r="863" spans="1:29" ht="15.75" customHeight="1">
      <c r="A863" s="39" t="s">
        <v>3355</v>
      </c>
      <c r="B863" s="107">
        <v>43696</v>
      </c>
      <c r="C863" s="130">
        <v>43699</v>
      </c>
      <c r="D863" s="76" t="s">
        <v>366</v>
      </c>
      <c r="E863" s="174" t="s">
        <v>53</v>
      </c>
      <c r="F863" s="39" t="s">
        <v>1761</v>
      </c>
      <c r="G863" s="399">
        <f>IFERROR(VLOOKUP(A863,醫療院所DATABASE!A:B,2,""),)</f>
        <v>0</v>
      </c>
      <c r="H863" s="64"/>
      <c r="I863" s="109">
        <v>43693</v>
      </c>
      <c r="J863" s="109">
        <v>43697</v>
      </c>
      <c r="K863" s="39" t="s">
        <v>3404</v>
      </c>
      <c r="L863" s="76" t="s">
        <v>3405</v>
      </c>
      <c r="M863" s="49" t="s">
        <v>61</v>
      </c>
      <c r="N863" s="39" t="s">
        <v>62</v>
      </c>
      <c r="O863" s="24"/>
      <c r="P863" s="409" t="s">
        <v>3406</v>
      </c>
      <c r="Q863" s="76" t="s">
        <v>64</v>
      </c>
      <c r="R863" s="76" t="s">
        <v>1885</v>
      </c>
      <c r="S863" s="24"/>
      <c r="T863" s="24"/>
      <c r="U863" s="64"/>
      <c r="V863" s="56"/>
      <c r="W863" s="56"/>
      <c r="X863" s="56"/>
      <c r="Y863" s="56"/>
      <c r="Z863" s="56"/>
      <c r="AA863" s="56"/>
      <c r="AB863" s="56"/>
      <c r="AC863" s="56"/>
    </row>
    <row r="864" spans="1:29" ht="15.75" customHeight="1">
      <c r="A864" s="39" t="s">
        <v>3407</v>
      </c>
      <c r="B864" s="107">
        <v>43698</v>
      </c>
      <c r="C864" s="109">
        <v>43699</v>
      </c>
      <c r="D864" s="76" t="s">
        <v>522</v>
      </c>
      <c r="E864" s="174" t="s">
        <v>188</v>
      </c>
      <c r="F864" s="39" t="s">
        <v>3408</v>
      </c>
      <c r="G864" s="399">
        <f>IFERROR(VLOOKUP(A864,醫療院所DATABASE!A:B,2,""),)</f>
        <v>0</v>
      </c>
      <c r="H864" s="64"/>
      <c r="I864" s="109">
        <v>43696</v>
      </c>
      <c r="J864" s="109">
        <v>43698</v>
      </c>
      <c r="K864" s="39" t="s">
        <v>3409</v>
      </c>
      <c r="L864" s="76" t="s">
        <v>3410</v>
      </c>
      <c r="M864" s="49" t="s">
        <v>61</v>
      </c>
      <c r="N864" s="39" t="s">
        <v>62</v>
      </c>
      <c r="O864" s="24"/>
      <c r="P864" s="409" t="s">
        <v>3411</v>
      </c>
      <c r="Q864" s="76" t="s">
        <v>64</v>
      </c>
      <c r="R864" s="76" t="s">
        <v>1885</v>
      </c>
      <c r="S864" s="24"/>
      <c r="T864" s="24"/>
      <c r="U864" s="64"/>
      <c r="V864" s="56"/>
      <c r="W864" s="56"/>
      <c r="X864" s="56"/>
      <c r="Y864" s="56"/>
      <c r="Z864" s="56"/>
      <c r="AA864" s="56"/>
      <c r="AB864" s="56"/>
      <c r="AC864" s="56"/>
    </row>
    <row r="865" spans="1:29" ht="15.75" customHeight="1">
      <c r="A865" s="39" t="s">
        <v>478</v>
      </c>
      <c r="B865" s="107">
        <v>43698</v>
      </c>
      <c r="C865" s="109">
        <v>43699</v>
      </c>
      <c r="D865" s="76" t="s">
        <v>479</v>
      </c>
      <c r="E865" s="76" t="s">
        <v>479</v>
      </c>
      <c r="F865" s="39" t="s">
        <v>2304</v>
      </c>
      <c r="G865" s="399">
        <f>IFERROR(VLOOKUP(A865,醫療院所DATABASE!A:B,2,""),)</f>
        <v>0</v>
      </c>
      <c r="H865" s="64"/>
      <c r="I865" s="109">
        <v>43696</v>
      </c>
      <c r="J865" s="109">
        <v>43698</v>
      </c>
      <c r="K865" s="39" t="s">
        <v>486</v>
      </c>
      <c r="L865" s="76" t="s">
        <v>487</v>
      </c>
      <c r="M865" s="49" t="s">
        <v>61</v>
      </c>
      <c r="N865" s="39" t="s">
        <v>62</v>
      </c>
      <c r="O865" s="24"/>
      <c r="P865" s="409" t="s">
        <v>3412</v>
      </c>
      <c r="Q865" s="76" t="s">
        <v>1931</v>
      </c>
      <c r="R865" s="76" t="s">
        <v>1885</v>
      </c>
      <c r="S865" s="24"/>
      <c r="T865" s="24"/>
      <c r="U865" s="64"/>
      <c r="V865" s="56"/>
      <c r="W865" s="56"/>
      <c r="X865" s="56"/>
      <c r="Y865" s="56"/>
      <c r="Z865" s="56"/>
      <c r="AA865" s="56"/>
      <c r="AB865" s="56"/>
      <c r="AC865" s="56"/>
    </row>
    <row r="866" spans="1:29" ht="15.75" customHeight="1">
      <c r="A866" s="39" t="s">
        <v>478</v>
      </c>
      <c r="B866" s="107">
        <v>43698</v>
      </c>
      <c r="C866" s="109">
        <v>43699</v>
      </c>
      <c r="D866" s="76" t="s">
        <v>479</v>
      </c>
      <c r="E866" s="76" t="s">
        <v>479</v>
      </c>
      <c r="F866" s="39" t="s">
        <v>2304</v>
      </c>
      <c r="G866" s="399">
        <f>IFERROR(VLOOKUP(A866,醫療院所DATABASE!A:B,2,""),)</f>
        <v>0</v>
      </c>
      <c r="H866" s="64"/>
      <c r="I866" s="109">
        <v>43696</v>
      </c>
      <c r="J866" s="109">
        <v>43698</v>
      </c>
      <c r="K866" s="39" t="s">
        <v>480</v>
      </c>
      <c r="L866" s="76" t="s">
        <v>481</v>
      </c>
      <c r="M866" s="49" t="s">
        <v>61</v>
      </c>
      <c r="N866" s="39" t="s">
        <v>51</v>
      </c>
      <c r="O866" s="24"/>
      <c r="P866" s="409" t="s">
        <v>3413</v>
      </c>
      <c r="Q866" s="76" t="s">
        <v>1931</v>
      </c>
      <c r="R866" s="76" t="s">
        <v>1885</v>
      </c>
      <c r="S866" s="24"/>
      <c r="T866" s="24"/>
      <c r="U866" s="64"/>
      <c r="V866" s="56"/>
      <c r="W866" s="56"/>
      <c r="X866" s="56"/>
      <c r="Y866" s="56"/>
      <c r="Z866" s="56"/>
      <c r="AA866" s="56"/>
      <c r="AB866" s="56"/>
      <c r="AC866" s="56"/>
    </row>
    <row r="867" spans="1:29" ht="15.75" customHeight="1">
      <c r="A867" s="39" t="s">
        <v>2330</v>
      </c>
      <c r="B867" s="107">
        <v>43699</v>
      </c>
      <c r="C867" s="109">
        <v>43700</v>
      </c>
      <c r="D867" s="76" t="s">
        <v>522</v>
      </c>
      <c r="E867" s="76" t="s">
        <v>53</v>
      </c>
      <c r="F867" s="39" t="s">
        <v>3414</v>
      </c>
      <c r="G867" s="399">
        <f>IFERROR(VLOOKUP(A867,醫療院所DATABASE!A:B,2,""),)</f>
        <v>0</v>
      </c>
      <c r="H867" s="64"/>
      <c r="I867" s="109">
        <v>43697</v>
      </c>
      <c r="J867" s="109">
        <v>43699</v>
      </c>
      <c r="K867" s="39" t="s">
        <v>3415</v>
      </c>
      <c r="L867" s="76" t="s">
        <v>3416</v>
      </c>
      <c r="M867" s="49" t="s">
        <v>61</v>
      </c>
      <c r="N867" s="39" t="s">
        <v>62</v>
      </c>
      <c r="O867" s="24"/>
      <c r="P867" s="409" t="s">
        <v>3417</v>
      </c>
      <c r="Q867" s="76" t="s">
        <v>64</v>
      </c>
      <c r="R867" s="76" t="s">
        <v>1885</v>
      </c>
      <c r="S867" s="24"/>
      <c r="T867" s="24"/>
      <c r="U867" s="76" t="s">
        <v>3418</v>
      </c>
      <c r="V867" s="56"/>
      <c r="W867" s="56"/>
      <c r="X867" s="56"/>
      <c r="Y867" s="56"/>
      <c r="Z867" s="56"/>
      <c r="AA867" s="56"/>
      <c r="AB867" s="56"/>
      <c r="AC867" s="56"/>
    </row>
    <row r="868" spans="1:29" ht="15.75" customHeight="1">
      <c r="A868" s="39" t="s">
        <v>2330</v>
      </c>
      <c r="B868" s="107">
        <v>43699</v>
      </c>
      <c r="C868" s="109">
        <v>43700</v>
      </c>
      <c r="D868" s="76" t="s">
        <v>522</v>
      </c>
      <c r="E868" s="76" t="s">
        <v>53</v>
      </c>
      <c r="F868" s="39" t="s">
        <v>3414</v>
      </c>
      <c r="G868" s="399">
        <f>IFERROR(VLOOKUP(A868,醫療院所DATABASE!A:B,2,""),)</f>
        <v>0</v>
      </c>
      <c r="H868" s="64"/>
      <c r="I868" s="109">
        <v>43697</v>
      </c>
      <c r="J868" s="109">
        <v>43699</v>
      </c>
      <c r="K868" s="39" t="s">
        <v>3419</v>
      </c>
      <c r="L868" s="76" t="s">
        <v>3420</v>
      </c>
      <c r="M868" s="49" t="s">
        <v>61</v>
      </c>
      <c r="N868" s="39" t="s">
        <v>51</v>
      </c>
      <c r="O868" s="24"/>
      <c r="P868" s="409" t="s">
        <v>3421</v>
      </c>
      <c r="Q868" s="76" t="s">
        <v>64</v>
      </c>
      <c r="R868" s="76" t="s">
        <v>1885</v>
      </c>
      <c r="S868" s="24"/>
      <c r="T868" s="24"/>
      <c r="U868" s="76" t="s">
        <v>3418</v>
      </c>
      <c r="V868" s="56"/>
      <c r="W868" s="56"/>
      <c r="X868" s="56"/>
      <c r="Y868" s="56"/>
      <c r="Z868" s="56"/>
      <c r="AA868" s="56"/>
      <c r="AB868" s="56"/>
      <c r="AC868" s="56"/>
    </row>
    <row r="869" spans="1:29" ht="15.75" customHeight="1">
      <c r="A869" s="39" t="s">
        <v>3422</v>
      </c>
      <c r="B869" s="107">
        <v>43699</v>
      </c>
      <c r="C869" s="109">
        <v>43700</v>
      </c>
      <c r="D869" s="76" t="s">
        <v>665</v>
      </c>
      <c r="E869" s="76" t="s">
        <v>665</v>
      </c>
      <c r="F869" s="39" t="s">
        <v>2304</v>
      </c>
      <c r="G869" s="399">
        <f>IFERROR(VLOOKUP(A869,醫療院所DATABASE!A:B,2,""),)</f>
        <v>0</v>
      </c>
      <c r="H869" s="64"/>
      <c r="I869" s="109">
        <v>43697</v>
      </c>
      <c r="J869" s="109">
        <v>43699</v>
      </c>
      <c r="K869" s="39" t="s">
        <v>3423</v>
      </c>
      <c r="L869" s="76" t="s">
        <v>3424</v>
      </c>
      <c r="M869" s="49" t="s">
        <v>61</v>
      </c>
      <c r="N869" s="39" t="s">
        <v>51</v>
      </c>
      <c r="O869" s="24"/>
      <c r="P869" s="409" t="s">
        <v>3425</v>
      </c>
      <c r="Q869" s="76" t="s">
        <v>64</v>
      </c>
      <c r="R869" s="76" t="s">
        <v>1885</v>
      </c>
      <c r="S869" s="24"/>
      <c r="T869" s="24"/>
      <c r="U869" s="76" t="s">
        <v>2709</v>
      </c>
      <c r="V869" s="56"/>
      <c r="W869" s="56"/>
      <c r="X869" s="56"/>
      <c r="Y869" s="56"/>
      <c r="Z869" s="56"/>
      <c r="AA869" s="56"/>
      <c r="AB869" s="56"/>
      <c r="AC869" s="56"/>
    </row>
    <row r="870" spans="1:29" ht="15.75" customHeight="1">
      <c r="A870" s="39" t="s">
        <v>3426</v>
      </c>
      <c r="B870" s="107">
        <v>43699</v>
      </c>
      <c r="C870" s="109">
        <v>43700</v>
      </c>
      <c r="D870" s="76" t="s">
        <v>3427</v>
      </c>
      <c r="E870" s="76" t="s">
        <v>3427</v>
      </c>
      <c r="F870" s="39" t="s">
        <v>3320</v>
      </c>
      <c r="G870" s="399">
        <f>IFERROR(VLOOKUP(A870,醫療院所DATABASE!A:B,2,""),)</f>
        <v>0</v>
      </c>
      <c r="H870" s="64"/>
      <c r="I870" s="109">
        <v>43697</v>
      </c>
      <c r="J870" s="109">
        <v>43699</v>
      </c>
      <c r="K870" s="39" t="s">
        <v>3428</v>
      </c>
      <c r="L870" s="76" t="s">
        <v>3429</v>
      </c>
      <c r="M870" s="49" t="s">
        <v>61</v>
      </c>
      <c r="N870" s="39" t="s">
        <v>62</v>
      </c>
      <c r="O870" s="24"/>
      <c r="P870" s="409" t="s">
        <v>3430</v>
      </c>
      <c r="Q870" s="76" t="s">
        <v>64</v>
      </c>
      <c r="R870" s="76" t="s">
        <v>1885</v>
      </c>
      <c r="S870" s="24"/>
      <c r="T870" s="24"/>
      <c r="U870" s="64"/>
      <c r="V870" s="56"/>
      <c r="W870" s="56"/>
      <c r="X870" s="56"/>
      <c r="Y870" s="56"/>
      <c r="Z870" s="56"/>
      <c r="AA870" s="56"/>
      <c r="AB870" s="56"/>
      <c r="AC870" s="56"/>
    </row>
    <row r="871" spans="1:29" ht="15.75" customHeight="1">
      <c r="A871" s="39" t="s">
        <v>3426</v>
      </c>
      <c r="B871" s="107">
        <v>43699</v>
      </c>
      <c r="C871" s="109">
        <v>43700</v>
      </c>
      <c r="D871" s="76" t="s">
        <v>3427</v>
      </c>
      <c r="E871" s="76" t="s">
        <v>3427</v>
      </c>
      <c r="F871" s="39" t="s">
        <v>3320</v>
      </c>
      <c r="G871" s="399">
        <f>IFERROR(VLOOKUP(A871,醫療院所DATABASE!A:B,2,""),)</f>
        <v>0</v>
      </c>
      <c r="H871" s="64"/>
      <c r="I871" s="109">
        <v>43697</v>
      </c>
      <c r="J871" s="109">
        <v>43699</v>
      </c>
      <c r="K871" s="39" t="s">
        <v>3431</v>
      </c>
      <c r="L871" s="76" t="s">
        <v>3432</v>
      </c>
      <c r="M871" s="49" t="s">
        <v>61</v>
      </c>
      <c r="N871" s="39" t="s">
        <v>51</v>
      </c>
      <c r="O871" s="24"/>
      <c r="P871" s="409" t="s">
        <v>3433</v>
      </c>
      <c r="Q871" s="76" t="s">
        <v>64</v>
      </c>
      <c r="R871" s="76" t="s">
        <v>1885</v>
      </c>
      <c r="S871" s="24"/>
      <c r="T871" s="24"/>
      <c r="U871" s="64"/>
      <c r="V871" s="56"/>
      <c r="W871" s="56"/>
      <c r="X871" s="56"/>
      <c r="Y871" s="56"/>
      <c r="Z871" s="56"/>
      <c r="AA871" s="56"/>
      <c r="AB871" s="56"/>
      <c r="AC871" s="56"/>
    </row>
    <row r="872" spans="1:29" ht="15.75" customHeight="1">
      <c r="A872" s="39" t="s">
        <v>3426</v>
      </c>
      <c r="B872" s="107">
        <v>43699</v>
      </c>
      <c r="C872" s="109">
        <v>43700</v>
      </c>
      <c r="D872" s="76" t="s">
        <v>3427</v>
      </c>
      <c r="E872" s="76" t="s">
        <v>3427</v>
      </c>
      <c r="F872" s="39" t="s">
        <v>3320</v>
      </c>
      <c r="G872" s="399">
        <f>IFERROR(VLOOKUP(A872,醫療院所DATABASE!A:B,2,""),)</f>
        <v>0</v>
      </c>
      <c r="H872" s="64"/>
      <c r="I872" s="109">
        <v>43697</v>
      </c>
      <c r="J872" s="109">
        <v>43699</v>
      </c>
      <c r="K872" s="39" t="s">
        <v>3434</v>
      </c>
      <c r="L872" s="76" t="s">
        <v>3435</v>
      </c>
      <c r="M872" s="49" t="s">
        <v>61</v>
      </c>
      <c r="N872" s="39" t="s">
        <v>51</v>
      </c>
      <c r="O872" s="24"/>
      <c r="P872" s="409" t="s">
        <v>3436</v>
      </c>
      <c r="Q872" s="76" t="s">
        <v>64</v>
      </c>
      <c r="R872" s="76" t="s">
        <v>1885</v>
      </c>
      <c r="S872" s="24"/>
      <c r="T872" s="24"/>
      <c r="U872" s="64"/>
      <c r="V872" s="56"/>
      <c r="W872" s="56"/>
      <c r="X872" s="56"/>
      <c r="Y872" s="56"/>
      <c r="Z872" s="56"/>
      <c r="AA872" s="56"/>
      <c r="AB872" s="56"/>
      <c r="AC872" s="56"/>
    </row>
    <row r="873" spans="1:29" ht="15.75" customHeight="1">
      <c r="A873" s="39" t="s">
        <v>595</v>
      </c>
      <c r="B873" s="107">
        <v>43699</v>
      </c>
      <c r="C873" s="109">
        <v>43700</v>
      </c>
      <c r="D873" s="76" t="s">
        <v>522</v>
      </c>
      <c r="E873" s="76" t="s">
        <v>522</v>
      </c>
      <c r="F873" s="39" t="s">
        <v>2746</v>
      </c>
      <c r="G873" s="399">
        <f>IFERROR(VLOOKUP(A873,醫療院所DATABASE!A:B,2,""),)</f>
        <v>0</v>
      </c>
      <c r="H873" s="64"/>
      <c r="I873" s="109">
        <v>43697</v>
      </c>
      <c r="J873" s="109">
        <v>43699</v>
      </c>
      <c r="K873" s="39" t="s">
        <v>3437</v>
      </c>
      <c r="L873" s="76" t="s">
        <v>3438</v>
      </c>
      <c r="M873" s="39" t="s">
        <v>593</v>
      </c>
      <c r="N873" s="39" t="s">
        <v>51</v>
      </c>
      <c r="O873" s="24"/>
      <c r="P873" s="409" t="s">
        <v>3439</v>
      </c>
      <c r="Q873" s="76" t="s">
        <v>64</v>
      </c>
      <c r="R873" s="76" t="s">
        <v>1885</v>
      </c>
      <c r="S873" s="24"/>
      <c r="T873" s="24"/>
      <c r="U873" s="64"/>
      <c r="V873" s="56"/>
      <c r="W873" s="56"/>
      <c r="X873" s="56"/>
      <c r="Y873" s="56"/>
      <c r="Z873" s="56"/>
      <c r="AA873" s="56"/>
      <c r="AB873" s="56"/>
      <c r="AC873" s="56"/>
    </row>
    <row r="874" spans="1:29" ht="15.75" customHeight="1">
      <c r="A874" s="39" t="s">
        <v>3440</v>
      </c>
      <c r="B874" s="107">
        <v>43699</v>
      </c>
      <c r="C874" s="109">
        <v>43700</v>
      </c>
      <c r="D874" s="76" t="s">
        <v>3427</v>
      </c>
      <c r="E874" s="76" t="s">
        <v>3427</v>
      </c>
      <c r="F874" s="39" t="s">
        <v>3441</v>
      </c>
      <c r="G874" s="399">
        <f>IFERROR(VLOOKUP(A874,醫療院所DATABASE!A:B,2,""),)</f>
        <v>0</v>
      </c>
      <c r="H874" s="64"/>
      <c r="I874" s="109">
        <v>43697</v>
      </c>
      <c r="J874" s="109">
        <v>43699</v>
      </c>
      <c r="K874" s="39" t="s">
        <v>3442</v>
      </c>
      <c r="L874" s="76" t="s">
        <v>3443</v>
      </c>
      <c r="M874" s="39" t="s">
        <v>2503</v>
      </c>
      <c r="N874" s="39" t="s">
        <v>51</v>
      </c>
      <c r="O874" s="24"/>
      <c r="P874" s="409" t="s">
        <v>3444</v>
      </c>
      <c r="Q874" s="76" t="s">
        <v>1931</v>
      </c>
      <c r="R874" s="76" t="s">
        <v>1885</v>
      </c>
      <c r="S874" s="24"/>
      <c r="T874" s="24"/>
      <c r="U874" s="64"/>
      <c r="V874" s="56"/>
      <c r="W874" s="56"/>
      <c r="X874" s="56"/>
      <c r="Y874" s="56"/>
      <c r="Z874" s="56"/>
      <c r="AA874" s="56"/>
      <c r="AB874" s="56"/>
      <c r="AC874" s="56"/>
    </row>
    <row r="875" spans="1:29" ht="15.75" customHeight="1">
      <c r="A875" s="39" t="s">
        <v>3445</v>
      </c>
      <c r="B875" s="107">
        <v>43699</v>
      </c>
      <c r="C875" s="109">
        <v>43700</v>
      </c>
      <c r="D875" s="76" t="s">
        <v>188</v>
      </c>
      <c r="E875" s="76" t="s">
        <v>188</v>
      </c>
      <c r="F875" s="39" t="s">
        <v>1423</v>
      </c>
      <c r="G875" s="399">
        <f>IFERROR(VLOOKUP(A875,醫療院所DATABASE!A:B,2,""),)</f>
        <v>0</v>
      </c>
      <c r="H875" s="64"/>
      <c r="I875" s="109">
        <v>43697</v>
      </c>
      <c r="J875" s="109">
        <v>43699</v>
      </c>
      <c r="K875" s="39" t="s">
        <v>3446</v>
      </c>
      <c r="L875" s="76" t="s">
        <v>3447</v>
      </c>
      <c r="M875" s="39" t="s">
        <v>3448</v>
      </c>
      <c r="N875" s="39" t="s">
        <v>62</v>
      </c>
      <c r="O875" s="24"/>
      <c r="P875" s="409" t="s">
        <v>3449</v>
      </c>
      <c r="Q875" s="76" t="s">
        <v>64</v>
      </c>
      <c r="R875" s="76" t="s">
        <v>1885</v>
      </c>
      <c r="S875" s="24"/>
      <c r="T875" s="24"/>
      <c r="U875" s="64"/>
      <c r="V875" s="56"/>
      <c r="W875" s="56"/>
      <c r="X875" s="56"/>
      <c r="Y875" s="56"/>
      <c r="Z875" s="56"/>
      <c r="AA875" s="56"/>
      <c r="AB875" s="56"/>
      <c r="AC875" s="56"/>
    </row>
    <row r="876" spans="1:29" ht="15.75" customHeight="1">
      <c r="A876" s="39" t="s">
        <v>3445</v>
      </c>
      <c r="B876" s="107">
        <v>43699</v>
      </c>
      <c r="C876" s="109">
        <v>43700</v>
      </c>
      <c r="D876" s="76" t="s">
        <v>188</v>
      </c>
      <c r="E876" s="76" t="s">
        <v>188</v>
      </c>
      <c r="F876" s="39" t="s">
        <v>1423</v>
      </c>
      <c r="G876" s="399">
        <f>IFERROR(VLOOKUP(A876,醫療院所DATABASE!A:B,2,""),)</f>
        <v>0</v>
      </c>
      <c r="H876" s="64"/>
      <c r="I876" s="109">
        <v>43697</v>
      </c>
      <c r="J876" s="109">
        <v>43699</v>
      </c>
      <c r="K876" s="39" t="s">
        <v>3446</v>
      </c>
      <c r="L876" s="76" t="s">
        <v>3447</v>
      </c>
      <c r="M876" s="39" t="s">
        <v>3157</v>
      </c>
      <c r="N876" s="39" t="s">
        <v>62</v>
      </c>
      <c r="O876" s="24"/>
      <c r="P876" s="409" t="s">
        <v>3449</v>
      </c>
      <c r="Q876" s="76" t="s">
        <v>64</v>
      </c>
      <c r="R876" s="76" t="s">
        <v>1885</v>
      </c>
      <c r="S876" s="24"/>
      <c r="T876" s="24"/>
      <c r="U876" s="64"/>
      <c r="V876" s="56"/>
      <c r="W876" s="56"/>
      <c r="X876" s="56"/>
      <c r="Y876" s="56"/>
      <c r="Z876" s="56"/>
      <c r="AA876" s="56"/>
      <c r="AB876" s="56"/>
      <c r="AC876" s="56"/>
    </row>
    <row r="877" spans="1:29" ht="15.75" customHeight="1">
      <c r="A877" s="39" t="s">
        <v>3450</v>
      </c>
      <c r="B877" s="107">
        <v>43699</v>
      </c>
      <c r="C877" s="109">
        <v>43700</v>
      </c>
      <c r="D877" s="76" t="s">
        <v>665</v>
      </c>
      <c r="E877" s="76" t="s">
        <v>188</v>
      </c>
      <c r="F877" s="39" t="s">
        <v>2939</v>
      </c>
      <c r="G877" s="399">
        <f>IFERROR(VLOOKUP(A877,醫療院所DATABASE!A:B,2,""),)</f>
        <v>0</v>
      </c>
      <c r="H877" s="64"/>
      <c r="I877" s="109">
        <v>43698</v>
      </c>
      <c r="J877" s="109">
        <v>43700</v>
      </c>
      <c r="K877" s="39" t="s">
        <v>3451</v>
      </c>
      <c r="L877" s="76" t="s">
        <v>3452</v>
      </c>
      <c r="M877" s="49" t="s">
        <v>61</v>
      </c>
      <c r="N877" s="39" t="s">
        <v>62</v>
      </c>
      <c r="O877" s="24"/>
      <c r="P877" s="409" t="s">
        <v>3453</v>
      </c>
      <c r="Q877" s="76" t="s">
        <v>64</v>
      </c>
      <c r="R877" s="76" t="s">
        <v>1885</v>
      </c>
      <c r="S877" s="24"/>
      <c r="T877" s="24"/>
      <c r="U877" s="64"/>
      <c r="V877" s="56"/>
      <c r="W877" s="56"/>
      <c r="X877" s="56"/>
      <c r="Y877" s="56"/>
      <c r="Z877" s="56"/>
      <c r="AA877" s="56"/>
      <c r="AB877" s="56"/>
      <c r="AC877" s="56"/>
    </row>
    <row r="878" spans="1:29" ht="15.75" customHeight="1">
      <c r="A878" s="39" t="s">
        <v>3454</v>
      </c>
      <c r="B878" s="107">
        <v>43700</v>
      </c>
      <c r="C878" s="109">
        <v>43700</v>
      </c>
      <c r="D878" s="76" t="s">
        <v>366</v>
      </c>
      <c r="E878" s="76" t="s">
        <v>366</v>
      </c>
      <c r="F878" s="39" t="s">
        <v>3455</v>
      </c>
      <c r="G878" s="399">
        <f>IFERROR(VLOOKUP(A878,醫療院所DATABASE!A:B,2,""),)</f>
        <v>0</v>
      </c>
      <c r="H878" s="64"/>
      <c r="I878" s="109">
        <v>43698</v>
      </c>
      <c r="J878" s="109">
        <v>43700</v>
      </c>
      <c r="K878" s="39" t="s">
        <v>3456</v>
      </c>
      <c r="L878" s="76" t="s">
        <v>3457</v>
      </c>
      <c r="M878" s="49" t="s">
        <v>61</v>
      </c>
      <c r="N878" s="39" t="s">
        <v>62</v>
      </c>
      <c r="O878" s="24"/>
      <c r="P878" s="409" t="s">
        <v>3458</v>
      </c>
      <c r="Q878" s="76" t="s">
        <v>1931</v>
      </c>
      <c r="R878" s="76" t="s">
        <v>1885</v>
      </c>
      <c r="S878" s="24"/>
      <c r="T878" s="24"/>
      <c r="U878" s="76" t="s">
        <v>3459</v>
      </c>
      <c r="V878" s="56"/>
      <c r="W878" s="56"/>
      <c r="X878" s="56"/>
      <c r="Y878" s="56"/>
      <c r="Z878" s="56"/>
      <c r="AA878" s="56"/>
      <c r="AB878" s="56"/>
      <c r="AC878" s="56"/>
    </row>
    <row r="879" spans="1:29" ht="15.75" customHeight="1">
      <c r="A879" s="39" t="s">
        <v>3454</v>
      </c>
      <c r="B879" s="107">
        <v>43700</v>
      </c>
      <c r="C879" s="109">
        <v>43700</v>
      </c>
      <c r="D879" s="76" t="s">
        <v>366</v>
      </c>
      <c r="E879" s="76" t="s">
        <v>366</v>
      </c>
      <c r="F879" s="39" t="s">
        <v>3455</v>
      </c>
      <c r="G879" s="399">
        <f>IFERROR(VLOOKUP(A879,醫療院所DATABASE!A:B,2,""),)</f>
        <v>0</v>
      </c>
      <c r="H879" s="64"/>
      <c r="I879" s="109">
        <v>43698</v>
      </c>
      <c r="J879" s="109">
        <v>43700</v>
      </c>
      <c r="K879" s="39" t="s">
        <v>3460</v>
      </c>
      <c r="L879" s="76" t="s">
        <v>3461</v>
      </c>
      <c r="M879" s="49" t="s">
        <v>61</v>
      </c>
      <c r="N879" s="39" t="s">
        <v>62</v>
      </c>
      <c r="O879" s="24"/>
      <c r="P879" s="409" t="s">
        <v>3462</v>
      </c>
      <c r="Q879" s="76" t="s">
        <v>1931</v>
      </c>
      <c r="R879" s="76" t="s">
        <v>1885</v>
      </c>
      <c r="S879" s="24"/>
      <c r="T879" s="24"/>
      <c r="U879" s="76" t="s">
        <v>3459</v>
      </c>
      <c r="V879" s="56"/>
      <c r="W879" s="56"/>
      <c r="X879" s="56"/>
      <c r="Y879" s="56"/>
      <c r="Z879" s="56"/>
      <c r="AA879" s="56"/>
      <c r="AB879" s="56"/>
      <c r="AC879" s="56"/>
    </row>
    <row r="880" spans="1:29" ht="15.75" customHeight="1">
      <c r="A880" s="39" t="s">
        <v>3463</v>
      </c>
      <c r="B880" s="107">
        <v>43699</v>
      </c>
      <c r="C880" s="109">
        <v>43700</v>
      </c>
      <c r="D880" s="143" t="s">
        <v>1910</v>
      </c>
      <c r="E880" s="76" t="s">
        <v>188</v>
      </c>
      <c r="F880" s="39" t="s">
        <v>2885</v>
      </c>
      <c r="G880" s="399">
        <f>IFERROR(VLOOKUP(A880,醫療院所DATABASE!A:B,2,""),)</f>
        <v>0</v>
      </c>
      <c r="H880" s="64"/>
      <c r="I880" s="109">
        <v>43698</v>
      </c>
      <c r="J880" s="109">
        <v>43700</v>
      </c>
      <c r="K880" s="39" t="s">
        <v>3464</v>
      </c>
      <c r="L880" s="76" t="s">
        <v>3465</v>
      </c>
      <c r="M880" s="49" t="s">
        <v>61</v>
      </c>
      <c r="N880" s="39" t="s">
        <v>51</v>
      </c>
      <c r="O880" s="24"/>
      <c r="P880" s="409" t="s">
        <v>3466</v>
      </c>
      <c r="Q880" s="76" t="s">
        <v>64</v>
      </c>
      <c r="R880" s="76" t="s">
        <v>1885</v>
      </c>
      <c r="S880" s="24"/>
      <c r="T880" s="24"/>
      <c r="U880" s="64"/>
      <c r="V880" s="56"/>
      <c r="W880" s="56"/>
      <c r="X880" s="56"/>
      <c r="Y880" s="56"/>
      <c r="Z880" s="56"/>
      <c r="AA880" s="56"/>
      <c r="AB880" s="56"/>
      <c r="AC880" s="56"/>
    </row>
    <row r="881" spans="1:29" ht="15.75" customHeight="1">
      <c r="A881" s="39" t="s">
        <v>3467</v>
      </c>
      <c r="B881" s="107">
        <v>43699</v>
      </c>
      <c r="C881" s="109">
        <v>43700</v>
      </c>
      <c r="D881" s="76" t="s">
        <v>53</v>
      </c>
      <c r="E881" s="187" t="s">
        <v>53</v>
      </c>
      <c r="F881" s="39" t="s">
        <v>2326</v>
      </c>
      <c r="G881" s="399">
        <f>IFERROR(VLOOKUP(A881,醫療院所DATABASE!A:B,2,""),)</f>
        <v>0</v>
      </c>
      <c r="H881" s="76" t="s">
        <v>3468</v>
      </c>
      <c r="I881" s="109">
        <v>43698</v>
      </c>
      <c r="J881" s="109">
        <v>43700</v>
      </c>
      <c r="K881" s="39" t="s">
        <v>3469</v>
      </c>
      <c r="L881" s="76" t="s">
        <v>3470</v>
      </c>
      <c r="M881" s="39" t="s">
        <v>3471</v>
      </c>
      <c r="N881" s="39" t="s">
        <v>62</v>
      </c>
      <c r="O881" s="24"/>
      <c r="P881" s="409" t="s">
        <v>3472</v>
      </c>
      <c r="Q881" s="76" t="s">
        <v>64</v>
      </c>
      <c r="R881" s="76" t="s">
        <v>1885</v>
      </c>
      <c r="S881" s="24"/>
      <c r="T881" s="24"/>
      <c r="U881" s="64"/>
      <c r="V881" s="56"/>
      <c r="W881" s="56"/>
      <c r="X881" s="56"/>
      <c r="Y881" s="56"/>
      <c r="Z881" s="56"/>
      <c r="AA881" s="56"/>
      <c r="AB881" s="56"/>
      <c r="AC881" s="56"/>
    </row>
    <row r="882" spans="1:29" ht="15.75" customHeight="1">
      <c r="A882" s="39" t="s">
        <v>3467</v>
      </c>
      <c r="B882" s="107">
        <v>43699</v>
      </c>
      <c r="C882" s="130">
        <v>43700</v>
      </c>
      <c r="D882" s="76" t="s">
        <v>53</v>
      </c>
      <c r="E882" s="187" t="s">
        <v>53</v>
      </c>
      <c r="F882" s="39" t="s">
        <v>2326</v>
      </c>
      <c r="G882" s="399">
        <f>IFERROR(VLOOKUP(A882,醫療院所DATABASE!A:B,2,""),)</f>
        <v>0</v>
      </c>
      <c r="H882" s="76" t="s">
        <v>3468</v>
      </c>
      <c r="I882" s="109">
        <v>43698</v>
      </c>
      <c r="J882" s="109">
        <v>43700</v>
      </c>
      <c r="K882" s="39" t="s">
        <v>3469</v>
      </c>
      <c r="L882" s="76" t="s">
        <v>3470</v>
      </c>
      <c r="M882" s="39" t="s">
        <v>3473</v>
      </c>
      <c r="N882" s="39" t="s">
        <v>62</v>
      </c>
      <c r="O882" s="24"/>
      <c r="P882" s="409" t="s">
        <v>3472</v>
      </c>
      <c r="Q882" s="76" t="s">
        <v>64</v>
      </c>
      <c r="R882" s="76" t="s">
        <v>1885</v>
      </c>
      <c r="S882" s="24"/>
      <c r="T882" s="24"/>
      <c r="U882" s="64"/>
      <c r="V882" s="56"/>
      <c r="W882" s="56"/>
      <c r="X882" s="56"/>
      <c r="Y882" s="56"/>
      <c r="Z882" s="56"/>
      <c r="AA882" s="56"/>
      <c r="AB882" s="56"/>
      <c r="AC882" s="56"/>
    </row>
    <row r="883" spans="1:29" ht="15.75" customHeight="1">
      <c r="A883" s="39" t="s">
        <v>3467</v>
      </c>
      <c r="B883" s="107">
        <v>43699</v>
      </c>
      <c r="C883" s="130">
        <v>43700</v>
      </c>
      <c r="D883" s="76" t="s">
        <v>53</v>
      </c>
      <c r="E883" s="187" t="s">
        <v>53</v>
      </c>
      <c r="F883" s="39" t="s">
        <v>2326</v>
      </c>
      <c r="G883" s="399">
        <f>IFERROR(VLOOKUP(A883,醫療院所DATABASE!A:B,2,""),)</f>
        <v>0</v>
      </c>
      <c r="H883" s="76" t="s">
        <v>3470</v>
      </c>
      <c r="I883" s="109">
        <v>43698</v>
      </c>
      <c r="J883" s="109">
        <v>43700</v>
      </c>
      <c r="K883" s="39" t="s">
        <v>3474</v>
      </c>
      <c r="L883" s="76" t="s">
        <v>3468</v>
      </c>
      <c r="M883" s="39" t="s">
        <v>3471</v>
      </c>
      <c r="N883" s="39" t="s">
        <v>51</v>
      </c>
      <c r="O883" s="24"/>
      <c r="P883" s="409" t="s">
        <v>3475</v>
      </c>
      <c r="Q883" s="76" t="s">
        <v>64</v>
      </c>
      <c r="R883" s="76" t="s">
        <v>1885</v>
      </c>
      <c r="S883" s="24"/>
      <c r="T883" s="24"/>
      <c r="U883" s="64"/>
      <c r="V883" s="56"/>
      <c r="W883" s="56"/>
      <c r="X883" s="56"/>
      <c r="Y883" s="56"/>
      <c r="Z883" s="56"/>
      <c r="AA883" s="56"/>
      <c r="AB883" s="56"/>
      <c r="AC883" s="56"/>
    </row>
    <row r="884" spans="1:29" ht="15.75" customHeight="1">
      <c r="A884" s="39" t="s">
        <v>3467</v>
      </c>
      <c r="B884" s="107">
        <v>43699</v>
      </c>
      <c r="C884" s="130">
        <v>43700</v>
      </c>
      <c r="D884" s="76" t="s">
        <v>53</v>
      </c>
      <c r="E884" s="187" t="s">
        <v>53</v>
      </c>
      <c r="F884" s="39" t="s">
        <v>2326</v>
      </c>
      <c r="G884" s="399">
        <f>IFERROR(VLOOKUP(A884,醫療院所DATABASE!A:B,2,""),)</f>
        <v>0</v>
      </c>
      <c r="H884" s="76" t="s">
        <v>3470</v>
      </c>
      <c r="I884" s="109">
        <v>43698</v>
      </c>
      <c r="J884" s="109">
        <v>43700</v>
      </c>
      <c r="K884" s="39" t="s">
        <v>3474</v>
      </c>
      <c r="L884" s="76" t="s">
        <v>3468</v>
      </c>
      <c r="M884" s="39" t="s">
        <v>3476</v>
      </c>
      <c r="N884" s="39" t="s">
        <v>51</v>
      </c>
      <c r="O884" s="24"/>
      <c r="P884" s="409" t="s">
        <v>3475</v>
      </c>
      <c r="Q884" s="76" t="s">
        <v>64</v>
      </c>
      <c r="R884" s="76" t="s">
        <v>1885</v>
      </c>
      <c r="S884" s="24"/>
      <c r="T884" s="24"/>
      <c r="U884" s="64"/>
      <c r="V884" s="56"/>
      <c r="W884" s="56"/>
      <c r="X884" s="56"/>
      <c r="Y884" s="56"/>
      <c r="Z884" s="56"/>
      <c r="AA884" s="56"/>
      <c r="AB884" s="56"/>
      <c r="AC884" s="56"/>
    </row>
    <row r="885" spans="1:29" ht="15.75" customHeight="1">
      <c r="A885" s="39" t="s">
        <v>3355</v>
      </c>
      <c r="B885" s="107">
        <v>43703</v>
      </c>
      <c r="C885" s="109">
        <v>43703</v>
      </c>
      <c r="D885" s="76" t="s">
        <v>366</v>
      </c>
      <c r="E885" s="187" t="s">
        <v>53</v>
      </c>
      <c r="F885" s="39" t="s">
        <v>1761</v>
      </c>
      <c r="G885" s="399">
        <f>IFERROR(VLOOKUP(A885,醫療院所DATABASE!A:B,2,""),)</f>
        <v>0</v>
      </c>
      <c r="H885" s="64"/>
      <c r="I885" s="109">
        <v>43699</v>
      </c>
      <c r="J885" s="109">
        <v>43703</v>
      </c>
      <c r="K885" s="39" t="s">
        <v>3477</v>
      </c>
      <c r="L885" s="76" t="s">
        <v>3478</v>
      </c>
      <c r="M885" s="49" t="s">
        <v>61</v>
      </c>
      <c r="N885" s="39" t="s">
        <v>51</v>
      </c>
      <c r="O885" s="24"/>
      <c r="P885" s="409" t="s">
        <v>3479</v>
      </c>
      <c r="Q885" s="76" t="s">
        <v>64</v>
      </c>
      <c r="R885" s="76" t="s">
        <v>1885</v>
      </c>
      <c r="S885" s="24"/>
      <c r="T885" s="24"/>
      <c r="U885" s="64"/>
      <c r="V885" s="56"/>
      <c r="W885" s="56"/>
      <c r="X885" s="56"/>
      <c r="Y885" s="56"/>
      <c r="Z885" s="56"/>
      <c r="AA885" s="56"/>
      <c r="AB885" s="56"/>
      <c r="AC885" s="56"/>
    </row>
    <row r="886" spans="1:29" ht="15.75" customHeight="1">
      <c r="A886" s="39" t="s">
        <v>3355</v>
      </c>
      <c r="B886" s="107">
        <v>43703</v>
      </c>
      <c r="C886" s="109">
        <v>43703</v>
      </c>
      <c r="D886" s="76" t="s">
        <v>366</v>
      </c>
      <c r="E886" s="187" t="s">
        <v>53</v>
      </c>
      <c r="F886" s="39" t="s">
        <v>1761</v>
      </c>
      <c r="G886" s="399">
        <f>IFERROR(VLOOKUP(A886,醫療院所DATABASE!A:B,2,""),)</f>
        <v>0</v>
      </c>
      <c r="H886" s="64"/>
      <c r="I886" s="109">
        <v>43699</v>
      </c>
      <c r="J886" s="109">
        <v>43703</v>
      </c>
      <c r="K886" s="39" t="s">
        <v>3480</v>
      </c>
      <c r="L886" s="76" t="s">
        <v>3481</v>
      </c>
      <c r="M886" s="49" t="s">
        <v>61</v>
      </c>
      <c r="N886" s="39" t="s">
        <v>62</v>
      </c>
      <c r="O886" s="24"/>
      <c r="P886" s="409" t="s">
        <v>3482</v>
      </c>
      <c r="Q886" s="76" t="s">
        <v>64</v>
      </c>
      <c r="R886" s="76" t="s">
        <v>1885</v>
      </c>
      <c r="S886" s="24"/>
      <c r="T886" s="24"/>
      <c r="U886" s="64"/>
      <c r="V886" s="56"/>
      <c r="W886" s="56"/>
      <c r="X886" s="56"/>
      <c r="Y886" s="56"/>
      <c r="Z886" s="56"/>
      <c r="AA886" s="56"/>
      <c r="AB886" s="56"/>
      <c r="AC886" s="56"/>
    </row>
    <row r="887" spans="1:29" ht="15.75" customHeight="1">
      <c r="A887" s="39" t="s">
        <v>3355</v>
      </c>
      <c r="B887" s="107">
        <v>43703</v>
      </c>
      <c r="C887" s="109">
        <v>43703</v>
      </c>
      <c r="D887" s="76" t="s">
        <v>366</v>
      </c>
      <c r="E887" s="187" t="s">
        <v>53</v>
      </c>
      <c r="F887" s="39" t="s">
        <v>1761</v>
      </c>
      <c r="G887" s="399">
        <f>IFERROR(VLOOKUP(A887,醫療院所DATABASE!A:B,2,""),)</f>
        <v>0</v>
      </c>
      <c r="H887" s="64"/>
      <c r="I887" s="109">
        <v>43699</v>
      </c>
      <c r="J887" s="109">
        <v>43703</v>
      </c>
      <c r="K887" s="39" t="s">
        <v>3483</v>
      </c>
      <c r="L887" s="76" t="s">
        <v>3484</v>
      </c>
      <c r="M887" s="49" t="s">
        <v>61</v>
      </c>
      <c r="N887" s="39" t="s">
        <v>62</v>
      </c>
      <c r="O887" s="24"/>
      <c r="P887" s="409" t="s">
        <v>3485</v>
      </c>
      <c r="Q887" s="76" t="s">
        <v>64</v>
      </c>
      <c r="R887" s="76" t="s">
        <v>1885</v>
      </c>
      <c r="S887" s="24"/>
      <c r="T887" s="24"/>
      <c r="U887" s="64"/>
      <c r="V887" s="56"/>
      <c r="W887" s="56"/>
      <c r="X887" s="56"/>
      <c r="Y887" s="56"/>
      <c r="Z887" s="56"/>
      <c r="AA887" s="56"/>
      <c r="AB887" s="56"/>
      <c r="AC887" s="56"/>
    </row>
    <row r="888" spans="1:29" ht="15.75" customHeight="1">
      <c r="A888" s="39" t="s">
        <v>3355</v>
      </c>
      <c r="B888" s="107">
        <v>43703</v>
      </c>
      <c r="C888" s="109">
        <v>43703</v>
      </c>
      <c r="D888" s="76" t="s">
        <v>366</v>
      </c>
      <c r="E888" s="187" t="s">
        <v>53</v>
      </c>
      <c r="F888" s="39" t="s">
        <v>1761</v>
      </c>
      <c r="G888" s="399">
        <f>IFERROR(VLOOKUP(A888,醫療院所DATABASE!A:B,2,""),)</f>
        <v>0</v>
      </c>
      <c r="H888" s="64"/>
      <c r="I888" s="109">
        <v>43699</v>
      </c>
      <c r="J888" s="109">
        <v>43703</v>
      </c>
      <c r="K888" s="39" t="s">
        <v>3486</v>
      </c>
      <c r="L888" s="76" t="s">
        <v>3487</v>
      </c>
      <c r="M888" s="49" t="s">
        <v>61</v>
      </c>
      <c r="N888" s="39" t="s">
        <v>62</v>
      </c>
      <c r="O888" s="24"/>
      <c r="P888" s="409" t="s">
        <v>3488</v>
      </c>
      <c r="Q888" s="76" t="s">
        <v>64</v>
      </c>
      <c r="R888" s="76" t="s">
        <v>1885</v>
      </c>
      <c r="S888" s="24"/>
      <c r="T888" s="24"/>
      <c r="U888" s="64"/>
      <c r="V888" s="56"/>
      <c r="W888" s="56"/>
      <c r="X888" s="56"/>
      <c r="Y888" s="56"/>
      <c r="Z888" s="56"/>
      <c r="AA888" s="56"/>
      <c r="AB888" s="56"/>
      <c r="AC888" s="56"/>
    </row>
    <row r="889" spans="1:29" ht="15.75" customHeight="1">
      <c r="A889" s="39" t="s">
        <v>3355</v>
      </c>
      <c r="B889" s="107">
        <v>43703</v>
      </c>
      <c r="C889" s="109">
        <v>43703</v>
      </c>
      <c r="D889" s="76" t="s">
        <v>366</v>
      </c>
      <c r="E889" s="187" t="s">
        <v>53</v>
      </c>
      <c r="F889" s="39" t="s">
        <v>1761</v>
      </c>
      <c r="G889" s="399">
        <f>IFERROR(VLOOKUP(A889,醫療院所DATABASE!A:B,2,""),)</f>
        <v>0</v>
      </c>
      <c r="H889" s="64"/>
      <c r="I889" s="109">
        <v>43699</v>
      </c>
      <c r="J889" s="109">
        <v>43703</v>
      </c>
      <c r="K889" s="39" t="s">
        <v>3489</v>
      </c>
      <c r="L889" s="76" t="s">
        <v>3490</v>
      </c>
      <c r="M889" s="49" t="s">
        <v>61</v>
      </c>
      <c r="N889" s="39" t="s">
        <v>51</v>
      </c>
      <c r="O889" s="24"/>
      <c r="P889" s="409" t="s">
        <v>3491</v>
      </c>
      <c r="Q889" s="76" t="s">
        <v>64</v>
      </c>
      <c r="R889" s="76" t="s">
        <v>1885</v>
      </c>
      <c r="S889" s="24"/>
      <c r="T889" s="24"/>
      <c r="U889" s="64"/>
      <c r="V889" s="56"/>
      <c r="W889" s="56"/>
      <c r="X889" s="56"/>
      <c r="Y889" s="56"/>
      <c r="Z889" s="56"/>
      <c r="AA889" s="56"/>
      <c r="AB889" s="56"/>
      <c r="AC889" s="56"/>
    </row>
    <row r="890" spans="1:29" ht="15.75" customHeight="1">
      <c r="A890" s="39" t="s">
        <v>3355</v>
      </c>
      <c r="B890" s="107">
        <v>43705</v>
      </c>
      <c r="C890" s="130">
        <v>43703</v>
      </c>
      <c r="D890" s="76" t="s">
        <v>366</v>
      </c>
      <c r="E890" s="187" t="s">
        <v>53</v>
      </c>
      <c r="F890" s="39" t="s">
        <v>1761</v>
      </c>
      <c r="G890" s="399">
        <f>IFERROR(VLOOKUP(A890,醫療院所DATABASE!A:B,2,""),)</f>
        <v>0</v>
      </c>
      <c r="H890" s="64"/>
      <c r="I890" s="109">
        <v>43699</v>
      </c>
      <c r="J890" s="109">
        <v>43703</v>
      </c>
      <c r="K890" s="39" t="s">
        <v>3492</v>
      </c>
      <c r="L890" s="76" t="s">
        <v>3493</v>
      </c>
      <c r="M890" s="49" t="s">
        <v>61</v>
      </c>
      <c r="N890" s="39" t="s">
        <v>62</v>
      </c>
      <c r="O890" s="24"/>
      <c r="P890" s="409" t="s">
        <v>3494</v>
      </c>
      <c r="Q890" s="76" t="s">
        <v>64</v>
      </c>
      <c r="R890" s="76" t="s">
        <v>1885</v>
      </c>
      <c r="S890" s="24"/>
      <c r="T890" s="24"/>
      <c r="U890" s="64"/>
      <c r="V890" s="56"/>
      <c r="W890" s="56"/>
      <c r="X890" s="56"/>
      <c r="Y890" s="56"/>
      <c r="Z890" s="56"/>
      <c r="AA890" s="56"/>
      <c r="AB890" s="56"/>
      <c r="AC890" s="56"/>
    </row>
    <row r="891" spans="1:29" ht="15.75" customHeight="1">
      <c r="A891" s="39" t="s">
        <v>3355</v>
      </c>
      <c r="B891" s="107">
        <v>43703</v>
      </c>
      <c r="C891" s="109">
        <v>43703</v>
      </c>
      <c r="D891" s="76" t="s">
        <v>366</v>
      </c>
      <c r="E891" s="187" t="s">
        <v>53</v>
      </c>
      <c r="F891" s="39" t="s">
        <v>1761</v>
      </c>
      <c r="G891" s="399">
        <f>IFERROR(VLOOKUP(A891,醫療院所DATABASE!A:B,2,""),)</f>
        <v>0</v>
      </c>
      <c r="H891" s="64"/>
      <c r="I891" s="109">
        <v>43699</v>
      </c>
      <c r="J891" s="109">
        <v>43703</v>
      </c>
      <c r="K891" s="39" t="s">
        <v>3495</v>
      </c>
      <c r="L891" s="76" t="s">
        <v>3496</v>
      </c>
      <c r="M891" s="49" t="s">
        <v>61</v>
      </c>
      <c r="N891" s="39" t="s">
        <v>51</v>
      </c>
      <c r="O891" s="24"/>
      <c r="P891" s="409" t="s">
        <v>3497</v>
      </c>
      <c r="Q891" s="76" t="s">
        <v>64</v>
      </c>
      <c r="R891" s="76" t="s">
        <v>1885</v>
      </c>
      <c r="S891" s="24"/>
      <c r="T891" s="24"/>
      <c r="U891" s="64"/>
      <c r="V891" s="56"/>
      <c r="W891" s="56"/>
      <c r="X891" s="56"/>
      <c r="Y891" s="56"/>
      <c r="Z891" s="56"/>
      <c r="AA891" s="56"/>
      <c r="AB891" s="56"/>
      <c r="AC891" s="56"/>
    </row>
    <row r="892" spans="1:29" ht="15.75" customHeight="1">
      <c r="A892" s="39" t="s">
        <v>3355</v>
      </c>
      <c r="B892" s="107">
        <v>43703</v>
      </c>
      <c r="C892" s="109">
        <v>43703</v>
      </c>
      <c r="D892" s="76" t="s">
        <v>366</v>
      </c>
      <c r="E892" s="187" t="s">
        <v>53</v>
      </c>
      <c r="F892" s="39" t="s">
        <v>1761</v>
      </c>
      <c r="G892" s="399">
        <f>IFERROR(VLOOKUP(A892,醫療院所DATABASE!A:B,2,""),)</f>
        <v>0</v>
      </c>
      <c r="H892" s="64"/>
      <c r="I892" s="109">
        <v>43699</v>
      </c>
      <c r="J892" s="109">
        <v>43703</v>
      </c>
      <c r="K892" s="39" t="s">
        <v>3498</v>
      </c>
      <c r="L892" s="76" t="s">
        <v>3499</v>
      </c>
      <c r="M892" s="49" t="s">
        <v>61</v>
      </c>
      <c r="N892" s="39" t="s">
        <v>51</v>
      </c>
      <c r="O892" s="24"/>
      <c r="P892" s="409" t="s">
        <v>3500</v>
      </c>
      <c r="Q892" s="76" t="s">
        <v>64</v>
      </c>
      <c r="R892" s="76" t="s">
        <v>1885</v>
      </c>
      <c r="S892" s="24"/>
      <c r="T892" s="24"/>
      <c r="U892" s="64"/>
      <c r="V892" s="56"/>
      <c r="W892" s="56"/>
      <c r="X892" s="56"/>
      <c r="Y892" s="56"/>
      <c r="Z892" s="56"/>
      <c r="AA892" s="56"/>
      <c r="AB892" s="56"/>
      <c r="AC892" s="56"/>
    </row>
    <row r="893" spans="1:29" ht="15.75" customHeight="1">
      <c r="A893" s="39" t="s">
        <v>3467</v>
      </c>
      <c r="B893" s="107">
        <v>43705</v>
      </c>
      <c r="C893" s="109">
        <v>43703</v>
      </c>
      <c r="D893" s="76" t="s">
        <v>53</v>
      </c>
      <c r="E893" s="76" t="s">
        <v>53</v>
      </c>
      <c r="F893" s="39" t="s">
        <v>2326</v>
      </c>
      <c r="G893" s="399">
        <f>IFERROR(VLOOKUP(A893,醫療院所DATABASE!A:B,2,""),)</f>
        <v>0</v>
      </c>
      <c r="H893" s="64"/>
      <c r="I893" s="109">
        <v>43700</v>
      </c>
      <c r="J893" s="109">
        <v>43704</v>
      </c>
      <c r="K893" s="39" t="s">
        <v>3501</v>
      </c>
      <c r="L893" s="76" t="s">
        <v>3502</v>
      </c>
      <c r="M893" s="39" t="s">
        <v>3471</v>
      </c>
      <c r="N893" s="39" t="s">
        <v>62</v>
      </c>
      <c r="O893" s="24"/>
      <c r="P893" s="409" t="s">
        <v>3503</v>
      </c>
      <c r="Q893" s="76" t="s">
        <v>64</v>
      </c>
      <c r="R893" s="76" t="s">
        <v>1885</v>
      </c>
      <c r="S893" s="24"/>
      <c r="T893" s="24"/>
      <c r="U893" s="64"/>
      <c r="V893" s="56"/>
      <c r="W893" s="56"/>
      <c r="X893" s="56"/>
      <c r="Y893" s="56"/>
      <c r="Z893" s="56"/>
      <c r="AA893" s="56"/>
      <c r="AB893" s="56"/>
      <c r="AC893" s="56"/>
    </row>
    <row r="894" spans="1:29" ht="15.75" customHeight="1">
      <c r="A894" s="39" t="s">
        <v>3467</v>
      </c>
      <c r="B894" s="107">
        <v>43705</v>
      </c>
      <c r="C894" s="109">
        <v>43703</v>
      </c>
      <c r="D894" s="76" t="s">
        <v>53</v>
      </c>
      <c r="E894" s="76" t="s">
        <v>53</v>
      </c>
      <c r="F894" s="39" t="s">
        <v>2326</v>
      </c>
      <c r="G894" s="399">
        <f>IFERROR(VLOOKUP(A894,醫療院所DATABASE!A:B,2,""),)</f>
        <v>0</v>
      </c>
      <c r="H894" s="64"/>
      <c r="I894" s="109">
        <v>43700</v>
      </c>
      <c r="J894" s="109">
        <v>43704</v>
      </c>
      <c r="K894" s="39" t="s">
        <v>3501</v>
      </c>
      <c r="L894" s="76" t="s">
        <v>3502</v>
      </c>
      <c r="M894" s="39" t="s">
        <v>3473</v>
      </c>
      <c r="N894" s="39" t="s">
        <v>62</v>
      </c>
      <c r="O894" s="24"/>
      <c r="P894" s="409" t="s">
        <v>3503</v>
      </c>
      <c r="Q894" s="76" t="s">
        <v>64</v>
      </c>
      <c r="R894" s="76" t="s">
        <v>1885</v>
      </c>
      <c r="S894" s="24"/>
      <c r="T894" s="24"/>
      <c r="U894" s="64"/>
      <c r="V894" s="56"/>
      <c r="W894" s="56"/>
      <c r="X894" s="56"/>
      <c r="Y894" s="56"/>
      <c r="Z894" s="56"/>
      <c r="AA894" s="56"/>
      <c r="AB894" s="56"/>
      <c r="AC894" s="56"/>
    </row>
    <row r="895" spans="1:29" ht="15.75" customHeight="1">
      <c r="A895" s="39" t="s">
        <v>3463</v>
      </c>
      <c r="B895" s="107">
        <v>43703</v>
      </c>
      <c r="C895" s="109">
        <v>43703</v>
      </c>
      <c r="D895" s="143" t="s">
        <v>1910</v>
      </c>
      <c r="E895" s="76" t="s">
        <v>53</v>
      </c>
      <c r="F895" s="39" t="s">
        <v>2885</v>
      </c>
      <c r="G895" s="399">
        <f>IFERROR(VLOOKUP(A895,醫療院所DATABASE!A:B,2,""),)</f>
        <v>0</v>
      </c>
      <c r="H895" s="64"/>
      <c r="I895" s="109">
        <v>43700</v>
      </c>
      <c r="J895" s="109">
        <v>43704</v>
      </c>
      <c r="K895" s="39" t="s">
        <v>3507</v>
      </c>
      <c r="L895" s="76" t="s">
        <v>3508</v>
      </c>
      <c r="M895" s="49" t="s">
        <v>61</v>
      </c>
      <c r="N895" s="39" t="s">
        <v>62</v>
      </c>
      <c r="O895" s="24"/>
      <c r="P895" s="409" t="s">
        <v>3509</v>
      </c>
      <c r="Q895" s="76" t="s">
        <v>64</v>
      </c>
      <c r="R895" s="76" t="s">
        <v>1885</v>
      </c>
      <c r="S895" s="24"/>
      <c r="T895" s="24"/>
      <c r="U895" s="64"/>
      <c r="V895" s="56"/>
      <c r="W895" s="56"/>
      <c r="X895" s="56"/>
      <c r="Y895" s="56"/>
      <c r="Z895" s="56"/>
      <c r="AA895" s="56"/>
      <c r="AB895" s="56"/>
      <c r="AC895" s="56"/>
    </row>
    <row r="896" spans="1:29" ht="15.75" customHeight="1">
      <c r="A896" s="39" t="s">
        <v>3510</v>
      </c>
      <c r="B896" s="107">
        <v>43703</v>
      </c>
      <c r="C896" s="109">
        <v>43703</v>
      </c>
      <c r="D896" s="76" t="s">
        <v>188</v>
      </c>
      <c r="E896" s="76" t="s">
        <v>53</v>
      </c>
      <c r="F896" s="39" t="s">
        <v>3511</v>
      </c>
      <c r="G896" s="399">
        <f>IFERROR(VLOOKUP(A896,醫療院所DATABASE!A:B,2,""),)</f>
        <v>0</v>
      </c>
      <c r="H896" s="64"/>
      <c r="I896" s="109">
        <v>43700</v>
      </c>
      <c r="J896" s="109">
        <v>43704</v>
      </c>
      <c r="K896" s="39" t="s">
        <v>3512</v>
      </c>
      <c r="L896" s="76" t="s">
        <v>3513</v>
      </c>
      <c r="M896" s="49" t="s">
        <v>61</v>
      </c>
      <c r="N896" s="39" t="s">
        <v>51</v>
      </c>
      <c r="O896" s="24"/>
      <c r="P896" s="409" t="s">
        <v>3514</v>
      </c>
      <c r="Q896" s="76" t="s">
        <v>64</v>
      </c>
      <c r="R896" s="76" t="s">
        <v>1885</v>
      </c>
      <c r="S896" s="24"/>
      <c r="T896" s="24"/>
      <c r="U896" s="64"/>
      <c r="V896" s="56"/>
      <c r="W896" s="56"/>
      <c r="X896" s="56"/>
      <c r="Y896" s="56"/>
      <c r="Z896" s="56"/>
      <c r="AA896" s="56"/>
      <c r="AB896" s="56"/>
      <c r="AC896" s="56"/>
    </row>
    <row r="897" spans="1:29" ht="15.75" customHeight="1">
      <c r="A897" s="39" t="s">
        <v>1674</v>
      </c>
      <c r="B897" s="107">
        <v>43705</v>
      </c>
      <c r="C897" s="109">
        <v>43705</v>
      </c>
      <c r="D897" s="76" t="s">
        <v>479</v>
      </c>
      <c r="E897" s="76" t="s">
        <v>2693</v>
      </c>
      <c r="F897" s="24" t="s">
        <v>2103</v>
      </c>
      <c r="G897" s="399">
        <f>IFERROR(VLOOKUP(A897,醫療院所DATABASE!A:B,2,""),)</f>
        <v>0</v>
      </c>
      <c r="H897" s="64"/>
      <c r="I897" s="109">
        <v>43703</v>
      </c>
      <c r="J897" s="109">
        <v>43705</v>
      </c>
      <c r="K897" s="39" t="s">
        <v>3515</v>
      </c>
      <c r="L897" s="76" t="s">
        <v>3516</v>
      </c>
      <c r="M897" s="39" t="s">
        <v>2201</v>
      </c>
      <c r="N897" s="39" t="s">
        <v>62</v>
      </c>
      <c r="O897" s="24"/>
      <c r="P897" s="409" t="s">
        <v>3517</v>
      </c>
      <c r="Q897" s="76" t="s">
        <v>1207</v>
      </c>
      <c r="R897" s="76" t="s">
        <v>1885</v>
      </c>
      <c r="S897" s="24"/>
      <c r="T897" s="24"/>
      <c r="U897" s="64"/>
      <c r="V897" s="56"/>
      <c r="W897" s="56"/>
      <c r="X897" s="56"/>
      <c r="Y897" s="56"/>
      <c r="Z897" s="56"/>
      <c r="AA897" s="56"/>
      <c r="AB897" s="56"/>
      <c r="AC897" s="56"/>
    </row>
    <row r="898" spans="1:29" ht="15.75" customHeight="1">
      <c r="A898" s="39" t="s">
        <v>3518</v>
      </c>
      <c r="B898" s="107">
        <v>43705</v>
      </c>
      <c r="C898" s="109">
        <v>43705</v>
      </c>
      <c r="D898" s="76" t="s">
        <v>187</v>
      </c>
      <c r="E898" s="76" t="s">
        <v>163</v>
      </c>
      <c r="F898" s="39" t="s">
        <v>2091</v>
      </c>
      <c r="G898" s="399">
        <f>IFERROR(VLOOKUP(A898,醫療院所DATABASE!A:B,2,""),)</f>
        <v>0</v>
      </c>
      <c r="H898" s="64"/>
      <c r="I898" s="109">
        <v>43704</v>
      </c>
      <c r="J898" s="109">
        <v>43706</v>
      </c>
      <c r="K898" s="39" t="s">
        <v>3519</v>
      </c>
      <c r="L898" s="76" t="s">
        <v>3520</v>
      </c>
      <c r="M898" s="49" t="s">
        <v>61</v>
      </c>
      <c r="N898" s="39" t="s">
        <v>51</v>
      </c>
      <c r="O898" s="24"/>
      <c r="P898" s="409" t="s">
        <v>3521</v>
      </c>
      <c r="Q898" s="76" t="s">
        <v>64</v>
      </c>
      <c r="R898" s="76" t="s">
        <v>1893</v>
      </c>
      <c r="S898" s="24"/>
      <c r="T898" s="24"/>
      <c r="U898" s="76" t="s">
        <v>3522</v>
      </c>
      <c r="V898" s="56"/>
      <c r="W898" s="56"/>
      <c r="X898" s="56"/>
      <c r="Y898" s="56"/>
      <c r="Z898" s="56"/>
      <c r="AA898" s="56"/>
      <c r="AB898" s="56"/>
      <c r="AC898" s="56"/>
    </row>
    <row r="899" spans="1:29" ht="15.75" customHeight="1">
      <c r="A899" s="39" t="s">
        <v>3523</v>
      </c>
      <c r="B899" s="107">
        <v>43705</v>
      </c>
      <c r="C899" s="109">
        <v>43705</v>
      </c>
      <c r="D899" s="76" t="s">
        <v>187</v>
      </c>
      <c r="E899" s="76" t="s">
        <v>163</v>
      </c>
      <c r="F899" s="39" t="s">
        <v>2091</v>
      </c>
      <c r="G899" s="399">
        <f>IFERROR(VLOOKUP(A899,醫療院所DATABASE!A:B,2,""),)</f>
        <v>0</v>
      </c>
      <c r="H899" s="64"/>
      <c r="I899" s="109">
        <v>43704</v>
      </c>
      <c r="J899" s="109">
        <v>43706</v>
      </c>
      <c r="K899" s="39" t="s">
        <v>3524</v>
      </c>
      <c r="L899" s="76" t="s">
        <v>3525</v>
      </c>
      <c r="M899" s="49" t="s">
        <v>61</v>
      </c>
      <c r="N899" s="39" t="s">
        <v>51</v>
      </c>
      <c r="O899" s="24"/>
      <c r="P899" s="409" t="s">
        <v>3526</v>
      </c>
      <c r="Q899" s="76" t="s">
        <v>64</v>
      </c>
      <c r="R899" s="76" t="s">
        <v>1893</v>
      </c>
      <c r="S899" s="24"/>
      <c r="T899" s="24"/>
      <c r="U899" s="64"/>
      <c r="V899" s="56"/>
      <c r="W899" s="56"/>
      <c r="X899" s="56"/>
      <c r="Y899" s="56"/>
      <c r="Z899" s="56"/>
      <c r="AA899" s="56"/>
      <c r="AB899" s="56"/>
      <c r="AC899" s="56"/>
    </row>
    <row r="900" spans="1:29" ht="15.75" customHeight="1">
      <c r="A900" s="39" t="s">
        <v>3527</v>
      </c>
      <c r="B900" s="107">
        <v>43705</v>
      </c>
      <c r="C900" s="109">
        <v>43705</v>
      </c>
      <c r="D900" s="76" t="s">
        <v>187</v>
      </c>
      <c r="E900" s="76" t="s">
        <v>163</v>
      </c>
      <c r="F900" s="39" t="s">
        <v>2091</v>
      </c>
      <c r="G900" s="399">
        <f>IFERROR(VLOOKUP(A900,醫療院所DATABASE!A:B,2,""),)</f>
        <v>0</v>
      </c>
      <c r="H900" s="64"/>
      <c r="I900" s="109">
        <v>43704</v>
      </c>
      <c r="J900" s="109">
        <v>43706</v>
      </c>
      <c r="K900" s="39" t="s">
        <v>3528</v>
      </c>
      <c r="L900" s="76" t="s">
        <v>3529</v>
      </c>
      <c r="M900" s="49" t="s">
        <v>61</v>
      </c>
      <c r="N900" s="39" t="s">
        <v>51</v>
      </c>
      <c r="O900" s="24"/>
      <c r="P900" s="409" t="s">
        <v>3530</v>
      </c>
      <c r="Q900" s="76" t="s">
        <v>64</v>
      </c>
      <c r="R900" s="76" t="s">
        <v>1893</v>
      </c>
      <c r="S900" s="24"/>
      <c r="T900" s="24"/>
      <c r="U900" s="64"/>
      <c r="V900" s="56"/>
      <c r="W900" s="56"/>
      <c r="X900" s="56"/>
      <c r="Y900" s="56"/>
      <c r="Z900" s="56"/>
      <c r="AA900" s="56"/>
      <c r="AB900" s="56"/>
      <c r="AC900" s="56"/>
    </row>
    <row r="901" spans="1:29" ht="15.75" customHeight="1">
      <c r="A901" s="39" t="s">
        <v>3531</v>
      </c>
      <c r="B901" s="107">
        <v>43705</v>
      </c>
      <c r="C901" s="109">
        <v>43705</v>
      </c>
      <c r="D901" s="76" t="s">
        <v>187</v>
      </c>
      <c r="E901" s="76" t="s">
        <v>163</v>
      </c>
      <c r="F901" s="39" t="s">
        <v>2091</v>
      </c>
      <c r="G901" s="399">
        <f>IFERROR(VLOOKUP(A901,醫療院所DATABASE!A:B,2,""),)</f>
        <v>0</v>
      </c>
      <c r="H901" s="64"/>
      <c r="I901" s="109">
        <v>43704</v>
      </c>
      <c r="J901" s="109">
        <v>43706</v>
      </c>
      <c r="K901" s="39" t="s">
        <v>3532</v>
      </c>
      <c r="L901" s="76" t="s">
        <v>3533</v>
      </c>
      <c r="M901" s="49" t="s">
        <v>61</v>
      </c>
      <c r="N901" s="39" t="s">
        <v>62</v>
      </c>
      <c r="O901" s="24"/>
      <c r="P901" s="409" t="s">
        <v>3534</v>
      </c>
      <c r="Q901" s="76" t="s">
        <v>1931</v>
      </c>
      <c r="R901" s="76" t="s">
        <v>1893</v>
      </c>
      <c r="S901" s="24"/>
      <c r="T901" s="24"/>
      <c r="U901" s="76" t="s">
        <v>3535</v>
      </c>
      <c r="V901" s="56"/>
      <c r="W901" s="56"/>
      <c r="X901" s="56"/>
      <c r="Y901" s="56"/>
      <c r="Z901" s="56"/>
      <c r="AA901" s="56"/>
      <c r="AB901" s="56"/>
      <c r="AC901" s="56"/>
    </row>
    <row r="902" spans="1:29" ht="15.75" customHeight="1">
      <c r="A902" s="39" t="s">
        <v>3536</v>
      </c>
      <c r="B902" s="107">
        <v>43706</v>
      </c>
      <c r="C902" s="109">
        <v>43707</v>
      </c>
      <c r="D902" s="76" t="s">
        <v>665</v>
      </c>
      <c r="E902" s="76" t="s">
        <v>665</v>
      </c>
      <c r="F902" s="39" t="s">
        <v>2939</v>
      </c>
      <c r="G902" s="399">
        <f>IFERROR(VLOOKUP(A902,醫療院所DATABASE!A:B,2,""),)</f>
        <v>0</v>
      </c>
      <c r="H902" s="64"/>
      <c r="I902" s="109">
        <v>43704</v>
      </c>
      <c r="J902" s="109">
        <v>43706</v>
      </c>
      <c r="K902" s="39" t="s">
        <v>3537</v>
      </c>
      <c r="L902" s="76" t="s">
        <v>3538</v>
      </c>
      <c r="M902" s="49" t="s">
        <v>61</v>
      </c>
      <c r="N902" s="39" t="s">
        <v>62</v>
      </c>
      <c r="O902" s="24"/>
      <c r="P902" s="409" t="s">
        <v>3539</v>
      </c>
      <c r="Q902" s="76" t="s">
        <v>64</v>
      </c>
      <c r="R902" s="76" t="s">
        <v>1885</v>
      </c>
      <c r="S902" s="24"/>
      <c r="T902" s="24"/>
      <c r="U902" s="76" t="s">
        <v>3540</v>
      </c>
      <c r="V902" s="56"/>
      <c r="W902" s="56"/>
      <c r="X902" s="56"/>
      <c r="Y902" s="56"/>
      <c r="Z902" s="56"/>
      <c r="AA902" s="56"/>
      <c r="AB902" s="56"/>
      <c r="AC902" s="56"/>
    </row>
    <row r="903" spans="1:29" ht="15.75" customHeight="1">
      <c r="A903" s="39" t="s">
        <v>520</v>
      </c>
      <c r="B903" s="107">
        <v>43705</v>
      </c>
      <c r="C903" s="109">
        <v>43706</v>
      </c>
      <c r="D903" s="76" t="s">
        <v>522</v>
      </c>
      <c r="E903" s="76" t="s">
        <v>53</v>
      </c>
      <c r="F903" s="39" t="s">
        <v>1569</v>
      </c>
      <c r="G903" s="399">
        <f>IFERROR(VLOOKUP(A903,醫療院所DATABASE!A:B,2,""),)</f>
        <v>0</v>
      </c>
      <c r="H903" s="64"/>
      <c r="I903" s="109">
        <v>43704</v>
      </c>
      <c r="J903" s="109">
        <v>43706</v>
      </c>
      <c r="K903" s="39" t="s">
        <v>3541</v>
      </c>
      <c r="L903" s="76" t="s">
        <v>3542</v>
      </c>
      <c r="M903" s="49" t="s">
        <v>61</v>
      </c>
      <c r="N903" s="39" t="s">
        <v>51</v>
      </c>
      <c r="O903" s="24"/>
      <c r="P903" s="409" t="s">
        <v>3543</v>
      </c>
      <c r="Q903" s="76" t="s">
        <v>64</v>
      </c>
      <c r="R903" s="76" t="s">
        <v>1885</v>
      </c>
      <c r="S903" s="24"/>
      <c r="T903" s="24"/>
      <c r="U903" s="64"/>
      <c r="V903" s="56"/>
      <c r="W903" s="56"/>
      <c r="X903" s="56"/>
      <c r="Y903" s="56"/>
      <c r="Z903" s="56"/>
      <c r="AA903" s="56"/>
      <c r="AB903" s="56"/>
      <c r="AC903" s="56"/>
    </row>
    <row r="904" spans="1:29" ht="15.75" customHeight="1">
      <c r="A904" s="39" t="s">
        <v>1373</v>
      </c>
      <c r="B904" s="107">
        <v>43705</v>
      </c>
      <c r="C904" s="109">
        <v>43706</v>
      </c>
      <c r="D904" s="76" t="s">
        <v>522</v>
      </c>
      <c r="E904" s="76" t="s">
        <v>53</v>
      </c>
      <c r="F904" s="39" t="s">
        <v>524</v>
      </c>
      <c r="G904" s="399">
        <f>IFERROR(VLOOKUP(A904,醫療院所DATABASE!A:B,2,""),)</f>
        <v>0</v>
      </c>
      <c r="H904" s="64"/>
      <c r="I904" s="109">
        <v>43704</v>
      </c>
      <c r="J904" s="109">
        <v>43706</v>
      </c>
      <c r="K904" s="39" t="s">
        <v>1375</v>
      </c>
      <c r="L904" s="76" t="s">
        <v>3544</v>
      </c>
      <c r="M904" s="49" t="s">
        <v>61</v>
      </c>
      <c r="N904" s="39" t="s">
        <v>62</v>
      </c>
      <c r="O904" s="24"/>
      <c r="P904" s="409" t="s">
        <v>3545</v>
      </c>
      <c r="Q904" s="76" t="s">
        <v>64</v>
      </c>
      <c r="R904" s="76" t="s">
        <v>1885</v>
      </c>
      <c r="S904" s="24"/>
      <c r="T904" s="24"/>
      <c r="U904" s="64"/>
      <c r="V904" s="56"/>
      <c r="W904" s="56"/>
      <c r="X904" s="56"/>
      <c r="Y904" s="56"/>
      <c r="Z904" s="56"/>
      <c r="AA904" s="56"/>
      <c r="AB904" s="56"/>
      <c r="AC904" s="56"/>
    </row>
    <row r="905" spans="1:29" ht="15.75" customHeight="1">
      <c r="A905" s="39" t="s">
        <v>3546</v>
      </c>
      <c r="B905" s="107">
        <v>43705</v>
      </c>
      <c r="C905" s="109">
        <v>43706</v>
      </c>
      <c r="D905" s="76" t="s">
        <v>1329</v>
      </c>
      <c r="E905" s="76" t="s">
        <v>53</v>
      </c>
      <c r="F905" s="39" t="s">
        <v>1745</v>
      </c>
      <c r="G905" s="399">
        <f>IFERROR(VLOOKUP(A905,醫療院所DATABASE!A:B,2,""),)</f>
        <v>0</v>
      </c>
      <c r="H905" s="64"/>
      <c r="I905" s="109">
        <v>43704</v>
      </c>
      <c r="J905" s="109">
        <v>43706</v>
      </c>
      <c r="K905" s="39" t="s">
        <v>3547</v>
      </c>
      <c r="L905" s="76" t="s">
        <v>3548</v>
      </c>
      <c r="M905" s="49" t="s">
        <v>61</v>
      </c>
      <c r="N905" s="39" t="s">
        <v>62</v>
      </c>
      <c r="O905" s="24"/>
      <c r="P905" s="409" t="s">
        <v>3549</v>
      </c>
      <c r="Q905" s="76" t="s">
        <v>1931</v>
      </c>
      <c r="R905" s="76" t="s">
        <v>1885</v>
      </c>
      <c r="S905" s="24"/>
      <c r="T905" s="24"/>
      <c r="U905" s="64"/>
      <c r="V905" s="56"/>
      <c r="W905" s="56"/>
      <c r="X905" s="56"/>
      <c r="Y905" s="56"/>
      <c r="Z905" s="56"/>
      <c r="AA905" s="56"/>
      <c r="AB905" s="56"/>
      <c r="AC905" s="56"/>
    </row>
    <row r="906" spans="1:29" ht="15.75" customHeight="1">
      <c r="A906" s="39" t="s">
        <v>595</v>
      </c>
      <c r="B906" s="107">
        <v>43707</v>
      </c>
      <c r="C906" s="109">
        <v>43707</v>
      </c>
      <c r="D906" s="76" t="s">
        <v>522</v>
      </c>
      <c r="E906" s="76" t="s">
        <v>522</v>
      </c>
      <c r="F906" s="39" t="s">
        <v>2746</v>
      </c>
      <c r="G906" s="399">
        <f>IFERROR(VLOOKUP(A906,醫療院所DATABASE!A:B,2,""),)</f>
        <v>0</v>
      </c>
      <c r="H906" s="64"/>
      <c r="I906" s="109">
        <v>43704</v>
      </c>
      <c r="J906" s="109">
        <v>43706</v>
      </c>
      <c r="K906" s="39" t="s">
        <v>3550</v>
      </c>
      <c r="L906" s="76" t="s">
        <v>3551</v>
      </c>
      <c r="M906" s="39" t="s">
        <v>593</v>
      </c>
      <c r="N906" s="39" t="s">
        <v>62</v>
      </c>
      <c r="O906" s="24"/>
      <c r="P906" s="409" t="s">
        <v>3552</v>
      </c>
      <c r="Q906" s="76" t="s">
        <v>64</v>
      </c>
      <c r="R906" s="76" t="s">
        <v>1885</v>
      </c>
      <c r="S906" s="24"/>
      <c r="T906" s="24"/>
      <c r="U906" s="76" t="s">
        <v>3553</v>
      </c>
      <c r="V906" s="56"/>
      <c r="W906" s="56"/>
      <c r="X906" s="56"/>
      <c r="Y906" s="56"/>
      <c r="Z906" s="56"/>
      <c r="AA906" s="56"/>
      <c r="AB906" s="56"/>
      <c r="AC906" s="56"/>
    </row>
    <row r="907" spans="1:29" ht="15.75" customHeight="1">
      <c r="A907" s="39" t="s">
        <v>3554</v>
      </c>
      <c r="B907" s="107">
        <v>43710</v>
      </c>
      <c r="C907" s="109">
        <v>43717</v>
      </c>
      <c r="D907" s="76" t="s">
        <v>53</v>
      </c>
      <c r="E907" s="76" t="s">
        <v>53</v>
      </c>
      <c r="F907" s="39" t="s">
        <v>975</v>
      </c>
      <c r="G907" s="399">
        <f>IFERROR(VLOOKUP(A907,醫療院所DATABASE!A:B,2,""),)</f>
        <v>0</v>
      </c>
      <c r="H907" s="64"/>
      <c r="I907" s="109">
        <v>43707</v>
      </c>
      <c r="J907" s="109">
        <v>43711</v>
      </c>
      <c r="K907" s="39" t="s">
        <v>3555</v>
      </c>
      <c r="L907" s="76" t="s">
        <v>3556</v>
      </c>
      <c r="M907" s="39" t="s">
        <v>3557</v>
      </c>
      <c r="N907" s="39" t="s">
        <v>62</v>
      </c>
      <c r="O907" s="24"/>
      <c r="P907" s="409" t="s">
        <v>3558</v>
      </c>
      <c r="Q907" s="76" t="s">
        <v>64</v>
      </c>
      <c r="R907" s="76" t="s">
        <v>1885</v>
      </c>
      <c r="S907" s="24"/>
      <c r="T907" s="24"/>
      <c r="U907" s="64"/>
      <c r="V907" s="56"/>
      <c r="W907" s="56"/>
      <c r="X907" s="56"/>
      <c r="Y907" s="56"/>
      <c r="Z907" s="56"/>
      <c r="AA907" s="56"/>
      <c r="AB907" s="56"/>
      <c r="AC907" s="56"/>
    </row>
    <row r="908" spans="1:29" ht="15.75" customHeight="1">
      <c r="A908" s="39" t="s">
        <v>3559</v>
      </c>
      <c r="B908" s="107">
        <v>43710</v>
      </c>
      <c r="C908" s="109">
        <v>43711</v>
      </c>
      <c r="D908" s="76" t="s">
        <v>1329</v>
      </c>
      <c r="E908" s="76" t="s">
        <v>1329</v>
      </c>
      <c r="F908" s="39" t="s">
        <v>3560</v>
      </c>
      <c r="G908" s="399">
        <f>IFERROR(VLOOKUP(A908,醫療院所DATABASE!A:B,2,""),)</f>
        <v>0</v>
      </c>
      <c r="H908" s="64"/>
      <c r="I908" s="109">
        <v>43707</v>
      </c>
      <c r="J908" s="109">
        <v>43711</v>
      </c>
      <c r="K908" s="39" t="s">
        <v>3561</v>
      </c>
      <c r="L908" s="76" t="s">
        <v>3562</v>
      </c>
      <c r="M908" s="39" t="s">
        <v>3563</v>
      </c>
      <c r="N908" s="39" t="s">
        <v>62</v>
      </c>
      <c r="O908" s="24"/>
      <c r="P908" s="409" t="s">
        <v>3564</v>
      </c>
      <c r="Q908" s="76" t="s">
        <v>64</v>
      </c>
      <c r="R908" s="76" t="s">
        <v>1885</v>
      </c>
      <c r="S908" s="24"/>
      <c r="T908" s="24"/>
      <c r="U908" s="76" t="s">
        <v>2709</v>
      </c>
      <c r="V908" s="56"/>
      <c r="W908" s="56"/>
      <c r="X908" s="56"/>
      <c r="Y908" s="56"/>
      <c r="Z908" s="56"/>
      <c r="AA908" s="56"/>
      <c r="AB908" s="56"/>
      <c r="AC908" s="56"/>
    </row>
    <row r="909" spans="1:29" ht="15.75" customHeight="1">
      <c r="A909" s="39" t="s">
        <v>3565</v>
      </c>
      <c r="B909" s="107">
        <v>43713</v>
      </c>
      <c r="C909" s="109">
        <v>43717</v>
      </c>
      <c r="D909" s="76" t="s">
        <v>3566</v>
      </c>
      <c r="E909" s="76" t="s">
        <v>1542</v>
      </c>
      <c r="F909" s="39" t="s">
        <v>3567</v>
      </c>
      <c r="G909" s="399">
        <f>IFERROR(VLOOKUP(A909,醫療院所DATABASE!A:B,2,""),)</f>
        <v>0</v>
      </c>
      <c r="H909" s="64"/>
      <c r="I909" s="109">
        <v>43711</v>
      </c>
      <c r="J909" s="109">
        <v>43713</v>
      </c>
      <c r="K909" s="39" t="s">
        <v>3568</v>
      </c>
      <c r="L909" s="76" t="s">
        <v>3569</v>
      </c>
      <c r="M909" s="39" t="s">
        <v>3570</v>
      </c>
      <c r="N909" s="39" t="s">
        <v>51</v>
      </c>
      <c r="O909" s="24"/>
      <c r="P909" s="409" t="s">
        <v>3571</v>
      </c>
      <c r="Q909" s="76" t="s">
        <v>1931</v>
      </c>
      <c r="R909" s="76" t="s">
        <v>1885</v>
      </c>
      <c r="S909" s="24"/>
      <c r="T909" s="24"/>
      <c r="U909" s="76" t="s">
        <v>3572</v>
      </c>
      <c r="V909" s="56"/>
      <c r="W909" s="56"/>
      <c r="X909" s="56"/>
      <c r="Y909" s="56"/>
      <c r="Z909" s="56"/>
      <c r="AA909" s="56"/>
      <c r="AB909" s="56"/>
      <c r="AC909" s="56"/>
    </row>
    <row r="910" spans="1:29" ht="15.75" customHeight="1">
      <c r="A910" s="39" t="s">
        <v>3565</v>
      </c>
      <c r="B910" s="107">
        <v>43713</v>
      </c>
      <c r="C910" s="109">
        <v>43717</v>
      </c>
      <c r="D910" s="76" t="s">
        <v>3566</v>
      </c>
      <c r="E910" s="76" t="s">
        <v>1542</v>
      </c>
      <c r="F910" s="39" t="s">
        <v>3567</v>
      </c>
      <c r="G910" s="399">
        <f>IFERROR(VLOOKUP(A910,醫療院所DATABASE!A:B,2,""),)</f>
        <v>0</v>
      </c>
      <c r="H910" s="64"/>
      <c r="I910" s="109">
        <v>43711</v>
      </c>
      <c r="J910" s="109">
        <v>43713</v>
      </c>
      <c r="K910" s="39" t="s">
        <v>3568</v>
      </c>
      <c r="L910" s="76" t="s">
        <v>3569</v>
      </c>
      <c r="M910" s="39" t="s">
        <v>3563</v>
      </c>
      <c r="N910" s="39" t="s">
        <v>51</v>
      </c>
      <c r="O910" s="24"/>
      <c r="P910" s="409" t="s">
        <v>3573</v>
      </c>
      <c r="Q910" s="76" t="s">
        <v>1931</v>
      </c>
      <c r="R910" s="76" t="s">
        <v>1885</v>
      </c>
      <c r="S910" s="24"/>
      <c r="T910" s="24"/>
      <c r="U910" s="76" t="s">
        <v>3572</v>
      </c>
      <c r="V910" s="56"/>
      <c r="W910" s="56"/>
      <c r="X910" s="56"/>
      <c r="Y910" s="56"/>
      <c r="Z910" s="56"/>
      <c r="AA910" s="56"/>
      <c r="AB910" s="56"/>
      <c r="AC910" s="56"/>
    </row>
    <row r="911" spans="1:29" ht="15.75" customHeight="1">
      <c r="A911" s="39" t="s">
        <v>3565</v>
      </c>
      <c r="B911" s="107">
        <v>43713</v>
      </c>
      <c r="C911" s="109">
        <v>43717</v>
      </c>
      <c r="D911" s="76" t="s">
        <v>3566</v>
      </c>
      <c r="E911" s="76" t="s">
        <v>1542</v>
      </c>
      <c r="F911" s="39" t="s">
        <v>3567</v>
      </c>
      <c r="G911" s="399">
        <f>IFERROR(VLOOKUP(A911,醫療院所DATABASE!A:B,2,""),)</f>
        <v>0</v>
      </c>
      <c r="H911" s="64"/>
      <c r="I911" s="109">
        <v>43711</v>
      </c>
      <c r="J911" s="109">
        <v>43713</v>
      </c>
      <c r="K911" s="39" t="s">
        <v>3574</v>
      </c>
      <c r="L911" s="76" t="s">
        <v>3575</v>
      </c>
      <c r="M911" s="39" t="s">
        <v>3570</v>
      </c>
      <c r="N911" s="39" t="s">
        <v>51</v>
      </c>
      <c r="O911" s="24"/>
      <c r="P911" s="409" t="s">
        <v>3576</v>
      </c>
      <c r="Q911" s="76" t="s">
        <v>1931</v>
      </c>
      <c r="R911" s="76" t="s">
        <v>1885</v>
      </c>
      <c r="S911" s="24"/>
      <c r="T911" s="24"/>
      <c r="U911" s="76" t="s">
        <v>3572</v>
      </c>
      <c r="V911" s="56"/>
      <c r="W911" s="56"/>
      <c r="X911" s="56"/>
      <c r="Y911" s="56"/>
      <c r="Z911" s="56"/>
      <c r="AA911" s="56"/>
      <c r="AB911" s="56"/>
      <c r="AC911" s="56"/>
    </row>
    <row r="912" spans="1:29" ht="15.75" customHeight="1">
      <c r="A912" s="39" t="s">
        <v>3565</v>
      </c>
      <c r="B912" s="107">
        <v>43713</v>
      </c>
      <c r="C912" s="109">
        <v>43717</v>
      </c>
      <c r="D912" s="76" t="s">
        <v>3566</v>
      </c>
      <c r="E912" s="76" t="s">
        <v>1542</v>
      </c>
      <c r="F912" s="39" t="s">
        <v>3567</v>
      </c>
      <c r="G912" s="399">
        <f>IFERROR(VLOOKUP(A912,醫療院所DATABASE!A:B,2,""),)</f>
        <v>0</v>
      </c>
      <c r="H912" s="64"/>
      <c r="I912" s="109">
        <v>43711</v>
      </c>
      <c r="J912" s="109">
        <v>43713</v>
      </c>
      <c r="K912" s="39" t="s">
        <v>3574</v>
      </c>
      <c r="L912" s="76" t="s">
        <v>3575</v>
      </c>
      <c r="M912" s="39" t="s">
        <v>3563</v>
      </c>
      <c r="N912" s="39" t="s">
        <v>51</v>
      </c>
      <c r="O912" s="24"/>
      <c r="P912" s="409" t="s">
        <v>3577</v>
      </c>
      <c r="Q912" s="76" t="s">
        <v>1931</v>
      </c>
      <c r="R912" s="76" t="s">
        <v>1885</v>
      </c>
      <c r="S912" s="24"/>
      <c r="T912" s="24"/>
      <c r="U912" s="76" t="s">
        <v>3572</v>
      </c>
      <c r="V912" s="56"/>
      <c r="W912" s="56"/>
      <c r="X912" s="56"/>
      <c r="Y912" s="56"/>
      <c r="Z912" s="56"/>
      <c r="AA912" s="56"/>
      <c r="AB912" s="56"/>
      <c r="AC912" s="56"/>
    </row>
    <row r="913" spans="1:29" ht="15.75" customHeight="1">
      <c r="A913" s="39" t="s">
        <v>3565</v>
      </c>
      <c r="B913" s="107">
        <v>43713</v>
      </c>
      <c r="C913" s="109">
        <v>43717</v>
      </c>
      <c r="D913" s="76" t="s">
        <v>3566</v>
      </c>
      <c r="E913" s="76" t="s">
        <v>1542</v>
      </c>
      <c r="F913" s="39" t="s">
        <v>3567</v>
      </c>
      <c r="G913" s="399">
        <f>IFERROR(VLOOKUP(A913,醫療院所DATABASE!A:B,2,""),)</f>
        <v>0</v>
      </c>
      <c r="H913" s="64"/>
      <c r="I913" s="109">
        <v>43711</v>
      </c>
      <c r="J913" s="109">
        <v>43713</v>
      </c>
      <c r="K913" s="39" t="s">
        <v>3578</v>
      </c>
      <c r="L913" s="76" t="s">
        <v>3579</v>
      </c>
      <c r="M913" s="39" t="s">
        <v>3570</v>
      </c>
      <c r="N913" s="39" t="s">
        <v>51</v>
      </c>
      <c r="O913" s="24"/>
      <c r="P913" s="409" t="s">
        <v>3580</v>
      </c>
      <c r="Q913" s="76" t="s">
        <v>1931</v>
      </c>
      <c r="R913" s="76" t="s">
        <v>1885</v>
      </c>
      <c r="S913" s="24"/>
      <c r="T913" s="24"/>
      <c r="U913" s="76" t="s">
        <v>3572</v>
      </c>
      <c r="V913" s="56"/>
      <c r="W913" s="56"/>
      <c r="X913" s="56"/>
      <c r="Y913" s="56"/>
      <c r="Z913" s="56"/>
      <c r="AA913" s="56"/>
      <c r="AB913" s="56"/>
      <c r="AC913" s="56"/>
    </row>
    <row r="914" spans="1:29" ht="15.75" customHeight="1">
      <c r="A914" s="39" t="s">
        <v>3565</v>
      </c>
      <c r="B914" s="107">
        <v>43713</v>
      </c>
      <c r="C914" s="109">
        <v>43717</v>
      </c>
      <c r="D914" s="76" t="s">
        <v>3566</v>
      </c>
      <c r="E914" s="76" t="s">
        <v>1542</v>
      </c>
      <c r="F914" s="39" t="s">
        <v>3567</v>
      </c>
      <c r="G914" s="399">
        <f>IFERROR(VLOOKUP(A914,醫療院所DATABASE!A:B,2,""),)</f>
        <v>0</v>
      </c>
      <c r="H914" s="64"/>
      <c r="I914" s="109">
        <v>43711</v>
      </c>
      <c r="J914" s="109">
        <v>43713</v>
      </c>
      <c r="K914" s="39" t="s">
        <v>3578</v>
      </c>
      <c r="L914" s="76" t="s">
        <v>3579</v>
      </c>
      <c r="M914" s="39" t="s">
        <v>3563</v>
      </c>
      <c r="N914" s="39" t="s">
        <v>51</v>
      </c>
      <c r="O914" s="24"/>
      <c r="P914" s="409" t="s">
        <v>3581</v>
      </c>
      <c r="Q914" s="76" t="s">
        <v>1931</v>
      </c>
      <c r="R914" s="76" t="s">
        <v>1885</v>
      </c>
      <c r="S914" s="24"/>
      <c r="T914" s="24"/>
      <c r="U914" s="76" t="s">
        <v>3572</v>
      </c>
      <c r="V914" s="56"/>
      <c r="W914" s="56"/>
      <c r="X914" s="56"/>
      <c r="Y914" s="56"/>
      <c r="Z914" s="56"/>
      <c r="AA914" s="56"/>
      <c r="AB914" s="56"/>
      <c r="AC914" s="56"/>
    </row>
    <row r="915" spans="1:29" ht="15.75" customHeight="1">
      <c r="A915" s="39" t="s">
        <v>3565</v>
      </c>
      <c r="B915" s="107">
        <v>43713</v>
      </c>
      <c r="C915" s="109">
        <v>43717</v>
      </c>
      <c r="D915" s="76" t="s">
        <v>3566</v>
      </c>
      <c r="E915" s="76" t="s">
        <v>1542</v>
      </c>
      <c r="F915" s="39" t="s">
        <v>3567</v>
      </c>
      <c r="G915" s="399">
        <f>IFERROR(VLOOKUP(A915,醫療院所DATABASE!A:B,2,""),)</f>
        <v>0</v>
      </c>
      <c r="H915" s="64"/>
      <c r="I915" s="109">
        <v>43711</v>
      </c>
      <c r="J915" s="109">
        <v>43713</v>
      </c>
      <c r="K915" s="39" t="s">
        <v>3582</v>
      </c>
      <c r="L915" s="76" t="s">
        <v>3583</v>
      </c>
      <c r="M915" s="39" t="s">
        <v>3570</v>
      </c>
      <c r="N915" s="39" t="s">
        <v>62</v>
      </c>
      <c r="O915" s="24"/>
      <c r="P915" s="409" t="s">
        <v>3584</v>
      </c>
      <c r="Q915" s="76" t="s">
        <v>1931</v>
      </c>
      <c r="R915" s="76" t="s">
        <v>1885</v>
      </c>
      <c r="S915" s="24"/>
      <c r="T915" s="24"/>
      <c r="U915" s="76" t="s">
        <v>3572</v>
      </c>
      <c r="V915" s="56"/>
      <c r="W915" s="56"/>
      <c r="X915" s="56"/>
      <c r="Y915" s="56"/>
      <c r="Z915" s="56"/>
      <c r="AA915" s="56"/>
      <c r="AB915" s="56"/>
      <c r="AC915" s="56"/>
    </row>
    <row r="916" spans="1:29" ht="15.75" customHeight="1">
      <c r="A916" s="39" t="s">
        <v>3565</v>
      </c>
      <c r="B916" s="107">
        <v>43713</v>
      </c>
      <c r="C916" s="109">
        <v>43717</v>
      </c>
      <c r="D916" s="76" t="s">
        <v>3566</v>
      </c>
      <c r="E916" s="76" t="s">
        <v>1542</v>
      </c>
      <c r="F916" s="39" t="s">
        <v>3567</v>
      </c>
      <c r="G916" s="399">
        <f>IFERROR(VLOOKUP(A916,醫療院所DATABASE!A:B,2,""),)</f>
        <v>0</v>
      </c>
      <c r="H916" s="64"/>
      <c r="I916" s="109">
        <v>43711</v>
      </c>
      <c r="J916" s="109">
        <v>43713</v>
      </c>
      <c r="K916" s="39" t="s">
        <v>3582</v>
      </c>
      <c r="L916" s="76" t="s">
        <v>3583</v>
      </c>
      <c r="M916" s="39" t="s">
        <v>3563</v>
      </c>
      <c r="N916" s="39" t="s">
        <v>62</v>
      </c>
      <c r="O916" s="24"/>
      <c r="P916" s="409" t="s">
        <v>3585</v>
      </c>
      <c r="Q916" s="76" t="s">
        <v>1931</v>
      </c>
      <c r="R916" s="76" t="s">
        <v>1885</v>
      </c>
      <c r="S916" s="24"/>
      <c r="T916" s="24"/>
      <c r="U916" s="76" t="s">
        <v>3572</v>
      </c>
      <c r="V916" s="56"/>
      <c r="W916" s="56"/>
      <c r="X916" s="56"/>
      <c r="Y916" s="56"/>
      <c r="Z916" s="56"/>
      <c r="AA916" s="56"/>
      <c r="AB916" s="56"/>
      <c r="AC916" s="56"/>
    </row>
    <row r="917" spans="1:29" ht="15.75" customHeight="1">
      <c r="A917" s="39" t="s">
        <v>3565</v>
      </c>
      <c r="B917" s="107">
        <v>43713</v>
      </c>
      <c r="C917" s="109">
        <v>43717</v>
      </c>
      <c r="D917" s="76" t="s">
        <v>3566</v>
      </c>
      <c r="E917" s="76" t="s">
        <v>1542</v>
      </c>
      <c r="F917" s="39" t="s">
        <v>3567</v>
      </c>
      <c r="G917" s="399">
        <f>IFERROR(VLOOKUP(A917,醫療院所DATABASE!A:B,2,""),)</f>
        <v>0</v>
      </c>
      <c r="H917" s="64"/>
      <c r="I917" s="109">
        <v>43711</v>
      </c>
      <c r="J917" s="109">
        <v>43713</v>
      </c>
      <c r="K917" s="39" t="s">
        <v>3586</v>
      </c>
      <c r="L917" s="76" t="s">
        <v>3587</v>
      </c>
      <c r="M917" s="39" t="s">
        <v>3570</v>
      </c>
      <c r="N917" s="39" t="s">
        <v>51</v>
      </c>
      <c r="O917" s="24"/>
      <c r="P917" s="409" t="s">
        <v>3588</v>
      </c>
      <c r="Q917" s="76" t="s">
        <v>1931</v>
      </c>
      <c r="R917" s="76" t="s">
        <v>1885</v>
      </c>
      <c r="S917" s="24"/>
      <c r="T917" s="24"/>
      <c r="U917" s="76" t="s">
        <v>3572</v>
      </c>
      <c r="V917" s="56"/>
      <c r="W917" s="56"/>
      <c r="X917" s="56"/>
      <c r="Y917" s="56"/>
      <c r="Z917" s="56"/>
      <c r="AA917" s="56"/>
      <c r="AB917" s="56"/>
      <c r="AC917" s="56"/>
    </row>
    <row r="918" spans="1:29" ht="15.75" customHeight="1">
      <c r="A918" s="39" t="s">
        <v>3565</v>
      </c>
      <c r="B918" s="107">
        <v>43713</v>
      </c>
      <c r="C918" s="109">
        <v>43717</v>
      </c>
      <c r="D918" s="76" t="s">
        <v>3566</v>
      </c>
      <c r="E918" s="76" t="s">
        <v>1542</v>
      </c>
      <c r="F918" s="39" t="s">
        <v>3567</v>
      </c>
      <c r="G918" s="399">
        <f>IFERROR(VLOOKUP(A918,醫療院所DATABASE!A:B,2,""),)</f>
        <v>0</v>
      </c>
      <c r="H918" s="64"/>
      <c r="I918" s="109">
        <v>43711</v>
      </c>
      <c r="J918" s="109">
        <v>43713</v>
      </c>
      <c r="K918" s="39" t="s">
        <v>3586</v>
      </c>
      <c r="L918" s="76" t="s">
        <v>3587</v>
      </c>
      <c r="M918" s="39" t="s">
        <v>3563</v>
      </c>
      <c r="N918" s="39" t="s">
        <v>51</v>
      </c>
      <c r="O918" s="24"/>
      <c r="P918" s="409" t="s">
        <v>3589</v>
      </c>
      <c r="Q918" s="76" t="s">
        <v>1931</v>
      </c>
      <c r="R918" s="76" t="s">
        <v>1885</v>
      </c>
      <c r="S918" s="24"/>
      <c r="T918" s="24"/>
      <c r="U918" s="76" t="s">
        <v>3572</v>
      </c>
      <c r="V918" s="56"/>
      <c r="W918" s="56"/>
      <c r="X918" s="56"/>
      <c r="Y918" s="56"/>
      <c r="Z918" s="56"/>
      <c r="AA918" s="56"/>
      <c r="AB918" s="56"/>
      <c r="AC918" s="56"/>
    </row>
    <row r="919" spans="1:29" ht="15.75" customHeight="1">
      <c r="A919" s="39" t="s">
        <v>3590</v>
      </c>
      <c r="B919" s="107">
        <v>43713</v>
      </c>
      <c r="C919" s="109">
        <v>43718</v>
      </c>
      <c r="D919" s="76" t="s">
        <v>3591</v>
      </c>
      <c r="E919" s="76" t="s">
        <v>53</v>
      </c>
      <c r="F919" s="39" t="s">
        <v>2304</v>
      </c>
      <c r="G919" s="399">
        <f>IFERROR(VLOOKUP(A919,醫療院所DATABASE!A:B,2,""),)</f>
        <v>0</v>
      </c>
      <c r="H919" s="64"/>
      <c r="I919" s="109">
        <v>43712</v>
      </c>
      <c r="J919" s="109">
        <v>43714</v>
      </c>
      <c r="K919" s="39" t="s">
        <v>3592</v>
      </c>
      <c r="L919" s="76" t="s">
        <v>3593</v>
      </c>
      <c r="M919" s="155" t="s">
        <v>3594</v>
      </c>
      <c r="N919" s="39" t="s">
        <v>62</v>
      </c>
      <c r="O919" s="24"/>
      <c r="P919" s="409" t="s">
        <v>3595</v>
      </c>
      <c r="Q919" s="76" t="s">
        <v>1931</v>
      </c>
      <c r="R919" s="76" t="s">
        <v>1885</v>
      </c>
      <c r="S919" s="24"/>
      <c r="T919" s="24"/>
      <c r="U919" s="64"/>
      <c r="V919" s="56"/>
      <c r="W919" s="56"/>
      <c r="X919" s="56"/>
      <c r="Y919" s="56"/>
      <c r="Z919" s="56"/>
      <c r="AA919" s="56"/>
      <c r="AB919" s="56"/>
      <c r="AC919" s="56"/>
    </row>
    <row r="920" spans="1:29" ht="15.75" customHeight="1">
      <c r="A920" s="39" t="s">
        <v>1750</v>
      </c>
      <c r="B920" s="107">
        <v>43713</v>
      </c>
      <c r="C920" s="109">
        <v>43719</v>
      </c>
      <c r="D920" s="76" t="s">
        <v>366</v>
      </c>
      <c r="E920" s="76" t="s">
        <v>366</v>
      </c>
      <c r="F920" s="39" t="s">
        <v>3596</v>
      </c>
      <c r="G920" s="399">
        <f>IFERROR(VLOOKUP(A920,醫療院所DATABASE!A:B,2,""),)</f>
        <v>0</v>
      </c>
      <c r="H920" s="64"/>
      <c r="I920" s="109">
        <v>43712</v>
      </c>
      <c r="J920" s="109">
        <v>43714</v>
      </c>
      <c r="K920" s="39" t="s">
        <v>3597</v>
      </c>
      <c r="L920" s="76" t="s">
        <v>3598</v>
      </c>
      <c r="M920" s="155" t="s">
        <v>3594</v>
      </c>
      <c r="N920" s="39" t="s">
        <v>62</v>
      </c>
      <c r="O920" s="24"/>
      <c r="P920" s="409" t="s">
        <v>3599</v>
      </c>
      <c r="Q920" s="76" t="s">
        <v>64</v>
      </c>
      <c r="R920" s="76" t="s">
        <v>1885</v>
      </c>
      <c r="S920" s="24"/>
      <c r="T920" s="24"/>
      <c r="U920" s="76" t="s">
        <v>3459</v>
      </c>
      <c r="V920" s="56"/>
      <c r="W920" s="56"/>
      <c r="X920" s="56"/>
      <c r="Y920" s="56"/>
      <c r="Z920" s="56"/>
      <c r="AA920" s="56"/>
      <c r="AB920" s="56"/>
      <c r="AC920" s="56"/>
    </row>
    <row r="921" spans="1:29" ht="15.75" customHeight="1">
      <c r="A921" s="39" t="s">
        <v>3339</v>
      </c>
      <c r="B921" s="107">
        <v>43718</v>
      </c>
      <c r="C921" s="109">
        <v>43724</v>
      </c>
      <c r="D921" s="76" t="s">
        <v>522</v>
      </c>
      <c r="E921" s="76" t="s">
        <v>522</v>
      </c>
      <c r="F921" s="39" t="s">
        <v>2304</v>
      </c>
      <c r="G921" s="399">
        <f>IFERROR(VLOOKUP(A921,醫療院所DATABASE!A:B,2,""),)</f>
        <v>0</v>
      </c>
      <c r="H921" s="64"/>
      <c r="I921" s="109">
        <v>43712</v>
      </c>
      <c r="J921" s="109">
        <v>43714</v>
      </c>
      <c r="K921" s="39" t="s">
        <v>2315</v>
      </c>
      <c r="L921" s="76" t="s">
        <v>2316</v>
      </c>
      <c r="M921" s="155" t="s">
        <v>3594</v>
      </c>
      <c r="N921" s="39" t="s">
        <v>62</v>
      </c>
      <c r="O921" s="24"/>
      <c r="P921" s="409" t="s">
        <v>3600</v>
      </c>
      <c r="Q921" s="76" t="s">
        <v>64</v>
      </c>
      <c r="R921" s="76" t="s">
        <v>1885</v>
      </c>
      <c r="S921" s="24"/>
      <c r="T921" s="24"/>
      <c r="U921" s="76" t="s">
        <v>2317</v>
      </c>
      <c r="V921" s="56"/>
      <c r="W921" s="56"/>
      <c r="X921" s="56"/>
      <c r="Y921" s="56"/>
      <c r="Z921" s="56"/>
      <c r="AA921" s="56"/>
      <c r="AB921" s="56"/>
      <c r="AC921" s="56"/>
    </row>
    <row r="922" spans="1:29" ht="15.75" customHeight="1">
      <c r="A922" s="39" t="s">
        <v>595</v>
      </c>
      <c r="B922" s="107">
        <v>43714</v>
      </c>
      <c r="C922" s="109">
        <v>43717</v>
      </c>
      <c r="D922" s="76" t="s">
        <v>522</v>
      </c>
      <c r="E922" s="76" t="s">
        <v>522</v>
      </c>
      <c r="F922" s="172" t="s">
        <v>2746</v>
      </c>
      <c r="G922" s="399">
        <f>IFERROR(VLOOKUP(A922,醫療院所DATABASE!A:B,2,""),)</f>
        <v>0</v>
      </c>
      <c r="H922" s="64"/>
      <c r="I922" s="109">
        <v>43712</v>
      </c>
      <c r="J922" s="109">
        <v>43714</v>
      </c>
      <c r="K922" s="39" t="s">
        <v>3601</v>
      </c>
      <c r="L922" s="76" t="s">
        <v>3602</v>
      </c>
      <c r="M922" s="39" t="s">
        <v>593</v>
      </c>
      <c r="N922" s="39" t="s">
        <v>62</v>
      </c>
      <c r="O922" s="24"/>
      <c r="P922" s="409" t="s">
        <v>3603</v>
      </c>
      <c r="Q922" s="76" t="s">
        <v>64</v>
      </c>
      <c r="R922" s="76" t="s">
        <v>1885</v>
      </c>
      <c r="S922" s="24"/>
      <c r="T922" s="24"/>
      <c r="U922" s="64"/>
      <c r="V922" s="56"/>
      <c r="W922" s="56"/>
      <c r="X922" s="56"/>
      <c r="Y922" s="56"/>
      <c r="Z922" s="56"/>
      <c r="AA922" s="56"/>
      <c r="AB922" s="56"/>
      <c r="AC922" s="56"/>
    </row>
    <row r="923" spans="1:29" ht="15.75" customHeight="1">
      <c r="A923" s="39" t="s">
        <v>595</v>
      </c>
      <c r="B923" s="107">
        <v>43714</v>
      </c>
      <c r="C923" s="109">
        <v>43717</v>
      </c>
      <c r="D923" s="76" t="s">
        <v>522</v>
      </c>
      <c r="E923" s="76" t="s">
        <v>522</v>
      </c>
      <c r="F923" s="39" t="s">
        <v>2754</v>
      </c>
      <c r="G923" s="399">
        <f>IFERROR(VLOOKUP(A923,醫療院所DATABASE!A:B,2,""),)</f>
        <v>0</v>
      </c>
      <c r="H923" s="64"/>
      <c r="I923" s="109">
        <v>43712</v>
      </c>
      <c r="J923" s="109">
        <v>43714</v>
      </c>
      <c r="K923" s="39" t="s">
        <v>3604</v>
      </c>
      <c r="L923" s="76" t="s">
        <v>3605</v>
      </c>
      <c r="M923" s="39" t="s">
        <v>593</v>
      </c>
      <c r="N923" s="39" t="s">
        <v>62</v>
      </c>
      <c r="O923" s="24"/>
      <c r="P923" s="409" t="s">
        <v>3606</v>
      </c>
      <c r="Q923" s="76" t="s">
        <v>64</v>
      </c>
      <c r="R923" s="76" t="s">
        <v>1885</v>
      </c>
      <c r="S923" s="24"/>
      <c r="T923" s="24"/>
      <c r="U923" s="64"/>
      <c r="V923" s="56"/>
      <c r="W923" s="56"/>
      <c r="X923" s="56"/>
      <c r="Y923" s="56"/>
      <c r="Z923" s="56"/>
      <c r="AA923" s="56"/>
      <c r="AB923" s="56"/>
      <c r="AC923" s="56"/>
    </row>
    <row r="924" spans="1:29" ht="15.75" customHeight="1">
      <c r="A924" s="39" t="s">
        <v>1389</v>
      </c>
      <c r="B924" s="107">
        <v>43719</v>
      </c>
      <c r="C924" s="109">
        <v>43719</v>
      </c>
      <c r="D924" s="76" t="s">
        <v>479</v>
      </c>
      <c r="E924" s="76" t="s">
        <v>2693</v>
      </c>
      <c r="F924" s="39" t="s">
        <v>1709</v>
      </c>
      <c r="G924" s="399">
        <f>IFERROR(VLOOKUP(A924,醫療院所DATABASE!A:B,2,""),)</f>
        <v>0</v>
      </c>
      <c r="H924" s="64"/>
      <c r="I924" s="109">
        <v>43713</v>
      </c>
      <c r="J924" s="109">
        <v>43717</v>
      </c>
      <c r="K924" s="39" t="s">
        <v>3607</v>
      </c>
      <c r="L924" s="76" t="s">
        <v>3608</v>
      </c>
      <c r="M924" s="155" t="s">
        <v>3594</v>
      </c>
      <c r="N924" s="39" t="s">
        <v>62</v>
      </c>
      <c r="O924" s="24"/>
      <c r="P924" s="409" t="s">
        <v>3609</v>
      </c>
      <c r="Q924" s="76" t="s">
        <v>64</v>
      </c>
      <c r="R924" s="76" t="s">
        <v>1885</v>
      </c>
      <c r="S924" s="24"/>
      <c r="T924" s="24"/>
      <c r="U924" s="64"/>
      <c r="V924" s="56"/>
      <c r="W924" s="56"/>
      <c r="X924" s="56"/>
      <c r="Y924" s="56"/>
      <c r="Z924" s="56"/>
      <c r="AA924" s="56"/>
      <c r="AB924" s="56"/>
      <c r="AC924" s="56"/>
    </row>
    <row r="925" spans="1:29" ht="15.75" customHeight="1">
      <c r="A925" s="39" t="s">
        <v>3610</v>
      </c>
      <c r="B925" s="107">
        <v>43714</v>
      </c>
      <c r="C925" s="109">
        <v>43717</v>
      </c>
      <c r="D925" s="76" t="s">
        <v>543</v>
      </c>
      <c r="E925" s="76" t="s">
        <v>543</v>
      </c>
      <c r="F925" s="39" t="s">
        <v>3611</v>
      </c>
      <c r="G925" s="399">
        <f>IFERROR(VLOOKUP(A925,醫療院所DATABASE!A:B,2,""),)</f>
        <v>0</v>
      </c>
      <c r="H925" s="64"/>
      <c r="I925" s="109">
        <v>43713</v>
      </c>
      <c r="J925" s="109">
        <v>43717</v>
      </c>
      <c r="K925" s="39" t="s">
        <v>3612</v>
      </c>
      <c r="L925" s="76" t="s">
        <v>3613</v>
      </c>
      <c r="M925" s="155" t="s">
        <v>3594</v>
      </c>
      <c r="N925" s="39" t="s">
        <v>62</v>
      </c>
      <c r="O925" s="24"/>
      <c r="P925" s="409" t="s">
        <v>3614</v>
      </c>
      <c r="Q925" s="76" t="s">
        <v>64</v>
      </c>
      <c r="R925" s="76" t="s">
        <v>1885</v>
      </c>
      <c r="S925" s="24"/>
      <c r="T925" s="24"/>
      <c r="U925" s="76" t="s">
        <v>2709</v>
      </c>
      <c r="V925" s="56"/>
      <c r="W925" s="56"/>
      <c r="X925" s="56"/>
      <c r="Y925" s="56"/>
      <c r="Z925" s="56"/>
      <c r="AA925" s="56"/>
      <c r="AB925" s="56"/>
      <c r="AC925" s="56"/>
    </row>
    <row r="926" spans="1:29" ht="15.75" customHeight="1">
      <c r="A926" s="39" t="s">
        <v>3610</v>
      </c>
      <c r="B926" s="107">
        <v>43714</v>
      </c>
      <c r="C926" s="109">
        <v>43717</v>
      </c>
      <c r="D926" s="76" t="s">
        <v>543</v>
      </c>
      <c r="E926" s="76" t="s">
        <v>543</v>
      </c>
      <c r="F926" s="39" t="s">
        <v>3611</v>
      </c>
      <c r="G926" s="399">
        <f>IFERROR(VLOOKUP(A926,醫療院所DATABASE!A:B,2,""),)</f>
        <v>0</v>
      </c>
      <c r="H926" s="64"/>
      <c r="I926" s="109">
        <v>43713</v>
      </c>
      <c r="J926" s="109">
        <v>43717</v>
      </c>
      <c r="K926" s="39" t="s">
        <v>3615</v>
      </c>
      <c r="L926" s="76" t="s">
        <v>3616</v>
      </c>
      <c r="M926" s="155" t="s">
        <v>3594</v>
      </c>
      <c r="N926" s="39" t="s">
        <v>51</v>
      </c>
      <c r="O926" s="24"/>
      <c r="P926" s="409" t="s">
        <v>3617</v>
      </c>
      <c r="Q926" s="76" t="s">
        <v>64</v>
      </c>
      <c r="R926" s="76" t="s">
        <v>1885</v>
      </c>
      <c r="S926" s="24"/>
      <c r="T926" s="24"/>
      <c r="U926" s="76" t="s">
        <v>2709</v>
      </c>
      <c r="V926" s="56"/>
      <c r="W926" s="56"/>
      <c r="X926" s="56"/>
      <c r="Y926" s="56"/>
      <c r="Z926" s="56"/>
      <c r="AA926" s="56"/>
      <c r="AB926" s="56"/>
      <c r="AC926" s="56"/>
    </row>
    <row r="927" spans="1:29" ht="15.75" customHeight="1">
      <c r="A927" s="39" t="s">
        <v>3618</v>
      </c>
      <c r="B927" s="107">
        <v>43714</v>
      </c>
      <c r="C927" s="109">
        <v>43717</v>
      </c>
      <c r="D927" s="76" t="s">
        <v>522</v>
      </c>
      <c r="E927" s="76" t="s">
        <v>522</v>
      </c>
      <c r="F927" s="39" t="s">
        <v>1569</v>
      </c>
      <c r="G927" s="399">
        <f>IFERROR(VLOOKUP(A927,醫療院所DATABASE!A:B,2,""),)</f>
        <v>0</v>
      </c>
      <c r="H927" s="64"/>
      <c r="I927" s="109">
        <v>43713</v>
      </c>
      <c r="J927" s="109">
        <v>43717</v>
      </c>
      <c r="K927" s="39" t="s">
        <v>3619</v>
      </c>
      <c r="L927" s="76" t="s">
        <v>3620</v>
      </c>
      <c r="M927" s="155" t="s">
        <v>3594</v>
      </c>
      <c r="N927" s="39" t="s">
        <v>62</v>
      </c>
      <c r="O927" s="24"/>
      <c r="P927" s="409" t="s">
        <v>3621</v>
      </c>
      <c r="Q927" s="76" t="s">
        <v>64</v>
      </c>
      <c r="R927" s="76" t="s">
        <v>2531</v>
      </c>
      <c r="S927" s="24"/>
      <c r="T927" s="24"/>
      <c r="U927" s="76" t="s">
        <v>3622</v>
      </c>
      <c r="V927" s="56"/>
      <c r="W927" s="56"/>
      <c r="X927" s="56"/>
      <c r="Y927" s="56"/>
      <c r="Z927" s="56"/>
      <c r="AA927" s="56"/>
      <c r="AB927" s="56"/>
      <c r="AC927" s="56"/>
    </row>
    <row r="928" spans="1:29" ht="15.75" customHeight="1">
      <c r="A928" s="39" t="s">
        <v>3618</v>
      </c>
      <c r="B928" s="107">
        <v>43714</v>
      </c>
      <c r="C928" s="109">
        <v>43717</v>
      </c>
      <c r="D928" s="76" t="s">
        <v>522</v>
      </c>
      <c r="E928" s="76" t="s">
        <v>522</v>
      </c>
      <c r="F928" s="39" t="s">
        <v>1569</v>
      </c>
      <c r="G928" s="399">
        <f>IFERROR(VLOOKUP(A928,醫療院所DATABASE!A:B,2,""),)</f>
        <v>0</v>
      </c>
      <c r="H928" s="64"/>
      <c r="I928" s="109">
        <v>43713</v>
      </c>
      <c r="J928" s="109">
        <v>43717</v>
      </c>
      <c r="K928" s="39" t="s">
        <v>3623</v>
      </c>
      <c r="L928" s="76" t="s">
        <v>3624</v>
      </c>
      <c r="M928" s="155" t="s">
        <v>3594</v>
      </c>
      <c r="N928" s="39" t="s">
        <v>62</v>
      </c>
      <c r="O928" s="24"/>
      <c r="P928" s="409" t="s">
        <v>3625</v>
      </c>
      <c r="Q928" s="76" t="s">
        <v>64</v>
      </c>
      <c r="R928" s="76" t="s">
        <v>2531</v>
      </c>
      <c r="S928" s="24"/>
      <c r="T928" s="24"/>
      <c r="U928" s="76" t="s">
        <v>3622</v>
      </c>
      <c r="V928" s="56"/>
      <c r="W928" s="56"/>
      <c r="X928" s="56"/>
      <c r="Y928" s="56"/>
      <c r="Z928" s="56"/>
      <c r="AA928" s="56"/>
      <c r="AB928" s="56"/>
      <c r="AC928" s="56"/>
    </row>
    <row r="929" spans="1:29" ht="15.75" customHeight="1">
      <c r="A929" s="39" t="s">
        <v>3618</v>
      </c>
      <c r="B929" s="107">
        <v>43714</v>
      </c>
      <c r="C929" s="109">
        <v>43717</v>
      </c>
      <c r="D929" s="76" t="s">
        <v>522</v>
      </c>
      <c r="E929" s="76" t="s">
        <v>522</v>
      </c>
      <c r="F929" s="39" t="s">
        <v>1569</v>
      </c>
      <c r="G929" s="399">
        <f>IFERROR(VLOOKUP(A929,醫療院所DATABASE!A:B,2,""),)</f>
        <v>0</v>
      </c>
      <c r="H929" s="64"/>
      <c r="I929" s="109">
        <v>43713</v>
      </c>
      <c r="J929" s="109">
        <v>43717</v>
      </c>
      <c r="K929" s="39" t="s">
        <v>3626</v>
      </c>
      <c r="L929" s="76" t="s">
        <v>3627</v>
      </c>
      <c r="M929" s="155" t="s">
        <v>3594</v>
      </c>
      <c r="N929" s="39" t="s">
        <v>51</v>
      </c>
      <c r="O929" s="24"/>
      <c r="P929" s="409" t="s">
        <v>3628</v>
      </c>
      <c r="Q929" s="76" t="s">
        <v>64</v>
      </c>
      <c r="R929" s="76" t="s">
        <v>2531</v>
      </c>
      <c r="S929" s="24"/>
      <c r="T929" s="24"/>
      <c r="U929" s="76" t="s">
        <v>3622</v>
      </c>
      <c r="V929" s="56"/>
      <c r="W929" s="56"/>
      <c r="X929" s="56"/>
      <c r="Y929" s="56"/>
      <c r="Z929" s="56"/>
      <c r="AA929" s="56"/>
      <c r="AB929" s="56"/>
      <c r="AC929" s="56"/>
    </row>
    <row r="930" spans="1:29" ht="15.75" customHeight="1">
      <c r="A930" s="39" t="s">
        <v>3618</v>
      </c>
      <c r="B930" s="107">
        <v>43714</v>
      </c>
      <c r="C930" s="109">
        <v>43717</v>
      </c>
      <c r="D930" s="76" t="s">
        <v>522</v>
      </c>
      <c r="E930" s="76" t="s">
        <v>522</v>
      </c>
      <c r="F930" s="39" t="s">
        <v>1569</v>
      </c>
      <c r="G930" s="399">
        <f>IFERROR(VLOOKUP(A930,醫療院所DATABASE!A:B,2,""),)</f>
        <v>0</v>
      </c>
      <c r="H930" s="64"/>
      <c r="I930" s="109">
        <v>43713</v>
      </c>
      <c r="J930" s="109">
        <v>43717</v>
      </c>
      <c r="K930" s="39" t="s">
        <v>3629</v>
      </c>
      <c r="L930" s="76" t="s">
        <v>3630</v>
      </c>
      <c r="M930" s="155" t="s">
        <v>3594</v>
      </c>
      <c r="N930" s="39" t="s">
        <v>51</v>
      </c>
      <c r="O930" s="24"/>
      <c r="P930" s="409" t="s">
        <v>3631</v>
      </c>
      <c r="Q930" s="76" t="s">
        <v>64</v>
      </c>
      <c r="R930" s="76" t="s">
        <v>2531</v>
      </c>
      <c r="S930" s="24"/>
      <c r="T930" s="24"/>
      <c r="U930" s="76" t="s">
        <v>3622</v>
      </c>
      <c r="V930" s="56"/>
      <c r="W930" s="56"/>
      <c r="X930" s="56"/>
      <c r="Y930" s="56"/>
      <c r="Z930" s="56"/>
      <c r="AA930" s="56"/>
      <c r="AB930" s="56"/>
      <c r="AC930" s="56"/>
    </row>
    <row r="931" spans="1:29" ht="15.75" customHeight="1">
      <c r="A931" s="39" t="s">
        <v>3618</v>
      </c>
      <c r="B931" s="107">
        <v>43718</v>
      </c>
      <c r="C931" s="109">
        <v>43717</v>
      </c>
      <c r="D931" s="76" t="s">
        <v>522</v>
      </c>
      <c r="E931" s="76" t="s">
        <v>522</v>
      </c>
      <c r="F931" s="39" t="s">
        <v>1569</v>
      </c>
      <c r="G931" s="399">
        <f>IFERROR(VLOOKUP(A931,醫療院所DATABASE!A:B,2,""),)</f>
        <v>0</v>
      </c>
      <c r="H931" s="64"/>
      <c r="I931" s="109">
        <v>43713</v>
      </c>
      <c r="J931" s="109">
        <v>43717</v>
      </c>
      <c r="K931" s="39" t="s">
        <v>3632</v>
      </c>
      <c r="L931" s="76" t="s">
        <v>3633</v>
      </c>
      <c r="M931" s="155" t="s">
        <v>3634</v>
      </c>
      <c r="N931" s="39" t="s">
        <v>51</v>
      </c>
      <c r="O931" s="24"/>
      <c r="P931" s="409" t="s">
        <v>3635</v>
      </c>
      <c r="Q931" s="76" t="s">
        <v>64</v>
      </c>
      <c r="R931" s="76" t="s">
        <v>2531</v>
      </c>
      <c r="S931" s="39"/>
      <c r="T931" s="24"/>
      <c r="U931" s="76" t="s">
        <v>3622</v>
      </c>
      <c r="V931" s="56"/>
      <c r="W931" s="56"/>
      <c r="X931" s="56"/>
      <c r="Y931" s="56"/>
      <c r="Z931" s="56"/>
      <c r="AA931" s="56"/>
      <c r="AB931" s="56"/>
      <c r="AC931" s="56"/>
    </row>
    <row r="932" spans="1:29" ht="15.75" customHeight="1">
      <c r="A932" s="39" t="s">
        <v>3618</v>
      </c>
      <c r="B932" s="107">
        <v>43768</v>
      </c>
      <c r="C932" s="109">
        <v>43769</v>
      </c>
      <c r="D932" s="76" t="s">
        <v>522</v>
      </c>
      <c r="E932" s="76" t="s">
        <v>522</v>
      </c>
      <c r="F932" s="39" t="s">
        <v>1569</v>
      </c>
      <c r="G932" s="399">
        <f>IFERROR(VLOOKUP(A932,醫療院所DATABASE!A:B,2,""),)</f>
        <v>0</v>
      </c>
      <c r="H932" s="64"/>
      <c r="I932" s="109">
        <v>43713</v>
      </c>
      <c r="J932" s="109">
        <v>43717</v>
      </c>
      <c r="K932" s="39" t="s">
        <v>3632</v>
      </c>
      <c r="L932" s="76" t="s">
        <v>3633</v>
      </c>
      <c r="M932" s="39" t="s">
        <v>3636</v>
      </c>
      <c r="N932" s="39" t="s">
        <v>51</v>
      </c>
      <c r="O932" s="24"/>
      <c r="P932" s="409" t="s">
        <v>3637</v>
      </c>
      <c r="Q932" s="76" t="s">
        <v>64</v>
      </c>
      <c r="R932" s="76" t="s">
        <v>2531</v>
      </c>
      <c r="S932" s="24"/>
      <c r="T932" s="24"/>
      <c r="U932" s="76" t="s">
        <v>3622</v>
      </c>
      <c r="V932" s="56"/>
      <c r="W932" s="56"/>
      <c r="X932" s="56"/>
      <c r="Y932" s="56"/>
      <c r="Z932" s="56"/>
      <c r="AA932" s="56"/>
      <c r="AB932" s="56"/>
      <c r="AC932" s="56"/>
    </row>
    <row r="933" spans="1:29" ht="15.75" customHeight="1">
      <c r="A933" s="39" t="s">
        <v>3610</v>
      </c>
      <c r="B933" s="107">
        <v>43714</v>
      </c>
      <c r="C933" s="109">
        <v>43717</v>
      </c>
      <c r="D933" s="76" t="s">
        <v>543</v>
      </c>
      <c r="E933" s="76" t="s">
        <v>543</v>
      </c>
      <c r="F933" s="39" t="s">
        <v>3611</v>
      </c>
      <c r="G933" s="399">
        <f>IFERROR(VLOOKUP(A933,醫療院所DATABASE!A:B,2,""),)</f>
        <v>0</v>
      </c>
      <c r="H933" s="64"/>
      <c r="I933" s="109">
        <v>43713</v>
      </c>
      <c r="J933" s="109">
        <v>43717</v>
      </c>
      <c r="K933" s="39" t="s">
        <v>3612</v>
      </c>
      <c r="L933" s="76" t="s">
        <v>3613</v>
      </c>
      <c r="M933" s="39" t="s">
        <v>3636</v>
      </c>
      <c r="N933" s="39" t="s">
        <v>62</v>
      </c>
      <c r="O933" s="24"/>
      <c r="P933" s="409" t="s">
        <v>3638</v>
      </c>
      <c r="Q933" s="76" t="s">
        <v>64</v>
      </c>
      <c r="R933" s="76" t="s">
        <v>1885</v>
      </c>
      <c r="S933" s="24"/>
      <c r="T933" s="24"/>
      <c r="U933" s="76" t="s">
        <v>2709</v>
      </c>
      <c r="V933" s="56"/>
      <c r="W933" s="56"/>
      <c r="X933" s="56"/>
      <c r="Y933" s="56"/>
      <c r="Z933" s="56"/>
      <c r="AA933" s="56"/>
      <c r="AB933" s="56"/>
      <c r="AC933" s="56"/>
    </row>
    <row r="934" spans="1:29" ht="15.75" customHeight="1">
      <c r="A934" s="39" t="s">
        <v>3610</v>
      </c>
      <c r="B934" s="107">
        <v>43714</v>
      </c>
      <c r="C934" s="109">
        <v>43717</v>
      </c>
      <c r="D934" s="76" t="s">
        <v>543</v>
      </c>
      <c r="E934" s="76" t="s">
        <v>543</v>
      </c>
      <c r="F934" s="39" t="s">
        <v>3611</v>
      </c>
      <c r="G934" s="399">
        <f>IFERROR(VLOOKUP(A934,醫療院所DATABASE!A:B,2,""),)</f>
        <v>0</v>
      </c>
      <c r="H934" s="64"/>
      <c r="I934" s="109">
        <v>43713</v>
      </c>
      <c r="J934" s="109">
        <v>43717</v>
      </c>
      <c r="K934" s="39" t="s">
        <v>3615</v>
      </c>
      <c r="L934" s="76" t="s">
        <v>3616</v>
      </c>
      <c r="M934" s="39" t="s">
        <v>3636</v>
      </c>
      <c r="N934" s="39" t="s">
        <v>51</v>
      </c>
      <c r="O934" s="24"/>
      <c r="P934" s="409" t="s">
        <v>3639</v>
      </c>
      <c r="Q934" s="76" t="s">
        <v>64</v>
      </c>
      <c r="R934" s="76" t="s">
        <v>1885</v>
      </c>
      <c r="S934" s="24"/>
      <c r="T934" s="24"/>
      <c r="U934" s="76" t="s">
        <v>2709</v>
      </c>
      <c r="V934" s="56"/>
      <c r="W934" s="56"/>
      <c r="X934" s="56"/>
      <c r="Y934" s="56"/>
      <c r="Z934" s="56"/>
      <c r="AA934" s="56"/>
      <c r="AB934" s="56"/>
      <c r="AC934" s="56"/>
    </row>
    <row r="935" spans="1:29" ht="15.75" customHeight="1">
      <c r="A935" s="39" t="s">
        <v>3640</v>
      </c>
      <c r="B935" s="107">
        <v>43718</v>
      </c>
      <c r="C935" s="109">
        <v>43719</v>
      </c>
      <c r="D935" s="76" t="s">
        <v>53</v>
      </c>
      <c r="E935" s="76" t="s">
        <v>53</v>
      </c>
      <c r="F935" s="39" t="s">
        <v>353</v>
      </c>
      <c r="G935" s="399">
        <f>IFERROR(VLOOKUP(A935,醫療院所DATABASE!A:B,2,""),)</f>
        <v>0</v>
      </c>
      <c r="H935" s="64"/>
      <c r="I935" s="109">
        <v>43714</v>
      </c>
      <c r="J935" s="109">
        <v>43718</v>
      </c>
      <c r="K935" s="39" t="s">
        <v>3641</v>
      </c>
      <c r="L935" s="76" t="s">
        <v>3642</v>
      </c>
      <c r="M935" s="155" t="s">
        <v>3594</v>
      </c>
      <c r="N935" s="39" t="s">
        <v>62</v>
      </c>
      <c r="O935" s="24"/>
      <c r="P935" s="409" t="s">
        <v>3643</v>
      </c>
      <c r="Q935" s="76" t="s">
        <v>64</v>
      </c>
      <c r="R935" s="76" t="s">
        <v>1885</v>
      </c>
      <c r="S935" s="24"/>
      <c r="T935" s="24"/>
      <c r="U935" s="64"/>
      <c r="V935" s="56"/>
      <c r="W935" s="56"/>
      <c r="X935" s="56"/>
      <c r="Y935" s="56"/>
      <c r="Z935" s="56"/>
      <c r="AA935" s="56"/>
      <c r="AB935" s="56"/>
      <c r="AC935" s="56"/>
    </row>
    <row r="936" spans="1:29" ht="15.75" customHeight="1">
      <c r="A936" s="39" t="s">
        <v>1389</v>
      </c>
      <c r="B936" s="107">
        <v>43719</v>
      </c>
      <c r="C936" s="109">
        <v>43719</v>
      </c>
      <c r="D936" s="76" t="s">
        <v>479</v>
      </c>
      <c r="E936" s="76" t="s">
        <v>2693</v>
      </c>
      <c r="F936" s="39" t="s">
        <v>1709</v>
      </c>
      <c r="G936" s="399">
        <f>IFERROR(VLOOKUP(A936,醫療院所DATABASE!A:B,2,""),)</f>
        <v>0</v>
      </c>
      <c r="H936" s="64"/>
      <c r="I936" s="109">
        <v>43714</v>
      </c>
      <c r="J936" s="109">
        <v>43718</v>
      </c>
      <c r="K936" s="39" t="s">
        <v>3646</v>
      </c>
      <c r="L936" s="76" t="s">
        <v>3647</v>
      </c>
      <c r="M936" s="155" t="s">
        <v>3594</v>
      </c>
      <c r="N936" s="39" t="s">
        <v>51</v>
      </c>
      <c r="O936" s="24"/>
      <c r="P936" s="409" t="s">
        <v>3649</v>
      </c>
      <c r="Q936" s="76" t="s">
        <v>1207</v>
      </c>
      <c r="R936" s="76" t="s">
        <v>1885</v>
      </c>
      <c r="S936" s="24"/>
      <c r="T936" s="24"/>
      <c r="U936" s="64"/>
      <c r="V936" s="56"/>
      <c r="W936" s="56"/>
      <c r="X936" s="56"/>
      <c r="Y936" s="56"/>
      <c r="Z936" s="56"/>
      <c r="AA936" s="56"/>
      <c r="AB936" s="56"/>
      <c r="AC936" s="56"/>
    </row>
    <row r="937" spans="1:29" ht="15.75" customHeight="1">
      <c r="A937" s="39" t="s">
        <v>3650</v>
      </c>
      <c r="B937" s="107">
        <v>43774</v>
      </c>
      <c r="C937" s="109"/>
      <c r="D937" s="158" t="s">
        <v>187</v>
      </c>
      <c r="E937" s="64"/>
      <c r="F937" s="39" t="s">
        <v>1423</v>
      </c>
      <c r="G937" s="399">
        <f>IFERROR(VLOOKUP(A937,醫療院所DATABASE!A:B,2,""),)</f>
        <v>0</v>
      </c>
      <c r="H937" s="64"/>
      <c r="I937" s="109">
        <v>43714</v>
      </c>
      <c r="J937" s="109">
        <v>43718</v>
      </c>
      <c r="K937" s="39" t="s">
        <v>3651</v>
      </c>
      <c r="L937" s="76" t="s">
        <v>3652</v>
      </c>
      <c r="M937" s="155" t="s">
        <v>3594</v>
      </c>
      <c r="N937" s="39" t="s">
        <v>62</v>
      </c>
      <c r="O937" s="24"/>
      <c r="P937" s="409" t="s">
        <v>3653</v>
      </c>
      <c r="Q937" s="76" t="s">
        <v>64</v>
      </c>
      <c r="R937" s="76" t="s">
        <v>2075</v>
      </c>
      <c r="S937" s="24"/>
      <c r="T937" s="24"/>
      <c r="U937" s="64"/>
      <c r="V937" s="56"/>
      <c r="W937" s="56"/>
      <c r="X937" s="56"/>
      <c r="Y937" s="56"/>
      <c r="Z937" s="56"/>
      <c r="AA937" s="56"/>
      <c r="AB937" s="56"/>
      <c r="AC937" s="56"/>
    </row>
    <row r="938" spans="1:29" ht="15.75" customHeight="1">
      <c r="A938" s="39" t="s">
        <v>3650</v>
      </c>
      <c r="B938" s="107">
        <v>43774</v>
      </c>
      <c r="C938" s="109"/>
      <c r="D938" s="158" t="s">
        <v>187</v>
      </c>
      <c r="E938" s="64"/>
      <c r="F938" s="39" t="s">
        <v>1423</v>
      </c>
      <c r="G938" s="399">
        <f>IFERROR(VLOOKUP(A938,醫療院所DATABASE!A:B,2,""),)</f>
        <v>0</v>
      </c>
      <c r="H938" s="64"/>
      <c r="I938" s="109">
        <v>43714</v>
      </c>
      <c r="J938" s="109">
        <v>43718</v>
      </c>
      <c r="K938" s="39" t="s">
        <v>3651</v>
      </c>
      <c r="L938" s="76" t="s">
        <v>3652</v>
      </c>
      <c r="M938" s="39" t="s">
        <v>593</v>
      </c>
      <c r="N938" s="39" t="s">
        <v>62</v>
      </c>
      <c r="O938" s="24"/>
      <c r="P938" s="409" t="s">
        <v>3654</v>
      </c>
      <c r="Q938" s="76" t="s">
        <v>64</v>
      </c>
      <c r="R938" s="76" t="s">
        <v>2075</v>
      </c>
      <c r="S938" s="24"/>
      <c r="T938" s="24"/>
      <c r="U938" s="64"/>
      <c r="V938" s="56"/>
      <c r="W938" s="56"/>
      <c r="X938" s="56"/>
      <c r="Y938" s="56"/>
      <c r="Z938" s="56"/>
      <c r="AA938" s="56"/>
      <c r="AB938" s="56"/>
      <c r="AC938" s="56"/>
    </row>
    <row r="939" spans="1:29" ht="15.75" customHeight="1">
      <c r="A939" s="39" t="s">
        <v>3650</v>
      </c>
      <c r="B939" s="107">
        <v>43774</v>
      </c>
      <c r="C939" s="109"/>
      <c r="D939" s="158" t="s">
        <v>187</v>
      </c>
      <c r="E939" s="64"/>
      <c r="F939" s="39" t="s">
        <v>1423</v>
      </c>
      <c r="G939" s="399">
        <f>IFERROR(VLOOKUP(A939,醫療院所DATABASE!A:B,2,""),)</f>
        <v>0</v>
      </c>
      <c r="H939" s="64"/>
      <c r="I939" s="109">
        <v>43714</v>
      </c>
      <c r="J939" s="109">
        <v>43718</v>
      </c>
      <c r="K939" s="39" t="s">
        <v>3655</v>
      </c>
      <c r="L939" s="76" t="s">
        <v>3656</v>
      </c>
      <c r="M939" s="39" t="s">
        <v>593</v>
      </c>
      <c r="N939" s="39" t="s">
        <v>62</v>
      </c>
      <c r="O939" s="24"/>
      <c r="P939" s="409" t="s">
        <v>3657</v>
      </c>
      <c r="Q939" s="76" t="s">
        <v>64</v>
      </c>
      <c r="R939" s="76" t="s">
        <v>2075</v>
      </c>
      <c r="S939" s="24"/>
      <c r="T939" s="24"/>
      <c r="U939" s="64"/>
      <c r="V939" s="56"/>
      <c r="W939" s="56"/>
      <c r="X939" s="56"/>
      <c r="Y939" s="56"/>
      <c r="Z939" s="56"/>
      <c r="AA939" s="56"/>
      <c r="AB939" s="56"/>
      <c r="AC939" s="56"/>
    </row>
    <row r="940" spans="1:29" ht="15.75" customHeight="1">
      <c r="A940" s="39" t="s">
        <v>3658</v>
      </c>
      <c r="B940" s="107">
        <v>43718</v>
      </c>
      <c r="C940" s="109">
        <v>43724</v>
      </c>
      <c r="D940" s="76" t="s">
        <v>3427</v>
      </c>
      <c r="E940" s="76" t="s">
        <v>366</v>
      </c>
      <c r="F940" s="39" t="s">
        <v>3441</v>
      </c>
      <c r="G940" s="399">
        <f>IFERROR(VLOOKUP(A940,醫療院所DATABASE!A:B,2,""),)</f>
        <v>0</v>
      </c>
      <c r="H940" s="64"/>
      <c r="I940" s="109">
        <v>43717</v>
      </c>
      <c r="J940" s="109">
        <v>43719</v>
      </c>
      <c r="K940" s="39" t="s">
        <v>3659</v>
      </c>
      <c r="L940" s="76" t="s">
        <v>3660</v>
      </c>
      <c r="M940" s="155" t="s">
        <v>3594</v>
      </c>
      <c r="N940" s="39" t="s">
        <v>51</v>
      </c>
      <c r="O940" s="24"/>
      <c r="P940" s="409" t="s">
        <v>3661</v>
      </c>
      <c r="Q940" s="76" t="s">
        <v>64</v>
      </c>
      <c r="R940" s="76" t="s">
        <v>1885</v>
      </c>
      <c r="S940" s="24"/>
      <c r="T940" s="24"/>
      <c r="U940" s="76" t="s">
        <v>3662</v>
      </c>
      <c r="V940" s="56"/>
      <c r="W940" s="56"/>
      <c r="X940" s="56"/>
      <c r="Y940" s="56"/>
      <c r="Z940" s="56"/>
      <c r="AA940" s="56"/>
      <c r="AB940" s="56"/>
      <c r="AC940" s="56"/>
    </row>
    <row r="941" spans="1:29" ht="15.75" customHeight="1">
      <c r="A941" s="39" t="s">
        <v>3658</v>
      </c>
      <c r="B941" s="107">
        <v>43718</v>
      </c>
      <c r="C941" s="109">
        <v>43724</v>
      </c>
      <c r="D941" s="76" t="s">
        <v>3427</v>
      </c>
      <c r="E941" s="76" t="s">
        <v>1329</v>
      </c>
      <c r="F941" s="39" t="s">
        <v>3441</v>
      </c>
      <c r="G941" s="399">
        <f>IFERROR(VLOOKUP(A941,醫療院所DATABASE!A:B,2,""),)</f>
        <v>0</v>
      </c>
      <c r="H941" s="64"/>
      <c r="I941" s="109">
        <v>43717</v>
      </c>
      <c r="J941" s="109">
        <v>43719</v>
      </c>
      <c r="K941" s="39" t="s">
        <v>3663</v>
      </c>
      <c r="L941" s="76" t="s">
        <v>3664</v>
      </c>
      <c r="M941" s="155" t="s">
        <v>3594</v>
      </c>
      <c r="N941" s="39" t="s">
        <v>62</v>
      </c>
      <c r="O941" s="24"/>
      <c r="P941" s="409" t="s">
        <v>3665</v>
      </c>
      <c r="Q941" s="76" t="s">
        <v>64</v>
      </c>
      <c r="R941" s="76" t="s">
        <v>1885</v>
      </c>
      <c r="S941" s="24"/>
      <c r="T941" s="24"/>
      <c r="U941" s="76" t="s">
        <v>2709</v>
      </c>
      <c r="V941" s="56"/>
      <c r="W941" s="56"/>
      <c r="X941" s="56"/>
      <c r="Y941" s="56"/>
      <c r="Z941" s="56"/>
      <c r="AA941" s="56"/>
      <c r="AB941" s="56"/>
      <c r="AC941" s="56"/>
    </row>
    <row r="942" spans="1:29" ht="15.75" customHeight="1">
      <c r="A942" s="39" t="s">
        <v>3658</v>
      </c>
      <c r="B942" s="107">
        <v>43718</v>
      </c>
      <c r="C942" s="109">
        <v>43724</v>
      </c>
      <c r="D942" s="76" t="s">
        <v>3427</v>
      </c>
      <c r="E942" s="76" t="s">
        <v>543</v>
      </c>
      <c r="F942" s="39" t="s">
        <v>3441</v>
      </c>
      <c r="G942" s="399">
        <f>IFERROR(VLOOKUP(A942,醫療院所DATABASE!A:B,2,""),)</f>
        <v>0</v>
      </c>
      <c r="H942" s="64"/>
      <c r="I942" s="109">
        <v>43717</v>
      </c>
      <c r="J942" s="109">
        <v>43719</v>
      </c>
      <c r="K942" s="39" t="s">
        <v>3666</v>
      </c>
      <c r="L942" s="76" t="s">
        <v>3667</v>
      </c>
      <c r="M942" s="155" t="s">
        <v>3594</v>
      </c>
      <c r="N942" s="39" t="s">
        <v>51</v>
      </c>
      <c r="O942" s="24"/>
      <c r="P942" s="409" t="s">
        <v>3668</v>
      </c>
      <c r="Q942" s="76" t="s">
        <v>64</v>
      </c>
      <c r="R942" s="76" t="s">
        <v>1885</v>
      </c>
      <c r="S942" s="24"/>
      <c r="T942" s="24"/>
      <c r="U942" s="76" t="s">
        <v>2709</v>
      </c>
      <c r="V942" s="56"/>
      <c r="W942" s="56"/>
      <c r="X942" s="56"/>
      <c r="Y942" s="56"/>
      <c r="Z942" s="56"/>
      <c r="AA942" s="56"/>
      <c r="AB942" s="56"/>
      <c r="AC942" s="56"/>
    </row>
    <row r="943" spans="1:29" ht="15.75" customHeight="1">
      <c r="A943" s="39" t="s">
        <v>3658</v>
      </c>
      <c r="B943" s="107">
        <v>43718</v>
      </c>
      <c r="C943" s="109">
        <v>43724</v>
      </c>
      <c r="D943" s="76" t="s">
        <v>3427</v>
      </c>
      <c r="E943" s="76" t="s">
        <v>1329</v>
      </c>
      <c r="F943" s="39" t="s">
        <v>3441</v>
      </c>
      <c r="G943" s="399">
        <f>IFERROR(VLOOKUP(A943,醫療院所DATABASE!A:B,2,""),)</f>
        <v>0</v>
      </c>
      <c r="H943" s="64"/>
      <c r="I943" s="109">
        <v>43717</v>
      </c>
      <c r="J943" s="109">
        <v>43719</v>
      </c>
      <c r="K943" s="39" t="s">
        <v>3669</v>
      </c>
      <c r="L943" s="76" t="s">
        <v>3670</v>
      </c>
      <c r="M943" s="155" t="s">
        <v>3594</v>
      </c>
      <c r="N943" s="39" t="s">
        <v>51</v>
      </c>
      <c r="O943" s="24"/>
      <c r="P943" s="409" t="s">
        <v>3671</v>
      </c>
      <c r="Q943" s="76" t="s">
        <v>64</v>
      </c>
      <c r="R943" s="76" t="s">
        <v>1885</v>
      </c>
      <c r="S943" s="24"/>
      <c r="T943" s="24"/>
      <c r="U943" s="76" t="s">
        <v>2709</v>
      </c>
      <c r="V943" s="56"/>
      <c r="W943" s="56"/>
      <c r="X943" s="56"/>
      <c r="Y943" s="56"/>
      <c r="Z943" s="56"/>
      <c r="AA943" s="56"/>
      <c r="AB943" s="56"/>
      <c r="AC943" s="56"/>
    </row>
    <row r="944" spans="1:29" ht="15.75" customHeight="1">
      <c r="A944" s="39" t="s">
        <v>3658</v>
      </c>
      <c r="B944" s="107">
        <v>43718</v>
      </c>
      <c r="C944" s="109">
        <v>43724</v>
      </c>
      <c r="D944" s="76" t="s">
        <v>543</v>
      </c>
      <c r="E944" s="76" t="s">
        <v>543</v>
      </c>
      <c r="F944" s="39" t="s">
        <v>3441</v>
      </c>
      <c r="G944" s="399">
        <f>IFERROR(VLOOKUP(A944,醫療院所DATABASE!A:B,2,""),)</f>
        <v>0</v>
      </c>
      <c r="H944" s="64"/>
      <c r="I944" s="109">
        <v>43717</v>
      </c>
      <c r="J944" s="109">
        <v>43719</v>
      </c>
      <c r="K944" s="39" t="s">
        <v>3672</v>
      </c>
      <c r="L944" s="76" t="s">
        <v>3673</v>
      </c>
      <c r="M944" s="155" t="s">
        <v>3594</v>
      </c>
      <c r="N944" s="39" t="s">
        <v>62</v>
      </c>
      <c r="O944" s="24"/>
      <c r="P944" s="409" t="s">
        <v>3674</v>
      </c>
      <c r="Q944" s="76" t="s">
        <v>64</v>
      </c>
      <c r="R944" s="76" t="s">
        <v>1885</v>
      </c>
      <c r="S944" s="24"/>
      <c r="T944" s="24"/>
      <c r="U944" s="76" t="s">
        <v>2709</v>
      </c>
      <c r="V944" s="56"/>
      <c r="W944" s="56"/>
      <c r="X944" s="56"/>
      <c r="Y944" s="56"/>
      <c r="Z944" s="56"/>
      <c r="AA944" s="56"/>
      <c r="AB944" s="56"/>
      <c r="AC944" s="56"/>
    </row>
    <row r="945" spans="1:29" ht="15.75" customHeight="1">
      <c r="A945" s="39" t="s">
        <v>3658</v>
      </c>
      <c r="B945" s="107">
        <v>43718</v>
      </c>
      <c r="C945" s="109">
        <v>43724</v>
      </c>
      <c r="D945" s="76" t="s">
        <v>543</v>
      </c>
      <c r="E945" s="76" t="s">
        <v>543</v>
      </c>
      <c r="F945" s="39" t="s">
        <v>3441</v>
      </c>
      <c r="G945" s="399">
        <f>IFERROR(VLOOKUP(A945,醫療院所DATABASE!A:B,2,""),)</f>
        <v>0</v>
      </c>
      <c r="H945" s="64"/>
      <c r="I945" s="109">
        <v>43717</v>
      </c>
      <c r="J945" s="109">
        <v>43719</v>
      </c>
      <c r="K945" s="39" t="s">
        <v>3675</v>
      </c>
      <c r="L945" s="76" t="s">
        <v>3676</v>
      </c>
      <c r="M945" s="155" t="s">
        <v>3594</v>
      </c>
      <c r="N945" s="39" t="s">
        <v>51</v>
      </c>
      <c r="O945" s="24"/>
      <c r="P945" s="409" t="s">
        <v>3677</v>
      </c>
      <c r="Q945" s="76" t="s">
        <v>64</v>
      </c>
      <c r="R945" s="76" t="s">
        <v>1885</v>
      </c>
      <c r="S945" s="24"/>
      <c r="T945" s="24"/>
      <c r="U945" s="76" t="s">
        <v>2709</v>
      </c>
      <c r="V945" s="56"/>
      <c r="W945" s="56"/>
      <c r="X945" s="56"/>
      <c r="Y945" s="56"/>
      <c r="Z945" s="56"/>
      <c r="AA945" s="56"/>
      <c r="AB945" s="56"/>
      <c r="AC945" s="56"/>
    </row>
    <row r="946" spans="1:29" ht="15.75" customHeight="1">
      <c r="A946" s="39" t="s">
        <v>3658</v>
      </c>
      <c r="B946" s="107">
        <v>43718</v>
      </c>
      <c r="C946" s="109">
        <v>43724</v>
      </c>
      <c r="D946" s="76" t="s">
        <v>665</v>
      </c>
      <c r="E946" s="76" t="s">
        <v>665</v>
      </c>
      <c r="F946" s="39" t="s">
        <v>3441</v>
      </c>
      <c r="G946" s="399">
        <f>IFERROR(VLOOKUP(A946,醫療院所DATABASE!A:B,2,""),)</f>
        <v>0</v>
      </c>
      <c r="H946" s="64"/>
      <c r="I946" s="109">
        <v>43717</v>
      </c>
      <c r="J946" s="109">
        <v>43719</v>
      </c>
      <c r="K946" s="39" t="s">
        <v>3678</v>
      </c>
      <c r="L946" s="76" t="s">
        <v>3679</v>
      </c>
      <c r="M946" s="155" t="s">
        <v>3594</v>
      </c>
      <c r="N946" s="39" t="s">
        <v>51</v>
      </c>
      <c r="O946" s="24"/>
      <c r="P946" s="409" t="s">
        <v>3680</v>
      </c>
      <c r="Q946" s="76" t="s">
        <v>64</v>
      </c>
      <c r="R946" s="76" t="s">
        <v>1885</v>
      </c>
      <c r="S946" s="24"/>
      <c r="T946" s="24"/>
      <c r="U946" s="76" t="s">
        <v>3681</v>
      </c>
      <c r="V946" s="56"/>
      <c r="W946" s="56"/>
      <c r="X946" s="56"/>
      <c r="Y946" s="56"/>
      <c r="Z946" s="56"/>
      <c r="AA946" s="56"/>
      <c r="AB946" s="56"/>
      <c r="AC946" s="56"/>
    </row>
    <row r="947" spans="1:29" ht="15.75" customHeight="1">
      <c r="A947" s="39" t="s">
        <v>3658</v>
      </c>
      <c r="B947" s="107">
        <v>43718</v>
      </c>
      <c r="C947" s="109">
        <v>43724</v>
      </c>
      <c r="D947" s="76" t="s">
        <v>665</v>
      </c>
      <c r="E947" s="76" t="s">
        <v>665</v>
      </c>
      <c r="F947" s="39" t="s">
        <v>3441</v>
      </c>
      <c r="G947" s="399">
        <f>IFERROR(VLOOKUP(A947,醫療院所DATABASE!A:B,2,""),)</f>
        <v>0</v>
      </c>
      <c r="H947" s="64"/>
      <c r="I947" s="109">
        <v>43717</v>
      </c>
      <c r="J947" s="109">
        <v>43719</v>
      </c>
      <c r="K947" s="39" t="s">
        <v>3682</v>
      </c>
      <c r="L947" s="76" t="s">
        <v>3683</v>
      </c>
      <c r="M947" s="155" t="s">
        <v>3594</v>
      </c>
      <c r="N947" s="39" t="s">
        <v>51</v>
      </c>
      <c r="O947" s="24"/>
      <c r="P947" s="409" t="s">
        <v>3684</v>
      </c>
      <c r="Q947" s="76" t="s">
        <v>64</v>
      </c>
      <c r="R947" s="76" t="s">
        <v>1885</v>
      </c>
      <c r="S947" s="24"/>
      <c r="T947" s="24"/>
      <c r="U947" s="76" t="s">
        <v>3685</v>
      </c>
      <c r="V947" s="56"/>
      <c r="W947" s="56"/>
      <c r="X947" s="56"/>
      <c r="Y947" s="56"/>
      <c r="Z947" s="56"/>
      <c r="AA947" s="56"/>
      <c r="AB947" s="56"/>
      <c r="AC947" s="56"/>
    </row>
    <row r="948" spans="1:29" ht="15.75" customHeight="1">
      <c r="A948" s="39" t="s">
        <v>3658</v>
      </c>
      <c r="B948" s="107">
        <v>43719</v>
      </c>
      <c r="C948" s="109">
        <v>43724</v>
      </c>
      <c r="D948" s="76" t="s">
        <v>366</v>
      </c>
      <c r="E948" s="76" t="s">
        <v>366</v>
      </c>
      <c r="F948" s="39" t="s">
        <v>3441</v>
      </c>
      <c r="G948" s="399">
        <f>IFERROR(VLOOKUP(A948,醫療院所DATABASE!A:B,2,""),)</f>
        <v>0</v>
      </c>
      <c r="H948" s="64"/>
      <c r="I948" s="109">
        <v>43717</v>
      </c>
      <c r="J948" s="109">
        <v>43719</v>
      </c>
      <c r="K948" s="39" t="s">
        <v>3686</v>
      </c>
      <c r="L948" s="76" t="s">
        <v>3687</v>
      </c>
      <c r="M948" s="155" t="s">
        <v>3594</v>
      </c>
      <c r="N948" s="39" t="s">
        <v>62</v>
      </c>
      <c r="O948" s="24"/>
      <c r="P948" s="409" t="s">
        <v>3688</v>
      </c>
      <c r="Q948" s="76" t="s">
        <v>64</v>
      </c>
      <c r="R948" s="76" t="s">
        <v>1885</v>
      </c>
      <c r="S948" s="24"/>
      <c r="T948" s="24"/>
      <c r="U948" s="76" t="s">
        <v>3689</v>
      </c>
      <c r="V948" s="56"/>
      <c r="W948" s="56"/>
      <c r="X948" s="56"/>
      <c r="Y948" s="56"/>
      <c r="Z948" s="56"/>
      <c r="AA948" s="56"/>
      <c r="AB948" s="56"/>
      <c r="AC948" s="56"/>
    </row>
    <row r="949" spans="1:29" ht="15.75" customHeight="1">
      <c r="A949" s="39" t="s">
        <v>3658</v>
      </c>
      <c r="B949" s="107">
        <v>43719</v>
      </c>
      <c r="C949" s="109">
        <v>43724</v>
      </c>
      <c r="D949" s="76" t="s">
        <v>366</v>
      </c>
      <c r="E949" s="76" t="s">
        <v>366</v>
      </c>
      <c r="F949" s="39" t="s">
        <v>3441</v>
      </c>
      <c r="G949" s="399">
        <f>IFERROR(VLOOKUP(A949,醫療院所DATABASE!A:B,2,""),)</f>
        <v>0</v>
      </c>
      <c r="H949" s="64"/>
      <c r="I949" s="109">
        <v>43717</v>
      </c>
      <c r="J949" s="109">
        <v>43719</v>
      </c>
      <c r="K949" s="39" t="s">
        <v>3690</v>
      </c>
      <c r="L949" s="76" t="s">
        <v>3691</v>
      </c>
      <c r="M949" s="155" t="s">
        <v>3594</v>
      </c>
      <c r="N949" s="39" t="s">
        <v>62</v>
      </c>
      <c r="O949" s="24"/>
      <c r="P949" s="409" t="s">
        <v>3692</v>
      </c>
      <c r="Q949" s="76" t="s">
        <v>64</v>
      </c>
      <c r="R949" s="76" t="s">
        <v>1885</v>
      </c>
      <c r="S949" s="24"/>
      <c r="T949" s="24"/>
      <c r="U949" s="76" t="s">
        <v>3689</v>
      </c>
      <c r="V949" s="56"/>
      <c r="W949" s="56"/>
      <c r="X949" s="56"/>
      <c r="Y949" s="56"/>
      <c r="Z949" s="56"/>
      <c r="AA949" s="56"/>
      <c r="AB949" s="56"/>
      <c r="AC949" s="56"/>
    </row>
    <row r="950" spans="1:29" ht="15.75" customHeight="1">
      <c r="A950" s="39" t="s">
        <v>3658</v>
      </c>
      <c r="B950" s="107">
        <v>43719</v>
      </c>
      <c r="C950" s="109">
        <v>43724</v>
      </c>
      <c r="D950" s="76" t="s">
        <v>522</v>
      </c>
      <c r="E950" s="76" t="s">
        <v>522</v>
      </c>
      <c r="F950" s="39" t="s">
        <v>3441</v>
      </c>
      <c r="G950" s="399">
        <f>IFERROR(VLOOKUP(A950,醫療院所DATABASE!A:B,2,""),)</f>
        <v>0</v>
      </c>
      <c r="H950" s="64"/>
      <c r="I950" s="109">
        <v>43717</v>
      </c>
      <c r="J950" s="109">
        <v>43719</v>
      </c>
      <c r="K950" s="39" t="s">
        <v>3693</v>
      </c>
      <c r="L950" s="76" t="s">
        <v>3694</v>
      </c>
      <c r="M950" s="155" t="s">
        <v>3594</v>
      </c>
      <c r="N950" s="39" t="s">
        <v>51</v>
      </c>
      <c r="O950" s="24"/>
      <c r="P950" s="409" t="s">
        <v>3695</v>
      </c>
      <c r="Q950" s="76" t="s">
        <v>64</v>
      </c>
      <c r="R950" s="76" t="s">
        <v>1885</v>
      </c>
      <c r="S950" s="24"/>
      <c r="T950" s="24"/>
      <c r="U950" s="76" t="s">
        <v>2709</v>
      </c>
      <c r="V950" s="56"/>
      <c r="W950" s="56"/>
      <c r="X950" s="56"/>
      <c r="Y950" s="56"/>
      <c r="Z950" s="56"/>
      <c r="AA950" s="56"/>
      <c r="AB950" s="56"/>
      <c r="AC950" s="56"/>
    </row>
    <row r="951" spans="1:29" ht="15.75" customHeight="1">
      <c r="A951" s="39" t="s">
        <v>3658</v>
      </c>
      <c r="B951" s="107">
        <v>43719</v>
      </c>
      <c r="C951" s="109">
        <v>43724</v>
      </c>
      <c r="D951" s="76" t="s">
        <v>522</v>
      </c>
      <c r="E951" s="76" t="s">
        <v>665</v>
      </c>
      <c r="F951" s="39" t="s">
        <v>3441</v>
      </c>
      <c r="G951" s="399">
        <f>IFERROR(VLOOKUP(A951,醫療院所DATABASE!A:B,2,""),)</f>
        <v>0</v>
      </c>
      <c r="H951" s="64"/>
      <c r="I951" s="109">
        <v>43717</v>
      </c>
      <c r="J951" s="109">
        <v>43719</v>
      </c>
      <c r="K951" s="39" t="s">
        <v>3696</v>
      </c>
      <c r="L951" s="76" t="s">
        <v>3697</v>
      </c>
      <c r="M951" s="155" t="s">
        <v>3594</v>
      </c>
      <c r="N951" s="39" t="s">
        <v>51</v>
      </c>
      <c r="O951" s="24"/>
      <c r="P951" s="409" t="s">
        <v>3698</v>
      </c>
      <c r="Q951" s="76" t="s">
        <v>64</v>
      </c>
      <c r="R951" s="76" t="s">
        <v>1885</v>
      </c>
      <c r="S951" s="24"/>
      <c r="T951" s="24"/>
      <c r="U951" s="76" t="s">
        <v>2709</v>
      </c>
      <c r="V951" s="56"/>
      <c r="W951" s="56"/>
      <c r="X951" s="56"/>
      <c r="Y951" s="56"/>
      <c r="Z951" s="56"/>
      <c r="AA951" s="56"/>
      <c r="AB951" s="56"/>
      <c r="AC951" s="56"/>
    </row>
    <row r="952" spans="1:29" ht="15.75" customHeight="1">
      <c r="A952" s="39" t="s">
        <v>3658</v>
      </c>
      <c r="B952" s="107">
        <v>43718</v>
      </c>
      <c r="C952" s="109">
        <v>43724</v>
      </c>
      <c r="D952" s="76" t="s">
        <v>522</v>
      </c>
      <c r="E952" s="76" t="s">
        <v>665</v>
      </c>
      <c r="F952" s="39" t="s">
        <v>3441</v>
      </c>
      <c r="G952" s="399">
        <f>IFERROR(VLOOKUP(A952,醫療院所DATABASE!A:B,2,""),)</f>
        <v>0</v>
      </c>
      <c r="H952" s="64"/>
      <c r="I952" s="109">
        <v>43717</v>
      </c>
      <c r="J952" s="109">
        <v>43719</v>
      </c>
      <c r="K952" s="39" t="s">
        <v>3696</v>
      </c>
      <c r="L952" s="76" t="s">
        <v>3697</v>
      </c>
      <c r="M952" s="39" t="s">
        <v>3563</v>
      </c>
      <c r="N952" s="39" t="s">
        <v>51</v>
      </c>
      <c r="O952" s="24"/>
      <c r="P952" s="409" t="s">
        <v>3699</v>
      </c>
      <c r="Q952" s="76" t="s">
        <v>64</v>
      </c>
      <c r="R952" s="76" t="s">
        <v>1885</v>
      </c>
      <c r="S952" s="24"/>
      <c r="T952" s="24"/>
      <c r="U952" s="76" t="s">
        <v>2709</v>
      </c>
      <c r="V952" s="56"/>
      <c r="W952" s="56"/>
      <c r="X952" s="56"/>
      <c r="Y952" s="56"/>
      <c r="Z952" s="56"/>
      <c r="AA952" s="56"/>
      <c r="AB952" s="56"/>
      <c r="AC952" s="56"/>
    </row>
    <row r="953" spans="1:29" ht="15.75" customHeight="1">
      <c r="A953" s="39" t="s">
        <v>3658</v>
      </c>
      <c r="B953" s="107">
        <v>43718</v>
      </c>
      <c r="C953" s="109">
        <v>43724</v>
      </c>
      <c r="D953" s="76" t="s">
        <v>522</v>
      </c>
      <c r="E953" s="76" t="s">
        <v>366</v>
      </c>
      <c r="F953" s="39" t="s">
        <v>3441</v>
      </c>
      <c r="G953" s="399">
        <f>IFERROR(VLOOKUP(A953,醫療院所DATABASE!A:B,2,""),)</f>
        <v>0</v>
      </c>
      <c r="H953" s="64"/>
      <c r="I953" s="109">
        <v>43717</v>
      </c>
      <c r="J953" s="109">
        <v>43719</v>
      </c>
      <c r="K953" s="39" t="s">
        <v>3700</v>
      </c>
      <c r="L953" s="76" t="s">
        <v>3701</v>
      </c>
      <c r="M953" s="39" t="s">
        <v>3636</v>
      </c>
      <c r="N953" s="39" t="s">
        <v>51</v>
      </c>
      <c r="O953" s="24"/>
      <c r="P953" s="409" t="s">
        <v>3702</v>
      </c>
      <c r="Q953" s="76" t="s">
        <v>64</v>
      </c>
      <c r="R953" s="76" t="s">
        <v>1885</v>
      </c>
      <c r="S953" s="24"/>
      <c r="T953" s="24"/>
      <c r="U953" s="76" t="s">
        <v>2709</v>
      </c>
      <c r="V953" s="56"/>
      <c r="W953" s="56"/>
      <c r="X953" s="56"/>
      <c r="Y953" s="56"/>
      <c r="Z953" s="56"/>
      <c r="AA953" s="56"/>
      <c r="AB953" s="56"/>
      <c r="AC953" s="56"/>
    </row>
    <row r="954" spans="1:29" ht="15.75" customHeight="1">
      <c r="A954" s="39" t="s">
        <v>3658</v>
      </c>
      <c r="B954" s="107">
        <v>43718</v>
      </c>
      <c r="C954" s="109">
        <v>43724</v>
      </c>
      <c r="D954" s="76" t="s">
        <v>522</v>
      </c>
      <c r="E954" s="76" t="s">
        <v>522</v>
      </c>
      <c r="F954" s="39" t="s">
        <v>3441</v>
      </c>
      <c r="G954" s="399">
        <f>IFERROR(VLOOKUP(A954,醫療院所DATABASE!A:B,2,""),)</f>
        <v>0</v>
      </c>
      <c r="H954" s="64"/>
      <c r="I954" s="109">
        <v>43717</v>
      </c>
      <c r="J954" s="109">
        <v>43719</v>
      </c>
      <c r="K954" s="39" t="s">
        <v>3703</v>
      </c>
      <c r="L954" s="76" t="s">
        <v>3704</v>
      </c>
      <c r="M954" s="39" t="s">
        <v>3636</v>
      </c>
      <c r="N954" s="39" t="s">
        <v>51</v>
      </c>
      <c r="O954" s="24"/>
      <c r="P954" s="409" t="s">
        <v>3705</v>
      </c>
      <c r="Q954" s="76" t="s">
        <v>64</v>
      </c>
      <c r="R954" s="76" t="s">
        <v>1885</v>
      </c>
      <c r="S954" s="24"/>
      <c r="T954" s="24"/>
      <c r="U954" s="76" t="s">
        <v>3706</v>
      </c>
      <c r="V954" s="56"/>
      <c r="W954" s="56"/>
      <c r="X954" s="56"/>
      <c r="Y954" s="56"/>
      <c r="Z954" s="56"/>
      <c r="AA954" s="56"/>
      <c r="AB954" s="56"/>
      <c r="AC954" s="56"/>
    </row>
    <row r="955" spans="1:29" ht="15.75" customHeight="1">
      <c r="A955" s="39" t="s">
        <v>3658</v>
      </c>
      <c r="B955" s="107">
        <v>43718</v>
      </c>
      <c r="C955" s="109">
        <v>43724</v>
      </c>
      <c r="D955" s="76" t="s">
        <v>543</v>
      </c>
      <c r="E955" s="76" t="s">
        <v>543</v>
      </c>
      <c r="F955" s="39" t="s">
        <v>3441</v>
      </c>
      <c r="G955" s="399">
        <f>IFERROR(VLOOKUP(A955,醫療院所DATABASE!A:B,2,""),)</f>
        <v>0</v>
      </c>
      <c r="H955" s="64"/>
      <c r="I955" s="109">
        <v>43717</v>
      </c>
      <c r="J955" s="109">
        <v>43719</v>
      </c>
      <c r="K955" s="39" t="s">
        <v>3707</v>
      </c>
      <c r="L955" s="76" t="s">
        <v>3708</v>
      </c>
      <c r="M955" s="39" t="s">
        <v>3636</v>
      </c>
      <c r="N955" s="39" t="s">
        <v>51</v>
      </c>
      <c r="O955" s="24"/>
      <c r="P955" s="409" t="s">
        <v>3709</v>
      </c>
      <c r="Q955" s="76" t="s">
        <v>64</v>
      </c>
      <c r="R955" s="76" t="s">
        <v>1885</v>
      </c>
      <c r="S955" s="24"/>
      <c r="T955" s="24"/>
      <c r="U955" s="76" t="s">
        <v>2709</v>
      </c>
      <c r="V955" s="56"/>
      <c r="W955" s="56"/>
      <c r="X955" s="56"/>
      <c r="Y955" s="56"/>
      <c r="Z955" s="56"/>
      <c r="AA955" s="56"/>
      <c r="AB955" s="56"/>
      <c r="AC955" s="56"/>
    </row>
    <row r="956" spans="1:29" ht="15.75" customHeight="1">
      <c r="A956" s="39" t="s">
        <v>3658</v>
      </c>
      <c r="B956" s="107">
        <v>43718</v>
      </c>
      <c r="C956" s="109">
        <v>43724</v>
      </c>
      <c r="D956" s="76" t="s">
        <v>543</v>
      </c>
      <c r="E956" s="76" t="s">
        <v>53</v>
      </c>
      <c r="F956" s="39" t="s">
        <v>3441</v>
      </c>
      <c r="G956" s="399">
        <f>IFERROR(VLOOKUP(A956,醫療院所DATABASE!A:B,2,""),)</f>
        <v>0</v>
      </c>
      <c r="H956" s="64"/>
      <c r="I956" s="109">
        <v>43717</v>
      </c>
      <c r="J956" s="109">
        <v>43719</v>
      </c>
      <c r="K956" s="39" t="s">
        <v>3710</v>
      </c>
      <c r="L956" s="76" t="s">
        <v>3711</v>
      </c>
      <c r="M956" s="39" t="s">
        <v>3636</v>
      </c>
      <c r="N956" s="39" t="s">
        <v>51</v>
      </c>
      <c r="O956" s="24"/>
      <c r="P956" s="409" t="s">
        <v>3712</v>
      </c>
      <c r="Q956" s="76" t="s">
        <v>64</v>
      </c>
      <c r="R956" s="76" t="s">
        <v>1885</v>
      </c>
      <c r="S956" s="24"/>
      <c r="T956" s="24"/>
      <c r="U956" s="76"/>
      <c r="V956" s="56"/>
      <c r="W956" s="56"/>
      <c r="X956" s="56"/>
      <c r="Y956" s="56"/>
      <c r="Z956" s="56"/>
      <c r="AA956" s="56"/>
      <c r="AB956" s="56"/>
      <c r="AC956" s="56"/>
    </row>
    <row r="957" spans="1:29" ht="15.75" customHeight="1">
      <c r="A957" s="39" t="s">
        <v>3658</v>
      </c>
      <c r="B957" s="107">
        <v>43718</v>
      </c>
      <c r="C957" s="109">
        <v>43724</v>
      </c>
      <c r="D957" s="76" t="s">
        <v>543</v>
      </c>
      <c r="E957" s="76" t="s">
        <v>543</v>
      </c>
      <c r="F957" s="39" t="s">
        <v>3441</v>
      </c>
      <c r="G957" s="399">
        <f>IFERROR(VLOOKUP(A957,醫療院所DATABASE!A:B,2,""),)</f>
        <v>0</v>
      </c>
      <c r="H957" s="64"/>
      <c r="I957" s="109">
        <v>43717</v>
      </c>
      <c r="J957" s="109">
        <v>43719</v>
      </c>
      <c r="K957" s="39" t="s">
        <v>3713</v>
      </c>
      <c r="L957" s="76" t="s">
        <v>3714</v>
      </c>
      <c r="M957" s="39" t="s">
        <v>3636</v>
      </c>
      <c r="N957" s="39" t="s">
        <v>62</v>
      </c>
      <c r="O957" s="24"/>
      <c r="P957" s="409" t="s">
        <v>3715</v>
      </c>
      <c r="Q957" s="76" t="s">
        <v>64</v>
      </c>
      <c r="R957" s="76" t="s">
        <v>1885</v>
      </c>
      <c r="S957" s="24"/>
      <c r="T957" s="24"/>
      <c r="U957" s="76" t="s">
        <v>2709</v>
      </c>
      <c r="V957" s="56"/>
      <c r="W957" s="56"/>
      <c r="X957" s="56"/>
      <c r="Y957" s="56"/>
      <c r="Z957" s="56"/>
      <c r="AA957" s="56"/>
      <c r="AB957" s="56"/>
      <c r="AC957" s="56"/>
    </row>
    <row r="958" spans="1:29" ht="15.75" customHeight="1">
      <c r="A958" s="39" t="s">
        <v>3658</v>
      </c>
      <c r="B958" s="107">
        <v>43719</v>
      </c>
      <c r="C958" s="109">
        <v>43724</v>
      </c>
      <c r="D958" s="76" t="s">
        <v>117</v>
      </c>
      <c r="E958" s="76" t="s">
        <v>522</v>
      </c>
      <c r="F958" s="39" t="s">
        <v>3441</v>
      </c>
      <c r="G958" s="399">
        <f>IFERROR(VLOOKUP(A958,醫療院所DATABASE!A:B,2,""),)</f>
        <v>0</v>
      </c>
      <c r="H958" s="64"/>
      <c r="I958" s="109">
        <v>43717</v>
      </c>
      <c r="J958" s="109">
        <v>43719</v>
      </c>
      <c r="K958" s="39" t="s">
        <v>3716</v>
      </c>
      <c r="L958" s="76" t="s">
        <v>3717</v>
      </c>
      <c r="M958" s="39" t="s">
        <v>3636</v>
      </c>
      <c r="N958" s="39" t="s">
        <v>51</v>
      </c>
      <c r="O958" s="24"/>
      <c r="P958" s="409" t="s">
        <v>3718</v>
      </c>
      <c r="Q958" s="76" t="s">
        <v>64</v>
      </c>
      <c r="R958" s="76" t="s">
        <v>1885</v>
      </c>
      <c r="S958" s="24"/>
      <c r="T958" s="24"/>
      <c r="U958" s="76" t="s">
        <v>2709</v>
      </c>
      <c r="V958" s="56"/>
      <c r="W958" s="56"/>
      <c r="X958" s="56"/>
      <c r="Y958" s="56"/>
      <c r="Z958" s="56"/>
      <c r="AA958" s="56"/>
      <c r="AB958" s="56"/>
      <c r="AC958" s="56"/>
    </row>
    <row r="959" spans="1:29" ht="15.75" customHeight="1">
      <c r="A959" s="39" t="s">
        <v>3658</v>
      </c>
      <c r="B959" s="107">
        <v>43718</v>
      </c>
      <c r="C959" s="109">
        <v>43724</v>
      </c>
      <c r="D959" s="76" t="s">
        <v>3427</v>
      </c>
      <c r="E959" s="76" t="s">
        <v>543</v>
      </c>
      <c r="F959" s="39" t="s">
        <v>3441</v>
      </c>
      <c r="G959" s="399">
        <f>IFERROR(VLOOKUP(A959,醫療院所DATABASE!A:B,2,""),)</f>
        <v>0</v>
      </c>
      <c r="H959" s="64"/>
      <c r="I959" s="109">
        <v>43717</v>
      </c>
      <c r="J959" s="109">
        <v>43719</v>
      </c>
      <c r="K959" s="39" t="s">
        <v>3719</v>
      </c>
      <c r="L959" s="76" t="s">
        <v>3720</v>
      </c>
      <c r="M959" s="39" t="s">
        <v>3563</v>
      </c>
      <c r="N959" s="39" t="s">
        <v>51</v>
      </c>
      <c r="O959" s="24"/>
      <c r="P959" s="409" t="s">
        <v>3721</v>
      </c>
      <c r="Q959" s="76" t="s">
        <v>64</v>
      </c>
      <c r="R959" s="76" t="s">
        <v>1885</v>
      </c>
      <c r="S959" s="24"/>
      <c r="T959" s="24"/>
      <c r="U959" s="76" t="s">
        <v>2709</v>
      </c>
      <c r="V959" s="56"/>
      <c r="W959" s="56"/>
      <c r="X959" s="56"/>
      <c r="Y959" s="56"/>
      <c r="Z959" s="56"/>
      <c r="AA959" s="56"/>
      <c r="AB959" s="56"/>
      <c r="AC959" s="56"/>
    </row>
    <row r="960" spans="1:29" ht="15.75" customHeight="1">
      <c r="A960" s="39" t="s">
        <v>3658</v>
      </c>
      <c r="B960" s="107">
        <v>43718</v>
      </c>
      <c r="C960" s="109">
        <v>43724</v>
      </c>
      <c r="D960" s="76" t="s">
        <v>3427</v>
      </c>
      <c r="E960" s="76" t="s">
        <v>543</v>
      </c>
      <c r="F960" s="39" t="s">
        <v>3441</v>
      </c>
      <c r="G960" s="399">
        <f>IFERROR(VLOOKUP(A960,醫療院所DATABASE!A:B,2,""),)</f>
        <v>0</v>
      </c>
      <c r="H960" s="64"/>
      <c r="I960" s="109">
        <v>43717</v>
      </c>
      <c r="J960" s="109">
        <v>43719</v>
      </c>
      <c r="K960" s="39" t="s">
        <v>3722</v>
      </c>
      <c r="L960" s="76" t="s">
        <v>3723</v>
      </c>
      <c r="M960" s="39" t="s">
        <v>3636</v>
      </c>
      <c r="N960" s="39" t="s">
        <v>51</v>
      </c>
      <c r="O960" s="24"/>
      <c r="P960" s="409" t="s">
        <v>3724</v>
      </c>
      <c r="Q960" s="76" t="s">
        <v>64</v>
      </c>
      <c r="R960" s="76" t="s">
        <v>1885</v>
      </c>
      <c r="S960" s="24"/>
      <c r="T960" s="24"/>
      <c r="U960" s="76" t="s">
        <v>3725</v>
      </c>
      <c r="V960" s="56"/>
      <c r="W960" s="56"/>
      <c r="X960" s="56"/>
      <c r="Y960" s="56"/>
      <c r="Z960" s="56"/>
      <c r="AA960" s="56"/>
      <c r="AB960" s="56"/>
      <c r="AC960" s="56"/>
    </row>
    <row r="961" spans="1:29" ht="15.75" customHeight="1">
      <c r="A961" s="39" t="s">
        <v>3658</v>
      </c>
      <c r="B961" s="107">
        <v>43719</v>
      </c>
      <c r="C961" s="109">
        <v>43724</v>
      </c>
      <c r="D961" s="76" t="s">
        <v>366</v>
      </c>
      <c r="E961" s="76" t="s">
        <v>366</v>
      </c>
      <c r="F961" s="39" t="s">
        <v>3441</v>
      </c>
      <c r="G961" s="399">
        <f>IFERROR(VLOOKUP(A961,醫療院所DATABASE!A:B,2,""),)</f>
        <v>0</v>
      </c>
      <c r="H961" s="64"/>
      <c r="I961" s="109">
        <v>43717</v>
      </c>
      <c r="J961" s="109">
        <v>43719</v>
      </c>
      <c r="K961" s="39" t="s">
        <v>3726</v>
      </c>
      <c r="L961" s="76" t="s">
        <v>3727</v>
      </c>
      <c r="M961" s="39" t="s">
        <v>3636</v>
      </c>
      <c r="N961" s="39" t="s">
        <v>51</v>
      </c>
      <c r="O961" s="24"/>
      <c r="P961" s="409" t="s">
        <v>3728</v>
      </c>
      <c r="Q961" s="76" t="s">
        <v>64</v>
      </c>
      <c r="R961" s="76" t="s">
        <v>1885</v>
      </c>
      <c r="S961" s="24"/>
      <c r="T961" s="24"/>
      <c r="U961" s="76" t="s">
        <v>3689</v>
      </c>
      <c r="V961" s="56"/>
      <c r="W961" s="56"/>
      <c r="X961" s="56"/>
      <c r="Y961" s="56"/>
      <c r="Z961" s="56"/>
      <c r="AA961" s="56"/>
      <c r="AB961" s="56"/>
      <c r="AC961" s="56"/>
    </row>
    <row r="962" spans="1:29" ht="15.75" customHeight="1">
      <c r="A962" s="39" t="s">
        <v>3658</v>
      </c>
      <c r="B962" s="107">
        <v>43718</v>
      </c>
      <c r="C962" s="109">
        <v>43724</v>
      </c>
      <c r="D962" s="76" t="s">
        <v>665</v>
      </c>
      <c r="E962" s="76" t="s">
        <v>1329</v>
      </c>
      <c r="F962" s="39" t="s">
        <v>3441</v>
      </c>
      <c r="G962" s="399">
        <f>IFERROR(VLOOKUP(A962,醫療院所DATABASE!A:B,2,""),)</f>
        <v>0</v>
      </c>
      <c r="H962" s="64"/>
      <c r="I962" s="109">
        <v>43717</v>
      </c>
      <c r="J962" s="109">
        <v>43719</v>
      </c>
      <c r="K962" s="39" t="s">
        <v>3729</v>
      </c>
      <c r="L962" s="76" t="s">
        <v>3730</v>
      </c>
      <c r="M962" s="177" t="s">
        <v>3557</v>
      </c>
      <c r="N962" s="39" t="s">
        <v>51</v>
      </c>
      <c r="O962" s="24"/>
      <c r="P962" s="409" t="s">
        <v>3731</v>
      </c>
      <c r="Q962" s="76" t="s">
        <v>64</v>
      </c>
      <c r="R962" s="76" t="s">
        <v>1885</v>
      </c>
      <c r="S962" s="24"/>
      <c r="T962" s="24"/>
      <c r="U962" s="76" t="s">
        <v>3732</v>
      </c>
      <c r="V962" s="56"/>
      <c r="W962" s="56"/>
      <c r="X962" s="56"/>
      <c r="Y962" s="56"/>
      <c r="Z962" s="56"/>
      <c r="AA962" s="56"/>
      <c r="AB962" s="56"/>
      <c r="AC962" s="56"/>
    </row>
    <row r="963" spans="1:29" ht="15.75" customHeight="1">
      <c r="A963" s="39" t="s">
        <v>3658</v>
      </c>
      <c r="B963" s="107">
        <v>43718</v>
      </c>
      <c r="C963" s="109">
        <v>43724</v>
      </c>
      <c r="D963" s="76" t="s">
        <v>3427</v>
      </c>
      <c r="E963" s="76" t="s">
        <v>543</v>
      </c>
      <c r="F963" s="39" t="s">
        <v>3441</v>
      </c>
      <c r="G963" s="399">
        <f>IFERROR(VLOOKUP(A963,醫療院所DATABASE!A:B,2,""),)</f>
        <v>0</v>
      </c>
      <c r="H963" s="64"/>
      <c r="I963" s="109">
        <v>43717</v>
      </c>
      <c r="J963" s="109">
        <v>43719</v>
      </c>
      <c r="K963" s="39" t="s">
        <v>3733</v>
      </c>
      <c r="L963" s="76" t="s">
        <v>3734</v>
      </c>
      <c r="M963" s="177" t="s">
        <v>3557</v>
      </c>
      <c r="N963" s="39" t="s">
        <v>51</v>
      </c>
      <c r="O963" s="24"/>
      <c r="P963" s="409" t="s">
        <v>3735</v>
      </c>
      <c r="Q963" s="76" t="s">
        <v>64</v>
      </c>
      <c r="R963" s="76" t="s">
        <v>1885</v>
      </c>
      <c r="S963" s="24"/>
      <c r="T963" s="24"/>
      <c r="U963" s="76" t="s">
        <v>3736</v>
      </c>
      <c r="V963" s="56"/>
      <c r="W963" s="56"/>
      <c r="X963" s="56"/>
      <c r="Y963" s="56"/>
      <c r="Z963" s="56"/>
      <c r="AA963" s="56"/>
      <c r="AB963" s="56"/>
      <c r="AC963" s="56"/>
    </row>
    <row r="964" spans="1:29" ht="15.75" customHeight="1">
      <c r="A964" s="39" t="s">
        <v>3658</v>
      </c>
      <c r="B964" s="107">
        <v>43719</v>
      </c>
      <c r="C964" s="109">
        <v>43724</v>
      </c>
      <c r="D964" s="76" t="s">
        <v>3427</v>
      </c>
      <c r="E964" s="76" t="s">
        <v>543</v>
      </c>
      <c r="F964" s="39" t="s">
        <v>3441</v>
      </c>
      <c r="G964" s="399">
        <f>IFERROR(VLOOKUP(A964,醫療院所DATABASE!A:B,2,""),)</f>
        <v>0</v>
      </c>
      <c r="H964" s="64"/>
      <c r="I964" s="109">
        <v>43717</v>
      </c>
      <c r="J964" s="109">
        <v>43719</v>
      </c>
      <c r="K964" s="39" t="s">
        <v>3737</v>
      </c>
      <c r="L964" s="76" t="s">
        <v>3738</v>
      </c>
      <c r="M964" s="177" t="s">
        <v>3739</v>
      </c>
      <c r="N964" s="39" t="s">
        <v>51</v>
      </c>
      <c r="O964" s="24"/>
      <c r="P964" s="409" t="s">
        <v>3740</v>
      </c>
      <c r="Q964" s="76" t="s">
        <v>64</v>
      </c>
      <c r="R964" s="76" t="s">
        <v>1885</v>
      </c>
      <c r="S964" s="24"/>
      <c r="T964" s="24"/>
      <c r="U964" s="76" t="s">
        <v>2709</v>
      </c>
      <c r="V964" s="56"/>
      <c r="W964" s="56"/>
      <c r="X964" s="56"/>
      <c r="Y964" s="56"/>
      <c r="Z964" s="56"/>
      <c r="AA964" s="56"/>
      <c r="AB964" s="56"/>
      <c r="AC964" s="56"/>
    </row>
    <row r="965" spans="1:29" ht="15.75" customHeight="1">
      <c r="A965" s="39" t="s">
        <v>3658</v>
      </c>
      <c r="B965" s="107">
        <v>43719</v>
      </c>
      <c r="C965" s="109">
        <v>43724</v>
      </c>
      <c r="D965" s="76" t="s">
        <v>3427</v>
      </c>
      <c r="E965" s="76" t="s">
        <v>543</v>
      </c>
      <c r="F965" s="39" t="s">
        <v>3441</v>
      </c>
      <c r="G965" s="399">
        <f>IFERROR(VLOOKUP(A965,醫療院所DATABASE!A:B,2,""),)</f>
        <v>0</v>
      </c>
      <c r="H965" s="64"/>
      <c r="I965" s="109">
        <v>43717</v>
      </c>
      <c r="J965" s="109">
        <v>43719</v>
      </c>
      <c r="K965" s="39" t="s">
        <v>3741</v>
      </c>
      <c r="L965" s="76" t="s">
        <v>3742</v>
      </c>
      <c r="M965" s="39" t="s">
        <v>3743</v>
      </c>
      <c r="N965" s="39" t="s">
        <v>62</v>
      </c>
      <c r="O965" s="24"/>
      <c r="P965" s="409" t="s">
        <v>3744</v>
      </c>
      <c r="Q965" s="76" t="s">
        <v>64</v>
      </c>
      <c r="R965" s="76" t="s">
        <v>1885</v>
      </c>
      <c r="S965" s="24"/>
      <c r="T965" s="24"/>
      <c r="U965" s="76" t="s">
        <v>3745</v>
      </c>
      <c r="V965" s="56"/>
      <c r="W965" s="56"/>
      <c r="X965" s="56"/>
      <c r="Y965" s="56"/>
      <c r="Z965" s="56"/>
      <c r="AA965" s="56"/>
      <c r="AB965" s="56"/>
      <c r="AC965" s="56"/>
    </row>
    <row r="966" spans="1:29" ht="15.75" customHeight="1">
      <c r="A966" s="39">
        <v>19090502</v>
      </c>
      <c r="B966" s="107">
        <v>43719</v>
      </c>
      <c r="C966" s="109">
        <v>43719</v>
      </c>
      <c r="D966" s="76" t="s">
        <v>1029</v>
      </c>
      <c r="E966" s="76" t="s">
        <v>53</v>
      </c>
      <c r="F966" s="39" t="s">
        <v>353</v>
      </c>
      <c r="G966" s="399">
        <f>IFERROR(VLOOKUP(A966,醫療院所DATABASE!A:B,2,""),)</f>
        <v>0</v>
      </c>
      <c r="H966" s="64"/>
      <c r="I966" s="109">
        <v>43717</v>
      </c>
      <c r="J966" s="109">
        <v>43719</v>
      </c>
      <c r="K966" s="39" t="s">
        <v>3746</v>
      </c>
      <c r="L966" s="76" t="s">
        <v>3747</v>
      </c>
      <c r="M966" s="39" t="s">
        <v>3748</v>
      </c>
      <c r="N966" s="39" t="s">
        <v>62</v>
      </c>
      <c r="O966" s="24"/>
      <c r="P966" s="409" t="s">
        <v>3749</v>
      </c>
      <c r="Q966" s="76" t="s">
        <v>64</v>
      </c>
      <c r="R966" s="76" t="s">
        <v>1885</v>
      </c>
      <c r="S966" s="24"/>
      <c r="T966" s="24"/>
      <c r="U966" s="64"/>
      <c r="V966" s="56"/>
      <c r="W966" s="56"/>
      <c r="X966" s="56"/>
      <c r="Y966" s="56"/>
      <c r="Z966" s="56"/>
      <c r="AA966" s="56"/>
      <c r="AB966" s="56"/>
      <c r="AC966" s="56"/>
    </row>
    <row r="967" spans="1:29" ht="15.75" customHeight="1">
      <c r="A967" s="39" t="s">
        <v>3750</v>
      </c>
      <c r="B967" s="107">
        <v>43719</v>
      </c>
      <c r="C967" s="109">
        <v>43719</v>
      </c>
      <c r="D967" s="143" t="s">
        <v>1910</v>
      </c>
      <c r="E967" s="76"/>
      <c r="F967" s="39" t="s">
        <v>2885</v>
      </c>
      <c r="G967" s="399">
        <f>IFERROR(VLOOKUP(A967,醫療院所DATABASE!A:B,2,""),)</f>
        <v>0</v>
      </c>
      <c r="H967" s="76" t="s">
        <v>3751</v>
      </c>
      <c r="I967" s="109">
        <v>43718</v>
      </c>
      <c r="J967" s="109">
        <v>43720</v>
      </c>
      <c r="K967" s="39" t="s">
        <v>3752</v>
      </c>
      <c r="L967" s="76" t="s">
        <v>3753</v>
      </c>
      <c r="M967" s="155" t="s">
        <v>3594</v>
      </c>
      <c r="N967" s="39" t="s">
        <v>51</v>
      </c>
      <c r="O967" s="24"/>
      <c r="P967" s="409" t="s">
        <v>3754</v>
      </c>
      <c r="Q967" s="76" t="s">
        <v>64</v>
      </c>
      <c r="R967" s="76" t="s">
        <v>2075</v>
      </c>
      <c r="S967" s="24"/>
      <c r="T967" s="24"/>
      <c r="U967" s="76" t="s">
        <v>3755</v>
      </c>
      <c r="V967" s="56"/>
      <c r="W967" s="56"/>
      <c r="X967" s="56"/>
      <c r="Y967" s="56"/>
      <c r="Z967" s="56"/>
      <c r="AA967" s="56"/>
      <c r="AB967" s="56"/>
      <c r="AC967" s="56"/>
    </row>
    <row r="968" spans="1:29" ht="15.75" customHeight="1">
      <c r="A968" s="39" t="s">
        <v>3750</v>
      </c>
      <c r="B968" s="107">
        <v>43719</v>
      </c>
      <c r="C968" s="109">
        <v>43719</v>
      </c>
      <c r="D968" s="143" t="s">
        <v>1910</v>
      </c>
      <c r="E968" s="64"/>
      <c r="F968" s="39" t="s">
        <v>2885</v>
      </c>
      <c r="G968" s="399">
        <f>IFERROR(VLOOKUP(A968,醫療院所DATABASE!A:B,2,""),)</f>
        <v>0</v>
      </c>
      <c r="H968" s="76" t="s">
        <v>3751</v>
      </c>
      <c r="I968" s="109">
        <v>43718</v>
      </c>
      <c r="J968" s="109">
        <v>43720</v>
      </c>
      <c r="K968" s="39" t="s">
        <v>3756</v>
      </c>
      <c r="L968" s="76" t="s">
        <v>3757</v>
      </c>
      <c r="M968" s="155" t="s">
        <v>3594</v>
      </c>
      <c r="N968" s="39" t="s">
        <v>62</v>
      </c>
      <c r="O968" s="24"/>
      <c r="P968" s="409" t="s">
        <v>3758</v>
      </c>
      <c r="Q968" s="76" t="s">
        <v>64</v>
      </c>
      <c r="R968" s="76" t="s">
        <v>2075</v>
      </c>
      <c r="S968" s="24"/>
      <c r="T968" s="24"/>
      <c r="U968" s="76" t="s">
        <v>3755</v>
      </c>
      <c r="V968" s="56"/>
      <c r="W968" s="56"/>
      <c r="X968" s="56"/>
      <c r="Y968" s="56"/>
      <c r="Z968" s="56"/>
      <c r="AA968" s="56"/>
      <c r="AB968" s="56"/>
      <c r="AC968" s="56"/>
    </row>
    <row r="969" spans="1:29" ht="15.75" customHeight="1">
      <c r="A969" s="39" t="s">
        <v>3658</v>
      </c>
      <c r="B969" s="107">
        <v>43719</v>
      </c>
      <c r="C969" s="109">
        <v>43724</v>
      </c>
      <c r="D969" s="76" t="s">
        <v>665</v>
      </c>
      <c r="E969" s="76" t="s">
        <v>366</v>
      </c>
      <c r="F969" s="39" t="s">
        <v>3441</v>
      </c>
      <c r="G969" s="399">
        <f>IFERROR(VLOOKUP(A969,醫療院所DATABASE!A:B,2,""),)</f>
        <v>0</v>
      </c>
      <c r="H969" s="64"/>
      <c r="I969" s="109">
        <v>43718</v>
      </c>
      <c r="J969" s="109">
        <v>43720</v>
      </c>
      <c r="K969" s="39" t="s">
        <v>3759</v>
      </c>
      <c r="L969" s="76" t="s">
        <v>3760</v>
      </c>
      <c r="M969" s="155" t="s">
        <v>3594</v>
      </c>
      <c r="N969" s="39" t="s">
        <v>51</v>
      </c>
      <c r="O969" s="24"/>
      <c r="P969" s="409" t="s">
        <v>3761</v>
      </c>
      <c r="Q969" s="76" t="s">
        <v>64</v>
      </c>
      <c r="R969" s="76" t="s">
        <v>1885</v>
      </c>
      <c r="S969" s="24"/>
      <c r="T969" s="24"/>
      <c r="U969" s="76" t="s">
        <v>2709</v>
      </c>
      <c r="V969" s="56"/>
      <c r="W969" s="56"/>
      <c r="X969" s="56"/>
      <c r="Y969" s="56"/>
      <c r="Z969" s="56"/>
      <c r="AA969" s="56"/>
      <c r="AB969" s="56"/>
      <c r="AC969" s="56"/>
    </row>
    <row r="970" spans="1:29" ht="15.75" customHeight="1">
      <c r="A970" s="39" t="s">
        <v>3762</v>
      </c>
      <c r="B970" s="107">
        <v>43719</v>
      </c>
      <c r="C970" s="109">
        <v>43724</v>
      </c>
      <c r="D970" s="76" t="s">
        <v>543</v>
      </c>
      <c r="E970" s="76" t="s">
        <v>543</v>
      </c>
      <c r="F970" s="39" t="s">
        <v>2304</v>
      </c>
      <c r="G970" s="399">
        <f>IFERROR(VLOOKUP(A970,醫療院所DATABASE!A:B,2,""),)</f>
        <v>0</v>
      </c>
      <c r="H970" s="64"/>
      <c r="I970" s="109">
        <v>43718</v>
      </c>
      <c r="J970" s="109">
        <v>43720</v>
      </c>
      <c r="K970" s="39" t="s">
        <v>3763</v>
      </c>
      <c r="L970" s="76" t="s">
        <v>3764</v>
      </c>
      <c r="M970" s="155" t="s">
        <v>3594</v>
      </c>
      <c r="N970" s="39" t="s">
        <v>51</v>
      </c>
      <c r="O970" s="24"/>
      <c r="P970" s="409" t="s">
        <v>3765</v>
      </c>
      <c r="Q970" s="76" t="s">
        <v>64</v>
      </c>
      <c r="R970" s="76" t="s">
        <v>1885</v>
      </c>
      <c r="S970" s="24"/>
      <c r="T970" s="24"/>
      <c r="U970" s="76" t="s">
        <v>2709</v>
      </c>
      <c r="V970" s="56"/>
      <c r="W970" s="56"/>
      <c r="X970" s="56"/>
      <c r="Y970" s="56"/>
      <c r="Z970" s="56"/>
      <c r="AA970" s="56"/>
      <c r="AB970" s="56"/>
      <c r="AC970" s="56"/>
    </row>
    <row r="971" spans="1:29" ht="15.75" customHeight="1">
      <c r="A971" s="39" t="s">
        <v>3762</v>
      </c>
      <c r="B971" s="107">
        <v>43719</v>
      </c>
      <c r="C971" s="109">
        <v>43724</v>
      </c>
      <c r="D971" s="76" t="s">
        <v>543</v>
      </c>
      <c r="E971" s="76" t="s">
        <v>543</v>
      </c>
      <c r="F971" s="39" t="s">
        <v>2304</v>
      </c>
      <c r="G971" s="399">
        <f>IFERROR(VLOOKUP(A971,醫療院所DATABASE!A:B,2,""),)</f>
        <v>0</v>
      </c>
      <c r="H971" s="64"/>
      <c r="I971" s="109">
        <v>43718</v>
      </c>
      <c r="J971" s="109">
        <v>43720</v>
      </c>
      <c r="K971" s="39" t="s">
        <v>3763</v>
      </c>
      <c r="L971" s="76" t="s">
        <v>3764</v>
      </c>
      <c r="M971" s="39" t="s">
        <v>3636</v>
      </c>
      <c r="N971" s="39" t="s">
        <v>51</v>
      </c>
      <c r="O971" s="24"/>
      <c r="P971" s="409" t="s">
        <v>3766</v>
      </c>
      <c r="Q971" s="76" t="s">
        <v>64</v>
      </c>
      <c r="R971" s="76" t="s">
        <v>1885</v>
      </c>
      <c r="S971" s="24"/>
      <c r="T971" s="24"/>
      <c r="U971" s="76" t="s">
        <v>2709</v>
      </c>
      <c r="V971" s="56"/>
      <c r="W971" s="56"/>
      <c r="X971" s="56"/>
      <c r="Y971" s="56"/>
      <c r="Z971" s="56"/>
      <c r="AA971" s="56"/>
      <c r="AB971" s="56"/>
      <c r="AC971" s="56"/>
    </row>
    <row r="972" spans="1:29" ht="15.75" customHeight="1">
      <c r="A972" s="39" t="s">
        <v>3339</v>
      </c>
      <c r="B972" s="107">
        <v>43725</v>
      </c>
      <c r="C972" s="109">
        <v>43728</v>
      </c>
      <c r="D972" s="76" t="s">
        <v>522</v>
      </c>
      <c r="E972" s="76" t="s">
        <v>522</v>
      </c>
      <c r="F972" s="39" t="s">
        <v>2304</v>
      </c>
      <c r="G972" s="399">
        <f>IFERROR(VLOOKUP(A972,醫療院所DATABASE!A:B,2,""),)</f>
        <v>0</v>
      </c>
      <c r="H972" s="64"/>
      <c r="I972" s="109">
        <v>43719</v>
      </c>
      <c r="J972" s="109">
        <v>43724</v>
      </c>
      <c r="K972" s="39" t="s">
        <v>3767</v>
      </c>
      <c r="L972" s="76" t="s">
        <v>3768</v>
      </c>
      <c r="M972" s="155" t="s">
        <v>3594</v>
      </c>
      <c r="N972" s="39" t="s">
        <v>62</v>
      </c>
      <c r="O972" s="24"/>
      <c r="P972" s="409" t="s">
        <v>3769</v>
      </c>
      <c r="Q972" s="76" t="s">
        <v>64</v>
      </c>
      <c r="R972" s="76" t="s">
        <v>1885</v>
      </c>
      <c r="S972" s="24"/>
      <c r="T972" s="24"/>
      <c r="U972" s="76" t="s">
        <v>2709</v>
      </c>
      <c r="V972" s="56"/>
      <c r="W972" s="56"/>
      <c r="X972" s="56"/>
      <c r="Y972" s="56"/>
      <c r="Z972" s="56"/>
      <c r="AA972" s="56"/>
      <c r="AB972" s="56"/>
      <c r="AC972" s="56"/>
    </row>
    <row r="973" spans="1:29" ht="15.75" customHeight="1">
      <c r="A973" s="39" t="s">
        <v>1389</v>
      </c>
      <c r="B973" s="107">
        <v>43726</v>
      </c>
      <c r="C973" s="109">
        <v>43727</v>
      </c>
      <c r="D973" s="76" t="s">
        <v>479</v>
      </c>
      <c r="E973" s="76" t="s">
        <v>2693</v>
      </c>
      <c r="F973" s="39" t="s">
        <v>1709</v>
      </c>
      <c r="G973" s="399">
        <f>IFERROR(VLOOKUP(A973,醫療院所DATABASE!A:B,2,""),)</f>
        <v>0</v>
      </c>
      <c r="H973" s="64"/>
      <c r="I973" s="109">
        <v>43725</v>
      </c>
      <c r="J973" s="109">
        <v>43727</v>
      </c>
      <c r="K973" s="39" t="s">
        <v>3770</v>
      </c>
      <c r="L973" s="76" t="s">
        <v>3771</v>
      </c>
      <c r="M973" s="155" t="s">
        <v>3594</v>
      </c>
      <c r="N973" s="39" t="s">
        <v>51</v>
      </c>
      <c r="O973" s="24"/>
      <c r="P973" s="409" t="s">
        <v>3772</v>
      </c>
      <c r="Q973" s="76" t="s">
        <v>1207</v>
      </c>
      <c r="R973" s="76" t="s">
        <v>1885</v>
      </c>
      <c r="S973" s="24"/>
      <c r="T973" s="24"/>
      <c r="U973" s="64"/>
      <c r="V973" s="56"/>
      <c r="W973" s="56"/>
      <c r="X973" s="56"/>
      <c r="Y973" s="56"/>
      <c r="Z973" s="56"/>
      <c r="AA973" s="56"/>
      <c r="AB973" s="56"/>
      <c r="AC973" s="56"/>
    </row>
    <row r="974" spans="1:29" ht="15.75" customHeight="1">
      <c r="A974" s="39" t="s">
        <v>1389</v>
      </c>
      <c r="B974" s="107">
        <v>43726</v>
      </c>
      <c r="C974" s="109">
        <v>43727</v>
      </c>
      <c r="D974" s="76" t="s">
        <v>479</v>
      </c>
      <c r="E974" s="76" t="s">
        <v>2693</v>
      </c>
      <c r="F974" s="39" t="s">
        <v>1709</v>
      </c>
      <c r="G974" s="399">
        <f>IFERROR(VLOOKUP(A974,醫療院所DATABASE!A:B,2,""),)</f>
        <v>0</v>
      </c>
      <c r="H974" s="64"/>
      <c r="I974" s="109">
        <v>43725</v>
      </c>
      <c r="J974" s="109">
        <v>43727</v>
      </c>
      <c r="K974" s="39" t="s">
        <v>3773</v>
      </c>
      <c r="L974" s="76" t="s">
        <v>3774</v>
      </c>
      <c r="M974" s="155" t="s">
        <v>3594</v>
      </c>
      <c r="N974" s="39" t="s">
        <v>62</v>
      </c>
      <c r="O974" s="24"/>
      <c r="P974" s="409" t="s">
        <v>3775</v>
      </c>
      <c r="Q974" s="76" t="s">
        <v>1207</v>
      </c>
      <c r="R974" s="76" t="s">
        <v>1885</v>
      </c>
      <c r="S974" s="24"/>
      <c r="T974" s="24"/>
      <c r="U974" s="64"/>
      <c r="V974" s="56"/>
      <c r="W974" s="56"/>
      <c r="X974" s="56"/>
      <c r="Y974" s="56"/>
      <c r="Z974" s="56"/>
      <c r="AA974" s="56"/>
      <c r="AB974" s="56"/>
      <c r="AC974" s="56"/>
    </row>
    <row r="975" spans="1:29" ht="15.75" customHeight="1">
      <c r="A975" s="39" t="s">
        <v>3776</v>
      </c>
      <c r="B975" s="107">
        <v>43726</v>
      </c>
      <c r="C975" s="109">
        <v>43728</v>
      </c>
      <c r="D975" s="76" t="s">
        <v>665</v>
      </c>
      <c r="E975" s="76" t="s">
        <v>665</v>
      </c>
      <c r="F975" s="39" t="s">
        <v>2939</v>
      </c>
      <c r="G975" s="399">
        <f>IFERROR(VLOOKUP(A975,醫療院所DATABASE!A:B,2,""),)</f>
        <v>0</v>
      </c>
      <c r="H975" s="64"/>
      <c r="I975" s="109">
        <v>43725</v>
      </c>
      <c r="J975" s="109">
        <v>43727</v>
      </c>
      <c r="K975" s="39" t="s">
        <v>3777</v>
      </c>
      <c r="L975" s="76" t="s">
        <v>3778</v>
      </c>
      <c r="M975" s="155" t="s">
        <v>3594</v>
      </c>
      <c r="N975" s="39" t="s">
        <v>51</v>
      </c>
      <c r="O975" s="24"/>
      <c r="P975" s="409" t="s">
        <v>3779</v>
      </c>
      <c r="Q975" s="76" t="s">
        <v>64</v>
      </c>
      <c r="R975" s="76" t="s">
        <v>1885</v>
      </c>
      <c r="S975" s="24"/>
      <c r="T975" s="24"/>
      <c r="U975" s="76" t="s">
        <v>3780</v>
      </c>
      <c r="V975" s="56"/>
      <c r="W975" s="56"/>
      <c r="X975" s="56"/>
      <c r="Y975" s="56"/>
      <c r="Z975" s="56"/>
      <c r="AA975" s="56"/>
      <c r="AB975" s="56"/>
      <c r="AC975" s="56"/>
    </row>
    <row r="976" spans="1:29" ht="15.75" customHeight="1">
      <c r="A976" s="39" t="s">
        <v>3781</v>
      </c>
      <c r="B976" s="107">
        <v>43728</v>
      </c>
      <c r="C976" s="109">
        <v>43739</v>
      </c>
      <c r="D976" s="76" t="s">
        <v>479</v>
      </c>
      <c r="E976" s="76" t="s">
        <v>187</v>
      </c>
      <c r="F976" s="39" t="s">
        <v>3782</v>
      </c>
      <c r="G976" s="399">
        <f>IFERROR(VLOOKUP(A976,醫療院所DATABASE!A:B,2,""),)</f>
        <v>0</v>
      </c>
      <c r="H976" s="64"/>
      <c r="I976" s="109">
        <v>43726</v>
      </c>
      <c r="J976" s="109">
        <v>43728</v>
      </c>
      <c r="K976" s="39" t="s">
        <v>3783</v>
      </c>
      <c r="L976" s="76" t="s">
        <v>3784</v>
      </c>
      <c r="M976" s="155" t="s">
        <v>3594</v>
      </c>
      <c r="N976" s="39" t="s">
        <v>51</v>
      </c>
      <c r="O976" s="24"/>
      <c r="P976" s="409" t="s">
        <v>3785</v>
      </c>
      <c r="Q976" s="76" t="s">
        <v>1207</v>
      </c>
      <c r="R976" s="76" t="s">
        <v>1885</v>
      </c>
      <c r="S976" s="24"/>
      <c r="T976" s="24"/>
      <c r="U976" s="64"/>
      <c r="V976" s="56"/>
      <c r="W976" s="56"/>
      <c r="X976" s="56"/>
      <c r="Y976" s="56"/>
      <c r="Z976" s="56"/>
      <c r="AA976" s="56"/>
      <c r="AB976" s="56"/>
      <c r="AC976" s="56"/>
    </row>
    <row r="977" spans="1:29" ht="15.75" customHeight="1">
      <c r="A977" s="39" t="s">
        <v>3781</v>
      </c>
      <c r="B977" s="107">
        <v>43728</v>
      </c>
      <c r="C977" s="109">
        <v>43739</v>
      </c>
      <c r="D977" s="76" t="s">
        <v>479</v>
      </c>
      <c r="E977" s="76" t="s">
        <v>187</v>
      </c>
      <c r="F977" s="39" t="s">
        <v>3782</v>
      </c>
      <c r="G977" s="399">
        <f>IFERROR(VLOOKUP(A977,醫療院所DATABASE!A:B,2,""),)</f>
        <v>0</v>
      </c>
      <c r="H977" s="64"/>
      <c r="I977" s="109">
        <v>43726</v>
      </c>
      <c r="J977" s="109">
        <v>43728</v>
      </c>
      <c r="K977" s="39" t="s">
        <v>3783</v>
      </c>
      <c r="L977" s="76" t="s">
        <v>3784</v>
      </c>
      <c r="M977" s="39" t="s">
        <v>3563</v>
      </c>
      <c r="N977" s="39" t="s">
        <v>51</v>
      </c>
      <c r="O977" s="24"/>
      <c r="P977" s="409" t="s">
        <v>3786</v>
      </c>
      <c r="Q977" s="76" t="s">
        <v>1207</v>
      </c>
      <c r="R977" s="76" t="s">
        <v>1885</v>
      </c>
      <c r="S977" s="24"/>
      <c r="T977" s="24"/>
      <c r="U977" s="64"/>
      <c r="V977" s="56"/>
      <c r="W977" s="56"/>
      <c r="X977" s="56"/>
      <c r="Y977" s="56"/>
      <c r="Z977" s="56"/>
      <c r="AA977" s="56"/>
      <c r="AB977" s="56"/>
      <c r="AC977" s="56"/>
    </row>
    <row r="978" spans="1:29" ht="15.75" customHeight="1">
      <c r="A978" s="39" t="s">
        <v>3787</v>
      </c>
      <c r="B978" s="107">
        <v>43728</v>
      </c>
      <c r="C978" s="109">
        <v>43733</v>
      </c>
      <c r="D978" s="76" t="s">
        <v>3427</v>
      </c>
      <c r="E978" s="76" t="s">
        <v>53</v>
      </c>
      <c r="F978" s="39" t="s">
        <v>3441</v>
      </c>
      <c r="G978" s="399">
        <f>IFERROR(VLOOKUP(A978,醫療院所DATABASE!A:B,2,""),)</f>
        <v>0</v>
      </c>
      <c r="H978" s="64"/>
      <c r="I978" s="109">
        <v>43727</v>
      </c>
      <c r="J978" s="109">
        <v>43731</v>
      </c>
      <c r="K978" s="39" t="s">
        <v>3788</v>
      </c>
      <c r="L978" s="76" t="s">
        <v>3789</v>
      </c>
      <c r="M978" s="39" t="s">
        <v>3563</v>
      </c>
      <c r="N978" s="39" t="s">
        <v>62</v>
      </c>
      <c r="O978" s="24"/>
      <c r="P978" s="409" t="s">
        <v>3790</v>
      </c>
      <c r="Q978" s="76" t="s">
        <v>64</v>
      </c>
      <c r="R978" s="76" t="s">
        <v>1885</v>
      </c>
      <c r="S978" s="24"/>
      <c r="T978" s="24"/>
      <c r="U978" s="64"/>
      <c r="V978" s="56"/>
      <c r="W978" s="56"/>
      <c r="X978" s="56"/>
      <c r="Y978" s="56"/>
      <c r="Z978" s="56"/>
      <c r="AA978" s="56"/>
      <c r="AB978" s="56"/>
      <c r="AC978" s="56"/>
    </row>
    <row r="979" spans="1:29" ht="15.75" customHeight="1">
      <c r="A979" s="39" t="s">
        <v>3787</v>
      </c>
      <c r="B979" s="107">
        <v>43728</v>
      </c>
      <c r="C979" s="109">
        <v>43733</v>
      </c>
      <c r="D979" s="76" t="s">
        <v>3427</v>
      </c>
      <c r="E979" s="76" t="s">
        <v>53</v>
      </c>
      <c r="F979" s="39" t="s">
        <v>3441</v>
      </c>
      <c r="G979" s="399">
        <f>IFERROR(VLOOKUP(A979,醫療院所DATABASE!A:B,2,""),)</f>
        <v>0</v>
      </c>
      <c r="H979" s="64"/>
      <c r="I979" s="109">
        <v>43727</v>
      </c>
      <c r="J979" s="109">
        <v>43731</v>
      </c>
      <c r="K979" s="39" t="s">
        <v>3788</v>
      </c>
      <c r="L979" s="76" t="s">
        <v>3789</v>
      </c>
      <c r="M979" s="39" t="s">
        <v>3791</v>
      </c>
      <c r="N979" s="39" t="s">
        <v>62</v>
      </c>
      <c r="O979" s="24"/>
      <c r="P979" s="409" t="s">
        <v>3792</v>
      </c>
      <c r="Q979" s="76" t="s">
        <v>64</v>
      </c>
      <c r="R979" s="76" t="s">
        <v>1885</v>
      </c>
      <c r="S979" s="24"/>
      <c r="T979" s="24"/>
      <c r="U979" s="64"/>
      <c r="V979" s="56"/>
      <c r="W979" s="56"/>
      <c r="X979" s="56"/>
      <c r="Y979" s="56"/>
      <c r="Z979" s="56"/>
      <c r="AA979" s="56"/>
      <c r="AB979" s="56"/>
      <c r="AC979" s="56"/>
    </row>
    <row r="980" spans="1:29" ht="15.75" customHeight="1">
      <c r="A980" s="39" t="s">
        <v>3793</v>
      </c>
      <c r="B980" s="107">
        <v>43728</v>
      </c>
      <c r="C980" s="109">
        <v>43731</v>
      </c>
      <c r="D980" s="76" t="s">
        <v>366</v>
      </c>
      <c r="E980" s="76" t="s">
        <v>366</v>
      </c>
      <c r="F980" s="39" t="s">
        <v>2304</v>
      </c>
      <c r="G980" s="399">
        <f>IFERROR(VLOOKUP(A980,醫療院所DATABASE!A:B,2,""),)</f>
        <v>0</v>
      </c>
      <c r="H980" s="64"/>
      <c r="I980" s="109">
        <v>43727</v>
      </c>
      <c r="J980" s="109">
        <v>43731</v>
      </c>
      <c r="K980" s="39" t="s">
        <v>3794</v>
      </c>
      <c r="L980" s="76" t="s">
        <v>3795</v>
      </c>
      <c r="M980" s="39" t="s">
        <v>3796</v>
      </c>
      <c r="N980" s="39" t="s">
        <v>62</v>
      </c>
      <c r="O980" s="24"/>
      <c r="P980" s="409" t="s">
        <v>3797</v>
      </c>
      <c r="Q980" s="76" t="s">
        <v>64</v>
      </c>
      <c r="R980" s="76" t="s">
        <v>1885</v>
      </c>
      <c r="S980" s="24"/>
      <c r="T980" s="24"/>
      <c r="U980" s="64"/>
      <c r="V980" s="56"/>
      <c r="W980" s="56"/>
      <c r="X980" s="56"/>
      <c r="Y980" s="56"/>
      <c r="Z980" s="56"/>
      <c r="AA980" s="56"/>
      <c r="AB980" s="56"/>
      <c r="AC980" s="56"/>
    </row>
    <row r="981" spans="1:29" ht="15.75" customHeight="1">
      <c r="A981" s="39">
        <v>19091401</v>
      </c>
      <c r="B981" s="107">
        <v>43732</v>
      </c>
      <c r="C981" s="109">
        <v>43733</v>
      </c>
      <c r="D981" s="76" t="s">
        <v>1029</v>
      </c>
      <c r="E981" s="76" t="s">
        <v>366</v>
      </c>
      <c r="F981" s="39" t="s">
        <v>353</v>
      </c>
      <c r="G981" s="399">
        <f>IFERROR(VLOOKUP(A981,醫療院所DATABASE!A:B,2,""),)</f>
        <v>0</v>
      </c>
      <c r="H981" s="64"/>
      <c r="I981" s="109">
        <v>43728</v>
      </c>
      <c r="J981" s="109">
        <v>43732</v>
      </c>
      <c r="K981" s="39" t="s">
        <v>617</v>
      </c>
      <c r="L981" s="76" t="s">
        <v>618</v>
      </c>
      <c r="M981" s="155" t="s">
        <v>3594</v>
      </c>
      <c r="N981" s="39" t="s">
        <v>51</v>
      </c>
      <c r="O981" s="24"/>
      <c r="P981" s="409" t="s">
        <v>3798</v>
      </c>
      <c r="Q981" s="76" t="s">
        <v>64</v>
      </c>
      <c r="R981" s="76" t="s">
        <v>1885</v>
      </c>
      <c r="S981" s="24"/>
      <c r="T981" s="24"/>
      <c r="U981" s="64"/>
      <c r="V981" s="56"/>
      <c r="W981" s="56"/>
      <c r="X981" s="56"/>
      <c r="Y981" s="56"/>
      <c r="Z981" s="56"/>
      <c r="AA981" s="56"/>
      <c r="AB981" s="56"/>
      <c r="AC981" s="56"/>
    </row>
    <row r="982" spans="1:29" ht="15.75" customHeight="1">
      <c r="A982" s="39">
        <v>19091402</v>
      </c>
      <c r="B982" s="107">
        <v>43732</v>
      </c>
      <c r="C982" s="109">
        <v>43733</v>
      </c>
      <c r="D982" s="76" t="s">
        <v>1029</v>
      </c>
      <c r="E982" s="76" t="s">
        <v>366</v>
      </c>
      <c r="F982" s="39" t="s">
        <v>353</v>
      </c>
      <c r="G982" s="399">
        <f>IFERROR(VLOOKUP(A982,醫療院所DATABASE!A:B,2,""),)</f>
        <v>0</v>
      </c>
      <c r="H982" s="64"/>
      <c r="I982" s="109">
        <v>43728</v>
      </c>
      <c r="J982" s="109">
        <v>43732</v>
      </c>
      <c r="K982" s="39" t="s">
        <v>610</v>
      </c>
      <c r="L982" s="76" t="s">
        <v>611</v>
      </c>
      <c r="M982" s="155" t="s">
        <v>3594</v>
      </c>
      <c r="N982" s="39" t="s">
        <v>62</v>
      </c>
      <c r="O982" s="24"/>
      <c r="P982" s="409" t="s">
        <v>3799</v>
      </c>
      <c r="Q982" s="76" t="s">
        <v>64</v>
      </c>
      <c r="R982" s="76" t="s">
        <v>1885</v>
      </c>
      <c r="S982" s="24"/>
      <c r="T982" s="24"/>
      <c r="U982" s="64"/>
      <c r="V982" s="56"/>
      <c r="W982" s="56"/>
      <c r="X982" s="56"/>
      <c r="Y982" s="56"/>
      <c r="Z982" s="56"/>
      <c r="AA982" s="56"/>
      <c r="AB982" s="56"/>
      <c r="AC982" s="56"/>
    </row>
    <row r="983" spans="1:29" ht="15.75" customHeight="1">
      <c r="A983" s="39" t="s">
        <v>3800</v>
      </c>
      <c r="B983" s="107">
        <v>43732</v>
      </c>
      <c r="C983" s="109">
        <v>43733</v>
      </c>
      <c r="D983" s="76" t="s">
        <v>53</v>
      </c>
      <c r="E983" s="76" t="s">
        <v>366</v>
      </c>
      <c r="F983" s="39" t="s">
        <v>975</v>
      </c>
      <c r="G983" s="399">
        <f>IFERROR(VLOOKUP(A983,醫療院所DATABASE!A:B,2,""),)</f>
        <v>0</v>
      </c>
      <c r="H983" s="64"/>
      <c r="I983" s="109">
        <v>43728</v>
      </c>
      <c r="J983" s="109">
        <v>43732</v>
      </c>
      <c r="K983" s="39" t="s">
        <v>3801</v>
      </c>
      <c r="L983" s="76" t="s">
        <v>3802</v>
      </c>
      <c r="M983" s="155" t="s">
        <v>3803</v>
      </c>
      <c r="N983" s="39" t="s">
        <v>62</v>
      </c>
      <c r="O983" s="24"/>
      <c r="P983" s="409" t="s">
        <v>3804</v>
      </c>
      <c r="Q983" s="76" t="s">
        <v>1931</v>
      </c>
      <c r="R983" s="76" t="s">
        <v>1885</v>
      </c>
      <c r="S983" s="24"/>
      <c r="T983" s="24"/>
      <c r="U983" s="64"/>
      <c r="V983" s="56"/>
      <c r="W983" s="56"/>
      <c r="X983" s="56"/>
      <c r="Y983" s="56"/>
      <c r="Z983" s="56"/>
      <c r="AA983" s="56"/>
      <c r="AB983" s="56"/>
      <c r="AC983" s="56"/>
    </row>
    <row r="984" spans="1:29" ht="15.75" customHeight="1">
      <c r="A984" s="39" t="s">
        <v>3800</v>
      </c>
      <c r="B984" s="107">
        <v>43732</v>
      </c>
      <c r="C984" s="109">
        <v>43733</v>
      </c>
      <c r="D984" s="76" t="s">
        <v>53</v>
      </c>
      <c r="E984" s="76" t="s">
        <v>366</v>
      </c>
      <c r="F984" s="39" t="s">
        <v>975</v>
      </c>
      <c r="G984" s="399">
        <f>IFERROR(VLOOKUP(A984,醫療院所DATABASE!A:B,2,""),)</f>
        <v>0</v>
      </c>
      <c r="H984" s="64"/>
      <c r="I984" s="109">
        <v>43728</v>
      </c>
      <c r="J984" s="109">
        <v>43732</v>
      </c>
      <c r="K984" s="39" t="s">
        <v>3805</v>
      </c>
      <c r="L984" s="76" t="s">
        <v>3806</v>
      </c>
      <c r="M984" s="155" t="s">
        <v>3803</v>
      </c>
      <c r="N984" s="39" t="s">
        <v>51</v>
      </c>
      <c r="O984" s="24"/>
      <c r="P984" s="409" t="s">
        <v>3807</v>
      </c>
      <c r="Q984" s="76" t="s">
        <v>1931</v>
      </c>
      <c r="R984" s="76" t="s">
        <v>1885</v>
      </c>
      <c r="S984" s="24"/>
      <c r="T984" s="24"/>
      <c r="U984" s="64"/>
      <c r="V984" s="56"/>
      <c r="W984" s="56"/>
      <c r="X984" s="56"/>
      <c r="Y984" s="56"/>
      <c r="Z984" s="56"/>
      <c r="AA984" s="56"/>
      <c r="AB984" s="56"/>
      <c r="AC984" s="56"/>
    </row>
    <row r="985" spans="1:29" ht="15.75" customHeight="1">
      <c r="A985" s="39" t="s">
        <v>3808</v>
      </c>
      <c r="B985" s="107">
        <v>43733</v>
      </c>
      <c r="C985" s="109">
        <v>43733</v>
      </c>
      <c r="D985" s="159" t="s">
        <v>1910</v>
      </c>
      <c r="E985" s="76" t="s">
        <v>53</v>
      </c>
      <c r="F985" s="39" t="s">
        <v>2885</v>
      </c>
      <c r="G985" s="399">
        <f>IFERROR(VLOOKUP(A985,醫療院所DATABASE!A:B,2,""),)</f>
        <v>0</v>
      </c>
      <c r="H985" s="64"/>
      <c r="I985" s="109">
        <v>43731</v>
      </c>
      <c r="J985" s="109">
        <v>43733</v>
      </c>
      <c r="K985" s="39" t="s">
        <v>3811</v>
      </c>
      <c r="L985" s="76" t="s">
        <v>3812</v>
      </c>
      <c r="M985" s="155" t="s">
        <v>3594</v>
      </c>
      <c r="N985" s="39" t="s">
        <v>51</v>
      </c>
      <c r="O985" s="24"/>
      <c r="P985" s="409" t="s">
        <v>3813</v>
      </c>
      <c r="Q985" s="76" t="s">
        <v>1207</v>
      </c>
      <c r="R985" s="76" t="s">
        <v>1885</v>
      </c>
      <c r="S985" s="24"/>
      <c r="T985" s="24"/>
      <c r="U985" s="64"/>
      <c r="V985" s="56"/>
      <c r="W985" s="56"/>
      <c r="X985" s="56"/>
      <c r="Y985" s="56"/>
      <c r="Z985" s="56"/>
      <c r="AA985" s="56"/>
      <c r="AB985" s="56"/>
      <c r="AC985" s="56"/>
    </row>
    <row r="986" spans="1:29" ht="15.75" customHeight="1">
      <c r="A986" s="39" t="s">
        <v>3814</v>
      </c>
      <c r="B986" s="107">
        <v>43739</v>
      </c>
      <c r="C986" s="109">
        <v>43739</v>
      </c>
      <c r="D986" s="76" t="s">
        <v>3591</v>
      </c>
      <c r="E986" s="76" t="s">
        <v>187</v>
      </c>
      <c r="F986" s="39" t="s">
        <v>2304</v>
      </c>
      <c r="G986" s="399">
        <f>IFERROR(VLOOKUP(A986,醫療院所DATABASE!A:B,2,""),)</f>
        <v>0</v>
      </c>
      <c r="H986" s="64"/>
      <c r="I986" s="109">
        <v>43731</v>
      </c>
      <c r="J986" s="109">
        <v>43733</v>
      </c>
      <c r="K986" s="39" t="s">
        <v>486</v>
      </c>
      <c r="L986" s="76" t="s">
        <v>487</v>
      </c>
      <c r="M986" s="39" t="s">
        <v>3563</v>
      </c>
      <c r="N986" s="39" t="s">
        <v>62</v>
      </c>
      <c r="O986" s="24"/>
      <c r="P986" s="409" t="s">
        <v>3815</v>
      </c>
      <c r="Q986" s="76" t="s">
        <v>1207</v>
      </c>
      <c r="R986" s="76" t="s">
        <v>1885</v>
      </c>
      <c r="S986" s="24"/>
      <c r="T986" s="24"/>
      <c r="U986" s="76" t="s">
        <v>3412</v>
      </c>
      <c r="V986" s="56"/>
      <c r="W986" s="56"/>
      <c r="X986" s="56"/>
      <c r="Y986" s="56"/>
      <c r="Z986" s="56"/>
      <c r="AA986" s="56"/>
      <c r="AB986" s="56"/>
      <c r="AC986" s="56"/>
    </row>
    <row r="987" spans="1:29" ht="15.75" customHeight="1">
      <c r="A987" s="39" t="s">
        <v>3814</v>
      </c>
      <c r="B987" s="107">
        <v>43739</v>
      </c>
      <c r="C987" s="109">
        <v>43739</v>
      </c>
      <c r="D987" s="76" t="s">
        <v>3591</v>
      </c>
      <c r="E987" s="76" t="s">
        <v>187</v>
      </c>
      <c r="F987" s="39" t="s">
        <v>2304</v>
      </c>
      <c r="G987" s="399">
        <f>IFERROR(VLOOKUP(A987,醫療院所DATABASE!A:B,2,""),)</f>
        <v>0</v>
      </c>
      <c r="H987" s="64"/>
      <c r="I987" s="109">
        <v>43731</v>
      </c>
      <c r="J987" s="109">
        <v>43733</v>
      </c>
      <c r="K987" s="39" t="s">
        <v>480</v>
      </c>
      <c r="L987" s="76" t="s">
        <v>481</v>
      </c>
      <c r="M987" s="39" t="s">
        <v>3563</v>
      </c>
      <c r="N987" s="39" t="s">
        <v>51</v>
      </c>
      <c r="O987" s="24"/>
      <c r="P987" s="409" t="s">
        <v>3816</v>
      </c>
      <c r="Q987" s="76" t="s">
        <v>1207</v>
      </c>
      <c r="R987" s="76" t="s">
        <v>1885</v>
      </c>
      <c r="S987" s="24"/>
      <c r="T987" s="24"/>
      <c r="U987" s="76" t="s">
        <v>3413</v>
      </c>
      <c r="V987" s="56"/>
      <c r="W987" s="56"/>
      <c r="X987" s="56"/>
      <c r="Y987" s="56"/>
      <c r="Z987" s="56"/>
      <c r="AA987" s="56"/>
      <c r="AB987" s="56"/>
      <c r="AC987" s="56"/>
    </row>
    <row r="988" spans="1:29" ht="15.75" customHeight="1">
      <c r="A988" s="39" t="s">
        <v>3814</v>
      </c>
      <c r="B988" s="107">
        <v>43739</v>
      </c>
      <c r="C988" s="109">
        <v>43739</v>
      </c>
      <c r="D988" s="76" t="s">
        <v>3591</v>
      </c>
      <c r="E988" s="76" t="s">
        <v>187</v>
      </c>
      <c r="F988" s="39" t="s">
        <v>2304</v>
      </c>
      <c r="G988" s="399">
        <f>IFERROR(VLOOKUP(A988,醫療院所DATABASE!A:B,2,""),)</f>
        <v>0</v>
      </c>
      <c r="H988" s="64"/>
      <c r="I988" s="109">
        <v>43731</v>
      </c>
      <c r="J988" s="109">
        <v>43733</v>
      </c>
      <c r="K988" s="39" t="s">
        <v>486</v>
      </c>
      <c r="L988" s="76" t="s">
        <v>487</v>
      </c>
      <c r="M988" s="39" t="s">
        <v>3817</v>
      </c>
      <c r="N988" s="39" t="s">
        <v>62</v>
      </c>
      <c r="O988" s="56"/>
      <c r="P988" s="409" t="s">
        <v>3818</v>
      </c>
      <c r="Q988" s="76" t="s">
        <v>1207</v>
      </c>
      <c r="R988" s="76" t="s">
        <v>1885</v>
      </c>
      <c r="S988" s="24"/>
      <c r="T988" s="24"/>
      <c r="U988" s="76" t="s">
        <v>3412</v>
      </c>
      <c r="V988" s="56"/>
      <c r="W988" s="56"/>
      <c r="X988" s="56"/>
      <c r="Y988" s="56"/>
      <c r="Z988" s="56"/>
      <c r="AA988" s="56"/>
      <c r="AB988" s="56"/>
      <c r="AC988" s="56"/>
    </row>
    <row r="989" spans="1:29" ht="15.75" customHeight="1">
      <c r="A989" s="39" t="s">
        <v>3814</v>
      </c>
      <c r="B989" s="107">
        <v>43739</v>
      </c>
      <c r="C989" s="109">
        <v>43739</v>
      </c>
      <c r="D989" s="76" t="s">
        <v>3591</v>
      </c>
      <c r="E989" s="76" t="s">
        <v>187</v>
      </c>
      <c r="F989" s="39" t="s">
        <v>2304</v>
      </c>
      <c r="G989" s="399">
        <f>IFERROR(VLOOKUP(A989,醫療院所DATABASE!A:B,2,""),)</f>
        <v>0</v>
      </c>
      <c r="H989" s="64"/>
      <c r="I989" s="109">
        <v>43731</v>
      </c>
      <c r="J989" s="109">
        <v>43733</v>
      </c>
      <c r="K989" s="39" t="s">
        <v>480</v>
      </c>
      <c r="L989" s="76" t="s">
        <v>481</v>
      </c>
      <c r="M989" s="39" t="s">
        <v>3817</v>
      </c>
      <c r="N989" s="39" t="s">
        <v>51</v>
      </c>
      <c r="O989" s="56"/>
      <c r="P989" s="409" t="s">
        <v>3819</v>
      </c>
      <c r="Q989" s="76" t="s">
        <v>1207</v>
      </c>
      <c r="R989" s="76" t="s">
        <v>1885</v>
      </c>
      <c r="S989" s="24"/>
      <c r="T989" s="24"/>
      <c r="U989" s="76" t="s">
        <v>3413</v>
      </c>
      <c r="V989" s="56"/>
      <c r="W989" s="56"/>
      <c r="X989" s="56"/>
      <c r="Y989" s="56"/>
      <c r="Z989" s="56"/>
      <c r="AA989" s="56"/>
      <c r="AB989" s="56"/>
      <c r="AC989" s="56"/>
    </row>
    <row r="990" spans="1:29" ht="15.75" customHeight="1">
      <c r="A990" s="39" t="s">
        <v>3814</v>
      </c>
      <c r="B990" s="107">
        <v>43739</v>
      </c>
      <c r="C990" s="109">
        <v>43739</v>
      </c>
      <c r="D990" s="76" t="s">
        <v>3591</v>
      </c>
      <c r="E990" s="76" t="s">
        <v>187</v>
      </c>
      <c r="F990" s="39" t="s">
        <v>2304</v>
      </c>
      <c r="G990" s="399">
        <f>IFERROR(VLOOKUP(A990,醫療院所DATABASE!A:B,2,""),)</f>
        <v>0</v>
      </c>
      <c r="H990" s="64"/>
      <c r="I990" s="109">
        <v>43731</v>
      </c>
      <c r="J990" s="109">
        <v>43733</v>
      </c>
      <c r="K990" s="39" t="s">
        <v>486</v>
      </c>
      <c r="L990" s="76" t="s">
        <v>487</v>
      </c>
      <c r="M990" s="39" t="s">
        <v>3820</v>
      </c>
      <c r="N990" s="39" t="s">
        <v>62</v>
      </c>
      <c r="O990" s="56"/>
      <c r="P990" s="409" t="s">
        <v>3821</v>
      </c>
      <c r="Q990" s="76" t="s">
        <v>1207</v>
      </c>
      <c r="R990" s="76" t="s">
        <v>1885</v>
      </c>
      <c r="S990" s="24"/>
      <c r="T990" s="24"/>
      <c r="U990" s="76" t="s">
        <v>3412</v>
      </c>
      <c r="V990" s="56"/>
      <c r="W990" s="56"/>
      <c r="X990" s="56"/>
      <c r="Y990" s="56"/>
      <c r="Z990" s="56"/>
      <c r="AA990" s="56"/>
      <c r="AB990" s="56"/>
      <c r="AC990" s="56"/>
    </row>
    <row r="991" spans="1:29" ht="15.75" customHeight="1">
      <c r="A991" s="39" t="s">
        <v>3814</v>
      </c>
      <c r="B991" s="107">
        <v>43739</v>
      </c>
      <c r="C991" s="109">
        <v>43739</v>
      </c>
      <c r="D991" s="76" t="s">
        <v>3591</v>
      </c>
      <c r="E991" s="76" t="s">
        <v>187</v>
      </c>
      <c r="F991" s="39" t="s">
        <v>2304</v>
      </c>
      <c r="G991" s="399">
        <f>IFERROR(VLOOKUP(A991,醫療院所DATABASE!A:B,2,""),)</f>
        <v>0</v>
      </c>
      <c r="H991" s="64"/>
      <c r="I991" s="109">
        <v>43731</v>
      </c>
      <c r="J991" s="109">
        <v>43733</v>
      </c>
      <c r="K991" s="39" t="s">
        <v>480</v>
      </c>
      <c r="L991" s="76" t="s">
        <v>481</v>
      </c>
      <c r="M991" s="39" t="s">
        <v>3820</v>
      </c>
      <c r="N991" s="39" t="s">
        <v>51</v>
      </c>
      <c r="O991" s="56"/>
      <c r="P991" s="409" t="s">
        <v>3822</v>
      </c>
      <c r="Q991" s="76" t="s">
        <v>1207</v>
      </c>
      <c r="R991" s="76" t="s">
        <v>1885</v>
      </c>
      <c r="S991" s="24"/>
      <c r="T991" s="24"/>
      <c r="U991" s="76" t="s">
        <v>3413</v>
      </c>
      <c r="V991" s="56"/>
      <c r="W991" s="56"/>
      <c r="X991" s="56"/>
      <c r="Y991" s="56"/>
      <c r="Z991" s="56"/>
      <c r="AA991" s="56"/>
      <c r="AB991" s="56"/>
      <c r="AC991" s="56"/>
    </row>
    <row r="992" spans="1:29" ht="15.75" customHeight="1">
      <c r="A992" s="39" t="s">
        <v>3823</v>
      </c>
      <c r="B992" s="107">
        <v>43733</v>
      </c>
      <c r="C992" s="109">
        <v>43733</v>
      </c>
      <c r="D992" s="76" t="s">
        <v>163</v>
      </c>
      <c r="E992" s="76" t="s">
        <v>163</v>
      </c>
      <c r="F992" s="147" t="s">
        <v>3302</v>
      </c>
      <c r="G992" s="399">
        <f>IFERROR(VLOOKUP(A992,醫療院所DATABASE!A:B,2,""),)</f>
        <v>0</v>
      </c>
      <c r="H992" s="64"/>
      <c r="I992" s="109">
        <v>43731</v>
      </c>
      <c r="J992" s="109">
        <v>43733</v>
      </c>
      <c r="K992" s="39" t="s">
        <v>3824</v>
      </c>
      <c r="L992" s="188" t="s">
        <v>3825</v>
      </c>
      <c r="M992" s="39" t="s">
        <v>3826</v>
      </c>
      <c r="N992" s="39" t="s">
        <v>62</v>
      </c>
      <c r="O992" s="56"/>
      <c r="P992" s="409" t="s">
        <v>3827</v>
      </c>
      <c r="Q992" s="76" t="s">
        <v>64</v>
      </c>
      <c r="R992" s="76" t="s">
        <v>5420</v>
      </c>
      <c r="S992" s="24"/>
      <c r="T992" s="24"/>
      <c r="U992" s="76" t="s">
        <v>3828</v>
      </c>
      <c r="V992" s="56"/>
      <c r="W992" s="56"/>
      <c r="X992" s="56"/>
      <c r="Y992" s="56"/>
      <c r="Z992" s="56"/>
      <c r="AA992" s="56"/>
      <c r="AB992" s="56"/>
      <c r="AC992" s="56"/>
    </row>
    <row r="993" spans="1:29" ht="15.75" customHeight="1">
      <c r="A993" s="39" t="s">
        <v>3829</v>
      </c>
      <c r="B993" s="107">
        <v>43733</v>
      </c>
      <c r="C993" s="109">
        <v>43733</v>
      </c>
      <c r="D993" s="76" t="s">
        <v>163</v>
      </c>
      <c r="E993" s="76" t="s">
        <v>163</v>
      </c>
      <c r="F993" s="147" t="s">
        <v>3302</v>
      </c>
      <c r="G993" s="399">
        <f>IFERROR(VLOOKUP(A993,醫療院所DATABASE!A:B,2,""),)</f>
        <v>0</v>
      </c>
      <c r="H993" s="64"/>
      <c r="I993" s="109">
        <v>43731</v>
      </c>
      <c r="J993" s="109">
        <v>43733</v>
      </c>
      <c r="K993" s="39" t="s">
        <v>3830</v>
      </c>
      <c r="L993" s="189" t="s">
        <v>3831</v>
      </c>
      <c r="M993" s="39" t="s">
        <v>3826</v>
      </c>
      <c r="N993" s="39" t="s">
        <v>62</v>
      </c>
      <c r="O993" s="56"/>
      <c r="P993" s="409" t="s">
        <v>3832</v>
      </c>
      <c r="Q993" s="76" t="s">
        <v>64</v>
      </c>
      <c r="R993" s="76" t="s">
        <v>1893</v>
      </c>
      <c r="S993" s="24"/>
      <c r="T993" s="24"/>
      <c r="U993" s="76" t="s">
        <v>3828</v>
      </c>
      <c r="V993" s="56"/>
      <c r="W993" s="56"/>
      <c r="X993" s="56"/>
      <c r="Y993" s="56"/>
      <c r="Z993" s="56"/>
      <c r="AA993" s="56"/>
      <c r="AB993" s="56"/>
      <c r="AC993" s="56"/>
    </row>
    <row r="994" spans="1:29" ht="15.75" customHeight="1">
      <c r="A994" s="39" t="s">
        <v>3833</v>
      </c>
      <c r="B994" s="107">
        <v>43733</v>
      </c>
      <c r="C994" s="109">
        <v>43733</v>
      </c>
      <c r="D994" s="76" t="s">
        <v>163</v>
      </c>
      <c r="E994" s="76" t="s">
        <v>163</v>
      </c>
      <c r="F994" s="147" t="s">
        <v>3302</v>
      </c>
      <c r="G994" s="399">
        <f>IFERROR(VLOOKUP(A994,醫療院所DATABASE!A:B,2,""),)</f>
        <v>0</v>
      </c>
      <c r="H994" s="64"/>
      <c r="I994" s="109">
        <v>43731</v>
      </c>
      <c r="J994" s="109">
        <v>43733</v>
      </c>
      <c r="K994" s="39" t="s">
        <v>3834</v>
      </c>
      <c r="L994" s="189" t="s">
        <v>3835</v>
      </c>
      <c r="M994" s="39" t="s">
        <v>3836</v>
      </c>
      <c r="N994" s="39" t="s">
        <v>62</v>
      </c>
      <c r="O994" s="56"/>
      <c r="P994" s="409" t="s">
        <v>3837</v>
      </c>
      <c r="Q994" s="76" t="s">
        <v>64</v>
      </c>
      <c r="R994" s="76" t="s">
        <v>1893</v>
      </c>
      <c r="S994" s="24"/>
      <c r="T994" s="24"/>
      <c r="U994" s="76" t="s">
        <v>3828</v>
      </c>
      <c r="V994" s="56"/>
      <c r="W994" s="56"/>
      <c r="X994" s="56"/>
      <c r="Y994" s="56"/>
      <c r="Z994" s="56"/>
      <c r="AA994" s="56"/>
      <c r="AB994" s="56"/>
      <c r="AC994" s="56"/>
    </row>
    <row r="995" spans="1:29" ht="15.75" customHeight="1">
      <c r="A995" s="39" t="s">
        <v>3838</v>
      </c>
      <c r="B995" s="107">
        <v>43733</v>
      </c>
      <c r="C995" s="109">
        <v>43733</v>
      </c>
      <c r="D995" s="76" t="s">
        <v>163</v>
      </c>
      <c r="E995" s="76" t="s">
        <v>163</v>
      </c>
      <c r="F995" s="147" t="s">
        <v>3302</v>
      </c>
      <c r="G995" s="399">
        <f>IFERROR(VLOOKUP(A995,醫療院所DATABASE!A:B,2,""),)</f>
        <v>0</v>
      </c>
      <c r="H995" s="64"/>
      <c r="I995" s="109">
        <v>43731</v>
      </c>
      <c r="J995" s="109">
        <v>43733</v>
      </c>
      <c r="K995" s="39" t="s">
        <v>3839</v>
      </c>
      <c r="L995" s="189" t="s">
        <v>3840</v>
      </c>
      <c r="M995" s="39" t="s">
        <v>3836</v>
      </c>
      <c r="N995" s="39" t="s">
        <v>62</v>
      </c>
      <c r="O995" s="56"/>
      <c r="P995" s="409" t="s">
        <v>3841</v>
      </c>
      <c r="Q995" s="76" t="s">
        <v>64</v>
      </c>
      <c r="R995" s="76" t="s">
        <v>1893</v>
      </c>
      <c r="S995" s="24"/>
      <c r="T995" s="24"/>
      <c r="U995" s="76" t="s">
        <v>3828</v>
      </c>
      <c r="V995" s="56"/>
      <c r="W995" s="56"/>
      <c r="X995" s="56"/>
      <c r="Y995" s="56"/>
      <c r="Z995" s="56"/>
      <c r="AA995" s="56"/>
      <c r="AB995" s="56"/>
      <c r="AC995" s="56"/>
    </row>
    <row r="996" spans="1:29" ht="15.75" customHeight="1">
      <c r="A996" s="39" t="s">
        <v>3842</v>
      </c>
      <c r="B996" s="107">
        <v>43733</v>
      </c>
      <c r="C996" s="109">
        <v>43733</v>
      </c>
      <c r="D996" s="76" t="s">
        <v>163</v>
      </c>
      <c r="E996" s="76" t="s">
        <v>163</v>
      </c>
      <c r="F996" s="190" t="s">
        <v>3302</v>
      </c>
      <c r="G996" s="399">
        <f>IFERROR(VLOOKUP(A996,醫療院所DATABASE!A:B,2,""),)</f>
        <v>0</v>
      </c>
      <c r="H996" s="64"/>
      <c r="I996" s="109">
        <v>43731</v>
      </c>
      <c r="J996" s="109">
        <v>43733</v>
      </c>
      <c r="K996" s="39" t="s">
        <v>3843</v>
      </c>
      <c r="L996" s="76" t="s">
        <v>3844</v>
      </c>
      <c r="M996" s="39" t="s">
        <v>3836</v>
      </c>
      <c r="N996" s="39" t="s">
        <v>62</v>
      </c>
      <c r="O996" s="24"/>
      <c r="P996" s="409" t="s">
        <v>3845</v>
      </c>
      <c r="Q996" s="76" t="s">
        <v>64</v>
      </c>
      <c r="R996" s="76" t="s">
        <v>1893</v>
      </c>
      <c r="S996" s="24"/>
      <c r="T996" s="24"/>
      <c r="U996" s="76" t="s">
        <v>3828</v>
      </c>
      <c r="V996" s="56"/>
      <c r="W996" s="56"/>
      <c r="X996" s="56"/>
      <c r="Y996" s="56"/>
      <c r="Z996" s="56"/>
      <c r="AA996" s="56"/>
      <c r="AB996" s="56"/>
      <c r="AC996" s="56"/>
    </row>
    <row r="997" spans="1:29" ht="15.75" customHeight="1">
      <c r="A997" s="39" t="s">
        <v>3846</v>
      </c>
      <c r="B997" s="107">
        <v>43733</v>
      </c>
      <c r="C997" s="109">
        <v>43733</v>
      </c>
      <c r="D997" s="76" t="s">
        <v>163</v>
      </c>
      <c r="E997" s="76" t="s">
        <v>163</v>
      </c>
      <c r="F997" s="190" t="s">
        <v>3302</v>
      </c>
      <c r="G997" s="399">
        <f>IFERROR(VLOOKUP(A997,醫療院所DATABASE!A:B,2,""),)</f>
        <v>0</v>
      </c>
      <c r="H997" s="64"/>
      <c r="I997" s="109">
        <v>43731</v>
      </c>
      <c r="J997" s="109">
        <v>43733</v>
      </c>
      <c r="K997" s="39" t="s">
        <v>3847</v>
      </c>
      <c r="L997" s="76" t="s">
        <v>3848</v>
      </c>
      <c r="M997" s="39" t="s">
        <v>3836</v>
      </c>
      <c r="N997" s="39" t="s">
        <v>62</v>
      </c>
      <c r="O997" s="24"/>
      <c r="P997" s="409" t="s">
        <v>3849</v>
      </c>
      <c r="Q997" s="76" t="s">
        <v>64</v>
      </c>
      <c r="R997" s="76" t="s">
        <v>1893</v>
      </c>
      <c r="S997" s="24"/>
      <c r="T997" s="24"/>
      <c r="U997" s="76" t="s">
        <v>3828</v>
      </c>
      <c r="V997" s="56"/>
      <c r="W997" s="56"/>
      <c r="X997" s="56"/>
      <c r="Y997" s="56"/>
      <c r="Z997" s="56"/>
      <c r="AA997" s="56"/>
      <c r="AB997" s="56"/>
      <c r="AC997" s="56"/>
    </row>
    <row r="998" spans="1:29" ht="15.75" customHeight="1">
      <c r="A998" s="39" t="s">
        <v>3850</v>
      </c>
      <c r="B998" s="107">
        <v>43734</v>
      </c>
      <c r="C998" s="109">
        <v>43733</v>
      </c>
      <c r="D998" s="76" t="s">
        <v>53</v>
      </c>
      <c r="E998" s="76" t="s">
        <v>53</v>
      </c>
      <c r="F998" s="39" t="s">
        <v>1927</v>
      </c>
      <c r="G998" s="399">
        <f>IFERROR(VLOOKUP(A998,醫療院所DATABASE!A:B,2,""),)</f>
        <v>0</v>
      </c>
      <c r="H998" s="64"/>
      <c r="I998" s="109">
        <v>43732</v>
      </c>
      <c r="J998" s="109">
        <v>43734</v>
      </c>
      <c r="K998" s="39" t="s">
        <v>3851</v>
      </c>
      <c r="L998" s="76" t="s">
        <v>1235</v>
      </c>
      <c r="M998" s="155" t="s">
        <v>3594</v>
      </c>
      <c r="N998" s="39" t="s">
        <v>51</v>
      </c>
      <c r="O998" s="24"/>
      <c r="P998" s="409" t="s">
        <v>3852</v>
      </c>
      <c r="Q998" s="76" t="s">
        <v>1931</v>
      </c>
      <c r="R998" s="76" t="s">
        <v>1885</v>
      </c>
      <c r="S998" s="24"/>
      <c r="T998" s="24"/>
      <c r="U998" s="64"/>
      <c r="V998" s="56"/>
      <c r="W998" s="56"/>
      <c r="X998" s="56"/>
      <c r="Y998" s="56"/>
      <c r="Z998" s="56"/>
      <c r="AA998" s="56"/>
      <c r="AB998" s="56"/>
      <c r="AC998" s="56"/>
    </row>
    <row r="999" spans="1:29" ht="15.75" customHeight="1">
      <c r="A999" s="39" t="s">
        <v>3853</v>
      </c>
      <c r="B999" s="107">
        <v>43734</v>
      </c>
      <c r="C999" s="109">
        <v>43733</v>
      </c>
      <c r="D999" s="82" t="s">
        <v>522</v>
      </c>
      <c r="E999" s="76" t="s">
        <v>53</v>
      </c>
      <c r="F999" s="39" t="s">
        <v>1569</v>
      </c>
      <c r="G999" s="399">
        <f>IFERROR(VLOOKUP(A999,醫療院所DATABASE!A:B,2,""),)</f>
        <v>0</v>
      </c>
      <c r="H999" s="76" t="s">
        <v>3854</v>
      </c>
      <c r="I999" s="109">
        <v>43732</v>
      </c>
      <c r="J999" s="109">
        <v>43734</v>
      </c>
      <c r="K999" s="39" t="s">
        <v>3855</v>
      </c>
      <c r="L999" s="76" t="s">
        <v>3856</v>
      </c>
      <c r="M999" s="155" t="s">
        <v>3594</v>
      </c>
      <c r="N999" s="39" t="s">
        <v>51</v>
      </c>
      <c r="O999" s="24"/>
      <c r="P999" s="409" t="s">
        <v>3857</v>
      </c>
      <c r="Q999" s="76" t="s">
        <v>64</v>
      </c>
      <c r="R999" s="76" t="s">
        <v>1885</v>
      </c>
      <c r="S999" s="24"/>
      <c r="T999" s="24"/>
      <c r="U999" s="76" t="s">
        <v>3858</v>
      </c>
      <c r="V999" s="56"/>
      <c r="W999" s="56"/>
      <c r="X999" s="56"/>
      <c r="Y999" s="56"/>
      <c r="Z999" s="56"/>
      <c r="AA999" s="56"/>
      <c r="AB999" s="56"/>
      <c r="AC999" s="56"/>
    </row>
    <row r="1000" spans="1:29" ht="15.75" customHeight="1">
      <c r="A1000" s="39" t="s">
        <v>3853</v>
      </c>
      <c r="B1000" s="107">
        <v>43734</v>
      </c>
      <c r="C1000" s="109">
        <v>43733</v>
      </c>
      <c r="D1000" s="82" t="s">
        <v>522</v>
      </c>
      <c r="E1000" s="76" t="s">
        <v>53</v>
      </c>
      <c r="F1000" s="39" t="s">
        <v>1569</v>
      </c>
      <c r="G1000" s="399">
        <f>IFERROR(VLOOKUP(A1000,醫療院所DATABASE!A:B,2,""),)</f>
        <v>0</v>
      </c>
      <c r="H1000" s="76" t="s">
        <v>3859</v>
      </c>
      <c r="I1000" s="109">
        <v>43732</v>
      </c>
      <c r="J1000" s="109">
        <v>43734</v>
      </c>
      <c r="K1000" s="39" t="s">
        <v>3860</v>
      </c>
      <c r="L1000" s="76" t="s">
        <v>3861</v>
      </c>
      <c r="M1000" s="155" t="s">
        <v>3594</v>
      </c>
      <c r="N1000" s="39" t="s">
        <v>62</v>
      </c>
      <c r="O1000" s="24"/>
      <c r="P1000" s="409" t="s">
        <v>3862</v>
      </c>
      <c r="Q1000" s="76" t="s">
        <v>64</v>
      </c>
      <c r="R1000" s="76" t="s">
        <v>1885</v>
      </c>
      <c r="S1000" s="24"/>
      <c r="T1000" s="24"/>
      <c r="U1000" s="76" t="s">
        <v>3858</v>
      </c>
      <c r="V1000" s="56"/>
      <c r="W1000" s="56"/>
      <c r="X1000" s="56"/>
      <c r="Y1000" s="56"/>
      <c r="Z1000" s="56"/>
      <c r="AA1000" s="56"/>
      <c r="AB1000" s="56"/>
      <c r="AC1000" s="56"/>
    </row>
    <row r="1001" spans="1:29" ht="15.75" customHeight="1">
      <c r="A1001" s="39" t="s">
        <v>3853</v>
      </c>
      <c r="B1001" s="107">
        <v>43734</v>
      </c>
      <c r="C1001" s="109">
        <v>43733</v>
      </c>
      <c r="D1001" s="82" t="s">
        <v>522</v>
      </c>
      <c r="E1001" s="76" t="s">
        <v>53</v>
      </c>
      <c r="F1001" s="39" t="s">
        <v>1569</v>
      </c>
      <c r="G1001" s="399">
        <f>IFERROR(VLOOKUP(A1001,醫療院所DATABASE!A:B,2,""),)</f>
        <v>0</v>
      </c>
      <c r="H1001" s="76"/>
      <c r="I1001" s="109">
        <v>43732</v>
      </c>
      <c r="J1001" s="109">
        <v>43734</v>
      </c>
      <c r="K1001" s="39" t="s">
        <v>3863</v>
      </c>
      <c r="L1001" s="76" t="s">
        <v>3864</v>
      </c>
      <c r="M1001" s="155" t="s">
        <v>3594</v>
      </c>
      <c r="N1001" s="39" t="s">
        <v>62</v>
      </c>
      <c r="O1001" s="24"/>
      <c r="P1001" s="409" t="s">
        <v>3865</v>
      </c>
      <c r="Q1001" s="76" t="s">
        <v>64</v>
      </c>
      <c r="R1001" s="76" t="s">
        <v>1885</v>
      </c>
      <c r="S1001" s="24"/>
      <c r="T1001" s="24"/>
      <c r="U1001" s="76" t="s">
        <v>3858</v>
      </c>
      <c r="V1001" s="56"/>
      <c r="W1001" s="56"/>
      <c r="X1001" s="56"/>
      <c r="Y1001" s="56"/>
      <c r="Z1001" s="56"/>
      <c r="AA1001" s="56"/>
      <c r="AB1001" s="56"/>
      <c r="AC1001" s="56"/>
    </row>
    <row r="1002" spans="1:29" ht="15.75" customHeight="1">
      <c r="A1002" s="39" t="s">
        <v>3866</v>
      </c>
      <c r="B1002" s="107">
        <v>43734</v>
      </c>
      <c r="C1002" s="109">
        <v>43746</v>
      </c>
      <c r="D1002" s="76" t="s">
        <v>543</v>
      </c>
      <c r="E1002" s="174" t="s">
        <v>543</v>
      </c>
      <c r="F1002" s="39" t="s">
        <v>2304</v>
      </c>
      <c r="G1002" s="399">
        <f>IFERROR(VLOOKUP(A1002,醫療院所DATABASE!A:B,2,""),)</f>
        <v>0</v>
      </c>
      <c r="H1002" s="64"/>
      <c r="I1002" s="109">
        <v>43732</v>
      </c>
      <c r="J1002" s="109">
        <v>43734</v>
      </c>
      <c r="K1002" s="39" t="s">
        <v>3867</v>
      </c>
      <c r="L1002" s="76" t="s">
        <v>3868</v>
      </c>
      <c r="M1002" s="155" t="s">
        <v>3594</v>
      </c>
      <c r="N1002" s="39" t="s">
        <v>51</v>
      </c>
      <c r="O1002" s="24"/>
      <c r="P1002" s="409" t="s">
        <v>3869</v>
      </c>
      <c r="Q1002" s="76" t="s">
        <v>1931</v>
      </c>
      <c r="R1002" s="76" t="s">
        <v>1885</v>
      </c>
      <c r="S1002" s="24"/>
      <c r="T1002" s="24"/>
      <c r="U1002" s="76" t="s">
        <v>2709</v>
      </c>
      <c r="V1002" s="56"/>
      <c r="W1002" s="56"/>
      <c r="X1002" s="56"/>
      <c r="Y1002" s="56"/>
      <c r="Z1002" s="56"/>
      <c r="AA1002" s="56"/>
      <c r="AB1002" s="56"/>
      <c r="AC1002" s="56"/>
    </row>
    <row r="1003" spans="1:29" ht="15.75" customHeight="1">
      <c r="A1003" s="39" t="s">
        <v>3870</v>
      </c>
      <c r="B1003" s="107"/>
      <c r="C1003" s="109">
        <v>43746</v>
      </c>
      <c r="D1003" s="76" t="s">
        <v>665</v>
      </c>
      <c r="E1003" s="174" t="s">
        <v>665</v>
      </c>
      <c r="F1003" s="39" t="s">
        <v>2304</v>
      </c>
      <c r="G1003" s="399">
        <f>IFERROR(VLOOKUP(A1003,醫療院所DATABASE!A:B,2,""),)</f>
        <v>0</v>
      </c>
      <c r="H1003" s="64"/>
      <c r="I1003" s="109">
        <v>43732</v>
      </c>
      <c r="J1003" s="109">
        <v>43734</v>
      </c>
      <c r="K1003" s="39" t="s">
        <v>3871</v>
      </c>
      <c r="L1003" s="76" t="s">
        <v>3872</v>
      </c>
      <c r="M1003" s="155" t="s">
        <v>3594</v>
      </c>
      <c r="N1003" s="39" t="s">
        <v>62</v>
      </c>
      <c r="O1003" s="24"/>
      <c r="P1003" s="409" t="s">
        <v>3873</v>
      </c>
      <c r="Q1003" s="76" t="s">
        <v>64</v>
      </c>
      <c r="R1003" s="76" t="s">
        <v>1885</v>
      </c>
      <c r="S1003" s="24"/>
      <c r="T1003" s="24"/>
      <c r="U1003" s="76" t="s">
        <v>2709</v>
      </c>
      <c r="V1003" s="56"/>
      <c r="W1003" s="56"/>
      <c r="X1003" s="56"/>
      <c r="Y1003" s="56"/>
      <c r="Z1003" s="56"/>
      <c r="AA1003" s="56"/>
      <c r="AB1003" s="56"/>
      <c r="AC1003" s="56"/>
    </row>
    <row r="1004" spans="1:29" ht="15.75" customHeight="1">
      <c r="A1004" s="39" t="s">
        <v>3870</v>
      </c>
      <c r="B1004" s="107"/>
      <c r="C1004" s="109">
        <v>43746</v>
      </c>
      <c r="D1004" s="76" t="s">
        <v>665</v>
      </c>
      <c r="E1004" s="174" t="s">
        <v>665</v>
      </c>
      <c r="F1004" s="39" t="s">
        <v>2304</v>
      </c>
      <c r="G1004" s="399">
        <f>IFERROR(VLOOKUP(A1004,醫療院所DATABASE!A:B,2,""),)</f>
        <v>0</v>
      </c>
      <c r="H1004" s="64"/>
      <c r="I1004" s="109">
        <v>43732</v>
      </c>
      <c r="J1004" s="109">
        <v>43734</v>
      </c>
      <c r="K1004" s="39" t="s">
        <v>3874</v>
      </c>
      <c r="L1004" s="76" t="s">
        <v>3875</v>
      </c>
      <c r="M1004" s="155" t="s">
        <v>3594</v>
      </c>
      <c r="N1004" s="39" t="s">
        <v>51</v>
      </c>
      <c r="O1004" s="24"/>
      <c r="P1004" s="409" t="s">
        <v>3876</v>
      </c>
      <c r="Q1004" s="76" t="s">
        <v>64</v>
      </c>
      <c r="R1004" s="76" t="s">
        <v>1885</v>
      </c>
      <c r="S1004" s="24"/>
      <c r="T1004" s="24"/>
      <c r="U1004" s="76" t="s">
        <v>2709</v>
      </c>
      <c r="V1004" s="56"/>
      <c r="W1004" s="56"/>
      <c r="X1004" s="56"/>
      <c r="Y1004" s="56"/>
      <c r="Z1004" s="56"/>
      <c r="AA1004" s="56"/>
      <c r="AB1004" s="56"/>
      <c r="AC1004" s="56"/>
    </row>
    <row r="1005" spans="1:29" ht="15.75" customHeight="1">
      <c r="A1005" s="39" t="s">
        <v>3877</v>
      </c>
      <c r="B1005" s="107">
        <v>43734</v>
      </c>
      <c r="C1005" s="109">
        <v>43734</v>
      </c>
      <c r="D1005" s="76" t="s">
        <v>665</v>
      </c>
      <c r="E1005" s="174" t="s">
        <v>665</v>
      </c>
      <c r="F1005" s="39" t="s">
        <v>3878</v>
      </c>
      <c r="G1005" s="399">
        <f>IFERROR(VLOOKUP(A1005,醫療院所DATABASE!A:B,2,""),)</f>
        <v>0</v>
      </c>
      <c r="H1005" s="64"/>
      <c r="I1005" s="109">
        <v>43732</v>
      </c>
      <c r="J1005" s="109">
        <v>43734</v>
      </c>
      <c r="K1005" s="39" t="s">
        <v>3879</v>
      </c>
      <c r="L1005" s="76" t="s">
        <v>3880</v>
      </c>
      <c r="M1005" s="39" t="s">
        <v>3557</v>
      </c>
      <c r="N1005" s="39" t="s">
        <v>51</v>
      </c>
      <c r="O1005" s="24"/>
      <c r="P1005" s="409" t="s">
        <v>3881</v>
      </c>
      <c r="Q1005" s="76" t="s">
        <v>64</v>
      </c>
      <c r="R1005" s="76" t="s">
        <v>1885</v>
      </c>
      <c r="S1005" s="24"/>
      <c r="T1005" s="24"/>
      <c r="U1005" s="76" t="s">
        <v>3882</v>
      </c>
      <c r="V1005" s="56"/>
      <c r="W1005" s="56"/>
      <c r="X1005" s="56"/>
      <c r="Y1005" s="56"/>
      <c r="Z1005" s="56"/>
      <c r="AA1005" s="56"/>
      <c r="AB1005" s="56"/>
      <c r="AC1005" s="56"/>
    </row>
    <row r="1006" spans="1:29" ht="15.75" customHeight="1">
      <c r="A1006" s="39" t="s">
        <v>3877</v>
      </c>
      <c r="B1006" s="107">
        <v>43734</v>
      </c>
      <c r="C1006" s="109">
        <v>43734</v>
      </c>
      <c r="D1006" s="76" t="s">
        <v>665</v>
      </c>
      <c r="E1006" s="174" t="s">
        <v>665</v>
      </c>
      <c r="F1006" s="39" t="s">
        <v>3878</v>
      </c>
      <c r="G1006" s="399">
        <f>IFERROR(VLOOKUP(A1006,醫療院所DATABASE!A:B,2,""),)</f>
        <v>0</v>
      </c>
      <c r="H1006" s="64"/>
      <c r="I1006" s="109">
        <v>43732</v>
      </c>
      <c r="J1006" s="109">
        <v>43734</v>
      </c>
      <c r="K1006" s="39" t="s">
        <v>3879</v>
      </c>
      <c r="L1006" s="76" t="s">
        <v>3880</v>
      </c>
      <c r="M1006" s="39" t="s">
        <v>3883</v>
      </c>
      <c r="N1006" s="39" t="s">
        <v>51</v>
      </c>
      <c r="O1006" s="24"/>
      <c r="P1006" s="409" t="s">
        <v>3884</v>
      </c>
      <c r="Q1006" s="76" t="s">
        <v>64</v>
      </c>
      <c r="R1006" s="76" t="s">
        <v>1885</v>
      </c>
      <c r="S1006" s="24"/>
      <c r="T1006" s="24"/>
      <c r="U1006" s="76" t="s">
        <v>3882</v>
      </c>
      <c r="V1006" s="56"/>
      <c r="W1006" s="56"/>
      <c r="X1006" s="56"/>
      <c r="Y1006" s="56"/>
      <c r="Z1006" s="56"/>
      <c r="AA1006" s="56"/>
      <c r="AB1006" s="56"/>
      <c r="AC1006" s="56"/>
    </row>
    <row r="1007" spans="1:29" ht="15.75" customHeight="1">
      <c r="A1007" s="39" t="s">
        <v>3152</v>
      </c>
      <c r="B1007" s="107">
        <v>43762</v>
      </c>
      <c r="C1007" s="109">
        <v>43763</v>
      </c>
      <c r="D1007" s="76" t="s">
        <v>1542</v>
      </c>
      <c r="E1007" s="76" t="s">
        <v>53</v>
      </c>
      <c r="F1007" s="39" t="s">
        <v>3153</v>
      </c>
      <c r="G1007" s="399">
        <f>IFERROR(VLOOKUP(A1007,醫療院所DATABASE!A:B,2,""),)</f>
        <v>0</v>
      </c>
      <c r="H1007" s="64"/>
      <c r="I1007" s="109">
        <v>43734</v>
      </c>
      <c r="J1007" s="109">
        <v>43738</v>
      </c>
      <c r="K1007" s="39" t="s">
        <v>3885</v>
      </c>
      <c r="L1007" s="76" t="s">
        <v>3886</v>
      </c>
      <c r="M1007" s="39" t="s">
        <v>3887</v>
      </c>
      <c r="N1007" s="39" t="s">
        <v>62</v>
      </c>
      <c r="O1007" s="24"/>
      <c r="P1007" s="409" t="s">
        <v>3888</v>
      </c>
      <c r="Q1007" s="76" t="s">
        <v>64</v>
      </c>
      <c r="R1007" s="76" t="s">
        <v>1885</v>
      </c>
      <c r="S1007" s="24"/>
      <c r="T1007" s="24"/>
      <c r="U1007" s="76" t="s">
        <v>3889</v>
      </c>
      <c r="V1007" s="56"/>
      <c r="W1007" s="56"/>
      <c r="X1007" s="56"/>
      <c r="Y1007" s="56"/>
      <c r="Z1007" s="56"/>
      <c r="AA1007" s="56"/>
      <c r="AB1007" s="56"/>
      <c r="AC1007" s="56"/>
    </row>
    <row r="1008" spans="1:29" ht="15.75" customHeight="1">
      <c r="A1008" s="39" t="s">
        <v>3890</v>
      </c>
      <c r="B1008" s="107">
        <v>43763</v>
      </c>
      <c r="C1008" s="109">
        <v>43763</v>
      </c>
      <c r="D1008" s="76" t="s">
        <v>1542</v>
      </c>
      <c r="E1008" s="76" t="s">
        <v>53</v>
      </c>
      <c r="F1008" s="39" t="s">
        <v>3153</v>
      </c>
      <c r="G1008" s="399">
        <f>IFERROR(VLOOKUP(A1008,醫療院所DATABASE!A:B,2,""),)</f>
        <v>0</v>
      </c>
      <c r="H1008" s="64"/>
      <c r="I1008" s="109">
        <v>43734</v>
      </c>
      <c r="J1008" s="109">
        <v>43738</v>
      </c>
      <c r="K1008" s="39" t="s">
        <v>3891</v>
      </c>
      <c r="L1008" s="76" t="s">
        <v>3892</v>
      </c>
      <c r="M1008" s="39" t="s">
        <v>3893</v>
      </c>
      <c r="N1008" s="39" t="s">
        <v>62</v>
      </c>
      <c r="O1008" s="24"/>
      <c r="P1008" s="409" t="s">
        <v>3894</v>
      </c>
      <c r="Q1008" s="76" t="s">
        <v>64</v>
      </c>
      <c r="R1008" s="76" t="s">
        <v>1885</v>
      </c>
      <c r="S1008" s="24"/>
      <c r="T1008" s="24"/>
      <c r="U1008" s="76" t="s">
        <v>3889</v>
      </c>
      <c r="V1008" s="56"/>
      <c r="W1008" s="56"/>
      <c r="X1008" s="56"/>
      <c r="Y1008" s="56"/>
      <c r="Z1008" s="56"/>
      <c r="AA1008" s="56"/>
      <c r="AB1008" s="56"/>
      <c r="AC1008" s="56"/>
    </row>
    <row r="1009" spans="1:29" ht="15.75" customHeight="1">
      <c r="A1009" s="39" t="s">
        <v>2263</v>
      </c>
      <c r="B1009" s="107">
        <v>43742</v>
      </c>
      <c r="C1009" s="109">
        <v>43746</v>
      </c>
      <c r="D1009" s="76" t="s">
        <v>543</v>
      </c>
      <c r="E1009" s="76" t="s">
        <v>543</v>
      </c>
      <c r="F1009" s="39" t="s">
        <v>2264</v>
      </c>
      <c r="G1009" s="399">
        <f>IFERROR(VLOOKUP(A1009,醫療院所DATABASE!A:B,2,""),)</f>
        <v>0</v>
      </c>
      <c r="H1009" s="64"/>
      <c r="I1009" s="109">
        <v>43734</v>
      </c>
      <c r="J1009" s="109">
        <v>43738</v>
      </c>
      <c r="K1009" s="39" t="s">
        <v>3895</v>
      </c>
      <c r="L1009" s="76" t="s">
        <v>3896</v>
      </c>
      <c r="M1009" s="39" t="s">
        <v>3636</v>
      </c>
      <c r="N1009" s="39" t="s">
        <v>51</v>
      </c>
      <c r="O1009" s="24"/>
      <c r="P1009" s="409" t="s">
        <v>3897</v>
      </c>
      <c r="Q1009" s="76" t="s">
        <v>64</v>
      </c>
      <c r="R1009" s="76" t="s">
        <v>1885</v>
      </c>
      <c r="S1009" s="24"/>
      <c r="T1009" s="24"/>
      <c r="U1009" s="64"/>
      <c r="V1009" s="56"/>
      <c r="W1009" s="56"/>
      <c r="X1009" s="56"/>
      <c r="Y1009" s="56"/>
      <c r="Z1009" s="56"/>
      <c r="AA1009" s="56"/>
      <c r="AB1009" s="56"/>
      <c r="AC1009" s="56"/>
    </row>
    <row r="1010" spans="1:29" ht="15.75" customHeight="1">
      <c r="A1010" s="39" t="s">
        <v>3898</v>
      </c>
      <c r="B1010" s="107">
        <v>43747</v>
      </c>
      <c r="C1010" s="109">
        <v>43747</v>
      </c>
      <c r="D1010" s="76" t="s">
        <v>366</v>
      </c>
      <c r="E1010" s="76" t="s">
        <v>53</v>
      </c>
      <c r="F1010" s="39" t="s">
        <v>1761</v>
      </c>
      <c r="G1010" s="399">
        <f>IFERROR(VLOOKUP(A1010,醫療院所DATABASE!A:B,2,""),)</f>
        <v>0</v>
      </c>
      <c r="H1010" s="76" t="s">
        <v>3899</v>
      </c>
      <c r="I1010" s="109">
        <v>43735</v>
      </c>
      <c r="J1010" s="109">
        <v>43739</v>
      </c>
      <c r="K1010" s="39" t="s">
        <v>3900</v>
      </c>
      <c r="L1010" s="76" t="s">
        <v>3901</v>
      </c>
      <c r="M1010" s="155" t="s">
        <v>3594</v>
      </c>
      <c r="N1010" s="39" t="s">
        <v>51</v>
      </c>
      <c r="O1010" s="24"/>
      <c r="P1010" s="409" t="s">
        <v>3902</v>
      </c>
      <c r="Q1010" s="76" t="s">
        <v>64</v>
      </c>
      <c r="R1010" s="76" t="s">
        <v>1885</v>
      </c>
      <c r="S1010" s="24"/>
      <c r="T1010" s="24"/>
      <c r="U1010" s="76" t="s">
        <v>3903</v>
      </c>
      <c r="V1010" s="56"/>
      <c r="W1010" s="56"/>
      <c r="X1010" s="56"/>
      <c r="Y1010" s="56"/>
      <c r="Z1010" s="56"/>
      <c r="AA1010" s="56"/>
      <c r="AB1010" s="56"/>
      <c r="AC1010" s="56"/>
    </row>
    <row r="1011" spans="1:29" ht="15.75" customHeight="1">
      <c r="A1011" s="39" t="s">
        <v>3898</v>
      </c>
      <c r="B1011" s="107">
        <v>43742</v>
      </c>
      <c r="C1011" s="109">
        <v>43747</v>
      </c>
      <c r="D1011" s="76" t="s">
        <v>366</v>
      </c>
      <c r="E1011" s="76" t="s">
        <v>53</v>
      </c>
      <c r="F1011" s="39" t="s">
        <v>1761</v>
      </c>
      <c r="G1011" s="399">
        <f>IFERROR(VLOOKUP(A1011,醫療院所DATABASE!A:B,2,""),)</f>
        <v>0</v>
      </c>
      <c r="H1011" s="76" t="s">
        <v>3901</v>
      </c>
      <c r="I1011" s="109">
        <v>43735</v>
      </c>
      <c r="J1011" s="109">
        <v>43739</v>
      </c>
      <c r="K1011" s="39" t="s">
        <v>3904</v>
      </c>
      <c r="L1011" s="76" t="s">
        <v>3905</v>
      </c>
      <c r="M1011" s="155" t="s">
        <v>3594</v>
      </c>
      <c r="N1011" s="39" t="s">
        <v>62</v>
      </c>
      <c r="O1011" s="24"/>
      <c r="P1011" s="409" t="s">
        <v>3906</v>
      </c>
      <c r="Q1011" s="76" t="s">
        <v>64</v>
      </c>
      <c r="R1011" s="76" t="s">
        <v>1885</v>
      </c>
      <c r="S1011" s="24"/>
      <c r="T1011" s="24"/>
      <c r="U1011" s="64"/>
      <c r="V1011" s="56"/>
      <c r="W1011" s="56"/>
      <c r="X1011" s="56"/>
      <c r="Y1011" s="56"/>
      <c r="Z1011" s="56"/>
      <c r="AA1011" s="56"/>
      <c r="AB1011" s="56"/>
      <c r="AC1011" s="56"/>
    </row>
    <row r="1012" spans="1:29" ht="15.75" customHeight="1">
      <c r="A1012" s="39" t="s">
        <v>3898</v>
      </c>
      <c r="B1012" s="107">
        <v>43742</v>
      </c>
      <c r="C1012" s="109">
        <v>43746</v>
      </c>
      <c r="D1012" s="76" t="s">
        <v>366</v>
      </c>
      <c r="E1012" s="76" t="s">
        <v>53</v>
      </c>
      <c r="F1012" s="39" t="s">
        <v>1761</v>
      </c>
      <c r="G1012" s="399">
        <f>IFERROR(VLOOKUP(A1012,醫療院所DATABASE!A:B,2,""),)</f>
        <v>0</v>
      </c>
      <c r="H1012" s="76" t="s">
        <v>3907</v>
      </c>
      <c r="I1012" s="109">
        <v>43735</v>
      </c>
      <c r="J1012" s="109">
        <v>43739</v>
      </c>
      <c r="K1012" s="39" t="s">
        <v>3908</v>
      </c>
      <c r="L1012" s="76" t="s">
        <v>3909</v>
      </c>
      <c r="M1012" s="155" t="s">
        <v>3594</v>
      </c>
      <c r="N1012" s="39" t="s">
        <v>62</v>
      </c>
      <c r="O1012" s="24"/>
      <c r="P1012" s="409" t="s">
        <v>3910</v>
      </c>
      <c r="Q1012" s="76" t="s">
        <v>64</v>
      </c>
      <c r="R1012" s="76" t="s">
        <v>1885</v>
      </c>
      <c r="S1012" s="24"/>
      <c r="T1012" s="24"/>
      <c r="U1012" s="64"/>
      <c r="V1012" s="56"/>
      <c r="W1012" s="56"/>
      <c r="X1012" s="56"/>
      <c r="Y1012" s="56"/>
      <c r="Z1012" s="56"/>
      <c r="AA1012" s="56"/>
      <c r="AB1012" s="56"/>
      <c r="AC1012" s="56"/>
    </row>
    <row r="1013" spans="1:29" ht="15.75" customHeight="1">
      <c r="A1013" s="39" t="s">
        <v>3898</v>
      </c>
      <c r="B1013" s="107">
        <v>43742</v>
      </c>
      <c r="C1013" s="109">
        <v>43746</v>
      </c>
      <c r="D1013" s="76" t="s">
        <v>366</v>
      </c>
      <c r="E1013" s="76" t="s">
        <v>53</v>
      </c>
      <c r="F1013" s="39" t="s">
        <v>1761</v>
      </c>
      <c r="G1013" s="399">
        <f>IFERROR(VLOOKUP(A1013,醫療院所DATABASE!A:B,2,""),)</f>
        <v>0</v>
      </c>
      <c r="H1013" s="76" t="s">
        <v>3911</v>
      </c>
      <c r="I1013" s="109">
        <v>43735</v>
      </c>
      <c r="J1013" s="109">
        <v>43739</v>
      </c>
      <c r="K1013" s="39" t="s">
        <v>3912</v>
      </c>
      <c r="L1013" s="76" t="s">
        <v>3913</v>
      </c>
      <c r="M1013" s="155" t="s">
        <v>3594</v>
      </c>
      <c r="N1013" s="39" t="s">
        <v>62</v>
      </c>
      <c r="O1013" s="24"/>
      <c r="P1013" s="409" t="s">
        <v>3914</v>
      </c>
      <c r="Q1013" s="76" t="s">
        <v>64</v>
      </c>
      <c r="R1013" s="76" t="s">
        <v>1885</v>
      </c>
      <c r="S1013" s="24"/>
      <c r="T1013" s="24"/>
      <c r="U1013" s="64"/>
      <c r="V1013" s="56"/>
      <c r="W1013" s="56"/>
      <c r="X1013" s="56"/>
      <c r="Y1013" s="56"/>
      <c r="Z1013" s="56"/>
      <c r="AA1013" s="56"/>
      <c r="AB1013" s="56"/>
      <c r="AC1013" s="56"/>
    </row>
    <row r="1014" spans="1:29" ht="15.75" customHeight="1">
      <c r="A1014" s="39" t="s">
        <v>3898</v>
      </c>
      <c r="B1014" s="107">
        <v>43742</v>
      </c>
      <c r="C1014" s="130">
        <v>43746</v>
      </c>
      <c r="D1014" s="76" t="s">
        <v>366</v>
      </c>
      <c r="E1014" s="76" t="s">
        <v>53</v>
      </c>
      <c r="F1014" s="39" t="s">
        <v>1761</v>
      </c>
      <c r="G1014" s="399">
        <f>IFERROR(VLOOKUP(A1014,醫療院所DATABASE!A:B,2,""),)</f>
        <v>0</v>
      </c>
      <c r="H1014" s="76" t="s">
        <v>3915</v>
      </c>
      <c r="I1014" s="109">
        <v>43735</v>
      </c>
      <c r="J1014" s="109">
        <v>43739</v>
      </c>
      <c r="K1014" s="39" t="s">
        <v>3916</v>
      </c>
      <c r="L1014" s="76" t="s">
        <v>3917</v>
      </c>
      <c r="M1014" s="155" t="s">
        <v>3594</v>
      </c>
      <c r="N1014" s="39" t="s">
        <v>62</v>
      </c>
      <c r="O1014" s="24"/>
      <c r="P1014" s="409" t="s">
        <v>3918</v>
      </c>
      <c r="Q1014" s="76" t="s">
        <v>64</v>
      </c>
      <c r="R1014" s="76" t="s">
        <v>1885</v>
      </c>
      <c r="S1014" s="24"/>
      <c r="T1014" s="24"/>
      <c r="U1014" s="64"/>
      <c r="V1014" s="56"/>
      <c r="W1014" s="56"/>
      <c r="X1014" s="56"/>
      <c r="Y1014" s="56"/>
      <c r="Z1014" s="56"/>
      <c r="AA1014" s="56"/>
      <c r="AB1014" s="56"/>
      <c r="AC1014" s="56"/>
    </row>
    <row r="1015" spans="1:29" ht="15.75" customHeight="1">
      <c r="A1015" s="39" t="s">
        <v>3898</v>
      </c>
      <c r="B1015" s="107">
        <v>43740</v>
      </c>
      <c r="C1015" s="109">
        <v>43746</v>
      </c>
      <c r="D1015" s="76" t="s">
        <v>366</v>
      </c>
      <c r="E1015" s="76" t="s">
        <v>53</v>
      </c>
      <c r="F1015" s="39" t="s">
        <v>1761</v>
      </c>
      <c r="G1015" s="399">
        <f>IFERROR(VLOOKUP(A1015,醫療院所DATABASE!A:B,2,""),)</f>
        <v>0</v>
      </c>
      <c r="H1015" s="76" t="s">
        <v>3917</v>
      </c>
      <c r="I1015" s="109">
        <v>43735</v>
      </c>
      <c r="J1015" s="109">
        <v>43739</v>
      </c>
      <c r="K1015" s="39" t="s">
        <v>3919</v>
      </c>
      <c r="L1015" s="76" t="s">
        <v>3915</v>
      </c>
      <c r="M1015" s="155" t="s">
        <v>3594</v>
      </c>
      <c r="N1015" s="39" t="s">
        <v>62</v>
      </c>
      <c r="O1015" s="24"/>
      <c r="P1015" s="409" t="s">
        <v>3920</v>
      </c>
      <c r="Q1015" s="76" t="s">
        <v>64</v>
      </c>
      <c r="R1015" s="76" t="s">
        <v>1885</v>
      </c>
      <c r="S1015" s="24"/>
      <c r="T1015" s="24"/>
      <c r="U1015" s="64"/>
      <c r="V1015" s="56"/>
      <c r="W1015" s="56"/>
      <c r="X1015" s="56"/>
      <c r="Y1015" s="56"/>
      <c r="Z1015" s="56"/>
      <c r="AA1015" s="56"/>
      <c r="AB1015" s="56"/>
      <c r="AC1015" s="56"/>
    </row>
    <row r="1016" spans="1:29" ht="15.75" customHeight="1">
      <c r="A1016" s="39" t="s">
        <v>3898</v>
      </c>
      <c r="B1016" s="107">
        <v>43742</v>
      </c>
      <c r="C1016" s="130">
        <v>43746</v>
      </c>
      <c r="D1016" s="76" t="s">
        <v>366</v>
      </c>
      <c r="E1016" s="76" t="s">
        <v>53</v>
      </c>
      <c r="F1016" s="39" t="s">
        <v>1761</v>
      </c>
      <c r="G1016" s="399">
        <f>IFERROR(VLOOKUP(A1016,醫療院所DATABASE!A:B,2,""),)</f>
        <v>0</v>
      </c>
      <c r="H1016" s="76" t="s">
        <v>3921</v>
      </c>
      <c r="I1016" s="109">
        <v>43735</v>
      </c>
      <c r="J1016" s="109">
        <v>43739</v>
      </c>
      <c r="K1016" s="39" t="s">
        <v>3922</v>
      </c>
      <c r="L1016" s="76" t="s">
        <v>3923</v>
      </c>
      <c r="M1016" s="155" t="s">
        <v>3594</v>
      </c>
      <c r="N1016" s="39" t="s">
        <v>51</v>
      </c>
      <c r="O1016" s="24"/>
      <c r="P1016" s="409" t="s">
        <v>3924</v>
      </c>
      <c r="Q1016" s="76" t="s">
        <v>64</v>
      </c>
      <c r="R1016" s="76" t="s">
        <v>1885</v>
      </c>
      <c r="S1016" s="24"/>
      <c r="T1016" s="24"/>
      <c r="U1016" s="64"/>
      <c r="V1016" s="56"/>
      <c r="W1016" s="56"/>
      <c r="X1016" s="56"/>
      <c r="Y1016" s="56"/>
      <c r="Z1016" s="56"/>
      <c r="AA1016" s="56"/>
      <c r="AB1016" s="56"/>
      <c r="AC1016" s="56"/>
    </row>
    <row r="1017" spans="1:29" ht="15.75" customHeight="1">
      <c r="A1017" s="39" t="s">
        <v>3898</v>
      </c>
      <c r="B1017" s="107">
        <v>43742</v>
      </c>
      <c r="C1017" s="130">
        <v>43746</v>
      </c>
      <c r="D1017" s="76" t="s">
        <v>366</v>
      </c>
      <c r="E1017" s="76" t="s">
        <v>53</v>
      </c>
      <c r="F1017" s="39" t="s">
        <v>1761</v>
      </c>
      <c r="G1017" s="399">
        <f>IFERROR(VLOOKUP(A1017,醫療院所DATABASE!A:B,2,""),)</f>
        <v>0</v>
      </c>
      <c r="H1017" s="76" t="s">
        <v>3925</v>
      </c>
      <c r="I1017" s="109">
        <v>43735</v>
      </c>
      <c r="J1017" s="109">
        <v>43739</v>
      </c>
      <c r="K1017" s="39" t="s">
        <v>3926</v>
      </c>
      <c r="L1017" s="76" t="s">
        <v>3927</v>
      </c>
      <c r="M1017" s="155" t="s">
        <v>3594</v>
      </c>
      <c r="N1017" s="39" t="s">
        <v>62</v>
      </c>
      <c r="O1017" s="24"/>
      <c r="P1017" s="409" t="s">
        <v>3928</v>
      </c>
      <c r="Q1017" s="76" t="s">
        <v>64</v>
      </c>
      <c r="R1017" s="76" t="s">
        <v>1885</v>
      </c>
      <c r="S1017" s="24"/>
      <c r="T1017" s="24"/>
      <c r="U1017" s="64"/>
      <c r="V1017" s="56"/>
      <c r="W1017" s="56"/>
      <c r="X1017" s="56"/>
      <c r="Y1017" s="56"/>
      <c r="Z1017" s="56"/>
      <c r="AA1017" s="56"/>
      <c r="AB1017" s="56"/>
      <c r="AC1017" s="56"/>
    </row>
    <row r="1018" spans="1:29" ht="15.75" customHeight="1">
      <c r="A1018" s="39" t="s">
        <v>3898</v>
      </c>
      <c r="B1018" s="107">
        <v>43740</v>
      </c>
      <c r="C1018" s="109">
        <v>43746</v>
      </c>
      <c r="D1018" s="76" t="s">
        <v>366</v>
      </c>
      <c r="E1018" s="76" t="s">
        <v>53</v>
      </c>
      <c r="F1018" s="39" t="s">
        <v>1761</v>
      </c>
      <c r="G1018" s="399">
        <f>IFERROR(VLOOKUP(A1018,醫療院所DATABASE!A:B,2,""),)</f>
        <v>0</v>
      </c>
      <c r="H1018" s="76" t="s">
        <v>3929</v>
      </c>
      <c r="I1018" s="109">
        <v>43735</v>
      </c>
      <c r="J1018" s="109">
        <v>43739</v>
      </c>
      <c r="K1018" s="39" t="s">
        <v>3930</v>
      </c>
      <c r="L1018" s="76" t="s">
        <v>3931</v>
      </c>
      <c r="M1018" s="155" t="s">
        <v>3594</v>
      </c>
      <c r="N1018" s="39" t="s">
        <v>51</v>
      </c>
      <c r="O1018" s="24"/>
      <c r="P1018" s="409" t="s">
        <v>3932</v>
      </c>
      <c r="Q1018" s="76" t="s">
        <v>64</v>
      </c>
      <c r="R1018" s="76" t="s">
        <v>1885</v>
      </c>
      <c r="S1018" s="24"/>
      <c r="T1018" s="24"/>
      <c r="U1018" s="64"/>
      <c r="V1018" s="56"/>
      <c r="W1018" s="56"/>
      <c r="X1018" s="56"/>
      <c r="Y1018" s="56"/>
      <c r="Z1018" s="56"/>
      <c r="AA1018" s="56"/>
      <c r="AB1018" s="56"/>
      <c r="AC1018" s="56"/>
    </row>
    <row r="1019" spans="1:29" ht="15.75" customHeight="1">
      <c r="A1019" s="39" t="s">
        <v>3898</v>
      </c>
      <c r="B1019" s="107">
        <v>43740</v>
      </c>
      <c r="C1019" s="109">
        <v>43746</v>
      </c>
      <c r="D1019" s="76" t="s">
        <v>366</v>
      </c>
      <c r="E1019" s="76" t="s">
        <v>53</v>
      </c>
      <c r="F1019" s="39" t="s">
        <v>1761</v>
      </c>
      <c r="G1019" s="399">
        <f>IFERROR(VLOOKUP(A1019,醫療院所DATABASE!A:B,2,""),)</f>
        <v>0</v>
      </c>
      <c r="H1019" s="76" t="s">
        <v>3933</v>
      </c>
      <c r="I1019" s="109">
        <v>43735</v>
      </c>
      <c r="J1019" s="109">
        <v>43739</v>
      </c>
      <c r="K1019" s="39" t="s">
        <v>3934</v>
      </c>
      <c r="L1019" s="76" t="s">
        <v>3935</v>
      </c>
      <c r="M1019" s="155" t="s">
        <v>3594</v>
      </c>
      <c r="N1019" s="39" t="s">
        <v>51</v>
      </c>
      <c r="O1019" s="24"/>
      <c r="P1019" s="409" t="s">
        <v>3936</v>
      </c>
      <c r="Q1019" s="76" t="s">
        <v>64</v>
      </c>
      <c r="R1019" s="76" t="s">
        <v>1885</v>
      </c>
      <c r="S1019" s="24"/>
      <c r="T1019" s="24"/>
      <c r="U1019" s="64"/>
      <c r="V1019" s="56"/>
      <c r="W1019" s="56"/>
      <c r="X1019" s="56"/>
      <c r="Y1019" s="56"/>
      <c r="Z1019" s="56"/>
      <c r="AA1019" s="56"/>
      <c r="AB1019" s="56"/>
      <c r="AC1019" s="56"/>
    </row>
    <row r="1020" spans="1:29" ht="15.75" customHeight="1">
      <c r="A1020" s="39" t="s">
        <v>3898</v>
      </c>
      <c r="B1020" s="107">
        <v>43740</v>
      </c>
      <c r="C1020" s="130">
        <v>43746</v>
      </c>
      <c r="D1020" s="76" t="s">
        <v>366</v>
      </c>
      <c r="E1020" s="76" t="s">
        <v>53</v>
      </c>
      <c r="F1020" s="39" t="s">
        <v>1761</v>
      </c>
      <c r="G1020" s="399">
        <f>IFERROR(VLOOKUP(A1020,醫療院所DATABASE!A:B,2,""),)</f>
        <v>0</v>
      </c>
      <c r="H1020" s="76" t="s">
        <v>3937</v>
      </c>
      <c r="I1020" s="109">
        <v>43735</v>
      </c>
      <c r="J1020" s="109">
        <v>43739</v>
      </c>
      <c r="K1020" s="39" t="s">
        <v>3938</v>
      </c>
      <c r="L1020" s="76" t="s">
        <v>3939</v>
      </c>
      <c r="M1020" s="155" t="s">
        <v>3594</v>
      </c>
      <c r="N1020" s="39" t="s">
        <v>62</v>
      </c>
      <c r="O1020" s="24"/>
      <c r="P1020" s="409" t="s">
        <v>3940</v>
      </c>
      <c r="Q1020" s="76" t="s">
        <v>64</v>
      </c>
      <c r="R1020" s="76" t="s">
        <v>1885</v>
      </c>
      <c r="S1020" s="24"/>
      <c r="T1020" s="24"/>
      <c r="U1020" s="64"/>
      <c r="V1020" s="56"/>
      <c r="W1020" s="56"/>
      <c r="X1020" s="56"/>
      <c r="Y1020" s="56"/>
      <c r="Z1020" s="56"/>
      <c r="AA1020" s="56"/>
      <c r="AB1020" s="56"/>
      <c r="AC1020" s="56"/>
    </row>
    <row r="1021" spans="1:29" ht="15.75" customHeight="1">
      <c r="A1021" s="39" t="s">
        <v>3898</v>
      </c>
      <c r="B1021" s="107">
        <v>43742</v>
      </c>
      <c r="C1021" s="109">
        <v>43746</v>
      </c>
      <c r="D1021" s="76" t="s">
        <v>366</v>
      </c>
      <c r="E1021" s="76" t="s">
        <v>53</v>
      </c>
      <c r="F1021" s="39" t="s">
        <v>1761</v>
      </c>
      <c r="G1021" s="399">
        <f>IFERROR(VLOOKUP(A1021,醫療院所DATABASE!A:B,2,""),)</f>
        <v>0</v>
      </c>
      <c r="H1021" s="64"/>
      <c r="I1021" s="109">
        <v>43735</v>
      </c>
      <c r="J1021" s="109">
        <v>43739</v>
      </c>
      <c r="K1021" s="39" t="s">
        <v>3941</v>
      </c>
      <c r="L1021" s="76" t="s">
        <v>3942</v>
      </c>
      <c r="M1021" s="155" t="s">
        <v>3594</v>
      </c>
      <c r="N1021" s="39" t="s">
        <v>62</v>
      </c>
      <c r="O1021" s="24"/>
      <c r="P1021" s="409" t="s">
        <v>3943</v>
      </c>
      <c r="Q1021" s="76" t="s">
        <v>64</v>
      </c>
      <c r="R1021" s="76" t="s">
        <v>1885</v>
      </c>
      <c r="S1021" s="24"/>
      <c r="T1021" s="24"/>
      <c r="U1021" s="64"/>
      <c r="V1021" s="56"/>
      <c r="W1021" s="56"/>
      <c r="X1021" s="56"/>
      <c r="Y1021" s="56"/>
      <c r="Z1021" s="56"/>
      <c r="AA1021" s="56"/>
      <c r="AB1021" s="56"/>
      <c r="AC1021" s="56"/>
    </row>
    <row r="1022" spans="1:29" ht="15.75" customHeight="1">
      <c r="A1022" s="39" t="s">
        <v>3898</v>
      </c>
      <c r="B1022" s="107">
        <v>43742</v>
      </c>
      <c r="C1022" s="109">
        <v>43746</v>
      </c>
      <c r="D1022" s="76" t="s">
        <v>366</v>
      </c>
      <c r="E1022" s="76" t="s">
        <v>53</v>
      </c>
      <c r="F1022" s="39" t="s">
        <v>1761</v>
      </c>
      <c r="G1022" s="399">
        <f>IFERROR(VLOOKUP(A1022,醫療院所DATABASE!A:B,2,""),)</f>
        <v>0</v>
      </c>
      <c r="H1022" s="76" t="s">
        <v>3944</v>
      </c>
      <c r="I1022" s="109">
        <v>43735</v>
      </c>
      <c r="J1022" s="109">
        <v>43739</v>
      </c>
      <c r="K1022" s="39" t="s">
        <v>3945</v>
      </c>
      <c r="L1022" s="76" t="s">
        <v>3946</v>
      </c>
      <c r="M1022" s="155" t="s">
        <v>3594</v>
      </c>
      <c r="N1022" s="39" t="s">
        <v>51</v>
      </c>
      <c r="O1022" s="24"/>
      <c r="P1022" s="409" t="s">
        <v>3947</v>
      </c>
      <c r="Q1022" s="76" t="s">
        <v>64</v>
      </c>
      <c r="R1022" s="76" t="s">
        <v>1885</v>
      </c>
      <c r="S1022" s="24"/>
      <c r="T1022" s="24"/>
      <c r="U1022" s="64"/>
      <c r="V1022" s="56"/>
      <c r="W1022" s="56"/>
      <c r="X1022" s="56"/>
      <c r="Y1022" s="56"/>
      <c r="Z1022" s="56"/>
      <c r="AA1022" s="56"/>
      <c r="AB1022" s="56"/>
      <c r="AC1022" s="56"/>
    </row>
    <row r="1023" spans="1:29" ht="15.75" customHeight="1">
      <c r="A1023" s="39" t="s">
        <v>3898</v>
      </c>
      <c r="B1023" s="107">
        <v>43740</v>
      </c>
      <c r="C1023" s="109">
        <v>43746</v>
      </c>
      <c r="D1023" s="76" t="s">
        <v>366</v>
      </c>
      <c r="E1023" s="76" t="s">
        <v>53</v>
      </c>
      <c r="F1023" s="39" t="s">
        <v>1761</v>
      </c>
      <c r="G1023" s="399">
        <f>IFERROR(VLOOKUP(A1023,醫療院所DATABASE!A:B,2,""),)</f>
        <v>0</v>
      </c>
      <c r="H1023" s="76" t="s">
        <v>3946</v>
      </c>
      <c r="I1023" s="109">
        <v>43735</v>
      </c>
      <c r="J1023" s="109">
        <v>43739</v>
      </c>
      <c r="K1023" s="39" t="s">
        <v>3948</v>
      </c>
      <c r="L1023" s="76" t="s">
        <v>3949</v>
      </c>
      <c r="M1023" s="155" t="s">
        <v>3594</v>
      </c>
      <c r="N1023" s="39" t="s">
        <v>51</v>
      </c>
      <c r="O1023" s="24"/>
      <c r="P1023" s="409" t="s">
        <v>3950</v>
      </c>
      <c r="Q1023" s="76" t="s">
        <v>64</v>
      </c>
      <c r="R1023" s="76" t="s">
        <v>1885</v>
      </c>
      <c r="S1023" s="24"/>
      <c r="T1023" s="24"/>
      <c r="U1023" s="64"/>
      <c r="V1023" s="56"/>
      <c r="W1023" s="56"/>
      <c r="X1023" s="56"/>
      <c r="Y1023" s="56"/>
      <c r="Z1023" s="56"/>
      <c r="AA1023" s="56"/>
      <c r="AB1023" s="56"/>
      <c r="AC1023" s="56"/>
    </row>
    <row r="1024" spans="1:29" ht="15.75" customHeight="1">
      <c r="A1024" s="39" t="s">
        <v>3951</v>
      </c>
      <c r="B1024" s="107">
        <v>43740</v>
      </c>
      <c r="C1024" s="109">
        <v>43752</v>
      </c>
      <c r="D1024" s="76" t="s">
        <v>665</v>
      </c>
      <c r="E1024" s="76" t="s">
        <v>665</v>
      </c>
      <c r="F1024" s="39" t="s">
        <v>2304</v>
      </c>
      <c r="G1024" s="399">
        <f>IFERROR(VLOOKUP(A1024,醫療院所DATABASE!A:B,2,""),)</f>
        <v>0</v>
      </c>
      <c r="H1024" s="64"/>
      <c r="I1024" s="109">
        <v>43735</v>
      </c>
      <c r="J1024" s="109">
        <v>43739</v>
      </c>
      <c r="K1024" s="39" t="s">
        <v>3952</v>
      </c>
      <c r="L1024" s="76" t="s">
        <v>3953</v>
      </c>
      <c r="M1024" s="155" t="s">
        <v>3594</v>
      </c>
      <c r="N1024" s="39" t="s">
        <v>62</v>
      </c>
      <c r="O1024" s="24"/>
      <c r="P1024" s="409" t="s">
        <v>3954</v>
      </c>
      <c r="Q1024" s="76" t="s">
        <v>64</v>
      </c>
      <c r="R1024" s="76" t="s">
        <v>1885</v>
      </c>
      <c r="S1024" s="24"/>
      <c r="T1024" s="24"/>
      <c r="U1024" s="64"/>
      <c r="V1024" s="56"/>
      <c r="W1024" s="56"/>
      <c r="X1024" s="56"/>
      <c r="Y1024" s="56"/>
      <c r="Z1024" s="56"/>
      <c r="AA1024" s="56"/>
      <c r="AB1024" s="56"/>
      <c r="AC1024" s="56"/>
    </row>
    <row r="1025" spans="1:29" ht="15.75" customHeight="1">
      <c r="A1025" s="39">
        <v>19092601</v>
      </c>
      <c r="B1025" s="107">
        <v>43742</v>
      </c>
      <c r="C1025" s="109">
        <v>43746</v>
      </c>
      <c r="D1025" s="76" t="s">
        <v>1029</v>
      </c>
      <c r="E1025" s="76" t="s">
        <v>53</v>
      </c>
      <c r="F1025" s="39" t="s">
        <v>353</v>
      </c>
      <c r="G1025" s="399">
        <f>IFERROR(VLOOKUP(A1025,醫療院所DATABASE!A:B,2,""),)</f>
        <v>0</v>
      </c>
      <c r="H1025" s="64"/>
      <c r="I1025" s="109">
        <v>43739</v>
      </c>
      <c r="J1025" s="109">
        <v>43741</v>
      </c>
      <c r="K1025" s="39" t="s">
        <v>3955</v>
      </c>
      <c r="L1025" s="76" t="s">
        <v>3956</v>
      </c>
      <c r="M1025" s="39" t="s">
        <v>3957</v>
      </c>
      <c r="N1025" s="39" t="s">
        <v>51</v>
      </c>
      <c r="O1025" s="24"/>
      <c r="P1025" s="409" t="s">
        <v>3958</v>
      </c>
      <c r="Q1025" s="76" t="s">
        <v>64</v>
      </c>
      <c r="R1025" s="76" t="s">
        <v>1885</v>
      </c>
      <c r="S1025" s="24"/>
      <c r="T1025" s="24"/>
      <c r="U1025" s="64"/>
      <c r="V1025" s="56"/>
      <c r="W1025" s="56"/>
      <c r="X1025" s="56"/>
      <c r="Y1025" s="56"/>
      <c r="Z1025" s="56"/>
      <c r="AA1025" s="56"/>
      <c r="AB1025" s="56"/>
      <c r="AC1025" s="56"/>
    </row>
    <row r="1026" spans="1:29" ht="15.75" customHeight="1">
      <c r="A1026" s="39">
        <v>19100201</v>
      </c>
      <c r="B1026" s="107">
        <v>43747</v>
      </c>
      <c r="C1026" s="109">
        <v>43747</v>
      </c>
      <c r="D1026" s="76" t="s">
        <v>1029</v>
      </c>
      <c r="E1026" s="76" t="s">
        <v>53</v>
      </c>
      <c r="F1026" s="39" t="s">
        <v>353</v>
      </c>
      <c r="G1026" s="399">
        <f>IFERROR(VLOOKUP(A1026,醫療院所DATABASE!A:B,2,""),)</f>
        <v>0</v>
      </c>
      <c r="H1026" s="64"/>
      <c r="I1026" s="109">
        <v>43741</v>
      </c>
      <c r="J1026" s="109">
        <v>43745</v>
      </c>
      <c r="K1026" s="39" t="s">
        <v>3959</v>
      </c>
      <c r="L1026" s="76" t="s">
        <v>3960</v>
      </c>
      <c r="M1026" s="155" t="s">
        <v>3594</v>
      </c>
      <c r="N1026" s="39" t="s">
        <v>62</v>
      </c>
      <c r="O1026" s="24"/>
      <c r="P1026" s="409" t="s">
        <v>3961</v>
      </c>
      <c r="Q1026" s="76" t="s">
        <v>64</v>
      </c>
      <c r="R1026" s="76" t="s">
        <v>1885</v>
      </c>
      <c r="S1026" s="24"/>
      <c r="T1026" s="24"/>
      <c r="U1026" s="64"/>
      <c r="V1026" s="56"/>
      <c r="W1026" s="56"/>
      <c r="X1026" s="56"/>
      <c r="Y1026" s="56"/>
      <c r="Z1026" s="56"/>
      <c r="AA1026" s="56"/>
      <c r="AB1026" s="56"/>
      <c r="AC1026" s="56"/>
    </row>
    <row r="1027" spans="1:29" ht="15.75" customHeight="1">
      <c r="A1027" s="39" t="s">
        <v>3962</v>
      </c>
      <c r="B1027" s="109">
        <v>43752</v>
      </c>
      <c r="C1027" s="109">
        <v>43753</v>
      </c>
      <c r="D1027" s="76" t="s">
        <v>522</v>
      </c>
      <c r="E1027" s="64"/>
      <c r="F1027" s="39" t="s">
        <v>1569</v>
      </c>
      <c r="G1027" s="399">
        <f>IFERROR(VLOOKUP(A1027,醫療院所DATABASE!A:B,2,""),)</f>
        <v>0</v>
      </c>
      <c r="H1027" s="64"/>
      <c r="I1027" s="109">
        <v>43741</v>
      </c>
      <c r="J1027" s="109">
        <v>43745</v>
      </c>
      <c r="K1027" s="39" t="s">
        <v>3963</v>
      </c>
      <c r="L1027" s="76" t="s">
        <v>3964</v>
      </c>
      <c r="M1027" s="155" t="s">
        <v>3594</v>
      </c>
      <c r="N1027" s="39" t="s">
        <v>62</v>
      </c>
      <c r="O1027" s="24"/>
      <c r="P1027" s="409" t="s">
        <v>3965</v>
      </c>
      <c r="Q1027" s="76" t="s">
        <v>64</v>
      </c>
      <c r="R1027" s="76" t="s">
        <v>2531</v>
      </c>
      <c r="S1027" s="24"/>
      <c r="T1027" s="24"/>
      <c r="U1027" s="64"/>
      <c r="V1027" s="56"/>
      <c r="W1027" s="56"/>
      <c r="X1027" s="56"/>
      <c r="Y1027" s="56"/>
      <c r="Z1027" s="56"/>
      <c r="AA1027" s="56"/>
      <c r="AB1027" s="56"/>
      <c r="AC1027" s="56"/>
    </row>
    <row r="1028" spans="1:29" ht="15.75" customHeight="1">
      <c r="A1028" s="39" t="s">
        <v>3962</v>
      </c>
      <c r="B1028" s="109">
        <v>43752</v>
      </c>
      <c r="C1028" s="109">
        <v>43753</v>
      </c>
      <c r="D1028" s="76" t="s">
        <v>522</v>
      </c>
      <c r="E1028" s="64"/>
      <c r="F1028" s="39" t="s">
        <v>1569</v>
      </c>
      <c r="G1028" s="399">
        <f>IFERROR(VLOOKUP(A1028,醫療院所DATABASE!A:B,2,""),)</f>
        <v>0</v>
      </c>
      <c r="H1028" s="64"/>
      <c r="I1028" s="109">
        <v>43741</v>
      </c>
      <c r="J1028" s="109">
        <v>43745</v>
      </c>
      <c r="K1028" s="39" t="s">
        <v>3966</v>
      </c>
      <c r="L1028" s="76" t="s">
        <v>3967</v>
      </c>
      <c r="M1028" s="155" t="s">
        <v>3594</v>
      </c>
      <c r="N1028" s="39" t="s">
        <v>51</v>
      </c>
      <c r="O1028" s="24"/>
      <c r="P1028" s="409" t="s">
        <v>3968</v>
      </c>
      <c r="Q1028" s="76" t="s">
        <v>64</v>
      </c>
      <c r="R1028" s="76" t="s">
        <v>2531</v>
      </c>
      <c r="S1028" s="24"/>
      <c r="T1028" s="24"/>
      <c r="U1028" s="64"/>
      <c r="V1028" s="56"/>
      <c r="W1028" s="56"/>
      <c r="X1028" s="56"/>
      <c r="Y1028" s="56"/>
      <c r="Z1028" s="56"/>
      <c r="AA1028" s="56"/>
      <c r="AB1028" s="56"/>
      <c r="AC1028" s="56"/>
    </row>
    <row r="1029" spans="1:29" ht="15.75" customHeight="1">
      <c r="A1029" s="39" t="s">
        <v>3962</v>
      </c>
      <c r="B1029" s="109">
        <v>43752</v>
      </c>
      <c r="C1029" s="109">
        <v>43753</v>
      </c>
      <c r="D1029" s="76" t="s">
        <v>522</v>
      </c>
      <c r="E1029" s="64"/>
      <c r="F1029" s="39" t="s">
        <v>1569</v>
      </c>
      <c r="G1029" s="399">
        <f>IFERROR(VLOOKUP(A1029,醫療院所DATABASE!A:B,2,""),)</f>
        <v>0</v>
      </c>
      <c r="H1029" s="64"/>
      <c r="I1029" s="109">
        <v>43741</v>
      </c>
      <c r="J1029" s="109">
        <v>43745</v>
      </c>
      <c r="K1029" s="39" t="s">
        <v>3969</v>
      </c>
      <c r="L1029" s="76" t="s">
        <v>3970</v>
      </c>
      <c r="M1029" s="155" t="s">
        <v>3594</v>
      </c>
      <c r="N1029" s="39" t="s">
        <v>51</v>
      </c>
      <c r="O1029" s="24"/>
      <c r="P1029" s="409" t="s">
        <v>3971</v>
      </c>
      <c r="Q1029" s="76" t="s">
        <v>64</v>
      </c>
      <c r="R1029" s="76" t="s">
        <v>2531</v>
      </c>
      <c r="S1029" s="24"/>
      <c r="T1029" s="24"/>
      <c r="U1029" s="64"/>
      <c r="V1029" s="56"/>
      <c r="W1029" s="56"/>
      <c r="X1029" s="56"/>
      <c r="Y1029" s="56"/>
      <c r="Z1029" s="56"/>
      <c r="AA1029" s="56"/>
      <c r="AB1029" s="56"/>
      <c r="AC1029" s="56"/>
    </row>
    <row r="1030" spans="1:29" ht="15.75" customHeight="1">
      <c r="A1030" s="39" t="s">
        <v>3962</v>
      </c>
      <c r="B1030" s="109">
        <v>43752</v>
      </c>
      <c r="C1030" s="109">
        <v>43753</v>
      </c>
      <c r="D1030" s="76" t="s">
        <v>522</v>
      </c>
      <c r="E1030" s="64"/>
      <c r="F1030" s="39" t="s">
        <v>1569</v>
      </c>
      <c r="G1030" s="399">
        <f>IFERROR(VLOOKUP(A1030,醫療院所DATABASE!A:B,2,""),)</f>
        <v>0</v>
      </c>
      <c r="H1030" s="64"/>
      <c r="I1030" s="109">
        <v>43741</v>
      </c>
      <c r="J1030" s="109">
        <v>43745</v>
      </c>
      <c r="K1030" s="39" t="s">
        <v>3972</v>
      </c>
      <c r="L1030" s="76" t="s">
        <v>3973</v>
      </c>
      <c r="M1030" s="155" t="s">
        <v>3594</v>
      </c>
      <c r="N1030" s="39" t="s">
        <v>51</v>
      </c>
      <c r="O1030" s="24"/>
      <c r="P1030" s="409" t="s">
        <v>3974</v>
      </c>
      <c r="Q1030" s="76" t="s">
        <v>64</v>
      </c>
      <c r="R1030" s="76" t="s">
        <v>2531</v>
      </c>
      <c r="S1030" s="24"/>
      <c r="T1030" s="24"/>
      <c r="U1030" s="64"/>
      <c r="V1030" s="56"/>
      <c r="W1030" s="56"/>
      <c r="X1030" s="56"/>
      <c r="Y1030" s="56"/>
      <c r="Z1030" s="56"/>
      <c r="AA1030" s="56"/>
      <c r="AB1030" s="56"/>
      <c r="AC1030" s="56"/>
    </row>
    <row r="1031" spans="1:29" ht="15.75" customHeight="1">
      <c r="A1031" s="39" t="s">
        <v>3962</v>
      </c>
      <c r="B1031" s="109">
        <v>43752</v>
      </c>
      <c r="C1031" s="109">
        <v>43753</v>
      </c>
      <c r="D1031" s="76" t="s">
        <v>522</v>
      </c>
      <c r="E1031" s="64"/>
      <c r="F1031" s="39" t="s">
        <v>1569</v>
      </c>
      <c r="G1031" s="399">
        <f>IFERROR(VLOOKUP(A1031,醫療院所DATABASE!A:B,2,""),)</f>
        <v>0</v>
      </c>
      <c r="H1031" s="64"/>
      <c r="I1031" s="109">
        <v>43741</v>
      </c>
      <c r="J1031" s="109">
        <v>43745</v>
      </c>
      <c r="K1031" s="39" t="s">
        <v>3975</v>
      </c>
      <c r="L1031" s="76" t="s">
        <v>3976</v>
      </c>
      <c r="M1031" s="155" t="s">
        <v>3594</v>
      </c>
      <c r="N1031" s="39" t="s">
        <v>62</v>
      </c>
      <c r="O1031" s="24"/>
      <c r="P1031" s="409" t="s">
        <v>3977</v>
      </c>
      <c r="Q1031" s="76" t="s">
        <v>64</v>
      </c>
      <c r="R1031" s="76" t="s">
        <v>2531</v>
      </c>
      <c r="S1031" s="24"/>
      <c r="T1031" s="24"/>
      <c r="U1031" s="64"/>
      <c r="V1031" s="56"/>
      <c r="W1031" s="56"/>
      <c r="X1031" s="56"/>
      <c r="Y1031" s="56"/>
      <c r="Z1031" s="56"/>
      <c r="AA1031" s="56"/>
      <c r="AB1031" s="56"/>
      <c r="AC1031" s="56"/>
    </row>
    <row r="1032" spans="1:29" ht="15.75" customHeight="1">
      <c r="A1032" s="39" t="s">
        <v>3962</v>
      </c>
      <c r="B1032" s="109">
        <v>43752</v>
      </c>
      <c r="C1032" s="109">
        <v>43753</v>
      </c>
      <c r="D1032" s="76" t="s">
        <v>522</v>
      </c>
      <c r="E1032" s="64"/>
      <c r="F1032" s="39" t="s">
        <v>1569</v>
      </c>
      <c r="G1032" s="399">
        <f>IFERROR(VLOOKUP(A1032,醫療院所DATABASE!A:B,2,""),)</f>
        <v>0</v>
      </c>
      <c r="H1032" s="64"/>
      <c r="I1032" s="109">
        <v>43741</v>
      </c>
      <c r="J1032" s="109">
        <v>43745</v>
      </c>
      <c r="K1032" s="39" t="s">
        <v>3978</v>
      </c>
      <c r="L1032" s="76" t="s">
        <v>3979</v>
      </c>
      <c r="M1032" s="155" t="s">
        <v>3594</v>
      </c>
      <c r="N1032" s="39" t="s">
        <v>62</v>
      </c>
      <c r="O1032" s="24"/>
      <c r="P1032" s="409" t="s">
        <v>3980</v>
      </c>
      <c r="Q1032" s="76" t="s">
        <v>64</v>
      </c>
      <c r="R1032" s="76" t="s">
        <v>2531</v>
      </c>
      <c r="S1032" s="24"/>
      <c r="T1032" s="24"/>
      <c r="U1032" s="64"/>
      <c r="V1032" s="56"/>
      <c r="W1032" s="56"/>
      <c r="X1032" s="56"/>
      <c r="Y1032" s="56"/>
      <c r="Z1032" s="56"/>
      <c r="AA1032" s="56"/>
      <c r="AB1032" s="56"/>
      <c r="AC1032" s="56"/>
    </row>
    <row r="1033" spans="1:29" ht="15.75" customHeight="1">
      <c r="A1033" s="39" t="s">
        <v>3962</v>
      </c>
      <c r="B1033" s="107">
        <v>43753</v>
      </c>
      <c r="C1033" s="109">
        <v>43753</v>
      </c>
      <c r="D1033" s="76" t="s">
        <v>522</v>
      </c>
      <c r="E1033" s="64"/>
      <c r="F1033" s="39" t="s">
        <v>1569</v>
      </c>
      <c r="G1033" s="399">
        <f>IFERROR(VLOOKUP(A1033,醫療院所DATABASE!A:B,2,""),)</f>
        <v>0</v>
      </c>
      <c r="H1033" s="64"/>
      <c r="I1033" s="109">
        <v>43741</v>
      </c>
      <c r="J1033" s="109">
        <v>43745</v>
      </c>
      <c r="K1033" s="39" t="s">
        <v>3981</v>
      </c>
      <c r="L1033" s="76" t="s">
        <v>3982</v>
      </c>
      <c r="M1033" s="155" t="s">
        <v>3594</v>
      </c>
      <c r="N1033" s="39" t="s">
        <v>62</v>
      </c>
      <c r="O1033" s="24"/>
      <c r="P1033" s="409" t="s">
        <v>3983</v>
      </c>
      <c r="Q1033" s="76" t="s">
        <v>64</v>
      </c>
      <c r="R1033" s="76" t="s">
        <v>2531</v>
      </c>
      <c r="S1033" s="24"/>
      <c r="T1033" s="24"/>
      <c r="U1033" s="64"/>
      <c r="V1033" s="56"/>
      <c r="W1033" s="56"/>
      <c r="X1033" s="56"/>
      <c r="Y1033" s="56"/>
      <c r="Z1033" s="56"/>
      <c r="AA1033" s="56"/>
      <c r="AB1033" s="56"/>
      <c r="AC1033" s="56"/>
    </row>
    <row r="1034" spans="1:29" ht="15.75" customHeight="1">
      <c r="A1034" s="39" t="s">
        <v>3962</v>
      </c>
      <c r="B1034" s="109">
        <v>43752</v>
      </c>
      <c r="C1034" s="109">
        <v>43753</v>
      </c>
      <c r="D1034" s="76" t="s">
        <v>522</v>
      </c>
      <c r="E1034" s="64"/>
      <c r="F1034" s="39" t="s">
        <v>1569</v>
      </c>
      <c r="G1034" s="399">
        <f>IFERROR(VLOOKUP(A1034,醫療院所DATABASE!A:B,2,""),)</f>
        <v>0</v>
      </c>
      <c r="H1034" s="64"/>
      <c r="I1034" s="109">
        <v>43741</v>
      </c>
      <c r="J1034" s="109">
        <v>43745</v>
      </c>
      <c r="K1034" s="39" t="s">
        <v>3984</v>
      </c>
      <c r="L1034" s="76" t="s">
        <v>3985</v>
      </c>
      <c r="M1034" s="155" t="s">
        <v>3594</v>
      </c>
      <c r="N1034" s="39" t="s">
        <v>62</v>
      </c>
      <c r="O1034" s="24"/>
      <c r="P1034" s="409" t="s">
        <v>3986</v>
      </c>
      <c r="Q1034" s="76" t="s">
        <v>64</v>
      </c>
      <c r="R1034" s="76" t="s">
        <v>2531</v>
      </c>
      <c r="S1034" s="24"/>
      <c r="T1034" s="24"/>
      <c r="U1034" s="64"/>
      <c r="V1034" s="56"/>
      <c r="W1034" s="56"/>
      <c r="X1034" s="56"/>
      <c r="Y1034" s="56"/>
      <c r="Z1034" s="56"/>
      <c r="AA1034" s="56"/>
      <c r="AB1034" s="56"/>
      <c r="AC1034" s="56"/>
    </row>
    <row r="1035" spans="1:29" ht="15.75" customHeight="1">
      <c r="A1035" s="39" t="s">
        <v>3987</v>
      </c>
      <c r="B1035" s="107">
        <v>43747</v>
      </c>
      <c r="C1035" s="109">
        <v>43752</v>
      </c>
      <c r="D1035" s="76" t="s">
        <v>665</v>
      </c>
      <c r="E1035" s="76" t="s">
        <v>665</v>
      </c>
      <c r="F1035" s="39" t="s">
        <v>2304</v>
      </c>
      <c r="G1035" s="399">
        <f>IFERROR(VLOOKUP(A1035,醫療院所DATABASE!A:B,2,""),)</f>
        <v>0</v>
      </c>
      <c r="H1035" s="64"/>
      <c r="I1035" s="109">
        <v>43741</v>
      </c>
      <c r="J1035" s="109">
        <v>43745</v>
      </c>
      <c r="K1035" s="39" t="s">
        <v>3988</v>
      </c>
      <c r="L1035" s="76" t="s">
        <v>3989</v>
      </c>
      <c r="M1035" s="155" t="s">
        <v>3990</v>
      </c>
      <c r="N1035" s="39" t="s">
        <v>51</v>
      </c>
      <c r="O1035" s="24"/>
      <c r="P1035" s="409" t="s">
        <v>3991</v>
      </c>
      <c r="Q1035" s="76" t="s">
        <v>64</v>
      </c>
      <c r="R1035" s="76" t="s">
        <v>1885</v>
      </c>
      <c r="S1035" s="24"/>
      <c r="T1035" s="24"/>
      <c r="U1035" s="64"/>
      <c r="V1035" s="56"/>
      <c r="W1035" s="56"/>
      <c r="X1035" s="56"/>
      <c r="Y1035" s="56"/>
      <c r="Z1035" s="56"/>
      <c r="AA1035" s="56"/>
      <c r="AB1035" s="56"/>
      <c r="AC1035" s="56"/>
    </row>
    <row r="1036" spans="1:29" ht="15.75" customHeight="1">
      <c r="A1036" s="39" t="s">
        <v>3987</v>
      </c>
      <c r="B1036" s="107">
        <v>43747</v>
      </c>
      <c r="C1036" s="109">
        <v>43752</v>
      </c>
      <c r="D1036" s="76" t="s">
        <v>665</v>
      </c>
      <c r="E1036" s="76" t="s">
        <v>665</v>
      </c>
      <c r="F1036" s="39" t="s">
        <v>2304</v>
      </c>
      <c r="G1036" s="399">
        <f>IFERROR(VLOOKUP(A1036,醫療院所DATABASE!A:B,2,""),)</f>
        <v>0</v>
      </c>
      <c r="H1036" s="64"/>
      <c r="I1036" s="109">
        <v>43741</v>
      </c>
      <c r="J1036" s="109">
        <v>43745</v>
      </c>
      <c r="K1036" s="39" t="s">
        <v>3988</v>
      </c>
      <c r="L1036" s="76" t="s">
        <v>3989</v>
      </c>
      <c r="M1036" s="39" t="s">
        <v>3563</v>
      </c>
      <c r="N1036" s="39" t="s">
        <v>51</v>
      </c>
      <c r="O1036" s="24"/>
      <c r="P1036" s="409" t="s">
        <v>3995</v>
      </c>
      <c r="Q1036" s="76" t="s">
        <v>64</v>
      </c>
      <c r="R1036" s="76" t="s">
        <v>1885</v>
      </c>
      <c r="S1036" s="24"/>
      <c r="T1036" s="24"/>
      <c r="U1036" s="64"/>
      <c r="V1036" s="56"/>
      <c r="W1036" s="56"/>
      <c r="X1036" s="56"/>
      <c r="Y1036" s="56"/>
      <c r="Z1036" s="56"/>
      <c r="AA1036" s="56"/>
      <c r="AB1036" s="56"/>
      <c r="AC1036" s="56"/>
    </row>
    <row r="1037" spans="1:29" ht="15.75" customHeight="1">
      <c r="A1037" s="39" t="s">
        <v>3996</v>
      </c>
      <c r="B1037" s="107">
        <v>43747</v>
      </c>
      <c r="C1037" s="109">
        <v>43755</v>
      </c>
      <c r="D1037" s="76" t="s">
        <v>665</v>
      </c>
      <c r="E1037" s="76" t="s">
        <v>665</v>
      </c>
      <c r="F1037" s="39" t="s">
        <v>1569</v>
      </c>
      <c r="G1037" s="399">
        <f>IFERROR(VLOOKUP(A1037,醫療院所DATABASE!A:B,2,""),)</f>
        <v>0</v>
      </c>
      <c r="H1037" s="64"/>
      <c r="I1037" s="109">
        <v>43741</v>
      </c>
      <c r="J1037" s="109">
        <v>43745</v>
      </c>
      <c r="K1037" s="39" t="s">
        <v>3997</v>
      </c>
      <c r="L1037" s="76" t="s">
        <v>3998</v>
      </c>
      <c r="M1037" s="39" t="s">
        <v>3999</v>
      </c>
      <c r="N1037" s="39" t="s">
        <v>62</v>
      </c>
      <c r="O1037" s="24"/>
      <c r="P1037" s="409" t="s">
        <v>4000</v>
      </c>
      <c r="Q1037" s="76" t="s">
        <v>64</v>
      </c>
      <c r="R1037" s="76" t="s">
        <v>1885</v>
      </c>
      <c r="S1037" s="24"/>
      <c r="T1037" s="24"/>
      <c r="U1037" s="64"/>
      <c r="V1037" s="56"/>
      <c r="W1037" s="56"/>
      <c r="X1037" s="56"/>
      <c r="Y1037" s="56"/>
      <c r="Z1037" s="56"/>
      <c r="AA1037" s="56"/>
      <c r="AB1037" s="56"/>
      <c r="AC1037" s="56"/>
    </row>
    <row r="1038" spans="1:29" ht="15.75" customHeight="1">
      <c r="A1038" s="39" t="s">
        <v>1674</v>
      </c>
      <c r="B1038" s="107">
        <v>43747</v>
      </c>
      <c r="C1038" s="109">
        <v>43747</v>
      </c>
      <c r="D1038" s="76" t="s">
        <v>479</v>
      </c>
      <c r="E1038" s="76" t="s">
        <v>2693</v>
      </c>
      <c r="F1038" s="39" t="s">
        <v>2103</v>
      </c>
      <c r="G1038" s="399">
        <f>IFERROR(VLOOKUP(A1038,醫療院所DATABASE!A:B,2,""),)</f>
        <v>0</v>
      </c>
      <c r="H1038" s="64"/>
      <c r="I1038" s="109">
        <v>43741</v>
      </c>
      <c r="J1038" s="109">
        <v>43745</v>
      </c>
      <c r="K1038" s="39" t="s">
        <v>4001</v>
      </c>
      <c r="L1038" s="76" t="s">
        <v>4002</v>
      </c>
      <c r="M1038" s="39" t="s">
        <v>4003</v>
      </c>
      <c r="N1038" s="39" t="s">
        <v>62</v>
      </c>
      <c r="O1038" s="24"/>
      <c r="P1038" s="409" t="s">
        <v>4004</v>
      </c>
      <c r="Q1038" s="76" t="s">
        <v>1207</v>
      </c>
      <c r="R1038" s="76" t="s">
        <v>1885</v>
      </c>
      <c r="S1038" s="24"/>
      <c r="T1038" s="24"/>
      <c r="U1038" s="64"/>
      <c r="V1038" s="56"/>
      <c r="W1038" s="56"/>
      <c r="X1038" s="56"/>
      <c r="Y1038" s="56"/>
      <c r="Z1038" s="56"/>
      <c r="AA1038" s="56"/>
      <c r="AB1038" s="56"/>
      <c r="AC1038" s="56"/>
    </row>
    <row r="1039" spans="1:29" ht="15.75" customHeight="1">
      <c r="A1039" s="39" t="s">
        <v>1389</v>
      </c>
      <c r="B1039" s="107">
        <v>43747</v>
      </c>
      <c r="C1039" s="109">
        <v>43747</v>
      </c>
      <c r="D1039" s="76" t="s">
        <v>479</v>
      </c>
      <c r="E1039" s="76" t="s">
        <v>2693</v>
      </c>
      <c r="F1039" s="39" t="s">
        <v>1709</v>
      </c>
      <c r="G1039" s="399">
        <f>IFERROR(VLOOKUP(A1039,醫療院所DATABASE!A:B,2,""),)</f>
        <v>0</v>
      </c>
      <c r="H1039" s="64"/>
      <c r="I1039" s="109">
        <v>43741</v>
      </c>
      <c r="J1039" s="109">
        <v>43745</v>
      </c>
      <c r="K1039" s="39" t="s">
        <v>4005</v>
      </c>
      <c r="L1039" s="76" t="s">
        <v>4006</v>
      </c>
      <c r="M1039" s="155" t="s">
        <v>3594</v>
      </c>
      <c r="N1039" s="39" t="s">
        <v>62</v>
      </c>
      <c r="O1039" s="24"/>
      <c r="P1039" s="409" t="s">
        <v>4007</v>
      </c>
      <c r="Q1039" s="76" t="s">
        <v>1207</v>
      </c>
      <c r="R1039" s="76" t="s">
        <v>1885</v>
      </c>
      <c r="S1039" s="24"/>
      <c r="T1039" s="24"/>
      <c r="U1039" s="64"/>
      <c r="V1039" s="56"/>
      <c r="W1039" s="56"/>
      <c r="X1039" s="56"/>
      <c r="Y1039" s="56"/>
      <c r="Z1039" s="56"/>
      <c r="AA1039" s="56"/>
      <c r="AB1039" s="56"/>
      <c r="AC1039" s="56"/>
    </row>
    <row r="1040" spans="1:29" ht="15.75" customHeight="1">
      <c r="A1040" s="39" t="s">
        <v>2526</v>
      </c>
      <c r="B1040" s="107">
        <v>43747</v>
      </c>
      <c r="C1040" s="109">
        <v>43747</v>
      </c>
      <c r="D1040" s="76" t="s">
        <v>479</v>
      </c>
      <c r="E1040" s="76" t="s">
        <v>2693</v>
      </c>
      <c r="F1040" s="39" t="s">
        <v>4008</v>
      </c>
      <c r="G1040" s="399">
        <f>IFERROR(VLOOKUP(A1040,醫療院所DATABASE!A:B,2,""),)</f>
        <v>0</v>
      </c>
      <c r="H1040" s="64"/>
      <c r="I1040" s="109">
        <v>43742</v>
      </c>
      <c r="J1040" s="109">
        <v>43746</v>
      </c>
      <c r="K1040" s="39" t="s">
        <v>4009</v>
      </c>
      <c r="L1040" s="76" t="s">
        <v>4010</v>
      </c>
      <c r="M1040" s="155" t="s">
        <v>3594</v>
      </c>
      <c r="N1040" s="39" t="s">
        <v>62</v>
      </c>
      <c r="O1040" s="24"/>
      <c r="P1040" s="409" t="s">
        <v>4011</v>
      </c>
      <c r="Q1040" s="76" t="s">
        <v>1207</v>
      </c>
      <c r="R1040" s="76" t="s">
        <v>1885</v>
      </c>
      <c r="S1040" s="24"/>
      <c r="T1040" s="24"/>
      <c r="U1040" s="64"/>
      <c r="V1040" s="56"/>
      <c r="W1040" s="56"/>
      <c r="X1040" s="56"/>
      <c r="Y1040" s="56"/>
      <c r="Z1040" s="56"/>
      <c r="AA1040" s="56"/>
      <c r="AB1040" s="56"/>
      <c r="AC1040" s="56"/>
    </row>
    <row r="1041" spans="1:29" ht="15.75" customHeight="1">
      <c r="A1041" s="39" t="s">
        <v>4012</v>
      </c>
      <c r="B1041" s="107">
        <v>43747</v>
      </c>
      <c r="C1041" s="109">
        <v>43752</v>
      </c>
      <c r="D1041" s="76" t="s">
        <v>543</v>
      </c>
      <c r="E1041" s="76" t="s">
        <v>543</v>
      </c>
      <c r="F1041" s="39" t="s">
        <v>4013</v>
      </c>
      <c r="G1041" s="399">
        <f>IFERROR(VLOOKUP(A1041,醫療院所DATABASE!A:B,2,""),)</f>
        <v>0</v>
      </c>
      <c r="H1041" s="64"/>
      <c r="I1041" s="109">
        <v>43742</v>
      </c>
      <c r="J1041" s="109">
        <v>43746</v>
      </c>
      <c r="K1041" s="39" t="s">
        <v>4014</v>
      </c>
      <c r="L1041" s="76" t="s">
        <v>4015</v>
      </c>
      <c r="M1041" s="155" t="s">
        <v>3594</v>
      </c>
      <c r="N1041" s="39" t="s">
        <v>51</v>
      </c>
      <c r="O1041" s="24"/>
      <c r="P1041" s="409" t="s">
        <v>4016</v>
      </c>
      <c r="Q1041" s="76" t="s">
        <v>64</v>
      </c>
      <c r="R1041" s="76" t="s">
        <v>1885</v>
      </c>
      <c r="S1041" s="24"/>
      <c r="T1041" s="24"/>
      <c r="U1041" s="64"/>
      <c r="V1041" s="56"/>
      <c r="W1041" s="56"/>
      <c r="X1041" s="56"/>
      <c r="Y1041" s="56"/>
      <c r="Z1041" s="56"/>
      <c r="AA1041" s="56"/>
      <c r="AB1041" s="56"/>
      <c r="AC1041" s="56"/>
    </row>
    <row r="1042" spans="1:29" ht="15.75" customHeight="1">
      <c r="A1042" s="39" t="s">
        <v>4012</v>
      </c>
      <c r="B1042" s="107">
        <v>43747</v>
      </c>
      <c r="C1042" s="109">
        <v>43752</v>
      </c>
      <c r="D1042" s="76" t="s">
        <v>543</v>
      </c>
      <c r="E1042" s="76" t="s">
        <v>543</v>
      </c>
      <c r="F1042" s="39" t="s">
        <v>4013</v>
      </c>
      <c r="G1042" s="399">
        <f>IFERROR(VLOOKUP(A1042,醫療院所DATABASE!A:B,2,""),)</f>
        <v>0</v>
      </c>
      <c r="H1042" s="64"/>
      <c r="I1042" s="109">
        <v>43742</v>
      </c>
      <c r="J1042" s="109">
        <v>43746</v>
      </c>
      <c r="K1042" s="39" t="s">
        <v>4017</v>
      </c>
      <c r="L1042" s="76" t="s">
        <v>4018</v>
      </c>
      <c r="M1042" s="155" t="s">
        <v>3594</v>
      </c>
      <c r="N1042" s="39" t="s">
        <v>62</v>
      </c>
      <c r="O1042" s="24"/>
      <c r="P1042" s="409" t="s">
        <v>4019</v>
      </c>
      <c r="Q1042" s="76" t="s">
        <v>64</v>
      </c>
      <c r="R1042" s="76" t="s">
        <v>1885</v>
      </c>
      <c r="S1042" s="24"/>
      <c r="T1042" s="24"/>
      <c r="U1042" s="64"/>
      <c r="V1042" s="56"/>
      <c r="W1042" s="56"/>
      <c r="X1042" s="56"/>
      <c r="Y1042" s="56"/>
      <c r="Z1042" s="56"/>
      <c r="AA1042" s="56"/>
      <c r="AB1042" s="56"/>
      <c r="AC1042" s="56"/>
    </row>
    <row r="1043" spans="1:29" ht="15.75" customHeight="1">
      <c r="A1043" s="39" t="s">
        <v>3898</v>
      </c>
      <c r="B1043" s="107">
        <v>43747</v>
      </c>
      <c r="C1043" s="109">
        <v>43747</v>
      </c>
      <c r="D1043" s="76" t="s">
        <v>366</v>
      </c>
      <c r="E1043" s="76" t="s">
        <v>53</v>
      </c>
      <c r="F1043" s="39" t="s">
        <v>1761</v>
      </c>
      <c r="G1043" s="399">
        <f>IFERROR(VLOOKUP(A1043,醫療院所DATABASE!A:B,2,""),)</f>
        <v>0</v>
      </c>
      <c r="H1043" s="76" t="s">
        <v>4020</v>
      </c>
      <c r="I1043" s="109">
        <v>43742</v>
      </c>
      <c r="J1043" s="109">
        <v>43746</v>
      </c>
      <c r="K1043" s="39" t="s">
        <v>4021</v>
      </c>
      <c r="L1043" s="76" t="s">
        <v>4022</v>
      </c>
      <c r="M1043" s="155" t="s">
        <v>3990</v>
      </c>
      <c r="N1043" s="39" t="s">
        <v>51</v>
      </c>
      <c r="O1043" s="24"/>
      <c r="P1043" s="409" t="s">
        <v>4023</v>
      </c>
      <c r="Q1043" s="76" t="s">
        <v>64</v>
      </c>
      <c r="R1043" s="76" t="s">
        <v>1885</v>
      </c>
      <c r="S1043" s="24"/>
      <c r="T1043" s="24"/>
      <c r="U1043" s="64"/>
      <c r="V1043" s="56"/>
      <c r="W1043" s="56"/>
      <c r="X1043" s="56"/>
      <c r="Y1043" s="56"/>
      <c r="Z1043" s="56"/>
      <c r="AA1043" s="56"/>
      <c r="AB1043" s="56"/>
      <c r="AC1043" s="56"/>
    </row>
    <row r="1044" spans="1:29" ht="15.75" customHeight="1">
      <c r="A1044" s="39" t="s">
        <v>3898</v>
      </c>
      <c r="B1044" s="107">
        <v>43747</v>
      </c>
      <c r="C1044" s="109">
        <v>43747</v>
      </c>
      <c r="D1044" s="76" t="s">
        <v>366</v>
      </c>
      <c r="E1044" s="76" t="s">
        <v>53</v>
      </c>
      <c r="F1044" s="39" t="s">
        <v>1761</v>
      </c>
      <c r="G1044" s="399">
        <f>IFERROR(VLOOKUP(A1044,醫療院所DATABASE!A:B,2,""),)</f>
        <v>0</v>
      </c>
      <c r="H1044" s="76" t="s">
        <v>4022</v>
      </c>
      <c r="I1044" s="109">
        <v>43742</v>
      </c>
      <c r="J1044" s="109">
        <v>43746</v>
      </c>
      <c r="K1044" s="39" t="s">
        <v>4024</v>
      </c>
      <c r="L1044" s="76" t="s">
        <v>4020</v>
      </c>
      <c r="M1044" s="155" t="s">
        <v>3990</v>
      </c>
      <c r="N1044" s="39" t="s">
        <v>62</v>
      </c>
      <c r="O1044" s="24"/>
      <c r="P1044" s="409" t="s">
        <v>4025</v>
      </c>
      <c r="Q1044" s="76" t="s">
        <v>64</v>
      </c>
      <c r="R1044" s="76" t="s">
        <v>1885</v>
      </c>
      <c r="S1044" s="24"/>
      <c r="T1044" s="24"/>
      <c r="U1044" s="64"/>
      <c r="V1044" s="56"/>
      <c r="W1044" s="56"/>
      <c r="X1044" s="56"/>
      <c r="Y1044" s="56"/>
      <c r="Z1044" s="56"/>
      <c r="AA1044" s="56"/>
      <c r="AB1044" s="56"/>
      <c r="AC1044" s="56"/>
    </row>
    <row r="1045" spans="1:29" ht="15.75" customHeight="1">
      <c r="A1045" s="39" t="s">
        <v>3898</v>
      </c>
      <c r="B1045" s="107">
        <v>43747</v>
      </c>
      <c r="C1045" s="109">
        <v>43747</v>
      </c>
      <c r="D1045" s="76" t="s">
        <v>366</v>
      </c>
      <c r="E1045" s="76" t="s">
        <v>53</v>
      </c>
      <c r="F1045" s="39" t="s">
        <v>1761</v>
      </c>
      <c r="G1045" s="399">
        <f>IFERROR(VLOOKUP(A1045,醫療院所DATABASE!A:B,2,""),)</f>
        <v>0</v>
      </c>
      <c r="H1045" s="64"/>
      <c r="I1045" s="109">
        <v>43742</v>
      </c>
      <c r="J1045" s="109">
        <v>43746</v>
      </c>
      <c r="K1045" s="39" t="s">
        <v>4026</v>
      </c>
      <c r="L1045" s="76" t="s">
        <v>4027</v>
      </c>
      <c r="M1045" s="155" t="s">
        <v>3594</v>
      </c>
      <c r="N1045" s="39" t="s">
        <v>62</v>
      </c>
      <c r="O1045" s="24"/>
      <c r="P1045" s="409" t="s">
        <v>4028</v>
      </c>
      <c r="Q1045" s="76" t="s">
        <v>64</v>
      </c>
      <c r="R1045" s="76" t="s">
        <v>1885</v>
      </c>
      <c r="S1045" s="24"/>
      <c r="T1045" s="24"/>
      <c r="U1045" s="64"/>
      <c r="V1045" s="56"/>
      <c r="W1045" s="56"/>
      <c r="X1045" s="56"/>
      <c r="Y1045" s="56"/>
      <c r="Z1045" s="56"/>
      <c r="AA1045" s="56"/>
      <c r="AB1045" s="56"/>
      <c r="AC1045" s="56"/>
    </row>
    <row r="1046" spans="1:29" ht="15.75" customHeight="1">
      <c r="A1046" s="39" t="s">
        <v>3898</v>
      </c>
      <c r="B1046" s="107">
        <v>43747</v>
      </c>
      <c r="C1046" s="109">
        <v>43747</v>
      </c>
      <c r="D1046" s="76" t="s">
        <v>366</v>
      </c>
      <c r="E1046" s="76" t="s">
        <v>53</v>
      </c>
      <c r="F1046" s="39" t="s">
        <v>1761</v>
      </c>
      <c r="G1046" s="399">
        <f>IFERROR(VLOOKUP(A1046,醫療院所DATABASE!A:B,2,""),)</f>
        <v>0</v>
      </c>
      <c r="H1046" s="76" t="s">
        <v>4029</v>
      </c>
      <c r="I1046" s="109">
        <v>43742</v>
      </c>
      <c r="J1046" s="109">
        <v>43746</v>
      </c>
      <c r="K1046" s="39" t="s">
        <v>4030</v>
      </c>
      <c r="L1046" s="76" t="s">
        <v>4031</v>
      </c>
      <c r="M1046" s="155" t="s">
        <v>3594</v>
      </c>
      <c r="N1046" s="39" t="s">
        <v>62</v>
      </c>
      <c r="O1046" s="24"/>
      <c r="P1046" s="409" t="s">
        <v>4032</v>
      </c>
      <c r="Q1046" s="76" t="s">
        <v>64</v>
      </c>
      <c r="R1046" s="76" t="s">
        <v>1885</v>
      </c>
      <c r="S1046" s="24"/>
      <c r="T1046" s="24"/>
      <c r="U1046" s="64"/>
      <c r="V1046" s="56"/>
      <c r="W1046" s="56"/>
      <c r="X1046" s="56"/>
      <c r="Y1046" s="56"/>
      <c r="Z1046" s="56"/>
      <c r="AA1046" s="56"/>
      <c r="AB1046" s="56"/>
      <c r="AC1046" s="56"/>
    </row>
    <row r="1047" spans="1:29" ht="15.75" customHeight="1">
      <c r="A1047" s="39" t="s">
        <v>3898</v>
      </c>
      <c r="B1047" s="107">
        <v>43747</v>
      </c>
      <c r="C1047" s="109">
        <v>43747</v>
      </c>
      <c r="D1047" s="76" t="s">
        <v>366</v>
      </c>
      <c r="E1047" s="76" t="s">
        <v>53</v>
      </c>
      <c r="F1047" s="39" t="s">
        <v>1761</v>
      </c>
      <c r="G1047" s="399">
        <f>IFERROR(VLOOKUP(A1047,醫療院所DATABASE!A:B,2,""),)</f>
        <v>0</v>
      </c>
      <c r="H1047" s="76" t="s">
        <v>4033</v>
      </c>
      <c r="I1047" s="109">
        <v>43742</v>
      </c>
      <c r="J1047" s="109">
        <v>43746</v>
      </c>
      <c r="K1047" s="39" t="s">
        <v>4034</v>
      </c>
      <c r="L1047" s="76" t="s">
        <v>4035</v>
      </c>
      <c r="M1047" s="155" t="s">
        <v>3594</v>
      </c>
      <c r="N1047" s="39" t="s">
        <v>51</v>
      </c>
      <c r="O1047" s="24"/>
      <c r="P1047" s="409" t="s">
        <v>4036</v>
      </c>
      <c r="Q1047" s="76" t="s">
        <v>64</v>
      </c>
      <c r="R1047" s="76" t="s">
        <v>1885</v>
      </c>
      <c r="S1047" s="24"/>
      <c r="T1047" s="24"/>
      <c r="U1047" s="64"/>
      <c r="V1047" s="56"/>
      <c r="W1047" s="56"/>
      <c r="X1047" s="56"/>
      <c r="Y1047" s="56"/>
      <c r="Z1047" s="56"/>
      <c r="AA1047" s="56"/>
      <c r="AB1047" s="56"/>
      <c r="AC1047" s="56"/>
    </row>
    <row r="1048" spans="1:29" ht="15.75" customHeight="1">
      <c r="A1048" s="39" t="s">
        <v>3898</v>
      </c>
      <c r="B1048" s="107">
        <v>43747</v>
      </c>
      <c r="C1048" s="109">
        <v>43747</v>
      </c>
      <c r="D1048" s="76" t="s">
        <v>366</v>
      </c>
      <c r="E1048" s="76" t="s">
        <v>53</v>
      </c>
      <c r="F1048" s="39" t="s">
        <v>1761</v>
      </c>
      <c r="G1048" s="399">
        <f>IFERROR(VLOOKUP(A1048,醫療院所DATABASE!A:B,2,""),)</f>
        <v>0</v>
      </c>
      <c r="H1048" s="76" t="s">
        <v>4037</v>
      </c>
      <c r="I1048" s="109">
        <v>43742</v>
      </c>
      <c r="J1048" s="109">
        <v>43746</v>
      </c>
      <c r="K1048" s="39" t="s">
        <v>4038</v>
      </c>
      <c r="L1048" s="76" t="s">
        <v>4039</v>
      </c>
      <c r="M1048" s="155" t="s">
        <v>3594</v>
      </c>
      <c r="N1048" s="39" t="s">
        <v>51</v>
      </c>
      <c r="O1048" s="24"/>
      <c r="P1048" s="409" t="s">
        <v>4040</v>
      </c>
      <c r="Q1048" s="76" t="s">
        <v>64</v>
      </c>
      <c r="R1048" s="76" t="s">
        <v>1885</v>
      </c>
      <c r="S1048" s="24"/>
      <c r="T1048" s="24"/>
      <c r="U1048" s="64"/>
      <c r="V1048" s="56"/>
      <c r="W1048" s="56"/>
      <c r="X1048" s="56"/>
      <c r="Y1048" s="56"/>
      <c r="Z1048" s="56"/>
      <c r="AA1048" s="56"/>
      <c r="AB1048" s="56"/>
      <c r="AC1048" s="56"/>
    </row>
    <row r="1049" spans="1:29" ht="15.75" customHeight="1">
      <c r="A1049" s="39" t="s">
        <v>3898</v>
      </c>
      <c r="B1049" s="107">
        <v>43747</v>
      </c>
      <c r="C1049" s="109">
        <v>43747</v>
      </c>
      <c r="D1049" s="76" t="s">
        <v>366</v>
      </c>
      <c r="E1049" s="76" t="s">
        <v>53</v>
      </c>
      <c r="F1049" s="39" t="s">
        <v>1761</v>
      </c>
      <c r="G1049" s="399">
        <f>IFERROR(VLOOKUP(A1049,醫療院所DATABASE!A:B,2,""),)</f>
        <v>0</v>
      </c>
      <c r="H1049" s="76" t="s">
        <v>4041</v>
      </c>
      <c r="I1049" s="109">
        <v>43742</v>
      </c>
      <c r="J1049" s="109">
        <v>43746</v>
      </c>
      <c r="K1049" s="39" t="s">
        <v>4042</v>
      </c>
      <c r="L1049" s="76" t="s">
        <v>4043</v>
      </c>
      <c r="M1049" s="155" t="s">
        <v>3594</v>
      </c>
      <c r="N1049" s="39" t="s">
        <v>51</v>
      </c>
      <c r="O1049" s="24"/>
      <c r="P1049" s="409" t="s">
        <v>4044</v>
      </c>
      <c r="Q1049" s="76" t="s">
        <v>64</v>
      </c>
      <c r="R1049" s="76" t="s">
        <v>1885</v>
      </c>
      <c r="S1049" s="24"/>
      <c r="T1049" s="24"/>
      <c r="U1049" s="64"/>
      <c r="V1049" s="56"/>
      <c r="W1049" s="56"/>
      <c r="X1049" s="56"/>
      <c r="Y1049" s="56"/>
      <c r="Z1049" s="56"/>
      <c r="AA1049" s="56"/>
      <c r="AB1049" s="56"/>
      <c r="AC1049" s="56"/>
    </row>
    <row r="1050" spans="1:29" ht="15.75" customHeight="1">
      <c r="A1050" s="39" t="s">
        <v>3898</v>
      </c>
      <c r="B1050" s="107">
        <v>43747</v>
      </c>
      <c r="C1050" s="109">
        <v>43747</v>
      </c>
      <c r="D1050" s="76" t="s">
        <v>366</v>
      </c>
      <c r="E1050" s="76" t="s">
        <v>53</v>
      </c>
      <c r="F1050" s="39" t="s">
        <v>1761</v>
      </c>
      <c r="G1050" s="399">
        <f>IFERROR(VLOOKUP(A1050,醫療院所DATABASE!A:B,2,""),)</f>
        <v>0</v>
      </c>
      <c r="H1050" s="76" t="s">
        <v>4045</v>
      </c>
      <c r="I1050" s="109">
        <v>43742</v>
      </c>
      <c r="J1050" s="109">
        <v>43746</v>
      </c>
      <c r="K1050" s="39" t="s">
        <v>4046</v>
      </c>
      <c r="L1050" s="76" t="s">
        <v>4047</v>
      </c>
      <c r="M1050" s="155" t="s">
        <v>3594</v>
      </c>
      <c r="N1050" s="39" t="s">
        <v>51</v>
      </c>
      <c r="O1050" s="24"/>
      <c r="P1050" s="409" t="s">
        <v>4048</v>
      </c>
      <c r="Q1050" s="76" t="s">
        <v>64</v>
      </c>
      <c r="R1050" s="76" t="s">
        <v>1885</v>
      </c>
      <c r="S1050" s="24"/>
      <c r="T1050" s="24"/>
      <c r="U1050" s="64"/>
      <c r="V1050" s="56"/>
      <c r="W1050" s="56"/>
      <c r="X1050" s="56"/>
      <c r="Y1050" s="56"/>
      <c r="Z1050" s="56"/>
      <c r="AA1050" s="56"/>
      <c r="AB1050" s="56"/>
      <c r="AC1050" s="56"/>
    </row>
    <row r="1051" spans="1:29" ht="15.75" customHeight="1">
      <c r="A1051" s="39" t="s">
        <v>3898</v>
      </c>
      <c r="B1051" s="107">
        <v>43747</v>
      </c>
      <c r="C1051" s="109">
        <v>43747</v>
      </c>
      <c r="D1051" s="76" t="s">
        <v>366</v>
      </c>
      <c r="E1051" s="76" t="s">
        <v>53</v>
      </c>
      <c r="F1051" s="39" t="s">
        <v>1761</v>
      </c>
      <c r="G1051" s="399">
        <f>IFERROR(VLOOKUP(A1051,醫療院所DATABASE!A:B,2,""),)</f>
        <v>0</v>
      </c>
      <c r="H1051" s="76" t="s">
        <v>4047</v>
      </c>
      <c r="I1051" s="109">
        <v>43742</v>
      </c>
      <c r="J1051" s="109">
        <v>43746</v>
      </c>
      <c r="K1051" s="39" t="s">
        <v>4049</v>
      </c>
      <c r="L1051" s="76" t="s">
        <v>4045</v>
      </c>
      <c r="M1051" s="155" t="s">
        <v>3594</v>
      </c>
      <c r="N1051" s="39" t="s">
        <v>62</v>
      </c>
      <c r="O1051" s="24"/>
      <c r="P1051" s="409" t="s">
        <v>4050</v>
      </c>
      <c r="Q1051" s="76" t="s">
        <v>64</v>
      </c>
      <c r="R1051" s="76" t="s">
        <v>1885</v>
      </c>
      <c r="S1051" s="24"/>
      <c r="T1051" s="24"/>
      <c r="U1051" s="64"/>
      <c r="V1051" s="56"/>
      <c r="W1051" s="56"/>
      <c r="X1051" s="56"/>
      <c r="Y1051" s="56"/>
      <c r="Z1051" s="56"/>
      <c r="AA1051" s="56"/>
      <c r="AB1051" s="56"/>
      <c r="AC1051" s="56"/>
    </row>
    <row r="1052" spans="1:29" ht="15.75" customHeight="1">
      <c r="A1052" s="39" t="s">
        <v>3898</v>
      </c>
      <c r="B1052" s="107">
        <v>43747</v>
      </c>
      <c r="C1052" s="109">
        <v>43747</v>
      </c>
      <c r="D1052" s="76" t="s">
        <v>366</v>
      </c>
      <c r="E1052" s="76" t="s">
        <v>53</v>
      </c>
      <c r="F1052" s="39" t="s">
        <v>1761</v>
      </c>
      <c r="G1052" s="399">
        <f>IFERROR(VLOOKUP(A1052,醫療院所DATABASE!A:B,2,""),)</f>
        <v>0</v>
      </c>
      <c r="H1052" s="64"/>
      <c r="I1052" s="109">
        <v>43742</v>
      </c>
      <c r="J1052" s="109">
        <v>43746</v>
      </c>
      <c r="K1052" s="39" t="s">
        <v>4051</v>
      </c>
      <c r="L1052" s="76" t="s">
        <v>4052</v>
      </c>
      <c r="M1052" s="155" t="s">
        <v>3594</v>
      </c>
      <c r="N1052" s="39" t="s">
        <v>51</v>
      </c>
      <c r="O1052" s="24"/>
      <c r="P1052" s="409" t="s">
        <v>4053</v>
      </c>
      <c r="Q1052" s="76" t="s">
        <v>64</v>
      </c>
      <c r="R1052" s="76" t="s">
        <v>1885</v>
      </c>
      <c r="S1052" s="24"/>
      <c r="T1052" s="24"/>
      <c r="U1052" s="64"/>
      <c r="V1052" s="56"/>
      <c r="W1052" s="56"/>
      <c r="X1052" s="56"/>
      <c r="Y1052" s="56"/>
      <c r="Z1052" s="56"/>
      <c r="AA1052" s="56"/>
      <c r="AB1052" s="56"/>
      <c r="AC1052" s="56"/>
    </row>
    <row r="1053" spans="1:29" ht="15.75" customHeight="1">
      <c r="A1053" s="39" t="s">
        <v>3898</v>
      </c>
      <c r="B1053" s="107">
        <v>43747</v>
      </c>
      <c r="C1053" s="109">
        <v>43747</v>
      </c>
      <c r="D1053" s="76" t="s">
        <v>366</v>
      </c>
      <c r="E1053" s="76" t="s">
        <v>53</v>
      </c>
      <c r="F1053" s="39" t="s">
        <v>1761</v>
      </c>
      <c r="G1053" s="399">
        <f>IFERROR(VLOOKUP(A1053,醫療院所DATABASE!A:B,2,""),)</f>
        <v>0</v>
      </c>
      <c r="H1053" s="64"/>
      <c r="I1053" s="109">
        <v>43742</v>
      </c>
      <c r="J1053" s="109">
        <v>43746</v>
      </c>
      <c r="K1053" s="39" t="s">
        <v>604</v>
      </c>
      <c r="L1053" s="76" t="s">
        <v>605</v>
      </c>
      <c r="M1053" s="155" t="s">
        <v>3594</v>
      </c>
      <c r="N1053" s="39" t="s">
        <v>62</v>
      </c>
      <c r="O1053" s="24"/>
      <c r="P1053" s="409" t="s">
        <v>4054</v>
      </c>
      <c r="Q1053" s="76" t="s">
        <v>64</v>
      </c>
      <c r="R1053" s="76" t="s">
        <v>1885</v>
      </c>
      <c r="S1053" s="24"/>
      <c r="T1053" s="24"/>
      <c r="U1053" s="64"/>
      <c r="V1053" s="56"/>
      <c r="W1053" s="56"/>
      <c r="X1053" s="56"/>
      <c r="Y1053" s="56"/>
      <c r="Z1053" s="56"/>
      <c r="AA1053" s="56"/>
      <c r="AB1053" s="56"/>
      <c r="AC1053" s="56"/>
    </row>
    <row r="1054" spans="1:29" ht="15.75" customHeight="1">
      <c r="A1054" s="39" t="s">
        <v>3152</v>
      </c>
      <c r="B1054" s="107">
        <v>43762</v>
      </c>
      <c r="C1054" s="191">
        <v>43763</v>
      </c>
      <c r="D1054" s="76" t="s">
        <v>1542</v>
      </c>
      <c r="E1054" s="76" t="s">
        <v>53</v>
      </c>
      <c r="F1054" s="192" t="s">
        <v>3153</v>
      </c>
      <c r="G1054" s="399">
        <f>IFERROR(VLOOKUP(A1054,醫療院所DATABASE!A:B,2,""),)</f>
        <v>0</v>
      </c>
      <c r="H1054" s="64"/>
      <c r="I1054" s="109">
        <v>43745</v>
      </c>
      <c r="J1054" s="109">
        <v>43747</v>
      </c>
      <c r="K1054" s="39" t="s">
        <v>4055</v>
      </c>
      <c r="L1054" s="76" t="s">
        <v>4056</v>
      </c>
      <c r="M1054" s="193" t="s">
        <v>4057</v>
      </c>
      <c r="N1054" s="39" t="s">
        <v>62</v>
      </c>
      <c r="O1054" s="24"/>
      <c r="P1054" s="409" t="s">
        <v>4058</v>
      </c>
      <c r="Q1054" s="76" t="s">
        <v>64</v>
      </c>
      <c r="R1054" s="76" t="s">
        <v>1885</v>
      </c>
      <c r="S1054" s="24"/>
      <c r="T1054" s="24"/>
      <c r="U1054" s="64"/>
      <c r="V1054" s="56"/>
      <c r="W1054" s="56"/>
      <c r="X1054" s="56"/>
      <c r="Y1054" s="56"/>
      <c r="Z1054" s="56"/>
      <c r="AA1054" s="56"/>
      <c r="AB1054" s="56"/>
      <c r="AC1054" s="56"/>
    </row>
    <row r="1055" spans="1:29" ht="15.75" customHeight="1">
      <c r="A1055" s="39" t="s">
        <v>4012</v>
      </c>
      <c r="B1055" s="107">
        <v>43753</v>
      </c>
      <c r="C1055" s="109">
        <v>43754</v>
      </c>
      <c r="D1055" s="76" t="s">
        <v>543</v>
      </c>
      <c r="E1055" s="76" t="s">
        <v>543</v>
      </c>
      <c r="F1055" s="39" t="s">
        <v>4059</v>
      </c>
      <c r="G1055" s="399">
        <f>IFERROR(VLOOKUP(A1055,醫療院所DATABASE!A:B,2,""),)</f>
        <v>0</v>
      </c>
      <c r="H1055" s="64"/>
      <c r="I1055" s="109">
        <v>43746</v>
      </c>
      <c r="J1055" s="109">
        <v>43752</v>
      </c>
      <c r="K1055" s="39" t="s">
        <v>4060</v>
      </c>
      <c r="L1055" s="76" t="s">
        <v>4061</v>
      </c>
      <c r="M1055" s="155" t="s">
        <v>3594</v>
      </c>
      <c r="N1055" s="39" t="s">
        <v>62</v>
      </c>
      <c r="O1055" s="24"/>
      <c r="P1055" s="409" t="s">
        <v>4062</v>
      </c>
      <c r="Q1055" s="76" t="s">
        <v>64</v>
      </c>
      <c r="R1055" s="76" t="s">
        <v>1885</v>
      </c>
      <c r="S1055" s="24"/>
      <c r="T1055" s="24"/>
      <c r="U1055" s="64"/>
      <c r="V1055" s="56"/>
      <c r="W1055" s="56"/>
      <c r="X1055" s="56"/>
      <c r="Y1055" s="56"/>
      <c r="Z1055" s="56"/>
      <c r="AA1055" s="56"/>
      <c r="AB1055" s="56"/>
      <c r="AC1055" s="56"/>
    </row>
    <row r="1056" spans="1:29" ht="15.75" customHeight="1">
      <c r="A1056" s="39" t="s">
        <v>4063</v>
      </c>
      <c r="B1056" s="107">
        <v>43753</v>
      </c>
      <c r="C1056" s="109">
        <v>43754</v>
      </c>
      <c r="D1056" s="76" t="s">
        <v>1542</v>
      </c>
      <c r="E1056" s="76" t="s">
        <v>53</v>
      </c>
      <c r="F1056" s="39" t="s">
        <v>2304</v>
      </c>
      <c r="G1056" s="399">
        <f>IFERROR(VLOOKUP(A1056,醫療院所DATABASE!A:B,2,""),)</f>
        <v>0</v>
      </c>
      <c r="H1056" s="64"/>
      <c r="I1056" s="109">
        <v>43746</v>
      </c>
      <c r="J1056" s="109">
        <v>43752</v>
      </c>
      <c r="K1056" s="39" t="s">
        <v>4064</v>
      </c>
      <c r="L1056" s="76" t="s">
        <v>4065</v>
      </c>
      <c r="M1056" s="155" t="s">
        <v>3594</v>
      </c>
      <c r="N1056" s="39" t="s">
        <v>51</v>
      </c>
      <c r="O1056" s="24"/>
      <c r="P1056" s="409" t="s">
        <v>4066</v>
      </c>
      <c r="Q1056" s="76" t="s">
        <v>1931</v>
      </c>
      <c r="R1056" s="76" t="s">
        <v>1885</v>
      </c>
      <c r="S1056" s="24"/>
      <c r="T1056" s="24"/>
      <c r="U1056" s="64"/>
      <c r="V1056" s="56"/>
      <c r="W1056" s="56"/>
      <c r="X1056" s="56"/>
      <c r="Y1056" s="56"/>
      <c r="Z1056" s="56"/>
      <c r="AA1056" s="56"/>
      <c r="AB1056" s="56"/>
      <c r="AC1056" s="56"/>
    </row>
    <row r="1057" spans="1:29" ht="15.75" customHeight="1">
      <c r="A1057" s="39" t="s">
        <v>4067</v>
      </c>
      <c r="B1057" s="107">
        <v>43754</v>
      </c>
      <c r="C1057" s="109">
        <v>43755</v>
      </c>
      <c r="D1057" s="76" t="s">
        <v>53</v>
      </c>
      <c r="E1057" s="76" t="s">
        <v>53</v>
      </c>
      <c r="F1057" s="39" t="s">
        <v>1614</v>
      </c>
      <c r="G1057" s="399">
        <f>IFERROR(VLOOKUP(A1057,醫療院所DATABASE!A:B,2,""),)</f>
        <v>0</v>
      </c>
      <c r="H1057" s="64"/>
      <c r="I1057" s="109">
        <v>43746</v>
      </c>
      <c r="J1057" s="109">
        <v>43752</v>
      </c>
      <c r="K1057" s="39" t="s">
        <v>3555</v>
      </c>
      <c r="L1057" s="76" t="s">
        <v>3556</v>
      </c>
      <c r="M1057" s="193" t="s">
        <v>4057</v>
      </c>
      <c r="N1057" s="39" t="s">
        <v>62</v>
      </c>
      <c r="O1057" s="24"/>
      <c r="P1057" s="409" t="s">
        <v>4068</v>
      </c>
      <c r="Q1057" s="76" t="s">
        <v>1931</v>
      </c>
      <c r="R1057" s="76" t="s">
        <v>1885</v>
      </c>
      <c r="S1057" s="24"/>
      <c r="T1057" s="24"/>
      <c r="U1057" s="76" t="s">
        <v>3558</v>
      </c>
      <c r="V1057" s="56"/>
      <c r="W1057" s="56"/>
      <c r="X1057" s="56"/>
      <c r="Y1057" s="56"/>
      <c r="Z1057" s="56"/>
      <c r="AA1057" s="56"/>
      <c r="AB1057" s="56"/>
      <c r="AC1057" s="56"/>
    </row>
    <row r="1058" spans="1:29" ht="15.75" customHeight="1">
      <c r="A1058" s="39" t="s">
        <v>3152</v>
      </c>
      <c r="B1058" s="107">
        <v>43762</v>
      </c>
      <c r="C1058" s="191">
        <v>43763</v>
      </c>
      <c r="D1058" s="76" t="s">
        <v>1542</v>
      </c>
      <c r="E1058" s="76" t="s">
        <v>53</v>
      </c>
      <c r="F1058" s="192" t="s">
        <v>3153</v>
      </c>
      <c r="G1058" s="399">
        <f>IFERROR(VLOOKUP(A1058,醫療院所DATABASE!A:B,2,""),)</f>
        <v>0</v>
      </c>
      <c r="H1058" s="64"/>
      <c r="I1058" s="109">
        <v>43746</v>
      </c>
      <c r="J1058" s="109">
        <v>43752</v>
      </c>
      <c r="K1058" s="39" t="s">
        <v>4069</v>
      </c>
      <c r="L1058" s="76" t="s">
        <v>4070</v>
      </c>
      <c r="M1058" s="193" t="s">
        <v>4071</v>
      </c>
      <c r="N1058" s="39" t="s">
        <v>62</v>
      </c>
      <c r="O1058" s="24"/>
      <c r="P1058" s="409" t="s">
        <v>4072</v>
      </c>
      <c r="Q1058" s="76" t="s">
        <v>1931</v>
      </c>
      <c r="R1058" s="76" t="s">
        <v>1885</v>
      </c>
      <c r="S1058" s="24"/>
      <c r="T1058" s="24"/>
      <c r="U1058" s="64"/>
      <c r="V1058" s="56"/>
      <c r="W1058" s="56"/>
      <c r="X1058" s="56"/>
      <c r="Y1058" s="56"/>
      <c r="Z1058" s="56"/>
      <c r="AA1058" s="56"/>
      <c r="AB1058" s="56"/>
      <c r="AC1058" s="56"/>
    </row>
    <row r="1059" spans="1:29" ht="15.75" customHeight="1">
      <c r="A1059" s="39" t="s">
        <v>3152</v>
      </c>
      <c r="B1059" s="107">
        <v>43762</v>
      </c>
      <c r="C1059" s="191">
        <v>43763</v>
      </c>
      <c r="D1059" s="76" t="s">
        <v>1542</v>
      </c>
      <c r="E1059" s="76" t="s">
        <v>53</v>
      </c>
      <c r="F1059" s="192" t="s">
        <v>3153</v>
      </c>
      <c r="G1059" s="399">
        <f>IFERROR(VLOOKUP(A1059,醫療院所DATABASE!A:B,2,""),)</f>
        <v>0</v>
      </c>
      <c r="H1059" s="64"/>
      <c r="I1059" s="109">
        <v>43746</v>
      </c>
      <c r="J1059" s="109">
        <v>43752</v>
      </c>
      <c r="K1059" s="39" t="s">
        <v>4073</v>
      </c>
      <c r="L1059" s="76" t="s">
        <v>4074</v>
      </c>
      <c r="M1059" s="193" t="s">
        <v>4057</v>
      </c>
      <c r="N1059" s="39" t="s">
        <v>62</v>
      </c>
      <c r="O1059" s="24"/>
      <c r="P1059" s="409" t="s">
        <v>4075</v>
      </c>
      <c r="Q1059" s="76" t="s">
        <v>1931</v>
      </c>
      <c r="R1059" s="76" t="s">
        <v>1885</v>
      </c>
      <c r="S1059" s="24"/>
      <c r="T1059" s="24"/>
      <c r="U1059" s="64"/>
      <c r="V1059" s="56"/>
      <c r="W1059" s="56"/>
      <c r="X1059" s="56"/>
      <c r="Y1059" s="56"/>
      <c r="Z1059" s="56"/>
      <c r="AA1059" s="56"/>
      <c r="AB1059" s="56"/>
      <c r="AC1059" s="56"/>
    </row>
    <row r="1060" spans="1:29" ht="15.75" customHeight="1">
      <c r="A1060" s="39" t="s">
        <v>4076</v>
      </c>
      <c r="B1060" s="107">
        <v>43754</v>
      </c>
      <c r="C1060" s="109">
        <v>43755</v>
      </c>
      <c r="D1060" s="76" t="s">
        <v>1613</v>
      </c>
      <c r="E1060" s="76" t="s">
        <v>53</v>
      </c>
      <c r="F1060" s="39" t="s">
        <v>2304</v>
      </c>
      <c r="G1060" s="399">
        <f>IFERROR(VLOOKUP(A1060,醫療院所DATABASE!A:B,2,""),)</f>
        <v>0</v>
      </c>
      <c r="H1060" s="64"/>
      <c r="I1060" s="109">
        <v>43746</v>
      </c>
      <c r="J1060" s="109">
        <v>43752</v>
      </c>
      <c r="K1060" s="39" t="s">
        <v>4077</v>
      </c>
      <c r="L1060" s="76" t="s">
        <v>4078</v>
      </c>
      <c r="M1060" s="39" t="s">
        <v>3893</v>
      </c>
      <c r="N1060" s="39" t="s">
        <v>62</v>
      </c>
      <c r="O1060" s="24"/>
      <c r="P1060" s="409" t="s">
        <v>4079</v>
      </c>
      <c r="Q1060" s="76" t="s">
        <v>1931</v>
      </c>
      <c r="R1060" s="76" t="s">
        <v>1885</v>
      </c>
      <c r="S1060" s="24"/>
      <c r="T1060" s="24"/>
      <c r="U1060" s="64"/>
      <c r="V1060" s="56"/>
      <c r="W1060" s="56"/>
      <c r="X1060" s="56"/>
      <c r="Y1060" s="56"/>
      <c r="Z1060" s="56"/>
      <c r="AA1060" s="56"/>
      <c r="AB1060" s="56"/>
      <c r="AC1060" s="56"/>
    </row>
    <row r="1061" spans="1:29" ht="15.75" customHeight="1">
      <c r="A1061" s="39" t="s">
        <v>4080</v>
      </c>
      <c r="B1061" s="107">
        <v>43755</v>
      </c>
      <c r="C1061" s="109">
        <v>43755</v>
      </c>
      <c r="D1061" s="76" t="s">
        <v>665</v>
      </c>
      <c r="E1061" s="76" t="s">
        <v>665</v>
      </c>
      <c r="F1061" s="39" t="s">
        <v>4013</v>
      </c>
      <c r="G1061" s="399">
        <f>IFERROR(VLOOKUP(A1061,醫療院所DATABASE!A:B,2,""),)</f>
        <v>0</v>
      </c>
      <c r="H1061" s="64"/>
      <c r="I1061" s="109">
        <v>43753</v>
      </c>
      <c r="J1061" s="109">
        <v>43755</v>
      </c>
      <c r="K1061" s="39" t="s">
        <v>4081</v>
      </c>
      <c r="L1061" s="76" t="s">
        <v>4082</v>
      </c>
      <c r="M1061" s="155" t="s">
        <v>3594</v>
      </c>
      <c r="N1061" s="39" t="s">
        <v>62</v>
      </c>
      <c r="O1061" s="24"/>
      <c r="P1061" s="409" t="s">
        <v>4083</v>
      </c>
      <c r="Q1061" s="76" t="s">
        <v>64</v>
      </c>
      <c r="R1061" s="76" t="s">
        <v>1885</v>
      </c>
      <c r="S1061" s="24"/>
      <c r="T1061" s="24"/>
      <c r="U1061" s="64"/>
      <c r="V1061" s="56"/>
      <c r="W1061" s="56"/>
      <c r="X1061" s="56"/>
      <c r="Y1061" s="56"/>
      <c r="Z1061" s="56"/>
      <c r="AA1061" s="56"/>
      <c r="AB1061" s="56"/>
      <c r="AC1061" s="56"/>
    </row>
    <row r="1062" spans="1:29" ht="15.75" customHeight="1">
      <c r="A1062" s="39" t="s">
        <v>3890</v>
      </c>
      <c r="B1062" s="109">
        <v>43761</v>
      </c>
      <c r="C1062" s="191">
        <v>43762</v>
      </c>
      <c r="D1062" s="76" t="s">
        <v>1542</v>
      </c>
      <c r="E1062" s="76" t="s">
        <v>53</v>
      </c>
      <c r="F1062" s="192" t="s">
        <v>3153</v>
      </c>
      <c r="G1062" s="399">
        <f>IFERROR(VLOOKUP(A1062,醫療院所DATABASE!A:B,2,""),)</f>
        <v>0</v>
      </c>
      <c r="H1062" s="64"/>
      <c r="I1062" s="109">
        <v>43753</v>
      </c>
      <c r="J1062" s="109">
        <v>43755</v>
      </c>
      <c r="K1062" s="39" t="s">
        <v>4084</v>
      </c>
      <c r="L1062" s="76" t="s">
        <v>4085</v>
      </c>
      <c r="M1062" s="39" t="s">
        <v>3893</v>
      </c>
      <c r="N1062" s="39" t="s">
        <v>62</v>
      </c>
      <c r="O1062" s="24"/>
      <c r="P1062" s="409" t="s">
        <v>4086</v>
      </c>
      <c r="Q1062" s="76" t="s">
        <v>64</v>
      </c>
      <c r="R1062" s="76" t="s">
        <v>1885</v>
      </c>
      <c r="S1062" s="24"/>
      <c r="T1062" s="24"/>
      <c r="U1062" s="64"/>
      <c r="V1062" s="56"/>
      <c r="W1062" s="56"/>
      <c r="X1062" s="56"/>
      <c r="Y1062" s="56"/>
      <c r="Z1062" s="56"/>
      <c r="AA1062" s="56"/>
      <c r="AB1062" s="56"/>
      <c r="AC1062" s="56"/>
    </row>
    <row r="1063" spans="1:29" ht="15.75" customHeight="1">
      <c r="A1063" s="39" t="s">
        <v>3890</v>
      </c>
      <c r="B1063" s="109">
        <v>43761</v>
      </c>
      <c r="C1063" s="191">
        <v>43762</v>
      </c>
      <c r="D1063" s="76" t="s">
        <v>1542</v>
      </c>
      <c r="E1063" s="76" t="s">
        <v>53</v>
      </c>
      <c r="F1063" s="192" t="s">
        <v>3153</v>
      </c>
      <c r="G1063" s="399">
        <f>IFERROR(VLOOKUP(A1063,醫療院所DATABASE!A:B,2,""),)</f>
        <v>0</v>
      </c>
      <c r="H1063" s="64"/>
      <c r="I1063" s="109">
        <v>43753</v>
      </c>
      <c r="J1063" s="109">
        <v>43755</v>
      </c>
      <c r="K1063" s="39" t="s">
        <v>4087</v>
      </c>
      <c r="L1063" s="76" t="s">
        <v>4088</v>
      </c>
      <c r="M1063" s="39" t="s">
        <v>3893</v>
      </c>
      <c r="N1063" s="39" t="s">
        <v>51</v>
      </c>
      <c r="O1063" s="24"/>
      <c r="P1063" s="409" t="s">
        <v>4089</v>
      </c>
      <c r="Q1063" s="76" t="s">
        <v>64</v>
      </c>
      <c r="R1063" s="76" t="s">
        <v>1885</v>
      </c>
      <c r="S1063" s="24"/>
      <c r="T1063" s="24"/>
      <c r="U1063" s="64"/>
      <c r="V1063" s="56"/>
      <c r="W1063" s="56"/>
      <c r="X1063" s="56"/>
      <c r="Y1063" s="56"/>
      <c r="Z1063" s="56"/>
      <c r="AA1063" s="56"/>
      <c r="AB1063" s="56"/>
      <c r="AC1063" s="56"/>
    </row>
    <row r="1064" spans="1:29" ht="15.75" customHeight="1">
      <c r="A1064" s="39" t="s">
        <v>3339</v>
      </c>
      <c r="B1064" s="107">
        <v>43756</v>
      </c>
      <c r="C1064" s="109">
        <v>43756</v>
      </c>
      <c r="D1064" s="76" t="s">
        <v>1542</v>
      </c>
      <c r="E1064" s="76" t="s">
        <v>1542</v>
      </c>
      <c r="F1064" s="39" t="s">
        <v>2304</v>
      </c>
      <c r="G1064" s="399">
        <f>IFERROR(VLOOKUP(A1064,醫療院所DATABASE!A:B,2,""),)</f>
        <v>0</v>
      </c>
      <c r="H1064" s="64"/>
      <c r="I1064" s="109">
        <v>43754</v>
      </c>
      <c r="J1064" s="109">
        <v>43756</v>
      </c>
      <c r="K1064" s="39" t="s">
        <v>4090</v>
      </c>
      <c r="L1064" s="76" t="s">
        <v>4091</v>
      </c>
      <c r="M1064" s="155" t="s">
        <v>3594</v>
      </c>
      <c r="N1064" s="39" t="s">
        <v>62</v>
      </c>
      <c r="O1064" s="24"/>
      <c r="P1064" s="409" t="s">
        <v>4092</v>
      </c>
      <c r="Q1064" s="76" t="s">
        <v>1931</v>
      </c>
      <c r="R1064" s="76" t="s">
        <v>1885</v>
      </c>
      <c r="S1064" s="24"/>
      <c r="T1064" s="24"/>
      <c r="U1064" s="64"/>
      <c r="V1064" s="56"/>
      <c r="W1064" s="56"/>
      <c r="X1064" s="56"/>
      <c r="Y1064" s="56"/>
      <c r="Z1064" s="56"/>
      <c r="AA1064" s="56"/>
      <c r="AB1064" s="56"/>
      <c r="AC1064" s="56"/>
    </row>
    <row r="1065" spans="1:29" ht="15.75" customHeight="1">
      <c r="A1065" s="39" t="s">
        <v>4093</v>
      </c>
      <c r="B1065" s="107">
        <v>43756</v>
      </c>
      <c r="C1065" s="109">
        <v>43762</v>
      </c>
      <c r="D1065" s="76" t="s">
        <v>543</v>
      </c>
      <c r="E1065" s="76" t="s">
        <v>543</v>
      </c>
      <c r="F1065" s="39" t="s">
        <v>2304</v>
      </c>
      <c r="G1065" s="399">
        <f>IFERROR(VLOOKUP(A1065,醫療院所DATABASE!A:B,2,""),)</f>
        <v>0</v>
      </c>
      <c r="H1065" s="64"/>
      <c r="I1065" s="109">
        <v>43755</v>
      </c>
      <c r="J1065" s="109">
        <v>43759</v>
      </c>
      <c r="K1065" s="39" t="s">
        <v>4094</v>
      </c>
      <c r="L1065" s="76" t="s">
        <v>4095</v>
      </c>
      <c r="M1065" s="155" t="s">
        <v>3594</v>
      </c>
      <c r="N1065" s="39" t="s">
        <v>62</v>
      </c>
      <c r="O1065" s="24"/>
      <c r="P1065" s="409" t="s">
        <v>4096</v>
      </c>
      <c r="Q1065" s="76" t="s">
        <v>64</v>
      </c>
      <c r="R1065" s="76" t="s">
        <v>1893</v>
      </c>
      <c r="S1065" s="24"/>
      <c r="T1065" s="24"/>
      <c r="U1065" s="64"/>
      <c r="V1065" s="56"/>
      <c r="W1065" s="56"/>
      <c r="X1065" s="56"/>
      <c r="Y1065" s="56"/>
      <c r="Z1065" s="56"/>
      <c r="AA1065" s="56"/>
      <c r="AB1065" s="56"/>
      <c r="AC1065" s="56"/>
    </row>
    <row r="1066" spans="1:29" ht="15.75" customHeight="1">
      <c r="A1066" s="39" t="s">
        <v>4093</v>
      </c>
      <c r="B1066" s="107">
        <v>43756</v>
      </c>
      <c r="C1066" s="109">
        <v>43762</v>
      </c>
      <c r="D1066" s="76" t="s">
        <v>543</v>
      </c>
      <c r="E1066" s="76" t="s">
        <v>543</v>
      </c>
      <c r="F1066" s="39" t="s">
        <v>2304</v>
      </c>
      <c r="G1066" s="399">
        <f>IFERROR(VLOOKUP(A1066,醫療院所DATABASE!A:B,2,""),)</f>
        <v>0</v>
      </c>
      <c r="H1066" s="64"/>
      <c r="I1066" s="109">
        <v>43755</v>
      </c>
      <c r="J1066" s="109">
        <v>43759</v>
      </c>
      <c r="K1066" s="39" t="s">
        <v>4097</v>
      </c>
      <c r="L1066" s="76" t="s">
        <v>4098</v>
      </c>
      <c r="M1066" s="155" t="s">
        <v>3594</v>
      </c>
      <c r="N1066" s="39" t="s">
        <v>62</v>
      </c>
      <c r="O1066" s="24"/>
      <c r="P1066" s="409" t="s">
        <v>4099</v>
      </c>
      <c r="Q1066" s="76" t="s">
        <v>64</v>
      </c>
      <c r="R1066" s="76" t="s">
        <v>1893</v>
      </c>
      <c r="S1066" s="24"/>
      <c r="T1066" s="24"/>
      <c r="U1066" s="64"/>
      <c r="V1066" s="56"/>
      <c r="W1066" s="56"/>
      <c r="X1066" s="56"/>
      <c r="Y1066" s="56"/>
      <c r="Z1066" s="56"/>
      <c r="AA1066" s="56"/>
      <c r="AB1066" s="56"/>
      <c r="AC1066" s="56"/>
    </row>
    <row r="1067" spans="1:29" ht="15.75" customHeight="1">
      <c r="A1067" s="39" t="s">
        <v>4100</v>
      </c>
      <c r="B1067" s="109">
        <v>43761</v>
      </c>
      <c r="C1067" s="109">
        <v>43762</v>
      </c>
      <c r="D1067" s="76" t="s">
        <v>1910</v>
      </c>
      <c r="E1067" s="76" t="s">
        <v>479</v>
      </c>
      <c r="F1067" s="39" t="s">
        <v>4101</v>
      </c>
      <c r="G1067" s="399">
        <f>IFERROR(VLOOKUP(A1067,醫療院所DATABASE!A:B,2,""),)</f>
        <v>0</v>
      </c>
      <c r="H1067" s="76" t="s">
        <v>3751</v>
      </c>
      <c r="I1067" s="109">
        <v>43755</v>
      </c>
      <c r="J1067" s="109">
        <v>43759</v>
      </c>
      <c r="K1067" s="39" t="s">
        <v>4102</v>
      </c>
      <c r="L1067" s="76" t="s">
        <v>4103</v>
      </c>
      <c r="M1067" s="155" t="s">
        <v>3594</v>
      </c>
      <c r="N1067" s="39" t="s">
        <v>62</v>
      </c>
      <c r="O1067" s="24"/>
      <c r="P1067" s="409" t="s">
        <v>4104</v>
      </c>
      <c r="Q1067" s="76" t="s">
        <v>1931</v>
      </c>
      <c r="R1067" s="76" t="s">
        <v>1885</v>
      </c>
      <c r="S1067" s="24"/>
      <c r="T1067" s="24"/>
      <c r="U1067" s="64"/>
      <c r="V1067" s="56"/>
      <c r="W1067" s="56"/>
      <c r="X1067" s="56"/>
      <c r="Y1067" s="56"/>
      <c r="Z1067" s="56"/>
      <c r="AA1067" s="56"/>
      <c r="AB1067" s="56"/>
      <c r="AC1067" s="56"/>
    </row>
    <row r="1068" spans="1:29" ht="15.75" customHeight="1">
      <c r="A1068" s="39" t="s">
        <v>4100</v>
      </c>
      <c r="B1068" s="109">
        <v>43761</v>
      </c>
      <c r="C1068" s="109">
        <v>43762</v>
      </c>
      <c r="D1068" s="76" t="s">
        <v>1910</v>
      </c>
      <c r="E1068" s="76" t="s">
        <v>479</v>
      </c>
      <c r="F1068" s="39" t="s">
        <v>4101</v>
      </c>
      <c r="G1068" s="399">
        <f>IFERROR(VLOOKUP(A1068,醫療院所DATABASE!A:B,2,""),)</f>
        <v>0</v>
      </c>
      <c r="H1068" s="76" t="s">
        <v>3751</v>
      </c>
      <c r="I1068" s="109">
        <v>43755</v>
      </c>
      <c r="J1068" s="109">
        <v>43759</v>
      </c>
      <c r="K1068" s="39" t="s">
        <v>4102</v>
      </c>
      <c r="L1068" s="76" t="s">
        <v>4103</v>
      </c>
      <c r="M1068" s="39" t="s">
        <v>4105</v>
      </c>
      <c r="N1068" s="39" t="s">
        <v>62</v>
      </c>
      <c r="O1068" s="24"/>
      <c r="P1068" s="409" t="s">
        <v>4106</v>
      </c>
      <c r="Q1068" s="76" t="s">
        <v>1931</v>
      </c>
      <c r="R1068" s="76" t="s">
        <v>1885</v>
      </c>
      <c r="S1068" s="24"/>
      <c r="T1068" s="24"/>
      <c r="U1068" s="76" t="s">
        <v>4104</v>
      </c>
      <c r="V1068" s="56"/>
      <c r="W1068" s="56"/>
      <c r="X1068" s="56"/>
      <c r="Y1068" s="56"/>
      <c r="Z1068" s="56"/>
      <c r="AA1068" s="56"/>
      <c r="AB1068" s="56"/>
      <c r="AC1068" s="56"/>
    </row>
    <row r="1069" spans="1:29" ht="15.75" customHeight="1">
      <c r="A1069" s="39" t="s">
        <v>4107</v>
      </c>
      <c r="B1069" s="109">
        <v>43761</v>
      </c>
      <c r="C1069" s="109">
        <v>43762</v>
      </c>
      <c r="D1069" s="76" t="s">
        <v>543</v>
      </c>
      <c r="E1069" s="76" t="s">
        <v>543</v>
      </c>
      <c r="F1069" s="39" t="s">
        <v>1569</v>
      </c>
      <c r="G1069" s="399">
        <f>IFERROR(VLOOKUP(A1069,醫療院所DATABASE!A:B,2,""),)</f>
        <v>0</v>
      </c>
      <c r="H1069" s="64"/>
      <c r="I1069" s="109">
        <v>43756</v>
      </c>
      <c r="J1069" s="109">
        <v>43760</v>
      </c>
      <c r="K1069" s="39" t="s">
        <v>4108</v>
      </c>
      <c r="L1069" s="76" t="s">
        <v>4109</v>
      </c>
      <c r="M1069" s="155" t="s">
        <v>3594</v>
      </c>
      <c r="N1069" s="39" t="s">
        <v>51</v>
      </c>
      <c r="O1069" s="24"/>
      <c r="P1069" s="409" t="s">
        <v>4110</v>
      </c>
      <c r="Q1069" s="76" t="s">
        <v>64</v>
      </c>
      <c r="R1069" s="76" t="s">
        <v>2531</v>
      </c>
      <c r="S1069" s="24"/>
      <c r="T1069" s="24"/>
      <c r="U1069" s="64"/>
      <c r="V1069" s="56"/>
      <c r="W1069" s="56"/>
      <c r="X1069" s="56"/>
      <c r="Y1069" s="56"/>
      <c r="Z1069" s="56"/>
      <c r="AA1069" s="56"/>
      <c r="AB1069" s="56"/>
      <c r="AC1069" s="56"/>
    </row>
    <row r="1070" spans="1:29" ht="15.75" customHeight="1">
      <c r="A1070" s="39" t="s">
        <v>4107</v>
      </c>
      <c r="B1070" s="109">
        <v>43761</v>
      </c>
      <c r="C1070" s="109">
        <v>43762</v>
      </c>
      <c r="D1070" s="76" t="s">
        <v>543</v>
      </c>
      <c r="E1070" s="76" t="s">
        <v>543</v>
      </c>
      <c r="F1070" s="39" t="s">
        <v>1569</v>
      </c>
      <c r="G1070" s="399">
        <f>IFERROR(VLOOKUP(A1070,醫療院所DATABASE!A:B,2,""),)</f>
        <v>0</v>
      </c>
      <c r="H1070" s="64"/>
      <c r="I1070" s="109">
        <v>43756</v>
      </c>
      <c r="J1070" s="109">
        <v>43760</v>
      </c>
      <c r="K1070" s="39" t="s">
        <v>4111</v>
      </c>
      <c r="L1070" s="76" t="s">
        <v>4112</v>
      </c>
      <c r="M1070" s="155" t="s">
        <v>3594</v>
      </c>
      <c r="N1070" s="39" t="s">
        <v>51</v>
      </c>
      <c r="O1070" s="24"/>
      <c r="P1070" s="409" t="s">
        <v>4113</v>
      </c>
      <c r="Q1070" s="76" t="s">
        <v>64</v>
      </c>
      <c r="R1070" s="76" t="s">
        <v>2531</v>
      </c>
      <c r="S1070" s="24"/>
      <c r="T1070" s="24"/>
      <c r="U1070" s="76" t="s">
        <v>3522</v>
      </c>
      <c r="V1070" s="56"/>
      <c r="W1070" s="56"/>
      <c r="X1070" s="56"/>
      <c r="Y1070" s="56"/>
      <c r="Z1070" s="56"/>
      <c r="AA1070" s="56"/>
      <c r="AB1070" s="56"/>
      <c r="AC1070" s="56"/>
    </row>
    <row r="1071" spans="1:29" ht="15.75" customHeight="1">
      <c r="A1071" s="39" t="s">
        <v>4114</v>
      </c>
      <c r="B1071" s="109">
        <v>43761</v>
      </c>
      <c r="C1071" s="109">
        <v>43761</v>
      </c>
      <c r="D1071" s="76" t="s">
        <v>543</v>
      </c>
      <c r="E1071" s="76" t="s">
        <v>543</v>
      </c>
      <c r="F1071" s="39" t="s">
        <v>2304</v>
      </c>
      <c r="G1071" s="399">
        <f>IFERROR(VLOOKUP(A1071,醫療院所DATABASE!A:B,2,""),)</f>
        <v>0</v>
      </c>
      <c r="H1071" s="64"/>
      <c r="I1071" s="109">
        <v>43756</v>
      </c>
      <c r="J1071" s="109">
        <v>43760</v>
      </c>
      <c r="K1071" s="39" t="s">
        <v>4115</v>
      </c>
      <c r="L1071" s="76" t="s">
        <v>4116</v>
      </c>
      <c r="M1071" s="155" t="s">
        <v>3594</v>
      </c>
      <c r="N1071" s="39" t="s">
        <v>51</v>
      </c>
      <c r="O1071" s="24"/>
      <c r="P1071" s="409" t="s">
        <v>4117</v>
      </c>
      <c r="Q1071" s="76" t="s">
        <v>64</v>
      </c>
      <c r="R1071" s="76" t="s">
        <v>1885</v>
      </c>
      <c r="S1071" s="24"/>
      <c r="T1071" s="24"/>
      <c r="U1071" s="64"/>
      <c r="V1071" s="56"/>
      <c r="W1071" s="56"/>
      <c r="X1071" s="56"/>
      <c r="Y1071" s="56"/>
      <c r="Z1071" s="56"/>
      <c r="AA1071" s="56"/>
      <c r="AB1071" s="56"/>
      <c r="AC1071" s="56"/>
    </row>
    <row r="1072" spans="1:29" ht="15.75" customHeight="1">
      <c r="A1072" s="39" t="s">
        <v>4118</v>
      </c>
      <c r="B1072" s="109">
        <v>43761</v>
      </c>
      <c r="C1072" s="109">
        <v>43762</v>
      </c>
      <c r="D1072" s="76" t="s">
        <v>1613</v>
      </c>
      <c r="E1072" s="76" t="s">
        <v>1613</v>
      </c>
      <c r="F1072" s="39" t="s">
        <v>4119</v>
      </c>
      <c r="G1072" s="399">
        <f>IFERROR(VLOOKUP(A1072,醫療院所DATABASE!A:B,2,""),)</f>
        <v>0</v>
      </c>
      <c r="H1072" s="64"/>
      <c r="I1072" s="109">
        <v>43756</v>
      </c>
      <c r="J1072" s="109">
        <v>43760</v>
      </c>
      <c r="K1072" s="39" t="s">
        <v>4120</v>
      </c>
      <c r="L1072" s="76" t="s">
        <v>4121</v>
      </c>
      <c r="M1072" s="155" t="s">
        <v>3594</v>
      </c>
      <c r="N1072" s="39" t="s">
        <v>51</v>
      </c>
      <c r="O1072" s="24"/>
      <c r="P1072" s="409" t="s">
        <v>4122</v>
      </c>
      <c r="Q1072" s="76" t="s">
        <v>64</v>
      </c>
      <c r="R1072" s="76" t="s">
        <v>1885</v>
      </c>
      <c r="S1072" s="24"/>
      <c r="T1072" s="24"/>
      <c r="U1072" s="64"/>
      <c r="V1072" s="56"/>
      <c r="W1072" s="56"/>
      <c r="X1072" s="56"/>
      <c r="Y1072" s="56"/>
      <c r="Z1072" s="56"/>
      <c r="AA1072" s="56"/>
      <c r="AB1072" s="56"/>
      <c r="AC1072" s="56"/>
    </row>
    <row r="1073" spans="1:29" ht="15.75" customHeight="1">
      <c r="A1073" s="39" t="s">
        <v>1389</v>
      </c>
      <c r="B1073" s="107">
        <v>43763</v>
      </c>
      <c r="C1073" s="109">
        <v>43763</v>
      </c>
      <c r="D1073" s="76" t="s">
        <v>479</v>
      </c>
      <c r="E1073" s="76" t="s">
        <v>2693</v>
      </c>
      <c r="F1073" s="39" t="s">
        <v>1709</v>
      </c>
      <c r="G1073" s="399">
        <f>IFERROR(VLOOKUP(A1073,醫療院所DATABASE!A:B,2,""),)</f>
        <v>0</v>
      </c>
      <c r="H1073" s="64"/>
      <c r="I1073" s="109">
        <v>43756</v>
      </c>
      <c r="J1073" s="109">
        <v>43760</v>
      </c>
      <c r="K1073" s="39" t="s">
        <v>4123</v>
      </c>
      <c r="L1073" s="76" t="s">
        <v>4124</v>
      </c>
      <c r="M1073" s="155" t="s">
        <v>3594</v>
      </c>
      <c r="N1073" s="39" t="s">
        <v>62</v>
      </c>
      <c r="O1073" s="24"/>
      <c r="P1073" s="409" t="s">
        <v>4125</v>
      </c>
      <c r="Q1073" s="76" t="s">
        <v>1207</v>
      </c>
      <c r="R1073" s="76" t="s">
        <v>1885</v>
      </c>
      <c r="S1073" s="24"/>
      <c r="T1073" s="24"/>
      <c r="U1073" s="64"/>
      <c r="V1073" s="56"/>
      <c r="W1073" s="56"/>
      <c r="X1073" s="56"/>
      <c r="Y1073" s="56"/>
      <c r="Z1073" s="56"/>
      <c r="AA1073" s="56"/>
      <c r="AB1073" s="56"/>
      <c r="AC1073" s="56"/>
    </row>
    <row r="1074" spans="1:29" ht="15.75" customHeight="1">
      <c r="A1074" s="39" t="s">
        <v>1389</v>
      </c>
      <c r="B1074" s="107">
        <v>43763</v>
      </c>
      <c r="C1074" s="109">
        <v>43763</v>
      </c>
      <c r="D1074" s="76" t="s">
        <v>479</v>
      </c>
      <c r="E1074" s="76" t="s">
        <v>2693</v>
      </c>
      <c r="F1074" s="39" t="s">
        <v>1709</v>
      </c>
      <c r="G1074" s="399">
        <f>IFERROR(VLOOKUP(A1074,醫療院所DATABASE!A:B,2,""),)</f>
        <v>0</v>
      </c>
      <c r="H1074" s="64"/>
      <c r="I1074" s="109">
        <v>43756</v>
      </c>
      <c r="J1074" s="109">
        <v>43760</v>
      </c>
      <c r="K1074" s="39" t="s">
        <v>4126</v>
      </c>
      <c r="L1074" s="76" t="s">
        <v>4127</v>
      </c>
      <c r="M1074" s="155" t="s">
        <v>3594</v>
      </c>
      <c r="N1074" s="39" t="s">
        <v>51</v>
      </c>
      <c r="O1074" s="24"/>
      <c r="P1074" s="409" t="s">
        <v>4128</v>
      </c>
      <c r="Q1074" s="76" t="s">
        <v>1207</v>
      </c>
      <c r="R1074" s="76" t="s">
        <v>1885</v>
      </c>
      <c r="S1074" s="24"/>
      <c r="T1074" s="24"/>
      <c r="U1074" s="64"/>
      <c r="V1074" s="56"/>
      <c r="W1074" s="56"/>
      <c r="X1074" s="56"/>
      <c r="Y1074" s="56"/>
      <c r="Z1074" s="56"/>
      <c r="AA1074" s="56"/>
      <c r="AB1074" s="56"/>
      <c r="AC1074" s="56"/>
    </row>
    <row r="1075" spans="1:29" ht="15.75" customHeight="1">
      <c r="A1075" s="39" t="s">
        <v>1389</v>
      </c>
      <c r="B1075" s="107">
        <v>43763</v>
      </c>
      <c r="C1075" s="109">
        <v>43763</v>
      </c>
      <c r="D1075" s="76" t="s">
        <v>479</v>
      </c>
      <c r="E1075" s="76" t="s">
        <v>2693</v>
      </c>
      <c r="F1075" s="39" t="s">
        <v>1709</v>
      </c>
      <c r="G1075" s="399">
        <f>IFERROR(VLOOKUP(A1075,醫療院所DATABASE!A:B,2,""),)</f>
        <v>0</v>
      </c>
      <c r="H1075" s="64"/>
      <c r="I1075" s="109">
        <v>43756</v>
      </c>
      <c r="J1075" s="109">
        <v>43760</v>
      </c>
      <c r="K1075" s="39" t="s">
        <v>4129</v>
      </c>
      <c r="L1075" s="76" t="s">
        <v>4130</v>
      </c>
      <c r="M1075" s="155" t="s">
        <v>3594</v>
      </c>
      <c r="N1075" s="39" t="s">
        <v>51</v>
      </c>
      <c r="O1075" s="24"/>
      <c r="P1075" s="409" t="s">
        <v>4131</v>
      </c>
      <c r="Q1075" s="76" t="s">
        <v>1207</v>
      </c>
      <c r="R1075" s="76" t="s">
        <v>1885</v>
      </c>
      <c r="S1075" s="24"/>
      <c r="T1075" s="24"/>
      <c r="U1075" s="64"/>
      <c r="V1075" s="56"/>
      <c r="W1075" s="56"/>
      <c r="X1075" s="56"/>
      <c r="Y1075" s="56"/>
      <c r="Z1075" s="56"/>
      <c r="AA1075" s="56"/>
      <c r="AB1075" s="56"/>
      <c r="AC1075" s="56"/>
    </row>
    <row r="1076" spans="1:29" ht="15.75" customHeight="1">
      <c r="A1076" s="39">
        <v>19101801</v>
      </c>
      <c r="B1076" s="107">
        <v>43762</v>
      </c>
      <c r="C1076" s="109">
        <v>43763</v>
      </c>
      <c r="D1076" s="76" t="s">
        <v>1029</v>
      </c>
      <c r="E1076" s="76" t="s">
        <v>53</v>
      </c>
      <c r="F1076" s="39" t="s">
        <v>353</v>
      </c>
      <c r="G1076" s="399">
        <f>IFERROR(VLOOKUP(A1076,醫療院所DATABASE!A:B,2,""),)</f>
        <v>0</v>
      </c>
      <c r="H1076" s="64"/>
      <c r="I1076" s="109">
        <v>43759</v>
      </c>
      <c r="J1076" s="109">
        <v>43761</v>
      </c>
      <c r="K1076" s="39" t="s">
        <v>4132</v>
      </c>
      <c r="L1076" s="76" t="s">
        <v>4133</v>
      </c>
      <c r="M1076" s="155" t="s">
        <v>3594</v>
      </c>
      <c r="N1076" s="39" t="s">
        <v>62</v>
      </c>
      <c r="O1076" s="24"/>
      <c r="P1076" s="409" t="s">
        <v>4134</v>
      </c>
      <c r="Q1076" s="76" t="s">
        <v>64</v>
      </c>
      <c r="R1076" s="76" t="s">
        <v>1885</v>
      </c>
      <c r="S1076" s="24"/>
      <c r="T1076" s="24"/>
      <c r="U1076" s="64"/>
      <c r="V1076" s="56"/>
      <c r="W1076" s="56"/>
      <c r="X1076" s="56"/>
      <c r="Y1076" s="56"/>
      <c r="Z1076" s="56"/>
      <c r="AA1076" s="56"/>
      <c r="AB1076" s="56"/>
      <c r="AC1076" s="56"/>
    </row>
    <row r="1077" spans="1:29" ht="15.75" customHeight="1">
      <c r="A1077" s="39" t="s">
        <v>4135</v>
      </c>
      <c r="B1077" s="107">
        <v>43762</v>
      </c>
      <c r="C1077" s="109">
        <v>43763</v>
      </c>
      <c r="D1077" s="76" t="s">
        <v>53</v>
      </c>
      <c r="E1077" s="76" t="s">
        <v>53</v>
      </c>
      <c r="F1077" s="39" t="s">
        <v>4136</v>
      </c>
      <c r="G1077" s="399">
        <f>IFERROR(VLOOKUP(A1077,醫療院所DATABASE!A:B,2,""),)</f>
        <v>0</v>
      </c>
      <c r="H1077" s="76" t="s">
        <v>4137</v>
      </c>
      <c r="I1077" s="109">
        <v>43760</v>
      </c>
      <c r="J1077" s="109">
        <v>43762</v>
      </c>
      <c r="K1077" s="39" t="s">
        <v>4138</v>
      </c>
      <c r="L1077" s="76" t="s">
        <v>4139</v>
      </c>
      <c r="M1077" s="39" t="s">
        <v>3826</v>
      </c>
      <c r="N1077" s="39" t="s">
        <v>51</v>
      </c>
      <c r="O1077" s="24"/>
      <c r="P1077" s="409" t="s">
        <v>4140</v>
      </c>
      <c r="Q1077" s="76" t="s">
        <v>1931</v>
      </c>
      <c r="R1077" s="76" t="s">
        <v>1885</v>
      </c>
      <c r="S1077" s="24"/>
      <c r="T1077" s="24"/>
      <c r="U1077" s="64"/>
      <c r="V1077" s="56"/>
      <c r="W1077" s="56"/>
      <c r="X1077" s="56"/>
      <c r="Y1077" s="56"/>
      <c r="Z1077" s="56"/>
      <c r="AA1077" s="56"/>
      <c r="AB1077" s="56"/>
      <c r="AC1077" s="56"/>
    </row>
    <row r="1078" spans="1:29" ht="15.75" customHeight="1">
      <c r="A1078" s="39" t="s">
        <v>4135</v>
      </c>
      <c r="B1078" s="107">
        <v>43762</v>
      </c>
      <c r="C1078" s="109">
        <v>43763</v>
      </c>
      <c r="D1078" s="76" t="s">
        <v>53</v>
      </c>
      <c r="E1078" s="76" t="s">
        <v>53</v>
      </c>
      <c r="F1078" s="39" t="s">
        <v>4136</v>
      </c>
      <c r="G1078" s="399">
        <f>IFERROR(VLOOKUP(A1078,醫療院所DATABASE!A:B,2,""),)</f>
        <v>0</v>
      </c>
      <c r="H1078" s="76" t="s">
        <v>4139</v>
      </c>
      <c r="I1078" s="109">
        <v>43760</v>
      </c>
      <c r="J1078" s="109">
        <v>43762</v>
      </c>
      <c r="K1078" s="39" t="s">
        <v>4141</v>
      </c>
      <c r="L1078" s="76" t="s">
        <v>4137</v>
      </c>
      <c r="M1078" s="39" t="s">
        <v>3826</v>
      </c>
      <c r="N1078" s="39" t="s">
        <v>62</v>
      </c>
      <c r="O1078" s="24"/>
      <c r="P1078" s="409" t="s">
        <v>4142</v>
      </c>
      <c r="Q1078" s="76" t="s">
        <v>1931</v>
      </c>
      <c r="R1078" s="76" t="s">
        <v>1885</v>
      </c>
      <c r="S1078" s="24"/>
      <c r="T1078" s="24"/>
      <c r="U1078" s="64"/>
      <c r="V1078" s="56"/>
      <c r="W1078" s="56"/>
      <c r="X1078" s="56"/>
      <c r="Y1078" s="56"/>
      <c r="Z1078" s="56"/>
      <c r="AA1078" s="56"/>
      <c r="AB1078" s="56"/>
      <c r="AC1078" s="56"/>
    </row>
    <row r="1079" spans="1:29" ht="15.75" customHeight="1">
      <c r="A1079" s="39" t="s">
        <v>4143</v>
      </c>
      <c r="B1079" s="107">
        <v>43762</v>
      </c>
      <c r="C1079" s="109">
        <v>43766</v>
      </c>
      <c r="D1079" s="76" t="s">
        <v>665</v>
      </c>
      <c r="E1079" s="76" t="s">
        <v>665</v>
      </c>
      <c r="F1079" s="39" t="s">
        <v>2304</v>
      </c>
      <c r="G1079" s="399">
        <f>IFERROR(VLOOKUP(A1079,醫療院所DATABASE!A:B,2,""),)</f>
        <v>0</v>
      </c>
      <c r="H1079" s="64"/>
      <c r="I1079" s="109">
        <v>43760</v>
      </c>
      <c r="J1079" s="109">
        <v>43762</v>
      </c>
      <c r="K1079" s="39" t="s">
        <v>4144</v>
      </c>
      <c r="L1079" s="76" t="s">
        <v>4145</v>
      </c>
      <c r="M1079" s="155" t="s">
        <v>3594</v>
      </c>
      <c r="N1079" s="39" t="s">
        <v>62</v>
      </c>
      <c r="O1079" s="24"/>
      <c r="P1079" s="409" t="s">
        <v>4146</v>
      </c>
      <c r="Q1079" s="76" t="s">
        <v>64</v>
      </c>
      <c r="R1079" s="76" t="s">
        <v>1885</v>
      </c>
      <c r="S1079" s="24"/>
      <c r="T1079" s="24"/>
      <c r="U1079" s="64"/>
      <c r="V1079" s="56"/>
      <c r="W1079" s="56"/>
      <c r="X1079" s="56"/>
      <c r="Y1079" s="56"/>
      <c r="Z1079" s="56"/>
      <c r="AA1079" s="56"/>
      <c r="AB1079" s="56"/>
      <c r="AC1079" s="56"/>
    </row>
    <row r="1080" spans="1:29" ht="15.75" customHeight="1">
      <c r="A1080" s="39" t="s">
        <v>4147</v>
      </c>
      <c r="B1080" s="107">
        <v>43766</v>
      </c>
      <c r="C1080" s="109">
        <v>43766</v>
      </c>
      <c r="D1080" s="76" t="s">
        <v>366</v>
      </c>
      <c r="E1080" s="76" t="s">
        <v>366</v>
      </c>
      <c r="F1080" s="39" t="s">
        <v>1569</v>
      </c>
      <c r="G1080" s="399">
        <f>IFERROR(VLOOKUP(A1080,醫療院所DATABASE!A:B,2,""),)</f>
        <v>0</v>
      </c>
      <c r="H1080" s="64"/>
      <c r="I1080" s="109">
        <v>43760</v>
      </c>
      <c r="J1080" s="109">
        <v>43762</v>
      </c>
      <c r="K1080" s="39" t="s">
        <v>4148</v>
      </c>
      <c r="L1080" s="76" t="s">
        <v>4149</v>
      </c>
      <c r="M1080" s="155" t="s">
        <v>3594</v>
      </c>
      <c r="N1080" s="39" t="s">
        <v>51</v>
      </c>
      <c r="O1080" s="24"/>
      <c r="P1080" s="409" t="s">
        <v>4150</v>
      </c>
      <c r="Q1080" s="76" t="s">
        <v>1207</v>
      </c>
      <c r="R1080" s="76" t="s">
        <v>1885</v>
      </c>
      <c r="S1080" s="24"/>
      <c r="T1080" s="24"/>
      <c r="U1080" s="64"/>
      <c r="V1080" s="56"/>
      <c r="W1080" s="56"/>
      <c r="X1080" s="56"/>
      <c r="Y1080" s="56"/>
      <c r="Z1080" s="56"/>
      <c r="AA1080" s="56"/>
      <c r="AB1080" s="56"/>
      <c r="AC1080" s="56"/>
    </row>
    <row r="1081" spans="1:29" ht="15.75" customHeight="1">
      <c r="A1081" s="39" t="s">
        <v>4151</v>
      </c>
      <c r="B1081" s="107">
        <v>43766</v>
      </c>
      <c r="C1081" s="130">
        <v>43767</v>
      </c>
      <c r="D1081" s="76" t="s">
        <v>53</v>
      </c>
      <c r="E1081" s="76" t="s">
        <v>53</v>
      </c>
      <c r="F1081" s="39" t="s">
        <v>2304</v>
      </c>
      <c r="G1081" s="399">
        <f>IFERROR(VLOOKUP(A1081,醫療院所DATABASE!A:B,2,""),)</f>
        <v>0</v>
      </c>
      <c r="H1081" s="64"/>
      <c r="I1081" s="109">
        <v>43760</v>
      </c>
      <c r="J1081" s="109">
        <v>43762</v>
      </c>
      <c r="K1081" s="39" t="s">
        <v>4152</v>
      </c>
      <c r="L1081" s="76" t="s">
        <v>4153</v>
      </c>
      <c r="M1081" s="39" t="s">
        <v>3893</v>
      </c>
      <c r="N1081" s="39" t="s">
        <v>62</v>
      </c>
      <c r="O1081" s="24"/>
      <c r="P1081" s="409" t="s">
        <v>4154</v>
      </c>
      <c r="Q1081" s="76" t="s">
        <v>64</v>
      </c>
      <c r="R1081" s="76" t="s">
        <v>1885</v>
      </c>
      <c r="S1081" s="24"/>
      <c r="T1081" s="24"/>
      <c r="U1081" s="64"/>
      <c r="V1081" s="56"/>
      <c r="W1081" s="56"/>
      <c r="X1081" s="56"/>
      <c r="Y1081" s="56"/>
      <c r="Z1081" s="56"/>
      <c r="AA1081" s="56"/>
      <c r="AB1081" s="56"/>
      <c r="AC1081" s="56"/>
    </row>
    <row r="1082" spans="1:29" ht="15.75" customHeight="1">
      <c r="A1082" s="39" t="s">
        <v>4155</v>
      </c>
      <c r="B1082" s="107">
        <v>43766</v>
      </c>
      <c r="C1082" s="130">
        <v>43767</v>
      </c>
      <c r="D1082" s="76" t="s">
        <v>53</v>
      </c>
      <c r="E1082" s="76" t="s">
        <v>53</v>
      </c>
      <c r="F1082" s="39" t="s">
        <v>2304</v>
      </c>
      <c r="G1082" s="399">
        <f>IFERROR(VLOOKUP(A1082,醫療院所DATABASE!A:B,2,""),)</f>
        <v>0</v>
      </c>
      <c r="H1082" s="64"/>
      <c r="I1082" s="109">
        <v>43760</v>
      </c>
      <c r="J1082" s="109">
        <v>43762</v>
      </c>
      <c r="K1082" s="39" t="s">
        <v>4156</v>
      </c>
      <c r="L1082" s="76" t="s">
        <v>4157</v>
      </c>
      <c r="M1082" s="39" t="s">
        <v>3887</v>
      </c>
      <c r="N1082" s="39" t="s">
        <v>62</v>
      </c>
      <c r="O1082" s="24"/>
      <c r="P1082" s="409" t="s">
        <v>4158</v>
      </c>
      <c r="Q1082" s="76" t="s">
        <v>64</v>
      </c>
      <c r="R1082" s="76" t="s">
        <v>1885</v>
      </c>
      <c r="S1082" s="24"/>
      <c r="T1082" s="24"/>
      <c r="U1082" s="64"/>
      <c r="V1082" s="56"/>
      <c r="W1082" s="56"/>
      <c r="X1082" s="56"/>
      <c r="Y1082" s="56"/>
      <c r="Z1082" s="56"/>
      <c r="AA1082" s="56"/>
      <c r="AB1082" s="56"/>
      <c r="AC1082" s="56"/>
    </row>
    <row r="1083" spans="1:29" ht="15.75" customHeight="1">
      <c r="A1083" s="39" t="s">
        <v>4159</v>
      </c>
      <c r="B1083" s="107">
        <v>43763</v>
      </c>
      <c r="C1083" s="109">
        <v>43763</v>
      </c>
      <c r="D1083" s="76" t="s">
        <v>1542</v>
      </c>
      <c r="E1083" s="76" t="s">
        <v>1542</v>
      </c>
      <c r="F1083" s="39" t="s">
        <v>2304</v>
      </c>
      <c r="G1083" s="399">
        <f>IFERROR(VLOOKUP(A1083,醫療院所DATABASE!A:B,2,""),)</f>
        <v>0</v>
      </c>
      <c r="H1083" s="64"/>
      <c r="I1083" s="109">
        <v>43761</v>
      </c>
      <c r="J1083" s="109">
        <v>43763</v>
      </c>
      <c r="K1083" s="39" t="s">
        <v>4160</v>
      </c>
      <c r="L1083" s="76" t="s">
        <v>4161</v>
      </c>
      <c r="M1083" s="155" t="s">
        <v>3594</v>
      </c>
      <c r="N1083" s="39" t="s">
        <v>62</v>
      </c>
      <c r="O1083" s="24"/>
      <c r="P1083" s="409" t="s">
        <v>4162</v>
      </c>
      <c r="Q1083" s="76" t="s">
        <v>1931</v>
      </c>
      <c r="R1083" s="76" t="s">
        <v>1885</v>
      </c>
      <c r="S1083" s="24"/>
      <c r="T1083" s="24"/>
      <c r="U1083" s="76"/>
      <c r="V1083" s="56"/>
      <c r="W1083" s="56"/>
      <c r="X1083" s="56"/>
      <c r="Y1083" s="56"/>
      <c r="Z1083" s="56"/>
      <c r="AA1083" s="56"/>
      <c r="AB1083" s="56"/>
      <c r="AC1083" s="56"/>
    </row>
    <row r="1084" spans="1:29" ht="15.75" customHeight="1">
      <c r="A1084" s="39" t="s">
        <v>4159</v>
      </c>
      <c r="B1084" s="107">
        <v>43763</v>
      </c>
      <c r="C1084" s="109">
        <v>43763</v>
      </c>
      <c r="D1084" s="76" t="s">
        <v>1542</v>
      </c>
      <c r="E1084" s="76" t="s">
        <v>1542</v>
      </c>
      <c r="F1084" s="39" t="s">
        <v>2304</v>
      </c>
      <c r="G1084" s="399">
        <f>IFERROR(VLOOKUP(A1084,醫療院所DATABASE!A:B,2,""),)</f>
        <v>0</v>
      </c>
      <c r="H1084" s="64"/>
      <c r="I1084" s="109">
        <v>43761</v>
      </c>
      <c r="J1084" s="109">
        <v>43763</v>
      </c>
      <c r="K1084" s="39" t="s">
        <v>4166</v>
      </c>
      <c r="L1084" s="76" t="s">
        <v>4167</v>
      </c>
      <c r="M1084" s="155" t="s">
        <v>3594</v>
      </c>
      <c r="N1084" s="39" t="s">
        <v>51</v>
      </c>
      <c r="O1084" s="24"/>
      <c r="P1084" s="409" t="s">
        <v>4168</v>
      </c>
      <c r="Q1084" s="76" t="s">
        <v>1931</v>
      </c>
      <c r="R1084" s="76" t="s">
        <v>1885</v>
      </c>
      <c r="S1084" s="24"/>
      <c r="T1084" s="24"/>
      <c r="U1084" s="76"/>
      <c r="V1084" s="56"/>
      <c r="W1084" s="56"/>
      <c r="X1084" s="56"/>
      <c r="Y1084" s="56"/>
      <c r="Z1084" s="56"/>
      <c r="AA1084" s="56"/>
      <c r="AB1084" s="56"/>
      <c r="AC1084" s="56"/>
    </row>
    <row r="1085" spans="1:29" ht="15.75" customHeight="1">
      <c r="A1085" s="39" t="s">
        <v>3890</v>
      </c>
      <c r="B1085" s="107">
        <v>43766</v>
      </c>
      <c r="C1085" s="109">
        <v>43767</v>
      </c>
      <c r="D1085" s="76" t="s">
        <v>53</v>
      </c>
      <c r="E1085" s="76" t="s">
        <v>53</v>
      </c>
      <c r="F1085" s="39" t="s">
        <v>4169</v>
      </c>
      <c r="G1085" s="399">
        <f>IFERROR(VLOOKUP(A1085,醫療院所DATABASE!A:B,2,""),)</f>
        <v>0</v>
      </c>
      <c r="H1085" s="64"/>
      <c r="I1085" s="109">
        <v>43762</v>
      </c>
      <c r="J1085" s="109">
        <v>43766</v>
      </c>
      <c r="K1085" s="39" t="s">
        <v>4170</v>
      </c>
      <c r="L1085" s="76" t="s">
        <v>4171</v>
      </c>
      <c r="M1085" s="39" t="s">
        <v>3893</v>
      </c>
      <c r="N1085" s="39" t="s">
        <v>62</v>
      </c>
      <c r="O1085" s="24"/>
      <c r="P1085" s="409" t="s">
        <v>4172</v>
      </c>
      <c r="Q1085" s="76" t="s">
        <v>1931</v>
      </c>
      <c r="R1085" s="76" t="s">
        <v>1885</v>
      </c>
      <c r="S1085" s="24"/>
      <c r="T1085" s="24"/>
      <c r="U1085" s="64"/>
      <c r="V1085" s="56"/>
      <c r="W1085" s="56"/>
      <c r="X1085" s="56"/>
      <c r="Y1085" s="56"/>
      <c r="Z1085" s="56"/>
      <c r="AA1085" s="56"/>
      <c r="AB1085" s="56"/>
      <c r="AC1085" s="56"/>
    </row>
    <row r="1086" spans="1:29" ht="15.75" customHeight="1">
      <c r="A1086" s="39" t="s">
        <v>3339</v>
      </c>
      <c r="B1086" s="107">
        <v>43767</v>
      </c>
      <c r="C1086" s="109">
        <v>43769</v>
      </c>
      <c r="D1086" s="76" t="s">
        <v>543</v>
      </c>
      <c r="E1086" s="76" t="s">
        <v>543</v>
      </c>
      <c r="F1086" s="39" t="s">
        <v>2304</v>
      </c>
      <c r="G1086" s="399"/>
      <c r="H1086" s="64"/>
      <c r="I1086" s="109">
        <v>43763</v>
      </c>
      <c r="J1086" s="109">
        <v>43767</v>
      </c>
      <c r="K1086" s="39" t="s">
        <v>4173</v>
      </c>
      <c r="L1086" s="76" t="s">
        <v>4174</v>
      </c>
      <c r="M1086" s="155" t="s">
        <v>3594</v>
      </c>
      <c r="N1086" s="39" t="s">
        <v>62</v>
      </c>
      <c r="O1086" s="24"/>
      <c r="P1086" s="409" t="s">
        <v>4175</v>
      </c>
      <c r="Q1086" s="76" t="s">
        <v>64</v>
      </c>
      <c r="R1086" s="76" t="s">
        <v>1885</v>
      </c>
      <c r="S1086" s="24"/>
      <c r="T1086" s="24"/>
      <c r="U1086" s="64"/>
      <c r="V1086" s="56">
        <v>158</v>
      </c>
      <c r="W1086" s="56">
        <v>60</v>
      </c>
      <c r="X1086" s="56"/>
      <c r="Y1086" s="56"/>
      <c r="Z1086" s="56"/>
      <c r="AA1086" s="56"/>
      <c r="AB1086" s="56"/>
      <c r="AC1086" s="56"/>
    </row>
    <row r="1087" spans="1:29" ht="15.75" customHeight="1">
      <c r="A1087" s="39" t="s">
        <v>3339</v>
      </c>
      <c r="B1087" s="107">
        <v>43767</v>
      </c>
      <c r="C1087" s="109">
        <v>43769</v>
      </c>
      <c r="D1087" s="76" t="s">
        <v>543</v>
      </c>
      <c r="E1087" s="76" t="s">
        <v>543</v>
      </c>
      <c r="F1087" s="39" t="s">
        <v>2304</v>
      </c>
      <c r="G1087" s="399">
        <f>IFERROR(VLOOKUP(A1087,醫療院所DATABASE!A:B,2,""),)</f>
        <v>0</v>
      </c>
      <c r="H1087" s="64"/>
      <c r="I1087" s="109">
        <v>43763</v>
      </c>
      <c r="J1087" s="109">
        <v>43767</v>
      </c>
      <c r="K1087" s="39" t="s">
        <v>4176</v>
      </c>
      <c r="L1087" s="76" t="s">
        <v>4177</v>
      </c>
      <c r="M1087" s="155" t="s">
        <v>3594</v>
      </c>
      <c r="N1087" s="39" t="s">
        <v>51</v>
      </c>
      <c r="O1087" s="24"/>
      <c r="P1087" s="409" t="s">
        <v>4178</v>
      </c>
      <c r="Q1087" s="76" t="s">
        <v>64</v>
      </c>
      <c r="R1087" s="76" t="s">
        <v>1885</v>
      </c>
      <c r="S1087" s="24"/>
      <c r="T1087" s="24"/>
      <c r="U1087" s="64"/>
      <c r="V1087" s="56"/>
      <c r="W1087" s="56"/>
      <c r="X1087" s="56"/>
      <c r="Y1087" s="56"/>
      <c r="Z1087" s="56"/>
      <c r="AA1087" s="56"/>
      <c r="AB1087" s="56"/>
      <c r="AC1087" s="56"/>
    </row>
    <row r="1088" spans="1:29" ht="15.75" customHeight="1">
      <c r="A1088" s="39" t="s">
        <v>4179</v>
      </c>
      <c r="B1088" s="107">
        <v>43767</v>
      </c>
      <c r="C1088" s="109">
        <v>43767</v>
      </c>
      <c r="D1088" s="76" t="s">
        <v>1910</v>
      </c>
      <c r="E1088" s="76" t="s">
        <v>53</v>
      </c>
      <c r="F1088" s="39" t="s">
        <v>1911</v>
      </c>
      <c r="G1088" s="399">
        <f>IFERROR(VLOOKUP(A1088,醫療院所DATABASE!A:B,2,""),)</f>
        <v>0</v>
      </c>
      <c r="H1088" s="76" t="s">
        <v>3751</v>
      </c>
      <c r="I1088" s="109">
        <v>43763</v>
      </c>
      <c r="J1088" s="109">
        <v>43767</v>
      </c>
      <c r="K1088" s="39" t="s">
        <v>4180</v>
      </c>
      <c r="L1088" s="76" t="s">
        <v>4181</v>
      </c>
      <c r="M1088" s="39" t="s">
        <v>4182</v>
      </c>
      <c r="N1088" s="39" t="s">
        <v>51</v>
      </c>
      <c r="O1088" s="24"/>
      <c r="P1088" s="409" t="s">
        <v>4183</v>
      </c>
      <c r="Q1088" s="76" t="s">
        <v>64</v>
      </c>
      <c r="R1088" s="76" t="s">
        <v>1885</v>
      </c>
      <c r="S1088" s="24"/>
      <c r="T1088" s="24"/>
      <c r="U1088" s="76" t="s">
        <v>4184</v>
      </c>
      <c r="V1088" s="56"/>
      <c r="W1088" s="56"/>
      <c r="X1088" s="56"/>
      <c r="Y1088" s="56"/>
      <c r="Z1088" s="56"/>
      <c r="AA1088" s="56"/>
      <c r="AB1088" s="56"/>
      <c r="AC1088" s="56"/>
    </row>
    <row r="1089" spans="1:29" ht="15.75" customHeight="1">
      <c r="A1089" s="39" t="s">
        <v>1389</v>
      </c>
      <c r="B1089" s="107">
        <v>43770</v>
      </c>
      <c r="C1089" s="109">
        <v>43770</v>
      </c>
      <c r="D1089" s="76" t="s">
        <v>479</v>
      </c>
      <c r="E1089" s="76" t="s">
        <v>2693</v>
      </c>
      <c r="F1089" s="39" t="s">
        <v>1709</v>
      </c>
      <c r="G1089" s="399">
        <f>IFERROR(VLOOKUP(A1089,醫療院所DATABASE!A:B,2,""),)</f>
        <v>0</v>
      </c>
      <c r="H1089" s="64"/>
      <c r="I1089" s="109">
        <v>43767</v>
      </c>
      <c r="J1089" s="109">
        <v>43769</v>
      </c>
      <c r="K1089" s="39" t="s">
        <v>4185</v>
      </c>
      <c r="L1089" s="76" t="s">
        <v>4186</v>
      </c>
      <c r="M1089" s="155" t="s">
        <v>3594</v>
      </c>
      <c r="N1089" s="39" t="s">
        <v>51</v>
      </c>
      <c r="O1089" s="24"/>
      <c r="P1089" s="409" t="s">
        <v>4187</v>
      </c>
      <c r="Q1089" s="76" t="s">
        <v>1207</v>
      </c>
      <c r="R1089" s="76" t="s">
        <v>1885</v>
      </c>
      <c r="S1089" s="24"/>
      <c r="T1089" s="24"/>
      <c r="U1089" s="64"/>
      <c r="V1089" s="56"/>
      <c r="W1089" s="56"/>
      <c r="X1089" s="56"/>
      <c r="Y1089" s="56"/>
      <c r="Z1089" s="56"/>
      <c r="AA1089" s="56"/>
      <c r="AB1089" s="56"/>
      <c r="AC1089" s="56"/>
    </row>
    <row r="1090" spans="1:29" ht="15.75" customHeight="1">
      <c r="A1090" s="39" t="s">
        <v>4188</v>
      </c>
      <c r="B1090" s="107">
        <v>43770</v>
      </c>
      <c r="C1090" s="109">
        <v>43775</v>
      </c>
      <c r="D1090" s="76" t="s">
        <v>479</v>
      </c>
      <c r="E1090" s="76" t="s">
        <v>53</v>
      </c>
      <c r="F1090" s="39" t="s">
        <v>2304</v>
      </c>
      <c r="G1090" s="399">
        <f>IFERROR(VLOOKUP(A1090,醫療院所DATABASE!A:B,2,""),)</f>
        <v>0</v>
      </c>
      <c r="H1090" s="64"/>
      <c r="I1090" s="109">
        <v>43768</v>
      </c>
      <c r="J1090" s="109">
        <v>43770</v>
      </c>
      <c r="K1090" s="39" t="s">
        <v>4189</v>
      </c>
      <c r="L1090" s="76" t="s">
        <v>4190</v>
      </c>
      <c r="M1090" s="155" t="s">
        <v>3594</v>
      </c>
      <c r="N1090" s="39" t="s">
        <v>51</v>
      </c>
      <c r="O1090" s="24"/>
      <c r="P1090" s="409" t="s">
        <v>4191</v>
      </c>
      <c r="Q1090" s="76" t="s">
        <v>64</v>
      </c>
      <c r="R1090" s="76" t="s">
        <v>1885</v>
      </c>
      <c r="S1090" s="24"/>
      <c r="T1090" s="24"/>
      <c r="U1090" s="64"/>
      <c r="V1090" s="56"/>
      <c r="W1090" s="56"/>
      <c r="X1090" s="56"/>
      <c r="Y1090" s="56"/>
      <c r="Z1090" s="56"/>
      <c r="AA1090" s="56"/>
      <c r="AB1090" s="56"/>
      <c r="AC1090" s="56"/>
    </row>
    <row r="1091" spans="1:29" ht="15.75" customHeight="1">
      <c r="A1091" s="39" t="s">
        <v>4179</v>
      </c>
      <c r="B1091" s="107">
        <v>43774</v>
      </c>
      <c r="C1091" s="109">
        <v>43775</v>
      </c>
      <c r="D1091" s="76" t="s">
        <v>1910</v>
      </c>
      <c r="E1091" s="76" t="s">
        <v>53</v>
      </c>
      <c r="F1091" s="39" t="s">
        <v>1911</v>
      </c>
      <c r="G1091" s="399">
        <f>IFERROR(VLOOKUP(A1091,醫療院所DATABASE!A:B,2,""),)</f>
        <v>0</v>
      </c>
      <c r="H1091" s="76" t="s">
        <v>4192</v>
      </c>
      <c r="I1091" s="109">
        <v>43769</v>
      </c>
      <c r="J1091" s="109">
        <v>43773</v>
      </c>
      <c r="K1091" s="39" t="s">
        <v>4193</v>
      </c>
      <c r="L1091" s="76" t="s">
        <v>4194</v>
      </c>
      <c r="M1091" s="155" t="s">
        <v>3594</v>
      </c>
      <c r="N1091" s="39" t="s">
        <v>62</v>
      </c>
      <c r="O1091" s="24"/>
      <c r="P1091" s="409" t="s">
        <v>4195</v>
      </c>
      <c r="Q1091" s="76" t="s">
        <v>64</v>
      </c>
      <c r="R1091" s="76" t="s">
        <v>1885</v>
      </c>
      <c r="S1091" s="24"/>
      <c r="T1091" s="24"/>
      <c r="U1091" s="64"/>
      <c r="V1091" s="56">
        <v>159</v>
      </c>
      <c r="W1091" s="56">
        <v>52</v>
      </c>
      <c r="X1091" s="56"/>
      <c r="Y1091" s="56"/>
      <c r="Z1091" s="56"/>
      <c r="AA1091" s="56"/>
      <c r="AB1091" s="56"/>
      <c r="AC1091" s="56"/>
    </row>
    <row r="1092" spans="1:29" ht="15.75" customHeight="1">
      <c r="A1092" s="39" t="s">
        <v>595</v>
      </c>
      <c r="B1092" s="107">
        <v>43770</v>
      </c>
      <c r="C1092" s="109">
        <v>43773</v>
      </c>
      <c r="D1092" s="76" t="s">
        <v>543</v>
      </c>
      <c r="E1092" s="76" t="s">
        <v>543</v>
      </c>
      <c r="F1092" s="39" t="s">
        <v>2746</v>
      </c>
      <c r="G1092" s="399">
        <f>IFERROR(VLOOKUP(A1092,醫療院所DATABASE!A:B,2,""),)</f>
        <v>0</v>
      </c>
      <c r="H1092" s="64"/>
      <c r="I1092" s="109">
        <v>43769</v>
      </c>
      <c r="J1092" s="109">
        <v>43773</v>
      </c>
      <c r="K1092" s="39" t="s">
        <v>4196</v>
      </c>
      <c r="L1092" s="76" t="s">
        <v>4197</v>
      </c>
      <c r="M1092" s="39" t="s">
        <v>593</v>
      </c>
      <c r="N1092" s="39" t="s">
        <v>62</v>
      </c>
      <c r="O1092" s="24"/>
      <c r="P1092" s="409" t="s">
        <v>4198</v>
      </c>
      <c r="Q1092" s="76" t="s">
        <v>64</v>
      </c>
      <c r="R1092" s="76" t="s">
        <v>1885</v>
      </c>
      <c r="S1092" s="24"/>
      <c r="T1092" s="24"/>
      <c r="U1092" s="64"/>
      <c r="V1092" s="56"/>
      <c r="W1092" s="56"/>
      <c r="X1092" s="56"/>
      <c r="Y1092" s="56"/>
      <c r="Z1092" s="56"/>
      <c r="AA1092" s="56"/>
      <c r="AB1092" s="56"/>
      <c r="AC1092" s="56"/>
    </row>
    <row r="1093" spans="1:29" ht="15.75" customHeight="1">
      <c r="A1093" s="39" t="s">
        <v>4199</v>
      </c>
      <c r="B1093" s="107">
        <v>43774</v>
      </c>
      <c r="C1093" s="109">
        <v>43775</v>
      </c>
      <c r="D1093" s="76" t="s">
        <v>479</v>
      </c>
      <c r="E1093" s="76" t="s">
        <v>53</v>
      </c>
      <c r="F1093" s="39" t="s">
        <v>2304</v>
      </c>
      <c r="G1093" s="399">
        <f>IFERROR(VLOOKUP(A1093,醫療院所DATABASE!A:B,2,""),)</f>
        <v>0</v>
      </c>
      <c r="H1093" s="76" t="s">
        <v>4192</v>
      </c>
      <c r="I1093" s="109">
        <v>43769</v>
      </c>
      <c r="J1093" s="109">
        <v>43773</v>
      </c>
      <c r="K1093" s="39" t="s">
        <v>4200</v>
      </c>
      <c r="L1093" s="76" t="s">
        <v>4201</v>
      </c>
      <c r="M1093" s="184" t="s">
        <v>3594</v>
      </c>
      <c r="N1093" s="39" t="s">
        <v>51</v>
      </c>
      <c r="O1093" s="24"/>
      <c r="P1093" s="409" t="s">
        <v>4202</v>
      </c>
      <c r="Q1093" s="76" t="s">
        <v>64</v>
      </c>
      <c r="R1093" s="76" t="s">
        <v>1885</v>
      </c>
      <c r="S1093" s="24"/>
      <c r="T1093" s="24"/>
      <c r="U1093" s="64"/>
      <c r="V1093" s="56"/>
      <c r="W1093" s="56"/>
      <c r="X1093" s="56"/>
      <c r="Y1093" s="56"/>
      <c r="Z1093" s="56"/>
      <c r="AA1093" s="56"/>
      <c r="AB1093" s="56"/>
      <c r="AC1093" s="56"/>
    </row>
    <row r="1094" spans="1:29" ht="15.75" customHeight="1">
      <c r="A1094" s="39" t="s">
        <v>4199</v>
      </c>
      <c r="B1094" s="107">
        <v>43774</v>
      </c>
      <c r="C1094" s="109">
        <v>43775</v>
      </c>
      <c r="D1094" s="76" t="s">
        <v>479</v>
      </c>
      <c r="E1094" s="76" t="s">
        <v>53</v>
      </c>
      <c r="F1094" s="39" t="s">
        <v>2304</v>
      </c>
      <c r="G1094" s="399">
        <f>IFERROR(VLOOKUP(A1094,醫療院所DATABASE!A:B,2,""),)</f>
        <v>0</v>
      </c>
      <c r="H1094" s="76" t="s">
        <v>4192</v>
      </c>
      <c r="I1094" s="109">
        <v>43769</v>
      </c>
      <c r="J1094" s="109">
        <v>43773</v>
      </c>
      <c r="K1094" s="39" t="s">
        <v>4203</v>
      </c>
      <c r="L1094" s="76" t="s">
        <v>4204</v>
      </c>
      <c r="M1094" s="184" t="s">
        <v>3594</v>
      </c>
      <c r="N1094" s="39" t="s">
        <v>62</v>
      </c>
      <c r="O1094" s="24"/>
      <c r="P1094" s="409" t="s">
        <v>4205</v>
      </c>
      <c r="Q1094" s="76" t="s">
        <v>64</v>
      </c>
      <c r="R1094" s="76" t="s">
        <v>1885</v>
      </c>
      <c r="S1094" s="24"/>
      <c r="T1094" s="24"/>
      <c r="U1094" s="64"/>
      <c r="V1094" s="56"/>
      <c r="W1094" s="56"/>
      <c r="X1094" s="56"/>
      <c r="Y1094" s="56"/>
      <c r="Z1094" s="56"/>
      <c r="AA1094" s="56"/>
      <c r="AB1094" s="56"/>
      <c r="AC1094" s="56"/>
    </row>
    <row r="1095" spans="1:29" ht="15.75" customHeight="1">
      <c r="A1095" s="39" t="s">
        <v>4199</v>
      </c>
      <c r="B1095" s="107">
        <v>43774</v>
      </c>
      <c r="C1095" s="109">
        <v>43775</v>
      </c>
      <c r="D1095" s="76" t="s">
        <v>479</v>
      </c>
      <c r="E1095" s="76" t="s">
        <v>53</v>
      </c>
      <c r="F1095" s="39" t="s">
        <v>2304</v>
      </c>
      <c r="G1095" s="399">
        <f>IFERROR(VLOOKUP(A1095,醫療院所DATABASE!A:B,2,""),)</f>
        <v>0</v>
      </c>
      <c r="H1095" s="76" t="s">
        <v>4192</v>
      </c>
      <c r="I1095" s="109">
        <v>43769</v>
      </c>
      <c r="J1095" s="109">
        <v>43773</v>
      </c>
      <c r="K1095" s="39" t="s">
        <v>4200</v>
      </c>
      <c r="L1095" s="76" t="s">
        <v>4201</v>
      </c>
      <c r="M1095" s="39" t="s">
        <v>4003</v>
      </c>
      <c r="N1095" s="39" t="s">
        <v>51</v>
      </c>
      <c r="O1095" s="24"/>
      <c r="P1095" s="409" t="s">
        <v>4206</v>
      </c>
      <c r="Q1095" s="76" t="s">
        <v>64</v>
      </c>
      <c r="R1095" s="76" t="s">
        <v>1885</v>
      </c>
      <c r="S1095" s="24"/>
      <c r="T1095" s="24"/>
      <c r="U1095" s="76" t="s">
        <v>4207</v>
      </c>
      <c r="V1095" s="56"/>
      <c r="W1095" s="56"/>
      <c r="X1095" s="56"/>
      <c r="Y1095" s="56"/>
      <c r="Z1095" s="56"/>
      <c r="AA1095" s="56"/>
      <c r="AB1095" s="56"/>
      <c r="AC1095" s="56"/>
    </row>
    <row r="1096" spans="1:29" ht="15.75" customHeight="1">
      <c r="A1096" s="39" t="s">
        <v>4199</v>
      </c>
      <c r="B1096" s="107">
        <v>43774</v>
      </c>
      <c r="C1096" s="109">
        <v>43775</v>
      </c>
      <c r="D1096" s="76" t="s">
        <v>479</v>
      </c>
      <c r="E1096" s="76" t="s">
        <v>53</v>
      </c>
      <c r="F1096" s="39" t="s">
        <v>2304</v>
      </c>
      <c r="G1096" s="399">
        <f>IFERROR(VLOOKUP(A1096,醫療院所DATABASE!A:B,2,""),)</f>
        <v>0</v>
      </c>
      <c r="H1096" s="76" t="s">
        <v>4192</v>
      </c>
      <c r="I1096" s="109">
        <v>43769</v>
      </c>
      <c r="J1096" s="109">
        <v>43773</v>
      </c>
      <c r="K1096" s="39" t="s">
        <v>4203</v>
      </c>
      <c r="L1096" s="76" t="s">
        <v>4204</v>
      </c>
      <c r="M1096" s="39" t="s">
        <v>4003</v>
      </c>
      <c r="N1096" s="39" t="s">
        <v>62</v>
      </c>
      <c r="O1096" s="24"/>
      <c r="P1096" s="409" t="s">
        <v>4208</v>
      </c>
      <c r="Q1096" s="76" t="s">
        <v>64</v>
      </c>
      <c r="R1096" s="76" t="s">
        <v>1885</v>
      </c>
      <c r="S1096" s="24"/>
      <c r="T1096" s="24"/>
      <c r="U1096" s="76" t="s">
        <v>4209</v>
      </c>
      <c r="V1096" s="56"/>
      <c r="W1096" s="56"/>
      <c r="X1096" s="56"/>
      <c r="Y1096" s="56"/>
      <c r="Z1096" s="56"/>
      <c r="AA1096" s="56"/>
      <c r="AB1096" s="56"/>
      <c r="AC1096" s="56"/>
    </row>
    <row r="1097" spans="1:29" ht="15.75" customHeight="1">
      <c r="A1097" s="39" t="s">
        <v>3152</v>
      </c>
      <c r="B1097" s="107">
        <v>43775</v>
      </c>
      <c r="C1097" s="109"/>
      <c r="D1097" s="76" t="s">
        <v>53</v>
      </c>
      <c r="E1097" s="76" t="s">
        <v>53</v>
      </c>
      <c r="F1097" s="39" t="s">
        <v>3153</v>
      </c>
      <c r="G1097" s="399">
        <f>IFERROR(VLOOKUP(A1097,醫療院所DATABASE!A:B,2,""),)</f>
        <v>0</v>
      </c>
      <c r="H1097" s="64"/>
      <c r="I1097" s="109">
        <v>43773</v>
      </c>
      <c r="J1097" s="109">
        <v>43775</v>
      </c>
      <c r="K1097" s="39" t="s">
        <v>4210</v>
      </c>
      <c r="L1097" s="76" t="s">
        <v>4211</v>
      </c>
      <c r="M1097" s="39" t="s">
        <v>3887</v>
      </c>
      <c r="N1097" s="39" t="s">
        <v>62</v>
      </c>
      <c r="O1097" s="24"/>
      <c r="P1097" s="409" t="s">
        <v>4212</v>
      </c>
      <c r="Q1097" s="76" t="s">
        <v>1931</v>
      </c>
      <c r="R1097" s="76" t="s">
        <v>1885</v>
      </c>
      <c r="S1097" s="24"/>
      <c r="T1097" s="24"/>
      <c r="U1097" s="64"/>
      <c r="V1097" s="56"/>
      <c r="W1097" s="56"/>
      <c r="X1097" s="56"/>
      <c r="Y1097" s="56"/>
      <c r="Z1097" s="56"/>
      <c r="AA1097" s="56"/>
      <c r="AB1097" s="56"/>
      <c r="AC1097" s="56"/>
    </row>
    <row r="1098" spans="1:29" ht="15.75" customHeight="1">
      <c r="A1098" s="39" t="s">
        <v>4179</v>
      </c>
      <c r="B1098" s="107">
        <v>43775</v>
      </c>
      <c r="C1098" s="109"/>
      <c r="D1098" s="76" t="s">
        <v>1910</v>
      </c>
      <c r="E1098" s="76" t="s">
        <v>53</v>
      </c>
      <c r="F1098" s="39" t="s">
        <v>1911</v>
      </c>
      <c r="G1098" s="399">
        <f>IFERROR(VLOOKUP(A1098,醫療院所DATABASE!A:B,2,""),)</f>
        <v>0</v>
      </c>
      <c r="H1098" s="76" t="s">
        <v>3751</v>
      </c>
      <c r="I1098" s="109">
        <v>43773</v>
      </c>
      <c r="J1098" s="109">
        <v>43775</v>
      </c>
      <c r="K1098" s="39" t="s">
        <v>4213</v>
      </c>
      <c r="L1098" s="76" t="s">
        <v>4214</v>
      </c>
      <c r="M1098" s="155" t="s">
        <v>3594</v>
      </c>
      <c r="N1098" s="39" t="s">
        <v>51</v>
      </c>
      <c r="O1098" s="24"/>
      <c r="P1098" s="409" t="s">
        <v>4215</v>
      </c>
      <c r="Q1098" s="76" t="s">
        <v>64</v>
      </c>
      <c r="R1098" s="76" t="s">
        <v>1885</v>
      </c>
      <c r="S1098" s="24"/>
      <c r="T1098" s="24"/>
      <c r="U1098" s="64"/>
      <c r="V1098" s="56"/>
      <c r="W1098" s="56"/>
      <c r="X1098" s="56"/>
      <c r="Y1098" s="56"/>
      <c r="Z1098" s="56"/>
      <c r="AA1098" s="56"/>
      <c r="AB1098" s="56"/>
      <c r="AC1098" s="56"/>
    </row>
    <row r="1099" spans="1:29" ht="15.75" customHeight="1">
      <c r="A1099" s="39" t="s">
        <v>4216</v>
      </c>
      <c r="B1099" s="107">
        <v>43777</v>
      </c>
      <c r="C1099" s="109">
        <v>43780</v>
      </c>
      <c r="D1099" s="76" t="s">
        <v>665</v>
      </c>
      <c r="E1099" s="76" t="s">
        <v>665</v>
      </c>
      <c r="F1099" s="39" t="s">
        <v>4217</v>
      </c>
      <c r="G1099" s="399">
        <f>IFERROR(VLOOKUP(A1099,醫療院所DATABASE!A:B,2,""),)</f>
        <v>0</v>
      </c>
      <c r="H1099" s="64"/>
      <c r="I1099" s="109">
        <v>43774</v>
      </c>
      <c r="J1099" s="109">
        <v>43776</v>
      </c>
      <c r="K1099" s="39" t="s">
        <v>4218</v>
      </c>
      <c r="L1099" s="76" t="s">
        <v>4219</v>
      </c>
      <c r="M1099" s="155" t="s">
        <v>3594</v>
      </c>
      <c r="N1099" s="39" t="s">
        <v>62</v>
      </c>
      <c r="O1099" s="24"/>
      <c r="P1099" s="409" t="s">
        <v>4220</v>
      </c>
      <c r="Q1099" s="76" t="s">
        <v>64</v>
      </c>
      <c r="R1099" s="76" t="s">
        <v>1885</v>
      </c>
      <c r="S1099" s="24"/>
      <c r="T1099" s="24"/>
      <c r="U1099" s="64"/>
      <c r="V1099" s="56"/>
      <c r="W1099" s="56"/>
      <c r="X1099" s="56"/>
      <c r="Y1099" s="56"/>
      <c r="Z1099" s="56"/>
      <c r="AA1099" s="56"/>
      <c r="AB1099" s="56"/>
      <c r="AC1099" s="56"/>
    </row>
    <row r="1100" spans="1:29" ht="15.75" customHeight="1">
      <c r="A1100" s="39" t="s">
        <v>4216</v>
      </c>
      <c r="B1100" s="107">
        <v>43777</v>
      </c>
      <c r="C1100" s="109">
        <v>43780</v>
      </c>
      <c r="D1100" s="76" t="s">
        <v>665</v>
      </c>
      <c r="E1100" s="76" t="s">
        <v>665</v>
      </c>
      <c r="F1100" s="39" t="s">
        <v>4217</v>
      </c>
      <c r="G1100" s="399">
        <f>IFERROR(VLOOKUP(A1100,醫療院所DATABASE!A:B,2,""),)</f>
        <v>0</v>
      </c>
      <c r="H1100" s="64"/>
      <c r="I1100" s="109">
        <v>43774</v>
      </c>
      <c r="J1100" s="109">
        <v>43776</v>
      </c>
      <c r="K1100" s="39" t="s">
        <v>4221</v>
      </c>
      <c r="L1100" s="76" t="s">
        <v>4222</v>
      </c>
      <c r="M1100" s="155" t="s">
        <v>3594</v>
      </c>
      <c r="N1100" s="39" t="s">
        <v>62</v>
      </c>
      <c r="O1100" s="24"/>
      <c r="P1100" s="409" t="s">
        <v>4223</v>
      </c>
      <c r="Q1100" s="76" t="s">
        <v>64</v>
      </c>
      <c r="R1100" s="76" t="s">
        <v>1885</v>
      </c>
      <c r="S1100" s="24"/>
      <c r="T1100" s="24"/>
      <c r="U1100" s="64"/>
      <c r="V1100" s="56"/>
      <c r="W1100" s="56"/>
      <c r="X1100" s="56"/>
      <c r="Y1100" s="56"/>
      <c r="Z1100" s="56"/>
      <c r="AA1100" s="56"/>
      <c r="AB1100" s="56"/>
      <c r="AC1100" s="56"/>
    </row>
    <row r="1101" spans="1:29" ht="15.75" customHeight="1">
      <c r="A1101" s="39" t="s">
        <v>4216</v>
      </c>
      <c r="B1101" s="107">
        <v>43777</v>
      </c>
      <c r="C1101" s="109">
        <v>43780</v>
      </c>
      <c r="D1101" s="76" t="s">
        <v>665</v>
      </c>
      <c r="E1101" s="76" t="s">
        <v>665</v>
      </c>
      <c r="F1101" s="39" t="s">
        <v>4217</v>
      </c>
      <c r="G1101" s="399">
        <f>IFERROR(VLOOKUP(A1101,醫療院所DATABASE!A:B,2,""),)</f>
        <v>0</v>
      </c>
      <c r="H1101" s="64"/>
      <c r="I1101" s="109">
        <v>43774</v>
      </c>
      <c r="J1101" s="109">
        <v>43776</v>
      </c>
      <c r="K1101" s="39" t="s">
        <v>4224</v>
      </c>
      <c r="L1101" s="76" t="s">
        <v>4225</v>
      </c>
      <c r="M1101" s="155" t="s">
        <v>3594</v>
      </c>
      <c r="N1101" s="39" t="s">
        <v>51</v>
      </c>
      <c r="O1101" s="24"/>
      <c r="P1101" s="409" t="s">
        <v>4226</v>
      </c>
      <c r="Q1101" s="76" t="s">
        <v>64</v>
      </c>
      <c r="R1101" s="76" t="s">
        <v>1885</v>
      </c>
      <c r="S1101" s="24"/>
      <c r="T1101" s="24"/>
      <c r="U1101" s="64"/>
      <c r="V1101" s="56"/>
      <c r="W1101" s="56"/>
      <c r="X1101" s="56"/>
      <c r="Y1101" s="56"/>
      <c r="Z1101" s="56"/>
      <c r="AA1101" s="56"/>
      <c r="AB1101" s="56"/>
      <c r="AC1101" s="56"/>
    </row>
    <row r="1102" spans="1:29" ht="15.75" customHeight="1">
      <c r="A1102" s="39" t="s">
        <v>4227</v>
      </c>
      <c r="B1102" s="107">
        <v>43777</v>
      </c>
      <c r="C1102" s="109">
        <v>43781</v>
      </c>
      <c r="D1102" s="76" t="s">
        <v>53</v>
      </c>
      <c r="E1102" s="76" t="s">
        <v>53</v>
      </c>
      <c r="F1102" s="39" t="s">
        <v>2304</v>
      </c>
      <c r="G1102" s="399">
        <f>IFERROR(VLOOKUP(A1102,醫療院所DATABASE!A:B,2,""),)</f>
        <v>0</v>
      </c>
      <c r="H1102" s="64"/>
      <c r="I1102" s="109">
        <v>43774</v>
      </c>
      <c r="J1102" s="109">
        <v>43776</v>
      </c>
      <c r="K1102" s="39" t="s">
        <v>4228</v>
      </c>
      <c r="L1102" s="76" t="s">
        <v>4229</v>
      </c>
      <c r="M1102" s="39" t="s">
        <v>4230</v>
      </c>
      <c r="N1102" s="39" t="s">
        <v>62</v>
      </c>
      <c r="O1102" s="24"/>
      <c r="P1102" s="409" t="s">
        <v>4231</v>
      </c>
      <c r="Q1102" s="76" t="s">
        <v>1931</v>
      </c>
      <c r="R1102" s="76" t="s">
        <v>1885</v>
      </c>
      <c r="S1102" s="24"/>
      <c r="T1102" s="24"/>
      <c r="U1102" s="64"/>
      <c r="V1102" s="56"/>
      <c r="W1102" s="56"/>
      <c r="X1102" s="56"/>
      <c r="Y1102" s="56"/>
      <c r="Z1102" s="56"/>
      <c r="AA1102" s="56"/>
      <c r="AB1102" s="56"/>
      <c r="AC1102" s="56"/>
    </row>
    <row r="1103" spans="1:29" ht="15.75" customHeight="1">
      <c r="A1103" s="39" t="s">
        <v>4227</v>
      </c>
      <c r="B1103" s="107">
        <v>43777</v>
      </c>
      <c r="C1103" s="109">
        <v>43781</v>
      </c>
      <c r="D1103" s="76" t="s">
        <v>53</v>
      </c>
      <c r="E1103" s="76" t="s">
        <v>53</v>
      </c>
      <c r="F1103" s="39" t="s">
        <v>2304</v>
      </c>
      <c r="G1103" s="399">
        <f>IFERROR(VLOOKUP(A1103,醫療院所DATABASE!A:B,2,""),)</f>
        <v>0</v>
      </c>
      <c r="H1103" s="64"/>
      <c r="I1103" s="109">
        <v>43774</v>
      </c>
      <c r="J1103" s="109">
        <v>43776</v>
      </c>
      <c r="K1103" s="39" t="s">
        <v>4228</v>
      </c>
      <c r="L1103" s="76" t="s">
        <v>4229</v>
      </c>
      <c r="M1103" s="39" t="s">
        <v>4232</v>
      </c>
      <c r="N1103" s="39" t="s">
        <v>62</v>
      </c>
      <c r="O1103" s="24"/>
      <c r="P1103" s="409" t="s">
        <v>4233</v>
      </c>
      <c r="Q1103" s="76" t="s">
        <v>1931</v>
      </c>
      <c r="R1103" s="76" t="s">
        <v>1885</v>
      </c>
      <c r="S1103" s="24"/>
      <c r="T1103" s="24"/>
      <c r="U1103" s="64"/>
      <c r="V1103" s="56"/>
      <c r="W1103" s="56"/>
      <c r="X1103" s="56"/>
      <c r="Y1103" s="56"/>
      <c r="Z1103" s="56"/>
      <c r="AA1103" s="56"/>
      <c r="AB1103" s="56"/>
      <c r="AC1103" s="56"/>
    </row>
    <row r="1104" spans="1:29" ht="15.75" customHeight="1">
      <c r="A1104" s="39" t="s">
        <v>4234</v>
      </c>
      <c r="B1104" s="107">
        <v>43780</v>
      </c>
      <c r="C1104" s="109">
        <v>43781</v>
      </c>
      <c r="D1104" s="76" t="s">
        <v>53</v>
      </c>
      <c r="E1104" s="76" t="s">
        <v>53</v>
      </c>
      <c r="F1104" s="39" t="s">
        <v>3302</v>
      </c>
      <c r="G1104" s="399">
        <f>IFERROR(VLOOKUP(A1104,醫療院所DATABASE!A:B,2,""),)</f>
        <v>0</v>
      </c>
      <c r="H1104" s="64"/>
      <c r="I1104" s="109">
        <v>43775</v>
      </c>
      <c r="J1104" s="109">
        <v>43777</v>
      </c>
      <c r="K1104" s="39" t="s">
        <v>4235</v>
      </c>
      <c r="L1104" s="76" t="s">
        <v>4236</v>
      </c>
      <c r="M1104" s="155" t="s">
        <v>3594</v>
      </c>
      <c r="N1104" s="39" t="s">
        <v>62</v>
      </c>
      <c r="O1104" s="24"/>
      <c r="P1104" s="409" t="s">
        <v>4237</v>
      </c>
      <c r="Q1104" s="76" t="s">
        <v>1931</v>
      </c>
      <c r="R1104" s="76" t="s">
        <v>1885</v>
      </c>
      <c r="S1104" s="24"/>
      <c r="T1104" s="24"/>
      <c r="U1104" s="64"/>
      <c r="V1104" s="56"/>
      <c r="W1104" s="56"/>
      <c r="X1104" s="56"/>
      <c r="Y1104" s="56"/>
      <c r="Z1104" s="56"/>
      <c r="AA1104" s="56"/>
      <c r="AB1104" s="56"/>
      <c r="AC1104" s="56"/>
    </row>
    <row r="1105" spans="1:29" ht="15.75" customHeight="1">
      <c r="A1105" s="39" t="s">
        <v>4238</v>
      </c>
      <c r="B1105" s="107">
        <v>43777</v>
      </c>
      <c r="C1105" s="109">
        <v>43781</v>
      </c>
      <c r="D1105" s="76" t="s">
        <v>53</v>
      </c>
      <c r="E1105" s="76" t="s">
        <v>53</v>
      </c>
      <c r="F1105" s="39" t="s">
        <v>2091</v>
      </c>
      <c r="G1105" s="399">
        <f>IFERROR(VLOOKUP(A1105,醫療院所DATABASE!A:B,2,""),)</f>
        <v>0</v>
      </c>
      <c r="H1105" s="64"/>
      <c r="I1105" s="109">
        <v>43775</v>
      </c>
      <c r="J1105" s="109">
        <v>43777</v>
      </c>
      <c r="K1105" s="39" t="s">
        <v>4239</v>
      </c>
      <c r="L1105" s="76" t="s">
        <v>4240</v>
      </c>
      <c r="M1105" s="155" t="s">
        <v>3594</v>
      </c>
      <c r="N1105" s="39" t="s">
        <v>51</v>
      </c>
      <c r="O1105" s="24"/>
      <c r="P1105" s="409" t="s">
        <v>4241</v>
      </c>
      <c r="Q1105" s="76" t="s">
        <v>1931</v>
      </c>
      <c r="R1105" s="76" t="s">
        <v>1885</v>
      </c>
      <c r="S1105" s="24"/>
      <c r="T1105" s="24"/>
      <c r="U1105" s="64"/>
      <c r="V1105" s="56"/>
      <c r="W1105" s="56"/>
      <c r="X1105" s="56"/>
      <c r="Y1105" s="56"/>
      <c r="Z1105" s="56"/>
      <c r="AA1105" s="56"/>
      <c r="AB1105" s="56"/>
      <c r="AC1105" s="56"/>
    </row>
    <row r="1106" spans="1:29" ht="15.75" customHeight="1">
      <c r="A1106" s="39" t="s">
        <v>4238</v>
      </c>
      <c r="B1106" s="107">
        <v>43777</v>
      </c>
      <c r="C1106" s="109">
        <v>43781</v>
      </c>
      <c r="D1106" s="76" t="s">
        <v>53</v>
      </c>
      <c r="E1106" s="76" t="s">
        <v>53</v>
      </c>
      <c r="F1106" s="39" t="s">
        <v>2091</v>
      </c>
      <c r="G1106" s="399">
        <f>IFERROR(VLOOKUP(A1106,醫療院所DATABASE!A:B,2,""),)</f>
        <v>0</v>
      </c>
      <c r="H1106" s="64"/>
      <c r="I1106" s="109">
        <v>43775</v>
      </c>
      <c r="J1106" s="109">
        <v>43777</v>
      </c>
      <c r="K1106" s="39" t="s">
        <v>4242</v>
      </c>
      <c r="L1106" s="76" t="s">
        <v>4243</v>
      </c>
      <c r="M1106" s="155" t="s">
        <v>3594</v>
      </c>
      <c r="N1106" s="39" t="s">
        <v>51</v>
      </c>
      <c r="O1106" s="24"/>
      <c r="P1106" s="409" t="s">
        <v>4244</v>
      </c>
      <c r="Q1106" s="76" t="s">
        <v>1931</v>
      </c>
      <c r="R1106" s="76" t="s">
        <v>1885</v>
      </c>
      <c r="S1106" s="24"/>
      <c r="T1106" s="24"/>
      <c r="U1106" s="64"/>
      <c r="V1106" s="56"/>
      <c r="W1106" s="56"/>
      <c r="X1106" s="56"/>
      <c r="Y1106" s="56"/>
      <c r="Z1106" s="56"/>
      <c r="AA1106" s="56"/>
      <c r="AB1106" s="56"/>
      <c r="AC1106" s="56"/>
    </row>
    <row r="1107" spans="1:29" ht="15.75" customHeight="1">
      <c r="A1107" s="39" t="s">
        <v>4238</v>
      </c>
      <c r="B1107" s="107">
        <v>43777</v>
      </c>
      <c r="C1107" s="109">
        <v>43781</v>
      </c>
      <c r="D1107" s="76" t="s">
        <v>53</v>
      </c>
      <c r="E1107" s="76" t="s">
        <v>53</v>
      </c>
      <c r="F1107" s="39" t="s">
        <v>2091</v>
      </c>
      <c r="G1107" s="399">
        <f>IFERROR(VLOOKUP(A1107,醫療院所DATABASE!A:B,2,""),)</f>
        <v>0</v>
      </c>
      <c r="H1107" s="64"/>
      <c r="I1107" s="109">
        <v>43775</v>
      </c>
      <c r="J1107" s="109">
        <v>43777</v>
      </c>
      <c r="K1107" s="39" t="s">
        <v>4245</v>
      </c>
      <c r="L1107" s="76" t="s">
        <v>4246</v>
      </c>
      <c r="M1107" s="155" t="s">
        <v>3594</v>
      </c>
      <c r="N1107" s="39" t="s">
        <v>51</v>
      </c>
      <c r="O1107" s="24"/>
      <c r="P1107" s="409" t="s">
        <v>4247</v>
      </c>
      <c r="Q1107" s="76" t="s">
        <v>1931</v>
      </c>
      <c r="R1107" s="76" t="s">
        <v>1885</v>
      </c>
      <c r="S1107" s="24"/>
      <c r="T1107" s="24"/>
      <c r="U1107" s="64"/>
      <c r="V1107" s="56"/>
      <c r="W1107" s="56"/>
      <c r="X1107" s="56"/>
      <c r="Y1107" s="56"/>
      <c r="Z1107" s="56"/>
      <c r="AA1107" s="56"/>
      <c r="AB1107" s="56"/>
      <c r="AC1107" s="56"/>
    </row>
    <row r="1108" spans="1:29" ht="15.75" customHeight="1">
      <c r="A1108" s="39" t="s">
        <v>4248</v>
      </c>
      <c r="B1108" s="107">
        <v>43777</v>
      </c>
      <c r="C1108" s="109">
        <v>43781</v>
      </c>
      <c r="D1108" s="76" t="s">
        <v>53</v>
      </c>
      <c r="E1108" s="76" t="s">
        <v>53</v>
      </c>
      <c r="F1108" s="39" t="s">
        <v>2091</v>
      </c>
      <c r="G1108" s="399">
        <f>IFERROR(VLOOKUP(A1108,醫療院所DATABASE!A:B,2,""),)</f>
        <v>0</v>
      </c>
      <c r="H1108" s="64"/>
      <c r="I1108" s="109">
        <v>43775</v>
      </c>
      <c r="J1108" s="109">
        <v>43777</v>
      </c>
      <c r="K1108" s="39" t="s">
        <v>4249</v>
      </c>
      <c r="L1108" s="76" t="s">
        <v>4250</v>
      </c>
      <c r="M1108" s="155" t="s">
        <v>3594</v>
      </c>
      <c r="N1108" s="39" t="s">
        <v>51</v>
      </c>
      <c r="O1108" s="24"/>
      <c r="P1108" s="409" t="s">
        <v>4251</v>
      </c>
      <c r="Q1108" s="76" t="s">
        <v>1931</v>
      </c>
      <c r="R1108" s="76" t="s">
        <v>1885</v>
      </c>
      <c r="S1108" s="24"/>
      <c r="T1108" s="24"/>
      <c r="U1108" s="64"/>
      <c r="V1108" s="56"/>
      <c r="W1108" s="56"/>
      <c r="X1108" s="56"/>
      <c r="Y1108" s="56"/>
      <c r="Z1108" s="56"/>
      <c r="AA1108" s="56"/>
      <c r="AB1108" s="56"/>
      <c r="AC1108" s="56"/>
    </row>
    <row r="1109" spans="1:29" ht="15.75" customHeight="1">
      <c r="A1109" s="39" t="s">
        <v>4248</v>
      </c>
      <c r="B1109" s="107">
        <v>43777</v>
      </c>
      <c r="C1109" s="109">
        <v>43781</v>
      </c>
      <c r="D1109" s="76" t="s">
        <v>53</v>
      </c>
      <c r="E1109" s="76" t="s">
        <v>53</v>
      </c>
      <c r="F1109" s="39" t="s">
        <v>2091</v>
      </c>
      <c r="G1109" s="399">
        <f>IFERROR(VLOOKUP(A1109,醫療院所DATABASE!A:B,2,""),)</f>
        <v>0</v>
      </c>
      <c r="H1109" s="64"/>
      <c r="I1109" s="109">
        <v>43775</v>
      </c>
      <c r="J1109" s="109">
        <v>43777</v>
      </c>
      <c r="K1109" s="39" t="s">
        <v>4252</v>
      </c>
      <c r="L1109" s="76" t="s">
        <v>4253</v>
      </c>
      <c r="M1109" s="194" t="s">
        <v>3836</v>
      </c>
      <c r="N1109" s="39" t="s">
        <v>62</v>
      </c>
      <c r="O1109" s="24"/>
      <c r="P1109" s="409" t="s">
        <v>4254</v>
      </c>
      <c r="Q1109" s="76" t="s">
        <v>1931</v>
      </c>
      <c r="R1109" s="76" t="s">
        <v>1885</v>
      </c>
      <c r="S1109" s="24"/>
      <c r="T1109" s="24"/>
      <c r="U1109" s="64"/>
      <c r="V1109" s="56"/>
      <c r="W1109" s="56"/>
      <c r="X1109" s="56"/>
      <c r="Y1109" s="56"/>
      <c r="Z1109" s="56"/>
      <c r="AA1109" s="56"/>
      <c r="AB1109" s="56"/>
      <c r="AC1109" s="56"/>
    </row>
    <row r="1110" spans="1:29" ht="15.75" customHeight="1">
      <c r="A1110" s="39" t="s">
        <v>609</v>
      </c>
      <c r="B1110" s="107">
        <v>43777</v>
      </c>
      <c r="C1110" s="109">
        <v>43781</v>
      </c>
      <c r="D1110" s="76" t="s">
        <v>53</v>
      </c>
      <c r="E1110" s="76" t="s">
        <v>53</v>
      </c>
      <c r="F1110" s="39" t="s">
        <v>353</v>
      </c>
      <c r="G1110" s="399">
        <f>IFERROR(VLOOKUP(A1110,醫療院所DATABASE!A:B,2,""),)</f>
        <v>0</v>
      </c>
      <c r="H1110" s="64"/>
      <c r="I1110" s="109">
        <v>43775</v>
      </c>
      <c r="J1110" s="109">
        <v>43777</v>
      </c>
      <c r="K1110" s="39" t="s">
        <v>4255</v>
      </c>
      <c r="L1110" s="76" t="s">
        <v>4256</v>
      </c>
      <c r="M1110" s="39" t="s">
        <v>3893</v>
      </c>
      <c r="N1110" s="39" t="s">
        <v>62</v>
      </c>
      <c r="O1110" s="24"/>
      <c r="P1110" s="409" t="s">
        <v>4257</v>
      </c>
      <c r="Q1110" s="76" t="s">
        <v>64</v>
      </c>
      <c r="R1110" s="76" t="s">
        <v>1885</v>
      </c>
      <c r="S1110" s="24"/>
      <c r="T1110" s="24"/>
      <c r="U1110" s="64"/>
      <c r="V1110" s="56"/>
      <c r="W1110" s="56"/>
      <c r="X1110" s="56"/>
      <c r="Y1110" s="56"/>
      <c r="Z1110" s="56"/>
      <c r="AA1110" s="56"/>
      <c r="AB1110" s="56"/>
      <c r="AC1110" s="56"/>
    </row>
    <row r="1111" spans="1:29" ht="15.75" customHeight="1">
      <c r="A1111" s="39" t="s">
        <v>595</v>
      </c>
      <c r="B1111" s="107">
        <v>43777</v>
      </c>
      <c r="C1111" s="109">
        <v>43777</v>
      </c>
      <c r="D1111" s="76" t="s">
        <v>543</v>
      </c>
      <c r="E1111" s="76" t="s">
        <v>543</v>
      </c>
      <c r="F1111" s="39" t="s">
        <v>4258</v>
      </c>
      <c r="G1111" s="399">
        <f>IFERROR(VLOOKUP(A1111,醫療院所DATABASE!A:B,2,""),)</f>
        <v>0</v>
      </c>
      <c r="H1111" s="64"/>
      <c r="I1111" s="109">
        <v>43775</v>
      </c>
      <c r="J1111" s="109">
        <v>43777</v>
      </c>
      <c r="K1111" s="39" t="s">
        <v>4259</v>
      </c>
      <c r="L1111" s="76" t="s">
        <v>4260</v>
      </c>
      <c r="M1111" s="39" t="s">
        <v>593</v>
      </c>
      <c r="N1111" s="39" t="s">
        <v>62</v>
      </c>
      <c r="O1111" s="24"/>
      <c r="P1111" s="409" t="s">
        <v>4261</v>
      </c>
      <c r="Q1111" s="76" t="s">
        <v>64</v>
      </c>
      <c r="R1111" s="76" t="s">
        <v>1885</v>
      </c>
      <c r="S1111" s="24"/>
      <c r="T1111" s="24"/>
      <c r="U1111" s="64"/>
      <c r="V1111" s="56"/>
      <c r="W1111" s="56"/>
      <c r="X1111" s="56"/>
      <c r="Y1111" s="56"/>
      <c r="Z1111" s="56"/>
      <c r="AA1111" s="56"/>
      <c r="AB1111" s="56"/>
      <c r="AC1111" s="56"/>
    </row>
    <row r="1112" spans="1:29" ht="15.75" customHeight="1">
      <c r="A1112" s="39" t="s">
        <v>595</v>
      </c>
      <c r="B1112" s="107"/>
      <c r="C1112" s="109">
        <v>43780</v>
      </c>
      <c r="D1112" s="76" t="s">
        <v>543</v>
      </c>
      <c r="E1112" s="76" t="s">
        <v>543</v>
      </c>
      <c r="F1112" s="39" t="s">
        <v>4262</v>
      </c>
      <c r="G1112" s="399">
        <f>IFERROR(VLOOKUP(A1112,醫療院所DATABASE!A:B,2,""),)</f>
        <v>0</v>
      </c>
      <c r="H1112" s="64"/>
      <c r="I1112" s="109">
        <v>43775</v>
      </c>
      <c r="J1112" s="109">
        <v>43777</v>
      </c>
      <c r="K1112" s="39" t="s">
        <v>4263</v>
      </c>
      <c r="L1112" s="76" t="s">
        <v>4264</v>
      </c>
      <c r="M1112" s="39" t="s">
        <v>593</v>
      </c>
      <c r="N1112" s="39" t="s">
        <v>51</v>
      </c>
      <c r="O1112" s="24"/>
      <c r="P1112" s="409" t="s">
        <v>4265</v>
      </c>
      <c r="Q1112" s="76" t="s">
        <v>64</v>
      </c>
      <c r="R1112" s="76" t="s">
        <v>1885</v>
      </c>
      <c r="S1112" s="24"/>
      <c r="T1112" s="24"/>
      <c r="U1112" s="64"/>
      <c r="V1112" s="56"/>
      <c r="W1112" s="56"/>
      <c r="X1112" s="56"/>
      <c r="Y1112" s="56"/>
      <c r="Z1112" s="56"/>
      <c r="AA1112" s="56"/>
      <c r="AB1112" s="56"/>
      <c r="AC1112" s="56"/>
    </row>
    <row r="1113" spans="1:29" ht="15.75" customHeight="1">
      <c r="A1113" s="39" t="s">
        <v>1674</v>
      </c>
      <c r="B1113" s="107"/>
      <c r="C1113" s="109"/>
      <c r="D1113" s="76" t="s">
        <v>479</v>
      </c>
      <c r="E1113" s="76" t="s">
        <v>2693</v>
      </c>
      <c r="F1113" s="39" t="s">
        <v>2103</v>
      </c>
      <c r="G1113" s="399">
        <f>IFERROR(VLOOKUP(A1113,醫療院所DATABASE!A:B,2,""),)</f>
        <v>0</v>
      </c>
      <c r="H1113" s="64"/>
      <c r="I1113" s="109">
        <v>43776</v>
      </c>
      <c r="J1113" s="109">
        <v>43780</v>
      </c>
      <c r="K1113" s="39" t="s">
        <v>4266</v>
      </c>
      <c r="L1113" s="76" t="s">
        <v>4267</v>
      </c>
      <c r="M1113" s="39" t="s">
        <v>3557</v>
      </c>
      <c r="N1113" s="39" t="s">
        <v>62</v>
      </c>
      <c r="O1113" s="24"/>
      <c r="P1113" s="409" t="s">
        <v>4268</v>
      </c>
      <c r="Q1113" s="76" t="s">
        <v>1207</v>
      </c>
      <c r="R1113" s="76" t="s">
        <v>1885</v>
      </c>
      <c r="S1113" s="24"/>
      <c r="T1113" s="24"/>
      <c r="U1113" s="64"/>
      <c r="V1113" s="56"/>
      <c r="W1113" s="56"/>
      <c r="X1113" s="56"/>
      <c r="Y1113" s="56"/>
      <c r="Z1113" s="56"/>
      <c r="AA1113" s="56"/>
      <c r="AB1113" s="56"/>
      <c r="AC1113" s="56"/>
    </row>
    <row r="1114" spans="1:29" ht="15.75" customHeight="1">
      <c r="A1114" s="39" t="s">
        <v>4269</v>
      </c>
      <c r="B1114" s="107">
        <v>43780</v>
      </c>
      <c r="C1114" s="109"/>
      <c r="D1114" s="76" t="s">
        <v>53</v>
      </c>
      <c r="E1114" s="76" t="s">
        <v>53</v>
      </c>
      <c r="F1114" s="39" t="s">
        <v>4270</v>
      </c>
      <c r="G1114" s="399">
        <f>IFERROR(VLOOKUP(A1114,醫療院所DATABASE!A:B,2,""),)</f>
        <v>0</v>
      </c>
      <c r="H1114" s="64"/>
      <c r="I1114" s="109">
        <v>43776</v>
      </c>
      <c r="J1114" s="109">
        <v>43780</v>
      </c>
      <c r="K1114" s="39" t="s">
        <v>4271</v>
      </c>
      <c r="L1114" s="76" t="s">
        <v>4272</v>
      </c>
      <c r="M1114" s="39" t="s">
        <v>3594</v>
      </c>
      <c r="N1114" s="39" t="s">
        <v>62</v>
      </c>
      <c r="O1114" s="24"/>
      <c r="P1114" s="409" t="s">
        <v>4273</v>
      </c>
      <c r="Q1114" s="76" t="s">
        <v>64</v>
      </c>
      <c r="R1114" s="76" t="s">
        <v>1885</v>
      </c>
      <c r="S1114" s="24"/>
      <c r="T1114" s="24"/>
      <c r="U1114" s="64"/>
      <c r="V1114" s="56"/>
      <c r="W1114" s="56"/>
      <c r="X1114" s="56"/>
      <c r="Y1114" s="56"/>
      <c r="Z1114" s="56"/>
      <c r="AA1114" s="56"/>
      <c r="AB1114" s="56"/>
      <c r="AC1114" s="56"/>
    </row>
    <row r="1115" spans="1:29" ht="15.75" customHeight="1">
      <c r="A1115" s="39" t="s">
        <v>4269</v>
      </c>
      <c r="B1115" s="107">
        <v>43780</v>
      </c>
      <c r="C1115" s="109"/>
      <c r="D1115" s="76" t="s">
        <v>53</v>
      </c>
      <c r="E1115" s="76" t="s">
        <v>53</v>
      </c>
      <c r="F1115" s="39" t="s">
        <v>4270</v>
      </c>
      <c r="G1115" s="399">
        <f>IFERROR(VLOOKUP(A1115,醫療院所DATABASE!A:B,2,""),)</f>
        <v>0</v>
      </c>
      <c r="H1115" s="64"/>
      <c r="I1115" s="109">
        <v>43776</v>
      </c>
      <c r="J1115" s="109">
        <v>43780</v>
      </c>
      <c r="K1115" s="39" t="s">
        <v>4274</v>
      </c>
      <c r="L1115" s="76" t="s">
        <v>4275</v>
      </c>
      <c r="M1115" s="39" t="s">
        <v>3594</v>
      </c>
      <c r="N1115" s="39" t="s">
        <v>51</v>
      </c>
      <c r="O1115" s="24"/>
      <c r="P1115" s="409" t="s">
        <v>4276</v>
      </c>
      <c r="Q1115" s="76" t="s">
        <v>64</v>
      </c>
      <c r="R1115" s="76" t="s">
        <v>1885</v>
      </c>
      <c r="S1115" s="24"/>
      <c r="T1115" s="24"/>
      <c r="U1115" s="64"/>
      <c r="V1115" s="56"/>
      <c r="W1115" s="56"/>
      <c r="X1115" s="56"/>
      <c r="Y1115" s="56"/>
      <c r="Z1115" s="56"/>
      <c r="AA1115" s="56"/>
      <c r="AB1115" s="56"/>
      <c r="AC1115" s="56"/>
    </row>
    <row r="1116" spans="1:29" ht="15.75" customHeight="1">
      <c r="A1116" s="39" t="s">
        <v>4277</v>
      </c>
      <c r="B1116" s="107">
        <v>43780</v>
      </c>
      <c r="C1116" s="109"/>
      <c r="D1116" s="76" t="s">
        <v>53</v>
      </c>
      <c r="E1116" s="76" t="s">
        <v>53</v>
      </c>
      <c r="F1116" s="39" t="s">
        <v>2304</v>
      </c>
      <c r="G1116" s="399">
        <f>IFERROR(VLOOKUP(A1116,醫療院所DATABASE!A:B,2,""),)</f>
        <v>0</v>
      </c>
      <c r="H1116" s="64"/>
      <c r="I1116" s="109">
        <v>43777</v>
      </c>
      <c r="J1116" s="109">
        <v>43781</v>
      </c>
      <c r="K1116" s="39" t="s">
        <v>4278</v>
      </c>
      <c r="L1116" s="76" t="s">
        <v>4279</v>
      </c>
      <c r="M1116" s="39" t="s">
        <v>3594</v>
      </c>
      <c r="N1116" s="39" t="s">
        <v>62</v>
      </c>
      <c r="O1116" s="24"/>
      <c r="P1116" s="409" t="s">
        <v>4280</v>
      </c>
      <c r="Q1116" s="76" t="s">
        <v>64</v>
      </c>
      <c r="R1116" s="76" t="s">
        <v>1885</v>
      </c>
      <c r="S1116" s="24"/>
      <c r="T1116" s="24"/>
      <c r="U1116" s="64"/>
      <c r="V1116" s="56"/>
      <c r="W1116" s="56"/>
      <c r="X1116" s="56"/>
      <c r="Y1116" s="56"/>
      <c r="Z1116" s="56"/>
      <c r="AA1116" s="56"/>
      <c r="AB1116" s="56"/>
      <c r="AC1116" s="56"/>
    </row>
    <row r="1117" spans="1:29" ht="15.75" customHeight="1">
      <c r="A1117" s="39" t="s">
        <v>1319</v>
      </c>
      <c r="B1117" s="107">
        <v>43780</v>
      </c>
      <c r="C1117" s="109"/>
      <c r="D1117" s="76" t="s">
        <v>1910</v>
      </c>
      <c r="E1117" s="76" t="s">
        <v>53</v>
      </c>
      <c r="F1117" s="39" t="s">
        <v>1911</v>
      </c>
      <c r="G1117" s="399">
        <f>IFERROR(VLOOKUP(A1117,醫療院所DATABASE!A:B,2,""),)</f>
        <v>0</v>
      </c>
      <c r="H1117" s="64"/>
      <c r="I1117" s="109">
        <v>43777</v>
      </c>
      <c r="J1117" s="109">
        <v>43781</v>
      </c>
      <c r="K1117" s="39" t="s">
        <v>4281</v>
      </c>
      <c r="L1117" s="76" t="s">
        <v>4282</v>
      </c>
      <c r="M1117" s="39" t="s">
        <v>3594</v>
      </c>
      <c r="N1117" s="39" t="s">
        <v>62</v>
      </c>
      <c r="O1117" s="24"/>
      <c r="P1117" s="409" t="s">
        <v>4283</v>
      </c>
      <c r="Q1117" s="76" t="s">
        <v>64</v>
      </c>
      <c r="R1117" s="76" t="s">
        <v>1885</v>
      </c>
      <c r="S1117" s="24"/>
      <c r="T1117" s="24"/>
      <c r="U1117" s="64"/>
      <c r="V1117" s="56"/>
      <c r="W1117" s="56"/>
      <c r="X1117" s="56"/>
      <c r="Y1117" s="56"/>
      <c r="Z1117" s="56"/>
      <c r="AA1117" s="56"/>
      <c r="AB1117" s="56"/>
      <c r="AC1117" s="56"/>
    </row>
    <row r="1118" spans="1:29" ht="15.75" customHeight="1">
      <c r="A1118" s="39" t="s">
        <v>3890</v>
      </c>
      <c r="B1118" s="107">
        <v>43780</v>
      </c>
      <c r="C1118" s="109"/>
      <c r="D1118" s="76" t="s">
        <v>53</v>
      </c>
      <c r="E1118" s="76" t="s">
        <v>53</v>
      </c>
      <c r="F1118" s="39" t="s">
        <v>3153</v>
      </c>
      <c r="G1118" s="399">
        <f>IFERROR(VLOOKUP(A1118,醫療院所DATABASE!A:B,2,""),)</f>
        <v>0</v>
      </c>
      <c r="H1118" s="64"/>
      <c r="I1118" s="109">
        <v>43777</v>
      </c>
      <c r="J1118" s="109">
        <v>43781</v>
      </c>
      <c r="K1118" s="39" t="s">
        <v>4284</v>
      </c>
      <c r="L1118" s="76" t="s">
        <v>4285</v>
      </c>
      <c r="M1118" s="39" t="s">
        <v>3893</v>
      </c>
      <c r="N1118" s="39" t="s">
        <v>51</v>
      </c>
      <c r="O1118" s="24"/>
      <c r="P1118" s="409" t="s">
        <v>4286</v>
      </c>
      <c r="Q1118" s="76" t="s">
        <v>64</v>
      </c>
      <c r="R1118" s="76" t="s">
        <v>1885</v>
      </c>
      <c r="S1118" s="24"/>
      <c r="T1118" s="24"/>
      <c r="U1118" s="64"/>
      <c r="V1118" s="56"/>
      <c r="W1118" s="56"/>
      <c r="X1118" s="56"/>
      <c r="Y1118" s="56"/>
      <c r="Z1118" s="56"/>
      <c r="AA1118" s="56"/>
      <c r="AB1118" s="56"/>
      <c r="AC1118" s="56"/>
    </row>
    <row r="1119" spans="1:29" ht="15.75" customHeight="1">
      <c r="A1119" s="39" t="s">
        <v>4287</v>
      </c>
      <c r="B1119" s="107">
        <v>43782</v>
      </c>
      <c r="C1119" s="109"/>
      <c r="D1119" s="76" t="s">
        <v>665</v>
      </c>
      <c r="E1119" s="64"/>
      <c r="F1119" s="39" t="s">
        <v>3186</v>
      </c>
      <c r="G1119" s="399">
        <f>IFERROR(VLOOKUP(A1119,醫療院所DATABASE!A:B,2,""),)</f>
        <v>0</v>
      </c>
      <c r="H1119" s="64"/>
      <c r="I1119" s="109">
        <v>43780</v>
      </c>
      <c r="J1119" s="109">
        <v>43782</v>
      </c>
      <c r="K1119" s="39" t="s">
        <v>4288</v>
      </c>
      <c r="L1119" s="76" t="s">
        <v>4289</v>
      </c>
      <c r="M1119" s="39" t="s">
        <v>3636</v>
      </c>
      <c r="N1119" s="39" t="s">
        <v>62</v>
      </c>
      <c r="O1119" s="24"/>
      <c r="P1119" s="409" t="s">
        <v>4290</v>
      </c>
      <c r="Q1119" s="76" t="s">
        <v>64</v>
      </c>
      <c r="R1119" s="76" t="s">
        <v>1885</v>
      </c>
      <c r="S1119" s="24"/>
      <c r="T1119" s="24"/>
      <c r="U1119" s="64"/>
      <c r="V1119" s="56"/>
      <c r="W1119" s="56"/>
      <c r="X1119" s="56"/>
      <c r="Y1119" s="56"/>
      <c r="Z1119" s="56"/>
      <c r="AA1119" s="56"/>
      <c r="AB1119" s="56"/>
      <c r="AC1119" s="56"/>
    </row>
    <row r="1120" spans="1:29" ht="15.75" customHeight="1">
      <c r="A1120" s="39" t="s">
        <v>4287</v>
      </c>
      <c r="B1120" s="107">
        <v>43782</v>
      </c>
      <c r="C1120" s="109"/>
      <c r="D1120" s="76" t="s">
        <v>665</v>
      </c>
      <c r="E1120" s="64"/>
      <c r="F1120" s="39" t="s">
        <v>3186</v>
      </c>
      <c r="G1120" s="399">
        <f>IFERROR(VLOOKUP(A1120,醫療院所DATABASE!A:B,2,""),)</f>
        <v>0</v>
      </c>
      <c r="H1120" s="64"/>
      <c r="I1120" s="109">
        <v>43780</v>
      </c>
      <c r="J1120" s="109">
        <v>43782</v>
      </c>
      <c r="K1120" s="39" t="s">
        <v>4291</v>
      </c>
      <c r="L1120" s="76" t="s">
        <v>4292</v>
      </c>
      <c r="M1120" s="39" t="s">
        <v>3594</v>
      </c>
      <c r="N1120" s="39" t="s">
        <v>62</v>
      </c>
      <c r="O1120" s="24"/>
      <c r="P1120" s="409" t="s">
        <v>4293</v>
      </c>
      <c r="Q1120" s="76" t="s">
        <v>64</v>
      </c>
      <c r="R1120" s="76" t="s">
        <v>1885</v>
      </c>
      <c r="S1120" s="24"/>
      <c r="T1120" s="24"/>
      <c r="U1120" s="64"/>
      <c r="V1120" s="56"/>
      <c r="W1120" s="56"/>
      <c r="X1120" s="56"/>
      <c r="Y1120" s="56"/>
      <c r="Z1120" s="56"/>
      <c r="AA1120" s="56"/>
      <c r="AB1120" s="56"/>
      <c r="AC1120" s="56"/>
    </row>
    <row r="1121" spans="1:29" ht="15.75" customHeight="1">
      <c r="A1121" s="39" t="s">
        <v>4287</v>
      </c>
      <c r="B1121" s="107">
        <v>43782</v>
      </c>
      <c r="C1121" s="109"/>
      <c r="D1121" s="76" t="s">
        <v>665</v>
      </c>
      <c r="E1121" s="64"/>
      <c r="F1121" s="39" t="s">
        <v>3186</v>
      </c>
      <c r="G1121" s="399">
        <f>IFERROR(VLOOKUP(A1121,醫療院所DATABASE!A:B,2,""),)</f>
        <v>0</v>
      </c>
      <c r="H1121" s="64"/>
      <c r="I1121" s="109">
        <v>43780</v>
      </c>
      <c r="J1121" s="109">
        <v>43782</v>
      </c>
      <c r="K1121" s="39" t="s">
        <v>4294</v>
      </c>
      <c r="L1121" s="76" t="s">
        <v>4295</v>
      </c>
      <c r="M1121" s="39" t="s">
        <v>3594</v>
      </c>
      <c r="N1121" s="39" t="s">
        <v>62</v>
      </c>
      <c r="O1121" s="24"/>
      <c r="P1121" s="409" t="s">
        <v>4296</v>
      </c>
      <c r="Q1121" s="76" t="s">
        <v>1207</v>
      </c>
      <c r="R1121" s="76" t="s">
        <v>2075</v>
      </c>
      <c r="S1121" s="24"/>
      <c r="T1121" s="24"/>
      <c r="U1121" s="64"/>
      <c r="V1121" s="56"/>
      <c r="W1121" s="56"/>
      <c r="X1121" s="56"/>
      <c r="Y1121" s="56"/>
      <c r="Z1121" s="56"/>
      <c r="AA1121" s="56"/>
      <c r="AB1121" s="56"/>
      <c r="AC1121" s="56"/>
    </row>
    <row r="1122" spans="1:29" ht="15.75" customHeight="1">
      <c r="A1122" s="39" t="s">
        <v>4287</v>
      </c>
      <c r="B1122" s="107">
        <v>43782</v>
      </c>
      <c r="C1122" s="109"/>
      <c r="D1122" s="76" t="s">
        <v>665</v>
      </c>
      <c r="E1122" s="64"/>
      <c r="F1122" s="39" t="s">
        <v>3186</v>
      </c>
      <c r="G1122" s="399">
        <f>IFERROR(VLOOKUP(A1122,醫療院所DATABASE!A:B,2,""),)</f>
        <v>0</v>
      </c>
      <c r="H1122" s="64"/>
      <c r="I1122" s="109">
        <v>43780</v>
      </c>
      <c r="J1122" s="109">
        <v>43782</v>
      </c>
      <c r="K1122" s="39" t="s">
        <v>4297</v>
      </c>
      <c r="L1122" s="76" t="s">
        <v>4298</v>
      </c>
      <c r="M1122" s="39" t="s">
        <v>3594</v>
      </c>
      <c r="N1122" s="39" t="s">
        <v>51</v>
      </c>
      <c r="O1122" s="24"/>
      <c r="P1122" s="409" t="s">
        <v>4299</v>
      </c>
      <c r="Q1122" s="76" t="s">
        <v>1207</v>
      </c>
      <c r="R1122" s="76" t="s">
        <v>2075</v>
      </c>
      <c r="S1122" s="24"/>
      <c r="T1122" s="24"/>
      <c r="U1122" s="64"/>
      <c r="V1122" s="56"/>
      <c r="W1122" s="56"/>
      <c r="X1122" s="56"/>
      <c r="Y1122" s="56"/>
      <c r="Z1122" s="56"/>
      <c r="AA1122" s="56"/>
      <c r="AB1122" s="56"/>
      <c r="AC1122" s="56"/>
    </row>
    <row r="1123" spans="1:29" ht="15.75" customHeight="1">
      <c r="A1123" s="39" t="s">
        <v>4287</v>
      </c>
      <c r="B1123" s="107">
        <v>43782</v>
      </c>
      <c r="C1123" s="109"/>
      <c r="D1123" s="76" t="s">
        <v>665</v>
      </c>
      <c r="E1123" s="64"/>
      <c r="F1123" s="39" t="s">
        <v>3186</v>
      </c>
      <c r="G1123" s="399">
        <f>IFERROR(VLOOKUP(A1123,醫療院所DATABASE!A:B,2,""),)</f>
        <v>0</v>
      </c>
      <c r="H1123" s="64"/>
      <c r="I1123" s="109">
        <v>43780</v>
      </c>
      <c r="J1123" s="109">
        <v>43782</v>
      </c>
      <c r="K1123" s="39" t="s">
        <v>4300</v>
      </c>
      <c r="L1123" s="76" t="s">
        <v>4301</v>
      </c>
      <c r="M1123" s="39" t="s">
        <v>3594</v>
      </c>
      <c r="N1123" s="172" t="s">
        <v>62</v>
      </c>
      <c r="O1123" s="24"/>
      <c r="P1123" s="409" t="s">
        <v>4302</v>
      </c>
      <c r="Q1123" s="76" t="s">
        <v>64</v>
      </c>
      <c r="R1123" s="76" t="s">
        <v>1885</v>
      </c>
      <c r="S1123" s="24"/>
      <c r="T1123" s="24"/>
      <c r="U1123" s="64"/>
      <c r="V1123" s="56"/>
      <c r="W1123" s="56"/>
      <c r="X1123" s="56"/>
      <c r="Y1123" s="56"/>
      <c r="Z1123" s="56"/>
      <c r="AA1123" s="56"/>
      <c r="AB1123" s="56"/>
      <c r="AC1123" s="56"/>
    </row>
    <row r="1124" spans="1:29" ht="15.75" customHeight="1">
      <c r="A1124" s="39" t="s">
        <v>4287</v>
      </c>
      <c r="B1124" s="107">
        <v>43782</v>
      </c>
      <c r="C1124" s="109"/>
      <c r="D1124" s="76" t="s">
        <v>1542</v>
      </c>
      <c r="E1124" s="64"/>
      <c r="F1124" s="39" t="s">
        <v>3186</v>
      </c>
      <c r="G1124" s="399">
        <f>IFERROR(VLOOKUP(A1124,醫療院所DATABASE!A:B,2,""),)</f>
        <v>0</v>
      </c>
      <c r="H1124" s="64"/>
      <c r="I1124" s="109">
        <v>43780</v>
      </c>
      <c r="J1124" s="109">
        <v>43782</v>
      </c>
      <c r="K1124" s="39" t="s">
        <v>4306</v>
      </c>
      <c r="L1124" s="76" t="s">
        <v>3825</v>
      </c>
      <c r="M1124" s="39" t="s">
        <v>4307</v>
      </c>
      <c r="N1124" s="172" t="s">
        <v>62</v>
      </c>
      <c r="O1124" s="24"/>
      <c r="P1124" s="409" t="s">
        <v>4308</v>
      </c>
      <c r="Q1124" s="76" t="s">
        <v>64</v>
      </c>
      <c r="R1124" s="76" t="s">
        <v>1885</v>
      </c>
      <c r="S1124" s="24"/>
      <c r="T1124" s="24"/>
      <c r="U1124" s="64"/>
      <c r="V1124" s="56"/>
      <c r="W1124" s="56"/>
      <c r="X1124" s="56"/>
      <c r="Y1124" s="56"/>
      <c r="Z1124" s="56"/>
      <c r="AA1124" s="56"/>
      <c r="AB1124" s="56"/>
      <c r="AC1124" s="56"/>
    </row>
    <row r="1125" spans="1:29" ht="15.75" customHeight="1">
      <c r="A1125" s="39" t="s">
        <v>4287</v>
      </c>
      <c r="B1125" s="107">
        <v>43782</v>
      </c>
      <c r="C1125" s="109"/>
      <c r="D1125" s="76" t="s">
        <v>479</v>
      </c>
      <c r="E1125" s="64"/>
      <c r="F1125" s="39" t="s">
        <v>3186</v>
      </c>
      <c r="G1125" s="399">
        <f>IFERROR(VLOOKUP(A1125,醫療院所DATABASE!A:B,2,""),)</f>
        <v>0</v>
      </c>
      <c r="H1125" s="64"/>
      <c r="I1125" s="109">
        <v>43780</v>
      </c>
      <c r="J1125" s="109">
        <v>43782</v>
      </c>
      <c r="K1125" s="39" t="s">
        <v>4309</v>
      </c>
      <c r="L1125" s="76" t="s">
        <v>4310</v>
      </c>
      <c r="M1125" s="39" t="s">
        <v>4307</v>
      </c>
      <c r="N1125" s="39" t="s">
        <v>51</v>
      </c>
      <c r="O1125" s="24"/>
      <c r="P1125" s="409" t="s">
        <v>4311</v>
      </c>
      <c r="Q1125" s="76" t="s">
        <v>64</v>
      </c>
      <c r="R1125" s="76" t="s">
        <v>1885</v>
      </c>
      <c r="S1125" s="24"/>
      <c r="T1125" s="24"/>
      <c r="U1125" s="64"/>
      <c r="V1125" s="56"/>
      <c r="W1125" s="56"/>
      <c r="X1125" s="56"/>
      <c r="Y1125" s="56"/>
      <c r="Z1125" s="56"/>
      <c r="AA1125" s="56"/>
      <c r="AB1125" s="56"/>
      <c r="AC1125" s="56"/>
    </row>
    <row r="1126" spans="1:29" ht="15.75" customHeight="1">
      <c r="A1126" s="39" t="s">
        <v>4287</v>
      </c>
      <c r="B1126" s="107">
        <v>43782</v>
      </c>
      <c r="C1126" s="109"/>
      <c r="D1126" s="76" t="s">
        <v>479</v>
      </c>
      <c r="E1126" s="64"/>
      <c r="F1126" s="39" t="s">
        <v>3186</v>
      </c>
      <c r="G1126" s="399">
        <f>IFERROR(VLOOKUP(A1126,醫療院所DATABASE!A:B,2,""),)</f>
        <v>0</v>
      </c>
      <c r="H1126" s="64"/>
      <c r="I1126" s="109">
        <v>43780</v>
      </c>
      <c r="J1126" s="109">
        <v>43782</v>
      </c>
      <c r="K1126" s="39" t="s">
        <v>4312</v>
      </c>
      <c r="L1126" s="76" t="s">
        <v>4313</v>
      </c>
      <c r="M1126" s="39" t="s">
        <v>4307</v>
      </c>
      <c r="N1126" s="172" t="s">
        <v>62</v>
      </c>
      <c r="O1126" s="24"/>
      <c r="P1126" s="409" t="s">
        <v>4314</v>
      </c>
      <c r="Q1126" s="76" t="s">
        <v>64</v>
      </c>
      <c r="R1126" s="76" t="s">
        <v>1885</v>
      </c>
      <c r="S1126" s="24"/>
      <c r="T1126" s="24"/>
      <c r="U1126" s="64"/>
      <c r="V1126" s="56"/>
      <c r="W1126" s="56"/>
      <c r="X1126" s="56"/>
      <c r="Y1126" s="56"/>
      <c r="Z1126" s="56"/>
      <c r="AA1126" s="56"/>
      <c r="AB1126" s="56"/>
      <c r="AC1126" s="56"/>
    </row>
    <row r="1127" spans="1:29" ht="15.75" customHeight="1">
      <c r="A1127" s="39" t="s">
        <v>4287</v>
      </c>
      <c r="B1127" s="107">
        <v>43782</v>
      </c>
      <c r="C1127" s="109"/>
      <c r="D1127" s="76" t="s">
        <v>543</v>
      </c>
      <c r="E1127" s="64"/>
      <c r="F1127" s="39" t="s">
        <v>3186</v>
      </c>
      <c r="G1127" s="399">
        <f>IFERROR(VLOOKUP(A1127,醫療院所DATABASE!A:B,2,""),)</f>
        <v>0</v>
      </c>
      <c r="H1127" s="64"/>
      <c r="I1127" s="109">
        <v>43780</v>
      </c>
      <c r="J1127" s="109">
        <v>43782</v>
      </c>
      <c r="K1127" s="39" t="s">
        <v>4315</v>
      </c>
      <c r="L1127" s="76" t="s">
        <v>4316</v>
      </c>
      <c r="M1127" s="39" t="s">
        <v>4307</v>
      </c>
      <c r="N1127" s="39" t="s">
        <v>51</v>
      </c>
      <c r="O1127" s="24"/>
      <c r="P1127" s="409" t="s">
        <v>4317</v>
      </c>
      <c r="Q1127" s="76" t="s">
        <v>64</v>
      </c>
      <c r="R1127" s="76" t="s">
        <v>1885</v>
      </c>
      <c r="S1127" s="24"/>
      <c r="T1127" s="24"/>
      <c r="U1127" s="64"/>
      <c r="V1127" s="56"/>
      <c r="W1127" s="56"/>
      <c r="X1127" s="56"/>
      <c r="Y1127" s="56"/>
      <c r="Z1127" s="56"/>
      <c r="AA1127" s="56"/>
      <c r="AB1127" s="56"/>
      <c r="AC1127" s="56"/>
    </row>
    <row r="1128" spans="1:29" ht="15.75" customHeight="1">
      <c r="A1128" s="39" t="s">
        <v>4287</v>
      </c>
      <c r="B1128" s="107">
        <v>43782</v>
      </c>
      <c r="C1128" s="109"/>
      <c r="D1128" s="76" t="s">
        <v>366</v>
      </c>
      <c r="E1128" s="64"/>
      <c r="F1128" s="39" t="s">
        <v>3186</v>
      </c>
      <c r="G1128" s="399">
        <f>IFERROR(VLOOKUP(A1128,醫療院所DATABASE!A:B,2,""),)</f>
        <v>0</v>
      </c>
      <c r="H1128" s="64"/>
      <c r="I1128" s="109">
        <v>43780</v>
      </c>
      <c r="J1128" s="109">
        <v>43782</v>
      </c>
      <c r="K1128" s="39" t="s">
        <v>4318</v>
      </c>
      <c r="L1128" s="76" t="s">
        <v>4319</v>
      </c>
      <c r="M1128" s="39" t="s">
        <v>4307</v>
      </c>
      <c r="N1128" s="39" t="s">
        <v>51</v>
      </c>
      <c r="O1128" s="24"/>
      <c r="P1128" s="409" t="s">
        <v>4320</v>
      </c>
      <c r="Q1128" s="76" t="s">
        <v>64</v>
      </c>
      <c r="R1128" s="76" t="s">
        <v>1885</v>
      </c>
      <c r="S1128" s="24"/>
      <c r="T1128" s="24"/>
      <c r="U1128" s="64"/>
      <c r="V1128" s="56"/>
      <c r="W1128" s="56"/>
      <c r="X1128" s="56"/>
      <c r="Y1128" s="56"/>
      <c r="Z1128" s="56"/>
      <c r="AA1128" s="56"/>
      <c r="AB1128" s="56"/>
      <c r="AC1128" s="56"/>
    </row>
    <row r="1129" spans="1:29" ht="15.75" customHeight="1">
      <c r="A1129" s="39" t="s">
        <v>4287</v>
      </c>
      <c r="B1129" s="107">
        <v>43782</v>
      </c>
      <c r="C1129" s="109"/>
      <c r="D1129" s="76" t="s">
        <v>479</v>
      </c>
      <c r="E1129" s="64"/>
      <c r="F1129" s="39" t="s">
        <v>3186</v>
      </c>
      <c r="G1129" s="399">
        <f>IFERROR(VLOOKUP(A1129,醫療院所DATABASE!A:B,2,""),)</f>
        <v>0</v>
      </c>
      <c r="H1129" s="64"/>
      <c r="I1129" s="109">
        <v>43780</v>
      </c>
      <c r="J1129" s="109">
        <v>43782</v>
      </c>
      <c r="K1129" s="39" t="s">
        <v>4321</v>
      </c>
      <c r="L1129" s="76" t="s">
        <v>4322</v>
      </c>
      <c r="M1129" s="39" t="s">
        <v>4307</v>
      </c>
      <c r="N1129" s="172" t="s">
        <v>62</v>
      </c>
      <c r="O1129" s="24"/>
      <c r="P1129" s="409" t="s">
        <v>4323</v>
      </c>
      <c r="Q1129" s="76" t="s">
        <v>64</v>
      </c>
      <c r="R1129" s="76" t="s">
        <v>1885</v>
      </c>
      <c r="S1129" s="24"/>
      <c r="T1129" s="24"/>
      <c r="U1129" s="64"/>
      <c r="V1129" s="56"/>
      <c r="W1129" s="56"/>
      <c r="X1129" s="56"/>
      <c r="Y1129" s="56"/>
      <c r="Z1129" s="56"/>
      <c r="AA1129" s="56"/>
      <c r="AB1129" s="56"/>
      <c r="AC1129" s="56"/>
    </row>
    <row r="1130" spans="1:29" ht="15.75" customHeight="1">
      <c r="A1130" s="39" t="s">
        <v>4287</v>
      </c>
      <c r="B1130" s="107">
        <v>43782</v>
      </c>
      <c r="C1130" s="109"/>
      <c r="D1130" s="76" t="s">
        <v>366</v>
      </c>
      <c r="E1130" s="64"/>
      <c r="F1130" s="39" t="s">
        <v>3186</v>
      </c>
      <c r="G1130" s="399">
        <f>IFERROR(VLOOKUP(A1130,醫療院所DATABASE!A:B,2,""),)</f>
        <v>0</v>
      </c>
      <c r="H1130" s="64"/>
      <c r="I1130" s="109">
        <v>43780</v>
      </c>
      <c r="J1130" s="109">
        <v>43782</v>
      </c>
      <c r="K1130" s="39" t="s">
        <v>4324</v>
      </c>
      <c r="L1130" s="76" t="s">
        <v>4325</v>
      </c>
      <c r="M1130" s="39" t="s">
        <v>4307</v>
      </c>
      <c r="N1130" s="172" t="s">
        <v>62</v>
      </c>
      <c r="O1130" s="24"/>
      <c r="P1130" s="409" t="s">
        <v>4326</v>
      </c>
      <c r="Q1130" s="76" t="s">
        <v>64</v>
      </c>
      <c r="R1130" s="76" t="s">
        <v>1885</v>
      </c>
      <c r="S1130" s="24"/>
      <c r="T1130" s="24"/>
      <c r="U1130" s="64"/>
      <c r="V1130" s="56"/>
      <c r="W1130" s="56"/>
      <c r="X1130" s="56"/>
      <c r="Y1130" s="56"/>
      <c r="Z1130" s="56"/>
      <c r="AA1130" s="56"/>
      <c r="AB1130" s="56"/>
      <c r="AC1130" s="56"/>
    </row>
    <row r="1131" spans="1:29" ht="15.75" customHeight="1">
      <c r="A1131" s="39" t="s">
        <v>4287</v>
      </c>
      <c r="B1131" s="107">
        <v>43782</v>
      </c>
      <c r="C1131" s="109"/>
      <c r="D1131" s="76" t="s">
        <v>366</v>
      </c>
      <c r="E1131" s="64"/>
      <c r="F1131" s="39" t="s">
        <v>3186</v>
      </c>
      <c r="G1131" s="399">
        <f>IFERROR(VLOOKUP(A1131,醫療院所DATABASE!A:B,2,""),)</f>
        <v>0</v>
      </c>
      <c r="H1131" s="64"/>
      <c r="I1131" s="109">
        <v>43780</v>
      </c>
      <c r="J1131" s="109">
        <v>43782</v>
      </c>
      <c r="K1131" s="39" t="s">
        <v>4327</v>
      </c>
      <c r="L1131" s="76" t="s">
        <v>4328</v>
      </c>
      <c r="M1131" s="39" t="s">
        <v>4307</v>
      </c>
      <c r="N1131" s="39" t="s">
        <v>51</v>
      </c>
      <c r="O1131" s="24"/>
      <c r="P1131" s="409" t="s">
        <v>4329</v>
      </c>
      <c r="Q1131" s="76" t="s">
        <v>64</v>
      </c>
      <c r="R1131" s="76" t="s">
        <v>1885</v>
      </c>
      <c r="S1131" s="24"/>
      <c r="T1131" s="24"/>
      <c r="U1131" s="64"/>
      <c r="V1131" s="56"/>
      <c r="W1131" s="56"/>
      <c r="X1131" s="56"/>
      <c r="Y1131" s="56"/>
      <c r="Z1131" s="56"/>
      <c r="AA1131" s="56"/>
      <c r="AB1131" s="56"/>
      <c r="AC1131" s="56"/>
    </row>
    <row r="1132" spans="1:29" ht="15.75" customHeight="1">
      <c r="A1132" s="39" t="s">
        <v>4287</v>
      </c>
      <c r="B1132" s="107">
        <v>43782</v>
      </c>
      <c r="C1132" s="109"/>
      <c r="D1132" s="76" t="s">
        <v>366</v>
      </c>
      <c r="E1132" s="64"/>
      <c r="F1132" s="39" t="s">
        <v>3186</v>
      </c>
      <c r="G1132" s="399">
        <f>IFERROR(VLOOKUP(A1132,醫療院所DATABASE!A:B,2,""),)</f>
        <v>0</v>
      </c>
      <c r="H1132" s="64"/>
      <c r="I1132" s="109">
        <v>43780</v>
      </c>
      <c r="J1132" s="109">
        <v>43782</v>
      </c>
      <c r="K1132" s="39" t="s">
        <v>4330</v>
      </c>
      <c r="L1132" s="76" t="s">
        <v>4331</v>
      </c>
      <c r="M1132" s="39" t="s">
        <v>4307</v>
      </c>
      <c r="N1132" s="39" t="s">
        <v>51</v>
      </c>
      <c r="O1132" s="24"/>
      <c r="P1132" s="409" t="s">
        <v>4332</v>
      </c>
      <c r="Q1132" s="76" t="s">
        <v>64</v>
      </c>
      <c r="R1132" s="76" t="s">
        <v>1885</v>
      </c>
      <c r="S1132" s="24"/>
      <c r="T1132" s="24"/>
      <c r="U1132" s="64"/>
      <c r="V1132" s="56"/>
      <c r="W1132" s="56"/>
      <c r="X1132" s="56"/>
      <c r="Y1132" s="56"/>
      <c r="Z1132" s="56"/>
      <c r="AA1132" s="56"/>
      <c r="AB1132" s="56"/>
      <c r="AC1132" s="56"/>
    </row>
    <row r="1133" spans="1:29" ht="15.75" customHeight="1">
      <c r="A1133" s="39" t="s">
        <v>4287</v>
      </c>
      <c r="B1133" s="107">
        <v>43782</v>
      </c>
      <c r="C1133" s="109"/>
      <c r="D1133" s="76" t="s">
        <v>366</v>
      </c>
      <c r="E1133" s="64"/>
      <c r="F1133" s="39" t="s">
        <v>3186</v>
      </c>
      <c r="G1133" s="399">
        <f>IFERROR(VLOOKUP(A1133,醫療院所DATABASE!A:B,2,""),)</f>
        <v>0</v>
      </c>
      <c r="H1133" s="64"/>
      <c r="I1133" s="109">
        <v>43780</v>
      </c>
      <c r="J1133" s="109">
        <v>43782</v>
      </c>
      <c r="K1133" s="39" t="s">
        <v>4333</v>
      </c>
      <c r="L1133" s="76" t="s">
        <v>4334</v>
      </c>
      <c r="M1133" s="39" t="s">
        <v>4307</v>
      </c>
      <c r="N1133" s="39" t="s">
        <v>51</v>
      </c>
      <c r="O1133" s="24"/>
      <c r="P1133" s="409" t="s">
        <v>4335</v>
      </c>
      <c r="Q1133" s="76" t="s">
        <v>64</v>
      </c>
      <c r="R1133" s="76" t="s">
        <v>1885</v>
      </c>
      <c r="S1133" s="24"/>
      <c r="T1133" s="24"/>
      <c r="U1133" s="64"/>
      <c r="V1133" s="56"/>
      <c r="W1133" s="56"/>
      <c r="X1133" s="56"/>
      <c r="Y1133" s="56"/>
      <c r="Z1133" s="56"/>
      <c r="AA1133" s="56"/>
      <c r="AB1133" s="56"/>
      <c r="AC1133" s="56"/>
    </row>
    <row r="1134" spans="1:29" ht="15.75" customHeight="1">
      <c r="A1134" s="39" t="s">
        <v>4287</v>
      </c>
      <c r="B1134" s="107">
        <v>43782</v>
      </c>
      <c r="C1134" s="109"/>
      <c r="D1134" s="76" t="s">
        <v>543</v>
      </c>
      <c r="E1134" s="64"/>
      <c r="F1134" s="39" t="s">
        <v>3186</v>
      </c>
      <c r="G1134" s="399">
        <f>IFERROR(VLOOKUP(A1134,醫療院所DATABASE!A:B,2,""),)</f>
        <v>0</v>
      </c>
      <c r="H1134" s="64"/>
      <c r="I1134" s="109">
        <v>43780</v>
      </c>
      <c r="J1134" s="109">
        <v>43782</v>
      </c>
      <c r="K1134" s="39" t="s">
        <v>4336</v>
      </c>
      <c r="L1134" s="76" t="s">
        <v>4337</v>
      </c>
      <c r="M1134" s="39" t="s">
        <v>4307</v>
      </c>
      <c r="N1134" s="172" t="s">
        <v>62</v>
      </c>
      <c r="O1134" s="24"/>
      <c r="P1134" s="409" t="s">
        <v>4338</v>
      </c>
      <c r="Q1134" s="76" t="s">
        <v>64</v>
      </c>
      <c r="R1134" s="76" t="s">
        <v>1885</v>
      </c>
      <c r="S1134" s="24"/>
      <c r="T1134" s="24"/>
      <c r="U1134" s="64"/>
      <c r="V1134" s="56"/>
      <c r="W1134" s="56"/>
      <c r="X1134" s="56"/>
      <c r="Y1134" s="56"/>
      <c r="Z1134" s="56"/>
      <c r="AA1134" s="56"/>
      <c r="AB1134" s="56"/>
      <c r="AC1134" s="56"/>
    </row>
    <row r="1135" spans="1:29" ht="15.75" customHeight="1">
      <c r="A1135" s="39" t="s">
        <v>4287</v>
      </c>
      <c r="B1135" s="107">
        <v>43782</v>
      </c>
      <c r="C1135" s="109"/>
      <c r="D1135" s="76" t="s">
        <v>3427</v>
      </c>
      <c r="E1135" s="64"/>
      <c r="F1135" s="39" t="s">
        <v>3186</v>
      </c>
      <c r="G1135" s="399">
        <f>IFERROR(VLOOKUP(A1135,醫療院所DATABASE!A:B,2,""),)</f>
        <v>0</v>
      </c>
      <c r="H1135" s="64"/>
      <c r="I1135" s="109">
        <v>43780</v>
      </c>
      <c r="J1135" s="109">
        <v>43782</v>
      </c>
      <c r="K1135" s="39" t="s">
        <v>4339</v>
      </c>
      <c r="L1135" s="76" t="s">
        <v>4340</v>
      </c>
      <c r="M1135" s="39" t="s">
        <v>4307</v>
      </c>
      <c r="N1135" s="172" t="s">
        <v>62</v>
      </c>
      <c r="O1135" s="24"/>
      <c r="P1135" s="409" t="s">
        <v>4341</v>
      </c>
      <c r="Q1135" s="76" t="s">
        <v>64</v>
      </c>
      <c r="R1135" s="76" t="s">
        <v>1885</v>
      </c>
      <c r="S1135" s="24"/>
      <c r="T1135" s="24"/>
      <c r="U1135" s="64"/>
      <c r="V1135" s="56"/>
      <c r="W1135" s="56"/>
      <c r="X1135" s="56"/>
      <c r="Y1135" s="56"/>
      <c r="Z1135" s="56"/>
      <c r="AA1135" s="56"/>
      <c r="AB1135" s="56"/>
      <c r="AC1135" s="56"/>
    </row>
    <row r="1136" spans="1:29" ht="15.75" customHeight="1">
      <c r="A1136" s="39" t="s">
        <v>4287</v>
      </c>
      <c r="B1136" s="107">
        <v>43782</v>
      </c>
      <c r="C1136" s="109"/>
      <c r="D1136" s="76" t="s">
        <v>543</v>
      </c>
      <c r="E1136" s="64"/>
      <c r="F1136" s="39" t="s">
        <v>3186</v>
      </c>
      <c r="G1136" s="399">
        <f>IFERROR(VLOOKUP(A1136,醫療院所DATABASE!A:B,2,""),)</f>
        <v>0</v>
      </c>
      <c r="H1136" s="64"/>
      <c r="I1136" s="109">
        <v>43780</v>
      </c>
      <c r="J1136" s="109">
        <v>43782</v>
      </c>
      <c r="K1136" s="39" t="s">
        <v>4342</v>
      </c>
      <c r="L1136" s="76" t="s">
        <v>4343</v>
      </c>
      <c r="M1136" s="39" t="s">
        <v>4307</v>
      </c>
      <c r="N1136" s="172" t="s">
        <v>51</v>
      </c>
      <c r="O1136" s="24"/>
      <c r="P1136" s="409" t="s">
        <v>4344</v>
      </c>
      <c r="Q1136" s="76" t="s">
        <v>64</v>
      </c>
      <c r="R1136" s="76" t="s">
        <v>1885</v>
      </c>
      <c r="S1136" s="24"/>
      <c r="T1136" s="24"/>
      <c r="U1136" s="64"/>
      <c r="V1136" s="56"/>
      <c r="W1136" s="56"/>
      <c r="X1136" s="56"/>
      <c r="Y1136" s="56"/>
      <c r="Z1136" s="56"/>
      <c r="AA1136" s="56"/>
      <c r="AB1136" s="56"/>
      <c r="AC1136" s="56"/>
    </row>
    <row r="1137" spans="1:29" ht="15.75" customHeight="1">
      <c r="A1137" s="39" t="s">
        <v>4287</v>
      </c>
      <c r="B1137" s="107">
        <v>43782</v>
      </c>
      <c r="C1137" s="109"/>
      <c r="D1137" s="76" t="s">
        <v>3427</v>
      </c>
      <c r="E1137" s="64"/>
      <c r="F1137" s="39" t="s">
        <v>3186</v>
      </c>
      <c r="G1137" s="399">
        <f>IFERROR(VLOOKUP(A1137,醫療院所DATABASE!A:B,2,""),)</f>
        <v>0</v>
      </c>
      <c r="H1137" s="64"/>
      <c r="I1137" s="109">
        <v>43780</v>
      </c>
      <c r="J1137" s="109">
        <v>43782</v>
      </c>
      <c r="K1137" s="39" t="s">
        <v>4345</v>
      </c>
      <c r="L1137" s="76" t="s">
        <v>4346</v>
      </c>
      <c r="M1137" s="39" t="s">
        <v>4307</v>
      </c>
      <c r="N1137" s="172" t="s">
        <v>51</v>
      </c>
      <c r="O1137" s="24"/>
      <c r="P1137" s="409" t="s">
        <v>4347</v>
      </c>
      <c r="Q1137" s="76" t="s">
        <v>64</v>
      </c>
      <c r="R1137" s="76" t="s">
        <v>1885</v>
      </c>
      <c r="S1137" s="24"/>
      <c r="T1137" s="24"/>
      <c r="U1137" s="64"/>
      <c r="V1137" s="56"/>
      <c r="W1137" s="56"/>
      <c r="X1137" s="56"/>
      <c r="Y1137" s="56"/>
      <c r="Z1137" s="56"/>
      <c r="AA1137" s="56"/>
      <c r="AB1137" s="56"/>
      <c r="AC1137" s="56"/>
    </row>
    <row r="1138" spans="1:29" ht="15.75" customHeight="1">
      <c r="A1138" s="39" t="s">
        <v>4287</v>
      </c>
      <c r="B1138" s="107">
        <v>43782</v>
      </c>
      <c r="C1138" s="109"/>
      <c r="D1138" s="76" t="s">
        <v>494</v>
      </c>
      <c r="E1138" s="64"/>
      <c r="F1138" s="39" t="s">
        <v>3186</v>
      </c>
      <c r="G1138" s="399">
        <f>IFERROR(VLOOKUP(A1138,醫療院所DATABASE!A:B,2,""),)</f>
        <v>0</v>
      </c>
      <c r="H1138" s="64"/>
      <c r="I1138" s="109">
        <v>43780</v>
      </c>
      <c r="J1138" s="109">
        <v>43782</v>
      </c>
      <c r="K1138" s="39" t="s">
        <v>4348</v>
      </c>
      <c r="L1138" s="76" t="s">
        <v>4349</v>
      </c>
      <c r="M1138" s="39" t="s">
        <v>4307</v>
      </c>
      <c r="N1138" s="172" t="s">
        <v>51</v>
      </c>
      <c r="O1138" s="24"/>
      <c r="P1138" s="409" t="s">
        <v>4350</v>
      </c>
      <c r="Q1138" s="76" t="s">
        <v>64</v>
      </c>
      <c r="R1138" s="76" t="s">
        <v>1885</v>
      </c>
      <c r="S1138" s="24"/>
      <c r="T1138" s="24"/>
      <c r="U1138" s="64"/>
      <c r="V1138" s="56"/>
      <c r="W1138" s="56"/>
      <c r="X1138" s="56"/>
      <c r="Y1138" s="56"/>
      <c r="Z1138" s="56"/>
      <c r="AA1138" s="56"/>
      <c r="AB1138" s="56"/>
      <c r="AC1138" s="56"/>
    </row>
    <row r="1139" spans="1:29" ht="15.75" customHeight="1">
      <c r="A1139" s="39" t="s">
        <v>4287</v>
      </c>
      <c r="B1139" s="107">
        <v>43782</v>
      </c>
      <c r="C1139" s="109"/>
      <c r="D1139" s="76" t="s">
        <v>3427</v>
      </c>
      <c r="E1139" s="64"/>
      <c r="F1139" s="39" t="s">
        <v>3186</v>
      </c>
      <c r="G1139" s="399">
        <f>IFERROR(VLOOKUP(A1139,醫療院所DATABASE!A:B,2,""),)</f>
        <v>0</v>
      </c>
      <c r="H1139" s="64"/>
      <c r="I1139" s="109">
        <v>43780</v>
      </c>
      <c r="J1139" s="109">
        <v>43782</v>
      </c>
      <c r="K1139" s="39" t="s">
        <v>4351</v>
      </c>
      <c r="L1139" s="76" t="s">
        <v>4352</v>
      </c>
      <c r="M1139" s="39" t="s">
        <v>4307</v>
      </c>
      <c r="N1139" s="172" t="s">
        <v>51</v>
      </c>
      <c r="O1139" s="24"/>
      <c r="P1139" s="409" t="s">
        <v>4353</v>
      </c>
      <c r="Q1139" s="76" t="s">
        <v>64</v>
      </c>
      <c r="R1139" s="76" t="s">
        <v>1885</v>
      </c>
      <c r="S1139" s="24"/>
      <c r="T1139" s="24"/>
      <c r="U1139" s="64"/>
      <c r="V1139" s="56"/>
      <c r="W1139" s="56"/>
      <c r="X1139" s="56"/>
      <c r="Y1139" s="56"/>
      <c r="Z1139" s="56"/>
      <c r="AA1139" s="56"/>
      <c r="AB1139" s="56"/>
      <c r="AC1139" s="56"/>
    </row>
    <row r="1140" spans="1:29" ht="15.75" customHeight="1">
      <c r="A1140" s="39" t="s">
        <v>4287</v>
      </c>
      <c r="B1140" s="107">
        <v>43782</v>
      </c>
      <c r="C1140" s="109"/>
      <c r="D1140" s="76" t="s">
        <v>494</v>
      </c>
      <c r="E1140" s="64"/>
      <c r="F1140" s="39" t="s">
        <v>3186</v>
      </c>
      <c r="G1140" s="399">
        <f>IFERROR(VLOOKUP(A1140,醫療院所DATABASE!A:B,2,""),)</f>
        <v>0</v>
      </c>
      <c r="H1140" s="64"/>
      <c r="I1140" s="109">
        <v>43780</v>
      </c>
      <c r="J1140" s="109">
        <v>43782</v>
      </c>
      <c r="K1140" s="39" t="s">
        <v>4354</v>
      </c>
      <c r="L1140" s="76" t="s">
        <v>4355</v>
      </c>
      <c r="M1140" s="39" t="s">
        <v>4307</v>
      </c>
      <c r="N1140" s="172" t="s">
        <v>51</v>
      </c>
      <c r="O1140" s="24"/>
      <c r="P1140" s="409" t="s">
        <v>4356</v>
      </c>
      <c r="Q1140" s="76" t="s">
        <v>64</v>
      </c>
      <c r="R1140" s="76" t="s">
        <v>1885</v>
      </c>
      <c r="S1140" s="24"/>
      <c r="T1140" s="24"/>
      <c r="U1140" s="64"/>
      <c r="V1140" s="56"/>
      <c r="W1140" s="56"/>
      <c r="X1140" s="56"/>
      <c r="Y1140" s="56"/>
      <c r="Z1140" s="56"/>
      <c r="AA1140" s="56"/>
      <c r="AB1140" s="56"/>
      <c r="AC1140" s="56"/>
    </row>
    <row r="1141" spans="1:29" ht="15.75" customHeight="1">
      <c r="A1141" s="39" t="s">
        <v>4287</v>
      </c>
      <c r="B1141" s="107">
        <v>43782</v>
      </c>
      <c r="C1141" s="109"/>
      <c r="D1141" s="76" t="s">
        <v>494</v>
      </c>
      <c r="E1141" s="64"/>
      <c r="F1141" s="39" t="s">
        <v>3186</v>
      </c>
      <c r="G1141" s="399">
        <f>IFERROR(VLOOKUP(A1141,醫療院所DATABASE!A:B,2,""),)</f>
        <v>0</v>
      </c>
      <c r="H1141" s="64"/>
      <c r="I1141" s="109">
        <v>43780</v>
      </c>
      <c r="J1141" s="109">
        <v>43782</v>
      </c>
      <c r="K1141" s="39" t="s">
        <v>4357</v>
      </c>
      <c r="L1141" s="76" t="s">
        <v>4358</v>
      </c>
      <c r="M1141" s="39" t="s">
        <v>4307</v>
      </c>
      <c r="N1141" s="172" t="s">
        <v>51</v>
      </c>
      <c r="O1141" s="24"/>
      <c r="P1141" s="409" t="s">
        <v>4359</v>
      </c>
      <c r="Q1141" s="76" t="s">
        <v>64</v>
      </c>
      <c r="R1141" s="76" t="s">
        <v>1885</v>
      </c>
      <c r="S1141" s="24"/>
      <c r="T1141" s="24"/>
      <c r="U1141" s="64"/>
      <c r="V1141" s="56"/>
      <c r="W1141" s="56"/>
      <c r="X1141" s="56"/>
      <c r="Y1141" s="56"/>
      <c r="Z1141" s="56"/>
      <c r="AA1141" s="56"/>
      <c r="AB1141" s="56"/>
      <c r="AC1141" s="56"/>
    </row>
    <row r="1142" spans="1:29" ht="15.75" customHeight="1">
      <c r="A1142" s="39" t="s">
        <v>4287</v>
      </c>
      <c r="B1142" s="107">
        <v>43782</v>
      </c>
      <c r="C1142" s="109"/>
      <c r="D1142" s="76" t="s">
        <v>3427</v>
      </c>
      <c r="E1142" s="64"/>
      <c r="F1142" s="39" t="s">
        <v>3186</v>
      </c>
      <c r="G1142" s="399">
        <f>IFERROR(VLOOKUP(A1142,醫療院所DATABASE!A:B,2,""),)</f>
        <v>0</v>
      </c>
      <c r="H1142" s="64"/>
      <c r="I1142" s="109">
        <v>43780</v>
      </c>
      <c r="J1142" s="109">
        <v>43782</v>
      </c>
      <c r="K1142" s="39" t="s">
        <v>4360</v>
      </c>
      <c r="L1142" s="76" t="s">
        <v>4361</v>
      </c>
      <c r="M1142" s="39" t="s">
        <v>4307</v>
      </c>
      <c r="N1142" s="172" t="s">
        <v>51</v>
      </c>
      <c r="O1142" s="24"/>
      <c r="P1142" s="409" t="s">
        <v>4362</v>
      </c>
      <c r="Q1142" s="76" t="s">
        <v>64</v>
      </c>
      <c r="R1142" s="76" t="s">
        <v>1885</v>
      </c>
      <c r="S1142" s="24"/>
      <c r="T1142" s="24"/>
      <c r="U1142" s="64"/>
      <c r="V1142" s="56"/>
      <c r="W1142" s="56"/>
      <c r="X1142" s="56"/>
      <c r="Y1142" s="56"/>
      <c r="Z1142" s="56"/>
      <c r="AA1142" s="56"/>
      <c r="AB1142" s="56"/>
      <c r="AC1142" s="56"/>
    </row>
    <row r="1143" spans="1:29" ht="15.75" customHeight="1">
      <c r="A1143" s="39" t="s">
        <v>4363</v>
      </c>
      <c r="B1143" s="107"/>
      <c r="C1143" s="109"/>
      <c r="D1143" s="76" t="s">
        <v>494</v>
      </c>
      <c r="E1143" s="64"/>
      <c r="F1143" s="39" t="s">
        <v>3186</v>
      </c>
      <c r="G1143" s="399">
        <f>IFERROR(VLOOKUP(A1143,醫療院所DATABASE!A:B,2,""),)</f>
        <v>0</v>
      </c>
      <c r="H1143" s="76" t="s">
        <v>4364</v>
      </c>
      <c r="I1143" s="109">
        <v>43781</v>
      </c>
      <c r="J1143" s="109">
        <v>43783</v>
      </c>
      <c r="K1143" s="39" t="s">
        <v>4365</v>
      </c>
      <c r="L1143" s="76" t="s">
        <v>4366</v>
      </c>
      <c r="M1143" s="39" t="s">
        <v>4307</v>
      </c>
      <c r="N1143" s="172" t="s">
        <v>51</v>
      </c>
      <c r="O1143" s="24"/>
      <c r="P1143" s="409" t="s">
        <v>4367</v>
      </c>
      <c r="Q1143" s="76" t="s">
        <v>64</v>
      </c>
      <c r="R1143" s="76" t="s">
        <v>1885</v>
      </c>
      <c r="S1143" s="24"/>
      <c r="T1143" s="24"/>
      <c r="U1143" s="64"/>
      <c r="V1143" s="56"/>
      <c r="W1143" s="56"/>
      <c r="X1143" s="56"/>
      <c r="Y1143" s="56"/>
      <c r="Z1143" s="56"/>
      <c r="AA1143" s="56"/>
      <c r="AB1143" s="56"/>
      <c r="AC1143" s="56"/>
    </row>
    <row r="1144" spans="1:29" ht="15.75" customHeight="1">
      <c r="A1144" s="39" t="s">
        <v>4363</v>
      </c>
      <c r="B1144" s="107"/>
      <c r="C1144" s="109"/>
      <c r="D1144" s="76" t="s">
        <v>1542</v>
      </c>
      <c r="E1144" s="64"/>
      <c r="F1144" s="39" t="s">
        <v>3186</v>
      </c>
      <c r="G1144" s="399">
        <f>IFERROR(VLOOKUP(A1144,醫療院所DATABASE!A:B,2,""),)</f>
        <v>0</v>
      </c>
      <c r="H1144" s="64"/>
      <c r="I1144" s="109">
        <v>43781</v>
      </c>
      <c r="J1144" s="109">
        <v>43783</v>
      </c>
      <c r="K1144" s="39" t="s">
        <v>4368</v>
      </c>
      <c r="L1144" s="76" t="s">
        <v>4369</v>
      </c>
      <c r="M1144" s="39" t="s">
        <v>4307</v>
      </c>
      <c r="N1144" s="172" t="s">
        <v>51</v>
      </c>
      <c r="O1144" s="24"/>
      <c r="P1144" s="409" t="s">
        <v>4370</v>
      </c>
      <c r="Q1144" s="76" t="s">
        <v>64</v>
      </c>
      <c r="R1144" s="76" t="s">
        <v>1885</v>
      </c>
      <c r="S1144" s="24"/>
      <c r="T1144" s="24"/>
      <c r="U1144" s="64"/>
      <c r="V1144" s="56"/>
      <c r="W1144" s="56"/>
      <c r="X1144" s="56"/>
      <c r="Y1144" s="56"/>
      <c r="Z1144" s="56"/>
      <c r="AA1144" s="56"/>
      <c r="AB1144" s="56"/>
      <c r="AC1144" s="56"/>
    </row>
    <row r="1145" spans="1:29" ht="15.75" customHeight="1">
      <c r="A1145" s="39" t="s">
        <v>4363</v>
      </c>
      <c r="B1145" s="107"/>
      <c r="C1145" s="109"/>
      <c r="D1145" s="76" t="s">
        <v>1542</v>
      </c>
      <c r="E1145" s="64"/>
      <c r="F1145" s="39" t="s">
        <v>3186</v>
      </c>
      <c r="G1145" s="399">
        <f>IFERROR(VLOOKUP(A1145,醫療院所DATABASE!A:B,2,""),)</f>
        <v>0</v>
      </c>
      <c r="H1145" s="64"/>
      <c r="I1145" s="109">
        <v>43781</v>
      </c>
      <c r="J1145" s="109">
        <v>43783</v>
      </c>
      <c r="K1145" s="39" t="s">
        <v>4371</v>
      </c>
      <c r="L1145" s="76" t="s">
        <v>4372</v>
      </c>
      <c r="M1145" s="39" t="s">
        <v>4307</v>
      </c>
      <c r="N1145" s="172" t="s">
        <v>51</v>
      </c>
      <c r="O1145" s="24"/>
      <c r="P1145" s="409" t="s">
        <v>4373</v>
      </c>
      <c r="Q1145" s="76" t="s">
        <v>64</v>
      </c>
      <c r="R1145" s="76" t="s">
        <v>1885</v>
      </c>
      <c r="S1145" s="24"/>
      <c r="T1145" s="24"/>
      <c r="U1145" s="64"/>
      <c r="V1145" s="56"/>
      <c r="W1145" s="56"/>
      <c r="X1145" s="56"/>
      <c r="Y1145" s="56"/>
      <c r="Z1145" s="56"/>
      <c r="AA1145" s="56"/>
      <c r="AB1145" s="56"/>
      <c r="AC1145" s="56"/>
    </row>
    <row r="1146" spans="1:29" ht="15.75" customHeight="1">
      <c r="A1146" s="39" t="s">
        <v>4363</v>
      </c>
      <c r="B1146" s="107"/>
      <c r="C1146" s="109"/>
      <c r="D1146" s="76" t="s">
        <v>1542</v>
      </c>
      <c r="E1146" s="64"/>
      <c r="F1146" s="39" t="s">
        <v>3186</v>
      </c>
      <c r="G1146" s="399">
        <f>IFERROR(VLOOKUP(A1146,醫療院所DATABASE!A:B,2,""),)</f>
        <v>0</v>
      </c>
      <c r="H1146" s="64"/>
      <c r="I1146" s="109">
        <v>43781</v>
      </c>
      <c r="J1146" s="109">
        <v>43783</v>
      </c>
      <c r="K1146" s="39" t="s">
        <v>4374</v>
      </c>
      <c r="L1146" s="76" t="s">
        <v>4375</v>
      </c>
      <c r="M1146" s="39" t="s">
        <v>4307</v>
      </c>
      <c r="N1146" s="172" t="s">
        <v>51</v>
      </c>
      <c r="O1146" s="24"/>
      <c r="P1146" s="409" t="s">
        <v>4376</v>
      </c>
      <c r="Q1146" s="76" t="s">
        <v>64</v>
      </c>
      <c r="R1146" s="76" t="s">
        <v>1885</v>
      </c>
      <c r="S1146" s="24"/>
      <c r="T1146" s="24"/>
      <c r="U1146" s="64"/>
      <c r="V1146" s="56"/>
      <c r="W1146" s="56"/>
      <c r="X1146" s="56"/>
      <c r="Y1146" s="56"/>
      <c r="Z1146" s="56"/>
      <c r="AA1146" s="56"/>
      <c r="AB1146" s="56"/>
      <c r="AC1146" s="56"/>
    </row>
    <row r="1147" spans="1:29" ht="15.75" customHeight="1">
      <c r="A1147" s="39" t="s">
        <v>4363</v>
      </c>
      <c r="B1147" s="107"/>
      <c r="C1147" s="109"/>
      <c r="D1147" s="76" t="s">
        <v>1542</v>
      </c>
      <c r="E1147" s="64"/>
      <c r="F1147" s="39" t="s">
        <v>3186</v>
      </c>
      <c r="G1147" s="399">
        <f>IFERROR(VLOOKUP(A1147,醫療院所DATABASE!A:B,2,""),)</f>
        <v>0</v>
      </c>
      <c r="H1147" s="64"/>
      <c r="I1147" s="109">
        <v>43781</v>
      </c>
      <c r="J1147" s="109">
        <v>43783</v>
      </c>
      <c r="K1147" s="39" t="s">
        <v>4377</v>
      </c>
      <c r="L1147" s="76" t="s">
        <v>4378</v>
      </c>
      <c r="M1147" s="39" t="s">
        <v>4307</v>
      </c>
      <c r="N1147" s="172" t="s">
        <v>51</v>
      </c>
      <c r="O1147" s="24"/>
      <c r="P1147" s="409" t="s">
        <v>4379</v>
      </c>
      <c r="Q1147" s="76" t="s">
        <v>64</v>
      </c>
      <c r="R1147" s="76" t="s">
        <v>1885</v>
      </c>
      <c r="S1147" s="24"/>
      <c r="T1147" s="24"/>
      <c r="U1147" s="64"/>
      <c r="V1147" s="56"/>
      <c r="W1147" s="56"/>
      <c r="X1147" s="56"/>
      <c r="Y1147" s="56"/>
      <c r="Z1147" s="56"/>
      <c r="AA1147" s="56"/>
      <c r="AB1147" s="56"/>
      <c r="AC1147" s="56"/>
    </row>
    <row r="1148" spans="1:29" ht="15.75" customHeight="1">
      <c r="A1148" s="39" t="s">
        <v>4363</v>
      </c>
      <c r="B1148" s="107"/>
      <c r="C1148" s="109"/>
      <c r="D1148" s="76" t="s">
        <v>494</v>
      </c>
      <c r="E1148" s="64"/>
      <c r="F1148" s="39" t="s">
        <v>3186</v>
      </c>
      <c r="G1148" s="399">
        <f>IFERROR(VLOOKUP(A1148,醫療院所DATABASE!A:B,2,""),)</f>
        <v>0</v>
      </c>
      <c r="H1148" s="64"/>
      <c r="I1148" s="109">
        <v>43781</v>
      </c>
      <c r="J1148" s="109">
        <v>43783</v>
      </c>
      <c r="K1148" s="39" t="s">
        <v>4380</v>
      </c>
      <c r="L1148" s="76" t="s">
        <v>4381</v>
      </c>
      <c r="M1148" s="39" t="s">
        <v>4307</v>
      </c>
      <c r="N1148" s="172" t="s">
        <v>51</v>
      </c>
      <c r="O1148" s="24"/>
      <c r="P1148" s="409" t="s">
        <v>4382</v>
      </c>
      <c r="Q1148" s="76" t="s">
        <v>64</v>
      </c>
      <c r="R1148" s="76" t="s">
        <v>1885</v>
      </c>
      <c r="S1148" s="24"/>
      <c r="T1148" s="24"/>
      <c r="U1148" s="64"/>
      <c r="V1148" s="56"/>
      <c r="W1148" s="56"/>
      <c r="X1148" s="56"/>
      <c r="Y1148" s="56"/>
      <c r="Z1148" s="56"/>
      <c r="AA1148" s="56"/>
      <c r="AB1148" s="56"/>
      <c r="AC1148" s="56"/>
    </row>
    <row r="1149" spans="1:29" ht="15.75" customHeight="1">
      <c r="A1149" s="39" t="s">
        <v>4363</v>
      </c>
      <c r="B1149" s="107"/>
      <c r="C1149" s="109"/>
      <c r="D1149" s="76" t="s">
        <v>1542</v>
      </c>
      <c r="E1149" s="64"/>
      <c r="F1149" s="39" t="s">
        <v>3186</v>
      </c>
      <c r="G1149" s="399">
        <f>IFERROR(VLOOKUP(A1149,醫療院所DATABASE!A:B,2,""),)</f>
        <v>0</v>
      </c>
      <c r="H1149" s="64"/>
      <c r="I1149" s="109">
        <v>43781</v>
      </c>
      <c r="J1149" s="109">
        <v>43783</v>
      </c>
      <c r="K1149" s="39" t="s">
        <v>4383</v>
      </c>
      <c r="L1149" s="76" t="s">
        <v>4384</v>
      </c>
      <c r="M1149" s="39" t="s">
        <v>4307</v>
      </c>
      <c r="N1149" s="172" t="s">
        <v>62</v>
      </c>
      <c r="O1149" s="24"/>
      <c r="P1149" s="409" t="s">
        <v>4385</v>
      </c>
      <c r="Q1149" s="76" t="s">
        <v>64</v>
      </c>
      <c r="R1149" s="76" t="s">
        <v>1885</v>
      </c>
      <c r="S1149" s="24"/>
      <c r="T1149" s="24"/>
      <c r="U1149" s="64"/>
      <c r="V1149" s="56"/>
      <c r="W1149" s="56"/>
      <c r="X1149" s="56"/>
      <c r="Y1149" s="56"/>
      <c r="Z1149" s="56"/>
      <c r="AA1149" s="56"/>
      <c r="AB1149" s="56"/>
      <c r="AC1149" s="56"/>
    </row>
    <row r="1150" spans="1:29" ht="15.75" customHeight="1">
      <c r="A1150" s="39" t="s">
        <v>4363</v>
      </c>
      <c r="B1150" s="107"/>
      <c r="C1150" s="109"/>
      <c r="D1150" s="76" t="s">
        <v>3427</v>
      </c>
      <c r="E1150" s="64"/>
      <c r="F1150" s="39" t="s">
        <v>3186</v>
      </c>
      <c r="G1150" s="399">
        <f>IFERROR(VLOOKUP(A1150,醫療院所DATABASE!A:B,2,""),)</f>
        <v>0</v>
      </c>
      <c r="H1150" s="64"/>
      <c r="I1150" s="109">
        <v>43781</v>
      </c>
      <c r="J1150" s="109">
        <v>43783</v>
      </c>
      <c r="K1150" s="39" t="s">
        <v>4386</v>
      </c>
      <c r="L1150" s="76" t="s">
        <v>4387</v>
      </c>
      <c r="M1150" s="39" t="s">
        <v>4307</v>
      </c>
      <c r="N1150" s="172" t="s">
        <v>51</v>
      </c>
      <c r="O1150" s="24"/>
      <c r="P1150" s="409" t="s">
        <v>4388</v>
      </c>
      <c r="Q1150" s="76" t="s">
        <v>64</v>
      </c>
      <c r="R1150" s="76" t="s">
        <v>1885</v>
      </c>
      <c r="S1150" s="24"/>
      <c r="T1150" s="24"/>
      <c r="U1150" s="64"/>
      <c r="V1150" s="56"/>
      <c r="W1150" s="56"/>
      <c r="X1150" s="56"/>
      <c r="Y1150" s="56"/>
      <c r="Z1150" s="56"/>
      <c r="AA1150" s="56"/>
      <c r="AB1150" s="56"/>
      <c r="AC1150" s="56"/>
    </row>
    <row r="1151" spans="1:29" ht="15.75" customHeight="1">
      <c r="A1151" s="39" t="s">
        <v>4363</v>
      </c>
      <c r="B1151" s="107"/>
      <c r="C1151" s="109"/>
      <c r="D1151" s="76" t="s">
        <v>494</v>
      </c>
      <c r="E1151" s="64"/>
      <c r="F1151" s="39" t="s">
        <v>3186</v>
      </c>
      <c r="G1151" s="399">
        <f>IFERROR(VLOOKUP(A1151,醫療院所DATABASE!A:B,2,""),)</f>
        <v>0</v>
      </c>
      <c r="H1151" s="64"/>
      <c r="I1151" s="109">
        <v>43781</v>
      </c>
      <c r="J1151" s="109">
        <v>43783</v>
      </c>
      <c r="K1151" s="39" t="s">
        <v>4389</v>
      </c>
      <c r="L1151" s="76" t="s">
        <v>4390</v>
      </c>
      <c r="M1151" s="39" t="s">
        <v>4307</v>
      </c>
      <c r="N1151" s="172" t="s">
        <v>62</v>
      </c>
      <c r="O1151" s="24"/>
      <c r="P1151" s="409" t="s">
        <v>4391</v>
      </c>
      <c r="Q1151" s="76" t="s">
        <v>64</v>
      </c>
      <c r="R1151" s="76" t="s">
        <v>1885</v>
      </c>
      <c r="S1151" s="24"/>
      <c r="T1151" s="24"/>
      <c r="U1151" s="64"/>
      <c r="V1151" s="56"/>
      <c r="W1151" s="56"/>
      <c r="X1151" s="56"/>
      <c r="Y1151" s="56"/>
      <c r="Z1151" s="56"/>
      <c r="AA1151" s="56"/>
      <c r="AB1151" s="56"/>
      <c r="AC1151" s="56"/>
    </row>
    <row r="1152" spans="1:29" ht="15.75" customHeight="1">
      <c r="A1152" s="39" t="s">
        <v>4363</v>
      </c>
      <c r="B1152" s="107"/>
      <c r="C1152" s="109"/>
      <c r="D1152" s="76" t="s">
        <v>665</v>
      </c>
      <c r="E1152" s="64"/>
      <c r="F1152" s="39" t="s">
        <v>3186</v>
      </c>
      <c r="G1152" s="399">
        <f>IFERROR(VLOOKUP(A1152,醫療院所DATABASE!A:B,2,""),)</f>
        <v>0</v>
      </c>
      <c r="H1152" s="64"/>
      <c r="I1152" s="109">
        <v>43781</v>
      </c>
      <c r="J1152" s="109">
        <v>43783</v>
      </c>
      <c r="K1152" s="39" t="s">
        <v>4392</v>
      </c>
      <c r="L1152" s="76" t="s">
        <v>4393</v>
      </c>
      <c r="M1152" s="39" t="s">
        <v>4307</v>
      </c>
      <c r="N1152" s="172" t="s">
        <v>62</v>
      </c>
      <c r="O1152" s="24"/>
      <c r="P1152" s="409" t="s">
        <v>4394</v>
      </c>
      <c r="Q1152" s="76" t="s">
        <v>64</v>
      </c>
      <c r="R1152" s="76" t="s">
        <v>1885</v>
      </c>
      <c r="S1152" s="24"/>
      <c r="T1152" s="24"/>
      <c r="U1152" s="64"/>
      <c r="V1152" s="56"/>
      <c r="W1152" s="56"/>
      <c r="X1152" s="56"/>
      <c r="Y1152" s="56"/>
      <c r="Z1152" s="56"/>
      <c r="AA1152" s="56"/>
      <c r="AB1152" s="56"/>
      <c r="AC1152" s="56"/>
    </row>
    <row r="1153" spans="1:29" ht="15.75" customHeight="1">
      <c r="A1153" s="39" t="s">
        <v>4363</v>
      </c>
      <c r="B1153" s="107"/>
      <c r="C1153" s="109"/>
      <c r="D1153" s="76" t="s">
        <v>665</v>
      </c>
      <c r="E1153" s="64"/>
      <c r="F1153" s="39" t="s">
        <v>3186</v>
      </c>
      <c r="G1153" s="399">
        <f>IFERROR(VLOOKUP(A1153,醫療院所DATABASE!A:B,2,""),)</f>
        <v>0</v>
      </c>
      <c r="H1153" s="64"/>
      <c r="I1153" s="109">
        <v>43781</v>
      </c>
      <c r="J1153" s="109">
        <v>43783</v>
      </c>
      <c r="K1153" s="39" t="s">
        <v>4395</v>
      </c>
      <c r="L1153" s="76" t="s">
        <v>4396</v>
      </c>
      <c r="M1153" s="39" t="s">
        <v>4307</v>
      </c>
      <c r="N1153" s="172" t="s">
        <v>51</v>
      </c>
      <c r="O1153" s="24"/>
      <c r="P1153" s="409" t="s">
        <v>4397</v>
      </c>
      <c r="Q1153" s="76" t="s">
        <v>64</v>
      </c>
      <c r="R1153" s="76" t="s">
        <v>1885</v>
      </c>
      <c r="S1153" s="24"/>
      <c r="T1153" s="24"/>
      <c r="U1153" s="64"/>
      <c r="V1153" s="56"/>
      <c r="W1153" s="56"/>
      <c r="X1153" s="56"/>
      <c r="Y1153" s="56"/>
      <c r="Z1153" s="56"/>
      <c r="AA1153" s="56"/>
      <c r="AB1153" s="56"/>
      <c r="AC1153" s="56"/>
    </row>
    <row r="1154" spans="1:29" ht="15.75" customHeight="1">
      <c r="A1154" s="39" t="s">
        <v>4363</v>
      </c>
      <c r="B1154" s="107"/>
      <c r="C1154" s="109"/>
      <c r="D1154" s="76" t="s">
        <v>665</v>
      </c>
      <c r="E1154" s="64"/>
      <c r="F1154" s="39" t="s">
        <v>3186</v>
      </c>
      <c r="G1154" s="399">
        <f>IFERROR(VLOOKUP(A1154,醫療院所DATABASE!A:B,2,""),)</f>
        <v>0</v>
      </c>
      <c r="H1154" s="64"/>
      <c r="I1154" s="109">
        <v>43781</v>
      </c>
      <c r="J1154" s="109">
        <v>43783</v>
      </c>
      <c r="K1154" s="39" t="s">
        <v>4398</v>
      </c>
      <c r="L1154" s="76" t="s">
        <v>4399</v>
      </c>
      <c r="M1154" s="39" t="s">
        <v>4307</v>
      </c>
      <c r="N1154" s="172" t="s">
        <v>62</v>
      </c>
      <c r="O1154" s="24"/>
      <c r="P1154" s="409" t="s">
        <v>4400</v>
      </c>
      <c r="Q1154" s="76" t="s">
        <v>64</v>
      </c>
      <c r="R1154" s="76" t="s">
        <v>1885</v>
      </c>
      <c r="S1154" s="24"/>
      <c r="T1154" s="24"/>
      <c r="U1154" s="64"/>
      <c r="V1154" s="56"/>
      <c r="W1154" s="56"/>
      <c r="X1154" s="56"/>
      <c r="Y1154" s="56"/>
      <c r="Z1154" s="56"/>
      <c r="AA1154" s="56"/>
      <c r="AB1154" s="56"/>
      <c r="AC1154" s="56"/>
    </row>
    <row r="1155" spans="1:29" ht="15.75" customHeight="1">
      <c r="A1155" s="39" t="s">
        <v>4363</v>
      </c>
      <c r="B1155" s="107"/>
      <c r="C1155" s="109"/>
      <c r="D1155" s="76" t="s">
        <v>3427</v>
      </c>
      <c r="E1155" s="64"/>
      <c r="F1155" s="39" t="s">
        <v>3186</v>
      </c>
      <c r="G1155" s="399">
        <f>IFERROR(VLOOKUP(A1155,醫療院所DATABASE!A:B,2,""),)</f>
        <v>0</v>
      </c>
      <c r="H1155" s="64"/>
      <c r="I1155" s="109">
        <v>43781</v>
      </c>
      <c r="J1155" s="109">
        <v>43783</v>
      </c>
      <c r="K1155" s="39" t="s">
        <v>4401</v>
      </c>
      <c r="L1155" s="76" t="s">
        <v>4402</v>
      </c>
      <c r="M1155" s="39" t="s">
        <v>4307</v>
      </c>
      <c r="N1155" s="172" t="s">
        <v>62</v>
      </c>
      <c r="O1155" s="24"/>
      <c r="P1155" s="409" t="s">
        <v>4403</v>
      </c>
      <c r="Q1155" s="76" t="s">
        <v>64</v>
      </c>
      <c r="R1155" s="76" t="s">
        <v>1885</v>
      </c>
      <c r="S1155" s="24"/>
      <c r="T1155" s="24"/>
      <c r="U1155" s="64"/>
      <c r="V1155" s="56"/>
      <c r="W1155" s="56"/>
      <c r="X1155" s="56"/>
      <c r="Y1155" s="56"/>
      <c r="Z1155" s="56"/>
      <c r="AA1155" s="56"/>
      <c r="AB1155" s="56"/>
      <c r="AC1155" s="56"/>
    </row>
    <row r="1156" spans="1:29" ht="15.75" customHeight="1">
      <c r="A1156" s="39" t="s">
        <v>4363</v>
      </c>
      <c r="B1156" s="107"/>
      <c r="C1156" s="109"/>
      <c r="D1156" s="76" t="s">
        <v>494</v>
      </c>
      <c r="E1156" s="64"/>
      <c r="F1156" s="39" t="s">
        <v>3186</v>
      </c>
      <c r="G1156" s="399">
        <f>IFERROR(VLOOKUP(A1156,醫療院所DATABASE!A:B,2,""),)</f>
        <v>0</v>
      </c>
      <c r="H1156" s="64"/>
      <c r="I1156" s="109">
        <v>43781</v>
      </c>
      <c r="J1156" s="109">
        <v>43783</v>
      </c>
      <c r="K1156" s="39" t="s">
        <v>4404</v>
      </c>
      <c r="L1156" s="76" t="s">
        <v>4405</v>
      </c>
      <c r="M1156" s="39" t="s">
        <v>4307</v>
      </c>
      <c r="N1156" s="172" t="s">
        <v>62</v>
      </c>
      <c r="O1156" s="24"/>
      <c r="P1156" s="409" t="s">
        <v>4406</v>
      </c>
      <c r="Q1156" s="76" t="s">
        <v>64</v>
      </c>
      <c r="R1156" s="76" t="s">
        <v>1885</v>
      </c>
      <c r="S1156" s="24"/>
      <c r="T1156" s="24"/>
      <c r="U1156" s="64"/>
      <c r="V1156" s="56"/>
      <c r="W1156" s="56"/>
      <c r="X1156" s="56"/>
      <c r="Y1156" s="56"/>
      <c r="Z1156" s="56"/>
      <c r="AA1156" s="56"/>
      <c r="AB1156" s="56"/>
      <c r="AC1156" s="56"/>
    </row>
    <row r="1157" spans="1:29" ht="15.75" customHeight="1">
      <c r="A1157" s="39" t="s">
        <v>4363</v>
      </c>
      <c r="B1157" s="107"/>
      <c r="C1157" s="109"/>
      <c r="D1157" s="76" t="s">
        <v>543</v>
      </c>
      <c r="E1157" s="64"/>
      <c r="F1157" s="39" t="s">
        <v>3186</v>
      </c>
      <c r="G1157" s="399">
        <f>IFERROR(VLOOKUP(A1157,醫療院所DATABASE!A:B,2,""),)</f>
        <v>0</v>
      </c>
      <c r="H1157" s="64"/>
      <c r="I1157" s="109">
        <v>43781</v>
      </c>
      <c r="J1157" s="109">
        <v>43783</v>
      </c>
      <c r="K1157" s="39" t="s">
        <v>4407</v>
      </c>
      <c r="L1157" s="76" t="s">
        <v>4408</v>
      </c>
      <c r="M1157" s="39" t="s">
        <v>4307</v>
      </c>
      <c r="N1157" s="172" t="s">
        <v>51</v>
      </c>
      <c r="O1157" s="24"/>
      <c r="P1157" s="409" t="s">
        <v>4409</v>
      </c>
      <c r="Q1157" s="76" t="s">
        <v>64</v>
      </c>
      <c r="R1157" s="76" t="s">
        <v>1885</v>
      </c>
      <c r="S1157" s="24"/>
      <c r="T1157" s="24"/>
      <c r="U1157" s="64"/>
      <c r="V1157" s="56"/>
      <c r="W1157" s="56"/>
      <c r="X1157" s="56"/>
      <c r="Y1157" s="56"/>
      <c r="Z1157" s="56"/>
      <c r="AA1157" s="56"/>
      <c r="AB1157" s="56"/>
      <c r="AC1157" s="56"/>
    </row>
    <row r="1158" spans="1:29" ht="15.75" customHeight="1">
      <c r="A1158" s="39" t="s">
        <v>4363</v>
      </c>
      <c r="B1158" s="107"/>
      <c r="C1158" s="109"/>
      <c r="D1158" s="76" t="s">
        <v>366</v>
      </c>
      <c r="E1158" s="64"/>
      <c r="F1158" s="39" t="s">
        <v>3186</v>
      </c>
      <c r="G1158" s="399">
        <f>IFERROR(VLOOKUP(A1158,醫療院所DATABASE!A:B,2,""),)</f>
        <v>0</v>
      </c>
      <c r="H1158" s="64"/>
      <c r="I1158" s="109">
        <v>43781</v>
      </c>
      <c r="J1158" s="109">
        <v>43783</v>
      </c>
      <c r="K1158" s="39" t="s">
        <v>4410</v>
      </c>
      <c r="L1158" s="76" t="s">
        <v>4411</v>
      </c>
      <c r="M1158" s="39" t="s">
        <v>4307</v>
      </c>
      <c r="N1158" s="172" t="s">
        <v>51</v>
      </c>
      <c r="O1158" s="24"/>
      <c r="P1158" s="409" t="s">
        <v>4412</v>
      </c>
      <c r="Q1158" s="76" t="s">
        <v>64</v>
      </c>
      <c r="R1158" s="76" t="s">
        <v>1885</v>
      </c>
      <c r="S1158" s="24"/>
      <c r="T1158" s="24"/>
      <c r="U1158" s="64"/>
      <c r="V1158" s="56"/>
      <c r="W1158" s="56"/>
      <c r="X1158" s="56"/>
      <c r="Y1158" s="56"/>
      <c r="Z1158" s="56"/>
      <c r="AA1158" s="56"/>
      <c r="AB1158" s="56"/>
      <c r="AC1158" s="56"/>
    </row>
    <row r="1159" spans="1:29" ht="15.75" customHeight="1">
      <c r="A1159" s="39" t="s">
        <v>4363</v>
      </c>
      <c r="B1159" s="107"/>
      <c r="C1159" s="109"/>
      <c r="D1159" s="76" t="s">
        <v>665</v>
      </c>
      <c r="E1159" s="64"/>
      <c r="F1159" s="39" t="s">
        <v>3186</v>
      </c>
      <c r="G1159" s="399">
        <f>IFERROR(VLOOKUP(A1159,醫療院所DATABASE!A:B,2,""),)</f>
        <v>0</v>
      </c>
      <c r="H1159" s="64"/>
      <c r="I1159" s="109">
        <v>43781</v>
      </c>
      <c r="J1159" s="109">
        <v>43783</v>
      </c>
      <c r="K1159" s="39" t="s">
        <v>4413</v>
      </c>
      <c r="L1159" s="76" t="s">
        <v>4414</v>
      </c>
      <c r="M1159" s="39" t="s">
        <v>4307</v>
      </c>
      <c r="N1159" s="172" t="s">
        <v>51</v>
      </c>
      <c r="O1159" s="24"/>
      <c r="P1159" s="409" t="s">
        <v>4415</v>
      </c>
      <c r="Q1159" s="76" t="s">
        <v>64</v>
      </c>
      <c r="R1159" s="76" t="s">
        <v>1885</v>
      </c>
      <c r="S1159" s="24"/>
      <c r="T1159" s="24"/>
      <c r="U1159" s="64"/>
      <c r="V1159" s="56"/>
      <c r="W1159" s="56"/>
      <c r="X1159" s="56"/>
      <c r="Y1159" s="56"/>
      <c r="Z1159" s="56"/>
      <c r="AA1159" s="56"/>
      <c r="AB1159" s="56"/>
      <c r="AC1159" s="56"/>
    </row>
    <row r="1160" spans="1:29" ht="15.75" customHeight="1">
      <c r="A1160" s="39" t="s">
        <v>4363</v>
      </c>
      <c r="B1160" s="107"/>
      <c r="C1160" s="109"/>
      <c r="D1160" s="76" t="s">
        <v>543</v>
      </c>
      <c r="E1160" s="64"/>
      <c r="F1160" s="39" t="s">
        <v>3186</v>
      </c>
      <c r="G1160" s="399">
        <f>IFERROR(VLOOKUP(A1160,醫療院所DATABASE!A:B,2,""),)</f>
        <v>0</v>
      </c>
      <c r="H1160" s="64"/>
      <c r="I1160" s="109">
        <v>43781</v>
      </c>
      <c r="J1160" s="109">
        <v>43783</v>
      </c>
      <c r="K1160" s="39" t="s">
        <v>4416</v>
      </c>
      <c r="L1160" s="76" t="s">
        <v>4417</v>
      </c>
      <c r="M1160" s="39" t="s">
        <v>4307</v>
      </c>
      <c r="N1160" s="172" t="s">
        <v>62</v>
      </c>
      <c r="O1160" s="24"/>
      <c r="P1160" s="409" t="s">
        <v>4418</v>
      </c>
      <c r="Q1160" s="76" t="s">
        <v>64</v>
      </c>
      <c r="R1160" s="76" t="s">
        <v>1885</v>
      </c>
      <c r="S1160" s="24"/>
      <c r="T1160" s="24"/>
      <c r="U1160" s="64"/>
      <c r="V1160" s="56"/>
      <c r="W1160" s="56"/>
      <c r="X1160" s="56"/>
      <c r="Y1160" s="56"/>
      <c r="Z1160" s="56"/>
      <c r="AA1160" s="56"/>
      <c r="AB1160" s="56"/>
      <c r="AC1160" s="56"/>
    </row>
    <row r="1161" spans="1:29" ht="15.75" customHeight="1">
      <c r="A1161" s="39" t="s">
        <v>4363</v>
      </c>
      <c r="B1161" s="107"/>
      <c r="C1161" s="109"/>
      <c r="D1161" s="76" t="s">
        <v>3427</v>
      </c>
      <c r="E1161" s="64"/>
      <c r="F1161" s="39" t="s">
        <v>3186</v>
      </c>
      <c r="G1161" s="399">
        <f>IFERROR(VLOOKUP(A1161,醫療院所DATABASE!A:B,2,""),)</f>
        <v>0</v>
      </c>
      <c r="H1161" s="64"/>
      <c r="I1161" s="109">
        <v>43781</v>
      </c>
      <c r="J1161" s="109">
        <v>43783</v>
      </c>
      <c r="K1161" s="39" t="s">
        <v>4419</v>
      </c>
      <c r="L1161" s="76" t="s">
        <v>4420</v>
      </c>
      <c r="M1161" s="39" t="s">
        <v>4307</v>
      </c>
      <c r="N1161" s="172" t="s">
        <v>51</v>
      </c>
      <c r="O1161" s="24"/>
      <c r="P1161" s="409" t="s">
        <v>4421</v>
      </c>
      <c r="Q1161" s="76" t="s">
        <v>64</v>
      </c>
      <c r="R1161" s="76" t="s">
        <v>1885</v>
      </c>
      <c r="S1161" s="24"/>
      <c r="T1161" s="24"/>
      <c r="U1161" s="64"/>
      <c r="V1161" s="56"/>
      <c r="W1161" s="56"/>
      <c r="X1161" s="56"/>
      <c r="Y1161" s="56"/>
      <c r="Z1161" s="56"/>
      <c r="AA1161" s="56"/>
      <c r="AB1161" s="56"/>
      <c r="AC1161" s="56"/>
    </row>
    <row r="1162" spans="1:29" ht="15.75" customHeight="1">
      <c r="A1162" s="39" t="s">
        <v>4363</v>
      </c>
      <c r="B1162" s="107"/>
      <c r="C1162" s="109"/>
      <c r="D1162" s="76" t="s">
        <v>543</v>
      </c>
      <c r="E1162" s="64"/>
      <c r="F1162" s="39" t="s">
        <v>3186</v>
      </c>
      <c r="G1162" s="399">
        <f>IFERROR(VLOOKUP(A1162,醫療院所DATABASE!A:B,2,""),)</f>
        <v>0</v>
      </c>
      <c r="H1162" s="64"/>
      <c r="I1162" s="109">
        <v>43781</v>
      </c>
      <c r="J1162" s="109">
        <v>43783</v>
      </c>
      <c r="K1162" s="39" t="s">
        <v>4422</v>
      </c>
      <c r="L1162" s="76" t="s">
        <v>4423</v>
      </c>
      <c r="M1162" s="39" t="s">
        <v>4307</v>
      </c>
      <c r="N1162" s="172" t="s">
        <v>62</v>
      </c>
      <c r="O1162" s="24"/>
      <c r="P1162" s="409" t="s">
        <v>4424</v>
      </c>
      <c r="Q1162" s="76" t="s">
        <v>64</v>
      </c>
      <c r="R1162" s="76" t="s">
        <v>1885</v>
      </c>
      <c r="S1162" s="24"/>
      <c r="T1162" s="24"/>
      <c r="U1162" s="64"/>
      <c r="V1162" s="56"/>
      <c r="W1162" s="56"/>
      <c r="X1162" s="56"/>
      <c r="Y1162" s="56"/>
      <c r="Z1162" s="56"/>
      <c r="AA1162" s="56"/>
      <c r="AB1162" s="56"/>
      <c r="AC1162" s="56"/>
    </row>
    <row r="1163" spans="1:29" ht="15.75" customHeight="1">
      <c r="A1163" s="39" t="s">
        <v>4363</v>
      </c>
      <c r="B1163" s="107"/>
      <c r="C1163" s="109"/>
      <c r="D1163" s="76" t="s">
        <v>543</v>
      </c>
      <c r="E1163" s="64"/>
      <c r="F1163" s="39" t="s">
        <v>3186</v>
      </c>
      <c r="G1163" s="399">
        <f>IFERROR(VLOOKUP(A1163,醫療院所DATABASE!A:B,2,""),)</f>
        <v>0</v>
      </c>
      <c r="H1163" s="64"/>
      <c r="I1163" s="109">
        <v>43781</v>
      </c>
      <c r="J1163" s="109">
        <v>43783</v>
      </c>
      <c r="K1163" s="39" t="s">
        <v>4425</v>
      </c>
      <c r="L1163" s="76" t="s">
        <v>4426</v>
      </c>
      <c r="M1163" s="39" t="s">
        <v>4307</v>
      </c>
      <c r="N1163" s="172" t="s">
        <v>51</v>
      </c>
      <c r="O1163" s="24"/>
      <c r="P1163" s="409" t="s">
        <v>4427</v>
      </c>
      <c r="Q1163" s="76" t="s">
        <v>64</v>
      </c>
      <c r="R1163" s="76" t="s">
        <v>1885</v>
      </c>
      <c r="S1163" s="24"/>
      <c r="T1163" s="24"/>
      <c r="U1163" s="64"/>
      <c r="V1163" s="56"/>
      <c r="W1163" s="56"/>
      <c r="X1163" s="56"/>
      <c r="Y1163" s="56"/>
      <c r="Z1163" s="56"/>
      <c r="AA1163" s="56"/>
      <c r="AB1163" s="56"/>
      <c r="AC1163" s="56"/>
    </row>
    <row r="1164" spans="1:29" ht="15.75" customHeight="1">
      <c r="A1164" s="39" t="s">
        <v>4363</v>
      </c>
      <c r="B1164" s="107"/>
      <c r="C1164" s="109"/>
      <c r="D1164" s="76" t="s">
        <v>3427</v>
      </c>
      <c r="E1164" s="64"/>
      <c r="F1164" s="39" t="s">
        <v>3186</v>
      </c>
      <c r="G1164" s="399">
        <f>IFERROR(VLOOKUP(A1164,醫療院所DATABASE!A:B,2,""),)</f>
        <v>0</v>
      </c>
      <c r="H1164" s="64"/>
      <c r="I1164" s="109">
        <v>43781</v>
      </c>
      <c r="J1164" s="109">
        <v>43783</v>
      </c>
      <c r="K1164" s="39" t="s">
        <v>4428</v>
      </c>
      <c r="L1164" s="76" t="s">
        <v>4429</v>
      </c>
      <c r="M1164" s="39" t="s">
        <v>4307</v>
      </c>
      <c r="N1164" s="172" t="s">
        <v>62</v>
      </c>
      <c r="O1164" s="24"/>
      <c r="P1164" s="409" t="s">
        <v>4430</v>
      </c>
      <c r="Q1164" s="76" t="s">
        <v>64</v>
      </c>
      <c r="R1164" s="76" t="s">
        <v>1885</v>
      </c>
      <c r="S1164" s="24"/>
      <c r="T1164" s="24"/>
      <c r="U1164" s="64"/>
      <c r="V1164" s="56"/>
      <c r="W1164" s="56"/>
      <c r="X1164" s="56"/>
      <c r="Y1164" s="56"/>
      <c r="Z1164" s="56"/>
      <c r="AA1164" s="56"/>
      <c r="AB1164" s="56"/>
      <c r="AC1164" s="56"/>
    </row>
    <row r="1165" spans="1:29" ht="15.75" customHeight="1">
      <c r="A1165" s="39" t="s">
        <v>4363</v>
      </c>
      <c r="B1165" s="107"/>
      <c r="C1165" s="109"/>
      <c r="D1165" s="76" t="s">
        <v>494</v>
      </c>
      <c r="E1165" s="64"/>
      <c r="F1165" s="39" t="s">
        <v>3186</v>
      </c>
      <c r="G1165" s="399">
        <f>IFERROR(VLOOKUP(A1165,醫療院所DATABASE!A:B,2,""),)</f>
        <v>0</v>
      </c>
      <c r="H1165" s="64"/>
      <c r="I1165" s="109">
        <v>43781</v>
      </c>
      <c r="J1165" s="109">
        <v>43783</v>
      </c>
      <c r="K1165" s="39" t="s">
        <v>4431</v>
      </c>
      <c r="L1165" s="76" t="s">
        <v>4432</v>
      </c>
      <c r="M1165" s="39" t="s">
        <v>4307</v>
      </c>
      <c r="N1165" s="172" t="s">
        <v>51</v>
      </c>
      <c r="O1165" s="24"/>
      <c r="P1165" s="409" t="s">
        <v>4433</v>
      </c>
      <c r="Q1165" s="76" t="s">
        <v>64</v>
      </c>
      <c r="R1165" s="76" t="s">
        <v>1885</v>
      </c>
      <c r="S1165" s="24"/>
      <c r="T1165" s="24"/>
      <c r="U1165" s="64"/>
      <c r="V1165" s="56"/>
      <c r="W1165" s="56"/>
      <c r="X1165" s="56"/>
      <c r="Y1165" s="56"/>
      <c r="Z1165" s="56"/>
      <c r="AA1165" s="56"/>
      <c r="AB1165" s="56"/>
      <c r="AC1165" s="56"/>
    </row>
    <row r="1166" spans="1:29" ht="15.75" customHeight="1">
      <c r="A1166" s="39" t="s">
        <v>4363</v>
      </c>
      <c r="B1166" s="107"/>
      <c r="C1166" s="109"/>
      <c r="D1166" s="76" t="s">
        <v>543</v>
      </c>
      <c r="E1166" s="64"/>
      <c r="F1166" s="39" t="s">
        <v>3186</v>
      </c>
      <c r="G1166" s="399">
        <f>IFERROR(VLOOKUP(A1166,醫療院所DATABASE!A:B,2,""),)</f>
        <v>0</v>
      </c>
      <c r="H1166" s="64"/>
      <c r="I1166" s="109">
        <v>43781</v>
      </c>
      <c r="J1166" s="109">
        <v>43783</v>
      </c>
      <c r="K1166" s="39" t="s">
        <v>4434</v>
      </c>
      <c r="L1166" s="76" t="s">
        <v>4435</v>
      </c>
      <c r="M1166" s="39" t="s">
        <v>4307</v>
      </c>
      <c r="N1166" s="172" t="s">
        <v>51</v>
      </c>
      <c r="O1166" s="24"/>
      <c r="P1166" s="409" t="s">
        <v>4436</v>
      </c>
      <c r="Q1166" s="76" t="s">
        <v>64</v>
      </c>
      <c r="R1166" s="76" t="s">
        <v>1885</v>
      </c>
      <c r="S1166" s="24"/>
      <c r="T1166" s="24"/>
      <c r="U1166" s="64"/>
      <c r="V1166" s="56"/>
      <c r="W1166" s="56"/>
      <c r="X1166" s="56"/>
      <c r="Y1166" s="56"/>
      <c r="Z1166" s="56"/>
      <c r="AA1166" s="56"/>
      <c r="AB1166" s="56"/>
      <c r="AC1166" s="56"/>
    </row>
    <row r="1167" spans="1:29" ht="15.75" customHeight="1">
      <c r="A1167" s="39" t="s">
        <v>4363</v>
      </c>
      <c r="B1167" s="107"/>
      <c r="C1167" s="109"/>
      <c r="D1167" s="76" t="s">
        <v>1542</v>
      </c>
      <c r="E1167" s="64"/>
      <c r="F1167" s="39" t="s">
        <v>3186</v>
      </c>
      <c r="G1167" s="399">
        <f>IFERROR(VLOOKUP(A1167,醫療院所DATABASE!A:B,2,""),)</f>
        <v>0</v>
      </c>
      <c r="H1167" s="64"/>
      <c r="I1167" s="109">
        <v>43782</v>
      </c>
      <c r="J1167" s="109">
        <v>43784</v>
      </c>
      <c r="K1167" s="39" t="s">
        <v>4437</v>
      </c>
      <c r="L1167" s="76" t="s">
        <v>4438</v>
      </c>
      <c r="M1167" s="39" t="s">
        <v>4003</v>
      </c>
      <c r="N1167" s="172" t="s">
        <v>62</v>
      </c>
      <c r="O1167" s="24"/>
      <c r="P1167" s="409" t="s">
        <v>4439</v>
      </c>
      <c r="Q1167" s="76" t="s">
        <v>64</v>
      </c>
      <c r="R1167" s="76" t="s">
        <v>1885</v>
      </c>
      <c r="S1167" s="24"/>
      <c r="T1167" s="24"/>
      <c r="U1167" s="64"/>
      <c r="V1167" s="56"/>
      <c r="W1167" s="56"/>
      <c r="X1167" s="56"/>
      <c r="Y1167" s="56"/>
      <c r="Z1167" s="56"/>
      <c r="AA1167" s="56"/>
      <c r="AB1167" s="56"/>
      <c r="AC1167" s="56"/>
    </row>
    <row r="1168" spans="1:29" ht="15.75" customHeight="1">
      <c r="A1168" s="39" t="s">
        <v>4363</v>
      </c>
      <c r="B1168" s="107"/>
      <c r="C1168" s="109"/>
      <c r="D1168" s="76" t="s">
        <v>479</v>
      </c>
      <c r="E1168" s="64"/>
      <c r="F1168" s="39" t="s">
        <v>3186</v>
      </c>
      <c r="G1168" s="399">
        <f>IFERROR(VLOOKUP(A1168,醫療院所DATABASE!A:B,2,""),)</f>
        <v>0</v>
      </c>
      <c r="H1168" s="64"/>
      <c r="I1168" s="109">
        <v>43782</v>
      </c>
      <c r="J1168" s="109">
        <v>43784</v>
      </c>
      <c r="K1168" s="39" t="s">
        <v>4440</v>
      </c>
      <c r="L1168" s="76" t="s">
        <v>4441</v>
      </c>
      <c r="M1168" s="39" t="s">
        <v>4442</v>
      </c>
      <c r="N1168" s="172" t="s">
        <v>51</v>
      </c>
      <c r="O1168" s="24"/>
      <c r="P1168" s="409" t="s">
        <v>4443</v>
      </c>
      <c r="Q1168" s="76" t="s">
        <v>64</v>
      </c>
      <c r="R1168" s="76" t="s">
        <v>1885</v>
      </c>
      <c r="S1168" s="24"/>
      <c r="T1168" s="24"/>
      <c r="U1168" s="64"/>
      <c r="V1168" s="56"/>
      <c r="W1168" s="56"/>
      <c r="X1168" s="56"/>
      <c r="Y1168" s="56"/>
      <c r="Z1168" s="56"/>
      <c r="AA1168" s="56"/>
      <c r="AB1168" s="56"/>
      <c r="AC1168" s="56"/>
    </row>
    <row r="1169" spans="1:29" ht="15.75" customHeight="1">
      <c r="A1169" s="39" t="s">
        <v>4363</v>
      </c>
      <c r="B1169" s="107"/>
      <c r="C1169" s="109"/>
      <c r="D1169" s="76" t="s">
        <v>479</v>
      </c>
      <c r="E1169" s="64"/>
      <c r="F1169" s="39" t="s">
        <v>3186</v>
      </c>
      <c r="G1169" s="399">
        <f>IFERROR(VLOOKUP(A1169,醫療院所DATABASE!A:B,2,""),)</f>
        <v>0</v>
      </c>
      <c r="H1169" s="64"/>
      <c r="I1169" s="109">
        <v>43782</v>
      </c>
      <c r="J1169" s="109">
        <v>43784</v>
      </c>
      <c r="K1169" s="39" t="s">
        <v>4444</v>
      </c>
      <c r="L1169" s="76" t="s">
        <v>4445</v>
      </c>
      <c r="M1169" s="39" t="s">
        <v>4307</v>
      </c>
      <c r="N1169" s="172" t="s">
        <v>62</v>
      </c>
      <c r="O1169" s="24"/>
      <c r="P1169" s="409" t="s">
        <v>4446</v>
      </c>
      <c r="Q1169" s="76" t="s">
        <v>64</v>
      </c>
      <c r="R1169" s="76" t="s">
        <v>1885</v>
      </c>
      <c r="S1169" s="24"/>
      <c r="T1169" s="24"/>
      <c r="U1169" s="64"/>
      <c r="V1169" s="56"/>
      <c r="W1169" s="56"/>
      <c r="X1169" s="56"/>
      <c r="Y1169" s="56"/>
      <c r="Z1169" s="56"/>
      <c r="AA1169" s="56"/>
      <c r="AB1169" s="56"/>
      <c r="AC1169" s="56"/>
    </row>
    <row r="1170" spans="1:29" ht="15.75" customHeight="1">
      <c r="A1170" s="39" t="s">
        <v>4363</v>
      </c>
      <c r="B1170" s="107"/>
      <c r="C1170" s="109"/>
      <c r="D1170" s="76"/>
      <c r="E1170" s="64"/>
      <c r="F1170" s="39" t="s">
        <v>3186</v>
      </c>
      <c r="G1170" s="399">
        <f>IFERROR(VLOOKUP(A1170,醫療院所DATABASE!A:B,2,""),)</f>
        <v>0</v>
      </c>
      <c r="H1170" s="64"/>
      <c r="I1170" s="109">
        <v>43782</v>
      </c>
      <c r="J1170" s="109">
        <v>43784</v>
      </c>
      <c r="K1170" s="39" t="s">
        <v>4447</v>
      </c>
      <c r="L1170" s="76" t="s">
        <v>4448</v>
      </c>
      <c r="M1170" s="39" t="s">
        <v>4307</v>
      </c>
      <c r="N1170" s="172" t="s">
        <v>51</v>
      </c>
      <c r="O1170" s="24"/>
      <c r="P1170" s="409" t="s">
        <v>4449</v>
      </c>
      <c r="Q1170" s="76" t="s">
        <v>64</v>
      </c>
      <c r="R1170" s="76" t="s">
        <v>1885</v>
      </c>
      <c r="S1170" s="24"/>
      <c r="T1170" s="24"/>
      <c r="U1170" s="64"/>
      <c r="V1170" s="56"/>
      <c r="W1170" s="56"/>
      <c r="X1170" s="56"/>
      <c r="Y1170" s="56"/>
      <c r="Z1170" s="56"/>
      <c r="AA1170" s="56"/>
      <c r="AB1170" s="56"/>
      <c r="AC1170" s="56"/>
    </row>
    <row r="1171" spans="1:29" ht="15.75" customHeight="1">
      <c r="A1171" s="39" t="s">
        <v>4363</v>
      </c>
      <c r="B1171" s="107"/>
      <c r="C1171" s="109"/>
      <c r="D1171" s="76" t="s">
        <v>3427</v>
      </c>
      <c r="E1171" s="64"/>
      <c r="F1171" s="39" t="s">
        <v>3186</v>
      </c>
      <c r="G1171" s="399">
        <f>IFERROR(VLOOKUP(A1171,醫療院所DATABASE!A:B,2,""),)</f>
        <v>0</v>
      </c>
      <c r="H1171" s="64"/>
      <c r="I1171" s="109">
        <v>43782</v>
      </c>
      <c r="J1171" s="109">
        <v>43784</v>
      </c>
      <c r="K1171" s="39" t="s">
        <v>4450</v>
      </c>
      <c r="L1171" s="76" t="s">
        <v>4451</v>
      </c>
      <c r="M1171" s="39" t="s">
        <v>4307</v>
      </c>
      <c r="N1171" s="172" t="s">
        <v>51</v>
      </c>
      <c r="O1171" s="24"/>
      <c r="P1171" s="409" t="s">
        <v>4452</v>
      </c>
      <c r="Q1171" s="76" t="s">
        <v>64</v>
      </c>
      <c r="R1171" s="76" t="s">
        <v>1885</v>
      </c>
      <c r="S1171" s="24"/>
      <c r="T1171" s="24"/>
      <c r="U1171" s="64"/>
      <c r="V1171" s="56"/>
      <c r="W1171" s="56"/>
      <c r="X1171" s="56"/>
      <c r="Y1171" s="56"/>
      <c r="Z1171" s="56"/>
      <c r="AA1171" s="56"/>
      <c r="AB1171" s="56"/>
      <c r="AC1171" s="56"/>
    </row>
    <row r="1172" spans="1:29" ht="15.75" customHeight="1">
      <c r="A1172" s="39" t="s">
        <v>4363</v>
      </c>
      <c r="B1172" s="107"/>
      <c r="C1172" s="109"/>
      <c r="D1172" s="76" t="s">
        <v>3427</v>
      </c>
      <c r="E1172" s="64"/>
      <c r="F1172" s="39" t="s">
        <v>3186</v>
      </c>
      <c r="G1172" s="399">
        <f>IFERROR(VLOOKUP(A1172,醫療院所DATABASE!A:B,2,""),)</f>
        <v>0</v>
      </c>
      <c r="H1172" s="64"/>
      <c r="I1172" s="109">
        <v>43782</v>
      </c>
      <c r="J1172" s="109">
        <v>43784</v>
      </c>
      <c r="K1172" s="39" t="s">
        <v>4454</v>
      </c>
      <c r="L1172" s="76" t="s">
        <v>4455</v>
      </c>
      <c r="M1172" s="39" t="s">
        <v>4307</v>
      </c>
      <c r="N1172" s="172" t="s">
        <v>62</v>
      </c>
      <c r="O1172" s="24"/>
      <c r="P1172" s="409" t="s">
        <v>4457</v>
      </c>
      <c r="Q1172" s="76" t="s">
        <v>64</v>
      </c>
      <c r="R1172" s="76" t="s">
        <v>1885</v>
      </c>
      <c r="S1172" s="24"/>
      <c r="T1172" s="24"/>
      <c r="U1172" s="64"/>
      <c r="V1172" s="56"/>
      <c r="W1172" s="56"/>
      <c r="X1172" s="56"/>
      <c r="Y1172" s="56"/>
      <c r="Z1172" s="56"/>
      <c r="AA1172" s="56"/>
      <c r="AB1172" s="56"/>
      <c r="AC1172" s="56"/>
    </row>
    <row r="1173" spans="1:29" ht="15.75" customHeight="1">
      <c r="A1173" s="39" t="s">
        <v>4363</v>
      </c>
      <c r="B1173" s="107"/>
      <c r="C1173" s="109"/>
      <c r="D1173" s="76"/>
      <c r="E1173" s="64"/>
      <c r="F1173" s="39" t="s">
        <v>3186</v>
      </c>
      <c r="G1173" s="399">
        <f>IFERROR(VLOOKUP(A1173,醫療院所DATABASE!A:B,2,""),)</f>
        <v>0</v>
      </c>
      <c r="H1173" s="64"/>
      <c r="I1173" s="109">
        <v>43782</v>
      </c>
      <c r="J1173" s="109">
        <v>43784</v>
      </c>
      <c r="K1173" s="39" t="s">
        <v>4459</v>
      </c>
      <c r="L1173" s="76" t="s">
        <v>4460</v>
      </c>
      <c r="M1173" s="39" t="s">
        <v>4307</v>
      </c>
      <c r="N1173" s="172" t="s">
        <v>62</v>
      </c>
      <c r="O1173" s="24"/>
      <c r="P1173" s="409" t="s">
        <v>4461</v>
      </c>
      <c r="Q1173" s="76" t="s">
        <v>64</v>
      </c>
      <c r="R1173" s="76" t="s">
        <v>1885</v>
      </c>
      <c r="S1173" s="24"/>
      <c r="T1173" s="24"/>
      <c r="U1173" s="64"/>
      <c r="V1173" s="56"/>
      <c r="W1173" s="56"/>
      <c r="X1173" s="56"/>
      <c r="Y1173" s="56"/>
      <c r="Z1173" s="56"/>
      <c r="AA1173" s="56"/>
      <c r="AB1173" s="56"/>
      <c r="AC1173" s="56"/>
    </row>
    <row r="1174" spans="1:29" ht="15.75" customHeight="1">
      <c r="A1174" s="39" t="s">
        <v>4363</v>
      </c>
      <c r="B1174" s="107"/>
      <c r="C1174" s="109"/>
      <c r="D1174" s="76"/>
      <c r="E1174" s="64"/>
      <c r="F1174" s="39" t="s">
        <v>3186</v>
      </c>
      <c r="G1174" s="399">
        <f>IFERROR(VLOOKUP(A1174,醫療院所DATABASE!A:B,2,""),)</f>
        <v>0</v>
      </c>
      <c r="H1174" s="64"/>
      <c r="I1174" s="109">
        <v>43782</v>
      </c>
      <c r="J1174" s="109">
        <v>43784</v>
      </c>
      <c r="K1174" s="39" t="s">
        <v>4462</v>
      </c>
      <c r="L1174" s="76" t="s">
        <v>4463</v>
      </c>
      <c r="M1174" s="39" t="s">
        <v>4307</v>
      </c>
      <c r="N1174" s="172" t="s">
        <v>62</v>
      </c>
      <c r="O1174" s="24"/>
      <c r="P1174" s="409" t="s">
        <v>4464</v>
      </c>
      <c r="Q1174" s="76" t="s">
        <v>64</v>
      </c>
      <c r="R1174" s="76" t="s">
        <v>1885</v>
      </c>
      <c r="S1174" s="24"/>
      <c r="T1174" s="24"/>
      <c r="U1174" s="64"/>
      <c r="V1174" s="56"/>
      <c r="W1174" s="56"/>
      <c r="X1174" s="56"/>
      <c r="Y1174" s="56"/>
      <c r="Z1174" s="56"/>
      <c r="AA1174" s="56"/>
      <c r="AB1174" s="56"/>
      <c r="AC1174" s="56"/>
    </row>
    <row r="1175" spans="1:29" ht="15.75" customHeight="1">
      <c r="A1175" s="39" t="s">
        <v>4363</v>
      </c>
      <c r="B1175" s="107"/>
      <c r="C1175" s="109"/>
      <c r="D1175" s="76"/>
      <c r="E1175" s="64"/>
      <c r="F1175" s="39" t="s">
        <v>3186</v>
      </c>
      <c r="G1175" s="399">
        <f>IFERROR(VLOOKUP(A1175,醫療院所DATABASE!A:B,2,""),)</f>
        <v>0</v>
      </c>
      <c r="H1175" s="64"/>
      <c r="I1175" s="109">
        <v>43782</v>
      </c>
      <c r="J1175" s="109">
        <v>43784</v>
      </c>
      <c r="K1175" s="39" t="s">
        <v>4465</v>
      </c>
      <c r="L1175" s="76" t="s">
        <v>4466</v>
      </c>
      <c r="M1175" s="39" t="s">
        <v>4307</v>
      </c>
      <c r="N1175" s="172" t="s">
        <v>51</v>
      </c>
      <c r="O1175" s="24"/>
      <c r="P1175" s="409" t="s">
        <v>4467</v>
      </c>
      <c r="Q1175" s="76" t="s">
        <v>64</v>
      </c>
      <c r="R1175" s="76" t="s">
        <v>1885</v>
      </c>
      <c r="S1175" s="24"/>
      <c r="T1175" s="24"/>
      <c r="U1175" s="64"/>
      <c r="V1175" s="56"/>
      <c r="W1175" s="56"/>
      <c r="X1175" s="56"/>
      <c r="Y1175" s="56"/>
      <c r="Z1175" s="56"/>
      <c r="AA1175" s="56"/>
      <c r="AB1175" s="56"/>
      <c r="AC1175" s="56"/>
    </row>
    <row r="1176" spans="1:29" ht="15.75" customHeight="1">
      <c r="A1176" s="39" t="s">
        <v>4363</v>
      </c>
      <c r="B1176" s="107"/>
      <c r="C1176" s="109"/>
      <c r="D1176" s="76" t="s">
        <v>366</v>
      </c>
      <c r="E1176" s="64"/>
      <c r="F1176" s="39" t="s">
        <v>3186</v>
      </c>
      <c r="G1176" s="399">
        <f>IFERROR(VLOOKUP(A1176,醫療院所DATABASE!A:B,2,""),)</f>
        <v>0</v>
      </c>
      <c r="H1176" s="64"/>
      <c r="I1176" s="109">
        <v>43782</v>
      </c>
      <c r="J1176" s="109">
        <v>43784</v>
      </c>
      <c r="K1176" s="39" t="s">
        <v>4468</v>
      </c>
      <c r="L1176" s="76" t="s">
        <v>4469</v>
      </c>
      <c r="M1176" s="39" t="s">
        <v>4307</v>
      </c>
      <c r="N1176" s="172" t="s">
        <v>51</v>
      </c>
      <c r="O1176" s="24"/>
      <c r="P1176" s="409" t="s">
        <v>4470</v>
      </c>
      <c r="Q1176" s="76" t="s">
        <v>64</v>
      </c>
      <c r="R1176" s="76" t="s">
        <v>1885</v>
      </c>
      <c r="S1176" s="24"/>
      <c r="T1176" s="24"/>
      <c r="U1176" s="64"/>
      <c r="V1176" s="56"/>
      <c r="W1176" s="56"/>
      <c r="X1176" s="56"/>
      <c r="Y1176" s="56"/>
      <c r="Z1176" s="56"/>
      <c r="AA1176" s="56"/>
      <c r="AB1176" s="56"/>
      <c r="AC1176" s="56"/>
    </row>
    <row r="1177" spans="1:29" ht="15.75" customHeight="1">
      <c r="A1177" s="39" t="s">
        <v>4363</v>
      </c>
      <c r="B1177" s="107"/>
      <c r="C1177" s="109"/>
      <c r="D1177" s="76" t="s">
        <v>366</v>
      </c>
      <c r="E1177" s="64"/>
      <c r="F1177" s="39" t="s">
        <v>3186</v>
      </c>
      <c r="G1177" s="399">
        <f>IFERROR(VLOOKUP(A1177,醫療院所DATABASE!A:B,2,""),)</f>
        <v>0</v>
      </c>
      <c r="H1177" s="64"/>
      <c r="I1177" s="109">
        <v>43782</v>
      </c>
      <c r="J1177" s="109">
        <v>43784</v>
      </c>
      <c r="K1177" s="39" t="s">
        <v>4471</v>
      </c>
      <c r="L1177" s="76" t="s">
        <v>4472</v>
      </c>
      <c r="M1177" s="39" t="s">
        <v>4307</v>
      </c>
      <c r="N1177" s="172" t="s">
        <v>51</v>
      </c>
      <c r="O1177" s="24"/>
      <c r="P1177" s="409" t="s">
        <v>4473</v>
      </c>
      <c r="Q1177" s="76" t="s">
        <v>64</v>
      </c>
      <c r="R1177" s="76" t="s">
        <v>1885</v>
      </c>
      <c r="S1177" s="24"/>
      <c r="T1177" s="24"/>
      <c r="U1177" s="64"/>
      <c r="V1177" s="56"/>
      <c r="W1177" s="56"/>
      <c r="X1177" s="56"/>
      <c r="Y1177" s="56"/>
      <c r="Z1177" s="56"/>
      <c r="AA1177" s="56"/>
      <c r="AB1177" s="56"/>
      <c r="AC1177" s="56"/>
    </row>
    <row r="1178" spans="1:29" ht="15.75" customHeight="1">
      <c r="A1178" s="39" t="s">
        <v>4363</v>
      </c>
      <c r="B1178" s="107"/>
      <c r="C1178" s="109"/>
      <c r="D1178" s="76" t="s">
        <v>366</v>
      </c>
      <c r="E1178" s="64"/>
      <c r="F1178" s="39" t="s">
        <v>3186</v>
      </c>
      <c r="G1178" s="399">
        <f>IFERROR(VLOOKUP(A1178,醫療院所DATABASE!A:B,2,""),)</f>
        <v>0</v>
      </c>
      <c r="H1178" s="64"/>
      <c r="I1178" s="109">
        <v>43782</v>
      </c>
      <c r="J1178" s="109">
        <v>43784</v>
      </c>
      <c r="K1178" s="403" t="s">
        <v>5514</v>
      </c>
      <c r="L1178" s="76" t="s">
        <v>4474</v>
      </c>
      <c r="M1178" s="39" t="s">
        <v>4307</v>
      </c>
      <c r="N1178" s="172" t="s">
        <v>51</v>
      </c>
      <c r="O1178" s="24"/>
      <c r="P1178" s="409" t="s">
        <v>4475</v>
      </c>
      <c r="Q1178" s="76" t="s">
        <v>64</v>
      </c>
      <c r="R1178" s="76" t="s">
        <v>1885</v>
      </c>
      <c r="S1178" s="24"/>
      <c r="T1178" s="24"/>
      <c r="U1178" s="64"/>
      <c r="V1178" s="56"/>
      <c r="W1178" s="56"/>
      <c r="X1178" s="56"/>
      <c r="Y1178" s="56"/>
      <c r="Z1178" s="56"/>
      <c r="AA1178" s="56"/>
      <c r="AB1178" s="56"/>
      <c r="AC1178" s="56"/>
    </row>
    <row r="1179" spans="1:29" ht="15.75" customHeight="1">
      <c r="A1179" s="39" t="s">
        <v>4363</v>
      </c>
      <c r="B1179" s="107"/>
      <c r="C1179" s="109"/>
      <c r="D1179" s="76"/>
      <c r="E1179" s="64"/>
      <c r="F1179" s="39" t="s">
        <v>3186</v>
      </c>
      <c r="G1179" s="399">
        <f>IFERROR(VLOOKUP(A1179,醫療院所DATABASE!A:B,2,""),)</f>
        <v>0</v>
      </c>
      <c r="H1179" s="64"/>
      <c r="I1179" s="109">
        <v>43782</v>
      </c>
      <c r="J1179" s="109">
        <v>43784</v>
      </c>
      <c r="K1179" s="403" t="s">
        <v>5515</v>
      </c>
      <c r="L1179" s="76" t="s">
        <v>4476</v>
      </c>
      <c r="M1179" s="39" t="s">
        <v>4307</v>
      </c>
      <c r="N1179" s="172" t="s">
        <v>51</v>
      </c>
      <c r="O1179" s="24"/>
      <c r="P1179" s="409" t="s">
        <v>4477</v>
      </c>
      <c r="Q1179" s="76" t="s">
        <v>64</v>
      </c>
      <c r="R1179" s="76" t="s">
        <v>1885</v>
      </c>
      <c r="S1179" s="24"/>
      <c r="T1179" s="24"/>
      <c r="U1179" s="64"/>
      <c r="V1179" s="56"/>
      <c r="W1179" s="56"/>
      <c r="X1179" s="56"/>
      <c r="Y1179" s="56"/>
      <c r="Z1179" s="56"/>
      <c r="AA1179" s="56"/>
      <c r="AB1179" s="56"/>
      <c r="AC1179" s="56"/>
    </row>
    <row r="1180" spans="1:29" ht="15.75" customHeight="1">
      <c r="A1180" s="39" t="s">
        <v>4363</v>
      </c>
      <c r="B1180" s="107"/>
      <c r="C1180" s="109"/>
      <c r="D1180" s="76"/>
      <c r="E1180" s="64"/>
      <c r="F1180" s="39" t="s">
        <v>3186</v>
      </c>
      <c r="G1180" s="399">
        <f>IFERROR(VLOOKUP(A1180,醫療院所DATABASE!A:B,2,""),)</f>
        <v>0</v>
      </c>
      <c r="H1180" s="64"/>
      <c r="I1180" s="109">
        <v>43782</v>
      </c>
      <c r="J1180" s="109">
        <v>43784</v>
      </c>
      <c r="K1180" s="403" t="s">
        <v>5516</v>
      </c>
      <c r="L1180" s="76" t="s">
        <v>4478</v>
      </c>
      <c r="M1180" s="39" t="s">
        <v>4307</v>
      </c>
      <c r="N1180" s="172" t="s">
        <v>51</v>
      </c>
      <c r="O1180" s="24"/>
      <c r="P1180" s="409" t="s">
        <v>4479</v>
      </c>
      <c r="Q1180" s="76" t="s">
        <v>64</v>
      </c>
      <c r="R1180" s="76" t="s">
        <v>1885</v>
      </c>
      <c r="S1180" s="24"/>
      <c r="T1180" s="24"/>
      <c r="U1180" s="64"/>
      <c r="V1180" s="56"/>
      <c r="W1180" s="56"/>
      <c r="X1180" s="56"/>
      <c r="Y1180" s="56"/>
      <c r="Z1180" s="56"/>
      <c r="AA1180" s="56"/>
      <c r="AB1180" s="56"/>
      <c r="AC1180" s="56"/>
    </row>
    <row r="1181" spans="1:29" ht="15.75" customHeight="1">
      <c r="A1181" s="39" t="s">
        <v>4363</v>
      </c>
      <c r="B1181" s="107"/>
      <c r="C1181" s="109"/>
      <c r="D1181" s="76"/>
      <c r="E1181" s="64"/>
      <c r="F1181" s="39" t="s">
        <v>3186</v>
      </c>
      <c r="G1181" s="399">
        <f>IFERROR(VLOOKUP(A1181,醫療院所DATABASE!A:B,2,""),)</f>
        <v>0</v>
      </c>
      <c r="H1181" s="64"/>
      <c r="I1181" s="109">
        <v>43782</v>
      </c>
      <c r="J1181" s="109">
        <v>43784</v>
      </c>
      <c r="K1181" s="403" t="s">
        <v>5517</v>
      </c>
      <c r="L1181" s="76" t="s">
        <v>4480</v>
      </c>
      <c r="M1181" s="39" t="s">
        <v>4307</v>
      </c>
      <c r="N1181" s="172" t="s">
        <v>51</v>
      </c>
      <c r="O1181" s="24"/>
      <c r="P1181" s="409" t="s">
        <v>4481</v>
      </c>
      <c r="Q1181" s="76" t="s">
        <v>64</v>
      </c>
      <c r="R1181" s="76" t="s">
        <v>1885</v>
      </c>
      <c r="S1181" s="24"/>
      <c r="T1181" s="24"/>
      <c r="U1181" s="64"/>
      <c r="V1181" s="56"/>
      <c r="W1181" s="56"/>
      <c r="X1181" s="56"/>
      <c r="Y1181" s="56"/>
      <c r="Z1181" s="56"/>
      <c r="AA1181" s="56"/>
      <c r="AB1181" s="56"/>
      <c r="AC1181" s="56"/>
    </row>
    <row r="1182" spans="1:29" ht="15.75" customHeight="1">
      <c r="A1182" s="39" t="s">
        <v>4363</v>
      </c>
      <c r="B1182" s="107"/>
      <c r="C1182" s="109"/>
      <c r="D1182" s="76" t="s">
        <v>366</v>
      </c>
      <c r="E1182" s="64"/>
      <c r="F1182" s="39" t="s">
        <v>3186</v>
      </c>
      <c r="G1182" s="399">
        <f>IFERROR(VLOOKUP(A1182,醫療院所DATABASE!A:B,2,""),)</f>
        <v>0</v>
      </c>
      <c r="H1182" s="64"/>
      <c r="I1182" s="109">
        <v>43782</v>
      </c>
      <c r="J1182" s="109">
        <v>43784</v>
      </c>
      <c r="K1182" s="403" t="s">
        <v>5518</v>
      </c>
      <c r="L1182" s="76" t="s">
        <v>4482</v>
      </c>
      <c r="M1182" s="39" t="s">
        <v>4307</v>
      </c>
      <c r="N1182" s="172" t="s">
        <v>51</v>
      </c>
      <c r="O1182" s="24"/>
      <c r="P1182" s="409" t="s">
        <v>4483</v>
      </c>
      <c r="Q1182" s="76" t="s">
        <v>64</v>
      </c>
      <c r="R1182" s="76" t="s">
        <v>1885</v>
      </c>
      <c r="S1182" s="24"/>
      <c r="T1182" s="24"/>
      <c r="U1182" s="64"/>
      <c r="V1182" s="56"/>
      <c r="W1182" s="56"/>
      <c r="X1182" s="56"/>
      <c r="Y1182" s="56"/>
      <c r="Z1182" s="56"/>
      <c r="AA1182" s="56"/>
      <c r="AB1182" s="56"/>
      <c r="AC1182" s="56"/>
    </row>
    <row r="1183" spans="1:29" ht="15.75" customHeight="1">
      <c r="A1183" s="39" t="s">
        <v>4363</v>
      </c>
      <c r="B1183" s="107"/>
      <c r="C1183" s="109"/>
      <c r="D1183" s="76" t="s">
        <v>366</v>
      </c>
      <c r="E1183" s="64"/>
      <c r="F1183" s="39" t="s">
        <v>3186</v>
      </c>
      <c r="G1183" s="399">
        <f>IFERROR(VLOOKUP(A1183,醫療院所DATABASE!A:B,2,""),)</f>
        <v>0</v>
      </c>
      <c r="H1183" s="64"/>
      <c r="I1183" s="109">
        <v>43782</v>
      </c>
      <c r="J1183" s="109">
        <v>43784</v>
      </c>
      <c r="K1183" s="403" t="s">
        <v>5519</v>
      </c>
      <c r="L1183" s="76" t="s">
        <v>4484</v>
      </c>
      <c r="M1183" s="39" t="s">
        <v>4307</v>
      </c>
      <c r="N1183" s="172" t="s">
        <v>51</v>
      </c>
      <c r="O1183" s="24"/>
      <c r="P1183" s="409" t="s">
        <v>4485</v>
      </c>
      <c r="Q1183" s="76" t="s">
        <v>64</v>
      </c>
      <c r="R1183" s="76" t="s">
        <v>1885</v>
      </c>
      <c r="S1183" s="24"/>
      <c r="T1183" s="24"/>
      <c r="U1183" s="64"/>
      <c r="V1183" s="56"/>
      <c r="W1183" s="56"/>
      <c r="X1183" s="56"/>
      <c r="Y1183" s="56"/>
      <c r="Z1183" s="56"/>
      <c r="AA1183" s="56"/>
      <c r="AB1183" s="56"/>
      <c r="AC1183" s="56"/>
    </row>
    <row r="1184" spans="1:29" ht="15.75" customHeight="1">
      <c r="A1184" s="39" t="s">
        <v>4363</v>
      </c>
      <c r="B1184" s="107"/>
      <c r="C1184" s="109"/>
      <c r="D1184" s="76"/>
      <c r="E1184" s="64"/>
      <c r="F1184" s="39" t="s">
        <v>3186</v>
      </c>
      <c r="G1184" s="399">
        <f>IFERROR(VLOOKUP(A1184,醫療院所DATABASE!A:B,2,""),)</f>
        <v>0</v>
      </c>
      <c r="H1184" s="64"/>
      <c r="I1184" s="109">
        <v>43782</v>
      </c>
      <c r="J1184" s="109">
        <v>43784</v>
      </c>
      <c r="K1184" s="403" t="s">
        <v>5520</v>
      </c>
      <c r="L1184" s="76" t="s">
        <v>4486</v>
      </c>
      <c r="M1184" s="39" t="s">
        <v>4307</v>
      </c>
      <c r="N1184" s="172" t="s">
        <v>62</v>
      </c>
      <c r="O1184" s="24"/>
      <c r="P1184" s="409" t="s">
        <v>4487</v>
      </c>
      <c r="Q1184" s="76" t="s">
        <v>64</v>
      </c>
      <c r="R1184" s="76" t="s">
        <v>1885</v>
      </c>
      <c r="S1184" s="24"/>
      <c r="T1184" s="24"/>
      <c r="U1184" s="64"/>
      <c r="V1184" s="56"/>
      <c r="W1184" s="56"/>
      <c r="X1184" s="56"/>
      <c r="Y1184" s="56"/>
      <c r="Z1184" s="56"/>
      <c r="AA1184" s="56"/>
      <c r="AB1184" s="56"/>
      <c r="AC1184" s="56"/>
    </row>
    <row r="1185" spans="1:29" ht="15.75" customHeight="1">
      <c r="A1185" s="39" t="s">
        <v>4363</v>
      </c>
      <c r="B1185" s="107"/>
      <c r="C1185" s="109"/>
      <c r="D1185" s="76"/>
      <c r="E1185" s="64"/>
      <c r="F1185" s="39" t="s">
        <v>3186</v>
      </c>
      <c r="G1185" s="399">
        <f>IFERROR(VLOOKUP(A1185,醫療院所DATABASE!A:B,2,""),)</f>
        <v>0</v>
      </c>
      <c r="H1185" s="64"/>
      <c r="I1185" s="109">
        <v>43782</v>
      </c>
      <c r="J1185" s="109">
        <v>43784</v>
      </c>
      <c r="K1185" s="403" t="s">
        <v>5521</v>
      </c>
      <c r="L1185" s="76" t="s">
        <v>4488</v>
      </c>
      <c r="M1185" s="39" t="s">
        <v>4307</v>
      </c>
      <c r="N1185" s="172" t="s">
        <v>62</v>
      </c>
      <c r="O1185" s="24"/>
      <c r="P1185" s="409" t="s">
        <v>4489</v>
      </c>
      <c r="Q1185" s="76" t="s">
        <v>64</v>
      </c>
      <c r="R1185" s="76" t="s">
        <v>1885</v>
      </c>
      <c r="S1185" s="24"/>
      <c r="T1185" s="24"/>
      <c r="U1185" s="64"/>
      <c r="V1185" s="56"/>
      <c r="W1185" s="56"/>
      <c r="X1185" s="56"/>
      <c r="Y1185" s="56"/>
      <c r="Z1185" s="56"/>
      <c r="AA1185" s="56"/>
      <c r="AB1185" s="56"/>
      <c r="AC1185" s="56"/>
    </row>
    <row r="1186" spans="1:29" ht="15.75" customHeight="1">
      <c r="A1186" s="39" t="s">
        <v>4363</v>
      </c>
      <c r="B1186" s="107"/>
      <c r="C1186" s="109"/>
      <c r="D1186" s="76"/>
      <c r="E1186" s="64"/>
      <c r="F1186" s="39" t="s">
        <v>3186</v>
      </c>
      <c r="G1186" s="399">
        <f>IFERROR(VLOOKUP(A1186,醫療院所DATABASE!A:B,2,""),)</f>
        <v>0</v>
      </c>
      <c r="H1186" s="64"/>
      <c r="I1186" s="109">
        <v>43782</v>
      </c>
      <c r="J1186" s="109">
        <v>43784</v>
      </c>
      <c r="K1186" s="403" t="s">
        <v>5522</v>
      </c>
      <c r="L1186" s="76" t="s">
        <v>4490</v>
      </c>
      <c r="M1186" s="39" t="s">
        <v>4307</v>
      </c>
      <c r="N1186" s="172" t="s">
        <v>51</v>
      </c>
      <c r="O1186" s="24"/>
      <c r="P1186" s="409" t="s">
        <v>4491</v>
      </c>
      <c r="Q1186" s="76" t="s">
        <v>64</v>
      </c>
      <c r="R1186" s="76" t="s">
        <v>1885</v>
      </c>
      <c r="S1186" s="24"/>
      <c r="T1186" s="24"/>
      <c r="U1186" s="64"/>
      <c r="V1186" s="56"/>
      <c r="W1186" s="56"/>
      <c r="X1186" s="56"/>
      <c r="Y1186" s="56"/>
      <c r="Z1186" s="56"/>
      <c r="AA1186" s="56"/>
      <c r="AB1186" s="56"/>
      <c r="AC1186" s="56"/>
    </row>
    <row r="1187" spans="1:29" ht="15.75" customHeight="1">
      <c r="A1187" s="39" t="s">
        <v>4363</v>
      </c>
      <c r="B1187" s="107"/>
      <c r="C1187" s="109"/>
      <c r="D1187" s="76"/>
      <c r="E1187" s="64"/>
      <c r="F1187" s="39" t="s">
        <v>3186</v>
      </c>
      <c r="G1187" s="399">
        <f>IFERROR(VLOOKUP(A1187,醫療院所DATABASE!A:B,2,""),)</f>
        <v>0</v>
      </c>
      <c r="H1187" s="64"/>
      <c r="I1187" s="109">
        <v>43782</v>
      </c>
      <c r="J1187" s="109">
        <v>43784</v>
      </c>
      <c r="K1187" s="403" t="s">
        <v>5523</v>
      </c>
      <c r="L1187" s="76" t="s">
        <v>4492</v>
      </c>
      <c r="M1187" s="39" t="s">
        <v>4307</v>
      </c>
      <c r="N1187" s="172" t="s">
        <v>51</v>
      </c>
      <c r="O1187" s="24"/>
      <c r="P1187" s="409" t="s">
        <v>4493</v>
      </c>
      <c r="Q1187" s="76" t="s">
        <v>64</v>
      </c>
      <c r="R1187" s="76" t="s">
        <v>1885</v>
      </c>
      <c r="S1187" s="24"/>
      <c r="T1187" s="24"/>
      <c r="U1187" s="64"/>
      <c r="V1187" s="56"/>
      <c r="W1187" s="56"/>
      <c r="X1187" s="56"/>
      <c r="Y1187" s="56"/>
      <c r="Z1187" s="56"/>
      <c r="AA1187" s="56"/>
      <c r="AB1187" s="56"/>
      <c r="AC1187" s="56"/>
    </row>
    <row r="1188" spans="1:29" ht="15.75" customHeight="1">
      <c r="A1188" s="39" t="s">
        <v>4363</v>
      </c>
      <c r="B1188" s="107"/>
      <c r="C1188" s="109"/>
      <c r="D1188" s="76"/>
      <c r="E1188" s="64"/>
      <c r="F1188" s="39" t="s">
        <v>3186</v>
      </c>
      <c r="G1188" s="399">
        <f>IFERROR(VLOOKUP(A1188,醫療院所DATABASE!A:B,2,""),)</f>
        <v>0</v>
      </c>
      <c r="H1188" s="64"/>
      <c r="I1188" s="109">
        <v>43782</v>
      </c>
      <c r="J1188" s="109">
        <v>43784</v>
      </c>
      <c r="K1188" s="403" t="s">
        <v>5524</v>
      </c>
      <c r="L1188" s="76" t="s">
        <v>4494</v>
      </c>
      <c r="M1188" s="39" t="s">
        <v>4307</v>
      </c>
      <c r="N1188" s="172" t="s">
        <v>62</v>
      </c>
      <c r="O1188" s="24"/>
      <c r="P1188" s="409" t="s">
        <v>4495</v>
      </c>
      <c r="Q1188" s="76" t="s">
        <v>64</v>
      </c>
      <c r="R1188" s="76" t="s">
        <v>1885</v>
      </c>
      <c r="S1188" s="24"/>
      <c r="T1188" s="24"/>
      <c r="U1188" s="64"/>
      <c r="V1188" s="56"/>
      <c r="W1188" s="56"/>
      <c r="X1188" s="56"/>
      <c r="Y1188" s="56"/>
      <c r="Z1188" s="56"/>
      <c r="AA1188" s="56"/>
      <c r="AB1188" s="56"/>
      <c r="AC1188" s="56"/>
    </row>
    <row r="1189" spans="1:29" ht="15.75" customHeight="1">
      <c r="A1189" s="39" t="s">
        <v>4363</v>
      </c>
      <c r="B1189" s="107"/>
      <c r="C1189" s="109"/>
      <c r="D1189" s="76" t="s">
        <v>366</v>
      </c>
      <c r="E1189" s="64"/>
      <c r="F1189" s="39" t="s">
        <v>3186</v>
      </c>
      <c r="G1189" s="399">
        <f>IFERROR(VLOOKUP(A1189,醫療院所DATABASE!A:B,2,""),)</f>
        <v>0</v>
      </c>
      <c r="H1189" s="64"/>
      <c r="I1189" s="109">
        <v>43782</v>
      </c>
      <c r="J1189" s="109">
        <v>43784</v>
      </c>
      <c r="K1189" s="403" t="s">
        <v>5525</v>
      </c>
      <c r="L1189" s="76" t="s">
        <v>4496</v>
      </c>
      <c r="M1189" s="39" t="s">
        <v>4307</v>
      </c>
      <c r="N1189" s="172" t="s">
        <v>62</v>
      </c>
      <c r="O1189" s="24"/>
      <c r="P1189" s="409" t="s">
        <v>4497</v>
      </c>
      <c r="Q1189" s="76" t="s">
        <v>64</v>
      </c>
      <c r="R1189" s="76" t="s">
        <v>1885</v>
      </c>
      <c r="S1189" s="24"/>
      <c r="T1189" s="24"/>
      <c r="U1189" s="64"/>
      <c r="V1189" s="56"/>
      <c r="W1189" s="56"/>
      <c r="X1189" s="56"/>
      <c r="Y1189" s="56"/>
      <c r="Z1189" s="56"/>
      <c r="AA1189" s="56"/>
      <c r="AB1189" s="56"/>
      <c r="AC1189" s="56"/>
    </row>
    <row r="1190" spans="1:29" ht="15.75" customHeight="1">
      <c r="A1190" s="39" t="s">
        <v>4363</v>
      </c>
      <c r="B1190" s="107"/>
      <c r="C1190" s="109"/>
      <c r="D1190" s="76" t="s">
        <v>366</v>
      </c>
      <c r="E1190" s="64"/>
      <c r="F1190" s="39" t="s">
        <v>3186</v>
      </c>
      <c r="G1190" s="399">
        <f>IFERROR(VLOOKUP(A1190,醫療院所DATABASE!A:B,2,""),)</f>
        <v>0</v>
      </c>
      <c r="H1190" s="64"/>
      <c r="I1190" s="109">
        <v>43782</v>
      </c>
      <c r="J1190" s="109">
        <v>43784</v>
      </c>
      <c r="K1190" s="403" t="s">
        <v>5526</v>
      </c>
      <c r="L1190" s="76" t="s">
        <v>4498</v>
      </c>
      <c r="M1190" s="39" t="s">
        <v>4307</v>
      </c>
      <c r="N1190" s="172" t="s">
        <v>62</v>
      </c>
      <c r="O1190" s="24"/>
      <c r="P1190" s="409" t="s">
        <v>4499</v>
      </c>
      <c r="Q1190" s="76" t="s">
        <v>64</v>
      </c>
      <c r="R1190" s="76" t="s">
        <v>1885</v>
      </c>
      <c r="S1190" s="24"/>
      <c r="T1190" s="24"/>
      <c r="U1190" s="64"/>
      <c r="V1190" s="56"/>
      <c r="W1190" s="56"/>
      <c r="X1190" s="56"/>
      <c r="Y1190" s="56"/>
      <c r="Z1190" s="56"/>
      <c r="AA1190" s="56"/>
      <c r="AB1190" s="56"/>
      <c r="AC1190" s="56"/>
    </row>
    <row r="1191" spans="1:29" ht="15.75" customHeight="1">
      <c r="A1191" s="39" t="s">
        <v>4500</v>
      </c>
      <c r="B1191" s="107"/>
      <c r="C1191" s="109"/>
      <c r="D1191" s="76" t="s">
        <v>1542</v>
      </c>
      <c r="E1191" s="64"/>
      <c r="F1191" s="39" t="s">
        <v>4501</v>
      </c>
      <c r="G1191" s="399">
        <f>IFERROR(VLOOKUP(A1191,醫療院所DATABASE!A:B,2,""),)</f>
        <v>0</v>
      </c>
      <c r="H1191" s="64"/>
      <c r="I1191" s="109">
        <v>43782</v>
      </c>
      <c r="J1191" s="109">
        <v>43784</v>
      </c>
      <c r="K1191" s="403" t="s">
        <v>5527</v>
      </c>
      <c r="L1191" s="76" t="s">
        <v>4502</v>
      </c>
      <c r="M1191" s="39" t="s">
        <v>3826</v>
      </c>
      <c r="N1191" s="172" t="s">
        <v>62</v>
      </c>
      <c r="O1191" s="24"/>
      <c r="P1191" s="409" t="s">
        <v>4503</v>
      </c>
      <c r="Q1191" s="76" t="s">
        <v>1931</v>
      </c>
      <c r="R1191" s="76" t="s">
        <v>1885</v>
      </c>
      <c r="S1191" s="24"/>
      <c r="T1191" s="24"/>
      <c r="U1191" s="64"/>
      <c r="V1191" s="56">
        <v>163</v>
      </c>
      <c r="W1191" s="56">
        <v>78</v>
      </c>
      <c r="X1191" s="56"/>
      <c r="Y1191" s="56"/>
      <c r="Z1191" s="56"/>
      <c r="AA1191" s="56"/>
      <c r="AB1191" s="56"/>
      <c r="AC1191" s="56"/>
    </row>
    <row r="1192" spans="1:29" ht="15.75" customHeight="1">
      <c r="A1192" s="39" t="s">
        <v>4500</v>
      </c>
      <c r="B1192" s="107"/>
      <c r="C1192" s="109"/>
      <c r="D1192" s="76" t="s">
        <v>1542</v>
      </c>
      <c r="E1192" s="64"/>
      <c r="F1192" s="39" t="s">
        <v>4501</v>
      </c>
      <c r="G1192" s="399">
        <f>IFERROR(VLOOKUP(A1192,醫療院所DATABASE!A:B,2,""),)</f>
        <v>0</v>
      </c>
      <c r="H1192" s="64"/>
      <c r="I1192" s="109">
        <v>43782</v>
      </c>
      <c r="J1192" s="109">
        <v>43784</v>
      </c>
      <c r="K1192" s="403" t="s">
        <v>5527</v>
      </c>
      <c r="L1192" s="76" t="s">
        <v>5513</v>
      </c>
      <c r="M1192" s="39" t="s">
        <v>3636</v>
      </c>
      <c r="N1192" s="172" t="s">
        <v>62</v>
      </c>
      <c r="O1192" s="24"/>
      <c r="P1192" s="409" t="s">
        <v>4504</v>
      </c>
      <c r="Q1192" s="76" t="s">
        <v>1931</v>
      </c>
      <c r="R1192" s="76" t="s">
        <v>1885</v>
      </c>
      <c r="S1192" s="24"/>
      <c r="T1192" s="24"/>
      <c r="U1192" s="64"/>
      <c r="V1192" s="56"/>
      <c r="W1192" s="56"/>
      <c r="X1192" s="56"/>
      <c r="Y1192" s="56"/>
      <c r="Z1192" s="56"/>
      <c r="AA1192" s="56"/>
      <c r="AB1192" s="56"/>
      <c r="AC1192" s="56"/>
    </row>
    <row r="1193" spans="1:29" ht="15.75" customHeight="1">
      <c r="A1193" s="39" t="s">
        <v>595</v>
      </c>
      <c r="B1193" s="107"/>
      <c r="C1193" s="109"/>
      <c r="D1193" s="76" t="s">
        <v>543</v>
      </c>
      <c r="E1193" s="64"/>
      <c r="F1193" s="39" t="s">
        <v>4258</v>
      </c>
      <c r="G1193" s="399">
        <f>IFERROR(VLOOKUP(A1193,醫療院所DATABASE!A:B,2,""),)</f>
        <v>0</v>
      </c>
      <c r="H1193" s="64"/>
      <c r="I1193" s="109">
        <v>43782</v>
      </c>
      <c r="J1193" s="109">
        <v>43784</v>
      </c>
      <c r="K1193" s="403" t="s">
        <v>5528</v>
      </c>
      <c r="L1193" s="76" t="s">
        <v>4505</v>
      </c>
      <c r="M1193" s="39" t="s">
        <v>593</v>
      </c>
      <c r="N1193" s="172" t="s">
        <v>62</v>
      </c>
      <c r="O1193" s="24"/>
      <c r="P1193" s="409" t="s">
        <v>4506</v>
      </c>
      <c r="Q1193" s="76" t="s">
        <v>64</v>
      </c>
      <c r="R1193" s="76" t="s">
        <v>1885</v>
      </c>
      <c r="S1193" s="24"/>
      <c r="T1193" s="24"/>
      <c r="U1193" s="64"/>
      <c r="V1193" s="56"/>
      <c r="W1193" s="56"/>
      <c r="X1193" s="56"/>
      <c r="Y1193" s="56"/>
      <c r="Z1193" s="56"/>
      <c r="AA1193" s="56"/>
      <c r="AB1193" s="56"/>
      <c r="AC1193" s="56"/>
    </row>
    <row r="1194" spans="1:29" ht="15.75" customHeight="1">
      <c r="A1194" s="39" t="s">
        <v>4507</v>
      </c>
      <c r="B1194" s="107"/>
      <c r="C1194" s="109"/>
      <c r="D1194" s="76" t="s">
        <v>665</v>
      </c>
      <c r="E1194" s="64"/>
      <c r="F1194" s="39" t="s">
        <v>2304</v>
      </c>
      <c r="G1194" s="399">
        <f>IFERROR(VLOOKUP(A1194,醫療院所DATABASE!A:B,2,""),)</f>
        <v>0</v>
      </c>
      <c r="H1194" s="64"/>
      <c r="I1194" s="109">
        <v>43782</v>
      </c>
      <c r="J1194" s="109">
        <v>43784</v>
      </c>
      <c r="K1194" s="403" t="s">
        <v>5529</v>
      </c>
      <c r="L1194" s="76" t="s">
        <v>4508</v>
      </c>
      <c r="M1194" s="39" t="s">
        <v>4182</v>
      </c>
      <c r="N1194" s="172" t="s">
        <v>62</v>
      </c>
      <c r="O1194" s="24"/>
      <c r="P1194" s="409" t="s">
        <v>4509</v>
      </c>
      <c r="Q1194" s="76" t="s">
        <v>64</v>
      </c>
      <c r="R1194" s="76" t="s">
        <v>1885</v>
      </c>
      <c r="S1194" s="24"/>
      <c r="T1194" s="24"/>
      <c r="U1194" s="64"/>
      <c r="V1194" s="56"/>
      <c r="W1194" s="56"/>
      <c r="X1194" s="56"/>
      <c r="Y1194" s="56"/>
      <c r="Z1194" s="56"/>
      <c r="AA1194" s="56"/>
      <c r="AB1194" s="56"/>
      <c r="AC1194" s="56"/>
    </row>
    <row r="1195" spans="1:29" ht="15.75" customHeight="1">
      <c r="A1195" s="403" t="s">
        <v>5421</v>
      </c>
      <c r="B1195" s="404">
        <v>43784</v>
      </c>
      <c r="C1195" s="404">
        <v>43787</v>
      </c>
      <c r="D1195" s="403" t="s">
        <v>543</v>
      </c>
      <c r="E1195" s="403" t="s">
        <v>543</v>
      </c>
      <c r="F1195" s="403" t="s">
        <v>5422</v>
      </c>
      <c r="G1195"/>
      <c r="I1195" s="404">
        <v>43783</v>
      </c>
      <c r="J1195" s="404">
        <v>43787</v>
      </c>
      <c r="K1195" s="403" t="s">
        <v>5423</v>
      </c>
      <c r="L1195" s="403" t="s">
        <v>5424</v>
      </c>
      <c r="M1195" s="405" t="s">
        <v>3594</v>
      </c>
      <c r="N1195" s="403" t="s">
        <v>62</v>
      </c>
      <c r="P1195" s="413" t="s">
        <v>5425</v>
      </c>
      <c r="Q1195" s="403" t="s">
        <v>64</v>
      </c>
      <c r="R1195" s="403" t="s">
        <v>1893</v>
      </c>
    </row>
    <row r="1196" spans="1:29" ht="15.75" customHeight="1">
      <c r="A1196" s="403" t="s">
        <v>4179</v>
      </c>
      <c r="B1196" s="404">
        <v>43784</v>
      </c>
      <c r="C1196" s="404">
        <v>43787</v>
      </c>
      <c r="D1196" s="403" t="s">
        <v>1910</v>
      </c>
      <c r="E1196" s="403" t="s">
        <v>53</v>
      </c>
      <c r="F1196" s="403" t="s">
        <v>1911</v>
      </c>
      <c r="G1196"/>
      <c r="I1196" s="404">
        <v>43783</v>
      </c>
      <c r="J1196" s="404">
        <v>43787</v>
      </c>
      <c r="K1196" s="403" t="s">
        <v>5426</v>
      </c>
      <c r="L1196" t="s">
        <v>5427</v>
      </c>
      <c r="M1196" s="405" t="s">
        <v>3594</v>
      </c>
      <c r="N1196" s="403" t="s">
        <v>51</v>
      </c>
      <c r="P1196" s="413" t="s">
        <v>5428</v>
      </c>
      <c r="Q1196" s="403" t="s">
        <v>64</v>
      </c>
      <c r="R1196" s="403" t="s">
        <v>1885</v>
      </c>
      <c r="V1196">
        <v>110</v>
      </c>
      <c r="W1196">
        <v>16</v>
      </c>
    </row>
    <row r="1197" spans="1:29" ht="15.75" customHeight="1">
      <c r="A1197" s="403" t="s">
        <v>4179</v>
      </c>
      <c r="B1197" s="404">
        <v>43784</v>
      </c>
      <c r="C1197" s="404">
        <v>43787</v>
      </c>
      <c r="D1197" s="403" t="s">
        <v>1910</v>
      </c>
      <c r="E1197" s="403" t="s">
        <v>53</v>
      </c>
      <c r="F1197" s="403" t="s">
        <v>1911</v>
      </c>
      <c r="G1197"/>
      <c r="I1197" s="404">
        <v>43783</v>
      </c>
      <c r="J1197" s="404">
        <v>43787</v>
      </c>
      <c r="K1197" s="403" t="s">
        <v>5429</v>
      </c>
      <c r="L1197" t="s">
        <v>5430</v>
      </c>
      <c r="M1197" s="405" t="s">
        <v>3594</v>
      </c>
      <c r="N1197" s="403" t="s">
        <v>62</v>
      </c>
      <c r="P1197" s="413" t="s">
        <v>5431</v>
      </c>
      <c r="Q1197" s="403" t="s">
        <v>64</v>
      </c>
      <c r="R1197" s="403" t="s">
        <v>1885</v>
      </c>
    </row>
    <row r="1198" spans="1:29" ht="15.75" customHeight="1">
      <c r="A1198" s="403" t="s">
        <v>5432</v>
      </c>
      <c r="B1198" s="404">
        <v>43784</v>
      </c>
      <c r="C1198" s="404">
        <v>43787</v>
      </c>
      <c r="D1198" s="403" t="s">
        <v>1910</v>
      </c>
      <c r="E1198" s="403" t="s">
        <v>53</v>
      </c>
      <c r="F1198" s="403" t="s">
        <v>1911</v>
      </c>
      <c r="G1198"/>
      <c r="H1198" s="403" t="s">
        <v>1323</v>
      </c>
      <c r="I1198" s="404">
        <v>43783</v>
      </c>
      <c r="J1198" s="404">
        <v>43787</v>
      </c>
      <c r="K1198" s="403" t="s">
        <v>5433</v>
      </c>
      <c r="L1198" t="s">
        <v>5434</v>
      </c>
      <c r="M1198" s="405" t="s">
        <v>3594</v>
      </c>
      <c r="N1198" s="403" t="s">
        <v>62</v>
      </c>
      <c r="P1198" s="413" t="s">
        <v>5435</v>
      </c>
      <c r="Q1198" s="403" t="s">
        <v>64</v>
      </c>
      <c r="R1198" s="403" t="s">
        <v>1885</v>
      </c>
    </row>
    <row r="1199" spans="1:29" ht="15.75" customHeight="1">
      <c r="A1199" s="403" t="s">
        <v>5432</v>
      </c>
      <c r="B1199" s="404">
        <v>43784</v>
      </c>
      <c r="C1199" s="404">
        <v>43787</v>
      </c>
      <c r="D1199" s="403" t="s">
        <v>1910</v>
      </c>
      <c r="E1199" s="403" t="s">
        <v>53</v>
      </c>
      <c r="F1199" s="403" t="s">
        <v>1911</v>
      </c>
      <c r="G1199"/>
      <c r="H1199" s="403" t="s">
        <v>1323</v>
      </c>
      <c r="I1199" s="404">
        <v>43783</v>
      </c>
      <c r="J1199" s="404">
        <v>43787</v>
      </c>
      <c r="K1199" s="403" t="s">
        <v>5436</v>
      </c>
      <c r="L1199" t="s">
        <v>5437</v>
      </c>
      <c r="M1199" s="405" t="s">
        <v>3594</v>
      </c>
      <c r="N1199" s="403" t="s">
        <v>62</v>
      </c>
      <c r="P1199" s="413" t="s">
        <v>5438</v>
      </c>
      <c r="Q1199" s="403" t="s">
        <v>64</v>
      </c>
      <c r="R1199" s="403" t="s">
        <v>1885</v>
      </c>
    </row>
    <row r="1200" spans="1:29" ht="15.75" customHeight="1">
      <c r="A1200" s="403" t="s">
        <v>5439</v>
      </c>
      <c r="B1200" s="404">
        <v>43788</v>
      </c>
      <c r="C1200" s="404">
        <v>43788</v>
      </c>
      <c r="D1200" s="403" t="s">
        <v>187</v>
      </c>
      <c r="F1200" s="403" t="s">
        <v>5440</v>
      </c>
      <c r="G1200" t="s">
        <v>5441</v>
      </c>
      <c r="I1200" s="404">
        <v>43784</v>
      </c>
      <c r="J1200" s="404">
        <v>43788</v>
      </c>
      <c r="K1200" s="403" t="s">
        <v>5442</v>
      </c>
      <c r="L1200" s="403" t="s">
        <v>5443</v>
      </c>
      <c r="M1200" s="405" t="s">
        <v>3594</v>
      </c>
      <c r="N1200" s="403" t="s">
        <v>51</v>
      </c>
      <c r="P1200" s="413" t="s">
        <v>5444</v>
      </c>
      <c r="Q1200" s="403" t="s">
        <v>64</v>
      </c>
      <c r="R1200" s="403" t="s">
        <v>1885</v>
      </c>
      <c r="V1200">
        <v>169</v>
      </c>
      <c r="W1200">
        <v>62</v>
      </c>
    </row>
    <row r="1201" spans="1:23" ht="15.75" customHeight="1">
      <c r="A1201" s="403" t="s">
        <v>5439</v>
      </c>
      <c r="B1201" s="404">
        <v>43788</v>
      </c>
      <c r="C1201" s="404">
        <v>43788</v>
      </c>
      <c r="D1201" s="403" t="s">
        <v>187</v>
      </c>
      <c r="F1201" s="403" t="s">
        <v>5440</v>
      </c>
      <c r="G1201"/>
      <c r="I1201" s="404">
        <v>43784</v>
      </c>
      <c r="J1201" s="404">
        <v>43788</v>
      </c>
      <c r="K1201" s="403" t="s">
        <v>5445</v>
      </c>
      <c r="L1201" s="403" t="s">
        <v>5446</v>
      </c>
      <c r="M1201" s="405" t="s">
        <v>3594</v>
      </c>
      <c r="N1201" s="403" t="s">
        <v>62</v>
      </c>
      <c r="P1201" s="413" t="s">
        <v>5447</v>
      </c>
      <c r="Q1201" s="403" t="s">
        <v>64</v>
      </c>
      <c r="R1201" s="403" t="s">
        <v>1885</v>
      </c>
    </row>
    <row r="1202" spans="1:23" ht="15.75" customHeight="1">
      <c r="A1202" s="403" t="s">
        <v>5439</v>
      </c>
      <c r="B1202" s="404">
        <v>43788</v>
      </c>
      <c r="C1202" s="404">
        <v>43788</v>
      </c>
      <c r="D1202" s="403" t="s">
        <v>187</v>
      </c>
      <c r="F1202" s="403" t="s">
        <v>5440</v>
      </c>
      <c r="G1202"/>
      <c r="I1202" s="404">
        <v>43784</v>
      </c>
      <c r="J1202" s="404">
        <v>43788</v>
      </c>
      <c r="K1202" s="403" t="s">
        <v>5448</v>
      </c>
      <c r="L1202" s="403" t="s">
        <v>5449</v>
      </c>
      <c r="M1202" s="405" t="s">
        <v>3594</v>
      </c>
      <c r="N1202" s="403" t="s">
        <v>51</v>
      </c>
      <c r="P1202" s="413" t="s">
        <v>5450</v>
      </c>
      <c r="Q1202" s="403" t="s">
        <v>64</v>
      </c>
      <c r="R1202" s="403" t="s">
        <v>1885</v>
      </c>
    </row>
    <row r="1203" spans="1:23" ht="15.75" customHeight="1">
      <c r="A1203" s="403" t="s">
        <v>5439</v>
      </c>
      <c r="B1203" s="404">
        <v>43788</v>
      </c>
      <c r="C1203" s="404">
        <v>43788</v>
      </c>
      <c r="D1203" s="403" t="s">
        <v>187</v>
      </c>
      <c r="F1203" s="403" t="s">
        <v>5440</v>
      </c>
      <c r="G1203"/>
      <c r="I1203" s="404">
        <v>43784</v>
      </c>
      <c r="J1203" s="404">
        <v>43788</v>
      </c>
      <c r="K1203" s="403" t="s">
        <v>5451</v>
      </c>
      <c r="L1203" s="403" t="s">
        <v>5452</v>
      </c>
      <c r="M1203" s="405" t="s">
        <v>3594</v>
      </c>
      <c r="N1203" s="403" t="s">
        <v>51</v>
      </c>
      <c r="P1203" s="413" t="s">
        <v>5453</v>
      </c>
      <c r="Q1203" s="403" t="s">
        <v>64</v>
      </c>
      <c r="R1203" s="403" t="s">
        <v>1885</v>
      </c>
    </row>
    <row r="1204" spans="1:23" ht="15.75" customHeight="1">
      <c r="A1204" s="403">
        <v>19111602</v>
      </c>
      <c r="B1204" s="404">
        <v>43788</v>
      </c>
      <c r="C1204" s="403"/>
      <c r="D1204" s="403" t="s">
        <v>53</v>
      </c>
      <c r="E1204" s="403" t="s">
        <v>53</v>
      </c>
      <c r="F1204" s="403" t="s">
        <v>353</v>
      </c>
      <c r="G1204"/>
      <c r="I1204" s="404">
        <v>43787</v>
      </c>
      <c r="J1204" s="404">
        <v>43789</v>
      </c>
      <c r="K1204" s="403" t="s">
        <v>5454</v>
      </c>
      <c r="L1204" s="403" t="s">
        <v>5455</v>
      </c>
      <c r="M1204" s="405" t="s">
        <v>3594</v>
      </c>
      <c r="N1204" s="403" t="s">
        <v>62</v>
      </c>
      <c r="P1204" s="413" t="s">
        <v>5456</v>
      </c>
      <c r="Q1204" s="403" t="s">
        <v>64</v>
      </c>
      <c r="R1204" s="403" t="s">
        <v>1885</v>
      </c>
      <c r="V1204">
        <v>155</v>
      </c>
      <c r="W1204">
        <v>60</v>
      </c>
    </row>
    <row r="1205" spans="1:23" ht="15.75" customHeight="1">
      <c r="A1205" s="403" t="s">
        <v>3152</v>
      </c>
      <c r="B1205" s="404">
        <v>43788</v>
      </c>
      <c r="C1205" s="403"/>
      <c r="D1205" s="403" t="s">
        <v>53</v>
      </c>
      <c r="E1205" s="403" t="s">
        <v>53</v>
      </c>
      <c r="F1205" s="406" t="s">
        <v>3153</v>
      </c>
      <c r="G1205"/>
      <c r="I1205" s="404">
        <v>43787</v>
      </c>
      <c r="J1205" s="404">
        <v>43789</v>
      </c>
      <c r="K1205" s="403" t="s">
        <v>5457</v>
      </c>
      <c r="L1205" s="403" t="s">
        <v>5458</v>
      </c>
      <c r="M1205" s="403" t="s">
        <v>3887</v>
      </c>
      <c r="N1205" s="403" t="s">
        <v>62</v>
      </c>
      <c r="P1205" s="413" t="s">
        <v>5459</v>
      </c>
      <c r="Q1205" s="403" t="s">
        <v>64</v>
      </c>
      <c r="R1205" s="403" t="s">
        <v>1885</v>
      </c>
    </row>
    <row r="1206" spans="1:23" ht="15.75" customHeight="1">
      <c r="A1206" s="403" t="s">
        <v>5460</v>
      </c>
      <c r="B1206" s="404">
        <v>43788</v>
      </c>
      <c r="C1206" s="403"/>
      <c r="D1206" s="403" t="s">
        <v>53</v>
      </c>
      <c r="E1206" s="403" t="s">
        <v>53</v>
      </c>
      <c r="F1206" s="403" t="s">
        <v>2304</v>
      </c>
      <c r="G1206"/>
      <c r="I1206" s="404">
        <v>43787</v>
      </c>
      <c r="J1206" s="404">
        <v>43789</v>
      </c>
      <c r="K1206" s="403" t="s">
        <v>5461</v>
      </c>
      <c r="L1206" s="403" t="s">
        <v>5462</v>
      </c>
      <c r="M1206" s="403" t="s">
        <v>3893</v>
      </c>
      <c r="N1206" s="403" t="s">
        <v>62</v>
      </c>
      <c r="P1206" s="413" t="s">
        <v>5463</v>
      </c>
      <c r="Q1206" s="403" t="s">
        <v>64</v>
      </c>
      <c r="R1206" s="403" t="s">
        <v>1885</v>
      </c>
    </row>
    <row r="1207" spans="1:23" ht="15.75" customHeight="1">
      <c r="A1207" s="403" t="s">
        <v>5460</v>
      </c>
      <c r="B1207" s="404">
        <v>43788</v>
      </c>
      <c r="C1207" s="403"/>
      <c r="D1207" s="403" t="s">
        <v>53</v>
      </c>
      <c r="E1207" s="403" t="s">
        <v>53</v>
      </c>
      <c r="F1207" s="403" t="s">
        <v>2304</v>
      </c>
      <c r="G1207"/>
      <c r="I1207" s="404">
        <v>43787</v>
      </c>
      <c r="J1207" s="404">
        <v>43789</v>
      </c>
      <c r="K1207" s="403" t="s">
        <v>5464</v>
      </c>
      <c r="L1207" s="403" t="s">
        <v>5465</v>
      </c>
      <c r="M1207" s="403" t="s">
        <v>3883</v>
      </c>
      <c r="N1207" s="403" t="s">
        <v>62</v>
      </c>
      <c r="P1207" s="413" t="s">
        <v>5466</v>
      </c>
      <c r="Q1207" s="403" t="s">
        <v>64</v>
      </c>
      <c r="R1207" s="403" t="s">
        <v>1885</v>
      </c>
    </row>
    <row r="1208" spans="1:23" ht="15.75" customHeight="1">
      <c r="A1208" s="403" t="s">
        <v>1389</v>
      </c>
      <c r="B1208" s="403"/>
      <c r="C1208" s="403"/>
      <c r="D1208" s="403" t="s">
        <v>479</v>
      </c>
      <c r="E1208" s="403" t="s">
        <v>2693</v>
      </c>
      <c r="F1208" s="403" t="s">
        <v>1709</v>
      </c>
      <c r="G1208" t="s">
        <v>1709</v>
      </c>
      <c r="I1208" s="404">
        <v>43788</v>
      </c>
      <c r="J1208" s="404">
        <v>43790</v>
      </c>
      <c r="K1208" s="403" t="s">
        <v>5467</v>
      </c>
      <c r="L1208" s="403" t="s">
        <v>5468</v>
      </c>
      <c r="M1208" s="405" t="s">
        <v>3594</v>
      </c>
      <c r="N1208" s="403" t="s">
        <v>51</v>
      </c>
      <c r="P1208" s="413" t="s">
        <v>5469</v>
      </c>
      <c r="Q1208" s="403" t="s">
        <v>1207</v>
      </c>
      <c r="R1208" s="403" t="s">
        <v>1885</v>
      </c>
    </row>
    <row r="1209" spans="1:23" ht="15.75" customHeight="1">
      <c r="A1209" s="403" t="s">
        <v>5470</v>
      </c>
      <c r="B1209" s="403"/>
      <c r="C1209" s="403"/>
      <c r="D1209" s="403" t="s">
        <v>543</v>
      </c>
      <c r="F1209" s="403" t="s">
        <v>3441</v>
      </c>
      <c r="G1209"/>
      <c r="I1209" s="404">
        <v>43788</v>
      </c>
      <c r="J1209" s="404">
        <v>43790</v>
      </c>
      <c r="K1209" s="403" t="s">
        <v>5471</v>
      </c>
      <c r="L1209" s="403" t="s">
        <v>5472</v>
      </c>
      <c r="M1209" s="405" t="s">
        <v>3636</v>
      </c>
      <c r="N1209" s="403" t="s">
        <v>62</v>
      </c>
      <c r="P1209" s="413" t="s">
        <v>5473</v>
      </c>
      <c r="Q1209" s="403" t="s">
        <v>64</v>
      </c>
      <c r="R1209" s="403" t="s">
        <v>1885</v>
      </c>
    </row>
    <row r="1210" spans="1:23" ht="15.75" customHeight="1">
      <c r="A1210" s="403" t="s">
        <v>5470</v>
      </c>
      <c r="B1210" s="403"/>
      <c r="C1210" s="403"/>
      <c r="D1210" s="403" t="s">
        <v>543</v>
      </c>
      <c r="F1210" s="403" t="s">
        <v>3441</v>
      </c>
      <c r="G1210"/>
      <c r="I1210" s="404">
        <v>43788</v>
      </c>
      <c r="J1210" s="404">
        <v>43790</v>
      </c>
      <c r="K1210" s="403" t="s">
        <v>5474</v>
      </c>
      <c r="L1210" s="403" t="s">
        <v>5475</v>
      </c>
      <c r="M1210" s="405" t="s">
        <v>3636</v>
      </c>
      <c r="N1210" s="403" t="s">
        <v>51</v>
      </c>
      <c r="P1210" s="413" t="s">
        <v>5476</v>
      </c>
      <c r="Q1210" s="403" t="s">
        <v>64</v>
      </c>
      <c r="R1210" s="403" t="s">
        <v>1885</v>
      </c>
    </row>
    <row r="1211" spans="1:23" ht="15.75" customHeight="1">
      <c r="A1211" s="403" t="s">
        <v>5470</v>
      </c>
      <c r="B1211" s="403"/>
      <c r="C1211" s="403"/>
      <c r="D1211" s="403" t="s">
        <v>543</v>
      </c>
      <c r="F1211" s="403" t="s">
        <v>3441</v>
      </c>
      <c r="G1211"/>
      <c r="I1211" s="404">
        <v>43788</v>
      </c>
      <c r="J1211" s="404">
        <v>43790</v>
      </c>
      <c r="K1211" s="403" t="s">
        <v>5477</v>
      </c>
      <c r="L1211" s="403" t="s">
        <v>5478</v>
      </c>
      <c r="M1211" s="405" t="s">
        <v>3636</v>
      </c>
      <c r="N1211" s="403" t="s">
        <v>62</v>
      </c>
      <c r="P1211" s="413" t="s">
        <v>5479</v>
      </c>
      <c r="Q1211" s="403" t="s">
        <v>64</v>
      </c>
      <c r="R1211" s="403" t="s">
        <v>1885</v>
      </c>
    </row>
    <row r="1212" spans="1:23" ht="15.75" customHeight="1">
      <c r="A1212" s="403" t="s">
        <v>5470</v>
      </c>
      <c r="B1212" s="403"/>
      <c r="C1212" s="403"/>
      <c r="D1212" s="403" t="s">
        <v>543</v>
      </c>
      <c r="F1212" s="403" t="s">
        <v>3441</v>
      </c>
      <c r="G1212"/>
      <c r="I1212" s="404">
        <v>43788</v>
      </c>
      <c r="J1212" s="404">
        <v>43790</v>
      </c>
      <c r="K1212" s="403" t="s">
        <v>5480</v>
      </c>
      <c r="L1212" s="403" t="s">
        <v>5481</v>
      </c>
      <c r="M1212" s="405" t="s">
        <v>3636</v>
      </c>
      <c r="N1212" s="403" t="s">
        <v>51</v>
      </c>
      <c r="P1212" s="413" t="s">
        <v>5482</v>
      </c>
      <c r="Q1212" s="403" t="s">
        <v>64</v>
      </c>
      <c r="R1212" s="403" t="s">
        <v>1885</v>
      </c>
    </row>
    <row r="1213" spans="1:23" ht="15.75" customHeight="1">
      <c r="A1213" s="403" t="s">
        <v>5470</v>
      </c>
      <c r="B1213" s="403"/>
      <c r="C1213" s="403"/>
      <c r="D1213" s="403" t="s">
        <v>543</v>
      </c>
      <c r="F1213" s="403" t="s">
        <v>3441</v>
      </c>
      <c r="G1213"/>
      <c r="I1213" s="404">
        <v>43788</v>
      </c>
      <c r="J1213" s="404">
        <v>43790</v>
      </c>
      <c r="K1213" s="403" t="s">
        <v>5483</v>
      </c>
      <c r="L1213" s="403" t="s">
        <v>5484</v>
      </c>
      <c r="M1213" s="405" t="s">
        <v>3636</v>
      </c>
      <c r="N1213" s="403" t="s">
        <v>51</v>
      </c>
      <c r="P1213" s="413" t="s">
        <v>5485</v>
      </c>
      <c r="Q1213" s="403" t="s">
        <v>64</v>
      </c>
      <c r="R1213" s="403" t="s">
        <v>1885</v>
      </c>
    </row>
    <row r="1214" spans="1:23" ht="15.75" customHeight="1">
      <c r="A1214" s="403" t="s">
        <v>5470</v>
      </c>
      <c r="B1214" s="403"/>
      <c r="C1214" s="403"/>
      <c r="D1214" s="403" t="s">
        <v>543</v>
      </c>
      <c r="F1214" s="403" t="s">
        <v>3441</v>
      </c>
      <c r="G1214"/>
      <c r="I1214" s="404">
        <v>43788</v>
      </c>
      <c r="J1214" s="404">
        <v>43790</v>
      </c>
      <c r="K1214" s="403" t="s">
        <v>5486</v>
      </c>
      <c r="L1214" s="403" t="s">
        <v>5487</v>
      </c>
      <c r="M1214" s="405" t="s">
        <v>3636</v>
      </c>
      <c r="N1214" s="403" t="s">
        <v>51</v>
      </c>
      <c r="P1214" s="413" t="s">
        <v>5488</v>
      </c>
      <c r="Q1214" s="403" t="s">
        <v>64</v>
      </c>
      <c r="R1214" s="403" t="s">
        <v>1885</v>
      </c>
    </row>
    <row r="1215" spans="1:23" ht="15.75" customHeight="1">
      <c r="A1215" s="403" t="s">
        <v>5470</v>
      </c>
      <c r="B1215" s="403"/>
      <c r="C1215" s="403"/>
      <c r="D1215" s="403" t="s">
        <v>543</v>
      </c>
      <c r="F1215" s="403" t="s">
        <v>3441</v>
      </c>
      <c r="G1215"/>
      <c r="I1215" s="404">
        <v>43788</v>
      </c>
      <c r="J1215" s="404">
        <v>43790</v>
      </c>
      <c r="K1215" s="403" t="s">
        <v>5489</v>
      </c>
      <c r="L1215" s="403" t="s">
        <v>5490</v>
      </c>
      <c r="M1215" s="405" t="s">
        <v>3636</v>
      </c>
      <c r="N1215" s="403" t="s">
        <v>51</v>
      </c>
      <c r="P1215" s="413" t="s">
        <v>5491</v>
      </c>
      <c r="Q1215" s="403" t="s">
        <v>64</v>
      </c>
      <c r="R1215" s="403" t="s">
        <v>1885</v>
      </c>
    </row>
    <row r="1216" spans="1:23" ht="15.75" customHeight="1">
      <c r="A1216" s="403" t="s">
        <v>5470</v>
      </c>
      <c r="B1216" s="403"/>
      <c r="C1216" s="403"/>
      <c r="D1216" s="403" t="s">
        <v>543</v>
      </c>
      <c r="F1216" s="403" t="s">
        <v>3441</v>
      </c>
      <c r="G1216"/>
      <c r="I1216" s="404">
        <v>43788</v>
      </c>
      <c r="J1216" s="404">
        <v>43790</v>
      </c>
      <c r="K1216" s="403" t="s">
        <v>5492</v>
      </c>
      <c r="L1216" s="403" t="s">
        <v>5493</v>
      </c>
      <c r="M1216" s="405" t="s">
        <v>3636</v>
      </c>
      <c r="N1216" s="403" t="s">
        <v>62</v>
      </c>
      <c r="P1216" s="413" t="s">
        <v>5494</v>
      </c>
      <c r="Q1216" s="403" t="s">
        <v>64</v>
      </c>
      <c r="R1216" s="403" t="s">
        <v>1885</v>
      </c>
    </row>
    <row r="1217" spans="1:29" ht="15.75" customHeight="1">
      <c r="A1217" s="403" t="s">
        <v>5470</v>
      </c>
      <c r="B1217" s="403"/>
      <c r="C1217" s="403"/>
      <c r="D1217" s="403" t="s">
        <v>543</v>
      </c>
      <c r="F1217" s="403" t="s">
        <v>3441</v>
      </c>
      <c r="G1217"/>
      <c r="I1217" s="404">
        <v>43788</v>
      </c>
      <c r="J1217" s="404">
        <v>43790</v>
      </c>
      <c r="K1217" s="403" t="s">
        <v>5495</v>
      </c>
      <c r="L1217" s="403" t="s">
        <v>5496</v>
      </c>
      <c r="M1217" s="405" t="s">
        <v>3636</v>
      </c>
      <c r="N1217" s="403" t="s">
        <v>62</v>
      </c>
      <c r="P1217" s="413" t="s">
        <v>5497</v>
      </c>
      <c r="Q1217" s="403" t="s">
        <v>64</v>
      </c>
      <c r="R1217" s="403" t="s">
        <v>1885</v>
      </c>
    </row>
    <row r="1218" spans="1:29" ht="15.75" customHeight="1">
      <c r="A1218" s="403" t="s">
        <v>5470</v>
      </c>
      <c r="B1218" s="403"/>
      <c r="C1218" s="403"/>
      <c r="D1218" s="403" t="s">
        <v>543</v>
      </c>
      <c r="F1218" s="403" t="s">
        <v>3441</v>
      </c>
      <c r="G1218"/>
      <c r="I1218" s="404">
        <v>43788</v>
      </c>
      <c r="J1218" s="404">
        <v>43790</v>
      </c>
      <c r="K1218" s="403" t="s">
        <v>5498</v>
      </c>
      <c r="L1218" s="403" t="s">
        <v>5499</v>
      </c>
      <c r="M1218" s="405" t="s">
        <v>3636</v>
      </c>
      <c r="N1218" s="403" t="s">
        <v>62</v>
      </c>
      <c r="P1218" s="413" t="s">
        <v>5500</v>
      </c>
      <c r="Q1218" s="403" t="s">
        <v>64</v>
      </c>
      <c r="R1218" s="403" t="s">
        <v>1885</v>
      </c>
    </row>
    <row r="1219" spans="1:29" ht="15.75" customHeight="1">
      <c r="A1219" s="403" t="s">
        <v>5470</v>
      </c>
      <c r="B1219" s="403"/>
      <c r="C1219" s="403"/>
      <c r="D1219" s="403" t="s">
        <v>543</v>
      </c>
      <c r="F1219" s="403" t="s">
        <v>3441</v>
      </c>
      <c r="G1219"/>
      <c r="I1219" s="404">
        <v>43788</v>
      </c>
      <c r="J1219" s="404">
        <v>43790</v>
      </c>
      <c r="K1219" s="403" t="s">
        <v>5501</v>
      </c>
      <c r="L1219" s="403" t="s">
        <v>5502</v>
      </c>
      <c r="M1219" s="405" t="s">
        <v>3636</v>
      </c>
      <c r="N1219" s="403" t="s">
        <v>62</v>
      </c>
      <c r="P1219" s="413" t="s">
        <v>5503</v>
      </c>
      <c r="Q1219" s="403" t="s">
        <v>64</v>
      </c>
      <c r="R1219" s="403" t="s">
        <v>1885</v>
      </c>
    </row>
    <row r="1220" spans="1:29" ht="15.75" customHeight="1">
      <c r="A1220" s="403" t="s">
        <v>5470</v>
      </c>
      <c r="B1220" s="403"/>
      <c r="C1220" s="403"/>
      <c r="D1220" s="403" t="s">
        <v>543</v>
      </c>
      <c r="F1220" s="403" t="s">
        <v>3441</v>
      </c>
      <c r="G1220"/>
      <c r="I1220" s="404">
        <v>43788</v>
      </c>
      <c r="J1220" s="404">
        <v>43790</v>
      </c>
      <c r="K1220" s="403" t="s">
        <v>5504</v>
      </c>
      <c r="L1220" s="403" t="s">
        <v>5505</v>
      </c>
      <c r="M1220" s="405" t="s">
        <v>3636</v>
      </c>
      <c r="N1220" s="403" t="s">
        <v>51</v>
      </c>
      <c r="P1220" s="413" t="s">
        <v>5506</v>
      </c>
      <c r="Q1220" s="403" t="s">
        <v>64</v>
      </c>
      <c r="R1220" s="403" t="s">
        <v>1885</v>
      </c>
    </row>
    <row r="1221" spans="1:29" ht="15.75" customHeight="1">
      <c r="A1221" s="403" t="s">
        <v>3152</v>
      </c>
      <c r="B1221" s="403"/>
      <c r="C1221" s="403"/>
      <c r="D1221" s="403" t="s">
        <v>53</v>
      </c>
      <c r="E1221" s="403" t="s">
        <v>53</v>
      </c>
      <c r="F1221" s="406" t="s">
        <v>3153</v>
      </c>
      <c r="G1221"/>
      <c r="I1221" s="404">
        <v>43788</v>
      </c>
      <c r="J1221" s="404">
        <v>43790</v>
      </c>
      <c r="K1221" s="403" t="s">
        <v>5507</v>
      </c>
      <c r="L1221" s="403" t="s">
        <v>5508</v>
      </c>
      <c r="M1221" s="403" t="s">
        <v>3887</v>
      </c>
      <c r="N1221" s="403" t="s">
        <v>62</v>
      </c>
      <c r="P1221" s="413" t="s">
        <v>5509</v>
      </c>
      <c r="Q1221" s="403" t="s">
        <v>64</v>
      </c>
      <c r="R1221" s="403" t="s">
        <v>1885</v>
      </c>
    </row>
    <row r="1222" spans="1:29" ht="15.75" customHeight="1">
      <c r="A1222" s="403" t="s">
        <v>3890</v>
      </c>
      <c r="B1222" s="403"/>
      <c r="C1222" s="403"/>
      <c r="D1222" s="403" t="s">
        <v>53</v>
      </c>
      <c r="E1222" s="403" t="s">
        <v>53</v>
      </c>
      <c r="F1222" s="406" t="s">
        <v>3153</v>
      </c>
      <c r="G1222"/>
      <c r="I1222" s="404">
        <v>43789</v>
      </c>
      <c r="J1222" s="404">
        <v>43791</v>
      </c>
      <c r="K1222" s="403" t="s">
        <v>5510</v>
      </c>
      <c r="L1222" s="403" t="s">
        <v>5511</v>
      </c>
      <c r="M1222" s="403" t="s">
        <v>3893</v>
      </c>
      <c r="N1222" s="403"/>
      <c r="P1222" s="413" t="s">
        <v>5512</v>
      </c>
      <c r="Q1222" s="403" t="s">
        <v>64</v>
      </c>
      <c r="R1222" s="403" t="s">
        <v>1885</v>
      </c>
    </row>
    <row r="1223" spans="1:29" ht="15.75" customHeight="1">
      <c r="A1223" s="39"/>
      <c r="B1223" s="107"/>
      <c r="C1223" s="109"/>
      <c r="D1223" s="76"/>
      <c r="E1223" s="64"/>
      <c r="F1223" s="39"/>
      <c r="G1223" s="399">
        <f>IFERROR(VLOOKUP(A1223,醫療院所DATABASE!A:B,2,""),)</f>
        <v>0</v>
      </c>
      <c r="H1223" s="64"/>
      <c r="I1223" s="109"/>
      <c r="J1223" s="109"/>
      <c r="K1223" s="39"/>
      <c r="L1223" s="76"/>
      <c r="M1223" s="39"/>
      <c r="N1223" s="39"/>
      <c r="O1223" s="24"/>
      <c r="P1223" s="409"/>
      <c r="Q1223" s="76"/>
      <c r="R1223" s="76"/>
      <c r="S1223" s="24"/>
      <c r="T1223" s="24"/>
      <c r="U1223" s="64"/>
      <c r="V1223" s="56"/>
      <c r="W1223" s="56"/>
      <c r="X1223" s="56"/>
      <c r="Y1223" s="56"/>
      <c r="Z1223" s="56"/>
      <c r="AA1223" s="56"/>
      <c r="AB1223" s="56"/>
      <c r="AC1223" s="56"/>
    </row>
    <row r="1224" spans="1:29" ht="15.75" customHeight="1">
      <c r="A1224" s="39"/>
      <c r="B1224" s="107"/>
      <c r="C1224" s="109"/>
      <c r="D1224" s="76"/>
      <c r="E1224" s="64"/>
      <c r="F1224" s="39"/>
      <c r="G1224" s="399">
        <f>IFERROR(VLOOKUP(A1224,醫療院所DATABASE!A:B,2,""),)</f>
        <v>0</v>
      </c>
      <c r="H1224" s="64"/>
      <c r="I1224" s="109"/>
      <c r="J1224" s="109"/>
      <c r="K1224" s="39"/>
      <c r="L1224" s="76"/>
      <c r="M1224" s="39"/>
      <c r="N1224" s="39"/>
      <c r="O1224" s="24"/>
      <c r="P1224" s="409"/>
      <c r="Q1224" s="76"/>
      <c r="R1224" s="76"/>
      <c r="S1224" s="24"/>
      <c r="T1224" s="24"/>
      <c r="U1224" s="64"/>
      <c r="V1224" s="56"/>
      <c r="W1224" s="56"/>
      <c r="X1224" s="56"/>
      <c r="Y1224" s="56"/>
      <c r="Z1224" s="56"/>
      <c r="AA1224" s="56"/>
      <c r="AB1224" s="56"/>
      <c r="AC1224" s="56"/>
    </row>
    <row r="1225" spans="1:29" ht="15.75" customHeight="1">
      <c r="A1225" s="39"/>
      <c r="B1225" s="107"/>
      <c r="C1225" s="109"/>
      <c r="D1225" s="76"/>
      <c r="E1225" s="64"/>
      <c r="F1225" s="39"/>
      <c r="G1225" s="399">
        <f>IFERROR(VLOOKUP(A1225,醫療院所DATABASE!A:B,2,""),)</f>
        <v>0</v>
      </c>
      <c r="H1225" s="64"/>
      <c r="I1225" s="109"/>
      <c r="J1225" s="109"/>
      <c r="K1225" s="39"/>
      <c r="L1225" s="76"/>
      <c r="M1225" s="39"/>
      <c r="N1225" s="39"/>
      <c r="O1225" s="24"/>
      <c r="P1225" s="409"/>
      <c r="Q1225" s="76"/>
      <c r="R1225" s="76"/>
      <c r="S1225" s="24"/>
      <c r="T1225" s="24"/>
      <c r="U1225" s="64"/>
      <c r="V1225" s="56"/>
      <c r="W1225" s="56"/>
      <c r="X1225" s="56"/>
      <c r="Y1225" s="56"/>
      <c r="Z1225" s="56"/>
      <c r="AA1225" s="56"/>
      <c r="AB1225" s="56"/>
      <c r="AC1225" s="56"/>
    </row>
    <row r="1226" spans="1:29" ht="15.75" customHeight="1">
      <c r="A1226" s="39"/>
      <c r="B1226" s="107"/>
      <c r="C1226" s="109"/>
      <c r="D1226" s="76"/>
      <c r="E1226" s="64"/>
      <c r="F1226" s="39"/>
      <c r="G1226" s="399">
        <f>IFERROR(VLOOKUP(A1226,醫療院所DATABASE!A:B,2,""),)</f>
        <v>0</v>
      </c>
      <c r="H1226" s="64"/>
      <c r="I1226" s="109"/>
      <c r="J1226" s="109"/>
      <c r="K1226" s="39"/>
      <c r="L1226" s="76"/>
      <c r="M1226" s="39"/>
      <c r="N1226" s="39"/>
      <c r="O1226" s="24"/>
      <c r="P1226" s="409"/>
      <c r="Q1226" s="76"/>
      <c r="R1226" s="76"/>
      <c r="S1226" s="24"/>
      <c r="T1226" s="24"/>
      <c r="U1226" s="64"/>
      <c r="V1226" s="56"/>
      <c r="W1226" s="56"/>
      <c r="X1226" s="56"/>
      <c r="Y1226" s="56"/>
      <c r="Z1226" s="56"/>
      <c r="AA1226" s="56"/>
      <c r="AB1226" s="56"/>
      <c r="AC1226" s="56"/>
    </row>
    <row r="1227" spans="1:29" ht="15.75" customHeight="1">
      <c r="A1227" s="39"/>
      <c r="B1227" s="107"/>
      <c r="C1227" s="109"/>
      <c r="D1227" s="76"/>
      <c r="E1227" s="64"/>
      <c r="F1227" s="39"/>
      <c r="G1227" s="399">
        <f>IFERROR(VLOOKUP(A1227,醫療院所DATABASE!A:B,2,""),)</f>
        <v>0</v>
      </c>
      <c r="H1227" s="64"/>
      <c r="I1227" s="109"/>
      <c r="J1227" s="109"/>
      <c r="K1227" s="39"/>
      <c r="L1227" s="76"/>
      <c r="M1227" s="39"/>
      <c r="N1227" s="39"/>
      <c r="O1227" s="24"/>
      <c r="P1227" s="409"/>
      <c r="Q1227" s="76"/>
      <c r="R1227" s="76"/>
      <c r="S1227" s="24"/>
      <c r="T1227" s="24"/>
      <c r="U1227" s="64"/>
      <c r="V1227" s="56"/>
      <c r="W1227" s="56"/>
      <c r="X1227" s="56"/>
      <c r="Y1227" s="56"/>
      <c r="Z1227" s="56"/>
      <c r="AA1227" s="56"/>
      <c r="AB1227" s="56"/>
      <c r="AC1227" s="56"/>
    </row>
    <row r="1228" spans="1:29" ht="15.75" customHeight="1">
      <c r="A1228" s="39"/>
      <c r="B1228" s="107"/>
      <c r="C1228" s="109"/>
      <c r="D1228" s="76"/>
      <c r="E1228" s="64"/>
      <c r="F1228" s="39"/>
      <c r="G1228" s="399">
        <f>IFERROR(VLOOKUP(A1228,醫療院所DATABASE!A:B,2,""),)</f>
        <v>0</v>
      </c>
      <c r="H1228" s="64"/>
      <c r="I1228" s="109"/>
      <c r="J1228" s="109"/>
      <c r="K1228" s="39"/>
      <c r="L1228" s="76"/>
      <c r="M1228" s="39"/>
      <c r="N1228" s="39"/>
      <c r="O1228" s="24"/>
      <c r="P1228" s="409"/>
      <c r="Q1228" s="76"/>
      <c r="R1228" s="76"/>
      <c r="S1228" s="24"/>
      <c r="T1228" s="24"/>
      <c r="U1228" s="64"/>
      <c r="V1228" s="56"/>
      <c r="W1228" s="56"/>
      <c r="X1228" s="56"/>
      <c r="Y1228" s="56"/>
      <c r="Z1228" s="56"/>
      <c r="AA1228" s="56"/>
      <c r="AB1228" s="56"/>
      <c r="AC1228" s="56"/>
    </row>
    <row r="1229" spans="1:29" ht="15.75" customHeight="1">
      <c r="A1229" s="39"/>
      <c r="B1229" s="107"/>
      <c r="C1229" s="109"/>
      <c r="D1229" s="76"/>
      <c r="E1229" s="64"/>
      <c r="F1229" s="39"/>
      <c r="G1229" s="399">
        <f>IFERROR(VLOOKUP(A1229,醫療院所DATABASE!A:B,2,""),)</f>
        <v>0</v>
      </c>
      <c r="H1229" s="64"/>
      <c r="I1229" s="109"/>
      <c r="J1229" s="109"/>
      <c r="K1229" s="39"/>
      <c r="L1229" s="76"/>
      <c r="M1229" s="39"/>
      <c r="N1229" s="39"/>
      <c r="O1229" s="24"/>
      <c r="P1229" s="409"/>
      <c r="Q1229" s="76"/>
      <c r="R1229" s="76"/>
      <c r="S1229" s="24"/>
      <c r="T1229" s="24"/>
      <c r="U1229" s="64"/>
      <c r="V1229" s="56"/>
      <c r="W1229" s="56"/>
      <c r="X1229" s="56"/>
      <c r="Y1229" s="56"/>
      <c r="Z1229" s="56"/>
      <c r="AA1229" s="56"/>
      <c r="AB1229" s="56"/>
      <c r="AC1229" s="56"/>
    </row>
    <row r="1230" spans="1:29" ht="15.75" customHeight="1">
      <c r="A1230" s="39"/>
      <c r="B1230" s="107"/>
      <c r="C1230" s="109"/>
      <c r="D1230" s="76"/>
      <c r="E1230" s="64"/>
      <c r="F1230" s="39"/>
      <c r="G1230" s="399">
        <f>IFERROR(VLOOKUP(A1230,醫療院所DATABASE!A:B,2,""),)</f>
        <v>0</v>
      </c>
      <c r="H1230" s="64"/>
      <c r="I1230" s="109"/>
      <c r="J1230" s="109"/>
      <c r="K1230" s="39"/>
      <c r="L1230" s="76"/>
      <c r="M1230" s="39"/>
      <c r="N1230" s="39"/>
      <c r="O1230" s="24"/>
      <c r="P1230" s="409"/>
      <c r="Q1230" s="76"/>
      <c r="R1230" s="76"/>
      <c r="S1230" s="24"/>
      <c r="T1230" s="24"/>
      <c r="U1230" s="64"/>
      <c r="V1230" s="56"/>
      <c r="W1230" s="56"/>
      <c r="X1230" s="56"/>
      <c r="Y1230" s="56"/>
      <c r="Z1230" s="56"/>
      <c r="AA1230" s="56"/>
      <c r="AB1230" s="56"/>
      <c r="AC1230" s="56"/>
    </row>
    <row r="1231" spans="1:29" ht="15.75" customHeight="1">
      <c r="A1231" s="39"/>
      <c r="B1231" s="107"/>
      <c r="C1231" s="109"/>
      <c r="D1231" s="76"/>
      <c r="E1231" s="64"/>
      <c r="F1231" s="39"/>
      <c r="G1231" s="399">
        <f>IFERROR(VLOOKUP(A1231,醫療院所DATABASE!A:B,2,""),)</f>
        <v>0</v>
      </c>
      <c r="H1231" s="64"/>
      <c r="I1231" s="109"/>
      <c r="J1231" s="109"/>
      <c r="K1231" s="39"/>
      <c r="L1231" s="76"/>
      <c r="M1231" s="39"/>
      <c r="N1231" s="39"/>
      <c r="O1231" s="24"/>
      <c r="P1231" s="409"/>
      <c r="Q1231" s="76"/>
      <c r="R1231" s="76"/>
      <c r="S1231" s="24"/>
      <c r="T1231" s="24"/>
      <c r="U1231" s="64"/>
      <c r="V1231" s="56"/>
      <c r="W1231" s="56"/>
      <c r="X1231" s="56"/>
      <c r="Y1231" s="56"/>
      <c r="Z1231" s="56"/>
      <c r="AA1231" s="56"/>
      <c r="AB1231" s="56"/>
      <c r="AC1231" s="56"/>
    </row>
    <row r="1232" spans="1:29" ht="15.75" customHeight="1">
      <c r="A1232" s="39"/>
      <c r="B1232" s="107"/>
      <c r="C1232" s="109"/>
      <c r="D1232" s="76"/>
      <c r="E1232" s="64"/>
      <c r="F1232" s="39"/>
      <c r="G1232" s="399">
        <f>IFERROR(VLOOKUP(A1232,醫療院所DATABASE!A:B,2,""),)</f>
        <v>0</v>
      </c>
      <c r="H1232" s="64"/>
      <c r="I1232" s="109"/>
      <c r="J1232" s="109"/>
      <c r="K1232" s="39"/>
      <c r="L1232" s="76"/>
      <c r="M1232" s="39"/>
      <c r="N1232" s="39"/>
      <c r="O1232" s="24"/>
      <c r="P1232" s="409"/>
      <c r="Q1232" s="76"/>
      <c r="R1232" s="76"/>
      <c r="S1232" s="24"/>
      <c r="T1232" s="24"/>
      <c r="U1232" s="64"/>
      <c r="V1232" s="56"/>
      <c r="W1232" s="56"/>
      <c r="X1232" s="56"/>
      <c r="Y1232" s="56"/>
      <c r="Z1232" s="56"/>
      <c r="AA1232" s="56"/>
      <c r="AB1232" s="56"/>
      <c r="AC1232" s="56"/>
    </row>
    <row r="1233" spans="1:29" ht="15.75" customHeight="1">
      <c r="A1233" s="39"/>
      <c r="B1233" s="107"/>
      <c r="C1233" s="109"/>
      <c r="D1233" s="76"/>
      <c r="E1233" s="64"/>
      <c r="F1233" s="39"/>
      <c r="G1233" s="399">
        <f>IFERROR(VLOOKUP(A1233,醫療院所DATABASE!A:B,2,""),)</f>
        <v>0</v>
      </c>
      <c r="H1233" s="64"/>
      <c r="I1233" s="109"/>
      <c r="J1233" s="109"/>
      <c r="K1233" s="39"/>
      <c r="L1233" s="76"/>
      <c r="M1233" s="39"/>
      <c r="N1233" s="39"/>
      <c r="O1233" s="24"/>
      <c r="P1233" s="409"/>
      <c r="Q1233" s="76"/>
      <c r="R1233" s="76"/>
      <c r="S1233" s="24"/>
      <c r="T1233" s="24"/>
      <c r="U1233" s="64"/>
      <c r="V1233" s="56"/>
      <c r="W1233" s="56"/>
      <c r="X1233" s="56"/>
      <c r="Y1233" s="56"/>
      <c r="Z1233" s="56"/>
      <c r="AA1233" s="56"/>
      <c r="AB1233" s="56"/>
      <c r="AC1233" s="56"/>
    </row>
    <row r="1234" spans="1:29" ht="15.75" customHeight="1">
      <c r="A1234" s="39"/>
      <c r="B1234" s="107"/>
      <c r="C1234" s="109"/>
      <c r="D1234" s="76"/>
      <c r="E1234" s="64"/>
      <c r="F1234" s="39"/>
      <c r="G1234" s="399">
        <f>IFERROR(VLOOKUP(A1234,醫療院所DATABASE!A:B,2,""),)</f>
        <v>0</v>
      </c>
      <c r="H1234" s="64"/>
      <c r="I1234" s="109"/>
      <c r="J1234" s="109"/>
      <c r="K1234" s="39"/>
      <c r="L1234" s="76"/>
      <c r="M1234" s="39"/>
      <c r="N1234" s="39"/>
      <c r="O1234" s="24"/>
      <c r="P1234" s="409"/>
      <c r="Q1234" s="76"/>
      <c r="R1234" s="76"/>
      <c r="S1234" s="24"/>
      <c r="T1234" s="24"/>
      <c r="U1234" s="64"/>
      <c r="V1234" s="56"/>
      <c r="W1234" s="56"/>
      <c r="X1234" s="56"/>
      <c r="Y1234" s="56"/>
      <c r="Z1234" s="56"/>
      <c r="AA1234" s="56"/>
      <c r="AB1234" s="56"/>
      <c r="AC1234" s="56"/>
    </row>
    <row r="1235" spans="1:29" ht="15.75" customHeight="1">
      <c r="A1235" s="39"/>
      <c r="B1235" s="107"/>
      <c r="C1235" s="109"/>
      <c r="D1235" s="76"/>
      <c r="E1235" s="64"/>
      <c r="F1235" s="39"/>
      <c r="G1235" s="399">
        <f>IFERROR(VLOOKUP(A1235,醫療院所DATABASE!A:B,2,""),)</f>
        <v>0</v>
      </c>
      <c r="H1235" s="64"/>
      <c r="I1235" s="109"/>
      <c r="J1235" s="109"/>
      <c r="K1235" s="39"/>
      <c r="L1235" s="76"/>
      <c r="M1235" s="39"/>
      <c r="N1235" s="39"/>
      <c r="O1235" s="24"/>
      <c r="P1235" s="409"/>
      <c r="Q1235" s="76"/>
      <c r="R1235" s="76"/>
      <c r="S1235" s="24"/>
      <c r="T1235" s="24"/>
      <c r="U1235" s="64"/>
      <c r="V1235" s="56"/>
      <c r="W1235" s="56"/>
      <c r="X1235" s="56"/>
      <c r="Y1235" s="56"/>
      <c r="Z1235" s="56"/>
      <c r="AA1235" s="56"/>
      <c r="AB1235" s="56"/>
      <c r="AC1235" s="56"/>
    </row>
    <row r="1236" spans="1:29" ht="15.75" customHeight="1">
      <c r="A1236" s="39"/>
      <c r="B1236" s="107"/>
      <c r="C1236" s="109"/>
      <c r="D1236" s="76"/>
      <c r="E1236" s="64"/>
      <c r="F1236" s="39"/>
      <c r="G1236" s="399">
        <f>IFERROR(VLOOKUP(A1236,醫療院所DATABASE!A:B,2,""),)</f>
        <v>0</v>
      </c>
      <c r="H1236" s="64"/>
      <c r="I1236" s="109"/>
      <c r="J1236" s="109"/>
      <c r="K1236" s="39"/>
      <c r="L1236" s="76"/>
      <c r="M1236" s="39"/>
      <c r="N1236" s="39"/>
      <c r="O1236" s="24"/>
      <c r="P1236" s="409"/>
      <c r="Q1236" s="76"/>
      <c r="R1236" s="76"/>
      <c r="S1236" s="24"/>
      <c r="T1236" s="24"/>
      <c r="U1236" s="64"/>
      <c r="V1236" s="56"/>
      <c r="W1236" s="56"/>
      <c r="X1236" s="56"/>
      <c r="Y1236" s="56"/>
      <c r="Z1236" s="56"/>
      <c r="AA1236" s="56"/>
      <c r="AB1236" s="56"/>
      <c r="AC1236" s="56"/>
    </row>
    <row r="1237" spans="1:29" ht="15.75" customHeight="1">
      <c r="A1237" s="39"/>
      <c r="B1237" s="107"/>
      <c r="C1237" s="109"/>
      <c r="D1237" s="76"/>
      <c r="E1237" s="64"/>
      <c r="F1237" s="39"/>
      <c r="G1237" s="399">
        <f>IFERROR(VLOOKUP(A1237,醫療院所DATABASE!A:B,2,""),)</f>
        <v>0</v>
      </c>
      <c r="H1237" s="64"/>
      <c r="I1237" s="109"/>
      <c r="J1237" s="109"/>
      <c r="K1237" s="39"/>
      <c r="L1237" s="76"/>
      <c r="M1237" s="39"/>
      <c r="N1237" s="39"/>
      <c r="O1237" s="24"/>
      <c r="P1237" s="409"/>
      <c r="Q1237" s="76"/>
      <c r="R1237" s="76"/>
      <c r="S1237" s="24"/>
      <c r="T1237" s="24"/>
      <c r="U1237" s="64"/>
      <c r="V1237" s="56"/>
      <c r="W1237" s="56"/>
      <c r="X1237" s="56"/>
      <c r="Y1237" s="56"/>
      <c r="Z1237" s="56"/>
      <c r="AA1237" s="56"/>
      <c r="AB1237" s="56"/>
      <c r="AC1237" s="56"/>
    </row>
    <row r="1238" spans="1:29" ht="15.75" customHeight="1">
      <c r="A1238" s="39"/>
      <c r="B1238" s="107"/>
      <c r="C1238" s="109"/>
      <c r="D1238" s="76"/>
      <c r="E1238" s="64"/>
      <c r="F1238" s="39"/>
      <c r="G1238" s="399">
        <f>IFERROR(VLOOKUP(A1238,醫療院所DATABASE!A:B,2,""),)</f>
        <v>0</v>
      </c>
      <c r="H1238" s="64"/>
      <c r="I1238" s="109"/>
      <c r="J1238" s="109"/>
      <c r="K1238" s="39"/>
      <c r="L1238" s="76"/>
      <c r="M1238" s="39"/>
      <c r="N1238" s="39"/>
      <c r="O1238" s="24"/>
      <c r="P1238" s="409"/>
      <c r="Q1238" s="76"/>
      <c r="R1238" s="76"/>
      <c r="S1238" s="24"/>
      <c r="T1238" s="24"/>
      <c r="U1238" s="64"/>
      <c r="V1238" s="56"/>
      <c r="W1238" s="56"/>
      <c r="X1238" s="56"/>
      <c r="Y1238" s="56"/>
      <c r="Z1238" s="56"/>
      <c r="AA1238" s="56"/>
      <c r="AB1238" s="56"/>
      <c r="AC1238" s="56"/>
    </row>
    <row r="1239" spans="1:29" ht="15.75" customHeight="1">
      <c r="A1239" s="39"/>
      <c r="B1239" s="107"/>
      <c r="C1239" s="109"/>
      <c r="D1239" s="76"/>
      <c r="E1239" s="64"/>
      <c r="F1239" s="39"/>
      <c r="G1239" s="399">
        <f>IFERROR(VLOOKUP(A1239,醫療院所DATABASE!A:B,2,""),)</f>
        <v>0</v>
      </c>
      <c r="H1239" s="64"/>
      <c r="I1239" s="109"/>
      <c r="J1239" s="109"/>
      <c r="K1239" s="39"/>
      <c r="L1239" s="76"/>
      <c r="M1239" s="39"/>
      <c r="N1239" s="39"/>
      <c r="O1239" s="24"/>
      <c r="P1239" s="409"/>
      <c r="Q1239" s="76"/>
      <c r="R1239" s="76"/>
      <c r="S1239" s="24"/>
      <c r="T1239" s="24"/>
      <c r="U1239" s="64"/>
      <c r="V1239" s="56"/>
      <c r="W1239" s="56"/>
      <c r="X1239" s="56"/>
      <c r="Y1239" s="56"/>
      <c r="Z1239" s="56"/>
      <c r="AA1239" s="56"/>
      <c r="AB1239" s="56"/>
      <c r="AC1239" s="56"/>
    </row>
    <row r="1240" spans="1:29" ht="15.75" customHeight="1">
      <c r="A1240" s="39"/>
      <c r="B1240" s="107"/>
      <c r="C1240" s="109"/>
      <c r="D1240" s="76"/>
      <c r="E1240" s="64"/>
      <c r="F1240" s="39"/>
      <c r="G1240" s="399">
        <f>IFERROR(VLOOKUP(A1240,醫療院所DATABASE!A:B,2,""),)</f>
        <v>0</v>
      </c>
      <c r="H1240" s="64"/>
      <c r="I1240" s="109"/>
      <c r="J1240" s="109"/>
      <c r="K1240" s="39"/>
      <c r="L1240" s="76"/>
      <c r="M1240" s="39"/>
      <c r="N1240" s="39"/>
      <c r="O1240" s="24"/>
      <c r="P1240" s="409"/>
      <c r="Q1240" s="76"/>
      <c r="R1240" s="76"/>
      <c r="S1240" s="24"/>
      <c r="T1240" s="24"/>
      <c r="U1240" s="64"/>
      <c r="V1240" s="56"/>
      <c r="W1240" s="56"/>
      <c r="X1240" s="56"/>
      <c r="Y1240" s="56"/>
      <c r="Z1240" s="56"/>
      <c r="AA1240" s="56"/>
      <c r="AB1240" s="56"/>
      <c r="AC1240" s="56"/>
    </row>
    <row r="1241" spans="1:29" ht="15.75" customHeight="1">
      <c r="A1241" s="39"/>
      <c r="B1241" s="107"/>
      <c r="C1241" s="109"/>
      <c r="D1241" s="76"/>
      <c r="E1241" s="64"/>
      <c r="F1241" s="39"/>
      <c r="G1241" s="399">
        <f>IFERROR(VLOOKUP(A1241,醫療院所DATABASE!A:B,2,""),)</f>
        <v>0</v>
      </c>
      <c r="H1241" s="64"/>
      <c r="I1241" s="109"/>
      <c r="J1241" s="109"/>
      <c r="K1241" s="39"/>
      <c r="L1241" s="76"/>
      <c r="M1241" s="39"/>
      <c r="N1241" s="39"/>
      <c r="O1241" s="24"/>
      <c r="P1241" s="409"/>
      <c r="Q1241" s="76"/>
      <c r="R1241" s="76"/>
      <c r="S1241" s="24"/>
      <c r="T1241" s="24"/>
      <c r="U1241" s="64"/>
      <c r="V1241" s="56"/>
      <c r="W1241" s="56"/>
      <c r="X1241" s="56"/>
      <c r="Y1241" s="56"/>
      <c r="Z1241" s="56"/>
      <c r="AA1241" s="56"/>
      <c r="AB1241" s="56"/>
      <c r="AC1241" s="56"/>
    </row>
    <row r="1242" spans="1:29" ht="15.75" customHeight="1">
      <c r="A1242" s="39"/>
      <c r="B1242" s="107"/>
      <c r="C1242" s="109"/>
      <c r="D1242" s="76"/>
      <c r="E1242" s="64"/>
      <c r="F1242" s="39"/>
      <c r="G1242" s="399">
        <f>IFERROR(VLOOKUP(A1242,醫療院所DATABASE!A:B,2,""),)</f>
        <v>0</v>
      </c>
      <c r="H1242" s="64"/>
      <c r="I1242" s="109"/>
      <c r="J1242" s="109"/>
      <c r="K1242" s="39"/>
      <c r="L1242" s="76"/>
      <c r="M1242" s="39"/>
      <c r="N1242" s="39"/>
      <c r="O1242" s="24"/>
      <c r="P1242" s="409"/>
      <c r="Q1242" s="76"/>
      <c r="R1242" s="76"/>
      <c r="S1242" s="24"/>
      <c r="T1242" s="24"/>
      <c r="U1242" s="64"/>
      <c r="V1242" s="56"/>
      <c r="W1242" s="56"/>
      <c r="X1242" s="56"/>
      <c r="Y1242" s="56"/>
      <c r="Z1242" s="56"/>
      <c r="AA1242" s="56"/>
      <c r="AB1242" s="56"/>
      <c r="AC1242" s="56"/>
    </row>
    <row r="1243" spans="1:29" ht="15.75" customHeight="1">
      <c r="A1243" s="39"/>
      <c r="B1243" s="107"/>
      <c r="C1243" s="109"/>
      <c r="D1243" s="76"/>
      <c r="E1243" s="64"/>
      <c r="F1243" s="39"/>
      <c r="G1243" s="399">
        <f>IFERROR(VLOOKUP(A1243,醫療院所DATABASE!A:B,2,""),)</f>
        <v>0</v>
      </c>
      <c r="H1243" s="64"/>
      <c r="I1243" s="109"/>
      <c r="J1243" s="109"/>
      <c r="K1243" s="39"/>
      <c r="L1243" s="76"/>
      <c r="M1243" s="39"/>
      <c r="N1243" s="39"/>
      <c r="O1243" s="24"/>
      <c r="P1243" s="409"/>
      <c r="Q1243" s="76"/>
      <c r="R1243" s="76"/>
      <c r="S1243" s="24"/>
      <c r="T1243" s="24"/>
      <c r="U1243" s="64"/>
      <c r="V1243" s="56"/>
      <c r="W1243" s="56"/>
      <c r="X1243" s="56"/>
      <c r="Y1243" s="56"/>
      <c r="Z1243" s="56"/>
      <c r="AA1243" s="56"/>
      <c r="AB1243" s="56"/>
      <c r="AC1243" s="56"/>
    </row>
    <row r="1244" spans="1:29" ht="15.75" customHeight="1">
      <c r="A1244" s="39"/>
      <c r="B1244" s="107"/>
      <c r="C1244" s="109"/>
      <c r="D1244" s="76"/>
      <c r="E1244" s="64"/>
      <c r="F1244" s="39"/>
      <c r="G1244" s="399">
        <f>IFERROR(VLOOKUP(A1244,醫療院所DATABASE!A:B,2,""),)</f>
        <v>0</v>
      </c>
      <c r="H1244" s="64"/>
      <c r="I1244" s="109"/>
      <c r="J1244" s="109"/>
      <c r="K1244" s="39"/>
      <c r="L1244" s="76"/>
      <c r="M1244" s="39"/>
      <c r="N1244" s="39"/>
      <c r="O1244" s="24"/>
      <c r="P1244" s="409"/>
      <c r="Q1244" s="76"/>
      <c r="R1244" s="76"/>
      <c r="S1244" s="24"/>
      <c r="T1244" s="24"/>
      <c r="U1244" s="64"/>
      <c r="V1244" s="56"/>
      <c r="W1244" s="56"/>
      <c r="X1244" s="56"/>
      <c r="Y1244" s="56"/>
      <c r="Z1244" s="56"/>
      <c r="AA1244" s="56"/>
      <c r="AB1244" s="56"/>
      <c r="AC1244" s="56"/>
    </row>
    <row r="1245" spans="1:29" ht="15.75" customHeight="1">
      <c r="A1245" s="39"/>
      <c r="B1245" s="107"/>
      <c r="C1245" s="109"/>
      <c r="D1245" s="76"/>
      <c r="E1245" s="64"/>
      <c r="F1245" s="39"/>
      <c r="G1245" s="399">
        <f>IFERROR(VLOOKUP(A1245,醫療院所DATABASE!A:B,2,""),)</f>
        <v>0</v>
      </c>
      <c r="H1245" s="64"/>
      <c r="I1245" s="109"/>
      <c r="J1245" s="109"/>
      <c r="K1245" s="39"/>
      <c r="L1245" s="76"/>
      <c r="M1245" s="39"/>
      <c r="N1245" s="39"/>
      <c r="O1245" s="24"/>
      <c r="P1245" s="409"/>
      <c r="Q1245" s="76"/>
      <c r="R1245" s="76"/>
      <c r="S1245" s="24"/>
      <c r="T1245" s="24"/>
      <c r="U1245" s="64"/>
      <c r="V1245" s="56"/>
      <c r="W1245" s="56"/>
      <c r="X1245" s="56"/>
      <c r="Y1245" s="56"/>
      <c r="Z1245" s="56"/>
      <c r="AA1245" s="56"/>
      <c r="AB1245" s="56"/>
      <c r="AC1245" s="56"/>
    </row>
    <row r="1246" spans="1:29" ht="15.75" customHeight="1">
      <c r="A1246" s="39"/>
      <c r="B1246" s="107"/>
      <c r="C1246" s="109"/>
      <c r="D1246" s="76"/>
      <c r="E1246" s="64"/>
      <c r="F1246" s="39"/>
      <c r="G1246" s="399">
        <f>IFERROR(VLOOKUP(A1246,醫療院所DATABASE!A:B,2,""),)</f>
        <v>0</v>
      </c>
      <c r="H1246" s="64"/>
      <c r="I1246" s="109"/>
      <c r="J1246" s="109"/>
      <c r="K1246" s="39"/>
      <c r="L1246" s="76"/>
      <c r="M1246" s="39"/>
      <c r="N1246" s="39"/>
      <c r="O1246" s="24"/>
      <c r="P1246" s="409"/>
      <c r="Q1246" s="76"/>
      <c r="R1246" s="76"/>
      <c r="S1246" s="24"/>
      <c r="T1246" s="24"/>
      <c r="U1246" s="64"/>
      <c r="V1246" s="56"/>
      <c r="W1246" s="56"/>
      <c r="X1246" s="56"/>
      <c r="Y1246" s="56"/>
      <c r="Z1246" s="56"/>
      <c r="AA1246" s="56"/>
      <c r="AB1246" s="56"/>
      <c r="AC1246" s="56"/>
    </row>
    <row r="1247" spans="1:29" ht="15.75" customHeight="1">
      <c r="A1247" s="39"/>
      <c r="B1247" s="107"/>
      <c r="C1247" s="109"/>
      <c r="D1247" s="76"/>
      <c r="E1247" s="64"/>
      <c r="F1247" s="39"/>
      <c r="G1247" s="399">
        <f>IFERROR(VLOOKUP(A1247,醫療院所DATABASE!A:B,2,""),)</f>
        <v>0</v>
      </c>
      <c r="H1247" s="64"/>
      <c r="I1247" s="109"/>
      <c r="J1247" s="109"/>
      <c r="K1247" s="39"/>
      <c r="L1247" s="76"/>
      <c r="M1247" s="39"/>
      <c r="N1247" s="39"/>
      <c r="O1247" s="24"/>
      <c r="P1247" s="409"/>
      <c r="Q1247" s="76"/>
      <c r="R1247" s="76"/>
      <c r="S1247" s="24"/>
      <c r="T1247" s="24"/>
      <c r="U1247" s="64"/>
      <c r="V1247" s="56"/>
      <c r="W1247" s="56"/>
      <c r="X1247" s="56"/>
      <c r="Y1247" s="56"/>
      <c r="Z1247" s="56"/>
      <c r="AA1247" s="56"/>
      <c r="AB1247" s="56"/>
      <c r="AC1247" s="56"/>
    </row>
    <row r="1248" spans="1:29" ht="15.75" customHeight="1">
      <c r="A1248" s="39"/>
      <c r="B1248" s="107"/>
      <c r="C1248" s="109"/>
      <c r="D1248" s="76"/>
      <c r="E1248" s="64"/>
      <c r="F1248" s="39"/>
      <c r="G1248" s="399">
        <f>IFERROR(VLOOKUP(A1248,醫療院所DATABASE!A:B,2,""),)</f>
        <v>0</v>
      </c>
      <c r="H1248" s="64"/>
      <c r="I1248" s="109"/>
      <c r="J1248" s="109"/>
      <c r="K1248" s="39"/>
      <c r="L1248" s="76"/>
      <c r="M1248" s="39"/>
      <c r="N1248" s="39"/>
      <c r="O1248" s="24"/>
      <c r="P1248" s="409"/>
      <c r="Q1248" s="76"/>
      <c r="R1248" s="76"/>
      <c r="S1248" s="24"/>
      <c r="T1248" s="24"/>
      <c r="U1248" s="64"/>
      <c r="V1248" s="56"/>
      <c r="W1248" s="56"/>
      <c r="X1248" s="56"/>
      <c r="Y1248" s="56"/>
      <c r="Z1248" s="56"/>
      <c r="AA1248" s="56"/>
      <c r="AB1248" s="56"/>
      <c r="AC1248" s="56"/>
    </row>
    <row r="1249" spans="1:29" ht="15.75" customHeight="1">
      <c r="A1249" s="39"/>
      <c r="B1249" s="107"/>
      <c r="C1249" s="109"/>
      <c r="D1249" s="76"/>
      <c r="E1249" s="64"/>
      <c r="F1249" s="39"/>
      <c r="G1249" s="399">
        <f>IFERROR(VLOOKUP(A1249,醫療院所DATABASE!A:B,2,""),)</f>
        <v>0</v>
      </c>
      <c r="H1249" s="64"/>
      <c r="I1249" s="109"/>
      <c r="J1249" s="109"/>
      <c r="K1249" s="39"/>
      <c r="L1249" s="76"/>
      <c r="M1249" s="39"/>
      <c r="N1249" s="39"/>
      <c r="O1249" s="24"/>
      <c r="P1249" s="409"/>
      <c r="Q1249" s="76"/>
      <c r="R1249" s="76"/>
      <c r="S1249" s="24"/>
      <c r="T1249" s="24"/>
      <c r="U1249" s="64"/>
      <c r="V1249" s="56"/>
      <c r="W1249" s="56"/>
      <c r="X1249" s="56"/>
      <c r="Y1249" s="56"/>
      <c r="Z1249" s="56"/>
      <c r="AA1249" s="56"/>
      <c r="AB1249" s="56"/>
      <c r="AC1249" s="56"/>
    </row>
    <row r="1250" spans="1:29" ht="15.75" customHeight="1">
      <c r="A1250" s="39"/>
      <c r="B1250" s="107"/>
      <c r="C1250" s="109"/>
      <c r="D1250" s="76"/>
      <c r="E1250" s="64"/>
      <c r="F1250" s="39"/>
      <c r="G1250" s="399">
        <f>IFERROR(VLOOKUP(A1250,醫療院所DATABASE!A:B,2,""),)</f>
        <v>0</v>
      </c>
      <c r="H1250" s="64"/>
      <c r="I1250" s="109"/>
      <c r="J1250" s="109"/>
      <c r="K1250" s="39"/>
      <c r="L1250" s="76"/>
      <c r="M1250" s="39"/>
      <c r="N1250" s="39"/>
      <c r="O1250" s="24"/>
      <c r="P1250" s="409"/>
      <c r="Q1250" s="76"/>
      <c r="R1250" s="76"/>
      <c r="S1250" s="24"/>
      <c r="T1250" s="24"/>
      <c r="U1250" s="64"/>
      <c r="V1250" s="56"/>
      <c r="W1250" s="56"/>
      <c r="X1250" s="56"/>
      <c r="Y1250" s="56"/>
      <c r="Z1250" s="56"/>
      <c r="AA1250" s="56"/>
      <c r="AB1250" s="56"/>
      <c r="AC1250" s="56"/>
    </row>
    <row r="1251" spans="1:29" ht="15.75" customHeight="1">
      <c r="A1251" s="39"/>
      <c r="B1251" s="107"/>
      <c r="C1251" s="109"/>
      <c r="D1251" s="76"/>
      <c r="E1251" s="64"/>
      <c r="F1251" s="39"/>
      <c r="G1251" s="399">
        <f>IFERROR(VLOOKUP(A1251,醫療院所DATABASE!A:B,2,""),)</f>
        <v>0</v>
      </c>
      <c r="H1251" s="64"/>
      <c r="I1251" s="109"/>
      <c r="J1251" s="109"/>
      <c r="K1251" s="39"/>
      <c r="L1251" s="76"/>
      <c r="M1251" s="39"/>
      <c r="N1251" s="39"/>
      <c r="O1251" s="24"/>
      <c r="P1251" s="409"/>
      <c r="Q1251" s="76"/>
      <c r="R1251" s="76"/>
      <c r="S1251" s="24"/>
      <c r="T1251" s="24"/>
      <c r="U1251" s="64"/>
      <c r="V1251" s="56"/>
      <c r="W1251" s="56"/>
      <c r="X1251" s="56"/>
      <c r="Y1251" s="56"/>
      <c r="Z1251" s="56"/>
      <c r="AA1251" s="56"/>
      <c r="AB1251" s="56"/>
      <c r="AC1251" s="56"/>
    </row>
    <row r="1252" spans="1:29" ht="15.75" customHeight="1">
      <c r="A1252" s="39"/>
      <c r="B1252" s="107"/>
      <c r="C1252" s="109"/>
      <c r="D1252" s="76"/>
      <c r="E1252" s="64"/>
      <c r="F1252" s="39"/>
      <c r="G1252" s="399">
        <f>IFERROR(VLOOKUP(A1252,醫療院所DATABASE!A:B,2,""),)</f>
        <v>0</v>
      </c>
      <c r="H1252" s="64"/>
      <c r="I1252" s="109"/>
      <c r="J1252" s="109"/>
      <c r="K1252" s="39"/>
      <c r="L1252" s="76"/>
      <c r="M1252" s="39"/>
      <c r="N1252" s="39"/>
      <c r="O1252" s="24"/>
      <c r="P1252" s="409"/>
      <c r="Q1252" s="76"/>
      <c r="R1252" s="76"/>
      <c r="S1252" s="24"/>
      <c r="T1252" s="24"/>
      <c r="U1252" s="64"/>
      <c r="V1252" s="56"/>
      <c r="W1252" s="56"/>
      <c r="X1252" s="56"/>
      <c r="Y1252" s="56"/>
      <c r="Z1252" s="56"/>
      <c r="AA1252" s="56"/>
      <c r="AB1252" s="56"/>
      <c r="AC1252" s="56"/>
    </row>
    <row r="1253" spans="1:29" ht="15.75" customHeight="1">
      <c r="A1253" s="39"/>
      <c r="B1253" s="107"/>
      <c r="C1253" s="109"/>
      <c r="D1253" s="76"/>
      <c r="E1253" s="64"/>
      <c r="F1253" s="39"/>
      <c r="G1253" s="399">
        <f>IFERROR(VLOOKUP(A1253,醫療院所DATABASE!A:B,2,""),)</f>
        <v>0</v>
      </c>
      <c r="H1253" s="64"/>
      <c r="I1253" s="109"/>
      <c r="J1253" s="109"/>
      <c r="K1253" s="39"/>
      <c r="L1253" s="76"/>
      <c r="M1253" s="39"/>
      <c r="N1253" s="39"/>
      <c r="O1253" s="24"/>
      <c r="P1253" s="409"/>
      <c r="Q1253" s="76"/>
      <c r="R1253" s="76"/>
      <c r="S1253" s="24"/>
      <c r="T1253" s="24"/>
      <c r="U1253" s="64"/>
      <c r="V1253" s="56"/>
      <c r="W1253" s="56"/>
      <c r="X1253" s="56"/>
      <c r="Y1253" s="56"/>
      <c r="Z1253" s="56"/>
      <c r="AA1253" s="56"/>
      <c r="AB1253" s="56"/>
      <c r="AC1253" s="56"/>
    </row>
    <row r="1254" spans="1:29" ht="15.75" customHeight="1">
      <c r="A1254" s="39"/>
      <c r="B1254" s="107"/>
      <c r="C1254" s="109"/>
      <c r="D1254" s="76"/>
      <c r="E1254" s="64"/>
      <c r="F1254" s="39"/>
      <c r="G1254" s="399">
        <f>IFERROR(VLOOKUP(A1254,醫療院所DATABASE!A:B,2,""),)</f>
        <v>0</v>
      </c>
      <c r="H1254" s="64"/>
      <c r="I1254" s="109"/>
      <c r="J1254" s="109"/>
      <c r="K1254" s="39"/>
      <c r="L1254" s="76"/>
      <c r="M1254" s="39"/>
      <c r="N1254" s="39"/>
      <c r="O1254" s="24"/>
      <c r="P1254" s="409"/>
      <c r="Q1254" s="76"/>
      <c r="R1254" s="76"/>
      <c r="S1254" s="24"/>
      <c r="T1254" s="24"/>
      <c r="U1254" s="64"/>
      <c r="V1254" s="56"/>
      <c r="W1254" s="56"/>
      <c r="X1254" s="56"/>
      <c r="Y1254" s="56"/>
      <c r="Z1254" s="56"/>
      <c r="AA1254" s="56"/>
      <c r="AB1254" s="56"/>
      <c r="AC1254" s="56"/>
    </row>
    <row r="1255" spans="1:29" ht="15.75" customHeight="1">
      <c r="A1255" s="39"/>
      <c r="B1255" s="107"/>
      <c r="C1255" s="109"/>
      <c r="D1255" s="76"/>
      <c r="E1255" s="64"/>
      <c r="F1255" s="39"/>
      <c r="G1255" s="399">
        <f>IFERROR(VLOOKUP(A1255,醫療院所DATABASE!A:B,2,""),)</f>
        <v>0</v>
      </c>
      <c r="H1255" s="64"/>
      <c r="I1255" s="109"/>
      <c r="J1255" s="109"/>
      <c r="K1255" s="39"/>
      <c r="L1255" s="76"/>
      <c r="M1255" s="39"/>
      <c r="N1255" s="39"/>
      <c r="O1255" s="24"/>
      <c r="P1255" s="409"/>
      <c r="Q1255" s="76"/>
      <c r="R1255" s="76"/>
      <c r="S1255" s="24"/>
      <c r="T1255" s="24"/>
      <c r="U1255" s="64"/>
      <c r="V1255" s="56"/>
      <c r="W1255" s="56"/>
      <c r="X1255" s="56"/>
      <c r="Y1255" s="56"/>
      <c r="Z1255" s="56"/>
      <c r="AA1255" s="56"/>
      <c r="AB1255" s="56"/>
      <c r="AC1255" s="56"/>
    </row>
    <row r="1256" spans="1:29" ht="15.75" customHeight="1">
      <c r="A1256" s="39"/>
      <c r="B1256" s="107"/>
      <c r="C1256" s="109"/>
      <c r="D1256" s="76"/>
      <c r="E1256" s="64"/>
      <c r="F1256" s="39"/>
      <c r="G1256" s="399">
        <f>IFERROR(VLOOKUP(A1256,醫療院所DATABASE!A:B,2,""),)</f>
        <v>0</v>
      </c>
      <c r="H1256" s="64"/>
      <c r="I1256" s="109"/>
      <c r="J1256" s="109"/>
      <c r="K1256" s="39"/>
      <c r="L1256" s="76"/>
      <c r="M1256" s="39"/>
      <c r="N1256" s="39"/>
      <c r="O1256" s="24"/>
      <c r="P1256" s="409"/>
      <c r="Q1256" s="76"/>
      <c r="R1256" s="76"/>
      <c r="S1256" s="24"/>
      <c r="T1256" s="24"/>
      <c r="U1256" s="64"/>
      <c r="V1256" s="56"/>
      <c r="W1256" s="56"/>
      <c r="X1256" s="56"/>
      <c r="Y1256" s="56"/>
      <c r="Z1256" s="56"/>
      <c r="AA1256" s="56"/>
      <c r="AB1256" s="56"/>
      <c r="AC1256" s="56"/>
    </row>
    <row r="1257" spans="1:29" ht="15.75" customHeight="1">
      <c r="A1257" s="39"/>
      <c r="B1257" s="107"/>
      <c r="C1257" s="109"/>
      <c r="D1257" s="76"/>
      <c r="E1257" s="64"/>
      <c r="F1257" s="39"/>
      <c r="G1257" s="399">
        <f>IFERROR(VLOOKUP(A1257,醫療院所DATABASE!A:B,2,""),)</f>
        <v>0</v>
      </c>
      <c r="H1257" s="64"/>
      <c r="I1257" s="109"/>
      <c r="J1257" s="109"/>
      <c r="K1257" s="39"/>
      <c r="L1257" s="76"/>
      <c r="M1257" s="39"/>
      <c r="N1257" s="39"/>
      <c r="O1257" s="24"/>
      <c r="P1257" s="409"/>
      <c r="Q1257" s="76"/>
      <c r="R1257" s="76"/>
      <c r="S1257" s="24"/>
      <c r="T1257" s="24"/>
      <c r="U1257" s="64"/>
      <c r="V1257" s="56"/>
      <c r="W1257" s="56"/>
      <c r="X1257" s="56"/>
      <c r="Y1257" s="56"/>
      <c r="Z1257" s="56"/>
      <c r="AA1257" s="56"/>
      <c r="AB1257" s="56"/>
      <c r="AC1257" s="56"/>
    </row>
    <row r="1258" spans="1:29" ht="15.75" customHeight="1">
      <c r="A1258" s="39"/>
      <c r="B1258" s="107"/>
      <c r="C1258" s="109"/>
      <c r="D1258" s="76"/>
      <c r="E1258" s="64"/>
      <c r="F1258" s="39"/>
      <c r="G1258" s="399">
        <f>IFERROR(VLOOKUP(A1258,醫療院所DATABASE!A:B,2,""),)</f>
        <v>0</v>
      </c>
      <c r="H1258" s="64"/>
      <c r="I1258" s="109"/>
      <c r="J1258" s="109"/>
      <c r="K1258" s="39"/>
      <c r="L1258" s="76"/>
      <c r="M1258" s="39"/>
      <c r="N1258" s="39"/>
      <c r="O1258" s="24"/>
      <c r="P1258" s="409"/>
      <c r="Q1258" s="76"/>
      <c r="R1258" s="76"/>
      <c r="S1258" s="24"/>
      <c r="T1258" s="24"/>
      <c r="U1258" s="64"/>
      <c r="V1258" s="56"/>
      <c r="W1258" s="56"/>
      <c r="X1258" s="56"/>
      <c r="Y1258" s="56"/>
      <c r="Z1258" s="56"/>
      <c r="AA1258" s="56"/>
      <c r="AB1258" s="56"/>
      <c r="AC1258" s="56"/>
    </row>
    <row r="1259" spans="1:29" ht="15.75" customHeight="1">
      <c r="A1259" s="39"/>
      <c r="B1259" s="107"/>
      <c r="C1259" s="109"/>
      <c r="D1259" s="76"/>
      <c r="E1259" s="64"/>
      <c r="F1259" s="39"/>
      <c r="G1259" s="399">
        <f>IFERROR(VLOOKUP(A1259,醫療院所DATABASE!A:B,2,""),)</f>
        <v>0</v>
      </c>
      <c r="H1259" s="64"/>
      <c r="I1259" s="109"/>
      <c r="J1259" s="109"/>
      <c r="K1259" s="39"/>
      <c r="L1259" s="76"/>
      <c r="M1259" s="39"/>
      <c r="N1259" s="39"/>
      <c r="O1259" s="24"/>
      <c r="P1259" s="409"/>
      <c r="Q1259" s="76"/>
      <c r="R1259" s="76"/>
      <c r="S1259" s="24"/>
      <c r="T1259" s="24"/>
      <c r="U1259" s="64"/>
      <c r="V1259" s="56"/>
      <c r="W1259" s="56"/>
      <c r="X1259" s="56"/>
      <c r="Y1259" s="56"/>
      <c r="Z1259" s="56"/>
      <c r="AA1259" s="56"/>
      <c r="AB1259" s="56"/>
      <c r="AC1259" s="56"/>
    </row>
    <row r="1260" spans="1:29" ht="15.75" customHeight="1">
      <c r="A1260" s="39"/>
      <c r="B1260" s="107"/>
      <c r="C1260" s="109"/>
      <c r="D1260" s="76"/>
      <c r="E1260" s="64"/>
      <c r="F1260" s="39"/>
      <c r="G1260" s="399">
        <f>IFERROR(VLOOKUP(A1260,醫療院所DATABASE!A:B,2,""),)</f>
        <v>0</v>
      </c>
      <c r="H1260" s="64"/>
      <c r="I1260" s="109"/>
      <c r="J1260" s="109"/>
      <c r="K1260" s="39"/>
      <c r="L1260" s="76"/>
      <c r="M1260" s="39"/>
      <c r="N1260" s="39"/>
      <c r="O1260" s="24"/>
      <c r="P1260" s="409"/>
      <c r="Q1260" s="76"/>
      <c r="R1260" s="76"/>
      <c r="S1260" s="24"/>
      <c r="T1260" s="24"/>
      <c r="U1260" s="64"/>
      <c r="V1260" s="56"/>
      <c r="W1260" s="56"/>
      <c r="X1260" s="56"/>
      <c r="Y1260" s="56"/>
      <c r="Z1260" s="56"/>
      <c r="AA1260" s="56"/>
      <c r="AB1260" s="56"/>
      <c r="AC1260" s="56"/>
    </row>
    <row r="1261" spans="1:29" ht="15.75" customHeight="1">
      <c r="A1261" s="39"/>
      <c r="B1261" s="107"/>
      <c r="C1261" s="109"/>
      <c r="D1261" s="76"/>
      <c r="E1261" s="64"/>
      <c r="F1261" s="39"/>
      <c r="G1261" s="399">
        <f>IFERROR(VLOOKUP(A1261,醫療院所DATABASE!A:B,2,""),)</f>
        <v>0</v>
      </c>
      <c r="H1261" s="64"/>
      <c r="I1261" s="109"/>
      <c r="J1261" s="109"/>
      <c r="K1261" s="39"/>
      <c r="L1261" s="76"/>
      <c r="M1261" s="39"/>
      <c r="N1261" s="39"/>
      <c r="O1261" s="24"/>
      <c r="P1261" s="409"/>
      <c r="Q1261" s="76"/>
      <c r="R1261" s="76"/>
      <c r="S1261" s="24"/>
      <c r="T1261" s="24"/>
      <c r="U1261" s="64"/>
      <c r="V1261" s="56"/>
      <c r="W1261" s="56"/>
      <c r="X1261" s="56"/>
      <c r="Y1261" s="56"/>
      <c r="Z1261" s="56"/>
      <c r="AA1261" s="56"/>
      <c r="AB1261" s="56"/>
      <c r="AC1261" s="56"/>
    </row>
    <row r="1262" spans="1:29" ht="15.75" customHeight="1">
      <c r="A1262" s="39"/>
      <c r="B1262" s="107"/>
      <c r="C1262" s="109"/>
      <c r="D1262" s="76"/>
      <c r="E1262" s="64"/>
      <c r="F1262" s="39"/>
      <c r="G1262" s="399">
        <f>IFERROR(VLOOKUP(A1262,醫療院所DATABASE!A:B,2,""),)</f>
        <v>0</v>
      </c>
      <c r="H1262" s="64"/>
      <c r="I1262" s="109"/>
      <c r="J1262" s="109"/>
      <c r="K1262" s="39"/>
      <c r="L1262" s="76"/>
      <c r="M1262" s="39"/>
      <c r="N1262" s="39"/>
      <c r="O1262" s="24"/>
      <c r="P1262" s="409"/>
      <c r="Q1262" s="76"/>
      <c r="R1262" s="76"/>
      <c r="S1262" s="24"/>
      <c r="T1262" s="24"/>
      <c r="U1262" s="64"/>
      <c r="V1262" s="56"/>
      <c r="W1262" s="56"/>
      <c r="X1262" s="56"/>
      <c r="Y1262" s="56"/>
      <c r="Z1262" s="56"/>
      <c r="AA1262" s="56"/>
      <c r="AB1262" s="56"/>
      <c r="AC1262" s="56"/>
    </row>
    <row r="1263" spans="1:29" ht="15.75" customHeight="1">
      <c r="A1263" s="39"/>
      <c r="B1263" s="107"/>
      <c r="C1263" s="109"/>
      <c r="D1263" s="76"/>
      <c r="E1263" s="64"/>
      <c r="F1263" s="39"/>
      <c r="G1263" s="399">
        <f>IFERROR(VLOOKUP(A1263,醫療院所DATABASE!A:B,2,""),)</f>
        <v>0</v>
      </c>
      <c r="H1263" s="64"/>
      <c r="I1263" s="109"/>
      <c r="J1263" s="109"/>
      <c r="K1263" s="39"/>
      <c r="L1263" s="76"/>
      <c r="M1263" s="39"/>
      <c r="N1263" s="39"/>
      <c r="O1263" s="24"/>
      <c r="P1263" s="409"/>
      <c r="Q1263" s="76"/>
      <c r="R1263" s="76"/>
      <c r="S1263" s="24"/>
      <c r="T1263" s="24"/>
      <c r="U1263" s="64"/>
      <c r="V1263" s="56"/>
      <c r="W1263" s="56"/>
      <c r="X1263" s="56"/>
      <c r="Y1263" s="56"/>
      <c r="Z1263" s="56"/>
      <c r="AA1263" s="56"/>
      <c r="AB1263" s="56"/>
      <c r="AC1263" s="56"/>
    </row>
    <row r="1264" spans="1:29" ht="15.75" customHeight="1">
      <c r="A1264" s="39"/>
      <c r="B1264" s="107"/>
      <c r="C1264" s="109"/>
      <c r="D1264" s="76"/>
      <c r="E1264" s="64"/>
      <c r="F1264" s="39"/>
      <c r="G1264" s="399">
        <f>IFERROR(VLOOKUP(A1264,醫療院所DATABASE!A:B,2,""),)</f>
        <v>0</v>
      </c>
      <c r="H1264" s="64"/>
      <c r="I1264" s="109"/>
      <c r="J1264" s="109"/>
      <c r="K1264" s="39"/>
      <c r="L1264" s="76"/>
      <c r="M1264" s="39"/>
      <c r="N1264" s="39"/>
      <c r="O1264" s="24"/>
      <c r="P1264" s="409"/>
      <c r="Q1264" s="76"/>
      <c r="R1264" s="76"/>
      <c r="S1264" s="24"/>
      <c r="T1264" s="24"/>
      <c r="U1264" s="64"/>
      <c r="V1264" s="56"/>
      <c r="W1264" s="56"/>
      <c r="X1264" s="56"/>
      <c r="Y1264" s="56"/>
      <c r="Z1264" s="56"/>
      <c r="AA1264" s="56"/>
      <c r="AB1264" s="56"/>
      <c r="AC1264" s="56"/>
    </row>
    <row r="1265" spans="1:29" ht="15.75" customHeight="1">
      <c r="A1265" s="39"/>
      <c r="B1265" s="107"/>
      <c r="C1265" s="109"/>
      <c r="D1265" s="76"/>
      <c r="E1265" s="64"/>
      <c r="F1265" s="39"/>
      <c r="G1265" s="399">
        <f>IFERROR(VLOOKUP(A1265,醫療院所DATABASE!A:B,2,""),)</f>
        <v>0</v>
      </c>
      <c r="H1265" s="64"/>
      <c r="I1265" s="109"/>
      <c r="J1265" s="109"/>
      <c r="K1265" s="39"/>
      <c r="L1265" s="76"/>
      <c r="M1265" s="39"/>
      <c r="N1265" s="39"/>
      <c r="O1265" s="24"/>
      <c r="P1265" s="409"/>
      <c r="Q1265" s="76"/>
      <c r="R1265" s="76"/>
      <c r="S1265" s="24"/>
      <c r="T1265" s="24"/>
      <c r="U1265" s="64"/>
      <c r="V1265" s="56"/>
      <c r="W1265" s="56"/>
      <c r="X1265" s="56"/>
      <c r="Y1265" s="56"/>
      <c r="Z1265" s="56"/>
      <c r="AA1265" s="56"/>
      <c r="AB1265" s="56"/>
      <c r="AC1265" s="56"/>
    </row>
    <row r="1266" spans="1:29" ht="15.75" customHeight="1">
      <c r="A1266" s="39"/>
      <c r="B1266" s="107"/>
      <c r="C1266" s="109"/>
      <c r="D1266" s="76"/>
      <c r="E1266" s="64"/>
      <c r="F1266" s="39"/>
      <c r="G1266" s="399">
        <f>IFERROR(VLOOKUP(A1266,醫療院所DATABASE!A:B,2,""),)</f>
        <v>0</v>
      </c>
      <c r="H1266" s="64"/>
      <c r="I1266" s="109"/>
      <c r="J1266" s="109"/>
      <c r="K1266" s="39"/>
      <c r="L1266" s="76"/>
      <c r="M1266" s="39"/>
      <c r="N1266" s="39"/>
      <c r="O1266" s="24"/>
      <c r="P1266" s="409"/>
      <c r="Q1266" s="76"/>
      <c r="R1266" s="76"/>
      <c r="S1266" s="24"/>
      <c r="T1266" s="24"/>
      <c r="U1266" s="64"/>
      <c r="V1266" s="56"/>
      <c r="W1266" s="56"/>
      <c r="X1266" s="56"/>
      <c r="Y1266" s="56"/>
      <c r="Z1266" s="56"/>
      <c r="AA1266" s="56"/>
      <c r="AB1266" s="56"/>
      <c r="AC1266" s="56"/>
    </row>
    <row r="1267" spans="1:29" ht="15.75" customHeight="1">
      <c r="A1267" s="39"/>
      <c r="B1267" s="107"/>
      <c r="C1267" s="109"/>
      <c r="D1267" s="76"/>
      <c r="E1267" s="64"/>
      <c r="F1267" s="39"/>
      <c r="G1267" s="399">
        <f>IFERROR(VLOOKUP(A1267,醫療院所DATABASE!A:B,2,""),)</f>
        <v>0</v>
      </c>
      <c r="H1267" s="64"/>
      <c r="I1267" s="109"/>
      <c r="J1267" s="109"/>
      <c r="K1267" s="39"/>
      <c r="L1267" s="76"/>
      <c r="M1267" s="39"/>
      <c r="N1267" s="39"/>
      <c r="O1267" s="24"/>
      <c r="P1267" s="409"/>
      <c r="Q1267" s="76"/>
      <c r="R1267" s="76"/>
      <c r="S1267" s="24"/>
      <c r="T1267" s="24"/>
      <c r="U1267" s="64"/>
      <c r="V1267" s="56"/>
      <c r="W1267" s="56"/>
      <c r="X1267" s="56"/>
      <c r="Y1267" s="56"/>
      <c r="Z1267" s="56"/>
      <c r="AA1267" s="56"/>
      <c r="AB1267" s="56"/>
      <c r="AC1267" s="56"/>
    </row>
    <row r="1268" spans="1:29" ht="15.75" customHeight="1">
      <c r="A1268" s="39"/>
      <c r="B1268" s="107"/>
      <c r="C1268" s="109"/>
      <c r="D1268" s="76"/>
      <c r="E1268" s="64"/>
      <c r="F1268" s="39"/>
      <c r="G1268" s="399">
        <f>IFERROR(VLOOKUP(A1268,醫療院所DATABASE!A:B,2,""),)</f>
        <v>0</v>
      </c>
      <c r="H1268" s="64"/>
      <c r="I1268" s="109"/>
      <c r="J1268" s="109"/>
      <c r="K1268" s="39"/>
      <c r="L1268" s="76"/>
      <c r="M1268" s="39"/>
      <c r="N1268" s="39"/>
      <c r="O1268" s="24"/>
      <c r="P1268" s="409"/>
      <c r="Q1268" s="76"/>
      <c r="R1268" s="76"/>
      <c r="S1268" s="24"/>
      <c r="T1268" s="24"/>
      <c r="U1268" s="64"/>
      <c r="V1268" s="56"/>
      <c r="W1268" s="56"/>
      <c r="X1268" s="56"/>
      <c r="Y1268" s="56"/>
      <c r="Z1268" s="56"/>
      <c r="AA1268" s="56"/>
      <c r="AB1268" s="56"/>
      <c r="AC1268" s="56"/>
    </row>
    <row r="1269" spans="1:29" ht="15.75" customHeight="1">
      <c r="A1269" s="39"/>
      <c r="B1269" s="107"/>
      <c r="C1269" s="109"/>
      <c r="D1269" s="76"/>
      <c r="E1269" s="64"/>
      <c r="F1269" s="39"/>
      <c r="G1269" s="399">
        <f>IFERROR(VLOOKUP(A1269,醫療院所DATABASE!A:B,2,""),)</f>
        <v>0</v>
      </c>
      <c r="H1269" s="64"/>
      <c r="I1269" s="109"/>
      <c r="J1269" s="109"/>
      <c r="K1269" s="39"/>
      <c r="L1269" s="76"/>
      <c r="M1269" s="39"/>
      <c r="N1269" s="39"/>
      <c r="O1269" s="24"/>
      <c r="P1269" s="409"/>
      <c r="Q1269" s="76"/>
      <c r="R1269" s="76"/>
      <c r="S1269" s="24"/>
      <c r="T1269" s="24"/>
      <c r="U1269" s="64"/>
      <c r="V1269" s="56"/>
      <c r="W1269" s="56"/>
      <c r="X1269" s="56"/>
      <c r="Y1269" s="56"/>
      <c r="Z1269" s="56"/>
      <c r="AA1269" s="56"/>
      <c r="AB1269" s="56"/>
      <c r="AC1269" s="56"/>
    </row>
    <row r="1270" spans="1:29" ht="15.75" customHeight="1">
      <c r="A1270" s="39"/>
      <c r="B1270" s="107"/>
      <c r="C1270" s="109"/>
      <c r="D1270" s="76"/>
      <c r="E1270" s="64"/>
      <c r="F1270" s="39"/>
      <c r="G1270" s="399">
        <f>IFERROR(VLOOKUP(A1270,醫療院所DATABASE!A:B,2,""),)</f>
        <v>0</v>
      </c>
      <c r="H1270" s="64"/>
      <c r="I1270" s="109"/>
      <c r="J1270" s="109"/>
      <c r="K1270" s="39"/>
      <c r="L1270" s="76"/>
      <c r="M1270" s="39"/>
      <c r="N1270" s="39"/>
      <c r="O1270" s="24"/>
      <c r="P1270" s="409"/>
      <c r="Q1270" s="76"/>
      <c r="R1270" s="76"/>
      <c r="S1270" s="24"/>
      <c r="T1270" s="24"/>
      <c r="U1270" s="64"/>
      <c r="V1270" s="56"/>
      <c r="W1270" s="56"/>
      <c r="X1270" s="56"/>
      <c r="Y1270" s="56"/>
      <c r="Z1270" s="56"/>
      <c r="AA1270" s="56"/>
      <c r="AB1270" s="56"/>
      <c r="AC1270" s="56"/>
    </row>
    <row r="1271" spans="1:29" ht="15.75" customHeight="1">
      <c r="A1271" s="39"/>
      <c r="B1271" s="107"/>
      <c r="C1271" s="109"/>
      <c r="D1271" s="76"/>
      <c r="E1271" s="64"/>
      <c r="F1271" s="39"/>
      <c r="G1271" s="399">
        <f>IFERROR(VLOOKUP(A1271,醫療院所DATABASE!A:B,2,""),)</f>
        <v>0</v>
      </c>
      <c r="H1271" s="64"/>
      <c r="I1271" s="109"/>
      <c r="J1271" s="109"/>
      <c r="K1271" s="39"/>
      <c r="L1271" s="76"/>
      <c r="M1271" s="39"/>
      <c r="N1271" s="39"/>
      <c r="O1271" s="24"/>
      <c r="P1271" s="409"/>
      <c r="Q1271" s="76"/>
      <c r="R1271" s="76"/>
      <c r="S1271" s="24"/>
      <c r="T1271" s="24"/>
      <c r="U1271" s="64"/>
      <c r="V1271" s="56"/>
      <c r="W1271" s="56"/>
      <c r="X1271" s="56"/>
      <c r="Y1271" s="56"/>
      <c r="Z1271" s="56"/>
      <c r="AA1271" s="56"/>
      <c r="AB1271" s="56"/>
      <c r="AC1271" s="56"/>
    </row>
    <row r="1272" spans="1:29" ht="15.75" customHeight="1">
      <c r="A1272" s="39"/>
      <c r="B1272" s="107"/>
      <c r="C1272" s="109"/>
      <c r="D1272" s="76"/>
      <c r="E1272" s="64"/>
      <c r="F1272" s="39"/>
      <c r="G1272" s="399">
        <f>IFERROR(VLOOKUP(A1272,醫療院所DATABASE!A:B,2,""),)</f>
        <v>0</v>
      </c>
      <c r="H1272" s="64"/>
      <c r="I1272" s="109"/>
      <c r="J1272" s="109"/>
      <c r="K1272" s="39"/>
      <c r="L1272" s="76"/>
      <c r="M1272" s="39"/>
      <c r="N1272" s="39"/>
      <c r="O1272" s="24"/>
      <c r="P1272" s="409"/>
      <c r="Q1272" s="76"/>
      <c r="R1272" s="76"/>
      <c r="S1272" s="24"/>
      <c r="T1272" s="24"/>
      <c r="U1272" s="64"/>
      <c r="V1272" s="56"/>
      <c r="W1272" s="56"/>
      <c r="X1272" s="56"/>
      <c r="Y1272" s="56"/>
      <c r="Z1272" s="56"/>
      <c r="AA1272" s="56"/>
      <c r="AB1272" s="56"/>
      <c r="AC1272" s="56"/>
    </row>
    <row r="1273" spans="1:29" ht="15.75" customHeight="1">
      <c r="A1273" s="39"/>
      <c r="B1273" s="107"/>
      <c r="C1273" s="109"/>
      <c r="D1273" s="76"/>
      <c r="E1273" s="64"/>
      <c r="F1273" s="39"/>
      <c r="G1273" s="399">
        <f>IFERROR(VLOOKUP(A1273,醫療院所DATABASE!A:B,2,""),)</f>
        <v>0</v>
      </c>
      <c r="H1273" s="64"/>
      <c r="I1273" s="109"/>
      <c r="J1273" s="109"/>
      <c r="K1273" s="39"/>
      <c r="L1273" s="76"/>
      <c r="M1273" s="39"/>
      <c r="N1273" s="39"/>
      <c r="O1273" s="24"/>
      <c r="P1273" s="409"/>
      <c r="Q1273" s="76"/>
      <c r="R1273" s="76"/>
      <c r="S1273" s="24"/>
      <c r="T1273" s="24"/>
      <c r="U1273" s="64"/>
      <c r="V1273" s="56"/>
      <c r="W1273" s="56"/>
      <c r="X1273" s="56"/>
      <c r="Y1273" s="56"/>
      <c r="Z1273" s="56"/>
      <c r="AA1273" s="56"/>
      <c r="AB1273" s="56"/>
      <c r="AC1273" s="56"/>
    </row>
    <row r="1274" spans="1:29" ht="15.75" customHeight="1">
      <c r="A1274" s="39"/>
      <c r="B1274" s="107"/>
      <c r="C1274" s="109"/>
      <c r="D1274" s="76"/>
      <c r="E1274" s="64"/>
      <c r="F1274" s="39"/>
      <c r="G1274" s="399">
        <f>IFERROR(VLOOKUP(A1274,醫療院所DATABASE!A:B,2,""),)</f>
        <v>0</v>
      </c>
      <c r="H1274" s="64"/>
      <c r="I1274" s="109"/>
      <c r="J1274" s="109"/>
      <c r="K1274" s="39"/>
      <c r="L1274" s="76"/>
      <c r="M1274" s="39"/>
      <c r="N1274" s="39"/>
      <c r="O1274" s="24"/>
      <c r="P1274" s="409"/>
      <c r="Q1274" s="76"/>
      <c r="R1274" s="76"/>
      <c r="S1274" s="24"/>
      <c r="T1274" s="24"/>
      <c r="U1274" s="64"/>
      <c r="V1274" s="56"/>
      <c r="W1274" s="56"/>
      <c r="X1274" s="56"/>
      <c r="Y1274" s="56"/>
      <c r="Z1274" s="56"/>
      <c r="AA1274" s="56"/>
      <c r="AB1274" s="56"/>
      <c r="AC1274" s="56"/>
    </row>
    <row r="1275" spans="1:29" ht="15.75" customHeight="1">
      <c r="A1275" s="39"/>
      <c r="B1275" s="107"/>
      <c r="C1275" s="109"/>
      <c r="D1275" s="76"/>
      <c r="E1275" s="64"/>
      <c r="F1275" s="39"/>
      <c r="G1275" s="399">
        <f>IFERROR(VLOOKUP(A1275,醫療院所DATABASE!A:B,2,""),)</f>
        <v>0</v>
      </c>
      <c r="H1275" s="64"/>
      <c r="I1275" s="109"/>
      <c r="J1275" s="109"/>
      <c r="K1275" s="39"/>
      <c r="L1275" s="76"/>
      <c r="M1275" s="39"/>
      <c r="N1275" s="39"/>
      <c r="O1275" s="24"/>
      <c r="P1275" s="409"/>
      <c r="Q1275" s="76"/>
      <c r="R1275" s="76"/>
      <c r="S1275" s="24"/>
      <c r="T1275" s="24"/>
      <c r="U1275" s="64"/>
      <c r="V1275" s="56"/>
      <c r="W1275" s="56"/>
      <c r="X1275" s="56"/>
      <c r="Y1275" s="56"/>
      <c r="Z1275" s="56"/>
      <c r="AA1275" s="56"/>
      <c r="AB1275" s="56"/>
      <c r="AC1275" s="56"/>
    </row>
    <row r="1276" spans="1:29" ht="15.75" customHeight="1">
      <c r="A1276" s="39"/>
      <c r="B1276" s="107"/>
      <c r="C1276" s="109"/>
      <c r="D1276" s="76"/>
      <c r="E1276" s="64"/>
      <c r="F1276" s="39"/>
      <c r="G1276" s="399">
        <f>IFERROR(VLOOKUP(A1276,醫療院所DATABASE!A:B,2,""),)</f>
        <v>0</v>
      </c>
      <c r="H1276" s="64"/>
      <c r="I1276" s="109"/>
      <c r="J1276" s="109"/>
      <c r="K1276" s="39"/>
      <c r="L1276" s="76"/>
      <c r="M1276" s="39"/>
      <c r="N1276" s="39"/>
      <c r="O1276" s="24"/>
      <c r="P1276" s="409"/>
      <c r="Q1276" s="76"/>
      <c r="R1276" s="76"/>
      <c r="S1276" s="24"/>
      <c r="T1276" s="24"/>
      <c r="U1276" s="64"/>
      <c r="V1276" s="56"/>
      <c r="W1276" s="56"/>
      <c r="X1276" s="56"/>
      <c r="Y1276" s="56"/>
      <c r="Z1276" s="56"/>
      <c r="AA1276" s="56"/>
      <c r="AB1276" s="56"/>
      <c r="AC1276" s="56"/>
    </row>
    <row r="1277" spans="1:29" ht="15.75" customHeight="1">
      <c r="A1277" s="39"/>
      <c r="B1277" s="107"/>
      <c r="C1277" s="109"/>
      <c r="D1277" s="76"/>
      <c r="E1277" s="64"/>
      <c r="F1277" s="39"/>
      <c r="G1277" s="399">
        <f>IFERROR(VLOOKUP(A1277,醫療院所DATABASE!A:B,2,""),)</f>
        <v>0</v>
      </c>
      <c r="H1277" s="64"/>
      <c r="I1277" s="109"/>
      <c r="J1277" s="109"/>
      <c r="K1277" s="39"/>
      <c r="L1277" s="76"/>
      <c r="M1277" s="39"/>
      <c r="N1277" s="39"/>
      <c r="O1277" s="24"/>
      <c r="P1277" s="409"/>
      <c r="Q1277" s="76"/>
      <c r="R1277" s="76"/>
      <c r="S1277" s="24"/>
      <c r="T1277" s="24"/>
      <c r="U1277" s="64"/>
      <c r="V1277" s="56"/>
      <c r="W1277" s="56"/>
      <c r="X1277" s="56"/>
      <c r="Y1277" s="56"/>
      <c r="Z1277" s="56"/>
      <c r="AA1277" s="56"/>
      <c r="AB1277" s="56"/>
      <c r="AC1277" s="56"/>
    </row>
    <row r="1278" spans="1:29" ht="15.75" customHeight="1">
      <c r="A1278" s="39"/>
      <c r="B1278" s="107"/>
      <c r="C1278" s="109"/>
      <c r="D1278" s="76"/>
      <c r="E1278" s="64"/>
      <c r="F1278" s="39"/>
      <c r="G1278" s="399">
        <f>IFERROR(VLOOKUP(A1278,醫療院所DATABASE!A:B,2,""),)</f>
        <v>0</v>
      </c>
      <c r="H1278" s="64"/>
      <c r="I1278" s="109"/>
      <c r="J1278" s="109"/>
      <c r="K1278" s="39"/>
      <c r="L1278" s="76"/>
      <c r="M1278" s="39"/>
      <c r="N1278" s="39"/>
      <c r="O1278" s="24"/>
      <c r="P1278" s="409"/>
      <c r="Q1278" s="76"/>
      <c r="R1278" s="76"/>
      <c r="S1278" s="24"/>
      <c r="T1278" s="24"/>
      <c r="U1278" s="64"/>
      <c r="V1278" s="56"/>
      <c r="W1278" s="56"/>
      <c r="X1278" s="56"/>
      <c r="Y1278" s="56"/>
      <c r="Z1278" s="56"/>
      <c r="AA1278" s="56"/>
      <c r="AB1278" s="56"/>
      <c r="AC1278" s="56"/>
    </row>
    <row r="1279" spans="1:29" ht="15.75" customHeight="1">
      <c r="A1279" s="39"/>
      <c r="B1279" s="107"/>
      <c r="C1279" s="109"/>
      <c r="D1279" s="76"/>
      <c r="E1279" s="64"/>
      <c r="F1279" s="39"/>
      <c r="G1279" s="399">
        <f>IFERROR(VLOOKUP(A1279,醫療院所DATABASE!A:B,2,""),)</f>
        <v>0</v>
      </c>
      <c r="H1279" s="64"/>
      <c r="I1279" s="109"/>
      <c r="J1279" s="109"/>
      <c r="K1279" s="39"/>
      <c r="L1279" s="76"/>
      <c r="M1279" s="39"/>
      <c r="N1279" s="39"/>
      <c r="O1279" s="24"/>
      <c r="P1279" s="409"/>
      <c r="Q1279" s="76"/>
      <c r="R1279" s="76"/>
      <c r="S1279" s="24"/>
      <c r="T1279" s="24"/>
      <c r="U1279" s="64"/>
      <c r="V1279" s="56"/>
      <c r="W1279" s="56"/>
      <c r="X1279" s="56"/>
      <c r="Y1279" s="56"/>
      <c r="Z1279" s="56"/>
      <c r="AA1279" s="56"/>
      <c r="AB1279" s="56"/>
      <c r="AC1279" s="56"/>
    </row>
    <row r="1280" spans="1:29" ht="15.75" customHeight="1">
      <c r="A1280" s="39"/>
      <c r="B1280" s="107"/>
      <c r="C1280" s="109"/>
      <c r="D1280" s="76"/>
      <c r="E1280" s="64"/>
      <c r="F1280" s="39"/>
      <c r="G1280" s="399">
        <f>IFERROR(VLOOKUP(A1280,醫療院所DATABASE!A:B,2,""),)</f>
        <v>0</v>
      </c>
      <c r="H1280" s="64"/>
      <c r="I1280" s="109"/>
      <c r="J1280" s="109"/>
      <c r="K1280" s="39"/>
      <c r="L1280" s="76"/>
      <c r="M1280" s="39"/>
      <c r="N1280" s="39"/>
      <c r="O1280" s="24"/>
      <c r="P1280" s="409"/>
      <c r="Q1280" s="76"/>
      <c r="R1280" s="76"/>
      <c r="S1280" s="24"/>
      <c r="T1280" s="24"/>
      <c r="U1280" s="64"/>
      <c r="V1280" s="56"/>
      <c r="W1280" s="56"/>
      <c r="X1280" s="56"/>
      <c r="Y1280" s="56"/>
      <c r="Z1280" s="56"/>
      <c r="AA1280" s="56"/>
      <c r="AB1280" s="56"/>
      <c r="AC1280" s="56"/>
    </row>
    <row r="1281" spans="1:29" ht="15.75" customHeight="1">
      <c r="A1281" s="39"/>
      <c r="B1281" s="107"/>
      <c r="C1281" s="109"/>
      <c r="D1281" s="76"/>
      <c r="E1281" s="64"/>
      <c r="F1281" s="39"/>
      <c r="G1281" s="399">
        <f>IFERROR(VLOOKUP(A1281,醫療院所DATABASE!A:B,2,""),)</f>
        <v>0</v>
      </c>
      <c r="H1281" s="64"/>
      <c r="I1281" s="109"/>
      <c r="J1281" s="109"/>
      <c r="K1281" s="39"/>
      <c r="L1281" s="76"/>
      <c r="M1281" s="39"/>
      <c r="N1281" s="39"/>
      <c r="O1281" s="24"/>
      <c r="P1281" s="409"/>
      <c r="Q1281" s="76"/>
      <c r="R1281" s="76"/>
      <c r="S1281" s="24"/>
      <c r="T1281" s="24"/>
      <c r="U1281" s="64"/>
      <c r="V1281" s="56"/>
      <c r="W1281" s="56"/>
      <c r="X1281" s="56"/>
      <c r="Y1281" s="56"/>
      <c r="Z1281" s="56"/>
      <c r="AA1281" s="56"/>
      <c r="AB1281" s="56"/>
      <c r="AC1281" s="56"/>
    </row>
    <row r="1282" spans="1:29" ht="15.75" customHeight="1">
      <c r="A1282" s="39"/>
      <c r="B1282" s="107"/>
      <c r="C1282" s="109"/>
      <c r="D1282" s="76"/>
      <c r="E1282" s="64"/>
      <c r="F1282" s="39"/>
      <c r="G1282" s="399">
        <f>IFERROR(VLOOKUP(A1282,醫療院所DATABASE!A:B,2,""),)</f>
        <v>0</v>
      </c>
      <c r="H1282" s="64"/>
      <c r="I1282" s="109"/>
      <c r="J1282" s="109"/>
      <c r="K1282" s="39"/>
      <c r="L1282" s="76"/>
      <c r="M1282" s="39"/>
      <c r="N1282" s="39"/>
      <c r="O1282" s="24"/>
      <c r="P1282" s="409"/>
      <c r="Q1282" s="76"/>
      <c r="R1282" s="76"/>
      <c r="S1282" s="24"/>
      <c r="T1282" s="24"/>
      <c r="U1282" s="64"/>
      <c r="V1282" s="56"/>
      <c r="W1282" s="56"/>
      <c r="X1282" s="56"/>
      <c r="Y1282" s="56"/>
      <c r="Z1282" s="56"/>
      <c r="AA1282" s="56"/>
      <c r="AB1282" s="56"/>
      <c r="AC1282" s="56"/>
    </row>
    <row r="1283" spans="1:29" ht="15.75" customHeight="1">
      <c r="A1283" s="39"/>
      <c r="B1283" s="107"/>
      <c r="C1283" s="109"/>
      <c r="D1283" s="76"/>
      <c r="E1283" s="64"/>
      <c r="F1283" s="39"/>
      <c r="G1283" s="399">
        <f>IFERROR(VLOOKUP(A1283,醫療院所DATABASE!A:B,2,""),)</f>
        <v>0</v>
      </c>
      <c r="H1283" s="64"/>
      <c r="I1283" s="109"/>
      <c r="J1283" s="109"/>
      <c r="K1283" s="39"/>
      <c r="L1283" s="76"/>
      <c r="M1283" s="39"/>
      <c r="N1283" s="39"/>
      <c r="O1283" s="24"/>
      <c r="P1283" s="409"/>
      <c r="Q1283" s="76"/>
      <c r="R1283" s="76"/>
      <c r="S1283" s="24"/>
      <c r="T1283" s="24"/>
      <c r="U1283" s="64"/>
      <c r="V1283" s="56"/>
      <c r="W1283" s="56"/>
      <c r="X1283" s="56"/>
      <c r="Y1283" s="56"/>
      <c r="Z1283" s="56"/>
      <c r="AA1283" s="56"/>
      <c r="AB1283" s="56"/>
      <c r="AC1283" s="56"/>
    </row>
    <row r="1284" spans="1:29" ht="15.75" customHeight="1">
      <c r="A1284" s="39"/>
      <c r="B1284" s="107"/>
      <c r="C1284" s="109"/>
      <c r="D1284" s="76"/>
      <c r="E1284" s="64"/>
      <c r="F1284" s="39"/>
      <c r="G1284" s="399">
        <f>IFERROR(VLOOKUP(A1284,醫療院所DATABASE!A:B,2,""),)</f>
        <v>0</v>
      </c>
      <c r="H1284" s="64"/>
      <c r="I1284" s="109"/>
      <c r="J1284" s="109"/>
      <c r="K1284" s="39"/>
      <c r="L1284" s="76"/>
      <c r="M1284" s="39"/>
      <c r="N1284" s="39"/>
      <c r="O1284" s="24"/>
      <c r="P1284" s="409"/>
      <c r="Q1284" s="76"/>
      <c r="R1284" s="76"/>
      <c r="S1284" s="24"/>
      <c r="T1284" s="24"/>
      <c r="U1284" s="64"/>
      <c r="V1284" s="56"/>
      <c r="W1284" s="56"/>
      <c r="X1284" s="56"/>
      <c r="Y1284" s="56"/>
      <c r="Z1284" s="56"/>
      <c r="AA1284" s="56"/>
      <c r="AB1284" s="56"/>
      <c r="AC1284" s="56"/>
    </row>
    <row r="1285" spans="1:29" ht="15.75" customHeight="1">
      <c r="A1285" s="39"/>
      <c r="B1285" s="107"/>
      <c r="C1285" s="109"/>
      <c r="D1285" s="76"/>
      <c r="E1285" s="64"/>
      <c r="F1285" s="39"/>
      <c r="G1285" s="399">
        <f>IFERROR(VLOOKUP(A1285,醫療院所DATABASE!A:B,2,""),)</f>
        <v>0</v>
      </c>
      <c r="H1285" s="64"/>
      <c r="I1285" s="109"/>
      <c r="J1285" s="109"/>
      <c r="K1285" s="39"/>
      <c r="L1285" s="76"/>
      <c r="M1285" s="39"/>
      <c r="N1285" s="39"/>
      <c r="O1285" s="24"/>
      <c r="P1285" s="409"/>
      <c r="Q1285" s="76"/>
      <c r="R1285" s="76"/>
      <c r="S1285" s="24"/>
      <c r="T1285" s="24"/>
      <c r="U1285" s="64"/>
      <c r="V1285" s="56"/>
      <c r="W1285" s="56"/>
      <c r="X1285" s="56"/>
      <c r="Y1285" s="56"/>
      <c r="Z1285" s="56"/>
      <c r="AA1285" s="56"/>
      <c r="AB1285" s="56"/>
      <c r="AC1285" s="56"/>
    </row>
    <row r="1286" spans="1:29" ht="15.75" customHeight="1">
      <c r="A1286" s="39"/>
      <c r="B1286" s="107"/>
      <c r="C1286" s="109"/>
      <c r="D1286" s="76"/>
      <c r="E1286" s="64"/>
      <c r="F1286" s="39"/>
      <c r="G1286" s="399">
        <f>IFERROR(VLOOKUP(A1286,醫療院所DATABASE!A:B,2,""),)</f>
        <v>0</v>
      </c>
      <c r="H1286" s="64"/>
      <c r="I1286" s="109"/>
      <c r="J1286" s="109"/>
      <c r="K1286" s="39"/>
      <c r="L1286" s="76"/>
      <c r="M1286" s="39"/>
      <c r="N1286" s="39"/>
      <c r="O1286" s="24"/>
      <c r="P1286" s="409"/>
      <c r="Q1286" s="76"/>
      <c r="R1286" s="76"/>
      <c r="S1286" s="24"/>
      <c r="T1286" s="24"/>
      <c r="U1286" s="64"/>
      <c r="V1286" s="56"/>
      <c r="W1286" s="56"/>
      <c r="X1286" s="56"/>
      <c r="Y1286" s="56"/>
      <c r="Z1286" s="56"/>
      <c r="AA1286" s="56"/>
      <c r="AB1286" s="56"/>
      <c r="AC1286" s="56"/>
    </row>
    <row r="1287" spans="1:29" ht="15.75" customHeight="1">
      <c r="A1287" s="39"/>
      <c r="B1287" s="107"/>
      <c r="C1287" s="109"/>
      <c r="D1287" s="76"/>
      <c r="E1287" s="64"/>
      <c r="F1287" s="39"/>
      <c r="G1287" s="399">
        <f>IFERROR(VLOOKUP(A1287,醫療院所DATABASE!A:B,2,""),)</f>
        <v>0</v>
      </c>
      <c r="H1287" s="64"/>
      <c r="I1287" s="109"/>
      <c r="J1287" s="109"/>
      <c r="K1287" s="39"/>
      <c r="L1287" s="76"/>
      <c r="M1287" s="39"/>
      <c r="N1287" s="39"/>
      <c r="O1287" s="24"/>
      <c r="P1287" s="409"/>
      <c r="Q1287" s="76"/>
      <c r="R1287" s="76"/>
      <c r="S1287" s="24"/>
      <c r="T1287" s="24"/>
      <c r="U1287" s="64"/>
      <c r="V1287" s="56"/>
      <c r="W1287" s="56"/>
      <c r="X1287" s="56"/>
      <c r="Y1287" s="56"/>
      <c r="Z1287" s="56"/>
      <c r="AA1287" s="56"/>
      <c r="AB1287" s="56"/>
      <c r="AC1287" s="56"/>
    </row>
    <row r="1288" spans="1:29" ht="15.75" customHeight="1">
      <c r="A1288" s="39"/>
      <c r="B1288" s="107"/>
      <c r="C1288" s="109"/>
      <c r="D1288" s="76"/>
      <c r="E1288" s="64"/>
      <c r="F1288" s="39"/>
      <c r="G1288" s="399">
        <f>IFERROR(VLOOKUP(A1288,醫療院所DATABASE!A:B,2,""),)</f>
        <v>0</v>
      </c>
      <c r="H1288" s="64"/>
      <c r="I1288" s="109"/>
      <c r="J1288" s="109"/>
      <c r="K1288" s="39"/>
      <c r="L1288" s="76"/>
      <c r="M1288" s="39"/>
      <c r="N1288" s="39"/>
      <c r="O1288" s="24"/>
      <c r="P1288" s="409"/>
      <c r="Q1288" s="76"/>
      <c r="R1288" s="76"/>
      <c r="S1288" s="24"/>
      <c r="T1288" s="24"/>
      <c r="U1288" s="64"/>
      <c r="V1288" s="56"/>
      <c r="W1288" s="56"/>
      <c r="X1288" s="56"/>
      <c r="Y1288" s="56"/>
      <c r="Z1288" s="56"/>
      <c r="AA1288" s="56"/>
      <c r="AB1288" s="56"/>
      <c r="AC1288" s="56"/>
    </row>
    <row r="1289" spans="1:29" ht="15.75" customHeight="1">
      <c r="A1289" s="39"/>
      <c r="B1289" s="107"/>
      <c r="C1289" s="109"/>
      <c r="D1289" s="76"/>
      <c r="E1289" s="64"/>
      <c r="F1289" s="39"/>
      <c r="G1289" s="399">
        <f>IFERROR(VLOOKUP(A1289,醫療院所DATABASE!A:B,2,""),)</f>
        <v>0</v>
      </c>
      <c r="H1289" s="64"/>
      <c r="I1289" s="109"/>
      <c r="J1289" s="109"/>
      <c r="K1289" s="39"/>
      <c r="L1289" s="76"/>
      <c r="M1289" s="39"/>
      <c r="N1289" s="39"/>
      <c r="O1289" s="24"/>
      <c r="P1289" s="409"/>
      <c r="Q1289" s="76"/>
      <c r="R1289" s="76"/>
      <c r="S1289" s="24"/>
      <c r="T1289" s="24"/>
      <c r="U1289" s="64"/>
      <c r="V1289" s="56"/>
      <c r="W1289" s="56"/>
      <c r="X1289" s="56"/>
      <c r="Y1289" s="56"/>
      <c r="Z1289" s="56"/>
      <c r="AA1289" s="56"/>
      <c r="AB1289" s="56"/>
      <c r="AC1289" s="56"/>
    </row>
    <row r="1290" spans="1:29" ht="15.75" customHeight="1">
      <c r="A1290" s="39"/>
      <c r="B1290" s="107"/>
      <c r="C1290" s="109"/>
      <c r="D1290" s="76"/>
      <c r="E1290" s="64"/>
      <c r="F1290" s="39"/>
      <c r="G1290" s="399">
        <f>IFERROR(VLOOKUP(A1290,醫療院所DATABASE!A:B,2,""),)</f>
        <v>0</v>
      </c>
      <c r="H1290" s="64"/>
      <c r="I1290" s="109"/>
      <c r="J1290" s="109"/>
      <c r="K1290" s="39"/>
      <c r="L1290" s="76"/>
      <c r="M1290" s="39"/>
      <c r="N1290" s="39"/>
      <c r="O1290" s="24"/>
      <c r="P1290" s="409"/>
      <c r="Q1290" s="76"/>
      <c r="R1290" s="76"/>
      <c r="S1290" s="24"/>
      <c r="T1290" s="24"/>
      <c r="U1290" s="64"/>
      <c r="V1290" s="56"/>
      <c r="W1290" s="56"/>
      <c r="X1290" s="56"/>
      <c r="Y1290" s="56"/>
      <c r="Z1290" s="56"/>
      <c r="AA1290" s="56"/>
      <c r="AB1290" s="56"/>
      <c r="AC1290" s="56"/>
    </row>
    <row r="1291" spans="1:29" ht="15.75" customHeight="1">
      <c r="A1291" s="39"/>
      <c r="B1291" s="107"/>
      <c r="C1291" s="109"/>
      <c r="D1291" s="76"/>
      <c r="E1291" s="64"/>
      <c r="F1291" s="39"/>
      <c r="G1291" s="399">
        <f>IFERROR(VLOOKUP(A1291,醫療院所DATABASE!A:B,2,""),)</f>
        <v>0</v>
      </c>
      <c r="H1291" s="64"/>
      <c r="I1291" s="109"/>
      <c r="J1291" s="109"/>
      <c r="K1291" s="39"/>
      <c r="L1291" s="76"/>
      <c r="M1291" s="39"/>
      <c r="N1291" s="39"/>
      <c r="O1291" s="24"/>
      <c r="P1291" s="409"/>
      <c r="Q1291" s="76"/>
      <c r="R1291" s="76"/>
      <c r="S1291" s="24"/>
      <c r="T1291" s="24"/>
      <c r="U1291" s="64"/>
      <c r="V1291" s="56"/>
      <c r="W1291" s="56"/>
      <c r="X1291" s="56"/>
      <c r="Y1291" s="56"/>
      <c r="Z1291" s="56"/>
      <c r="AA1291" s="56"/>
      <c r="AB1291" s="56"/>
      <c r="AC1291" s="56"/>
    </row>
    <row r="1292" spans="1:29" ht="15.75" customHeight="1">
      <c r="A1292" s="39"/>
      <c r="B1292" s="107"/>
      <c r="C1292" s="109"/>
      <c r="D1292" s="76"/>
      <c r="E1292" s="64"/>
      <c r="F1292" s="39"/>
      <c r="G1292" s="399">
        <f>IFERROR(VLOOKUP(A1292,醫療院所DATABASE!A:B,2,""),)</f>
        <v>0</v>
      </c>
      <c r="H1292" s="64"/>
      <c r="I1292" s="109"/>
      <c r="J1292" s="109"/>
      <c r="K1292" s="39"/>
      <c r="L1292" s="76"/>
      <c r="M1292" s="39"/>
      <c r="N1292" s="39"/>
      <c r="O1292" s="24"/>
      <c r="P1292" s="409"/>
      <c r="Q1292" s="76"/>
      <c r="R1292" s="76"/>
      <c r="S1292" s="24"/>
      <c r="T1292" s="24"/>
      <c r="U1292" s="64"/>
      <c r="V1292" s="56"/>
      <c r="W1292" s="56"/>
      <c r="X1292" s="56"/>
      <c r="Y1292" s="56"/>
      <c r="Z1292" s="56"/>
      <c r="AA1292" s="56"/>
      <c r="AB1292" s="56"/>
      <c r="AC1292" s="56"/>
    </row>
    <row r="1293" spans="1:29" ht="15.75" customHeight="1">
      <c r="A1293" s="39"/>
      <c r="B1293" s="107"/>
      <c r="C1293" s="109"/>
      <c r="D1293" s="76"/>
      <c r="E1293" s="64"/>
      <c r="F1293" s="39"/>
      <c r="G1293" s="399">
        <f>IFERROR(VLOOKUP(A1293,醫療院所DATABASE!A:B,2,""),)</f>
        <v>0</v>
      </c>
      <c r="H1293" s="64"/>
      <c r="I1293" s="109"/>
      <c r="J1293" s="109"/>
      <c r="K1293" s="39"/>
      <c r="L1293" s="76"/>
      <c r="M1293" s="39"/>
      <c r="N1293" s="39"/>
      <c r="O1293" s="24"/>
      <c r="P1293" s="409"/>
      <c r="Q1293" s="76"/>
      <c r="R1293" s="76"/>
      <c r="S1293" s="24"/>
      <c r="T1293" s="24"/>
      <c r="U1293" s="64"/>
      <c r="V1293" s="56"/>
      <c r="W1293" s="56"/>
      <c r="X1293" s="56"/>
      <c r="Y1293" s="56"/>
      <c r="Z1293" s="56"/>
      <c r="AA1293" s="56"/>
      <c r="AB1293" s="56"/>
      <c r="AC1293" s="56"/>
    </row>
    <row r="1294" spans="1:29" ht="15.75" customHeight="1">
      <c r="A1294" s="39"/>
      <c r="B1294" s="107"/>
      <c r="C1294" s="109"/>
      <c r="D1294" s="76"/>
      <c r="E1294" s="64"/>
      <c r="F1294" s="39"/>
      <c r="G1294" s="399">
        <f>IFERROR(VLOOKUP(A1294,醫療院所DATABASE!A:B,2,""),)</f>
        <v>0</v>
      </c>
      <c r="H1294" s="64"/>
      <c r="I1294" s="109"/>
      <c r="J1294" s="109"/>
      <c r="K1294" s="39"/>
      <c r="L1294" s="76"/>
      <c r="M1294" s="39"/>
      <c r="N1294" s="39"/>
      <c r="O1294" s="24"/>
      <c r="P1294" s="409"/>
      <c r="Q1294" s="76"/>
      <c r="R1294" s="76"/>
      <c r="S1294" s="24"/>
      <c r="T1294" s="24"/>
      <c r="U1294" s="64"/>
      <c r="V1294" s="56"/>
      <c r="W1294" s="56"/>
      <c r="X1294" s="56"/>
      <c r="Y1294" s="56"/>
      <c r="Z1294" s="56"/>
      <c r="AA1294" s="56"/>
      <c r="AB1294" s="56"/>
      <c r="AC1294" s="56"/>
    </row>
    <row r="1295" spans="1:29" ht="15.75" customHeight="1">
      <c r="A1295" s="39"/>
      <c r="B1295" s="107"/>
      <c r="C1295" s="109"/>
      <c r="D1295" s="76"/>
      <c r="E1295" s="64"/>
      <c r="F1295" s="39"/>
      <c r="G1295" s="399">
        <f>IFERROR(VLOOKUP(A1295,醫療院所DATABASE!A:B,2,""),)</f>
        <v>0</v>
      </c>
      <c r="H1295" s="64"/>
      <c r="I1295" s="109"/>
      <c r="J1295" s="109"/>
      <c r="K1295" s="39"/>
      <c r="L1295" s="76"/>
      <c r="M1295" s="39"/>
      <c r="N1295" s="39"/>
      <c r="O1295" s="24"/>
      <c r="P1295" s="409"/>
      <c r="Q1295" s="76"/>
      <c r="R1295" s="76"/>
      <c r="S1295" s="24"/>
      <c r="T1295" s="24"/>
      <c r="U1295" s="64"/>
      <c r="V1295" s="56"/>
      <c r="W1295" s="56"/>
      <c r="X1295" s="56"/>
      <c r="Y1295" s="56"/>
      <c r="Z1295" s="56"/>
      <c r="AA1295" s="56"/>
      <c r="AB1295" s="56"/>
      <c r="AC1295" s="56"/>
    </row>
    <row r="1296" spans="1:29" ht="15.75" customHeight="1">
      <c r="A1296" s="39"/>
      <c r="B1296" s="107"/>
      <c r="C1296" s="109"/>
      <c r="D1296" s="76"/>
      <c r="E1296" s="64"/>
      <c r="F1296" s="39"/>
      <c r="G1296" s="399">
        <f>IFERROR(VLOOKUP(A1296,醫療院所DATABASE!A:B,2,""),)</f>
        <v>0</v>
      </c>
      <c r="H1296" s="64"/>
      <c r="I1296" s="109"/>
      <c r="J1296" s="109"/>
      <c r="K1296" s="39"/>
      <c r="L1296" s="76"/>
      <c r="M1296" s="39"/>
      <c r="N1296" s="39"/>
      <c r="O1296" s="24"/>
      <c r="P1296" s="409"/>
      <c r="Q1296" s="76"/>
      <c r="R1296" s="76"/>
      <c r="S1296" s="24"/>
      <c r="T1296" s="24"/>
      <c r="U1296" s="64"/>
      <c r="V1296" s="56"/>
      <c r="W1296" s="56"/>
      <c r="X1296" s="56"/>
      <c r="Y1296" s="56"/>
      <c r="Z1296" s="56"/>
      <c r="AA1296" s="56"/>
      <c r="AB1296" s="56"/>
      <c r="AC1296" s="56"/>
    </row>
    <row r="1297" spans="1:29" ht="15.75" customHeight="1">
      <c r="A1297" s="39"/>
      <c r="B1297" s="107"/>
      <c r="C1297" s="109"/>
      <c r="D1297" s="76"/>
      <c r="E1297" s="64"/>
      <c r="F1297" s="39"/>
      <c r="G1297" s="399">
        <f>IFERROR(VLOOKUP(A1297,醫療院所DATABASE!A:B,2,""),)</f>
        <v>0</v>
      </c>
      <c r="H1297" s="64"/>
      <c r="I1297" s="109"/>
      <c r="J1297" s="109"/>
      <c r="K1297" s="39"/>
      <c r="L1297" s="76"/>
      <c r="M1297" s="39"/>
      <c r="N1297" s="39"/>
      <c r="O1297" s="24"/>
      <c r="P1297" s="409"/>
      <c r="Q1297" s="76"/>
      <c r="R1297" s="76"/>
      <c r="S1297" s="24"/>
      <c r="T1297" s="24"/>
      <c r="U1297" s="64"/>
      <c r="V1297" s="56"/>
      <c r="W1297" s="56"/>
      <c r="X1297" s="56"/>
      <c r="Y1297" s="56"/>
      <c r="Z1297" s="56"/>
      <c r="AA1297" s="56"/>
      <c r="AB1297" s="56"/>
      <c r="AC1297" s="56"/>
    </row>
    <row r="1298" spans="1:29" ht="15.75" customHeight="1">
      <c r="A1298" s="39"/>
      <c r="B1298" s="107"/>
      <c r="C1298" s="109"/>
      <c r="D1298" s="76"/>
      <c r="E1298" s="64"/>
      <c r="F1298" s="39"/>
      <c r="G1298" s="399">
        <f>IFERROR(VLOOKUP(A1298,醫療院所DATABASE!A:B,2,""),)</f>
        <v>0</v>
      </c>
      <c r="H1298" s="64"/>
      <c r="I1298" s="109"/>
      <c r="J1298" s="109"/>
      <c r="K1298" s="39"/>
      <c r="L1298" s="76"/>
      <c r="M1298" s="39"/>
      <c r="N1298" s="39"/>
      <c r="O1298" s="24"/>
      <c r="P1298" s="409"/>
      <c r="Q1298" s="76"/>
      <c r="R1298" s="76"/>
      <c r="S1298" s="24"/>
      <c r="T1298" s="24"/>
      <c r="U1298" s="64"/>
      <c r="V1298" s="56"/>
      <c r="W1298" s="56"/>
      <c r="X1298" s="56"/>
      <c r="Y1298" s="56"/>
      <c r="Z1298" s="56"/>
      <c r="AA1298" s="56"/>
      <c r="AB1298" s="56"/>
      <c r="AC1298" s="56"/>
    </row>
    <row r="1299" spans="1:29" ht="15.75" customHeight="1">
      <c r="A1299" s="39"/>
      <c r="B1299" s="107"/>
      <c r="C1299" s="109"/>
      <c r="D1299" s="76"/>
      <c r="E1299" s="64"/>
      <c r="F1299" s="39"/>
      <c r="G1299" s="399">
        <f>IFERROR(VLOOKUP(A1299,醫療院所DATABASE!A:B,2,""),)</f>
        <v>0</v>
      </c>
      <c r="H1299" s="64"/>
      <c r="I1299" s="109"/>
      <c r="J1299" s="109"/>
      <c r="K1299" s="39"/>
      <c r="L1299" s="76"/>
      <c r="M1299" s="39"/>
      <c r="N1299" s="39"/>
      <c r="O1299" s="24"/>
      <c r="P1299" s="409"/>
      <c r="Q1299" s="76"/>
      <c r="R1299" s="76"/>
      <c r="S1299" s="24"/>
      <c r="T1299" s="24"/>
      <c r="U1299" s="64"/>
      <c r="V1299" s="56"/>
      <c r="W1299" s="56"/>
      <c r="X1299" s="56"/>
      <c r="Y1299" s="56"/>
      <c r="Z1299" s="56"/>
      <c r="AA1299" s="56"/>
      <c r="AB1299" s="56"/>
      <c r="AC1299" s="56"/>
    </row>
    <row r="1300" spans="1:29" ht="15.75" customHeight="1">
      <c r="A1300" s="39"/>
      <c r="B1300" s="107"/>
      <c r="C1300" s="109"/>
      <c r="D1300" s="76"/>
      <c r="E1300" s="64"/>
      <c r="F1300" s="39"/>
      <c r="G1300" s="399">
        <f>IFERROR(VLOOKUP(A1300,醫療院所DATABASE!A:B,2,""),)</f>
        <v>0</v>
      </c>
      <c r="H1300" s="64"/>
      <c r="I1300" s="109"/>
      <c r="J1300" s="109"/>
      <c r="K1300" s="39"/>
      <c r="L1300" s="76"/>
      <c r="M1300" s="39"/>
      <c r="N1300" s="39"/>
      <c r="O1300" s="24"/>
      <c r="P1300" s="409"/>
      <c r="Q1300" s="76"/>
      <c r="R1300" s="76"/>
      <c r="S1300" s="24"/>
      <c r="T1300" s="24"/>
      <c r="U1300" s="64"/>
      <c r="V1300" s="56"/>
      <c r="W1300" s="56"/>
      <c r="X1300" s="56"/>
      <c r="Y1300" s="56"/>
      <c r="Z1300" s="56"/>
      <c r="AA1300" s="56"/>
      <c r="AB1300" s="56"/>
      <c r="AC1300" s="56"/>
    </row>
    <row r="1301" spans="1:29" ht="15.75" customHeight="1">
      <c r="A1301" s="39"/>
      <c r="B1301" s="107"/>
      <c r="C1301" s="109"/>
      <c r="D1301" s="76"/>
      <c r="E1301" s="64"/>
      <c r="F1301" s="39"/>
      <c r="G1301" s="399">
        <f>IFERROR(VLOOKUP(A1301,醫療院所DATABASE!A:B,2,""),)</f>
        <v>0</v>
      </c>
      <c r="H1301" s="64"/>
      <c r="I1301" s="109"/>
      <c r="J1301" s="109"/>
      <c r="K1301" s="39"/>
      <c r="L1301" s="76"/>
      <c r="M1301" s="39"/>
      <c r="N1301" s="39"/>
      <c r="O1301" s="24"/>
      <c r="P1301" s="409"/>
      <c r="Q1301" s="76"/>
      <c r="R1301" s="76"/>
      <c r="S1301" s="24"/>
      <c r="T1301" s="24"/>
      <c r="U1301" s="64"/>
      <c r="V1301" s="56"/>
      <c r="W1301" s="56"/>
      <c r="X1301" s="56"/>
      <c r="Y1301" s="56"/>
      <c r="Z1301" s="56"/>
      <c r="AA1301" s="56"/>
      <c r="AB1301" s="56"/>
      <c r="AC1301" s="56"/>
    </row>
    <row r="1302" spans="1:29" ht="15.75" customHeight="1">
      <c r="A1302" s="39"/>
      <c r="B1302" s="107"/>
      <c r="C1302" s="109"/>
      <c r="D1302" s="76"/>
      <c r="E1302" s="64"/>
      <c r="F1302" s="39"/>
      <c r="G1302" s="399">
        <f>IFERROR(VLOOKUP(A1302,醫療院所DATABASE!A:B,2,""),)</f>
        <v>0</v>
      </c>
      <c r="H1302" s="64"/>
      <c r="I1302" s="109"/>
      <c r="J1302" s="109"/>
      <c r="K1302" s="39"/>
      <c r="L1302" s="76"/>
      <c r="M1302" s="39"/>
      <c r="N1302" s="39"/>
      <c r="O1302" s="24"/>
      <c r="P1302" s="409"/>
      <c r="Q1302" s="76"/>
      <c r="R1302" s="76"/>
      <c r="S1302" s="24"/>
      <c r="T1302" s="24"/>
      <c r="U1302" s="64"/>
      <c r="V1302" s="56"/>
      <c r="W1302" s="56"/>
      <c r="X1302" s="56"/>
      <c r="Y1302" s="56"/>
      <c r="Z1302" s="56"/>
      <c r="AA1302" s="56"/>
      <c r="AB1302" s="56"/>
      <c r="AC1302" s="56"/>
    </row>
    <row r="1303" spans="1:29" ht="15.75" customHeight="1">
      <c r="A1303" s="39"/>
      <c r="B1303" s="107"/>
      <c r="C1303" s="109"/>
      <c r="D1303" s="76"/>
      <c r="E1303" s="64"/>
      <c r="F1303" s="39"/>
      <c r="G1303" s="399">
        <f>IFERROR(VLOOKUP(A1303,醫療院所DATABASE!A:B,2,""),)</f>
        <v>0</v>
      </c>
      <c r="H1303" s="64"/>
      <c r="I1303" s="109"/>
      <c r="J1303" s="109"/>
      <c r="K1303" s="39"/>
      <c r="L1303" s="76"/>
      <c r="M1303" s="39"/>
      <c r="N1303" s="39"/>
      <c r="O1303" s="24"/>
      <c r="P1303" s="409"/>
      <c r="Q1303" s="76"/>
      <c r="R1303" s="76"/>
      <c r="S1303" s="24"/>
      <c r="T1303" s="24"/>
      <c r="U1303" s="64"/>
      <c r="V1303" s="56"/>
      <c r="W1303" s="56"/>
      <c r="X1303" s="56"/>
      <c r="Y1303" s="56"/>
      <c r="Z1303" s="56"/>
      <c r="AA1303" s="56"/>
      <c r="AB1303" s="56"/>
      <c r="AC1303" s="56"/>
    </row>
    <row r="1304" spans="1:29" ht="15.75" customHeight="1">
      <c r="A1304" s="39"/>
      <c r="B1304" s="107"/>
      <c r="C1304" s="109"/>
      <c r="D1304" s="76"/>
      <c r="E1304" s="64"/>
      <c r="F1304" s="39"/>
      <c r="G1304" s="399">
        <f>IFERROR(VLOOKUP(A1304,醫療院所DATABASE!A:B,2,""),)</f>
        <v>0</v>
      </c>
      <c r="H1304" s="64"/>
      <c r="I1304" s="109"/>
      <c r="J1304" s="109"/>
      <c r="K1304" s="39"/>
      <c r="L1304" s="76"/>
      <c r="M1304" s="39"/>
      <c r="N1304" s="39"/>
      <c r="O1304" s="24"/>
      <c r="P1304" s="409"/>
      <c r="Q1304" s="76"/>
      <c r="R1304" s="76"/>
      <c r="S1304" s="24"/>
      <c r="T1304" s="24"/>
      <c r="U1304" s="64"/>
      <c r="V1304" s="56"/>
      <c r="W1304" s="56"/>
      <c r="X1304" s="56"/>
      <c r="Y1304" s="56"/>
      <c r="Z1304" s="56"/>
      <c r="AA1304" s="56"/>
      <c r="AB1304" s="56"/>
      <c r="AC1304" s="56"/>
    </row>
    <row r="1305" spans="1:29" ht="15.75" customHeight="1">
      <c r="A1305" s="39"/>
      <c r="B1305" s="107"/>
      <c r="C1305" s="109"/>
      <c r="D1305" s="76"/>
      <c r="E1305" s="64"/>
      <c r="F1305" s="39"/>
      <c r="G1305" s="399">
        <f>IFERROR(VLOOKUP(A1305,醫療院所DATABASE!A:B,2,""),)</f>
        <v>0</v>
      </c>
      <c r="H1305" s="64"/>
      <c r="I1305" s="109"/>
      <c r="J1305" s="109"/>
      <c r="K1305" s="39"/>
      <c r="L1305" s="76"/>
      <c r="M1305" s="39"/>
      <c r="N1305" s="39"/>
      <c r="O1305" s="24"/>
      <c r="P1305" s="409"/>
      <c r="Q1305" s="76"/>
      <c r="R1305" s="76"/>
      <c r="S1305" s="24"/>
      <c r="T1305" s="24"/>
      <c r="U1305" s="64"/>
      <c r="V1305" s="56"/>
      <c r="W1305" s="56"/>
      <c r="X1305" s="56"/>
      <c r="Y1305" s="56"/>
      <c r="Z1305" s="56"/>
      <c r="AA1305" s="56"/>
      <c r="AB1305" s="56"/>
      <c r="AC1305" s="56"/>
    </row>
    <row r="1306" spans="1:29" ht="15.75" customHeight="1">
      <c r="A1306" s="39"/>
      <c r="B1306" s="107"/>
      <c r="C1306" s="109"/>
      <c r="D1306" s="76"/>
      <c r="E1306" s="64"/>
      <c r="F1306" s="39"/>
      <c r="G1306" s="399">
        <f>IFERROR(VLOOKUP(A1306,醫療院所DATABASE!A:B,2,""),)</f>
        <v>0</v>
      </c>
      <c r="H1306" s="64"/>
      <c r="I1306" s="109"/>
      <c r="J1306" s="109"/>
      <c r="K1306" s="39"/>
      <c r="L1306" s="76"/>
      <c r="M1306" s="39"/>
      <c r="N1306" s="39"/>
      <c r="O1306" s="24"/>
      <c r="P1306" s="409"/>
      <c r="Q1306" s="76"/>
      <c r="R1306" s="76"/>
      <c r="S1306" s="24"/>
      <c r="T1306" s="24"/>
      <c r="U1306" s="64"/>
      <c r="V1306" s="56"/>
      <c r="W1306" s="56"/>
      <c r="X1306" s="56"/>
      <c r="Y1306" s="56"/>
      <c r="Z1306" s="56"/>
      <c r="AA1306" s="56"/>
      <c r="AB1306" s="56"/>
      <c r="AC1306" s="56"/>
    </row>
    <row r="1307" spans="1:29" ht="15.75" customHeight="1">
      <c r="A1307" s="39"/>
      <c r="B1307" s="107"/>
      <c r="C1307" s="109"/>
      <c r="D1307" s="76"/>
      <c r="E1307" s="64"/>
      <c r="F1307" s="39"/>
      <c r="G1307" s="399">
        <f>IFERROR(VLOOKUP(A1307,醫療院所DATABASE!A:B,2,""),)</f>
        <v>0</v>
      </c>
      <c r="H1307" s="64"/>
      <c r="I1307" s="109"/>
      <c r="J1307" s="109"/>
      <c r="K1307" s="39"/>
      <c r="L1307" s="76"/>
      <c r="M1307" s="39"/>
      <c r="N1307" s="39"/>
      <c r="O1307" s="24"/>
      <c r="P1307" s="409"/>
      <c r="Q1307" s="76"/>
      <c r="R1307" s="76"/>
      <c r="S1307" s="24"/>
      <c r="T1307" s="24"/>
      <c r="U1307" s="64"/>
      <c r="V1307" s="56"/>
      <c r="W1307" s="56"/>
      <c r="X1307" s="56"/>
      <c r="Y1307" s="56"/>
      <c r="Z1307" s="56"/>
      <c r="AA1307" s="56"/>
      <c r="AB1307" s="56"/>
      <c r="AC1307" s="56"/>
    </row>
    <row r="1308" spans="1:29" ht="15.75" customHeight="1">
      <c r="A1308" s="39"/>
      <c r="B1308" s="107"/>
      <c r="C1308" s="109"/>
      <c r="D1308" s="76"/>
      <c r="E1308" s="64"/>
      <c r="F1308" s="39"/>
      <c r="G1308" s="399">
        <f>IFERROR(VLOOKUP(A1308,醫療院所DATABASE!A:B,2,""),)</f>
        <v>0</v>
      </c>
      <c r="H1308" s="64"/>
      <c r="I1308" s="109"/>
      <c r="J1308" s="109"/>
      <c r="K1308" s="39"/>
      <c r="L1308" s="76"/>
      <c r="M1308" s="39"/>
      <c r="N1308" s="39"/>
      <c r="O1308" s="24"/>
      <c r="P1308" s="409"/>
      <c r="Q1308" s="76"/>
      <c r="R1308" s="76"/>
      <c r="S1308" s="24"/>
      <c r="T1308" s="24"/>
      <c r="U1308" s="64"/>
      <c r="V1308" s="56"/>
      <c r="W1308" s="56"/>
      <c r="X1308" s="56"/>
      <c r="Y1308" s="56"/>
      <c r="Z1308" s="56"/>
      <c r="AA1308" s="56"/>
      <c r="AB1308" s="56"/>
      <c r="AC1308" s="56"/>
    </row>
    <row r="1309" spans="1:29" ht="15.75" customHeight="1">
      <c r="A1309" s="39"/>
      <c r="B1309" s="107"/>
      <c r="C1309" s="109"/>
      <c r="D1309" s="76"/>
      <c r="E1309" s="64"/>
      <c r="F1309" s="39"/>
      <c r="G1309" s="399">
        <f>IFERROR(VLOOKUP(A1309,醫療院所DATABASE!A:B,2,""),)</f>
        <v>0</v>
      </c>
      <c r="H1309" s="64"/>
      <c r="I1309" s="109"/>
      <c r="J1309" s="109"/>
      <c r="K1309" s="39"/>
      <c r="L1309" s="76"/>
      <c r="M1309" s="39"/>
      <c r="N1309" s="39"/>
      <c r="O1309" s="24"/>
      <c r="P1309" s="409"/>
      <c r="Q1309" s="76"/>
      <c r="R1309" s="76"/>
      <c r="S1309" s="24"/>
      <c r="T1309" s="24"/>
      <c r="U1309" s="64"/>
      <c r="V1309" s="56"/>
      <c r="W1309" s="56"/>
      <c r="X1309" s="56"/>
      <c r="Y1309" s="56"/>
      <c r="Z1309" s="56"/>
      <c r="AA1309" s="56"/>
      <c r="AB1309" s="56"/>
      <c r="AC1309" s="56"/>
    </row>
    <row r="1310" spans="1:29" ht="15.75" customHeight="1">
      <c r="A1310" s="39"/>
      <c r="B1310" s="107"/>
      <c r="C1310" s="109"/>
      <c r="D1310" s="76"/>
      <c r="E1310" s="64"/>
      <c r="F1310" s="39"/>
      <c r="G1310" s="399">
        <f>IFERROR(VLOOKUP(A1310,醫療院所DATABASE!A:B,2,""),)</f>
        <v>0</v>
      </c>
      <c r="H1310" s="64"/>
      <c r="I1310" s="109"/>
      <c r="J1310" s="109"/>
      <c r="K1310" s="39"/>
      <c r="L1310" s="76"/>
      <c r="M1310" s="39"/>
      <c r="N1310" s="39"/>
      <c r="O1310" s="24"/>
      <c r="P1310" s="409"/>
      <c r="Q1310" s="76"/>
      <c r="R1310" s="76"/>
      <c r="S1310" s="24"/>
      <c r="T1310" s="24"/>
      <c r="U1310" s="64"/>
      <c r="V1310" s="56"/>
      <c r="W1310" s="56"/>
      <c r="X1310" s="56"/>
      <c r="Y1310" s="56"/>
      <c r="Z1310" s="56"/>
      <c r="AA1310" s="56"/>
      <c r="AB1310" s="56"/>
      <c r="AC1310" s="56"/>
    </row>
    <row r="1311" spans="1:29" ht="15.75" customHeight="1">
      <c r="A1311" s="39"/>
      <c r="B1311" s="107"/>
      <c r="C1311" s="109"/>
      <c r="D1311" s="76"/>
      <c r="E1311" s="64"/>
      <c r="F1311" s="39"/>
      <c r="G1311" s="399">
        <f>IFERROR(VLOOKUP(A1311,醫療院所DATABASE!A:B,2,""),)</f>
        <v>0</v>
      </c>
      <c r="H1311" s="64"/>
      <c r="I1311" s="109"/>
      <c r="J1311" s="109"/>
      <c r="K1311" s="39"/>
      <c r="L1311" s="76"/>
      <c r="M1311" s="39"/>
      <c r="N1311" s="39"/>
      <c r="O1311" s="24"/>
      <c r="P1311" s="409"/>
      <c r="Q1311" s="76"/>
      <c r="R1311" s="76"/>
      <c r="S1311" s="24"/>
      <c r="T1311" s="24"/>
      <c r="U1311" s="64"/>
      <c r="V1311" s="56"/>
      <c r="W1311" s="56"/>
      <c r="X1311" s="56"/>
      <c r="Y1311" s="56"/>
      <c r="Z1311" s="56"/>
      <c r="AA1311" s="56"/>
      <c r="AB1311" s="56"/>
      <c r="AC1311" s="56"/>
    </row>
    <row r="1312" spans="1:29" ht="15.75" customHeight="1">
      <c r="A1312" s="39"/>
      <c r="B1312" s="107"/>
      <c r="C1312" s="109"/>
      <c r="D1312" s="76"/>
      <c r="E1312" s="64"/>
      <c r="F1312" s="39"/>
      <c r="G1312" s="399">
        <f>IFERROR(VLOOKUP(A1312,醫療院所DATABASE!A:B,2,""),)</f>
        <v>0</v>
      </c>
      <c r="H1312" s="64"/>
      <c r="I1312" s="109"/>
      <c r="J1312" s="109"/>
      <c r="K1312" s="39"/>
      <c r="L1312" s="76"/>
      <c r="M1312" s="39"/>
      <c r="N1312" s="39"/>
      <c r="O1312" s="24"/>
      <c r="P1312" s="409"/>
      <c r="Q1312" s="76"/>
      <c r="R1312" s="76"/>
      <c r="S1312" s="24"/>
      <c r="T1312" s="24"/>
      <c r="U1312" s="64"/>
      <c r="V1312" s="56"/>
      <c r="W1312" s="56"/>
      <c r="X1312" s="56"/>
      <c r="Y1312" s="56"/>
      <c r="Z1312" s="56"/>
      <c r="AA1312" s="56"/>
      <c r="AB1312" s="56"/>
      <c r="AC1312" s="56"/>
    </row>
    <row r="1313" spans="1:29" ht="15.75" customHeight="1">
      <c r="A1313" s="39"/>
      <c r="B1313" s="107"/>
      <c r="C1313" s="109"/>
      <c r="D1313" s="76"/>
      <c r="E1313" s="64"/>
      <c r="F1313" s="39"/>
      <c r="G1313" s="399">
        <f>IFERROR(VLOOKUP(A1313,醫療院所DATABASE!A:B,2,""),)</f>
        <v>0</v>
      </c>
      <c r="H1313" s="64"/>
      <c r="I1313" s="109"/>
      <c r="J1313" s="109"/>
      <c r="K1313" s="39"/>
      <c r="L1313" s="76"/>
      <c r="M1313" s="39"/>
      <c r="N1313" s="39"/>
      <c r="O1313" s="24"/>
      <c r="P1313" s="409"/>
      <c r="Q1313" s="76"/>
      <c r="R1313" s="76"/>
      <c r="S1313" s="24"/>
      <c r="T1313" s="24"/>
      <c r="U1313" s="64"/>
      <c r="V1313" s="56"/>
      <c r="W1313" s="56"/>
      <c r="X1313" s="56"/>
      <c r="Y1313" s="56"/>
      <c r="Z1313" s="56"/>
      <c r="AA1313" s="56"/>
      <c r="AB1313" s="56"/>
      <c r="AC1313" s="56"/>
    </row>
    <row r="1314" spans="1:29" ht="15.75" customHeight="1">
      <c r="A1314" s="39"/>
      <c r="B1314" s="107"/>
      <c r="C1314" s="109"/>
      <c r="D1314" s="76"/>
      <c r="E1314" s="64"/>
      <c r="F1314" s="39"/>
      <c r="G1314" s="399">
        <f>IFERROR(VLOOKUP(A1314,醫療院所DATABASE!A:B,2,""),)</f>
        <v>0</v>
      </c>
      <c r="H1314" s="64"/>
      <c r="I1314" s="109"/>
      <c r="J1314" s="109"/>
      <c r="K1314" s="39"/>
      <c r="L1314" s="76"/>
      <c r="M1314" s="39"/>
      <c r="N1314" s="39"/>
      <c r="O1314" s="24"/>
      <c r="P1314" s="409"/>
      <c r="Q1314" s="76"/>
      <c r="R1314" s="76"/>
      <c r="S1314" s="24"/>
      <c r="T1314" s="24"/>
      <c r="U1314" s="64"/>
      <c r="V1314" s="56"/>
      <c r="W1314" s="56"/>
      <c r="X1314" s="56"/>
      <c r="Y1314" s="56"/>
      <c r="Z1314" s="56"/>
      <c r="AA1314" s="56"/>
      <c r="AB1314" s="56"/>
      <c r="AC1314" s="56"/>
    </row>
    <row r="1315" spans="1:29" ht="15.75" customHeight="1">
      <c r="A1315" s="39"/>
      <c r="B1315" s="107"/>
      <c r="C1315" s="109"/>
      <c r="D1315" s="76"/>
      <c r="E1315" s="64"/>
      <c r="F1315" s="39"/>
      <c r="G1315" s="399">
        <f>IFERROR(VLOOKUP(A1315,醫療院所DATABASE!A:B,2,""),)</f>
        <v>0</v>
      </c>
      <c r="H1315" s="64"/>
      <c r="I1315" s="109"/>
      <c r="J1315" s="109"/>
      <c r="K1315" s="39"/>
      <c r="L1315" s="76"/>
      <c r="M1315" s="39"/>
      <c r="N1315" s="39"/>
      <c r="O1315" s="24"/>
      <c r="P1315" s="409"/>
      <c r="Q1315" s="76"/>
      <c r="R1315" s="76"/>
      <c r="S1315" s="24"/>
      <c r="T1315" s="24"/>
      <c r="U1315" s="64"/>
      <c r="V1315" s="56"/>
      <c r="W1315" s="56"/>
      <c r="X1315" s="56"/>
      <c r="Y1315" s="56"/>
      <c r="Z1315" s="56"/>
      <c r="AA1315" s="56"/>
      <c r="AB1315" s="56"/>
      <c r="AC1315" s="56"/>
    </row>
    <row r="1316" spans="1:29" ht="15.75" customHeight="1">
      <c r="A1316" s="39"/>
      <c r="B1316" s="107"/>
      <c r="C1316" s="109"/>
      <c r="D1316" s="76"/>
      <c r="E1316" s="64"/>
      <c r="F1316" s="39"/>
      <c r="G1316" s="399">
        <f>IFERROR(VLOOKUP(A1316,醫療院所DATABASE!A:B,2,""),)</f>
        <v>0</v>
      </c>
      <c r="H1316" s="64"/>
      <c r="I1316" s="109"/>
      <c r="J1316" s="109"/>
      <c r="K1316" s="39"/>
      <c r="L1316" s="76"/>
      <c r="M1316" s="39"/>
      <c r="N1316" s="39"/>
      <c r="O1316" s="24"/>
      <c r="P1316" s="409"/>
      <c r="Q1316" s="76"/>
      <c r="R1316" s="76"/>
      <c r="S1316" s="24"/>
      <c r="T1316" s="24"/>
      <c r="U1316" s="64"/>
      <c r="V1316" s="56"/>
      <c r="W1316" s="56"/>
      <c r="X1316" s="56"/>
      <c r="Y1316" s="56"/>
      <c r="Z1316" s="56"/>
      <c r="AA1316" s="56"/>
      <c r="AB1316" s="56"/>
      <c r="AC1316" s="56"/>
    </row>
    <row r="1317" spans="1:29" ht="15.75" customHeight="1">
      <c r="A1317" s="39"/>
      <c r="B1317" s="107"/>
      <c r="C1317" s="109"/>
      <c r="D1317" s="76"/>
      <c r="E1317" s="64"/>
      <c r="F1317" s="39"/>
      <c r="G1317" s="399">
        <f>IFERROR(VLOOKUP(A1317,醫療院所DATABASE!A:B,2,""),)</f>
        <v>0</v>
      </c>
      <c r="H1317" s="64"/>
      <c r="I1317" s="109"/>
      <c r="J1317" s="109"/>
      <c r="K1317" s="39"/>
      <c r="L1317" s="76"/>
      <c r="M1317" s="39"/>
      <c r="N1317" s="39"/>
      <c r="O1317" s="24"/>
      <c r="P1317" s="409"/>
      <c r="Q1317" s="76"/>
      <c r="R1317" s="76"/>
      <c r="S1317" s="24"/>
      <c r="T1317" s="24"/>
      <c r="U1317" s="64"/>
      <c r="V1317" s="56"/>
      <c r="W1317" s="56"/>
      <c r="X1317" s="56"/>
      <c r="Y1317" s="56"/>
      <c r="Z1317" s="56"/>
      <c r="AA1317" s="56"/>
      <c r="AB1317" s="56"/>
      <c r="AC1317" s="56"/>
    </row>
    <row r="1318" spans="1:29" ht="15.75" customHeight="1">
      <c r="A1318" s="39"/>
      <c r="B1318" s="107"/>
      <c r="C1318" s="109"/>
      <c r="D1318" s="76"/>
      <c r="E1318" s="64"/>
      <c r="F1318" s="39"/>
      <c r="G1318" s="399">
        <f>IFERROR(VLOOKUP(A1318,醫療院所DATABASE!A:B,2,""),)</f>
        <v>0</v>
      </c>
      <c r="H1318" s="64"/>
      <c r="I1318" s="109"/>
      <c r="J1318" s="109"/>
      <c r="K1318" s="39"/>
      <c r="L1318" s="76"/>
      <c r="M1318" s="39"/>
      <c r="N1318" s="39"/>
      <c r="O1318" s="24"/>
      <c r="P1318" s="409"/>
      <c r="Q1318" s="76"/>
      <c r="R1318" s="76"/>
      <c r="S1318" s="24"/>
      <c r="T1318" s="24"/>
      <c r="U1318" s="64"/>
      <c r="V1318" s="56"/>
      <c r="W1318" s="56"/>
      <c r="X1318" s="56"/>
      <c r="Y1318" s="56"/>
      <c r="Z1318" s="56"/>
      <c r="AA1318" s="56"/>
      <c r="AB1318" s="56"/>
      <c r="AC1318" s="56"/>
    </row>
    <row r="1319" spans="1:29" ht="15.75" customHeight="1">
      <c r="A1319" s="39"/>
      <c r="B1319" s="107"/>
      <c r="C1319" s="109"/>
      <c r="D1319" s="76"/>
      <c r="E1319" s="64"/>
      <c r="F1319" s="39"/>
      <c r="G1319" s="399">
        <f>IFERROR(VLOOKUP(A1319,醫療院所DATABASE!A:B,2,""),)</f>
        <v>0</v>
      </c>
      <c r="H1319" s="64"/>
      <c r="I1319" s="109"/>
      <c r="J1319" s="109"/>
      <c r="K1319" s="39"/>
      <c r="L1319" s="76"/>
      <c r="M1319" s="39"/>
      <c r="N1319" s="39"/>
      <c r="O1319" s="24"/>
      <c r="P1319" s="409"/>
      <c r="Q1319" s="76"/>
      <c r="R1319" s="76"/>
      <c r="S1319" s="24"/>
      <c r="T1319" s="24"/>
      <c r="U1319" s="64"/>
      <c r="V1319" s="56"/>
      <c r="W1319" s="56"/>
      <c r="X1319" s="56"/>
      <c r="Y1319" s="56"/>
      <c r="Z1319" s="56"/>
      <c r="AA1319" s="56"/>
      <c r="AB1319" s="56"/>
      <c r="AC1319" s="56"/>
    </row>
    <row r="1320" spans="1:29" ht="15.75" customHeight="1">
      <c r="A1320" s="39"/>
      <c r="B1320" s="107"/>
      <c r="C1320" s="109"/>
      <c r="D1320" s="76"/>
      <c r="E1320" s="64"/>
      <c r="F1320" s="39"/>
      <c r="G1320" s="399">
        <f>IFERROR(VLOOKUP(A1320,醫療院所DATABASE!A:B,2,""),)</f>
        <v>0</v>
      </c>
      <c r="H1320" s="64"/>
      <c r="I1320" s="109"/>
      <c r="J1320" s="109"/>
      <c r="K1320" s="39"/>
      <c r="L1320" s="76"/>
      <c r="M1320" s="39"/>
      <c r="N1320" s="39"/>
      <c r="O1320" s="24"/>
      <c r="P1320" s="409"/>
      <c r="Q1320" s="76"/>
      <c r="R1320" s="76"/>
      <c r="S1320" s="24"/>
      <c r="T1320" s="24"/>
      <c r="U1320" s="64"/>
      <c r="V1320" s="56"/>
      <c r="W1320" s="56"/>
      <c r="X1320" s="56"/>
      <c r="Y1320" s="56"/>
      <c r="Z1320" s="56"/>
      <c r="AA1320" s="56"/>
      <c r="AB1320" s="56"/>
      <c r="AC1320" s="56"/>
    </row>
    <row r="1321" spans="1:29" ht="15.75" customHeight="1">
      <c r="A1321" s="39"/>
      <c r="B1321" s="107"/>
      <c r="C1321" s="109"/>
      <c r="D1321" s="76"/>
      <c r="E1321" s="64"/>
      <c r="F1321" s="39"/>
      <c r="G1321" s="399">
        <f>IFERROR(VLOOKUP(A1321,醫療院所DATABASE!A:B,2,""),)</f>
        <v>0</v>
      </c>
      <c r="H1321" s="64"/>
      <c r="I1321" s="109"/>
      <c r="J1321" s="109"/>
      <c r="K1321" s="39"/>
      <c r="L1321" s="76"/>
      <c r="M1321" s="39"/>
      <c r="N1321" s="39"/>
      <c r="O1321" s="24"/>
      <c r="P1321" s="409"/>
      <c r="Q1321" s="76"/>
      <c r="R1321" s="76"/>
      <c r="S1321" s="24"/>
      <c r="T1321" s="24"/>
      <c r="U1321" s="64"/>
      <c r="V1321" s="56"/>
      <c r="W1321" s="56"/>
      <c r="X1321" s="56"/>
      <c r="Y1321" s="56"/>
      <c r="Z1321" s="56"/>
      <c r="AA1321" s="56"/>
      <c r="AB1321" s="56"/>
      <c r="AC1321" s="56"/>
    </row>
    <row r="1322" spans="1:29" ht="15.75" customHeight="1">
      <c r="A1322" s="39"/>
      <c r="B1322" s="107"/>
      <c r="C1322" s="109"/>
      <c r="D1322" s="76"/>
      <c r="E1322" s="64"/>
      <c r="F1322" s="39"/>
      <c r="G1322" s="399">
        <f>IFERROR(VLOOKUP(A1322,醫療院所DATABASE!A:B,2,""),)</f>
        <v>0</v>
      </c>
      <c r="H1322" s="64"/>
      <c r="I1322" s="109"/>
      <c r="J1322" s="109"/>
      <c r="K1322" s="39"/>
      <c r="L1322" s="76"/>
      <c r="M1322" s="39"/>
      <c r="N1322" s="39"/>
      <c r="O1322" s="24"/>
      <c r="P1322" s="409"/>
      <c r="Q1322" s="76"/>
      <c r="R1322" s="76"/>
      <c r="S1322" s="24"/>
      <c r="T1322" s="24"/>
      <c r="U1322" s="64"/>
      <c r="V1322" s="56"/>
      <c r="W1322" s="56"/>
      <c r="X1322" s="56"/>
      <c r="Y1322" s="56"/>
      <c r="Z1322" s="56"/>
      <c r="AA1322" s="56"/>
      <c r="AB1322" s="56"/>
      <c r="AC1322" s="56"/>
    </row>
    <row r="1323" spans="1:29" ht="15.75" customHeight="1">
      <c r="A1323" s="39"/>
      <c r="B1323" s="107"/>
      <c r="C1323" s="109"/>
      <c r="D1323" s="76"/>
      <c r="E1323" s="64"/>
      <c r="F1323" s="39"/>
      <c r="G1323" s="399">
        <f>IFERROR(VLOOKUP(A1323,醫療院所DATABASE!A:B,2,""),)</f>
        <v>0</v>
      </c>
      <c r="H1323" s="64"/>
      <c r="I1323" s="109"/>
      <c r="J1323" s="109"/>
      <c r="K1323" s="39"/>
      <c r="L1323" s="76"/>
      <c r="M1323" s="39"/>
      <c r="N1323" s="39"/>
      <c r="O1323" s="24"/>
      <c r="P1323" s="409"/>
      <c r="Q1323" s="76"/>
      <c r="R1323" s="76"/>
      <c r="S1323" s="24"/>
      <c r="T1323" s="24"/>
      <c r="U1323" s="64"/>
      <c r="V1323" s="56"/>
      <c r="W1323" s="56"/>
      <c r="X1323" s="56"/>
      <c r="Y1323" s="56"/>
      <c r="Z1323" s="56"/>
      <c r="AA1323" s="56"/>
      <c r="AB1323" s="56"/>
      <c r="AC1323" s="56"/>
    </row>
    <row r="1324" spans="1:29" ht="15.75" customHeight="1">
      <c r="A1324" s="39"/>
      <c r="B1324" s="107"/>
      <c r="C1324" s="109"/>
      <c r="D1324" s="76"/>
      <c r="E1324" s="64"/>
      <c r="F1324" s="39"/>
      <c r="G1324" s="399">
        <f>IFERROR(VLOOKUP(A1324,醫療院所DATABASE!A:B,2,""),)</f>
        <v>0</v>
      </c>
      <c r="H1324" s="64"/>
      <c r="I1324" s="109"/>
      <c r="J1324" s="109"/>
      <c r="K1324" s="39"/>
      <c r="L1324" s="76"/>
      <c r="M1324" s="39"/>
      <c r="N1324" s="39"/>
      <c r="O1324" s="24"/>
      <c r="P1324" s="409"/>
      <c r="Q1324" s="76"/>
      <c r="R1324" s="76"/>
      <c r="S1324" s="24"/>
      <c r="T1324" s="24"/>
      <c r="U1324" s="64"/>
      <c r="V1324" s="56"/>
      <c r="W1324" s="56"/>
      <c r="X1324" s="56"/>
      <c r="Y1324" s="56"/>
      <c r="Z1324" s="56"/>
      <c r="AA1324" s="56"/>
      <c r="AB1324" s="56"/>
      <c r="AC1324" s="56"/>
    </row>
    <row r="1325" spans="1:29" ht="15.75" customHeight="1">
      <c r="A1325" s="39"/>
      <c r="B1325" s="107"/>
      <c r="C1325" s="109"/>
      <c r="D1325" s="76"/>
      <c r="E1325" s="64"/>
      <c r="F1325" s="39"/>
      <c r="G1325" s="399">
        <f>IFERROR(VLOOKUP(A1325,醫療院所DATABASE!A:B,2,""),)</f>
        <v>0</v>
      </c>
      <c r="H1325" s="64"/>
      <c r="I1325" s="109"/>
      <c r="J1325" s="109"/>
      <c r="K1325" s="39"/>
      <c r="L1325" s="76"/>
      <c r="M1325" s="39"/>
      <c r="N1325" s="39"/>
      <c r="O1325" s="24"/>
      <c r="P1325" s="409"/>
      <c r="Q1325" s="76"/>
      <c r="R1325" s="76"/>
      <c r="S1325" s="24"/>
      <c r="T1325" s="24"/>
      <c r="U1325" s="64"/>
      <c r="V1325" s="56"/>
      <c r="W1325" s="56"/>
      <c r="X1325" s="56"/>
      <c r="Y1325" s="56"/>
      <c r="Z1325" s="56"/>
      <c r="AA1325" s="56"/>
      <c r="AB1325" s="56"/>
      <c r="AC1325" s="56"/>
    </row>
    <row r="1326" spans="1:29" ht="15.75" customHeight="1">
      <c r="A1326" s="39"/>
      <c r="B1326" s="107"/>
      <c r="C1326" s="109"/>
      <c r="D1326" s="76"/>
      <c r="E1326" s="64"/>
      <c r="F1326" s="39"/>
      <c r="G1326" s="399">
        <f>IFERROR(VLOOKUP(A1326,醫療院所DATABASE!A:B,2,""),)</f>
        <v>0</v>
      </c>
      <c r="H1326" s="64"/>
      <c r="I1326" s="109"/>
      <c r="J1326" s="109"/>
      <c r="K1326" s="39"/>
      <c r="L1326" s="76"/>
      <c r="M1326" s="39"/>
      <c r="N1326" s="39"/>
      <c r="O1326" s="24"/>
      <c r="P1326" s="409"/>
      <c r="Q1326" s="76"/>
      <c r="R1326" s="76"/>
      <c r="S1326" s="24"/>
      <c r="T1326" s="24"/>
      <c r="U1326" s="64"/>
      <c r="V1326" s="56"/>
      <c r="W1326" s="56"/>
      <c r="X1326" s="56"/>
      <c r="Y1326" s="56"/>
      <c r="Z1326" s="56"/>
      <c r="AA1326" s="56"/>
      <c r="AB1326" s="56"/>
      <c r="AC1326" s="56"/>
    </row>
    <row r="1327" spans="1:29" ht="15.75" customHeight="1">
      <c r="A1327" s="39"/>
      <c r="B1327" s="107"/>
      <c r="C1327" s="109"/>
      <c r="D1327" s="76"/>
      <c r="E1327" s="64"/>
      <c r="F1327" s="39"/>
      <c r="G1327" s="399">
        <f>IFERROR(VLOOKUP(A1327,醫療院所DATABASE!A:B,2,""),)</f>
        <v>0</v>
      </c>
      <c r="H1327" s="64"/>
      <c r="I1327" s="109"/>
      <c r="J1327" s="109"/>
      <c r="K1327" s="39"/>
      <c r="L1327" s="76"/>
      <c r="M1327" s="39"/>
      <c r="N1327" s="39"/>
      <c r="O1327" s="24"/>
      <c r="P1327" s="409"/>
      <c r="Q1327" s="76"/>
      <c r="R1327" s="76"/>
      <c r="S1327" s="24"/>
      <c r="T1327" s="24"/>
      <c r="U1327" s="64"/>
      <c r="V1327" s="56"/>
      <c r="W1327" s="56"/>
      <c r="X1327" s="56"/>
      <c r="Y1327" s="56"/>
      <c r="Z1327" s="56"/>
      <c r="AA1327" s="56"/>
      <c r="AB1327" s="56"/>
      <c r="AC1327" s="56"/>
    </row>
    <row r="1328" spans="1:29" ht="15.75" customHeight="1">
      <c r="A1328" s="39"/>
      <c r="B1328" s="107"/>
      <c r="C1328" s="109"/>
      <c r="D1328" s="76"/>
      <c r="E1328" s="64"/>
      <c r="F1328" s="39"/>
      <c r="G1328" s="399">
        <f>IFERROR(VLOOKUP(A1328,醫療院所DATABASE!A:B,2,""),)</f>
        <v>0</v>
      </c>
      <c r="H1328" s="64"/>
      <c r="I1328" s="109"/>
      <c r="J1328" s="109"/>
      <c r="K1328" s="39"/>
      <c r="L1328" s="76"/>
      <c r="M1328" s="39"/>
      <c r="N1328" s="39"/>
      <c r="O1328" s="24"/>
      <c r="P1328" s="409"/>
      <c r="Q1328" s="76"/>
      <c r="R1328" s="76"/>
      <c r="S1328" s="24"/>
      <c r="T1328" s="24"/>
      <c r="U1328" s="64"/>
      <c r="V1328" s="56"/>
      <c r="W1328" s="56"/>
      <c r="X1328" s="56"/>
      <c r="Y1328" s="56"/>
      <c r="Z1328" s="56"/>
      <c r="AA1328" s="56"/>
      <c r="AB1328" s="56"/>
      <c r="AC1328" s="56"/>
    </row>
    <row r="1329" spans="1:29" ht="15.75" customHeight="1">
      <c r="A1329" s="39"/>
      <c r="B1329" s="107"/>
      <c r="C1329" s="109"/>
      <c r="D1329" s="76"/>
      <c r="E1329" s="64"/>
      <c r="F1329" s="39"/>
      <c r="G1329" s="399">
        <f>IFERROR(VLOOKUP(A1329,醫療院所DATABASE!A:B,2,""),)</f>
        <v>0</v>
      </c>
      <c r="H1329" s="64"/>
      <c r="I1329" s="109"/>
      <c r="J1329" s="109"/>
      <c r="K1329" s="39"/>
      <c r="L1329" s="76"/>
      <c r="M1329" s="39"/>
      <c r="N1329" s="39"/>
      <c r="O1329" s="24"/>
      <c r="P1329" s="409"/>
      <c r="Q1329" s="76"/>
      <c r="R1329" s="76"/>
      <c r="S1329" s="24"/>
      <c r="T1329" s="24"/>
      <c r="U1329" s="64"/>
      <c r="V1329" s="56"/>
      <c r="W1329" s="56"/>
      <c r="X1329" s="56"/>
      <c r="Y1329" s="56"/>
      <c r="Z1329" s="56"/>
      <c r="AA1329" s="56"/>
      <c r="AB1329" s="56"/>
      <c r="AC1329" s="56"/>
    </row>
    <row r="1330" spans="1:29" ht="15.75" customHeight="1">
      <c r="A1330" s="39"/>
      <c r="B1330" s="107"/>
      <c r="C1330" s="109"/>
      <c r="D1330" s="76"/>
      <c r="E1330" s="64"/>
      <c r="F1330" s="39"/>
      <c r="G1330" s="399">
        <f>IFERROR(VLOOKUP(A1330,醫療院所DATABASE!A:B,2,""),)</f>
        <v>0</v>
      </c>
      <c r="H1330" s="64"/>
      <c r="I1330" s="109"/>
      <c r="J1330" s="109"/>
      <c r="K1330" s="39"/>
      <c r="L1330" s="76"/>
      <c r="M1330" s="39"/>
      <c r="N1330" s="39"/>
      <c r="O1330" s="24"/>
      <c r="P1330" s="409"/>
      <c r="Q1330" s="76"/>
      <c r="R1330" s="76"/>
      <c r="S1330" s="24"/>
      <c r="T1330" s="24"/>
      <c r="U1330" s="64"/>
      <c r="V1330" s="56"/>
      <c r="W1330" s="56"/>
      <c r="X1330" s="56"/>
      <c r="Y1330" s="56"/>
      <c r="Z1330" s="56"/>
      <c r="AA1330" s="56"/>
      <c r="AB1330" s="56"/>
      <c r="AC1330" s="56"/>
    </row>
    <row r="1331" spans="1:29" ht="15.75" customHeight="1">
      <c r="A1331" s="39"/>
      <c r="B1331" s="107"/>
      <c r="C1331" s="109"/>
      <c r="D1331" s="76"/>
      <c r="E1331" s="64"/>
      <c r="F1331" s="39"/>
      <c r="G1331" s="399">
        <f>IFERROR(VLOOKUP(A1331,醫療院所DATABASE!A:B,2,""),)</f>
        <v>0</v>
      </c>
      <c r="H1331" s="64"/>
      <c r="I1331" s="109"/>
      <c r="J1331" s="109"/>
      <c r="K1331" s="39"/>
      <c r="L1331" s="76"/>
      <c r="M1331" s="39"/>
      <c r="N1331" s="39"/>
      <c r="O1331" s="24"/>
      <c r="P1331" s="409"/>
      <c r="Q1331" s="76"/>
      <c r="R1331" s="76"/>
      <c r="S1331" s="24"/>
      <c r="T1331" s="24"/>
      <c r="U1331" s="64"/>
      <c r="V1331" s="56"/>
      <c r="W1331" s="56"/>
      <c r="X1331" s="56"/>
      <c r="Y1331" s="56"/>
      <c r="Z1331" s="56"/>
      <c r="AA1331" s="56"/>
      <c r="AB1331" s="56"/>
      <c r="AC1331" s="56"/>
    </row>
    <row r="1332" spans="1:29" ht="15.75" customHeight="1">
      <c r="A1332" s="39"/>
      <c r="B1332" s="107"/>
      <c r="C1332" s="109"/>
      <c r="D1332" s="76"/>
      <c r="E1332" s="64"/>
      <c r="F1332" s="39"/>
      <c r="G1332" s="399">
        <f>IFERROR(VLOOKUP(A1332,醫療院所DATABASE!A:B,2,""),)</f>
        <v>0</v>
      </c>
      <c r="H1332" s="64"/>
      <c r="I1332" s="109"/>
      <c r="J1332" s="109"/>
      <c r="K1332" s="39"/>
      <c r="L1332" s="76"/>
      <c r="M1332" s="39"/>
      <c r="N1332" s="39"/>
      <c r="O1332" s="24"/>
      <c r="P1332" s="409"/>
      <c r="Q1332" s="76"/>
      <c r="R1332" s="76"/>
      <c r="S1332" s="24"/>
      <c r="T1332" s="24"/>
      <c r="U1332" s="64"/>
      <c r="V1332" s="56"/>
      <c r="W1332" s="56"/>
      <c r="X1332" s="56"/>
      <c r="Y1332" s="56"/>
      <c r="Z1332" s="56"/>
      <c r="AA1332" s="56"/>
      <c r="AB1332" s="56"/>
      <c r="AC1332" s="56"/>
    </row>
    <row r="1333" spans="1:29" ht="15.75" customHeight="1">
      <c r="A1333" s="39"/>
      <c r="B1333" s="107"/>
      <c r="C1333" s="109"/>
      <c r="D1333" s="76"/>
      <c r="E1333" s="64"/>
      <c r="F1333" s="39"/>
      <c r="G1333" s="399">
        <f>IFERROR(VLOOKUP(A1333,醫療院所DATABASE!A:B,2,""),)</f>
        <v>0</v>
      </c>
      <c r="H1333" s="64"/>
      <c r="I1333" s="109"/>
      <c r="J1333" s="109"/>
      <c r="K1333" s="39"/>
      <c r="L1333" s="76"/>
      <c r="M1333" s="39"/>
      <c r="N1333" s="39"/>
      <c r="O1333" s="24"/>
      <c r="P1333" s="409"/>
      <c r="Q1333" s="76"/>
      <c r="R1333" s="76"/>
      <c r="S1333" s="24"/>
      <c r="T1333" s="24"/>
      <c r="U1333" s="64"/>
      <c r="V1333" s="56"/>
      <c r="W1333" s="56"/>
      <c r="X1333" s="56"/>
      <c r="Y1333" s="56"/>
      <c r="Z1333" s="56"/>
      <c r="AA1333" s="56"/>
      <c r="AB1333" s="56"/>
      <c r="AC1333" s="56"/>
    </row>
    <row r="1334" spans="1:29" ht="15.75" customHeight="1">
      <c r="A1334" s="39"/>
      <c r="B1334" s="107"/>
      <c r="C1334" s="109"/>
      <c r="D1334" s="76"/>
      <c r="E1334" s="64"/>
      <c r="F1334" s="39"/>
      <c r="G1334" s="399">
        <f>IFERROR(VLOOKUP(A1334,醫療院所DATABASE!A:B,2,""),)</f>
        <v>0</v>
      </c>
      <c r="H1334" s="64"/>
      <c r="I1334" s="109"/>
      <c r="J1334" s="109"/>
      <c r="K1334" s="39"/>
      <c r="L1334" s="76"/>
      <c r="M1334" s="39"/>
      <c r="N1334" s="39"/>
      <c r="O1334" s="24"/>
      <c r="P1334" s="409"/>
      <c r="Q1334" s="76"/>
      <c r="R1334" s="76"/>
      <c r="S1334" s="24"/>
      <c r="T1334" s="24"/>
      <c r="U1334" s="64"/>
      <c r="V1334" s="56"/>
      <c r="W1334" s="56"/>
      <c r="X1334" s="56"/>
      <c r="Y1334" s="56"/>
      <c r="Z1334" s="56"/>
      <c r="AA1334" s="56"/>
      <c r="AB1334" s="56"/>
      <c r="AC1334" s="56"/>
    </row>
    <row r="1335" spans="1:29" ht="15.75" customHeight="1">
      <c r="A1335" s="39"/>
      <c r="B1335" s="107"/>
      <c r="C1335" s="109"/>
      <c r="D1335" s="76"/>
      <c r="E1335" s="64"/>
      <c r="F1335" s="39"/>
      <c r="G1335" s="399">
        <f>IFERROR(VLOOKUP(A1335,醫療院所DATABASE!A:B,2,""),)</f>
        <v>0</v>
      </c>
      <c r="H1335" s="64"/>
      <c r="I1335" s="109"/>
      <c r="J1335" s="109"/>
      <c r="K1335" s="39"/>
      <c r="L1335" s="76"/>
      <c r="M1335" s="39"/>
      <c r="N1335" s="39"/>
      <c r="O1335" s="24"/>
      <c r="P1335" s="409"/>
      <c r="Q1335" s="76"/>
      <c r="R1335" s="76"/>
      <c r="S1335" s="24"/>
      <c r="T1335" s="24"/>
      <c r="U1335" s="64"/>
      <c r="V1335" s="56"/>
      <c r="W1335" s="56"/>
      <c r="X1335" s="56"/>
      <c r="Y1335" s="56"/>
      <c r="Z1335" s="56"/>
      <c r="AA1335" s="56"/>
      <c r="AB1335" s="56"/>
      <c r="AC1335" s="56"/>
    </row>
    <row r="1336" spans="1:29" ht="15.75" customHeight="1">
      <c r="A1336" s="39"/>
      <c r="B1336" s="107"/>
      <c r="C1336" s="109"/>
      <c r="D1336" s="76"/>
      <c r="E1336" s="64"/>
      <c r="F1336" s="39"/>
      <c r="G1336" s="399">
        <f>IFERROR(VLOOKUP(A1336,醫療院所DATABASE!A:B,2,""),)</f>
        <v>0</v>
      </c>
      <c r="H1336" s="64"/>
      <c r="I1336" s="109"/>
      <c r="J1336" s="109"/>
      <c r="K1336" s="39"/>
      <c r="L1336" s="76"/>
      <c r="M1336" s="39"/>
      <c r="N1336" s="39"/>
      <c r="O1336" s="24"/>
      <c r="P1336" s="409"/>
      <c r="Q1336" s="76"/>
      <c r="R1336" s="76"/>
      <c r="S1336" s="24"/>
      <c r="T1336" s="24"/>
      <c r="U1336" s="64"/>
      <c r="V1336" s="56"/>
      <c r="W1336" s="56"/>
      <c r="X1336" s="56"/>
      <c r="Y1336" s="56"/>
      <c r="Z1336" s="56"/>
      <c r="AA1336" s="56"/>
      <c r="AB1336" s="56"/>
      <c r="AC1336" s="56"/>
    </row>
    <row r="1337" spans="1:29" ht="15.75" customHeight="1">
      <c r="A1337" s="39"/>
      <c r="B1337" s="107"/>
      <c r="C1337" s="109"/>
      <c r="D1337" s="76"/>
      <c r="E1337" s="64"/>
      <c r="F1337" s="39"/>
      <c r="G1337" s="399">
        <f>IFERROR(VLOOKUP(A1337,醫療院所DATABASE!A:B,2,""),)</f>
        <v>0</v>
      </c>
      <c r="H1337" s="64"/>
      <c r="I1337" s="109"/>
      <c r="J1337" s="109"/>
      <c r="K1337" s="39"/>
      <c r="L1337" s="76"/>
      <c r="M1337" s="39"/>
      <c r="N1337" s="39"/>
      <c r="O1337" s="24"/>
      <c r="P1337" s="409"/>
      <c r="Q1337" s="76"/>
      <c r="R1337" s="76"/>
      <c r="S1337" s="24"/>
      <c r="T1337" s="24"/>
      <c r="U1337" s="64"/>
      <c r="V1337" s="56"/>
      <c r="W1337" s="56"/>
      <c r="X1337" s="56"/>
      <c r="Y1337" s="56"/>
      <c r="Z1337" s="56"/>
      <c r="AA1337" s="56"/>
      <c r="AB1337" s="56"/>
      <c r="AC1337" s="56"/>
    </row>
    <row r="1338" spans="1:29" ht="15.75" customHeight="1">
      <c r="A1338" s="39"/>
      <c r="B1338" s="107"/>
      <c r="C1338" s="109"/>
      <c r="D1338" s="76"/>
      <c r="E1338" s="64"/>
      <c r="F1338" s="39"/>
      <c r="G1338" s="399">
        <f>IFERROR(VLOOKUP(A1338,醫療院所DATABASE!A:B,2,""),)</f>
        <v>0</v>
      </c>
      <c r="H1338" s="64"/>
      <c r="I1338" s="109"/>
      <c r="J1338" s="109"/>
      <c r="K1338" s="39"/>
      <c r="L1338" s="76"/>
      <c r="M1338" s="39"/>
      <c r="N1338" s="39"/>
      <c r="O1338" s="24"/>
      <c r="P1338" s="409"/>
      <c r="Q1338" s="76"/>
      <c r="R1338" s="76"/>
      <c r="S1338" s="24"/>
      <c r="T1338" s="24"/>
      <c r="U1338" s="64"/>
      <c r="V1338" s="56"/>
      <c r="W1338" s="56"/>
      <c r="X1338" s="56"/>
      <c r="Y1338" s="56"/>
      <c r="Z1338" s="56"/>
      <c r="AA1338" s="56"/>
      <c r="AB1338" s="56"/>
      <c r="AC1338" s="56"/>
    </row>
    <row r="1339" spans="1:29" ht="15.75" customHeight="1">
      <c r="A1339" s="39"/>
      <c r="B1339" s="107"/>
      <c r="C1339" s="109"/>
      <c r="D1339" s="76"/>
      <c r="E1339" s="64"/>
      <c r="F1339" s="39"/>
      <c r="G1339" s="399">
        <f>IFERROR(VLOOKUP(A1339,醫療院所DATABASE!A:B,2,""),)</f>
        <v>0</v>
      </c>
      <c r="H1339" s="64"/>
      <c r="I1339" s="109"/>
      <c r="J1339" s="109"/>
      <c r="K1339" s="39"/>
      <c r="L1339" s="76"/>
      <c r="M1339" s="39"/>
      <c r="N1339" s="39"/>
      <c r="O1339" s="24"/>
      <c r="P1339" s="409"/>
      <c r="Q1339" s="76"/>
      <c r="R1339" s="76"/>
      <c r="S1339" s="24"/>
      <c r="T1339" s="24"/>
      <c r="U1339" s="64"/>
      <c r="V1339" s="56"/>
      <c r="W1339" s="56"/>
      <c r="X1339" s="56"/>
      <c r="Y1339" s="56"/>
      <c r="Z1339" s="56"/>
      <c r="AA1339" s="56"/>
      <c r="AB1339" s="56"/>
      <c r="AC1339" s="56"/>
    </row>
    <row r="1340" spans="1:29" ht="15.75" customHeight="1">
      <c r="A1340" s="39"/>
      <c r="B1340" s="107"/>
      <c r="C1340" s="109"/>
      <c r="D1340" s="76"/>
      <c r="E1340" s="64"/>
      <c r="F1340" s="39"/>
      <c r="G1340" s="399">
        <f>IFERROR(VLOOKUP(A1340,醫療院所DATABASE!A:B,2,""),)</f>
        <v>0</v>
      </c>
      <c r="H1340" s="64"/>
      <c r="I1340" s="109"/>
      <c r="J1340" s="109"/>
      <c r="K1340" s="39"/>
      <c r="L1340" s="76"/>
      <c r="M1340" s="39"/>
      <c r="N1340" s="39"/>
      <c r="O1340" s="24"/>
      <c r="P1340" s="409"/>
      <c r="Q1340" s="76"/>
      <c r="R1340" s="76"/>
      <c r="S1340" s="24"/>
      <c r="T1340" s="24"/>
      <c r="U1340" s="64"/>
      <c r="V1340" s="56"/>
      <c r="W1340" s="56"/>
      <c r="X1340" s="56"/>
      <c r="Y1340" s="56"/>
      <c r="Z1340" s="56"/>
      <c r="AA1340" s="56"/>
      <c r="AB1340" s="56"/>
      <c r="AC1340" s="56"/>
    </row>
    <row r="1341" spans="1:29" ht="15.75" customHeight="1">
      <c r="A1341" s="39"/>
      <c r="B1341" s="107"/>
      <c r="C1341" s="109"/>
      <c r="D1341" s="76"/>
      <c r="E1341" s="64"/>
      <c r="F1341" s="39"/>
      <c r="G1341" s="399">
        <f>IFERROR(VLOOKUP(A1341,醫療院所DATABASE!A:B,2,""),)</f>
        <v>0</v>
      </c>
      <c r="H1341" s="64"/>
      <c r="I1341" s="109"/>
      <c r="J1341" s="109"/>
      <c r="K1341" s="39"/>
      <c r="L1341" s="76"/>
      <c r="M1341" s="39"/>
      <c r="N1341" s="39"/>
      <c r="O1341" s="24"/>
      <c r="P1341" s="409"/>
      <c r="Q1341" s="76"/>
      <c r="R1341" s="76"/>
      <c r="S1341" s="24"/>
      <c r="T1341" s="24"/>
      <c r="U1341" s="64"/>
      <c r="V1341" s="56"/>
      <c r="W1341" s="56"/>
      <c r="X1341" s="56"/>
      <c r="Y1341" s="56"/>
      <c r="Z1341" s="56"/>
      <c r="AA1341" s="56"/>
      <c r="AB1341" s="56"/>
      <c r="AC1341" s="56"/>
    </row>
    <row r="1342" spans="1:29" ht="15.75" customHeight="1">
      <c r="A1342" s="39"/>
      <c r="B1342" s="107"/>
      <c r="C1342" s="109"/>
      <c r="D1342" s="76"/>
      <c r="E1342" s="64"/>
      <c r="F1342" s="39"/>
      <c r="G1342" s="399">
        <f>IFERROR(VLOOKUP(A1342,醫療院所DATABASE!A:B,2,""),)</f>
        <v>0</v>
      </c>
      <c r="H1342" s="64"/>
      <c r="I1342" s="109"/>
      <c r="J1342" s="109"/>
      <c r="K1342" s="39"/>
      <c r="L1342" s="76"/>
      <c r="M1342" s="39"/>
      <c r="N1342" s="39"/>
      <c r="O1342" s="24"/>
      <c r="P1342" s="409"/>
      <c r="Q1342" s="76"/>
      <c r="R1342" s="76"/>
      <c r="S1342" s="24"/>
      <c r="T1342" s="24"/>
      <c r="U1342" s="64"/>
      <c r="V1342" s="56"/>
      <c r="W1342" s="56"/>
      <c r="X1342" s="56"/>
      <c r="Y1342" s="56"/>
      <c r="Z1342" s="56"/>
      <c r="AA1342" s="56"/>
      <c r="AB1342" s="56"/>
      <c r="AC1342" s="56"/>
    </row>
    <row r="1343" spans="1:29" ht="15.75" customHeight="1">
      <c r="A1343" s="39"/>
      <c r="B1343" s="107"/>
      <c r="C1343" s="109"/>
      <c r="D1343" s="76"/>
      <c r="E1343" s="64"/>
      <c r="F1343" s="39"/>
      <c r="G1343" s="399">
        <f>IFERROR(VLOOKUP(A1343,醫療院所DATABASE!A:B,2,""),)</f>
        <v>0</v>
      </c>
      <c r="H1343" s="64"/>
      <c r="I1343" s="109"/>
      <c r="J1343" s="109"/>
      <c r="K1343" s="39"/>
      <c r="L1343" s="76"/>
      <c r="M1343" s="39"/>
      <c r="N1343" s="39"/>
      <c r="O1343" s="24"/>
      <c r="P1343" s="409"/>
      <c r="Q1343" s="76"/>
      <c r="R1343" s="76"/>
      <c r="S1343" s="24"/>
      <c r="T1343" s="24"/>
      <c r="U1343" s="64"/>
      <c r="V1343" s="56"/>
      <c r="W1343" s="56"/>
      <c r="X1343" s="56"/>
      <c r="Y1343" s="56"/>
      <c r="Z1343" s="56"/>
      <c r="AA1343" s="56"/>
      <c r="AB1343" s="56"/>
      <c r="AC1343" s="56"/>
    </row>
    <row r="1344" spans="1:29" ht="15.75" customHeight="1">
      <c r="A1344" s="39"/>
      <c r="B1344" s="107"/>
      <c r="C1344" s="109"/>
      <c r="D1344" s="76"/>
      <c r="E1344" s="64"/>
      <c r="F1344" s="39"/>
      <c r="G1344" s="399">
        <f>IFERROR(VLOOKUP(A1344,醫療院所DATABASE!A:B,2,""),)</f>
        <v>0</v>
      </c>
      <c r="H1344" s="64"/>
      <c r="I1344" s="109"/>
      <c r="J1344" s="109"/>
      <c r="K1344" s="39"/>
      <c r="L1344" s="76"/>
      <c r="M1344" s="39"/>
      <c r="N1344" s="39"/>
      <c r="O1344" s="24"/>
      <c r="P1344" s="409"/>
      <c r="Q1344" s="76"/>
      <c r="R1344" s="76"/>
      <c r="S1344" s="24"/>
      <c r="T1344" s="24"/>
      <c r="U1344" s="64"/>
      <c r="V1344" s="56"/>
      <c r="W1344" s="56"/>
      <c r="X1344" s="56"/>
      <c r="Y1344" s="56"/>
      <c r="Z1344" s="56"/>
      <c r="AA1344" s="56"/>
      <c r="AB1344" s="56"/>
      <c r="AC1344" s="56"/>
    </row>
    <row r="1345" spans="1:29" ht="15.75" customHeight="1">
      <c r="A1345" s="39"/>
      <c r="B1345" s="107"/>
      <c r="C1345" s="109"/>
      <c r="D1345" s="76"/>
      <c r="E1345" s="64"/>
      <c r="F1345" s="39"/>
      <c r="G1345" s="399">
        <f>IFERROR(VLOOKUP(A1345,醫療院所DATABASE!A:B,2,""),)</f>
        <v>0</v>
      </c>
      <c r="H1345" s="64"/>
      <c r="I1345" s="109"/>
      <c r="J1345" s="109"/>
      <c r="K1345" s="39"/>
      <c r="L1345" s="76"/>
      <c r="M1345" s="39"/>
      <c r="N1345" s="39"/>
      <c r="O1345" s="24"/>
      <c r="P1345" s="409"/>
      <c r="Q1345" s="76"/>
      <c r="R1345" s="76"/>
      <c r="S1345" s="24"/>
      <c r="T1345" s="24"/>
      <c r="U1345" s="64"/>
      <c r="V1345" s="56"/>
      <c r="W1345" s="56"/>
      <c r="X1345" s="56"/>
      <c r="Y1345" s="56"/>
      <c r="Z1345" s="56"/>
      <c r="AA1345" s="56"/>
      <c r="AB1345" s="56"/>
      <c r="AC1345" s="56"/>
    </row>
    <row r="1346" spans="1:29" ht="15.75" customHeight="1">
      <c r="A1346" s="39"/>
      <c r="B1346" s="107"/>
      <c r="C1346" s="109"/>
      <c r="D1346" s="76"/>
      <c r="E1346" s="64"/>
      <c r="F1346" s="39"/>
      <c r="G1346" s="399">
        <f>IFERROR(VLOOKUP(A1346,醫療院所DATABASE!A:B,2,""),)</f>
        <v>0</v>
      </c>
      <c r="H1346" s="64"/>
      <c r="I1346" s="109"/>
      <c r="J1346" s="109"/>
      <c r="K1346" s="39"/>
      <c r="L1346" s="76"/>
      <c r="M1346" s="39"/>
      <c r="N1346" s="39"/>
      <c r="O1346" s="24"/>
      <c r="P1346" s="409"/>
      <c r="Q1346" s="76"/>
      <c r="R1346" s="76"/>
      <c r="S1346" s="24"/>
      <c r="T1346" s="24"/>
      <c r="U1346" s="64"/>
      <c r="V1346" s="56"/>
      <c r="W1346" s="56"/>
      <c r="X1346" s="56"/>
      <c r="Y1346" s="56"/>
      <c r="Z1346" s="56"/>
      <c r="AA1346" s="56"/>
      <c r="AB1346" s="56"/>
      <c r="AC1346" s="56"/>
    </row>
    <row r="1347" spans="1:29" ht="15.75" customHeight="1">
      <c r="A1347" s="39"/>
      <c r="B1347" s="107"/>
      <c r="C1347" s="109"/>
      <c r="D1347" s="76"/>
      <c r="E1347" s="64"/>
      <c r="F1347" s="39"/>
      <c r="G1347" s="399">
        <f>IFERROR(VLOOKUP(A1347,醫療院所DATABASE!A:B,2,""),)</f>
        <v>0</v>
      </c>
      <c r="H1347" s="64"/>
      <c r="I1347" s="109"/>
      <c r="J1347" s="109"/>
      <c r="K1347" s="39"/>
      <c r="L1347" s="76"/>
      <c r="M1347" s="39"/>
      <c r="N1347" s="39"/>
      <c r="O1347" s="24"/>
      <c r="P1347" s="409"/>
      <c r="Q1347" s="76"/>
      <c r="R1347" s="76"/>
      <c r="S1347" s="24"/>
      <c r="T1347" s="24"/>
      <c r="U1347" s="64"/>
      <c r="V1347" s="56"/>
      <c r="W1347" s="56"/>
      <c r="X1347" s="56"/>
      <c r="Y1347" s="56"/>
      <c r="Z1347" s="56"/>
      <c r="AA1347" s="56"/>
      <c r="AB1347" s="56"/>
      <c r="AC1347" s="56"/>
    </row>
    <row r="1348" spans="1:29" ht="15.75" customHeight="1">
      <c r="A1348" s="39"/>
      <c r="B1348" s="107"/>
      <c r="C1348" s="109"/>
      <c r="D1348" s="76"/>
      <c r="E1348" s="64"/>
      <c r="F1348" s="39"/>
      <c r="G1348" s="399">
        <f>IFERROR(VLOOKUP(A1348,醫療院所DATABASE!A:B,2,""),)</f>
        <v>0</v>
      </c>
      <c r="H1348" s="64"/>
      <c r="I1348" s="109"/>
      <c r="J1348" s="109"/>
      <c r="K1348" s="39"/>
      <c r="L1348" s="76"/>
      <c r="M1348" s="39"/>
      <c r="N1348" s="39"/>
      <c r="O1348" s="24"/>
      <c r="P1348" s="409"/>
      <c r="Q1348" s="76"/>
      <c r="R1348" s="76"/>
      <c r="S1348" s="24"/>
      <c r="T1348" s="24"/>
      <c r="U1348" s="64"/>
      <c r="V1348" s="56"/>
      <c r="W1348" s="56"/>
      <c r="X1348" s="56"/>
      <c r="Y1348" s="56"/>
      <c r="Z1348" s="56"/>
      <c r="AA1348" s="56"/>
      <c r="AB1348" s="56"/>
      <c r="AC1348" s="56"/>
    </row>
    <row r="1349" spans="1:29" ht="15.75" customHeight="1">
      <c r="A1349" s="39"/>
      <c r="B1349" s="107"/>
      <c r="C1349" s="109"/>
      <c r="D1349" s="76"/>
      <c r="E1349" s="64"/>
      <c r="F1349" s="39"/>
      <c r="G1349" s="399">
        <f>IFERROR(VLOOKUP(A1349,醫療院所DATABASE!A:B,2,""),)</f>
        <v>0</v>
      </c>
      <c r="H1349" s="64"/>
      <c r="I1349" s="109"/>
      <c r="J1349" s="109"/>
      <c r="K1349" s="39"/>
      <c r="L1349" s="76"/>
      <c r="M1349" s="39"/>
      <c r="N1349" s="39"/>
      <c r="O1349" s="24"/>
      <c r="P1349" s="409"/>
      <c r="Q1349" s="76"/>
      <c r="R1349" s="76"/>
      <c r="S1349" s="24"/>
      <c r="T1349" s="24"/>
      <c r="U1349" s="64"/>
      <c r="V1349" s="56"/>
      <c r="W1349" s="56"/>
      <c r="X1349" s="56"/>
      <c r="Y1349" s="56"/>
      <c r="Z1349" s="56"/>
      <c r="AA1349" s="56"/>
      <c r="AB1349" s="56"/>
      <c r="AC1349" s="56"/>
    </row>
    <row r="1350" spans="1:29" ht="15.75" customHeight="1">
      <c r="A1350" s="39"/>
      <c r="B1350" s="107"/>
      <c r="C1350" s="109"/>
      <c r="D1350" s="76"/>
      <c r="E1350" s="64"/>
      <c r="F1350" s="39"/>
      <c r="G1350" s="399">
        <f>IFERROR(VLOOKUP(A1350,醫療院所DATABASE!A:B,2,""),)</f>
        <v>0</v>
      </c>
      <c r="H1350" s="64"/>
      <c r="I1350" s="109"/>
      <c r="J1350" s="109"/>
      <c r="K1350" s="39"/>
      <c r="L1350" s="76"/>
      <c r="M1350" s="39"/>
      <c r="N1350" s="39"/>
      <c r="O1350" s="24"/>
      <c r="P1350" s="409"/>
      <c r="Q1350" s="76"/>
      <c r="R1350" s="76"/>
      <c r="S1350" s="24"/>
      <c r="T1350" s="24"/>
      <c r="U1350" s="64"/>
      <c r="V1350" s="56"/>
      <c r="W1350" s="56"/>
      <c r="X1350" s="56"/>
      <c r="Y1350" s="56"/>
      <c r="Z1350" s="56"/>
      <c r="AA1350" s="56"/>
      <c r="AB1350" s="56"/>
      <c r="AC1350" s="56"/>
    </row>
    <row r="1351" spans="1:29" ht="15.75" customHeight="1">
      <c r="A1351" s="39"/>
      <c r="B1351" s="107"/>
      <c r="C1351" s="109"/>
      <c r="D1351" s="76"/>
      <c r="E1351" s="64"/>
      <c r="F1351" s="39"/>
      <c r="G1351" s="399">
        <f>IFERROR(VLOOKUP(A1351,醫療院所DATABASE!A:B,2,""),)</f>
        <v>0</v>
      </c>
      <c r="H1351" s="64"/>
      <c r="I1351" s="109"/>
      <c r="J1351" s="109"/>
      <c r="K1351" s="39"/>
      <c r="L1351" s="76"/>
      <c r="M1351" s="39"/>
      <c r="N1351" s="39"/>
      <c r="O1351" s="24"/>
      <c r="P1351" s="409"/>
      <c r="Q1351" s="76"/>
      <c r="R1351" s="76"/>
      <c r="S1351" s="24"/>
      <c r="T1351" s="24"/>
      <c r="U1351" s="64"/>
      <c r="V1351" s="56"/>
      <c r="W1351" s="56"/>
      <c r="X1351" s="56"/>
      <c r="Y1351" s="56"/>
      <c r="Z1351" s="56"/>
      <c r="AA1351" s="56"/>
      <c r="AB1351" s="56"/>
      <c r="AC1351" s="56"/>
    </row>
    <row r="1352" spans="1:29" ht="15.75" customHeight="1">
      <c r="A1352" s="39"/>
      <c r="B1352" s="107"/>
      <c r="C1352" s="109"/>
      <c r="D1352" s="76"/>
      <c r="E1352" s="64"/>
      <c r="F1352" s="39"/>
      <c r="G1352" s="399">
        <f>IFERROR(VLOOKUP(A1352,醫療院所DATABASE!A:B,2,""),)</f>
        <v>0</v>
      </c>
      <c r="H1352" s="64"/>
      <c r="I1352" s="109"/>
      <c r="J1352" s="109"/>
      <c r="K1352" s="39"/>
      <c r="L1352" s="76"/>
      <c r="M1352" s="39"/>
      <c r="N1352" s="39"/>
      <c r="O1352" s="24"/>
      <c r="P1352" s="409"/>
      <c r="Q1352" s="76"/>
      <c r="R1352" s="76"/>
      <c r="S1352" s="24"/>
      <c r="T1352" s="24"/>
      <c r="U1352" s="64"/>
      <c r="V1352" s="56"/>
      <c r="W1352" s="56"/>
      <c r="X1352" s="56"/>
      <c r="Y1352" s="56"/>
      <c r="Z1352" s="56"/>
      <c r="AA1352" s="56"/>
      <c r="AB1352" s="56"/>
      <c r="AC1352" s="56"/>
    </row>
    <row r="1353" spans="1:29" ht="15.75" customHeight="1">
      <c r="A1353" s="39"/>
      <c r="B1353" s="107"/>
      <c r="C1353" s="109"/>
      <c r="D1353" s="76"/>
      <c r="E1353" s="64"/>
      <c r="F1353" s="39"/>
      <c r="G1353" s="399">
        <f>IFERROR(VLOOKUP(A1353,醫療院所DATABASE!A:B,2,""),)</f>
        <v>0</v>
      </c>
      <c r="H1353" s="64"/>
      <c r="I1353" s="109"/>
      <c r="J1353" s="109"/>
      <c r="K1353" s="39"/>
      <c r="L1353" s="76"/>
      <c r="M1353" s="39"/>
      <c r="N1353" s="39"/>
      <c r="O1353" s="24"/>
      <c r="P1353" s="409"/>
      <c r="Q1353" s="76"/>
      <c r="R1353" s="76"/>
      <c r="S1353" s="24"/>
      <c r="T1353" s="24"/>
      <c r="U1353" s="64"/>
      <c r="V1353" s="56"/>
      <c r="W1353" s="56"/>
      <c r="X1353" s="56"/>
      <c r="Y1353" s="56"/>
      <c r="Z1353" s="56"/>
      <c r="AA1353" s="56"/>
      <c r="AB1353" s="56"/>
      <c r="AC1353" s="56"/>
    </row>
    <row r="1354" spans="1:29" ht="15.75" customHeight="1">
      <c r="A1354" s="39"/>
      <c r="B1354" s="107"/>
      <c r="C1354" s="109"/>
      <c r="D1354" s="76"/>
      <c r="E1354" s="64"/>
      <c r="F1354" s="39"/>
      <c r="G1354" s="399">
        <f>IFERROR(VLOOKUP(A1354,醫療院所DATABASE!A:B,2,""),)</f>
        <v>0</v>
      </c>
      <c r="H1354" s="64"/>
      <c r="I1354" s="109"/>
      <c r="J1354" s="109"/>
      <c r="K1354" s="39"/>
      <c r="L1354" s="76"/>
      <c r="M1354" s="39"/>
      <c r="N1354" s="39"/>
      <c r="O1354" s="24"/>
      <c r="P1354" s="409"/>
      <c r="Q1354" s="76"/>
      <c r="R1354" s="76"/>
      <c r="S1354" s="24"/>
      <c r="T1354" s="24"/>
      <c r="U1354" s="64"/>
      <c r="V1354" s="56"/>
      <c r="W1354" s="56"/>
      <c r="X1354" s="56"/>
      <c r="Y1354" s="56"/>
      <c r="Z1354" s="56"/>
      <c r="AA1354" s="56"/>
      <c r="AB1354" s="56"/>
      <c r="AC1354" s="56"/>
    </row>
    <row r="1355" spans="1:29" ht="15.75" customHeight="1">
      <c r="A1355" s="39"/>
      <c r="B1355" s="107"/>
      <c r="C1355" s="109"/>
      <c r="D1355" s="76"/>
      <c r="E1355" s="64"/>
      <c r="F1355" s="39"/>
      <c r="G1355" s="399">
        <f>IFERROR(VLOOKUP(A1355,醫療院所DATABASE!A:B,2,""),)</f>
        <v>0</v>
      </c>
      <c r="H1355" s="64"/>
      <c r="I1355" s="109"/>
      <c r="J1355" s="109"/>
      <c r="K1355" s="39"/>
      <c r="L1355" s="76"/>
      <c r="M1355" s="39"/>
      <c r="N1355" s="39"/>
      <c r="O1355" s="24"/>
      <c r="P1355" s="409"/>
      <c r="Q1355" s="76"/>
      <c r="R1355" s="76"/>
      <c r="S1355" s="24"/>
      <c r="T1355" s="24"/>
      <c r="U1355" s="64"/>
      <c r="V1355" s="56"/>
      <c r="W1355" s="56"/>
      <c r="X1355" s="56"/>
      <c r="Y1355" s="56"/>
      <c r="Z1355" s="56"/>
      <c r="AA1355" s="56"/>
      <c r="AB1355" s="56"/>
      <c r="AC1355" s="56"/>
    </row>
    <row r="1356" spans="1:29" ht="15.75" customHeight="1">
      <c r="A1356" s="39"/>
      <c r="B1356" s="107"/>
      <c r="C1356" s="109"/>
      <c r="D1356" s="76"/>
      <c r="E1356" s="64"/>
      <c r="F1356" s="39"/>
      <c r="G1356" s="399">
        <f>IFERROR(VLOOKUP(A1356,醫療院所DATABASE!A:B,2,""),)</f>
        <v>0</v>
      </c>
      <c r="H1356" s="64"/>
      <c r="I1356" s="109"/>
      <c r="J1356" s="109"/>
      <c r="K1356" s="39"/>
      <c r="L1356" s="76"/>
      <c r="M1356" s="39"/>
      <c r="N1356" s="39"/>
      <c r="O1356" s="24"/>
      <c r="P1356" s="409"/>
      <c r="Q1356" s="76"/>
      <c r="R1356" s="76"/>
      <c r="S1356" s="24"/>
      <c r="T1356" s="24"/>
      <c r="U1356" s="64"/>
      <c r="V1356" s="56"/>
      <c r="W1356" s="56"/>
      <c r="X1356" s="56"/>
      <c r="Y1356" s="56"/>
      <c r="Z1356" s="56"/>
      <c r="AA1356" s="56"/>
      <c r="AB1356" s="56"/>
      <c r="AC1356" s="56"/>
    </row>
    <row r="1357" spans="1:29" ht="15.75" customHeight="1">
      <c r="A1357" s="39"/>
      <c r="B1357" s="107"/>
      <c r="C1357" s="109"/>
      <c r="D1357" s="76"/>
      <c r="E1357" s="64"/>
      <c r="F1357" s="39"/>
      <c r="G1357" s="399">
        <f>IFERROR(VLOOKUP(A1357,醫療院所DATABASE!A:B,2,""),)</f>
        <v>0</v>
      </c>
      <c r="H1357" s="64"/>
      <c r="I1357" s="109"/>
      <c r="J1357" s="109"/>
      <c r="K1357" s="39"/>
      <c r="L1357" s="76"/>
      <c r="M1357" s="39"/>
      <c r="N1357" s="39"/>
      <c r="O1357" s="24"/>
      <c r="P1357" s="409"/>
      <c r="Q1357" s="76"/>
      <c r="R1357" s="76"/>
      <c r="S1357" s="24"/>
      <c r="T1357" s="24"/>
      <c r="U1357" s="64"/>
      <c r="V1357" s="56"/>
      <c r="W1357" s="56"/>
      <c r="X1357" s="56"/>
      <c r="Y1357" s="56"/>
      <c r="Z1357" s="56"/>
      <c r="AA1357" s="56"/>
      <c r="AB1357" s="56"/>
      <c r="AC1357" s="56"/>
    </row>
    <row r="1358" spans="1:29" ht="15.75" customHeight="1">
      <c r="A1358" s="39"/>
      <c r="B1358" s="107"/>
      <c r="C1358" s="109"/>
      <c r="D1358" s="76"/>
      <c r="E1358" s="64"/>
      <c r="F1358" s="39"/>
      <c r="G1358" s="399">
        <f>IFERROR(VLOOKUP(A1358,醫療院所DATABASE!A:B,2,""),)</f>
        <v>0</v>
      </c>
      <c r="H1358" s="64"/>
      <c r="I1358" s="109"/>
      <c r="J1358" s="109"/>
      <c r="K1358" s="39"/>
      <c r="L1358" s="76"/>
      <c r="M1358" s="39"/>
      <c r="N1358" s="39"/>
      <c r="O1358" s="24"/>
      <c r="P1358" s="409"/>
      <c r="Q1358" s="76"/>
      <c r="R1358" s="76"/>
      <c r="S1358" s="24"/>
      <c r="T1358" s="24"/>
      <c r="U1358" s="64"/>
      <c r="V1358" s="56"/>
      <c r="W1358" s="56"/>
      <c r="X1358" s="56"/>
      <c r="Y1358" s="56"/>
      <c r="Z1358" s="56"/>
      <c r="AA1358" s="56"/>
      <c r="AB1358" s="56"/>
      <c r="AC1358" s="56"/>
    </row>
    <row r="1359" spans="1:29" ht="15.75" customHeight="1">
      <c r="A1359" s="39"/>
      <c r="B1359" s="107"/>
      <c r="C1359" s="109"/>
      <c r="D1359" s="76"/>
      <c r="E1359" s="64"/>
      <c r="F1359" s="39"/>
      <c r="G1359" s="399">
        <f>IFERROR(VLOOKUP(A1359,醫療院所DATABASE!A:B,2,""),)</f>
        <v>0</v>
      </c>
      <c r="H1359" s="64"/>
      <c r="I1359" s="109"/>
      <c r="J1359" s="109"/>
      <c r="K1359" s="39"/>
      <c r="L1359" s="76"/>
      <c r="M1359" s="39"/>
      <c r="N1359" s="39"/>
      <c r="O1359" s="24"/>
      <c r="P1359" s="409"/>
      <c r="Q1359" s="76"/>
      <c r="R1359" s="76"/>
      <c r="S1359" s="24"/>
      <c r="T1359" s="24"/>
      <c r="U1359" s="64"/>
      <c r="V1359" s="56"/>
      <c r="W1359" s="56"/>
      <c r="X1359" s="56"/>
      <c r="Y1359" s="56"/>
      <c r="Z1359" s="56"/>
      <c r="AA1359" s="56"/>
      <c r="AB1359" s="56"/>
      <c r="AC1359" s="56"/>
    </row>
    <row r="1360" spans="1:29" ht="15.75" customHeight="1">
      <c r="A1360" s="39"/>
      <c r="B1360" s="107"/>
      <c r="C1360" s="109"/>
      <c r="D1360" s="76"/>
      <c r="E1360" s="64"/>
      <c r="F1360" s="39"/>
      <c r="G1360" s="399">
        <f>IFERROR(VLOOKUP(A1360,醫療院所DATABASE!A:B,2,""),)</f>
        <v>0</v>
      </c>
      <c r="H1360" s="64"/>
      <c r="I1360" s="109"/>
      <c r="J1360" s="109"/>
      <c r="K1360" s="39"/>
      <c r="L1360" s="76"/>
      <c r="M1360" s="39"/>
      <c r="N1360" s="39"/>
      <c r="O1360" s="24"/>
      <c r="P1360" s="409"/>
      <c r="Q1360" s="76"/>
      <c r="R1360" s="76"/>
      <c r="S1360" s="24"/>
      <c r="T1360" s="24"/>
      <c r="U1360" s="64"/>
      <c r="V1360" s="56"/>
      <c r="W1360" s="56"/>
      <c r="X1360" s="56"/>
      <c r="Y1360" s="56"/>
      <c r="Z1360" s="56"/>
      <c r="AA1360" s="56"/>
      <c r="AB1360" s="56"/>
      <c r="AC1360" s="56"/>
    </row>
    <row r="1361" spans="1:29" ht="15.75" customHeight="1">
      <c r="A1361" s="39"/>
      <c r="B1361" s="107"/>
      <c r="C1361" s="109"/>
      <c r="D1361" s="76"/>
      <c r="E1361" s="64"/>
      <c r="F1361" s="39"/>
      <c r="G1361" s="399">
        <f>IFERROR(VLOOKUP(A1361,醫療院所DATABASE!A:B,2,""),)</f>
        <v>0</v>
      </c>
      <c r="H1361" s="64"/>
      <c r="I1361" s="109"/>
      <c r="J1361" s="109"/>
      <c r="K1361" s="39"/>
      <c r="L1361" s="76"/>
      <c r="M1361" s="39"/>
      <c r="N1361" s="39"/>
      <c r="O1361" s="24"/>
      <c r="P1361" s="409"/>
      <c r="Q1361" s="76"/>
      <c r="R1361" s="76"/>
      <c r="S1361" s="24"/>
      <c r="T1361" s="24"/>
      <c r="U1361" s="64"/>
      <c r="V1361" s="56"/>
      <c r="W1361" s="56"/>
      <c r="X1361" s="56"/>
      <c r="Y1361" s="56"/>
      <c r="Z1361" s="56"/>
      <c r="AA1361" s="56"/>
      <c r="AB1361" s="56"/>
      <c r="AC1361" s="56"/>
    </row>
    <row r="1362" spans="1:29" ht="15.75" customHeight="1">
      <c r="A1362" s="39"/>
      <c r="B1362" s="107"/>
      <c r="C1362" s="109"/>
      <c r="D1362" s="76"/>
      <c r="E1362" s="64"/>
      <c r="F1362" s="39"/>
      <c r="G1362" s="399">
        <f>IFERROR(VLOOKUP(A1362,醫療院所DATABASE!A:B,2,""),)</f>
        <v>0</v>
      </c>
      <c r="H1362" s="64"/>
      <c r="I1362" s="109"/>
      <c r="J1362" s="109"/>
      <c r="K1362" s="39"/>
      <c r="L1362" s="76"/>
      <c r="M1362" s="39"/>
      <c r="N1362" s="39"/>
      <c r="O1362" s="24"/>
      <c r="P1362" s="409"/>
      <c r="Q1362" s="76"/>
      <c r="R1362" s="76"/>
      <c r="S1362" s="24"/>
      <c r="T1362" s="24"/>
      <c r="U1362" s="64"/>
      <c r="V1362" s="56"/>
      <c r="W1362" s="56"/>
      <c r="X1362" s="56"/>
      <c r="Y1362" s="56"/>
      <c r="Z1362" s="56"/>
      <c r="AA1362" s="56"/>
      <c r="AB1362" s="56"/>
      <c r="AC1362" s="56"/>
    </row>
    <row r="1363" spans="1:29" ht="15.75" customHeight="1">
      <c r="A1363" s="39"/>
      <c r="B1363" s="107"/>
      <c r="C1363" s="109"/>
      <c r="D1363" s="76"/>
      <c r="E1363" s="64"/>
      <c r="F1363" s="39"/>
      <c r="G1363" s="399">
        <f>IFERROR(VLOOKUP(A1363,醫療院所DATABASE!A:B,2,""),)</f>
        <v>0</v>
      </c>
      <c r="H1363" s="64"/>
      <c r="I1363" s="109"/>
      <c r="J1363" s="109"/>
      <c r="K1363" s="39"/>
      <c r="L1363" s="76"/>
      <c r="M1363" s="39"/>
      <c r="N1363" s="39"/>
      <c r="O1363" s="24"/>
      <c r="P1363" s="409"/>
      <c r="Q1363" s="76"/>
      <c r="R1363" s="76"/>
      <c r="S1363" s="24"/>
      <c r="T1363" s="24"/>
      <c r="U1363" s="64"/>
      <c r="V1363" s="56"/>
      <c r="W1363" s="56"/>
      <c r="X1363" s="56"/>
      <c r="Y1363" s="56"/>
      <c r="Z1363" s="56"/>
      <c r="AA1363" s="56"/>
      <c r="AB1363" s="56"/>
      <c r="AC1363" s="56"/>
    </row>
    <row r="1364" spans="1:29" ht="15.75" customHeight="1">
      <c r="A1364" s="39"/>
      <c r="B1364" s="107"/>
      <c r="C1364" s="109"/>
      <c r="D1364" s="76"/>
      <c r="E1364" s="64"/>
      <c r="F1364" s="39"/>
      <c r="G1364" s="399">
        <f>IFERROR(VLOOKUP(A1364,醫療院所DATABASE!A:B,2,""),)</f>
        <v>0</v>
      </c>
      <c r="H1364" s="64"/>
      <c r="I1364" s="109"/>
      <c r="J1364" s="109"/>
      <c r="K1364" s="39"/>
      <c r="L1364" s="76"/>
      <c r="M1364" s="39"/>
      <c r="N1364" s="39"/>
      <c r="O1364" s="24"/>
      <c r="P1364" s="409"/>
      <c r="Q1364" s="76"/>
      <c r="R1364" s="76"/>
      <c r="S1364" s="24"/>
      <c r="T1364" s="24"/>
      <c r="U1364" s="64"/>
      <c r="V1364" s="56"/>
      <c r="W1364" s="56"/>
      <c r="X1364" s="56"/>
      <c r="Y1364" s="56"/>
      <c r="Z1364" s="56"/>
      <c r="AA1364" s="56"/>
      <c r="AB1364" s="56"/>
      <c r="AC1364" s="56"/>
    </row>
    <row r="1365" spans="1:29" ht="15.75" customHeight="1">
      <c r="A1365" s="39"/>
      <c r="B1365" s="107"/>
      <c r="C1365" s="109"/>
      <c r="D1365" s="76"/>
      <c r="E1365" s="64"/>
      <c r="F1365" s="39"/>
      <c r="G1365" s="399">
        <f>IFERROR(VLOOKUP(A1365,醫療院所DATABASE!A:B,2,""),)</f>
        <v>0</v>
      </c>
      <c r="H1365" s="64"/>
      <c r="I1365" s="109"/>
      <c r="J1365" s="109"/>
      <c r="K1365" s="39"/>
      <c r="L1365" s="76"/>
      <c r="M1365" s="39"/>
      <c r="N1365" s="39"/>
      <c r="O1365" s="24"/>
      <c r="P1365" s="409"/>
      <c r="Q1365" s="76"/>
      <c r="R1365" s="76"/>
      <c r="S1365" s="24"/>
      <c r="T1365" s="24"/>
      <c r="U1365" s="64"/>
      <c r="V1365" s="56"/>
      <c r="W1365" s="56"/>
      <c r="X1365" s="56"/>
      <c r="Y1365" s="56"/>
      <c r="Z1365" s="56"/>
      <c r="AA1365" s="56"/>
      <c r="AB1365" s="56"/>
      <c r="AC1365" s="56"/>
    </row>
    <row r="1366" spans="1:29" ht="15.75" customHeight="1">
      <c r="A1366" s="39"/>
      <c r="B1366" s="107"/>
      <c r="C1366" s="109"/>
      <c r="D1366" s="76"/>
      <c r="E1366" s="64"/>
      <c r="F1366" s="39"/>
      <c r="G1366" s="399">
        <f>IFERROR(VLOOKUP(A1366,醫療院所DATABASE!A:B,2,""),)</f>
        <v>0</v>
      </c>
      <c r="H1366" s="64"/>
      <c r="I1366" s="109"/>
      <c r="J1366" s="109"/>
      <c r="K1366" s="39"/>
      <c r="L1366" s="76"/>
      <c r="M1366" s="39"/>
      <c r="N1366" s="39"/>
      <c r="O1366" s="24"/>
      <c r="P1366" s="409"/>
      <c r="Q1366" s="76"/>
      <c r="R1366" s="76"/>
      <c r="S1366" s="24"/>
      <c r="T1366" s="24"/>
      <c r="U1366" s="64"/>
      <c r="V1366" s="56"/>
      <c r="W1366" s="56"/>
      <c r="X1366" s="56"/>
      <c r="Y1366" s="56"/>
      <c r="Z1366" s="56"/>
      <c r="AA1366" s="56"/>
      <c r="AB1366" s="56"/>
      <c r="AC1366" s="56"/>
    </row>
    <row r="1367" spans="1:29" ht="15.75" customHeight="1">
      <c r="A1367" s="39"/>
      <c r="B1367" s="107"/>
      <c r="C1367" s="109"/>
      <c r="D1367" s="76"/>
      <c r="E1367" s="64"/>
      <c r="F1367" s="39"/>
      <c r="G1367" s="399">
        <f>IFERROR(VLOOKUP(A1367,醫療院所DATABASE!A:B,2,""),)</f>
        <v>0</v>
      </c>
      <c r="H1367" s="64"/>
      <c r="I1367" s="109"/>
      <c r="J1367" s="109"/>
      <c r="K1367" s="39"/>
      <c r="L1367" s="76"/>
      <c r="M1367" s="39"/>
      <c r="N1367" s="39"/>
      <c r="O1367" s="24"/>
      <c r="P1367" s="409"/>
      <c r="Q1367" s="76"/>
      <c r="R1367" s="76"/>
      <c r="S1367" s="24"/>
      <c r="T1367" s="24"/>
      <c r="U1367" s="64"/>
      <c r="V1367" s="56"/>
      <c r="W1367" s="56"/>
      <c r="X1367" s="56"/>
      <c r="Y1367" s="56"/>
      <c r="Z1367" s="56"/>
      <c r="AA1367" s="56"/>
      <c r="AB1367" s="56"/>
      <c r="AC1367" s="56"/>
    </row>
    <row r="1368" spans="1:29" ht="15.75" customHeight="1">
      <c r="A1368" s="39"/>
      <c r="B1368" s="107"/>
      <c r="C1368" s="109"/>
      <c r="D1368" s="76"/>
      <c r="E1368" s="64"/>
      <c r="F1368" s="39"/>
      <c r="G1368" s="399">
        <f>IFERROR(VLOOKUP(A1368,醫療院所DATABASE!A:B,2,""),)</f>
        <v>0</v>
      </c>
      <c r="H1368" s="64"/>
      <c r="I1368" s="109"/>
      <c r="J1368" s="109"/>
      <c r="K1368" s="39"/>
      <c r="L1368" s="76"/>
      <c r="M1368" s="39"/>
      <c r="N1368" s="39"/>
      <c r="O1368" s="24"/>
      <c r="P1368" s="409"/>
      <c r="Q1368" s="76"/>
      <c r="R1368" s="76"/>
      <c r="S1368" s="24"/>
      <c r="T1368" s="24"/>
      <c r="U1368" s="64"/>
      <c r="V1368" s="56"/>
      <c r="W1368" s="56"/>
      <c r="X1368" s="56"/>
      <c r="Y1368" s="56"/>
      <c r="Z1368" s="56"/>
      <c r="AA1368" s="56"/>
      <c r="AB1368" s="56"/>
      <c r="AC1368" s="56"/>
    </row>
    <row r="1369" spans="1:29" ht="15.75" customHeight="1">
      <c r="A1369" s="39"/>
      <c r="B1369" s="107"/>
      <c r="C1369" s="109"/>
      <c r="D1369" s="76"/>
      <c r="E1369" s="64"/>
      <c r="F1369" s="39"/>
      <c r="G1369" s="399">
        <f>IFERROR(VLOOKUP(A1369,醫療院所DATABASE!A:B,2,""),)</f>
        <v>0</v>
      </c>
      <c r="H1369" s="64"/>
      <c r="I1369" s="109"/>
      <c r="J1369" s="109"/>
      <c r="K1369" s="39"/>
      <c r="L1369" s="76"/>
      <c r="M1369" s="39"/>
      <c r="N1369" s="39"/>
      <c r="O1369" s="24"/>
      <c r="P1369" s="409"/>
      <c r="Q1369" s="76"/>
      <c r="R1369" s="76"/>
      <c r="S1369" s="24"/>
      <c r="T1369" s="24"/>
      <c r="U1369" s="64"/>
      <c r="V1369" s="56"/>
      <c r="W1369" s="56"/>
      <c r="X1369" s="56"/>
      <c r="Y1369" s="56"/>
      <c r="Z1369" s="56"/>
      <c r="AA1369" s="56"/>
      <c r="AB1369" s="56"/>
      <c r="AC1369" s="56"/>
    </row>
    <row r="1370" spans="1:29" ht="15.75" customHeight="1">
      <c r="A1370" s="39"/>
      <c r="B1370" s="107"/>
      <c r="C1370" s="109"/>
      <c r="D1370" s="76"/>
      <c r="E1370" s="64"/>
      <c r="F1370" s="39"/>
      <c r="G1370" s="399">
        <f>IFERROR(VLOOKUP(A1370,醫療院所DATABASE!A:B,2,""),)</f>
        <v>0</v>
      </c>
      <c r="H1370" s="64"/>
      <c r="I1370" s="109"/>
      <c r="J1370" s="109"/>
      <c r="K1370" s="39"/>
      <c r="L1370" s="76"/>
      <c r="M1370" s="39"/>
      <c r="N1370" s="39"/>
      <c r="O1370" s="24"/>
      <c r="P1370" s="409"/>
      <c r="Q1370" s="76"/>
      <c r="R1370" s="76"/>
      <c r="S1370" s="24"/>
      <c r="T1370" s="24"/>
      <c r="U1370" s="64"/>
      <c r="V1370" s="56"/>
      <c r="W1370" s="56"/>
      <c r="X1370" s="56"/>
      <c r="Y1370" s="56"/>
      <c r="Z1370" s="56"/>
      <c r="AA1370" s="56"/>
      <c r="AB1370" s="56"/>
      <c r="AC1370" s="56"/>
    </row>
    <row r="1371" spans="1:29" ht="15.75" customHeight="1">
      <c r="A1371" s="39"/>
      <c r="B1371" s="107"/>
      <c r="C1371" s="109"/>
      <c r="D1371" s="76"/>
      <c r="E1371" s="64"/>
      <c r="F1371" s="39"/>
      <c r="G1371" s="399">
        <f>IFERROR(VLOOKUP(A1371,醫療院所DATABASE!A:B,2,""),)</f>
        <v>0</v>
      </c>
      <c r="H1371" s="64"/>
      <c r="I1371" s="109"/>
      <c r="J1371" s="109"/>
      <c r="K1371" s="39"/>
      <c r="L1371" s="76"/>
      <c r="M1371" s="39"/>
      <c r="N1371" s="39"/>
      <c r="O1371" s="24"/>
      <c r="P1371" s="409"/>
      <c r="Q1371" s="76"/>
      <c r="R1371" s="76"/>
      <c r="S1371" s="24"/>
      <c r="T1371" s="24"/>
      <c r="U1371" s="64"/>
      <c r="V1371" s="56"/>
      <c r="W1371" s="56"/>
      <c r="X1371" s="56"/>
      <c r="Y1371" s="56"/>
      <c r="Z1371" s="56"/>
      <c r="AA1371" s="56"/>
      <c r="AB1371" s="56"/>
      <c r="AC1371" s="56"/>
    </row>
    <row r="1372" spans="1:29" ht="15.75" customHeight="1">
      <c r="A1372" s="39"/>
      <c r="B1372" s="107"/>
      <c r="C1372" s="109"/>
      <c r="D1372" s="76"/>
      <c r="E1372" s="64"/>
      <c r="F1372" s="39"/>
      <c r="G1372" s="399">
        <f>IFERROR(VLOOKUP(A1372,醫療院所DATABASE!A:B,2,""),)</f>
        <v>0</v>
      </c>
      <c r="H1372" s="64"/>
      <c r="I1372" s="109"/>
      <c r="J1372" s="109"/>
      <c r="K1372" s="39"/>
      <c r="L1372" s="76"/>
      <c r="M1372" s="39"/>
      <c r="N1372" s="39"/>
      <c r="O1372" s="24"/>
      <c r="P1372" s="409"/>
      <c r="Q1372" s="76"/>
      <c r="R1372" s="76"/>
      <c r="S1372" s="24"/>
      <c r="T1372" s="24"/>
      <c r="U1372" s="64"/>
      <c r="V1372" s="56"/>
      <c r="W1372" s="56"/>
      <c r="X1372" s="56"/>
      <c r="Y1372" s="56"/>
      <c r="Z1372" s="56"/>
      <c r="AA1372" s="56"/>
      <c r="AB1372" s="56"/>
      <c r="AC1372" s="56"/>
    </row>
    <row r="1373" spans="1:29" ht="15.75" customHeight="1">
      <c r="A1373" s="39"/>
      <c r="B1373" s="107"/>
      <c r="C1373" s="109"/>
      <c r="D1373" s="76"/>
      <c r="E1373" s="64"/>
      <c r="F1373" s="39"/>
      <c r="G1373" s="399">
        <f>IFERROR(VLOOKUP(A1373,醫療院所DATABASE!A:B,2,""),)</f>
        <v>0</v>
      </c>
      <c r="H1373" s="64"/>
      <c r="I1373" s="109"/>
      <c r="J1373" s="109"/>
      <c r="K1373" s="39"/>
      <c r="L1373" s="76"/>
      <c r="M1373" s="39"/>
      <c r="N1373" s="39"/>
      <c r="O1373" s="24"/>
      <c r="P1373" s="409"/>
      <c r="Q1373" s="76"/>
      <c r="R1373" s="76"/>
      <c r="S1373" s="24"/>
      <c r="T1373" s="24"/>
      <c r="U1373" s="64"/>
      <c r="V1373" s="56"/>
      <c r="W1373" s="56"/>
      <c r="X1373" s="56"/>
      <c r="Y1373" s="56"/>
      <c r="Z1373" s="56"/>
      <c r="AA1373" s="56"/>
      <c r="AB1373" s="56"/>
      <c r="AC1373" s="56"/>
    </row>
    <row r="1374" spans="1:29" ht="15.75" customHeight="1">
      <c r="A1374" s="39"/>
      <c r="B1374" s="107"/>
      <c r="C1374" s="109"/>
      <c r="D1374" s="76"/>
      <c r="E1374" s="64"/>
      <c r="F1374" s="39"/>
      <c r="G1374" s="399">
        <f>IFERROR(VLOOKUP(A1374,醫療院所DATABASE!A:B,2,""),)</f>
        <v>0</v>
      </c>
      <c r="H1374" s="64"/>
      <c r="I1374" s="109"/>
      <c r="J1374" s="109"/>
      <c r="K1374" s="39"/>
      <c r="L1374" s="76"/>
      <c r="M1374" s="39"/>
      <c r="N1374" s="39"/>
      <c r="O1374" s="24"/>
      <c r="P1374" s="409"/>
      <c r="Q1374" s="76"/>
      <c r="R1374" s="76"/>
      <c r="S1374" s="24"/>
      <c r="T1374" s="24"/>
      <c r="U1374" s="64"/>
      <c r="V1374" s="56"/>
      <c r="W1374" s="56"/>
      <c r="X1374" s="56"/>
      <c r="Y1374" s="56"/>
      <c r="Z1374" s="56"/>
      <c r="AA1374" s="56"/>
      <c r="AB1374" s="56"/>
      <c r="AC1374" s="56"/>
    </row>
    <row r="1375" spans="1:29" ht="15.75" customHeight="1">
      <c r="A1375" s="39"/>
      <c r="B1375" s="107"/>
      <c r="C1375" s="109"/>
      <c r="D1375" s="76"/>
      <c r="E1375" s="64"/>
      <c r="F1375" s="39"/>
      <c r="G1375" s="399">
        <f>IFERROR(VLOOKUP(A1375,醫療院所DATABASE!A:B,2,""),)</f>
        <v>0</v>
      </c>
      <c r="H1375" s="64"/>
      <c r="I1375" s="109"/>
      <c r="J1375" s="109"/>
      <c r="K1375" s="39"/>
      <c r="L1375" s="76"/>
      <c r="M1375" s="39"/>
      <c r="N1375" s="39"/>
      <c r="O1375" s="24"/>
      <c r="P1375" s="409"/>
      <c r="Q1375" s="76"/>
      <c r="R1375" s="76"/>
      <c r="S1375" s="24"/>
      <c r="T1375" s="24"/>
      <c r="U1375" s="64"/>
      <c r="V1375" s="56"/>
      <c r="W1375" s="56"/>
      <c r="X1375" s="56"/>
      <c r="Y1375" s="56"/>
      <c r="Z1375" s="56"/>
      <c r="AA1375" s="56"/>
      <c r="AB1375" s="56"/>
      <c r="AC1375" s="56"/>
    </row>
    <row r="1376" spans="1:29" ht="15.75" customHeight="1">
      <c r="A1376" s="39"/>
      <c r="B1376" s="107"/>
      <c r="C1376" s="109"/>
      <c r="D1376" s="76"/>
      <c r="E1376" s="64"/>
      <c r="F1376" s="39"/>
      <c r="G1376" s="399">
        <f>IFERROR(VLOOKUP(A1376,醫療院所DATABASE!A:B,2,""),)</f>
        <v>0</v>
      </c>
      <c r="H1376" s="64"/>
      <c r="I1376" s="109"/>
      <c r="J1376" s="109"/>
      <c r="K1376" s="39"/>
      <c r="L1376" s="76"/>
      <c r="M1376" s="39"/>
      <c r="N1376" s="39"/>
      <c r="O1376" s="24"/>
      <c r="P1376" s="409"/>
      <c r="Q1376" s="76"/>
      <c r="R1376" s="76"/>
      <c r="S1376" s="24"/>
      <c r="T1376" s="24"/>
      <c r="U1376" s="64"/>
      <c r="V1376" s="56"/>
      <c r="W1376" s="56"/>
      <c r="X1376" s="56"/>
      <c r="Y1376" s="56"/>
      <c r="Z1376" s="56"/>
      <c r="AA1376" s="56"/>
      <c r="AB1376" s="56"/>
      <c r="AC1376" s="56"/>
    </row>
    <row r="1377" spans="1:29" ht="15.75" customHeight="1">
      <c r="A1377" s="39"/>
      <c r="B1377" s="107"/>
      <c r="C1377" s="109"/>
      <c r="D1377" s="76"/>
      <c r="E1377" s="64"/>
      <c r="F1377" s="39"/>
      <c r="G1377" s="399">
        <f>IFERROR(VLOOKUP(A1377,醫療院所DATABASE!A:B,2,""),)</f>
        <v>0</v>
      </c>
      <c r="H1377" s="64"/>
      <c r="I1377" s="109"/>
      <c r="J1377" s="109"/>
      <c r="K1377" s="39"/>
      <c r="L1377" s="76"/>
      <c r="M1377" s="39"/>
      <c r="N1377" s="39"/>
      <c r="O1377" s="24"/>
      <c r="P1377" s="409"/>
      <c r="Q1377" s="76"/>
      <c r="R1377" s="76"/>
      <c r="S1377" s="24"/>
      <c r="T1377" s="24"/>
      <c r="U1377" s="64"/>
      <c r="V1377" s="56"/>
      <c r="W1377" s="56"/>
      <c r="X1377" s="56"/>
      <c r="Y1377" s="56"/>
      <c r="Z1377" s="56"/>
      <c r="AA1377" s="56"/>
      <c r="AB1377" s="56"/>
      <c r="AC1377" s="56"/>
    </row>
    <row r="1378" spans="1:29" ht="15.75" customHeight="1">
      <c r="A1378" s="39"/>
      <c r="B1378" s="107"/>
      <c r="C1378" s="109"/>
      <c r="D1378" s="76"/>
      <c r="E1378" s="64"/>
      <c r="F1378" s="39"/>
      <c r="G1378" s="399">
        <f>IFERROR(VLOOKUP(A1378,醫療院所DATABASE!A:B,2,""),)</f>
        <v>0</v>
      </c>
      <c r="H1378" s="64"/>
      <c r="I1378" s="109"/>
      <c r="J1378" s="109"/>
      <c r="K1378" s="39"/>
      <c r="L1378" s="76"/>
      <c r="M1378" s="39"/>
      <c r="N1378" s="39"/>
      <c r="O1378" s="24"/>
      <c r="P1378" s="409"/>
      <c r="Q1378" s="76"/>
      <c r="R1378" s="76"/>
      <c r="S1378" s="24"/>
      <c r="T1378" s="24"/>
      <c r="U1378" s="64"/>
      <c r="V1378" s="56"/>
      <c r="W1378" s="56"/>
      <c r="X1378" s="56"/>
      <c r="Y1378" s="56"/>
      <c r="Z1378" s="56"/>
      <c r="AA1378" s="56"/>
      <c r="AB1378" s="56"/>
      <c r="AC1378" s="56"/>
    </row>
    <row r="1379" spans="1:29" ht="15.75" customHeight="1">
      <c r="A1379" s="39"/>
      <c r="B1379" s="107"/>
      <c r="C1379" s="109"/>
      <c r="D1379" s="76"/>
      <c r="E1379" s="64"/>
      <c r="F1379" s="39"/>
      <c r="G1379" s="399">
        <f>IFERROR(VLOOKUP(A1379,醫療院所DATABASE!A:B,2,""),)</f>
        <v>0</v>
      </c>
      <c r="H1379" s="64"/>
      <c r="I1379" s="109"/>
      <c r="J1379" s="109"/>
      <c r="K1379" s="39"/>
      <c r="L1379" s="76"/>
      <c r="M1379" s="39"/>
      <c r="N1379" s="39"/>
      <c r="O1379" s="24"/>
      <c r="P1379" s="409"/>
      <c r="Q1379" s="76"/>
      <c r="R1379" s="76"/>
      <c r="S1379" s="24"/>
      <c r="T1379" s="24"/>
      <c r="U1379" s="64"/>
      <c r="V1379" s="56"/>
      <c r="W1379" s="56"/>
      <c r="X1379" s="56"/>
      <c r="Y1379" s="56"/>
      <c r="Z1379" s="56"/>
      <c r="AA1379" s="56"/>
      <c r="AB1379" s="56"/>
      <c r="AC1379" s="56"/>
    </row>
    <row r="1380" spans="1:29" ht="15.75" customHeight="1">
      <c r="A1380" s="39"/>
      <c r="B1380" s="107"/>
      <c r="C1380" s="109"/>
      <c r="D1380" s="76"/>
      <c r="E1380" s="64"/>
      <c r="F1380" s="39"/>
      <c r="G1380" s="399">
        <f>IFERROR(VLOOKUP(A1380,醫療院所DATABASE!A:B,2,""),)</f>
        <v>0</v>
      </c>
      <c r="H1380" s="64"/>
      <c r="I1380" s="109"/>
      <c r="J1380" s="109"/>
      <c r="K1380" s="39"/>
      <c r="L1380" s="76"/>
      <c r="M1380" s="39"/>
      <c r="N1380" s="39"/>
      <c r="O1380" s="24"/>
      <c r="P1380" s="409"/>
      <c r="Q1380" s="76"/>
      <c r="R1380" s="76"/>
      <c r="S1380" s="24"/>
      <c r="T1380" s="24"/>
      <c r="U1380" s="64"/>
      <c r="V1380" s="56"/>
      <c r="W1380" s="56"/>
      <c r="X1380" s="56"/>
      <c r="Y1380" s="56"/>
      <c r="Z1380" s="56"/>
      <c r="AA1380" s="56"/>
      <c r="AB1380" s="56"/>
      <c r="AC1380" s="56"/>
    </row>
    <row r="1381" spans="1:29" ht="15.75" customHeight="1">
      <c r="A1381" s="39"/>
      <c r="B1381" s="107"/>
      <c r="C1381" s="109"/>
      <c r="D1381" s="76"/>
      <c r="E1381" s="64"/>
      <c r="F1381" s="39"/>
      <c r="G1381" s="399">
        <f>IFERROR(VLOOKUP(A1381,醫療院所DATABASE!A:B,2,""),)</f>
        <v>0</v>
      </c>
      <c r="H1381" s="64"/>
      <c r="I1381" s="109"/>
      <c r="J1381" s="109"/>
      <c r="K1381" s="39"/>
      <c r="L1381" s="76"/>
      <c r="M1381" s="39"/>
      <c r="N1381" s="39"/>
      <c r="O1381" s="24"/>
      <c r="P1381" s="409"/>
      <c r="Q1381" s="76"/>
      <c r="R1381" s="76"/>
      <c r="S1381" s="24"/>
      <c r="T1381" s="24"/>
      <c r="U1381" s="64"/>
      <c r="V1381" s="56"/>
      <c r="W1381" s="56"/>
      <c r="X1381" s="56"/>
      <c r="Y1381" s="56"/>
      <c r="Z1381" s="56"/>
      <c r="AA1381" s="56"/>
      <c r="AB1381" s="56"/>
      <c r="AC1381" s="56"/>
    </row>
    <row r="1382" spans="1:29" ht="15.75" customHeight="1">
      <c r="A1382" s="39"/>
      <c r="B1382" s="107"/>
      <c r="C1382" s="109"/>
      <c r="D1382" s="76"/>
      <c r="E1382" s="64"/>
      <c r="F1382" s="39"/>
      <c r="G1382" s="399">
        <f>IFERROR(VLOOKUP(A1382,醫療院所DATABASE!A:B,2,""),)</f>
        <v>0</v>
      </c>
      <c r="H1382" s="64"/>
      <c r="I1382" s="109"/>
      <c r="J1382" s="109"/>
      <c r="K1382" s="39"/>
      <c r="L1382" s="76"/>
      <c r="M1382" s="39"/>
      <c r="N1382" s="39"/>
      <c r="O1382" s="24"/>
      <c r="P1382" s="409"/>
      <c r="Q1382" s="76"/>
      <c r="R1382" s="76"/>
      <c r="S1382" s="24"/>
      <c r="T1382" s="24"/>
      <c r="U1382" s="64"/>
      <c r="V1382" s="56"/>
      <c r="W1382" s="56"/>
      <c r="X1382" s="56"/>
      <c r="Y1382" s="56"/>
      <c r="Z1382" s="56"/>
      <c r="AA1382" s="56"/>
      <c r="AB1382" s="56"/>
      <c r="AC1382" s="56"/>
    </row>
    <row r="1383" spans="1:29" ht="15.75" customHeight="1">
      <c r="A1383" s="39"/>
      <c r="B1383" s="107"/>
      <c r="C1383" s="109"/>
      <c r="D1383" s="76"/>
      <c r="E1383" s="64"/>
      <c r="F1383" s="39"/>
      <c r="G1383" s="399">
        <f>IFERROR(VLOOKUP(A1383,醫療院所DATABASE!A:B,2,""),)</f>
        <v>0</v>
      </c>
      <c r="H1383" s="64"/>
      <c r="I1383" s="109"/>
      <c r="J1383" s="109"/>
      <c r="K1383" s="39"/>
      <c r="L1383" s="76"/>
      <c r="M1383" s="39"/>
      <c r="N1383" s="39"/>
      <c r="O1383" s="24"/>
      <c r="P1383" s="409"/>
      <c r="Q1383" s="76"/>
      <c r="R1383" s="76"/>
      <c r="S1383" s="24"/>
      <c r="T1383" s="24"/>
      <c r="U1383" s="64"/>
      <c r="V1383" s="56"/>
      <c r="W1383" s="56"/>
      <c r="X1383" s="56"/>
      <c r="Y1383" s="56"/>
      <c r="Z1383" s="56"/>
      <c r="AA1383" s="56"/>
      <c r="AB1383" s="56"/>
      <c r="AC1383" s="56"/>
    </row>
    <row r="1384" spans="1:29" ht="15.75" customHeight="1">
      <c r="A1384" s="39"/>
      <c r="B1384" s="107"/>
      <c r="C1384" s="109"/>
      <c r="D1384" s="76"/>
      <c r="E1384" s="64"/>
      <c r="F1384" s="39"/>
      <c r="G1384" s="399">
        <f>IFERROR(VLOOKUP(A1384,醫療院所DATABASE!A:B,2,""),)</f>
        <v>0</v>
      </c>
      <c r="H1384" s="64"/>
      <c r="I1384" s="109"/>
      <c r="J1384" s="109"/>
      <c r="K1384" s="39"/>
      <c r="L1384" s="76"/>
      <c r="M1384" s="39"/>
      <c r="N1384" s="39"/>
      <c r="O1384" s="24"/>
      <c r="P1384" s="409"/>
      <c r="Q1384" s="76"/>
      <c r="R1384" s="76"/>
      <c r="S1384" s="24"/>
      <c r="T1384" s="24"/>
      <c r="U1384" s="64"/>
      <c r="V1384" s="56"/>
      <c r="W1384" s="56"/>
      <c r="X1384" s="56"/>
      <c r="Y1384" s="56"/>
      <c r="Z1384" s="56"/>
      <c r="AA1384" s="56"/>
      <c r="AB1384" s="56"/>
      <c r="AC1384" s="56"/>
    </row>
    <row r="1385" spans="1:29" ht="15.75" customHeight="1">
      <c r="A1385" s="39"/>
      <c r="B1385" s="107"/>
      <c r="C1385" s="109"/>
      <c r="D1385" s="76"/>
      <c r="E1385" s="64"/>
      <c r="F1385" s="39"/>
      <c r="G1385" s="399">
        <f>IFERROR(VLOOKUP(A1385,醫療院所DATABASE!A:B,2,""),)</f>
        <v>0</v>
      </c>
      <c r="H1385" s="64"/>
      <c r="I1385" s="109"/>
      <c r="J1385" s="109"/>
      <c r="K1385" s="39"/>
      <c r="L1385" s="76"/>
      <c r="M1385" s="39"/>
      <c r="N1385" s="39"/>
      <c r="O1385" s="24"/>
      <c r="P1385" s="409"/>
      <c r="Q1385" s="76"/>
      <c r="R1385" s="76"/>
      <c r="S1385" s="24"/>
      <c r="T1385" s="24"/>
      <c r="U1385" s="64"/>
      <c r="V1385" s="56"/>
      <c r="W1385" s="56"/>
      <c r="X1385" s="56"/>
      <c r="Y1385" s="56"/>
      <c r="Z1385" s="56"/>
      <c r="AA1385" s="56"/>
      <c r="AB1385" s="56"/>
      <c r="AC1385" s="56"/>
    </row>
    <row r="1386" spans="1:29" ht="15.75" customHeight="1">
      <c r="A1386" s="39"/>
      <c r="B1386" s="107"/>
      <c r="C1386" s="109"/>
      <c r="D1386" s="76"/>
      <c r="E1386" s="64"/>
      <c r="F1386" s="39"/>
      <c r="G1386" s="399">
        <f>IFERROR(VLOOKUP(A1386,醫療院所DATABASE!A:B,2,""),)</f>
        <v>0</v>
      </c>
      <c r="H1386" s="64"/>
      <c r="I1386" s="109"/>
      <c r="J1386" s="109"/>
      <c r="K1386" s="39"/>
      <c r="L1386" s="76"/>
      <c r="M1386" s="39"/>
      <c r="N1386" s="39"/>
      <c r="O1386" s="24"/>
      <c r="P1386" s="409"/>
      <c r="Q1386" s="76"/>
      <c r="R1386" s="76"/>
      <c r="S1386" s="24"/>
      <c r="T1386" s="24"/>
      <c r="U1386" s="64"/>
      <c r="V1386" s="56"/>
      <c r="W1386" s="56"/>
      <c r="X1386" s="56"/>
      <c r="Y1386" s="56"/>
      <c r="Z1386" s="56"/>
      <c r="AA1386" s="56"/>
      <c r="AB1386" s="56"/>
      <c r="AC1386" s="56"/>
    </row>
    <row r="1387" spans="1:29" ht="15.75" customHeight="1">
      <c r="A1387" s="39"/>
      <c r="B1387" s="107"/>
      <c r="C1387" s="109"/>
      <c r="D1387" s="76"/>
      <c r="E1387" s="64"/>
      <c r="F1387" s="39"/>
      <c r="G1387" s="399">
        <f>IFERROR(VLOOKUP(A1387,醫療院所DATABASE!A:B,2,""),)</f>
        <v>0</v>
      </c>
      <c r="H1387" s="64"/>
      <c r="I1387" s="109"/>
      <c r="J1387" s="109"/>
      <c r="K1387" s="39"/>
      <c r="L1387" s="76"/>
      <c r="M1387" s="39"/>
      <c r="N1387" s="39"/>
      <c r="O1387" s="24"/>
      <c r="P1387" s="409"/>
      <c r="Q1387" s="76"/>
      <c r="R1387" s="76"/>
      <c r="S1387" s="24"/>
      <c r="T1387" s="24"/>
      <c r="U1387" s="64"/>
      <c r="V1387" s="56"/>
      <c r="W1387" s="56"/>
      <c r="X1387" s="56"/>
      <c r="Y1387" s="56"/>
      <c r="Z1387" s="56"/>
      <c r="AA1387" s="56"/>
      <c r="AB1387" s="56"/>
      <c r="AC1387" s="56"/>
    </row>
    <row r="1388" spans="1:29" ht="15.75" customHeight="1">
      <c r="A1388" s="39"/>
      <c r="B1388" s="107"/>
      <c r="C1388" s="109"/>
      <c r="D1388" s="76"/>
      <c r="E1388" s="64"/>
      <c r="F1388" s="39"/>
      <c r="G1388" s="399">
        <f>IFERROR(VLOOKUP(A1388,醫療院所DATABASE!A:B,2,""),)</f>
        <v>0</v>
      </c>
      <c r="H1388" s="64"/>
      <c r="I1388" s="109"/>
      <c r="J1388" s="109"/>
      <c r="K1388" s="39"/>
      <c r="L1388" s="76"/>
      <c r="M1388" s="39"/>
      <c r="N1388" s="39"/>
      <c r="O1388" s="24"/>
      <c r="P1388" s="409"/>
      <c r="Q1388" s="76"/>
      <c r="R1388" s="76"/>
      <c r="S1388" s="24"/>
      <c r="T1388" s="24"/>
      <c r="U1388" s="64"/>
      <c r="V1388" s="56"/>
      <c r="W1388" s="56"/>
      <c r="X1388" s="56"/>
      <c r="Y1388" s="56"/>
      <c r="Z1388" s="56"/>
      <c r="AA1388" s="56"/>
      <c r="AB1388" s="56"/>
      <c r="AC1388" s="56"/>
    </row>
    <row r="1389" spans="1:29" ht="15.75" customHeight="1">
      <c r="A1389" s="39"/>
      <c r="B1389" s="107"/>
      <c r="C1389" s="109"/>
      <c r="D1389" s="76"/>
      <c r="E1389" s="64"/>
      <c r="F1389" s="39"/>
      <c r="G1389" s="399">
        <f>IFERROR(VLOOKUP(A1389,醫療院所DATABASE!A:B,2,""),)</f>
        <v>0</v>
      </c>
      <c r="H1389" s="64"/>
      <c r="I1389" s="109"/>
      <c r="J1389" s="109"/>
      <c r="K1389" s="39"/>
      <c r="L1389" s="76"/>
      <c r="M1389" s="39"/>
      <c r="N1389" s="39"/>
      <c r="O1389" s="24"/>
      <c r="P1389" s="409"/>
      <c r="Q1389" s="76"/>
      <c r="R1389" s="76"/>
      <c r="S1389" s="24"/>
      <c r="T1389" s="24"/>
      <c r="U1389" s="64"/>
      <c r="V1389" s="56"/>
      <c r="W1389" s="56"/>
      <c r="X1389" s="56"/>
      <c r="Y1389" s="56"/>
      <c r="Z1389" s="56"/>
      <c r="AA1389" s="56"/>
      <c r="AB1389" s="56"/>
      <c r="AC1389" s="56"/>
    </row>
    <row r="1390" spans="1:29" ht="15.75" customHeight="1">
      <c r="A1390" s="39"/>
      <c r="B1390" s="107"/>
      <c r="C1390" s="109"/>
      <c r="D1390" s="76"/>
      <c r="E1390" s="64"/>
      <c r="F1390" s="39"/>
      <c r="G1390" s="399">
        <f>IFERROR(VLOOKUP(A1390,醫療院所DATABASE!A:B,2,""),)</f>
        <v>0</v>
      </c>
      <c r="H1390" s="64"/>
      <c r="I1390" s="109"/>
      <c r="J1390" s="109"/>
      <c r="K1390" s="39"/>
      <c r="L1390" s="76"/>
      <c r="M1390" s="39"/>
      <c r="N1390" s="39"/>
      <c r="O1390" s="24"/>
      <c r="P1390" s="409"/>
      <c r="Q1390" s="76"/>
      <c r="R1390" s="76"/>
      <c r="S1390" s="24"/>
      <c r="T1390" s="24"/>
      <c r="U1390" s="64"/>
      <c r="V1390" s="56"/>
      <c r="W1390" s="56"/>
      <c r="X1390" s="56"/>
      <c r="Y1390" s="56"/>
      <c r="Z1390" s="56"/>
      <c r="AA1390" s="56"/>
      <c r="AB1390" s="56"/>
      <c r="AC1390" s="56"/>
    </row>
    <row r="1391" spans="1:29" ht="15.75" customHeight="1">
      <c r="A1391" s="39"/>
      <c r="B1391" s="107"/>
      <c r="C1391" s="109"/>
      <c r="D1391" s="76"/>
      <c r="E1391" s="64"/>
      <c r="F1391" s="39"/>
      <c r="G1391" s="399">
        <f>IFERROR(VLOOKUP(A1391,醫療院所DATABASE!A:B,2,""),)</f>
        <v>0</v>
      </c>
      <c r="H1391" s="64"/>
      <c r="I1391" s="109"/>
      <c r="J1391" s="109"/>
      <c r="K1391" s="39"/>
      <c r="L1391" s="76"/>
      <c r="M1391" s="39"/>
      <c r="N1391" s="39"/>
      <c r="O1391" s="24"/>
      <c r="P1391" s="409"/>
      <c r="Q1391" s="76"/>
      <c r="R1391" s="76"/>
      <c r="S1391" s="24"/>
      <c r="T1391" s="24"/>
      <c r="U1391" s="64"/>
      <c r="V1391" s="56"/>
      <c r="W1391" s="56"/>
      <c r="X1391" s="56"/>
      <c r="Y1391" s="56"/>
      <c r="Z1391" s="56"/>
      <c r="AA1391" s="56"/>
      <c r="AB1391" s="56"/>
      <c r="AC1391" s="56"/>
    </row>
    <row r="1392" spans="1:29" ht="15.75" customHeight="1">
      <c r="A1392" s="39"/>
      <c r="B1392" s="107"/>
      <c r="C1392" s="109"/>
      <c r="D1392" s="76"/>
      <c r="E1392" s="64"/>
      <c r="F1392" s="39"/>
      <c r="G1392" s="399">
        <f>IFERROR(VLOOKUP(A1392,醫療院所DATABASE!A:B,2,""),)</f>
        <v>0</v>
      </c>
      <c r="H1392" s="64"/>
      <c r="I1392" s="109"/>
      <c r="J1392" s="109"/>
      <c r="K1392" s="39"/>
      <c r="L1392" s="76"/>
      <c r="M1392" s="39"/>
      <c r="N1392" s="39"/>
      <c r="O1392" s="24"/>
      <c r="P1392" s="409"/>
      <c r="Q1392" s="76"/>
      <c r="R1392" s="76"/>
      <c r="S1392" s="24"/>
      <c r="T1392" s="24"/>
      <c r="U1392" s="64"/>
      <c r="V1392" s="56"/>
      <c r="W1392" s="56"/>
      <c r="X1392" s="56"/>
      <c r="Y1392" s="56"/>
      <c r="Z1392" s="56"/>
      <c r="AA1392" s="56"/>
      <c r="AB1392" s="56"/>
      <c r="AC1392" s="56"/>
    </row>
    <row r="1393" spans="1:29" ht="15.75" customHeight="1">
      <c r="A1393" s="39"/>
      <c r="B1393" s="107"/>
      <c r="C1393" s="109"/>
      <c r="D1393" s="76"/>
      <c r="E1393" s="64"/>
      <c r="F1393" s="39"/>
      <c r="G1393" s="399">
        <f>IFERROR(VLOOKUP(A1393,醫療院所DATABASE!A:B,2,""),)</f>
        <v>0</v>
      </c>
      <c r="H1393" s="64"/>
      <c r="I1393" s="109"/>
      <c r="J1393" s="109"/>
      <c r="K1393" s="39"/>
      <c r="L1393" s="76"/>
      <c r="M1393" s="39"/>
      <c r="N1393" s="39"/>
      <c r="O1393" s="24"/>
      <c r="P1393" s="409"/>
      <c r="Q1393" s="76"/>
      <c r="R1393" s="76"/>
      <c r="S1393" s="24"/>
      <c r="T1393" s="24"/>
      <c r="U1393" s="64"/>
      <c r="V1393" s="56"/>
      <c r="W1393" s="56"/>
      <c r="X1393" s="56"/>
      <c r="Y1393" s="56"/>
      <c r="Z1393" s="56"/>
      <c r="AA1393" s="56"/>
      <c r="AB1393" s="56"/>
      <c r="AC1393" s="56"/>
    </row>
    <row r="1394" spans="1:29" ht="15.75" customHeight="1">
      <c r="A1394" s="39"/>
      <c r="B1394" s="107"/>
      <c r="C1394" s="109"/>
      <c r="D1394" s="76"/>
      <c r="E1394" s="64"/>
      <c r="F1394" s="39"/>
      <c r="G1394" s="399">
        <f>IFERROR(VLOOKUP(A1394,醫療院所DATABASE!A:B,2,""),)</f>
        <v>0</v>
      </c>
      <c r="H1394" s="64"/>
      <c r="I1394" s="109"/>
      <c r="J1394" s="109"/>
      <c r="K1394" s="39"/>
      <c r="L1394" s="76"/>
      <c r="M1394" s="39"/>
      <c r="N1394" s="39"/>
      <c r="O1394" s="24"/>
      <c r="P1394" s="409"/>
      <c r="Q1394" s="76"/>
      <c r="R1394" s="76"/>
      <c r="S1394" s="24"/>
      <c r="T1394" s="24"/>
      <c r="U1394" s="64"/>
      <c r="V1394" s="56"/>
      <c r="W1394" s="56"/>
      <c r="X1394" s="56"/>
      <c r="Y1394" s="56"/>
      <c r="Z1394" s="56"/>
      <c r="AA1394" s="56"/>
      <c r="AB1394" s="56"/>
      <c r="AC1394" s="56"/>
    </row>
    <row r="1395" spans="1:29" ht="15.75" customHeight="1">
      <c r="A1395" s="39"/>
      <c r="B1395" s="107"/>
      <c r="C1395" s="109"/>
      <c r="D1395" s="76"/>
      <c r="E1395" s="64"/>
      <c r="F1395" s="39"/>
      <c r="G1395" s="399">
        <f>IFERROR(VLOOKUP(A1395,醫療院所DATABASE!A:B,2,""),)</f>
        <v>0</v>
      </c>
      <c r="H1395" s="64"/>
      <c r="I1395" s="109"/>
      <c r="J1395" s="109"/>
      <c r="K1395" s="39"/>
      <c r="L1395" s="76"/>
      <c r="M1395" s="39"/>
      <c r="N1395" s="39"/>
      <c r="O1395" s="24"/>
      <c r="P1395" s="409"/>
      <c r="Q1395" s="76"/>
      <c r="R1395" s="76"/>
      <c r="S1395" s="24"/>
      <c r="T1395" s="24"/>
      <c r="U1395" s="64"/>
      <c r="V1395" s="56"/>
      <c r="W1395" s="56"/>
      <c r="X1395" s="56"/>
      <c r="Y1395" s="56"/>
      <c r="Z1395" s="56"/>
      <c r="AA1395" s="56"/>
      <c r="AB1395" s="56"/>
      <c r="AC1395" s="56"/>
    </row>
    <row r="1396" spans="1:29" ht="15.75" customHeight="1">
      <c r="A1396" s="39"/>
      <c r="B1396" s="107"/>
      <c r="C1396" s="109"/>
      <c r="D1396" s="76"/>
      <c r="E1396" s="64"/>
      <c r="F1396" s="39"/>
      <c r="G1396" s="399">
        <f>IFERROR(VLOOKUP(A1396,醫療院所DATABASE!A:B,2,""),)</f>
        <v>0</v>
      </c>
      <c r="H1396" s="64"/>
      <c r="I1396" s="109"/>
      <c r="J1396" s="109"/>
      <c r="K1396" s="39"/>
      <c r="L1396" s="76"/>
      <c r="M1396" s="39"/>
      <c r="N1396" s="39"/>
      <c r="O1396" s="24"/>
      <c r="P1396" s="409"/>
      <c r="Q1396" s="76"/>
      <c r="R1396" s="76"/>
      <c r="S1396" s="24"/>
      <c r="T1396" s="24"/>
      <c r="U1396" s="64"/>
      <c r="V1396" s="56"/>
      <c r="W1396" s="56"/>
      <c r="X1396" s="56"/>
      <c r="Y1396" s="56"/>
      <c r="Z1396" s="56"/>
      <c r="AA1396" s="56"/>
      <c r="AB1396" s="56"/>
      <c r="AC1396" s="56"/>
    </row>
    <row r="1397" spans="1:29" ht="15.75" customHeight="1">
      <c r="A1397" s="39"/>
      <c r="B1397" s="107"/>
      <c r="C1397" s="109"/>
      <c r="D1397" s="76"/>
      <c r="E1397" s="64"/>
      <c r="F1397" s="39"/>
      <c r="G1397" s="399">
        <f>IFERROR(VLOOKUP(A1397,醫療院所DATABASE!A:B,2,""),)</f>
        <v>0</v>
      </c>
      <c r="H1397" s="64"/>
      <c r="I1397" s="109"/>
      <c r="J1397" s="109"/>
      <c r="K1397" s="39"/>
      <c r="L1397" s="76"/>
      <c r="M1397" s="39"/>
      <c r="N1397" s="39"/>
      <c r="O1397" s="24"/>
      <c r="P1397" s="409"/>
      <c r="Q1397" s="76"/>
      <c r="R1397" s="76"/>
      <c r="S1397" s="24"/>
      <c r="T1397" s="24"/>
      <c r="U1397" s="64"/>
      <c r="V1397" s="56"/>
      <c r="W1397" s="56"/>
      <c r="X1397" s="56"/>
      <c r="Y1397" s="56"/>
      <c r="Z1397" s="56"/>
      <c r="AA1397" s="56"/>
      <c r="AB1397" s="56"/>
      <c r="AC1397" s="56"/>
    </row>
    <row r="1398" spans="1:29" ht="15.75" customHeight="1">
      <c r="A1398" s="39"/>
      <c r="B1398" s="107"/>
      <c r="C1398" s="109"/>
      <c r="D1398" s="76"/>
      <c r="E1398" s="64"/>
      <c r="F1398" s="39"/>
      <c r="G1398" s="399">
        <f>IFERROR(VLOOKUP(A1398,醫療院所DATABASE!A:B,2,""),)</f>
        <v>0</v>
      </c>
      <c r="H1398" s="64"/>
      <c r="I1398" s="109"/>
      <c r="J1398" s="109"/>
      <c r="K1398" s="39"/>
      <c r="L1398" s="76"/>
      <c r="M1398" s="39"/>
      <c r="N1398" s="39"/>
      <c r="O1398" s="24"/>
      <c r="P1398" s="409"/>
      <c r="Q1398" s="76"/>
      <c r="R1398" s="76"/>
      <c r="S1398" s="24"/>
      <c r="T1398" s="24"/>
      <c r="U1398" s="64"/>
      <c r="V1398" s="56"/>
      <c r="W1398" s="56"/>
      <c r="X1398" s="56"/>
      <c r="Y1398" s="56"/>
      <c r="Z1398" s="56"/>
      <c r="AA1398" s="56"/>
      <c r="AB1398" s="56"/>
      <c r="AC1398" s="56"/>
    </row>
    <row r="1399" spans="1:29" ht="15.75" customHeight="1">
      <c r="A1399" s="39"/>
      <c r="B1399" s="107"/>
      <c r="C1399" s="109"/>
      <c r="D1399" s="76"/>
      <c r="E1399" s="64"/>
      <c r="F1399" s="39"/>
      <c r="G1399" s="399">
        <f>IFERROR(VLOOKUP(A1399,醫療院所DATABASE!A:B,2,""),)</f>
        <v>0</v>
      </c>
      <c r="H1399" s="64"/>
      <c r="I1399" s="109"/>
      <c r="J1399" s="109"/>
      <c r="K1399" s="39"/>
      <c r="L1399" s="76"/>
      <c r="M1399" s="39"/>
      <c r="N1399" s="39"/>
      <c r="O1399" s="24"/>
      <c r="P1399" s="409"/>
      <c r="Q1399" s="76"/>
      <c r="R1399" s="76"/>
      <c r="S1399" s="24"/>
      <c r="T1399" s="24"/>
      <c r="U1399" s="64"/>
      <c r="V1399" s="56"/>
      <c r="W1399" s="56"/>
      <c r="X1399" s="56"/>
      <c r="Y1399" s="56"/>
      <c r="Z1399" s="56"/>
      <c r="AA1399" s="56"/>
      <c r="AB1399" s="56"/>
      <c r="AC1399" s="56"/>
    </row>
    <row r="1400" spans="1:29" ht="15.75" customHeight="1">
      <c r="A1400" s="39"/>
      <c r="B1400" s="107"/>
      <c r="C1400" s="109"/>
      <c r="D1400" s="76"/>
      <c r="E1400" s="64"/>
      <c r="F1400" s="39"/>
      <c r="G1400" s="399">
        <f>IFERROR(VLOOKUP(A1400,醫療院所DATABASE!A:B,2,""),)</f>
        <v>0</v>
      </c>
      <c r="H1400" s="64"/>
      <c r="I1400" s="109"/>
      <c r="J1400" s="109"/>
      <c r="K1400" s="39"/>
      <c r="L1400" s="76"/>
      <c r="M1400" s="39"/>
      <c r="N1400" s="39"/>
      <c r="O1400" s="24"/>
      <c r="P1400" s="409"/>
      <c r="Q1400" s="76"/>
      <c r="R1400" s="76"/>
      <c r="S1400" s="24"/>
      <c r="T1400" s="24"/>
      <c r="U1400" s="64"/>
      <c r="V1400" s="56"/>
      <c r="W1400" s="56"/>
      <c r="X1400" s="56"/>
      <c r="Y1400" s="56"/>
      <c r="Z1400" s="56"/>
      <c r="AA1400" s="56"/>
      <c r="AB1400" s="56"/>
      <c r="AC1400" s="56"/>
    </row>
    <row r="1401" spans="1:29" ht="15.75" customHeight="1">
      <c r="A1401" s="39"/>
      <c r="B1401" s="107"/>
      <c r="C1401" s="109"/>
      <c r="D1401" s="76"/>
      <c r="E1401" s="64"/>
      <c r="F1401" s="39"/>
      <c r="G1401" s="399">
        <f>IFERROR(VLOOKUP(A1401,醫療院所DATABASE!A:B,2,""),)</f>
        <v>0</v>
      </c>
      <c r="H1401" s="64"/>
      <c r="I1401" s="109"/>
      <c r="J1401" s="109"/>
      <c r="K1401" s="39"/>
      <c r="L1401" s="76"/>
      <c r="M1401" s="39"/>
      <c r="N1401" s="39"/>
      <c r="O1401" s="24"/>
      <c r="P1401" s="409"/>
      <c r="Q1401" s="76"/>
      <c r="R1401" s="76"/>
      <c r="S1401" s="24"/>
      <c r="T1401" s="24"/>
      <c r="U1401" s="64"/>
      <c r="V1401" s="56"/>
      <c r="W1401" s="56"/>
      <c r="X1401" s="56"/>
      <c r="Y1401" s="56"/>
      <c r="Z1401" s="56"/>
      <c r="AA1401" s="56"/>
      <c r="AB1401" s="56"/>
      <c r="AC1401" s="56"/>
    </row>
    <row r="1402" spans="1:29" ht="15.75" customHeight="1">
      <c r="A1402" s="39"/>
      <c r="B1402" s="107"/>
      <c r="C1402" s="109"/>
      <c r="D1402" s="76"/>
      <c r="E1402" s="64"/>
      <c r="F1402" s="39"/>
      <c r="G1402" s="399">
        <f>IFERROR(VLOOKUP(A1402,醫療院所DATABASE!A:B,2,""),)</f>
        <v>0</v>
      </c>
      <c r="H1402" s="64"/>
      <c r="I1402" s="109"/>
      <c r="J1402" s="109"/>
      <c r="K1402" s="39"/>
      <c r="L1402" s="76"/>
      <c r="M1402" s="39"/>
      <c r="N1402" s="39"/>
      <c r="O1402" s="24"/>
      <c r="P1402" s="409"/>
      <c r="Q1402" s="76"/>
      <c r="R1402" s="76"/>
      <c r="S1402" s="24"/>
      <c r="T1402" s="24"/>
      <c r="U1402" s="64"/>
      <c r="V1402" s="56"/>
      <c r="W1402" s="56"/>
      <c r="X1402" s="56"/>
      <c r="Y1402" s="56"/>
      <c r="Z1402" s="56"/>
      <c r="AA1402" s="56"/>
      <c r="AB1402" s="56"/>
      <c r="AC1402" s="56"/>
    </row>
    <row r="1403" spans="1:29" ht="15.75" customHeight="1">
      <c r="A1403" s="39"/>
      <c r="B1403" s="107"/>
      <c r="C1403" s="109"/>
      <c r="D1403" s="76"/>
      <c r="E1403" s="64"/>
      <c r="F1403" s="39"/>
      <c r="G1403" s="399">
        <f>IFERROR(VLOOKUP(A1403,醫療院所DATABASE!A:B,2,""),)</f>
        <v>0</v>
      </c>
      <c r="H1403" s="64"/>
      <c r="I1403" s="109"/>
      <c r="J1403" s="109"/>
      <c r="K1403" s="39"/>
      <c r="L1403" s="76"/>
      <c r="M1403" s="39"/>
      <c r="N1403" s="39"/>
      <c r="O1403" s="24"/>
      <c r="P1403" s="409"/>
      <c r="Q1403" s="76"/>
      <c r="R1403" s="76"/>
      <c r="S1403" s="24"/>
      <c r="T1403" s="24"/>
      <c r="U1403" s="64"/>
      <c r="V1403" s="56"/>
      <c r="W1403" s="56"/>
      <c r="X1403" s="56"/>
      <c r="Y1403" s="56"/>
      <c r="Z1403" s="56"/>
      <c r="AA1403" s="56"/>
      <c r="AB1403" s="56"/>
      <c r="AC1403" s="56"/>
    </row>
    <row r="1404" spans="1:29" ht="15.75" customHeight="1">
      <c r="A1404" s="39"/>
      <c r="B1404" s="107"/>
      <c r="C1404" s="109"/>
      <c r="D1404" s="76"/>
      <c r="E1404" s="64"/>
      <c r="F1404" s="39"/>
      <c r="G1404" s="399">
        <f>IFERROR(VLOOKUP(A1404,醫療院所DATABASE!A:B,2,""),)</f>
        <v>0</v>
      </c>
      <c r="H1404" s="64"/>
      <c r="I1404" s="109"/>
      <c r="J1404" s="109"/>
      <c r="K1404" s="39"/>
      <c r="L1404" s="76"/>
      <c r="M1404" s="39"/>
      <c r="N1404" s="39"/>
      <c r="O1404" s="24"/>
      <c r="P1404" s="409"/>
      <c r="Q1404" s="76"/>
      <c r="R1404" s="76"/>
      <c r="S1404" s="24"/>
      <c r="T1404" s="24"/>
      <c r="U1404" s="64"/>
      <c r="V1404" s="56"/>
      <c r="W1404" s="56"/>
      <c r="X1404" s="56"/>
      <c r="Y1404" s="56"/>
      <c r="Z1404" s="56"/>
      <c r="AA1404" s="56"/>
      <c r="AB1404" s="56"/>
      <c r="AC1404" s="56"/>
    </row>
    <row r="1405" spans="1:29" ht="15.75" customHeight="1">
      <c r="A1405" s="39"/>
      <c r="B1405" s="107"/>
      <c r="C1405" s="109"/>
      <c r="D1405" s="76"/>
      <c r="E1405" s="64"/>
      <c r="F1405" s="39"/>
      <c r="G1405" s="399">
        <f>IFERROR(VLOOKUP(A1405,醫療院所DATABASE!A:B,2,""),)</f>
        <v>0</v>
      </c>
      <c r="H1405" s="64"/>
      <c r="I1405" s="109"/>
      <c r="J1405" s="109"/>
      <c r="K1405" s="39"/>
      <c r="L1405" s="76"/>
      <c r="M1405" s="39"/>
      <c r="N1405" s="39"/>
      <c r="O1405" s="24"/>
      <c r="P1405" s="409"/>
      <c r="Q1405" s="76"/>
      <c r="R1405" s="76"/>
      <c r="S1405" s="24"/>
      <c r="T1405" s="24"/>
      <c r="U1405" s="64"/>
      <c r="V1405" s="56"/>
      <c r="W1405" s="56"/>
      <c r="X1405" s="56"/>
      <c r="Y1405" s="56"/>
      <c r="Z1405" s="56"/>
      <c r="AA1405" s="56"/>
      <c r="AB1405" s="56"/>
      <c r="AC1405" s="56"/>
    </row>
    <row r="1406" spans="1:29" ht="15.75" customHeight="1">
      <c r="A1406" s="39"/>
      <c r="B1406" s="107"/>
      <c r="C1406" s="109"/>
      <c r="D1406" s="76"/>
      <c r="E1406" s="64"/>
      <c r="F1406" s="39"/>
      <c r="G1406" s="399">
        <f>IFERROR(VLOOKUP(A1406,醫療院所DATABASE!A:B,2,""),)</f>
        <v>0</v>
      </c>
      <c r="H1406" s="64"/>
      <c r="I1406" s="109"/>
      <c r="J1406" s="109"/>
      <c r="K1406" s="39"/>
      <c r="L1406" s="76"/>
      <c r="M1406" s="39"/>
      <c r="N1406" s="39"/>
      <c r="O1406" s="24"/>
      <c r="P1406" s="409"/>
      <c r="Q1406" s="76"/>
      <c r="R1406" s="76"/>
      <c r="S1406" s="24"/>
      <c r="T1406" s="24"/>
      <c r="U1406" s="64"/>
      <c r="V1406" s="56"/>
      <c r="W1406" s="56"/>
      <c r="X1406" s="56"/>
      <c r="Y1406" s="56"/>
      <c r="Z1406" s="56"/>
      <c r="AA1406" s="56"/>
      <c r="AB1406" s="56"/>
      <c r="AC1406" s="56"/>
    </row>
    <row r="1407" spans="1:29" ht="15.75" customHeight="1">
      <c r="A1407" s="39"/>
      <c r="B1407" s="107"/>
      <c r="C1407" s="109"/>
      <c r="D1407" s="76"/>
      <c r="E1407" s="64"/>
      <c r="F1407" s="39"/>
      <c r="G1407" s="399">
        <f>IFERROR(VLOOKUP(A1407,醫療院所DATABASE!A:B,2,""),)</f>
        <v>0</v>
      </c>
      <c r="H1407" s="64"/>
      <c r="I1407" s="109"/>
      <c r="J1407" s="109"/>
      <c r="K1407" s="39"/>
      <c r="L1407" s="76"/>
      <c r="M1407" s="39"/>
      <c r="N1407" s="39"/>
      <c r="O1407" s="24"/>
      <c r="P1407" s="409"/>
      <c r="Q1407" s="76"/>
      <c r="R1407" s="76"/>
      <c r="S1407" s="24"/>
      <c r="T1407" s="24"/>
      <c r="U1407" s="64"/>
      <c r="V1407" s="56"/>
      <c r="W1407" s="56"/>
      <c r="X1407" s="56"/>
      <c r="Y1407" s="56"/>
      <c r="Z1407" s="56"/>
      <c r="AA1407" s="56"/>
      <c r="AB1407" s="56"/>
      <c r="AC1407" s="56"/>
    </row>
    <row r="1408" spans="1:29" ht="15.75" customHeight="1">
      <c r="A1408" s="39"/>
      <c r="B1408" s="107"/>
      <c r="C1408" s="109"/>
      <c r="D1408" s="76"/>
      <c r="E1408" s="64"/>
      <c r="F1408" s="39"/>
      <c r="G1408" s="399">
        <f>IFERROR(VLOOKUP(A1408,醫療院所DATABASE!A:B,2,""),)</f>
        <v>0</v>
      </c>
      <c r="H1408" s="64"/>
      <c r="I1408" s="109"/>
      <c r="J1408" s="109"/>
      <c r="K1408" s="39"/>
      <c r="L1408" s="76"/>
      <c r="M1408" s="39"/>
      <c r="N1408" s="39"/>
      <c r="O1408" s="24"/>
      <c r="P1408" s="409"/>
      <c r="Q1408" s="76"/>
      <c r="R1408" s="76"/>
      <c r="S1408" s="24"/>
      <c r="T1408" s="24"/>
      <c r="U1408" s="64"/>
      <c r="V1408" s="56"/>
      <c r="W1408" s="56"/>
      <c r="X1408" s="56"/>
      <c r="Y1408" s="56"/>
      <c r="Z1408" s="56"/>
      <c r="AA1408" s="56"/>
      <c r="AB1408" s="56"/>
      <c r="AC1408" s="56"/>
    </row>
    <row r="1409" spans="1:29" ht="15.75" customHeight="1">
      <c r="A1409" s="39"/>
      <c r="B1409" s="107"/>
      <c r="C1409" s="109"/>
      <c r="D1409" s="76"/>
      <c r="E1409" s="64"/>
      <c r="F1409" s="39"/>
      <c r="G1409" s="399">
        <f>IFERROR(VLOOKUP(A1409,醫療院所DATABASE!A:B,2,""),)</f>
        <v>0</v>
      </c>
      <c r="H1409" s="64"/>
      <c r="I1409" s="109"/>
      <c r="J1409" s="109"/>
      <c r="K1409" s="39"/>
      <c r="L1409" s="76"/>
      <c r="M1409" s="39"/>
      <c r="N1409" s="39"/>
      <c r="O1409" s="24"/>
      <c r="P1409" s="409"/>
      <c r="Q1409" s="76"/>
      <c r="R1409" s="76"/>
      <c r="S1409" s="24"/>
      <c r="T1409" s="24"/>
      <c r="U1409" s="64"/>
      <c r="V1409" s="56"/>
      <c r="W1409" s="56"/>
      <c r="X1409" s="56"/>
      <c r="Y1409" s="56"/>
      <c r="Z1409" s="56"/>
      <c r="AA1409" s="56"/>
      <c r="AB1409" s="56"/>
      <c r="AC1409" s="56"/>
    </row>
    <row r="1410" spans="1:29" ht="15.75" customHeight="1">
      <c r="A1410" s="39"/>
      <c r="B1410" s="107"/>
      <c r="C1410" s="109"/>
      <c r="D1410" s="76"/>
      <c r="E1410" s="64"/>
      <c r="F1410" s="39"/>
      <c r="G1410" s="399">
        <f>IFERROR(VLOOKUP(A1410,醫療院所DATABASE!A:B,2,""),)</f>
        <v>0</v>
      </c>
      <c r="H1410" s="64"/>
      <c r="I1410" s="109"/>
      <c r="J1410" s="109"/>
      <c r="K1410" s="39"/>
      <c r="L1410" s="76"/>
      <c r="M1410" s="39"/>
      <c r="N1410" s="39"/>
      <c r="O1410" s="24"/>
      <c r="P1410" s="409"/>
      <c r="Q1410" s="76"/>
      <c r="R1410" s="76"/>
      <c r="S1410" s="24"/>
      <c r="T1410" s="24"/>
      <c r="U1410" s="64"/>
      <c r="V1410" s="56"/>
      <c r="W1410" s="56"/>
      <c r="X1410" s="56"/>
      <c r="Y1410" s="56"/>
      <c r="Z1410" s="56"/>
      <c r="AA1410" s="56"/>
      <c r="AB1410" s="56"/>
      <c r="AC1410" s="56"/>
    </row>
    <row r="1411" spans="1:29" ht="15.75" customHeight="1">
      <c r="A1411" s="39"/>
      <c r="B1411" s="107"/>
      <c r="C1411" s="109"/>
      <c r="D1411" s="76"/>
      <c r="E1411" s="64"/>
      <c r="F1411" s="39"/>
      <c r="G1411" s="399">
        <f>IFERROR(VLOOKUP(A1411,醫療院所DATABASE!A:B,2,""),)</f>
        <v>0</v>
      </c>
      <c r="H1411" s="64"/>
      <c r="I1411" s="109"/>
      <c r="J1411" s="109"/>
      <c r="K1411" s="39"/>
      <c r="L1411" s="76"/>
      <c r="M1411" s="39"/>
      <c r="N1411" s="39"/>
      <c r="O1411" s="24"/>
      <c r="P1411" s="409"/>
      <c r="Q1411" s="76"/>
      <c r="R1411" s="76"/>
      <c r="S1411" s="24"/>
      <c r="T1411" s="24"/>
      <c r="U1411" s="64"/>
      <c r="V1411" s="56"/>
      <c r="W1411" s="56"/>
      <c r="X1411" s="56"/>
      <c r="Y1411" s="56"/>
      <c r="Z1411" s="56"/>
      <c r="AA1411" s="56"/>
      <c r="AB1411" s="56"/>
      <c r="AC1411" s="56"/>
    </row>
    <row r="1412" spans="1:29" ht="15.75" customHeight="1">
      <c r="A1412" s="39"/>
      <c r="B1412" s="107"/>
      <c r="C1412" s="109"/>
      <c r="D1412" s="76"/>
      <c r="E1412" s="64"/>
      <c r="F1412" s="39"/>
      <c r="G1412" s="399">
        <f>IFERROR(VLOOKUP(A1412,醫療院所DATABASE!A:B,2,""),)</f>
        <v>0</v>
      </c>
      <c r="H1412" s="64"/>
      <c r="I1412" s="109"/>
      <c r="J1412" s="109"/>
      <c r="K1412" s="39"/>
      <c r="L1412" s="76"/>
      <c r="M1412" s="39"/>
      <c r="N1412" s="39"/>
      <c r="O1412" s="24"/>
      <c r="P1412" s="409"/>
      <c r="Q1412" s="76"/>
      <c r="R1412" s="76"/>
      <c r="S1412" s="24"/>
      <c r="T1412" s="24"/>
      <c r="U1412" s="64"/>
      <c r="V1412" s="56"/>
      <c r="W1412" s="56"/>
      <c r="X1412" s="56"/>
      <c r="Y1412" s="56"/>
      <c r="Z1412" s="56"/>
      <c r="AA1412" s="56"/>
      <c r="AB1412" s="56"/>
      <c r="AC1412" s="56"/>
    </row>
    <row r="1413" spans="1:29" ht="15.75" customHeight="1">
      <c r="A1413" s="39"/>
      <c r="B1413" s="107"/>
      <c r="C1413" s="109"/>
      <c r="D1413" s="76"/>
      <c r="E1413" s="64"/>
      <c r="F1413" s="39"/>
      <c r="G1413" s="399">
        <f>IFERROR(VLOOKUP(A1413,醫療院所DATABASE!A:B,2,""),)</f>
        <v>0</v>
      </c>
      <c r="H1413" s="64"/>
      <c r="I1413" s="109"/>
      <c r="J1413" s="109"/>
      <c r="K1413" s="39"/>
      <c r="L1413" s="76"/>
      <c r="M1413" s="39"/>
      <c r="N1413" s="39"/>
      <c r="O1413" s="24"/>
      <c r="P1413" s="409"/>
      <c r="Q1413" s="76"/>
      <c r="R1413" s="76"/>
      <c r="S1413" s="24"/>
      <c r="T1413" s="24"/>
      <c r="U1413" s="64"/>
      <c r="V1413" s="56"/>
      <c r="W1413" s="56"/>
      <c r="X1413" s="56"/>
      <c r="Y1413" s="56"/>
      <c r="Z1413" s="56"/>
      <c r="AA1413" s="56"/>
      <c r="AB1413" s="56"/>
      <c r="AC1413" s="56"/>
    </row>
    <row r="1414" spans="1:29" ht="15.75" customHeight="1">
      <c r="A1414" s="39"/>
      <c r="B1414" s="107"/>
      <c r="C1414" s="109"/>
      <c r="D1414" s="76"/>
      <c r="E1414" s="64"/>
      <c r="F1414" s="39"/>
      <c r="G1414" s="399">
        <f>IFERROR(VLOOKUP(A1414,醫療院所DATABASE!A:B,2,""),)</f>
        <v>0</v>
      </c>
      <c r="H1414" s="64"/>
      <c r="I1414" s="109"/>
      <c r="J1414" s="109"/>
      <c r="K1414" s="39"/>
      <c r="L1414" s="76"/>
      <c r="M1414" s="39"/>
      <c r="N1414" s="39"/>
      <c r="O1414" s="24"/>
      <c r="P1414" s="409"/>
      <c r="Q1414" s="76"/>
      <c r="R1414" s="76"/>
      <c r="S1414" s="24"/>
      <c r="T1414" s="24"/>
      <c r="U1414" s="64"/>
      <c r="V1414" s="56"/>
      <c r="W1414" s="56"/>
      <c r="X1414" s="56"/>
      <c r="Y1414" s="56"/>
      <c r="Z1414" s="56"/>
      <c r="AA1414" s="56"/>
      <c r="AB1414" s="56"/>
      <c r="AC1414" s="56"/>
    </row>
    <row r="1415" spans="1:29" ht="15.75" customHeight="1">
      <c r="A1415" s="39"/>
      <c r="B1415" s="107"/>
      <c r="C1415" s="109"/>
      <c r="D1415" s="76"/>
      <c r="E1415" s="64"/>
      <c r="F1415" s="39"/>
      <c r="G1415" s="399">
        <f>IFERROR(VLOOKUP(A1415,醫療院所DATABASE!A:B,2,""),)</f>
        <v>0</v>
      </c>
      <c r="H1415" s="64"/>
      <c r="I1415" s="109"/>
      <c r="J1415" s="109"/>
      <c r="K1415" s="39"/>
      <c r="L1415" s="76"/>
      <c r="M1415" s="39"/>
      <c r="N1415" s="39"/>
      <c r="O1415" s="24"/>
      <c r="P1415" s="409"/>
      <c r="Q1415" s="76"/>
      <c r="R1415" s="76"/>
      <c r="S1415" s="24"/>
      <c r="T1415" s="24"/>
      <c r="U1415" s="64"/>
      <c r="V1415" s="56"/>
      <c r="W1415" s="56"/>
      <c r="X1415" s="56"/>
      <c r="Y1415" s="56"/>
      <c r="Z1415" s="56"/>
      <c r="AA1415" s="56"/>
      <c r="AB1415" s="56"/>
      <c r="AC1415" s="56"/>
    </row>
    <row r="1416" spans="1:29" ht="15.75" customHeight="1">
      <c r="A1416" s="39"/>
      <c r="B1416" s="107"/>
      <c r="C1416" s="109"/>
      <c r="D1416" s="76"/>
      <c r="E1416" s="64"/>
      <c r="F1416" s="39"/>
      <c r="G1416" s="399">
        <f>IFERROR(VLOOKUP(A1416,醫療院所DATABASE!A:B,2,""),)</f>
        <v>0</v>
      </c>
      <c r="H1416" s="64"/>
      <c r="I1416" s="109"/>
      <c r="J1416" s="109"/>
      <c r="K1416" s="39"/>
      <c r="L1416" s="76"/>
      <c r="M1416" s="39"/>
      <c r="N1416" s="39"/>
      <c r="O1416" s="24"/>
      <c r="P1416" s="409"/>
      <c r="Q1416" s="76"/>
      <c r="R1416" s="76"/>
      <c r="S1416" s="24"/>
      <c r="T1416" s="24"/>
      <c r="U1416" s="64"/>
      <c r="V1416" s="56"/>
      <c r="W1416" s="56"/>
      <c r="X1416" s="56"/>
      <c r="Y1416" s="56"/>
      <c r="Z1416" s="56"/>
      <c r="AA1416" s="56"/>
      <c r="AB1416" s="56"/>
      <c r="AC1416" s="56"/>
    </row>
    <row r="1417" spans="1:29" ht="15.75" customHeight="1">
      <c r="A1417" s="39"/>
      <c r="B1417" s="107"/>
      <c r="C1417" s="109"/>
      <c r="D1417" s="76"/>
      <c r="E1417" s="64"/>
      <c r="F1417" s="39"/>
      <c r="G1417" s="399">
        <f>IFERROR(VLOOKUP(A1417,醫療院所DATABASE!A:B,2,""),)</f>
        <v>0</v>
      </c>
      <c r="H1417" s="64"/>
      <c r="I1417" s="109"/>
      <c r="J1417" s="109"/>
      <c r="K1417" s="39"/>
      <c r="L1417" s="76"/>
      <c r="M1417" s="39"/>
      <c r="N1417" s="39"/>
      <c r="O1417" s="24"/>
      <c r="P1417" s="409"/>
      <c r="Q1417" s="76"/>
      <c r="R1417" s="76"/>
      <c r="S1417" s="24"/>
      <c r="T1417" s="24"/>
      <c r="U1417" s="64"/>
      <c r="V1417" s="56"/>
      <c r="W1417" s="56"/>
      <c r="X1417" s="56"/>
      <c r="Y1417" s="56"/>
      <c r="Z1417" s="56"/>
      <c r="AA1417" s="56"/>
      <c r="AB1417" s="56"/>
      <c r="AC1417" s="56"/>
    </row>
    <row r="1418" spans="1:29" ht="15.75" customHeight="1">
      <c r="A1418" s="39"/>
      <c r="B1418" s="107"/>
      <c r="C1418" s="109"/>
      <c r="D1418" s="76"/>
      <c r="E1418" s="64"/>
      <c r="F1418" s="39"/>
      <c r="G1418" s="399">
        <f>IFERROR(VLOOKUP(A1418,醫療院所DATABASE!A:B,2,""),)</f>
        <v>0</v>
      </c>
      <c r="H1418" s="64"/>
      <c r="I1418" s="109"/>
      <c r="J1418" s="109"/>
      <c r="K1418" s="39"/>
      <c r="L1418" s="76"/>
      <c r="M1418" s="39"/>
      <c r="N1418" s="39"/>
      <c r="O1418" s="24"/>
      <c r="P1418" s="409"/>
      <c r="Q1418" s="76"/>
      <c r="R1418" s="76"/>
      <c r="S1418" s="24"/>
      <c r="T1418" s="24"/>
      <c r="U1418" s="64"/>
      <c r="V1418" s="56"/>
      <c r="W1418" s="56"/>
      <c r="X1418" s="56"/>
      <c r="Y1418" s="56"/>
      <c r="Z1418" s="56"/>
      <c r="AA1418" s="56"/>
      <c r="AB1418" s="56"/>
      <c r="AC1418" s="56"/>
    </row>
    <row r="1419" spans="1:29" ht="15.75" customHeight="1">
      <c r="A1419" s="39"/>
      <c r="B1419" s="107"/>
      <c r="C1419" s="109"/>
      <c r="D1419" s="76"/>
      <c r="E1419" s="64"/>
      <c r="F1419" s="39"/>
      <c r="G1419" s="399">
        <f>IFERROR(VLOOKUP(A1419,醫療院所DATABASE!A:B,2,""),)</f>
        <v>0</v>
      </c>
      <c r="H1419" s="64"/>
      <c r="I1419" s="109"/>
      <c r="J1419" s="109"/>
      <c r="K1419" s="39"/>
      <c r="L1419" s="76"/>
      <c r="M1419" s="39"/>
      <c r="N1419" s="39"/>
      <c r="O1419" s="24"/>
      <c r="P1419" s="409"/>
      <c r="Q1419" s="76"/>
      <c r="R1419" s="76"/>
      <c r="S1419" s="24"/>
      <c r="T1419" s="24"/>
      <c r="U1419" s="64"/>
      <c r="V1419" s="56"/>
      <c r="W1419" s="56"/>
      <c r="X1419" s="56"/>
      <c r="Y1419" s="56"/>
      <c r="Z1419" s="56"/>
      <c r="AA1419" s="56"/>
      <c r="AB1419" s="56"/>
      <c r="AC1419" s="56"/>
    </row>
    <row r="1420" spans="1:29" ht="15.75" customHeight="1">
      <c r="A1420" s="39"/>
      <c r="B1420" s="107"/>
      <c r="C1420" s="109"/>
      <c r="D1420" s="76"/>
      <c r="E1420" s="64"/>
      <c r="F1420" s="39"/>
      <c r="G1420" s="399">
        <f>IFERROR(VLOOKUP(A1420,醫療院所DATABASE!A:B,2,""),)</f>
        <v>0</v>
      </c>
      <c r="H1420" s="64"/>
      <c r="I1420" s="109"/>
      <c r="J1420" s="109"/>
      <c r="K1420" s="39"/>
      <c r="L1420" s="76"/>
      <c r="M1420" s="39"/>
      <c r="N1420" s="39"/>
      <c r="O1420" s="24"/>
      <c r="P1420" s="409"/>
      <c r="Q1420" s="76"/>
      <c r="R1420" s="76"/>
      <c r="S1420" s="24"/>
      <c r="T1420" s="24"/>
      <c r="U1420" s="64"/>
      <c r="V1420" s="56"/>
      <c r="W1420" s="56"/>
      <c r="X1420" s="56"/>
      <c r="Y1420" s="56"/>
      <c r="Z1420" s="56"/>
      <c r="AA1420" s="56"/>
      <c r="AB1420" s="56"/>
      <c r="AC1420" s="56"/>
    </row>
    <row r="1421" spans="1:29" ht="15.75" customHeight="1">
      <c r="A1421" s="39"/>
      <c r="B1421" s="107"/>
      <c r="C1421" s="109"/>
      <c r="D1421" s="76"/>
      <c r="E1421" s="64"/>
      <c r="F1421" s="39"/>
      <c r="G1421" s="399">
        <f>IFERROR(VLOOKUP(A1421,醫療院所DATABASE!A:B,2,""),)</f>
        <v>0</v>
      </c>
      <c r="H1421" s="64"/>
      <c r="I1421" s="109"/>
      <c r="J1421" s="109"/>
      <c r="K1421" s="39"/>
      <c r="L1421" s="76"/>
      <c r="M1421" s="39"/>
      <c r="N1421" s="39"/>
      <c r="O1421" s="24"/>
      <c r="P1421" s="409"/>
      <c r="Q1421" s="76"/>
      <c r="R1421" s="76"/>
      <c r="S1421" s="24"/>
      <c r="T1421" s="24"/>
      <c r="U1421" s="64"/>
      <c r="V1421" s="56"/>
      <c r="W1421" s="56"/>
      <c r="X1421" s="56"/>
      <c r="Y1421" s="56"/>
      <c r="Z1421" s="56"/>
      <c r="AA1421" s="56"/>
      <c r="AB1421" s="56"/>
      <c r="AC1421" s="56"/>
    </row>
    <row r="1422" spans="1:29" ht="15.75" customHeight="1">
      <c r="A1422" s="39"/>
      <c r="B1422" s="107"/>
      <c r="C1422" s="109"/>
      <c r="D1422" s="76"/>
      <c r="E1422" s="64"/>
      <c r="F1422" s="39"/>
      <c r="G1422" s="399">
        <f>IFERROR(VLOOKUP(A1422,醫療院所DATABASE!A:B,2,""),)</f>
        <v>0</v>
      </c>
      <c r="H1422" s="64"/>
      <c r="I1422" s="109"/>
      <c r="J1422" s="109"/>
      <c r="K1422" s="39"/>
      <c r="L1422" s="76"/>
      <c r="M1422" s="39"/>
      <c r="N1422" s="39"/>
      <c r="O1422" s="24"/>
      <c r="P1422" s="409"/>
      <c r="Q1422" s="76"/>
      <c r="R1422" s="76"/>
      <c r="S1422" s="24"/>
      <c r="T1422" s="24"/>
      <c r="U1422" s="64"/>
      <c r="V1422" s="56"/>
      <c r="W1422" s="56"/>
      <c r="X1422" s="56"/>
      <c r="Y1422" s="56"/>
      <c r="Z1422" s="56"/>
      <c r="AA1422" s="56"/>
      <c r="AB1422" s="56"/>
      <c r="AC1422" s="56"/>
    </row>
    <row r="1423" spans="1:29" ht="15.75" customHeight="1">
      <c r="A1423" s="39"/>
      <c r="B1423" s="107"/>
      <c r="C1423" s="109"/>
      <c r="D1423" s="76"/>
      <c r="E1423" s="64"/>
      <c r="F1423" s="39"/>
      <c r="G1423" s="399">
        <f>IFERROR(VLOOKUP(A1423,醫療院所DATABASE!A:B,2,""),)</f>
        <v>0</v>
      </c>
      <c r="H1423" s="64"/>
      <c r="I1423" s="109"/>
      <c r="J1423" s="109"/>
      <c r="K1423" s="39"/>
      <c r="L1423" s="76"/>
      <c r="M1423" s="39"/>
      <c r="N1423" s="39"/>
      <c r="O1423" s="24"/>
      <c r="P1423" s="409"/>
      <c r="Q1423" s="76"/>
      <c r="R1423" s="76"/>
      <c r="S1423" s="24"/>
      <c r="T1423" s="24"/>
      <c r="U1423" s="64"/>
      <c r="V1423" s="56"/>
      <c r="W1423" s="56"/>
      <c r="X1423" s="56"/>
      <c r="Y1423" s="56"/>
      <c r="Z1423" s="56"/>
      <c r="AA1423" s="56"/>
      <c r="AB1423" s="56"/>
      <c r="AC1423" s="56"/>
    </row>
    <row r="1424" spans="1:29" ht="15.75" customHeight="1">
      <c r="A1424" s="39"/>
      <c r="B1424" s="107"/>
      <c r="C1424" s="109"/>
      <c r="D1424" s="76"/>
      <c r="E1424" s="64"/>
      <c r="F1424" s="39"/>
      <c r="G1424" s="399">
        <f>IFERROR(VLOOKUP(A1424,醫療院所DATABASE!A:B,2,""),)</f>
        <v>0</v>
      </c>
      <c r="H1424" s="64"/>
      <c r="I1424" s="109"/>
      <c r="J1424" s="109"/>
      <c r="K1424" s="39"/>
      <c r="L1424" s="76"/>
      <c r="M1424" s="39"/>
      <c r="N1424" s="39"/>
      <c r="O1424" s="24"/>
      <c r="P1424" s="409"/>
      <c r="Q1424" s="76"/>
      <c r="R1424" s="76"/>
      <c r="S1424" s="24"/>
      <c r="T1424" s="24"/>
      <c r="U1424" s="64"/>
      <c r="V1424" s="56"/>
      <c r="W1424" s="56"/>
      <c r="X1424" s="56"/>
      <c r="Y1424" s="56"/>
      <c r="Z1424" s="56"/>
      <c r="AA1424" s="56"/>
      <c r="AB1424" s="56"/>
      <c r="AC1424" s="56"/>
    </row>
    <row r="1425" spans="1:29" ht="15.75" customHeight="1">
      <c r="A1425" s="39"/>
      <c r="B1425" s="107"/>
      <c r="C1425" s="109"/>
      <c r="D1425" s="76"/>
      <c r="E1425" s="64"/>
      <c r="F1425" s="39"/>
      <c r="G1425" s="399">
        <f>IFERROR(VLOOKUP(A1425,醫療院所DATABASE!A:B,2,""),)</f>
        <v>0</v>
      </c>
      <c r="H1425" s="64"/>
      <c r="I1425" s="109"/>
      <c r="J1425" s="109"/>
      <c r="K1425" s="39"/>
      <c r="L1425" s="76"/>
      <c r="M1425" s="39"/>
      <c r="N1425" s="39"/>
      <c r="O1425" s="24"/>
      <c r="P1425" s="409"/>
      <c r="Q1425" s="76"/>
      <c r="R1425" s="76"/>
      <c r="S1425" s="24"/>
      <c r="T1425" s="24"/>
      <c r="U1425" s="64"/>
      <c r="V1425" s="56"/>
      <c r="W1425" s="56"/>
      <c r="X1425" s="56"/>
      <c r="Y1425" s="56"/>
      <c r="Z1425" s="56"/>
      <c r="AA1425" s="56"/>
      <c r="AB1425" s="56"/>
      <c r="AC1425" s="56"/>
    </row>
    <row r="1426" spans="1:29" ht="15.75" customHeight="1">
      <c r="A1426" s="39"/>
      <c r="B1426" s="107"/>
      <c r="C1426" s="109"/>
      <c r="D1426" s="76"/>
      <c r="E1426" s="64"/>
      <c r="F1426" s="39"/>
      <c r="G1426" s="399">
        <f>IFERROR(VLOOKUP(A1426,醫療院所DATABASE!A:B,2,""),)</f>
        <v>0</v>
      </c>
      <c r="H1426" s="64"/>
      <c r="I1426" s="109"/>
      <c r="J1426" s="109"/>
      <c r="K1426" s="39"/>
      <c r="L1426" s="76"/>
      <c r="M1426" s="39"/>
      <c r="N1426" s="39"/>
      <c r="O1426" s="24"/>
      <c r="P1426" s="409"/>
      <c r="Q1426" s="76"/>
      <c r="R1426" s="76"/>
      <c r="S1426" s="24"/>
      <c r="T1426" s="24"/>
      <c r="U1426" s="64"/>
      <c r="V1426" s="56"/>
      <c r="W1426" s="56"/>
      <c r="X1426" s="56"/>
      <c r="Y1426" s="56"/>
      <c r="Z1426" s="56"/>
      <c r="AA1426" s="56"/>
      <c r="AB1426" s="56"/>
      <c r="AC1426" s="56"/>
    </row>
    <row r="1427" spans="1:29" ht="15.75" customHeight="1">
      <c r="A1427" s="39"/>
      <c r="B1427" s="107"/>
      <c r="C1427" s="109"/>
      <c r="D1427" s="76"/>
      <c r="E1427" s="64"/>
      <c r="F1427" s="39"/>
      <c r="G1427" s="399">
        <f>IFERROR(VLOOKUP(A1427,醫療院所DATABASE!A:B,2,""),)</f>
        <v>0</v>
      </c>
      <c r="H1427" s="64"/>
      <c r="I1427" s="109"/>
      <c r="J1427" s="109"/>
      <c r="K1427" s="39"/>
      <c r="L1427" s="76"/>
      <c r="M1427" s="39"/>
      <c r="N1427" s="39"/>
      <c r="O1427" s="24"/>
      <c r="P1427" s="409"/>
      <c r="Q1427" s="76"/>
      <c r="R1427" s="76"/>
      <c r="S1427" s="24"/>
      <c r="T1427" s="24"/>
      <c r="U1427" s="64"/>
      <c r="V1427" s="56"/>
      <c r="W1427" s="56"/>
      <c r="X1427" s="56"/>
      <c r="Y1427" s="56"/>
      <c r="Z1427" s="56"/>
      <c r="AA1427" s="56"/>
      <c r="AB1427" s="56"/>
      <c r="AC1427" s="56"/>
    </row>
    <row r="1428" spans="1:29" ht="15.75" customHeight="1">
      <c r="A1428" s="39"/>
      <c r="B1428" s="107"/>
      <c r="C1428" s="109"/>
      <c r="D1428" s="76"/>
      <c r="E1428" s="64"/>
      <c r="F1428" s="39"/>
      <c r="G1428" s="399">
        <f>IFERROR(VLOOKUP(A1428,醫療院所DATABASE!A:B,2,""),)</f>
        <v>0</v>
      </c>
      <c r="H1428" s="64"/>
      <c r="I1428" s="109"/>
      <c r="J1428" s="109"/>
      <c r="K1428" s="39"/>
      <c r="L1428" s="76"/>
      <c r="M1428" s="39"/>
      <c r="N1428" s="39"/>
      <c r="O1428" s="24"/>
      <c r="P1428" s="409"/>
      <c r="Q1428" s="76"/>
      <c r="R1428" s="76"/>
      <c r="S1428" s="24"/>
      <c r="T1428" s="24"/>
      <c r="U1428" s="64"/>
      <c r="V1428" s="56"/>
      <c r="W1428" s="56"/>
      <c r="X1428" s="56"/>
      <c r="Y1428" s="56"/>
      <c r="Z1428" s="56"/>
      <c r="AA1428" s="56"/>
      <c r="AB1428" s="56"/>
      <c r="AC1428" s="56"/>
    </row>
    <row r="1429" spans="1:29" ht="15.75" customHeight="1">
      <c r="A1429" s="39"/>
      <c r="B1429" s="107"/>
      <c r="C1429" s="109"/>
      <c r="D1429" s="76"/>
      <c r="E1429" s="64"/>
      <c r="F1429" s="39"/>
      <c r="G1429" s="399">
        <f>IFERROR(VLOOKUP(A1429,醫療院所DATABASE!A:B,2,""),)</f>
        <v>0</v>
      </c>
      <c r="H1429" s="64"/>
      <c r="I1429" s="109"/>
      <c r="J1429" s="109"/>
      <c r="K1429" s="39"/>
      <c r="L1429" s="76"/>
      <c r="M1429" s="39"/>
      <c r="N1429" s="39"/>
      <c r="O1429" s="24"/>
      <c r="P1429" s="409"/>
      <c r="Q1429" s="76"/>
      <c r="R1429" s="76"/>
      <c r="S1429" s="24"/>
      <c r="T1429" s="24"/>
      <c r="U1429" s="64"/>
      <c r="V1429" s="56"/>
      <c r="W1429" s="56"/>
      <c r="X1429" s="56"/>
      <c r="Y1429" s="56"/>
      <c r="Z1429" s="56"/>
      <c r="AA1429" s="56"/>
      <c r="AB1429" s="56"/>
      <c r="AC1429" s="56"/>
    </row>
    <row r="1430" spans="1:29" ht="15.75" customHeight="1">
      <c r="A1430" s="39"/>
      <c r="B1430" s="107"/>
      <c r="C1430" s="109"/>
      <c r="D1430" s="76"/>
      <c r="E1430" s="64"/>
      <c r="F1430" s="39"/>
      <c r="G1430" s="399">
        <f>IFERROR(VLOOKUP(A1430,醫療院所DATABASE!A:B,2,""),)</f>
        <v>0</v>
      </c>
      <c r="H1430" s="64"/>
      <c r="I1430" s="109"/>
      <c r="J1430" s="109"/>
      <c r="K1430" s="39"/>
      <c r="L1430" s="76"/>
      <c r="M1430" s="39"/>
      <c r="N1430" s="39"/>
      <c r="O1430" s="24"/>
      <c r="P1430" s="409"/>
      <c r="Q1430" s="76"/>
      <c r="R1430" s="76"/>
      <c r="S1430" s="24"/>
      <c r="T1430" s="24"/>
      <c r="U1430" s="64"/>
      <c r="V1430" s="56"/>
      <c r="W1430" s="56"/>
      <c r="X1430" s="56"/>
      <c r="Y1430" s="56"/>
      <c r="Z1430" s="56"/>
      <c r="AA1430" s="56"/>
      <c r="AB1430" s="56"/>
      <c r="AC1430" s="56"/>
    </row>
    <row r="1431" spans="1:29" ht="15.75" customHeight="1">
      <c r="A1431" s="39"/>
      <c r="B1431" s="107"/>
      <c r="C1431" s="109"/>
      <c r="D1431" s="76"/>
      <c r="E1431" s="64"/>
      <c r="F1431" s="39"/>
      <c r="G1431" s="399">
        <f>IFERROR(VLOOKUP(A1431,醫療院所DATABASE!A:B,2,""),)</f>
        <v>0</v>
      </c>
      <c r="H1431" s="64"/>
      <c r="I1431" s="109"/>
      <c r="J1431" s="109"/>
      <c r="K1431" s="39"/>
      <c r="L1431" s="76"/>
      <c r="M1431" s="39"/>
      <c r="N1431" s="39"/>
      <c r="O1431" s="24"/>
      <c r="P1431" s="409"/>
      <c r="Q1431" s="76"/>
      <c r="R1431" s="76"/>
      <c r="S1431" s="24"/>
      <c r="T1431" s="24"/>
      <c r="U1431" s="64"/>
      <c r="V1431" s="56"/>
      <c r="W1431" s="56"/>
      <c r="X1431" s="56"/>
      <c r="Y1431" s="56"/>
      <c r="Z1431" s="56"/>
      <c r="AA1431" s="56"/>
      <c r="AB1431" s="56"/>
      <c r="AC1431" s="56"/>
    </row>
    <row r="1432" spans="1:29" ht="15.75" customHeight="1">
      <c r="A1432" s="39"/>
      <c r="B1432" s="107"/>
      <c r="C1432" s="109"/>
      <c r="D1432" s="76"/>
      <c r="E1432" s="64"/>
      <c r="F1432" s="39"/>
      <c r="G1432" s="399">
        <f>IFERROR(VLOOKUP(A1432,醫療院所DATABASE!A:B,2,""),)</f>
        <v>0</v>
      </c>
      <c r="H1432" s="64"/>
      <c r="I1432" s="109"/>
      <c r="J1432" s="109"/>
      <c r="K1432" s="39"/>
      <c r="L1432" s="76"/>
      <c r="M1432" s="39"/>
      <c r="N1432" s="39"/>
      <c r="O1432" s="24"/>
      <c r="P1432" s="409"/>
      <c r="Q1432" s="76"/>
      <c r="R1432" s="76"/>
      <c r="S1432" s="24"/>
      <c r="T1432" s="24"/>
      <c r="U1432" s="64"/>
      <c r="V1432" s="56"/>
      <c r="W1432" s="56"/>
      <c r="X1432" s="56"/>
      <c r="Y1432" s="56"/>
      <c r="Z1432" s="56"/>
      <c r="AA1432" s="56"/>
      <c r="AB1432" s="56"/>
      <c r="AC1432" s="56"/>
    </row>
    <row r="1433" spans="1:29" ht="15.75" customHeight="1">
      <c r="A1433" s="39"/>
      <c r="B1433" s="107"/>
      <c r="C1433" s="109"/>
      <c r="D1433" s="76"/>
      <c r="E1433" s="64"/>
      <c r="F1433" s="39"/>
      <c r="G1433" s="399">
        <f>IFERROR(VLOOKUP(A1433,醫療院所DATABASE!A:B,2,""),)</f>
        <v>0</v>
      </c>
      <c r="H1433" s="64"/>
      <c r="I1433" s="109"/>
      <c r="J1433" s="109"/>
      <c r="K1433" s="39"/>
      <c r="L1433" s="76"/>
      <c r="M1433" s="39"/>
      <c r="N1433" s="39"/>
      <c r="O1433" s="24"/>
      <c r="P1433" s="409"/>
      <c r="Q1433" s="76"/>
      <c r="R1433" s="76"/>
      <c r="S1433" s="24"/>
      <c r="T1433" s="24"/>
      <c r="U1433" s="64"/>
      <c r="V1433" s="56"/>
      <c r="W1433" s="56"/>
      <c r="X1433" s="56"/>
      <c r="Y1433" s="56"/>
      <c r="Z1433" s="56"/>
      <c r="AA1433" s="56"/>
      <c r="AB1433" s="56"/>
      <c r="AC1433" s="56"/>
    </row>
    <row r="1434" spans="1:29" ht="15.75" customHeight="1">
      <c r="A1434" s="39"/>
      <c r="B1434" s="107"/>
      <c r="C1434" s="109"/>
      <c r="D1434" s="76"/>
      <c r="E1434" s="64"/>
      <c r="F1434" s="39"/>
      <c r="G1434" s="399">
        <f>IFERROR(VLOOKUP(A1434,醫療院所DATABASE!A:B,2,""),)</f>
        <v>0</v>
      </c>
      <c r="H1434" s="64"/>
      <c r="I1434" s="109"/>
      <c r="J1434" s="109"/>
      <c r="K1434" s="39"/>
      <c r="L1434" s="76"/>
      <c r="M1434" s="39"/>
      <c r="N1434" s="39"/>
      <c r="O1434" s="24"/>
      <c r="P1434" s="409"/>
      <c r="Q1434" s="76"/>
      <c r="R1434" s="76"/>
      <c r="S1434" s="24"/>
      <c r="T1434" s="24"/>
      <c r="U1434" s="64"/>
      <c r="V1434" s="56"/>
      <c r="W1434" s="56"/>
      <c r="X1434" s="56"/>
      <c r="Y1434" s="56"/>
      <c r="Z1434" s="56"/>
      <c r="AA1434" s="56"/>
      <c r="AB1434" s="56"/>
      <c r="AC1434" s="56"/>
    </row>
    <row r="1435" spans="1:29" ht="15.75" customHeight="1">
      <c r="A1435" s="39"/>
      <c r="B1435" s="107"/>
      <c r="C1435" s="109"/>
      <c r="D1435" s="76"/>
      <c r="E1435" s="64"/>
      <c r="F1435" s="39"/>
      <c r="G1435" s="399">
        <f>IFERROR(VLOOKUP(A1435,醫療院所DATABASE!A:B,2,""),)</f>
        <v>0</v>
      </c>
      <c r="H1435" s="64"/>
      <c r="I1435" s="109"/>
      <c r="J1435" s="109"/>
      <c r="K1435" s="39"/>
      <c r="L1435" s="76"/>
      <c r="M1435" s="39"/>
      <c r="N1435" s="39"/>
      <c r="O1435" s="24"/>
      <c r="P1435" s="409"/>
      <c r="Q1435" s="76"/>
      <c r="R1435" s="76"/>
      <c r="S1435" s="24"/>
      <c r="T1435" s="24"/>
      <c r="U1435" s="64"/>
      <c r="V1435" s="56"/>
      <c r="W1435" s="56"/>
      <c r="X1435" s="56"/>
      <c r="Y1435" s="56"/>
      <c r="Z1435" s="56"/>
      <c r="AA1435" s="56"/>
      <c r="AB1435" s="56"/>
      <c r="AC1435" s="56"/>
    </row>
    <row r="1436" spans="1:29" ht="15.75" customHeight="1">
      <c r="A1436" s="39"/>
      <c r="B1436" s="107"/>
      <c r="C1436" s="109"/>
      <c r="D1436" s="76"/>
      <c r="E1436" s="64"/>
      <c r="F1436" s="39"/>
      <c r="G1436" s="399">
        <f>IFERROR(VLOOKUP(A1436,醫療院所DATABASE!A:B,2,""),)</f>
        <v>0</v>
      </c>
      <c r="H1436" s="64"/>
      <c r="I1436" s="109"/>
      <c r="J1436" s="109"/>
      <c r="K1436" s="39"/>
      <c r="L1436" s="76"/>
      <c r="M1436" s="39"/>
      <c r="N1436" s="39"/>
      <c r="O1436" s="24"/>
      <c r="P1436" s="409"/>
      <c r="Q1436" s="76"/>
      <c r="R1436" s="76"/>
      <c r="S1436" s="24"/>
      <c r="T1436" s="24"/>
      <c r="U1436" s="64"/>
      <c r="V1436" s="56"/>
      <c r="W1436" s="56"/>
      <c r="X1436" s="56"/>
      <c r="Y1436" s="56"/>
      <c r="Z1436" s="56"/>
      <c r="AA1436" s="56"/>
      <c r="AB1436" s="56"/>
      <c r="AC1436" s="56"/>
    </row>
    <row r="1437" spans="1:29" ht="15.75" customHeight="1">
      <c r="A1437" s="39"/>
      <c r="B1437" s="107"/>
      <c r="C1437" s="109"/>
      <c r="D1437" s="76"/>
      <c r="E1437" s="64"/>
      <c r="F1437" s="39"/>
      <c r="G1437" s="399">
        <f>IFERROR(VLOOKUP(A1437,醫療院所DATABASE!A:B,2,""),)</f>
        <v>0</v>
      </c>
      <c r="H1437" s="64"/>
      <c r="I1437" s="109"/>
      <c r="J1437" s="109"/>
      <c r="K1437" s="39"/>
      <c r="L1437" s="76"/>
      <c r="M1437" s="39"/>
      <c r="N1437" s="39"/>
      <c r="O1437" s="24"/>
      <c r="P1437" s="409"/>
      <c r="Q1437" s="76"/>
      <c r="R1437" s="76"/>
      <c r="S1437" s="24"/>
      <c r="T1437" s="24"/>
      <c r="U1437" s="64"/>
      <c r="V1437" s="56"/>
      <c r="W1437" s="56"/>
      <c r="X1437" s="56"/>
      <c r="Y1437" s="56"/>
      <c r="Z1437" s="56"/>
      <c r="AA1437" s="56"/>
      <c r="AB1437" s="56"/>
      <c r="AC1437" s="56"/>
    </row>
    <row r="1438" spans="1:29" ht="15.75" customHeight="1">
      <c r="A1438" s="39"/>
      <c r="B1438" s="107"/>
      <c r="C1438" s="109"/>
      <c r="D1438" s="76"/>
      <c r="E1438" s="64"/>
      <c r="F1438" s="39"/>
      <c r="G1438" s="399">
        <f>IFERROR(VLOOKUP(A1438,醫療院所DATABASE!A:B,2,""),)</f>
        <v>0</v>
      </c>
      <c r="H1438" s="64"/>
      <c r="I1438" s="109"/>
      <c r="J1438" s="109"/>
      <c r="K1438" s="39"/>
      <c r="L1438" s="76"/>
      <c r="M1438" s="39"/>
      <c r="N1438" s="39"/>
      <c r="O1438" s="24"/>
      <c r="P1438" s="409"/>
      <c r="Q1438" s="76"/>
      <c r="R1438" s="76"/>
      <c r="S1438" s="24"/>
      <c r="T1438" s="24"/>
      <c r="U1438" s="64"/>
      <c r="V1438" s="56"/>
      <c r="W1438" s="56"/>
      <c r="X1438" s="56"/>
      <c r="Y1438" s="56"/>
      <c r="Z1438" s="56"/>
      <c r="AA1438" s="56"/>
      <c r="AB1438" s="56"/>
      <c r="AC1438" s="56"/>
    </row>
    <row r="1439" spans="1:29" ht="15.75" customHeight="1">
      <c r="A1439" s="39"/>
      <c r="B1439" s="107"/>
      <c r="C1439" s="109"/>
      <c r="D1439" s="76"/>
      <c r="E1439" s="64"/>
      <c r="F1439" s="39"/>
      <c r="G1439" s="399">
        <f>IFERROR(VLOOKUP(A1439,醫療院所DATABASE!A:B,2,""),)</f>
        <v>0</v>
      </c>
      <c r="H1439" s="64"/>
      <c r="I1439" s="109"/>
      <c r="J1439" s="109"/>
      <c r="K1439" s="39"/>
      <c r="L1439" s="76"/>
      <c r="M1439" s="39"/>
      <c r="N1439" s="39"/>
      <c r="O1439" s="24"/>
      <c r="P1439" s="409"/>
      <c r="Q1439" s="76"/>
      <c r="R1439" s="76"/>
      <c r="S1439" s="24"/>
      <c r="T1439" s="24"/>
      <c r="U1439" s="64"/>
      <c r="V1439" s="56"/>
      <c r="W1439" s="56"/>
      <c r="X1439" s="56"/>
      <c r="Y1439" s="56"/>
      <c r="Z1439" s="56"/>
      <c r="AA1439" s="56"/>
      <c r="AB1439" s="56"/>
      <c r="AC1439" s="56"/>
    </row>
    <row r="1440" spans="1:29" ht="15.75" customHeight="1">
      <c r="A1440" s="39"/>
      <c r="B1440" s="107"/>
      <c r="C1440" s="109"/>
      <c r="D1440" s="76"/>
      <c r="E1440" s="64"/>
      <c r="F1440" s="39"/>
      <c r="G1440" s="399">
        <f>IFERROR(VLOOKUP(A1440,醫療院所DATABASE!A:B,2,""),)</f>
        <v>0</v>
      </c>
      <c r="H1440" s="64"/>
      <c r="I1440" s="109"/>
      <c r="J1440" s="109"/>
      <c r="K1440" s="39"/>
      <c r="L1440" s="76"/>
      <c r="M1440" s="39"/>
      <c r="N1440" s="39"/>
      <c r="O1440" s="24"/>
      <c r="P1440" s="409"/>
      <c r="Q1440" s="76"/>
      <c r="R1440" s="76"/>
      <c r="S1440" s="24"/>
      <c r="T1440" s="24"/>
      <c r="U1440" s="64"/>
      <c r="V1440" s="56"/>
      <c r="W1440" s="56"/>
      <c r="X1440" s="56"/>
      <c r="Y1440" s="56"/>
      <c r="Z1440" s="56"/>
      <c r="AA1440" s="56"/>
      <c r="AB1440" s="56"/>
      <c r="AC1440" s="56"/>
    </row>
    <row r="1441" spans="1:29" ht="15.75" customHeight="1">
      <c r="A1441" s="39"/>
      <c r="B1441" s="107"/>
      <c r="C1441" s="109"/>
      <c r="D1441" s="76"/>
      <c r="E1441" s="64"/>
      <c r="F1441" s="39"/>
      <c r="G1441" s="399">
        <f>IFERROR(VLOOKUP(A1441,醫療院所DATABASE!A:B,2,""),)</f>
        <v>0</v>
      </c>
      <c r="H1441" s="64"/>
      <c r="I1441" s="109"/>
      <c r="J1441" s="109"/>
      <c r="K1441" s="39"/>
      <c r="L1441" s="76"/>
      <c r="M1441" s="39"/>
      <c r="N1441" s="39"/>
      <c r="O1441" s="24"/>
      <c r="P1441" s="409"/>
      <c r="Q1441" s="76"/>
      <c r="R1441" s="76"/>
      <c r="S1441" s="24"/>
      <c r="T1441" s="24"/>
      <c r="U1441" s="64"/>
      <c r="V1441" s="56"/>
      <c r="W1441" s="56"/>
      <c r="X1441" s="56"/>
      <c r="Y1441" s="56"/>
      <c r="Z1441" s="56"/>
      <c r="AA1441" s="56"/>
      <c r="AB1441" s="56"/>
      <c r="AC1441" s="56"/>
    </row>
    <row r="1442" spans="1:29" ht="15.75" customHeight="1">
      <c r="A1442" s="39"/>
      <c r="B1442" s="107"/>
      <c r="C1442" s="109"/>
      <c r="D1442" s="76"/>
      <c r="E1442" s="64"/>
      <c r="F1442" s="39"/>
      <c r="G1442" s="399">
        <f>IFERROR(VLOOKUP(A1442,醫療院所DATABASE!A:B,2,""),)</f>
        <v>0</v>
      </c>
      <c r="H1442" s="64"/>
      <c r="I1442" s="109"/>
      <c r="J1442" s="109"/>
      <c r="K1442" s="39"/>
      <c r="L1442" s="76"/>
      <c r="M1442" s="39"/>
      <c r="N1442" s="39"/>
      <c r="O1442" s="24"/>
      <c r="P1442" s="409"/>
      <c r="Q1442" s="76"/>
      <c r="R1442" s="76"/>
      <c r="S1442" s="24"/>
      <c r="T1442" s="24"/>
      <c r="U1442" s="64"/>
      <c r="V1442" s="56"/>
      <c r="W1442" s="56"/>
      <c r="X1442" s="56"/>
      <c r="Y1442" s="56"/>
      <c r="Z1442" s="56"/>
      <c r="AA1442" s="56"/>
      <c r="AB1442" s="56"/>
      <c r="AC1442" s="56"/>
    </row>
    <row r="1443" spans="1:29" ht="15.75" customHeight="1">
      <c r="A1443" s="39"/>
      <c r="B1443" s="107"/>
      <c r="C1443" s="109"/>
      <c r="D1443" s="76"/>
      <c r="E1443" s="64"/>
      <c r="F1443" s="39"/>
      <c r="G1443" s="399">
        <f>IFERROR(VLOOKUP(A1443,醫療院所DATABASE!A:B,2,""),)</f>
        <v>0</v>
      </c>
      <c r="H1443" s="64"/>
      <c r="I1443" s="109"/>
      <c r="J1443" s="109"/>
      <c r="K1443" s="39"/>
      <c r="L1443" s="76"/>
      <c r="M1443" s="39"/>
      <c r="N1443" s="39"/>
      <c r="O1443" s="24"/>
      <c r="P1443" s="409"/>
      <c r="Q1443" s="76"/>
      <c r="R1443" s="76"/>
      <c r="S1443" s="24"/>
      <c r="T1443" s="24"/>
      <c r="U1443" s="64"/>
      <c r="V1443" s="56"/>
      <c r="W1443" s="56"/>
      <c r="X1443" s="56"/>
      <c r="Y1443" s="56"/>
      <c r="Z1443" s="56"/>
      <c r="AA1443" s="56"/>
      <c r="AB1443" s="56"/>
      <c r="AC1443" s="56"/>
    </row>
    <row r="1444" spans="1:29" ht="15.75" customHeight="1">
      <c r="A1444" s="39"/>
      <c r="B1444" s="107"/>
      <c r="C1444" s="109"/>
      <c r="D1444" s="76"/>
      <c r="E1444" s="64"/>
      <c r="F1444" s="39"/>
      <c r="G1444" s="399">
        <f>IFERROR(VLOOKUP(A1444,醫療院所DATABASE!A:B,2,""),)</f>
        <v>0</v>
      </c>
      <c r="H1444" s="64"/>
      <c r="I1444" s="109"/>
      <c r="J1444" s="109"/>
      <c r="K1444" s="39"/>
      <c r="L1444" s="76"/>
      <c r="M1444" s="39"/>
      <c r="N1444" s="39"/>
      <c r="O1444" s="24"/>
      <c r="P1444" s="409"/>
      <c r="Q1444" s="76"/>
      <c r="R1444" s="76"/>
      <c r="S1444" s="24"/>
      <c r="T1444" s="24"/>
      <c r="U1444" s="64"/>
      <c r="V1444" s="56"/>
      <c r="W1444" s="56"/>
      <c r="X1444" s="56"/>
      <c r="Y1444" s="56"/>
      <c r="Z1444" s="56"/>
      <c r="AA1444" s="56"/>
      <c r="AB1444" s="56"/>
      <c r="AC1444" s="56"/>
    </row>
    <row r="1445" spans="1:29" ht="15.75" customHeight="1">
      <c r="A1445" s="39"/>
      <c r="B1445" s="107"/>
      <c r="C1445" s="109"/>
      <c r="D1445" s="76"/>
      <c r="E1445" s="64"/>
      <c r="F1445" s="39"/>
      <c r="G1445" s="399">
        <f>IFERROR(VLOOKUP(A1445,醫療院所DATABASE!A:B,2,""),)</f>
        <v>0</v>
      </c>
      <c r="H1445" s="64"/>
      <c r="I1445" s="109"/>
      <c r="J1445" s="109"/>
      <c r="K1445" s="39"/>
      <c r="L1445" s="76"/>
      <c r="M1445" s="39"/>
      <c r="N1445" s="39"/>
      <c r="O1445" s="24"/>
      <c r="P1445" s="409"/>
      <c r="Q1445" s="76"/>
      <c r="R1445" s="76"/>
      <c r="S1445" s="24"/>
      <c r="T1445" s="24"/>
      <c r="U1445" s="64"/>
      <c r="V1445" s="56"/>
      <c r="W1445" s="56"/>
      <c r="X1445" s="56"/>
      <c r="Y1445" s="56"/>
      <c r="Z1445" s="56"/>
      <c r="AA1445" s="56"/>
      <c r="AB1445" s="56"/>
      <c r="AC1445" s="56"/>
    </row>
    <row r="1446" spans="1:29" ht="15.75" customHeight="1">
      <c r="A1446" s="39"/>
      <c r="B1446" s="107"/>
      <c r="C1446" s="109"/>
      <c r="D1446" s="76"/>
      <c r="E1446" s="64"/>
      <c r="F1446" s="39"/>
      <c r="G1446" s="399">
        <f>IFERROR(VLOOKUP(A1446,醫療院所DATABASE!A:B,2,""),)</f>
        <v>0</v>
      </c>
      <c r="H1446" s="64"/>
      <c r="I1446" s="109"/>
      <c r="J1446" s="109"/>
      <c r="K1446" s="39"/>
      <c r="L1446" s="76"/>
      <c r="M1446" s="39"/>
      <c r="N1446" s="39"/>
      <c r="O1446" s="24"/>
      <c r="P1446" s="409"/>
      <c r="Q1446" s="76"/>
      <c r="R1446" s="76"/>
      <c r="S1446" s="24"/>
      <c r="T1446" s="24"/>
      <c r="U1446" s="64"/>
      <c r="V1446" s="56"/>
      <c r="W1446" s="56"/>
      <c r="X1446" s="56"/>
      <c r="Y1446" s="56"/>
      <c r="Z1446" s="56"/>
      <c r="AA1446" s="56"/>
      <c r="AB1446" s="56"/>
      <c r="AC1446" s="56"/>
    </row>
    <row r="1447" spans="1:29" ht="15.75" customHeight="1">
      <c r="A1447" s="39"/>
      <c r="B1447" s="107"/>
      <c r="C1447" s="109"/>
      <c r="D1447" s="76"/>
      <c r="E1447" s="64"/>
      <c r="F1447" s="39"/>
      <c r="G1447" s="399">
        <f>IFERROR(VLOOKUP(A1447,醫療院所DATABASE!A:B,2,""),)</f>
        <v>0</v>
      </c>
      <c r="H1447" s="64"/>
      <c r="I1447" s="109"/>
      <c r="J1447" s="109"/>
      <c r="K1447" s="39"/>
      <c r="L1447" s="76"/>
      <c r="M1447" s="39"/>
      <c r="N1447" s="39"/>
      <c r="O1447" s="24"/>
      <c r="P1447" s="409"/>
      <c r="Q1447" s="76"/>
      <c r="R1447" s="76"/>
      <c r="S1447" s="24"/>
      <c r="T1447" s="24"/>
      <c r="U1447" s="64"/>
      <c r="V1447" s="56"/>
      <c r="W1447" s="56"/>
      <c r="X1447" s="56"/>
      <c r="Y1447" s="56"/>
      <c r="Z1447" s="56"/>
      <c r="AA1447" s="56"/>
      <c r="AB1447" s="56"/>
      <c r="AC1447" s="56"/>
    </row>
    <row r="1448" spans="1:29" ht="15.75" customHeight="1">
      <c r="A1448" s="39"/>
      <c r="B1448" s="107"/>
      <c r="C1448" s="109"/>
      <c r="D1448" s="76"/>
      <c r="E1448" s="64"/>
      <c r="F1448" s="39"/>
      <c r="G1448" s="399">
        <f>IFERROR(VLOOKUP(A1448,醫療院所DATABASE!A:B,2,""),)</f>
        <v>0</v>
      </c>
      <c r="H1448" s="64"/>
      <c r="I1448" s="109"/>
      <c r="J1448" s="109"/>
      <c r="K1448" s="39"/>
      <c r="L1448" s="76"/>
      <c r="M1448" s="39"/>
      <c r="N1448" s="39"/>
      <c r="O1448" s="24"/>
      <c r="P1448" s="409"/>
      <c r="Q1448" s="76"/>
      <c r="R1448" s="76"/>
      <c r="S1448" s="24"/>
      <c r="T1448" s="24"/>
      <c r="U1448" s="64"/>
      <c r="V1448" s="56"/>
      <c r="W1448" s="56"/>
      <c r="X1448" s="56"/>
      <c r="Y1448" s="56"/>
      <c r="Z1448" s="56"/>
      <c r="AA1448" s="56"/>
      <c r="AB1448" s="56"/>
      <c r="AC1448" s="56"/>
    </row>
    <row r="1449" spans="1:29" ht="15.75" customHeight="1">
      <c r="A1449" s="39"/>
      <c r="B1449" s="107"/>
      <c r="C1449" s="109"/>
      <c r="D1449" s="76"/>
      <c r="E1449" s="64"/>
      <c r="F1449" s="39"/>
      <c r="G1449" s="399">
        <f>IFERROR(VLOOKUP(A1449,醫療院所DATABASE!A:B,2,""),)</f>
        <v>0</v>
      </c>
      <c r="H1449" s="64"/>
      <c r="I1449" s="109"/>
      <c r="J1449" s="109"/>
      <c r="K1449" s="39"/>
      <c r="L1449" s="76"/>
      <c r="M1449" s="39"/>
      <c r="N1449" s="39"/>
      <c r="O1449" s="24"/>
      <c r="P1449" s="409"/>
      <c r="Q1449" s="76"/>
      <c r="R1449" s="76"/>
      <c r="S1449" s="24"/>
      <c r="T1449" s="24"/>
      <c r="U1449" s="64"/>
      <c r="V1449" s="56"/>
      <c r="W1449" s="56"/>
      <c r="X1449" s="56"/>
      <c r="Y1449" s="56"/>
      <c r="Z1449" s="56"/>
      <c r="AA1449" s="56"/>
      <c r="AB1449" s="56"/>
      <c r="AC1449" s="56"/>
    </row>
    <row r="1450" spans="1:29" ht="15.75" customHeight="1">
      <c r="A1450" s="39"/>
      <c r="B1450" s="107"/>
      <c r="C1450" s="109"/>
      <c r="D1450" s="76"/>
      <c r="E1450" s="64"/>
      <c r="F1450" s="39"/>
      <c r="G1450" s="399">
        <f>IFERROR(VLOOKUP(A1450,醫療院所DATABASE!A:B,2,""),)</f>
        <v>0</v>
      </c>
      <c r="H1450" s="64"/>
      <c r="I1450" s="109"/>
      <c r="J1450" s="109"/>
      <c r="K1450" s="39"/>
      <c r="L1450" s="76"/>
      <c r="M1450" s="39"/>
      <c r="N1450" s="39"/>
      <c r="O1450" s="24"/>
      <c r="P1450" s="409"/>
      <c r="Q1450" s="76"/>
      <c r="R1450" s="76"/>
      <c r="S1450" s="24"/>
      <c r="T1450" s="24"/>
      <c r="U1450" s="64"/>
      <c r="V1450" s="56"/>
      <c r="W1450" s="56"/>
      <c r="X1450" s="56"/>
      <c r="Y1450" s="56"/>
      <c r="Z1450" s="56"/>
      <c r="AA1450" s="56"/>
      <c r="AB1450" s="56"/>
      <c r="AC1450" s="56"/>
    </row>
    <row r="1451" spans="1:29" ht="15.75" customHeight="1">
      <c r="A1451" s="39"/>
      <c r="B1451" s="107"/>
      <c r="C1451" s="109"/>
      <c r="D1451" s="76"/>
      <c r="E1451" s="64"/>
      <c r="F1451" s="39"/>
      <c r="G1451" s="399">
        <f>IFERROR(VLOOKUP(A1451,醫療院所DATABASE!A:B,2,""),)</f>
        <v>0</v>
      </c>
      <c r="H1451" s="64"/>
      <c r="I1451" s="109"/>
      <c r="J1451" s="109"/>
      <c r="K1451" s="39"/>
      <c r="L1451" s="76"/>
      <c r="M1451" s="39"/>
      <c r="N1451" s="39"/>
      <c r="O1451" s="24"/>
      <c r="P1451" s="409"/>
      <c r="Q1451" s="76"/>
      <c r="R1451" s="76"/>
      <c r="S1451" s="24"/>
      <c r="T1451" s="24"/>
      <c r="U1451" s="64"/>
      <c r="V1451" s="56"/>
      <c r="W1451" s="56"/>
      <c r="X1451" s="56"/>
      <c r="Y1451" s="56"/>
      <c r="Z1451" s="56"/>
      <c r="AA1451" s="56"/>
      <c r="AB1451" s="56"/>
      <c r="AC1451" s="56"/>
    </row>
    <row r="1452" spans="1:29" ht="15.75" customHeight="1">
      <c r="A1452" s="39"/>
      <c r="B1452" s="107"/>
      <c r="C1452" s="109"/>
      <c r="D1452" s="76"/>
      <c r="E1452" s="64"/>
      <c r="F1452" s="39"/>
      <c r="G1452" s="399">
        <f>IFERROR(VLOOKUP(A1452,醫療院所DATABASE!A:B,2,""),)</f>
        <v>0</v>
      </c>
      <c r="H1452" s="64"/>
      <c r="I1452" s="109"/>
      <c r="J1452" s="109"/>
      <c r="K1452" s="39"/>
      <c r="L1452" s="76"/>
      <c r="M1452" s="39"/>
      <c r="N1452" s="39"/>
      <c r="O1452" s="24"/>
      <c r="P1452" s="409"/>
      <c r="Q1452" s="76"/>
      <c r="R1452" s="76"/>
      <c r="S1452" s="24"/>
      <c r="T1452" s="24"/>
      <c r="U1452" s="64"/>
      <c r="V1452" s="56"/>
      <c r="W1452" s="56"/>
      <c r="X1452" s="56"/>
      <c r="Y1452" s="56"/>
      <c r="Z1452" s="56"/>
      <c r="AA1452" s="56"/>
      <c r="AB1452" s="56"/>
      <c r="AC1452" s="56"/>
    </row>
    <row r="1453" spans="1:29" ht="15.75" customHeight="1">
      <c r="A1453" s="39"/>
      <c r="B1453" s="107"/>
      <c r="C1453" s="109"/>
      <c r="D1453" s="76"/>
      <c r="E1453" s="64"/>
      <c r="F1453" s="39"/>
      <c r="G1453" s="399">
        <f>IFERROR(VLOOKUP(A1453,醫療院所DATABASE!A:B,2,""),)</f>
        <v>0</v>
      </c>
      <c r="H1453" s="64"/>
      <c r="I1453" s="109"/>
      <c r="J1453" s="109"/>
      <c r="K1453" s="39"/>
      <c r="L1453" s="76"/>
      <c r="M1453" s="39"/>
      <c r="N1453" s="39"/>
      <c r="O1453" s="24"/>
      <c r="P1453" s="409"/>
      <c r="Q1453" s="76"/>
      <c r="R1453" s="76"/>
      <c r="S1453" s="24"/>
      <c r="T1453" s="24"/>
      <c r="U1453" s="64"/>
      <c r="V1453" s="56"/>
      <c r="W1453" s="56"/>
      <c r="X1453" s="56"/>
      <c r="Y1453" s="56"/>
      <c r="Z1453" s="56"/>
      <c r="AA1453" s="56"/>
      <c r="AB1453" s="56"/>
      <c r="AC1453" s="56"/>
    </row>
    <row r="1454" spans="1:29" ht="15.75" customHeight="1">
      <c r="A1454" s="39"/>
      <c r="B1454" s="107"/>
      <c r="C1454" s="109"/>
      <c r="D1454" s="76"/>
      <c r="E1454" s="64"/>
      <c r="F1454" s="39"/>
      <c r="G1454" s="399">
        <f>IFERROR(VLOOKUP(A1454,醫療院所DATABASE!A:B,2,""),)</f>
        <v>0</v>
      </c>
      <c r="H1454" s="64"/>
      <c r="I1454" s="109"/>
      <c r="J1454" s="109"/>
      <c r="K1454" s="39"/>
      <c r="L1454" s="76"/>
      <c r="M1454" s="39"/>
      <c r="N1454" s="39"/>
      <c r="O1454" s="24"/>
      <c r="P1454" s="409"/>
      <c r="Q1454" s="76"/>
      <c r="R1454" s="76"/>
      <c r="S1454" s="24"/>
      <c r="T1454" s="24"/>
      <c r="U1454" s="64"/>
      <c r="V1454" s="56"/>
      <c r="W1454" s="56"/>
      <c r="X1454" s="56"/>
      <c r="Y1454" s="56"/>
      <c r="Z1454" s="56"/>
      <c r="AA1454" s="56"/>
      <c r="AB1454" s="56"/>
      <c r="AC1454" s="56"/>
    </row>
    <row r="1455" spans="1:29" ht="15.75" customHeight="1">
      <c r="A1455" s="39"/>
      <c r="B1455" s="107"/>
      <c r="C1455" s="109"/>
      <c r="D1455" s="76"/>
      <c r="E1455" s="64"/>
      <c r="F1455" s="39"/>
      <c r="G1455" s="399">
        <f>IFERROR(VLOOKUP(A1455,醫療院所DATABASE!A:B,2,""),)</f>
        <v>0</v>
      </c>
      <c r="H1455" s="64"/>
      <c r="I1455" s="109"/>
      <c r="J1455" s="109"/>
      <c r="K1455" s="39"/>
      <c r="L1455" s="76"/>
      <c r="M1455" s="39"/>
      <c r="N1455" s="39"/>
      <c r="O1455" s="24"/>
      <c r="P1455" s="409"/>
      <c r="Q1455" s="76"/>
      <c r="R1455" s="76"/>
      <c r="S1455" s="24"/>
      <c r="T1455" s="24"/>
      <c r="U1455" s="64"/>
      <c r="V1455" s="56"/>
      <c r="W1455" s="56"/>
      <c r="X1455" s="56"/>
      <c r="Y1455" s="56"/>
      <c r="Z1455" s="56"/>
      <c r="AA1455" s="56"/>
      <c r="AB1455" s="56"/>
      <c r="AC1455" s="56"/>
    </row>
    <row r="1456" spans="1:29" ht="15.75" customHeight="1">
      <c r="A1456" s="39"/>
      <c r="B1456" s="107"/>
      <c r="C1456" s="109"/>
      <c r="D1456" s="76"/>
      <c r="E1456" s="64"/>
      <c r="F1456" s="39"/>
      <c r="G1456" s="399">
        <f>IFERROR(VLOOKUP(A1456,醫療院所DATABASE!A:B,2,""),)</f>
        <v>0</v>
      </c>
      <c r="H1456" s="64"/>
      <c r="I1456" s="109"/>
      <c r="J1456" s="109"/>
      <c r="K1456" s="39"/>
      <c r="L1456" s="76"/>
      <c r="M1456" s="39"/>
      <c r="N1456" s="39"/>
      <c r="O1456" s="24"/>
      <c r="P1456" s="409"/>
      <c r="Q1456" s="76"/>
      <c r="R1456" s="76"/>
      <c r="S1456" s="24"/>
      <c r="T1456" s="24"/>
      <c r="U1456" s="64"/>
      <c r="V1456" s="56"/>
      <c r="W1456" s="56"/>
      <c r="X1456" s="56"/>
      <c r="Y1456" s="56"/>
      <c r="Z1456" s="56"/>
      <c r="AA1456" s="56"/>
      <c r="AB1456" s="56"/>
      <c r="AC1456" s="56"/>
    </row>
    <row r="1457" spans="1:29" ht="15.75" customHeight="1">
      <c r="A1457" s="39"/>
      <c r="B1457" s="107"/>
      <c r="C1457" s="109"/>
      <c r="D1457" s="76"/>
      <c r="E1457" s="64"/>
      <c r="F1457" s="39"/>
      <c r="G1457" s="399">
        <f>IFERROR(VLOOKUP(A1457,醫療院所DATABASE!A:B,2,""),)</f>
        <v>0</v>
      </c>
      <c r="H1457" s="64"/>
      <c r="I1457" s="109"/>
      <c r="J1457" s="109"/>
      <c r="K1457" s="39"/>
      <c r="L1457" s="76"/>
      <c r="M1457" s="39"/>
      <c r="N1457" s="39"/>
      <c r="O1457" s="24"/>
      <c r="P1457" s="409"/>
      <c r="Q1457" s="76"/>
      <c r="R1457" s="76"/>
      <c r="S1457" s="24"/>
      <c r="T1457" s="24"/>
      <c r="U1457" s="64"/>
      <c r="V1457" s="56"/>
      <c r="W1457" s="56"/>
      <c r="X1457" s="56"/>
      <c r="Y1457" s="56"/>
      <c r="Z1457" s="56"/>
      <c r="AA1457" s="56"/>
      <c r="AB1457" s="56"/>
      <c r="AC1457" s="56"/>
    </row>
    <row r="1458" spans="1:29" ht="15.75" customHeight="1">
      <c r="A1458" s="39"/>
      <c r="B1458" s="107"/>
      <c r="C1458" s="109"/>
      <c r="D1458" s="76"/>
      <c r="E1458" s="64"/>
      <c r="F1458" s="39"/>
      <c r="G1458" s="399">
        <f>IFERROR(VLOOKUP(A1458,醫療院所DATABASE!A:B,2,""),)</f>
        <v>0</v>
      </c>
      <c r="H1458" s="64"/>
      <c r="I1458" s="109"/>
      <c r="J1458" s="109"/>
      <c r="K1458" s="39"/>
      <c r="L1458" s="76"/>
      <c r="M1458" s="39"/>
      <c r="N1458" s="39"/>
      <c r="O1458" s="24"/>
      <c r="P1458" s="409"/>
      <c r="Q1458" s="76"/>
      <c r="R1458" s="76"/>
      <c r="S1458" s="24"/>
      <c r="T1458" s="24"/>
      <c r="U1458" s="64"/>
      <c r="V1458" s="56"/>
      <c r="W1458" s="56"/>
      <c r="X1458" s="56"/>
      <c r="Y1458" s="56"/>
      <c r="Z1458" s="56"/>
      <c r="AA1458" s="56"/>
      <c r="AB1458" s="56"/>
      <c r="AC1458" s="56"/>
    </row>
    <row r="1459" spans="1:29" ht="15.75" customHeight="1">
      <c r="A1459" s="39"/>
      <c r="B1459" s="107"/>
      <c r="C1459" s="109"/>
      <c r="D1459" s="76"/>
      <c r="E1459" s="64"/>
      <c r="F1459" s="39"/>
      <c r="G1459" s="399">
        <f>IFERROR(VLOOKUP(A1459,醫療院所DATABASE!A:B,2,""),)</f>
        <v>0</v>
      </c>
      <c r="H1459" s="64"/>
      <c r="I1459" s="109"/>
      <c r="J1459" s="109"/>
      <c r="K1459" s="39"/>
      <c r="L1459" s="76"/>
      <c r="M1459" s="39"/>
      <c r="N1459" s="39"/>
      <c r="O1459" s="24"/>
      <c r="P1459" s="409"/>
      <c r="Q1459" s="76"/>
      <c r="R1459" s="76"/>
      <c r="S1459" s="24"/>
      <c r="T1459" s="24"/>
      <c r="U1459" s="64"/>
      <c r="V1459" s="56"/>
      <c r="W1459" s="56"/>
      <c r="X1459" s="56"/>
      <c r="Y1459" s="56"/>
      <c r="Z1459" s="56"/>
      <c r="AA1459" s="56"/>
      <c r="AB1459" s="56"/>
      <c r="AC1459" s="56"/>
    </row>
    <row r="1460" spans="1:29" ht="15.75" customHeight="1">
      <c r="A1460" s="39"/>
      <c r="B1460" s="107"/>
      <c r="C1460" s="109"/>
      <c r="D1460" s="76"/>
      <c r="E1460" s="64"/>
      <c r="F1460" s="39"/>
      <c r="G1460" s="399">
        <f>IFERROR(VLOOKUP(A1460,醫療院所DATABASE!A:B,2,""),)</f>
        <v>0</v>
      </c>
      <c r="H1460" s="64"/>
      <c r="I1460" s="109"/>
      <c r="J1460" s="109"/>
      <c r="K1460" s="39"/>
      <c r="L1460" s="76"/>
      <c r="M1460" s="39"/>
      <c r="N1460" s="39"/>
      <c r="O1460" s="24"/>
      <c r="P1460" s="409"/>
      <c r="Q1460" s="76"/>
      <c r="R1460" s="76"/>
      <c r="S1460" s="24"/>
      <c r="T1460" s="24"/>
      <c r="U1460" s="64"/>
      <c r="V1460" s="56"/>
      <c r="W1460" s="56"/>
      <c r="X1460" s="56"/>
      <c r="Y1460" s="56"/>
      <c r="Z1460" s="56"/>
      <c r="AA1460" s="56"/>
      <c r="AB1460" s="56"/>
      <c r="AC1460" s="56"/>
    </row>
    <row r="1461" spans="1:29" ht="15.75" customHeight="1">
      <c r="A1461" s="39"/>
      <c r="B1461" s="107"/>
      <c r="C1461" s="109"/>
      <c r="D1461" s="76"/>
      <c r="E1461" s="64"/>
      <c r="F1461" s="39"/>
      <c r="G1461" s="399">
        <f>IFERROR(VLOOKUP(A1461,醫療院所DATABASE!A:B,2,""),)</f>
        <v>0</v>
      </c>
      <c r="H1461" s="64"/>
      <c r="I1461" s="109"/>
      <c r="J1461" s="109"/>
      <c r="K1461" s="39"/>
      <c r="L1461" s="76"/>
      <c r="M1461" s="39"/>
      <c r="N1461" s="39"/>
      <c r="O1461" s="24"/>
      <c r="P1461" s="409"/>
      <c r="Q1461" s="76"/>
      <c r="R1461" s="76"/>
      <c r="S1461" s="24"/>
      <c r="T1461" s="24"/>
      <c r="U1461" s="64"/>
      <c r="V1461" s="56"/>
      <c r="W1461" s="56"/>
      <c r="X1461" s="56"/>
      <c r="Y1461" s="56"/>
      <c r="Z1461" s="56"/>
      <c r="AA1461" s="56"/>
      <c r="AB1461" s="56"/>
      <c r="AC1461" s="56"/>
    </row>
    <row r="1462" spans="1:29" ht="15.75" customHeight="1">
      <c r="A1462" s="39"/>
      <c r="B1462" s="107"/>
      <c r="C1462" s="109"/>
      <c r="D1462" s="76"/>
      <c r="E1462" s="64"/>
      <c r="F1462" s="39"/>
      <c r="G1462" s="399">
        <f>IFERROR(VLOOKUP(A1462,醫療院所DATABASE!A:B,2,""),)</f>
        <v>0</v>
      </c>
      <c r="H1462" s="64"/>
      <c r="I1462" s="109"/>
      <c r="J1462" s="109"/>
      <c r="K1462" s="39"/>
      <c r="L1462" s="76"/>
      <c r="M1462" s="39"/>
      <c r="N1462" s="39"/>
      <c r="O1462" s="24"/>
      <c r="P1462" s="409"/>
      <c r="Q1462" s="76"/>
      <c r="R1462" s="76"/>
      <c r="S1462" s="24"/>
      <c r="T1462" s="24"/>
      <c r="U1462" s="64"/>
      <c r="V1462" s="56"/>
      <c r="W1462" s="56"/>
      <c r="X1462" s="56"/>
      <c r="Y1462" s="56"/>
      <c r="Z1462" s="56"/>
      <c r="AA1462" s="56"/>
      <c r="AB1462" s="56"/>
      <c r="AC1462" s="56"/>
    </row>
    <row r="1463" spans="1:29" ht="15.75" customHeight="1">
      <c r="A1463" s="39"/>
      <c r="B1463" s="107"/>
      <c r="C1463" s="109"/>
      <c r="D1463" s="76"/>
      <c r="E1463" s="64"/>
      <c r="F1463" s="39"/>
      <c r="G1463" s="399">
        <f>IFERROR(VLOOKUP(A1463,醫療院所DATABASE!A:B,2,""),)</f>
        <v>0</v>
      </c>
      <c r="H1463" s="64"/>
      <c r="I1463" s="109"/>
      <c r="J1463" s="109"/>
      <c r="K1463" s="39"/>
      <c r="L1463" s="76"/>
      <c r="M1463" s="39"/>
      <c r="N1463" s="39"/>
      <c r="O1463" s="24"/>
      <c r="P1463" s="409"/>
      <c r="Q1463" s="76"/>
      <c r="R1463" s="76"/>
      <c r="S1463" s="24"/>
      <c r="T1463" s="24"/>
      <c r="U1463" s="64"/>
      <c r="V1463" s="56"/>
      <c r="W1463" s="56"/>
      <c r="X1463" s="56"/>
      <c r="Y1463" s="56"/>
      <c r="Z1463" s="56"/>
      <c r="AA1463" s="56"/>
      <c r="AB1463" s="56"/>
      <c r="AC1463" s="56"/>
    </row>
    <row r="1464" spans="1:29" ht="15.75" customHeight="1">
      <c r="A1464" s="39"/>
      <c r="B1464" s="107"/>
      <c r="C1464" s="109"/>
      <c r="D1464" s="76"/>
      <c r="E1464" s="64"/>
      <c r="F1464" s="39"/>
      <c r="G1464" s="399">
        <f>IFERROR(VLOOKUP(A1464,醫療院所DATABASE!A:B,2,""),)</f>
        <v>0</v>
      </c>
      <c r="H1464" s="64"/>
      <c r="I1464" s="109"/>
      <c r="J1464" s="109"/>
      <c r="K1464" s="39"/>
      <c r="L1464" s="76"/>
      <c r="M1464" s="39"/>
      <c r="N1464" s="39"/>
      <c r="O1464" s="24"/>
      <c r="P1464" s="409"/>
      <c r="Q1464" s="76"/>
      <c r="R1464" s="76"/>
      <c r="S1464" s="24"/>
      <c r="T1464" s="24"/>
      <c r="U1464" s="64"/>
      <c r="V1464" s="56"/>
      <c r="W1464" s="56"/>
      <c r="X1464" s="56"/>
      <c r="Y1464" s="56"/>
      <c r="Z1464" s="56"/>
      <c r="AA1464" s="56"/>
      <c r="AB1464" s="56"/>
      <c r="AC1464" s="56"/>
    </row>
    <row r="1465" spans="1:29" ht="15.75" customHeight="1">
      <c r="A1465" s="39"/>
      <c r="B1465" s="107"/>
      <c r="C1465" s="109"/>
      <c r="D1465" s="76"/>
      <c r="E1465" s="64"/>
      <c r="F1465" s="39"/>
      <c r="G1465" s="399">
        <f>IFERROR(VLOOKUP(A1465,醫療院所DATABASE!A:B,2,""),)</f>
        <v>0</v>
      </c>
      <c r="H1465" s="64"/>
      <c r="I1465" s="109"/>
      <c r="J1465" s="109"/>
      <c r="K1465" s="39"/>
      <c r="L1465" s="76"/>
      <c r="M1465" s="39"/>
      <c r="N1465" s="39"/>
      <c r="O1465" s="24"/>
      <c r="P1465" s="409"/>
      <c r="Q1465" s="76"/>
      <c r="R1465" s="76"/>
      <c r="S1465" s="24"/>
      <c r="T1465" s="24"/>
      <c r="U1465" s="64"/>
      <c r="V1465" s="56"/>
      <c r="W1465" s="56"/>
      <c r="X1465" s="56"/>
      <c r="Y1465" s="56"/>
      <c r="Z1465" s="56"/>
      <c r="AA1465" s="56"/>
      <c r="AB1465" s="56"/>
      <c r="AC1465" s="56"/>
    </row>
    <row r="1466" spans="1:29" ht="15.75" customHeight="1">
      <c r="A1466" s="39"/>
      <c r="B1466" s="107"/>
      <c r="C1466" s="109"/>
      <c r="D1466" s="76"/>
      <c r="E1466" s="64"/>
      <c r="F1466" s="39"/>
      <c r="G1466" s="399">
        <f>IFERROR(VLOOKUP(A1466,醫療院所DATABASE!A:B,2,""),)</f>
        <v>0</v>
      </c>
      <c r="H1466" s="64"/>
      <c r="I1466" s="109"/>
      <c r="J1466" s="109"/>
      <c r="K1466" s="39"/>
      <c r="L1466" s="76"/>
      <c r="M1466" s="39"/>
      <c r="N1466" s="39"/>
      <c r="O1466" s="24"/>
      <c r="P1466" s="409"/>
      <c r="Q1466" s="76"/>
      <c r="R1466" s="76"/>
      <c r="S1466" s="24"/>
      <c r="T1466" s="24"/>
      <c r="U1466" s="64"/>
      <c r="V1466" s="56"/>
      <c r="W1466" s="56"/>
      <c r="X1466" s="56"/>
      <c r="Y1466" s="56"/>
      <c r="Z1466" s="56"/>
      <c r="AA1466" s="56"/>
      <c r="AB1466" s="56"/>
      <c r="AC1466" s="56"/>
    </row>
    <row r="1467" spans="1:29" ht="15.75" customHeight="1">
      <c r="A1467" s="39"/>
      <c r="B1467" s="107"/>
      <c r="C1467" s="109"/>
      <c r="D1467" s="76"/>
      <c r="E1467" s="64"/>
      <c r="F1467" s="39"/>
      <c r="G1467" s="399">
        <f>IFERROR(VLOOKUP(A1467,醫療院所DATABASE!A:B,2,""),)</f>
        <v>0</v>
      </c>
      <c r="H1467" s="64"/>
      <c r="I1467" s="109"/>
      <c r="J1467" s="109"/>
      <c r="K1467" s="39"/>
      <c r="L1467" s="76"/>
      <c r="M1467" s="39"/>
      <c r="N1467" s="39"/>
      <c r="O1467" s="24"/>
      <c r="P1467" s="409"/>
      <c r="Q1467" s="76"/>
      <c r="R1467" s="76"/>
      <c r="S1467" s="24"/>
      <c r="T1467" s="24"/>
      <c r="U1467" s="64"/>
      <c r="V1467" s="56"/>
      <c r="W1467" s="56"/>
      <c r="X1467" s="56"/>
      <c r="Y1467" s="56"/>
      <c r="Z1467" s="56"/>
      <c r="AA1467" s="56"/>
      <c r="AB1467" s="56"/>
      <c r="AC1467" s="56"/>
    </row>
    <row r="1468" spans="1:29" ht="15.75" customHeight="1">
      <c r="A1468" s="39"/>
      <c r="B1468" s="107"/>
      <c r="C1468" s="109"/>
      <c r="D1468" s="76"/>
      <c r="E1468" s="64"/>
      <c r="F1468" s="39"/>
      <c r="G1468" s="399">
        <f>IFERROR(VLOOKUP(A1468,醫療院所DATABASE!A:B,2,""),)</f>
        <v>0</v>
      </c>
      <c r="H1468" s="64"/>
      <c r="I1468" s="109"/>
      <c r="J1468" s="109"/>
      <c r="K1468" s="39"/>
      <c r="L1468" s="76"/>
      <c r="M1468" s="39"/>
      <c r="N1468" s="39"/>
      <c r="O1468" s="24"/>
      <c r="P1468" s="409"/>
      <c r="Q1468" s="76"/>
      <c r="R1468" s="76"/>
      <c r="S1468" s="24"/>
      <c r="T1468" s="24"/>
      <c r="U1468" s="64"/>
      <c r="V1468" s="56"/>
      <c r="W1468" s="56"/>
      <c r="X1468" s="56"/>
      <c r="Y1468" s="56"/>
      <c r="Z1468" s="56"/>
      <c r="AA1468" s="56"/>
      <c r="AB1468" s="56"/>
      <c r="AC1468" s="56"/>
    </row>
    <row r="1469" spans="1:29" ht="15.75" customHeight="1">
      <c r="A1469" s="39"/>
      <c r="B1469" s="107"/>
      <c r="C1469" s="109"/>
      <c r="D1469" s="76"/>
      <c r="E1469" s="64"/>
      <c r="F1469" s="39"/>
      <c r="G1469" s="399">
        <f>IFERROR(VLOOKUP(A1469,醫療院所DATABASE!A:B,2,""),)</f>
        <v>0</v>
      </c>
      <c r="H1469" s="64"/>
      <c r="I1469" s="109"/>
      <c r="J1469" s="109"/>
      <c r="K1469" s="39"/>
      <c r="L1469" s="76"/>
      <c r="M1469" s="39"/>
      <c r="N1469" s="39"/>
      <c r="O1469" s="24"/>
      <c r="P1469" s="409"/>
      <c r="Q1469" s="76"/>
      <c r="R1469" s="76"/>
      <c r="S1469" s="24"/>
      <c r="T1469" s="24"/>
      <c r="U1469" s="64"/>
      <c r="V1469" s="56"/>
      <c r="W1469" s="56"/>
      <c r="X1469" s="56"/>
      <c r="Y1469" s="56"/>
      <c r="Z1469" s="56"/>
      <c r="AA1469" s="56"/>
      <c r="AB1469" s="56"/>
      <c r="AC1469" s="56"/>
    </row>
    <row r="1470" spans="1:29" ht="15.75" customHeight="1">
      <c r="A1470" s="39"/>
      <c r="B1470" s="107"/>
      <c r="C1470" s="109"/>
      <c r="D1470" s="76"/>
      <c r="E1470" s="64"/>
      <c r="F1470" s="39"/>
      <c r="G1470" s="399">
        <f>IFERROR(VLOOKUP(A1470,醫療院所DATABASE!A:B,2,""),)</f>
        <v>0</v>
      </c>
      <c r="H1470" s="64"/>
      <c r="I1470" s="109"/>
      <c r="J1470" s="109"/>
      <c r="K1470" s="39"/>
      <c r="L1470" s="76"/>
      <c r="M1470" s="39"/>
      <c r="N1470" s="39"/>
      <c r="O1470" s="24"/>
      <c r="P1470" s="409"/>
      <c r="Q1470" s="76"/>
      <c r="R1470" s="76"/>
      <c r="S1470" s="24"/>
      <c r="T1470" s="24"/>
      <c r="U1470" s="64"/>
      <c r="V1470" s="56"/>
      <c r="W1470" s="56"/>
      <c r="X1470" s="56"/>
      <c r="Y1470" s="56"/>
      <c r="Z1470" s="56"/>
      <c r="AA1470" s="56"/>
      <c r="AB1470" s="56"/>
      <c r="AC1470" s="56"/>
    </row>
    <row r="1471" spans="1:29" ht="15.75" customHeight="1">
      <c r="A1471" s="39"/>
      <c r="B1471" s="107"/>
      <c r="C1471" s="109"/>
      <c r="D1471" s="76"/>
      <c r="E1471" s="64"/>
      <c r="F1471" s="39"/>
      <c r="G1471" s="399">
        <f>IFERROR(VLOOKUP(A1471,醫療院所DATABASE!A:B,2,""),)</f>
        <v>0</v>
      </c>
      <c r="H1471" s="64"/>
      <c r="I1471" s="109"/>
      <c r="J1471" s="109"/>
      <c r="K1471" s="39"/>
      <c r="L1471" s="76"/>
      <c r="M1471" s="39"/>
      <c r="N1471" s="39"/>
      <c r="O1471" s="24"/>
      <c r="P1471" s="409"/>
      <c r="Q1471" s="76"/>
      <c r="R1471" s="76"/>
      <c r="S1471" s="24"/>
      <c r="T1471" s="24"/>
      <c r="U1471" s="64"/>
      <c r="V1471" s="56"/>
      <c r="W1471" s="56"/>
      <c r="X1471" s="56"/>
      <c r="Y1471" s="56"/>
      <c r="Z1471" s="56"/>
      <c r="AA1471" s="56"/>
      <c r="AB1471" s="56"/>
      <c r="AC1471" s="56"/>
    </row>
    <row r="1472" spans="1:29" ht="15.75" customHeight="1">
      <c r="A1472" s="39"/>
      <c r="B1472" s="107"/>
      <c r="C1472" s="109"/>
      <c r="D1472" s="76"/>
      <c r="E1472" s="64"/>
      <c r="F1472" s="39"/>
      <c r="G1472" s="399">
        <f>IFERROR(VLOOKUP(A1472,醫療院所DATABASE!A:B,2,""),)</f>
        <v>0</v>
      </c>
      <c r="H1472" s="64"/>
      <c r="I1472" s="109"/>
      <c r="J1472" s="109"/>
      <c r="K1472" s="39"/>
      <c r="L1472" s="76"/>
      <c r="M1472" s="39"/>
      <c r="N1472" s="39"/>
      <c r="O1472" s="24"/>
      <c r="P1472" s="409"/>
      <c r="Q1472" s="76"/>
      <c r="R1472" s="76"/>
      <c r="S1472" s="24"/>
      <c r="T1472" s="24"/>
      <c r="U1472" s="64"/>
      <c r="V1472" s="56"/>
      <c r="W1472" s="56"/>
      <c r="X1472" s="56"/>
      <c r="Y1472" s="56"/>
      <c r="Z1472" s="56"/>
      <c r="AA1472" s="56"/>
      <c r="AB1472" s="56"/>
      <c r="AC1472" s="56"/>
    </row>
    <row r="1473" spans="1:29" ht="15.75" customHeight="1">
      <c r="A1473" s="39"/>
      <c r="B1473" s="107"/>
      <c r="C1473" s="109"/>
      <c r="D1473" s="76"/>
      <c r="E1473" s="64"/>
      <c r="F1473" s="39"/>
      <c r="G1473" s="399">
        <f>IFERROR(VLOOKUP(A1473,醫療院所DATABASE!A:B,2,""),)</f>
        <v>0</v>
      </c>
      <c r="H1473" s="64"/>
      <c r="I1473" s="109"/>
      <c r="J1473" s="109"/>
      <c r="K1473" s="39"/>
      <c r="L1473" s="76"/>
      <c r="M1473" s="39"/>
      <c r="N1473" s="39"/>
      <c r="O1473" s="24"/>
      <c r="P1473" s="409"/>
      <c r="Q1473" s="76"/>
      <c r="R1473" s="76"/>
      <c r="S1473" s="24"/>
      <c r="T1473" s="24"/>
      <c r="U1473" s="64"/>
      <c r="V1473" s="56"/>
      <c r="W1473" s="56"/>
      <c r="X1473" s="56"/>
      <c r="Y1473" s="56"/>
      <c r="Z1473" s="56"/>
      <c r="AA1473" s="56"/>
      <c r="AB1473" s="56"/>
      <c r="AC1473" s="56"/>
    </row>
    <row r="1474" spans="1:29" ht="15.75" customHeight="1">
      <c r="A1474" s="39"/>
      <c r="B1474" s="107"/>
      <c r="C1474" s="109"/>
      <c r="D1474" s="76"/>
      <c r="E1474" s="64"/>
      <c r="F1474" s="39"/>
      <c r="G1474" s="399">
        <f>IFERROR(VLOOKUP(A1474,醫療院所DATABASE!A:B,2,""),)</f>
        <v>0</v>
      </c>
      <c r="H1474" s="64"/>
      <c r="I1474" s="109"/>
      <c r="J1474" s="109"/>
      <c r="K1474" s="39"/>
      <c r="L1474" s="76"/>
      <c r="M1474" s="39"/>
      <c r="N1474" s="39"/>
      <c r="O1474" s="24"/>
      <c r="P1474" s="409"/>
      <c r="Q1474" s="76"/>
      <c r="R1474" s="76"/>
      <c r="S1474" s="24"/>
      <c r="T1474" s="24"/>
      <c r="U1474" s="64"/>
      <c r="V1474" s="56"/>
      <c r="W1474" s="56"/>
      <c r="X1474" s="56"/>
      <c r="Y1474" s="56"/>
      <c r="Z1474" s="56"/>
      <c r="AA1474" s="56"/>
      <c r="AB1474" s="56"/>
      <c r="AC1474" s="56"/>
    </row>
    <row r="1475" spans="1:29" ht="15.75" customHeight="1">
      <c r="A1475" s="39"/>
      <c r="B1475" s="107"/>
      <c r="C1475" s="109"/>
      <c r="D1475" s="76"/>
      <c r="E1475" s="64"/>
      <c r="F1475" s="39"/>
      <c r="G1475" s="399">
        <f>IFERROR(VLOOKUP(A1475,醫療院所DATABASE!A:B,2,""),)</f>
        <v>0</v>
      </c>
      <c r="H1475" s="64"/>
      <c r="I1475" s="109"/>
      <c r="J1475" s="109"/>
      <c r="K1475" s="39"/>
      <c r="L1475" s="76"/>
      <c r="M1475" s="39"/>
      <c r="N1475" s="39"/>
      <c r="O1475" s="24"/>
      <c r="P1475" s="409"/>
      <c r="Q1475" s="76"/>
      <c r="R1475" s="76"/>
      <c r="S1475" s="24"/>
      <c r="T1475" s="24"/>
      <c r="U1475" s="64"/>
      <c r="V1475" s="56"/>
      <c r="W1475" s="56"/>
      <c r="X1475" s="56"/>
      <c r="Y1475" s="56"/>
      <c r="Z1475" s="56"/>
      <c r="AA1475" s="56"/>
      <c r="AB1475" s="56"/>
      <c r="AC1475" s="56"/>
    </row>
    <row r="1476" spans="1:29" ht="15.75" customHeight="1">
      <c r="A1476" s="39"/>
      <c r="B1476" s="107"/>
      <c r="C1476" s="109"/>
      <c r="D1476" s="76"/>
      <c r="E1476" s="64"/>
      <c r="F1476" s="39"/>
      <c r="G1476" s="399">
        <f>IFERROR(VLOOKUP(A1476,醫療院所DATABASE!A:B,2,""),)</f>
        <v>0</v>
      </c>
      <c r="H1476" s="64"/>
      <c r="I1476" s="109"/>
      <c r="J1476" s="109"/>
      <c r="K1476" s="39"/>
      <c r="L1476" s="76"/>
      <c r="M1476" s="39"/>
      <c r="N1476" s="39"/>
      <c r="O1476" s="24"/>
      <c r="P1476" s="409"/>
      <c r="Q1476" s="76"/>
      <c r="R1476" s="76"/>
      <c r="S1476" s="24"/>
      <c r="T1476" s="24"/>
      <c r="U1476" s="64"/>
      <c r="V1476" s="56"/>
      <c r="W1476" s="56"/>
      <c r="X1476" s="56"/>
      <c r="Y1476" s="56"/>
      <c r="Z1476" s="56"/>
      <c r="AA1476" s="56"/>
      <c r="AB1476" s="56"/>
      <c r="AC1476" s="56"/>
    </row>
    <row r="1477" spans="1:29" ht="15.75" customHeight="1">
      <c r="A1477" s="39"/>
      <c r="B1477" s="107"/>
      <c r="C1477" s="109"/>
      <c r="D1477" s="76"/>
      <c r="E1477" s="64"/>
      <c r="F1477" s="39"/>
      <c r="G1477" s="399">
        <f>IFERROR(VLOOKUP(A1477,醫療院所DATABASE!A:B,2,""),)</f>
        <v>0</v>
      </c>
      <c r="H1477" s="64"/>
      <c r="I1477" s="109"/>
      <c r="J1477" s="109"/>
      <c r="K1477" s="39"/>
      <c r="L1477" s="76"/>
      <c r="M1477" s="39"/>
      <c r="N1477" s="39"/>
      <c r="O1477" s="24"/>
      <c r="P1477" s="409"/>
      <c r="Q1477" s="76"/>
      <c r="R1477" s="76"/>
      <c r="S1477" s="24"/>
      <c r="T1477" s="24"/>
      <c r="U1477" s="64"/>
      <c r="V1477" s="56"/>
      <c r="W1477" s="56"/>
      <c r="X1477" s="56"/>
      <c r="Y1477" s="56"/>
      <c r="Z1477" s="56"/>
      <c r="AA1477" s="56"/>
      <c r="AB1477" s="56"/>
      <c r="AC1477" s="56"/>
    </row>
    <row r="1478" spans="1:29" ht="15.75" customHeight="1">
      <c r="A1478" s="39"/>
      <c r="B1478" s="107"/>
      <c r="C1478" s="109"/>
      <c r="D1478" s="76"/>
      <c r="E1478" s="64"/>
      <c r="F1478" s="39"/>
      <c r="G1478" s="399">
        <f>IFERROR(VLOOKUP(A1478,醫療院所DATABASE!A:B,2,""),)</f>
        <v>0</v>
      </c>
      <c r="H1478" s="64"/>
      <c r="I1478" s="109"/>
      <c r="J1478" s="109"/>
      <c r="K1478" s="39"/>
      <c r="L1478" s="76"/>
      <c r="M1478" s="39"/>
      <c r="N1478" s="39"/>
      <c r="O1478" s="24"/>
      <c r="P1478" s="409"/>
      <c r="Q1478" s="76"/>
      <c r="R1478" s="76"/>
      <c r="S1478" s="24"/>
      <c r="T1478" s="24"/>
      <c r="U1478" s="64"/>
      <c r="V1478" s="56"/>
      <c r="W1478" s="56"/>
      <c r="X1478" s="56"/>
      <c r="Y1478" s="56"/>
      <c r="Z1478" s="56"/>
      <c r="AA1478" s="56"/>
      <c r="AB1478" s="56"/>
      <c r="AC1478" s="56"/>
    </row>
    <row r="1479" spans="1:29" ht="15.75" customHeight="1">
      <c r="A1479" s="39"/>
      <c r="B1479" s="107"/>
      <c r="C1479" s="109"/>
      <c r="D1479" s="76"/>
      <c r="E1479" s="64"/>
      <c r="F1479" s="39"/>
      <c r="G1479" s="399">
        <f>IFERROR(VLOOKUP(A1479,醫療院所DATABASE!A:B,2,""),)</f>
        <v>0</v>
      </c>
      <c r="H1479" s="64"/>
      <c r="I1479" s="109"/>
      <c r="J1479" s="109"/>
      <c r="K1479" s="39"/>
      <c r="L1479" s="76"/>
      <c r="M1479" s="39"/>
      <c r="N1479" s="39"/>
      <c r="O1479" s="24"/>
      <c r="P1479" s="409"/>
      <c r="Q1479" s="76"/>
      <c r="R1479" s="76"/>
      <c r="S1479" s="24"/>
      <c r="T1479" s="24"/>
      <c r="U1479" s="64"/>
      <c r="V1479" s="56"/>
      <c r="W1479" s="56"/>
      <c r="X1479" s="56"/>
      <c r="Y1479" s="56"/>
      <c r="Z1479" s="56"/>
      <c r="AA1479" s="56"/>
      <c r="AB1479" s="56"/>
      <c r="AC1479" s="56"/>
    </row>
    <row r="1480" spans="1:29" ht="15.75" customHeight="1">
      <c r="A1480" s="39"/>
      <c r="B1480" s="107"/>
      <c r="C1480" s="109"/>
      <c r="D1480" s="76"/>
      <c r="E1480" s="64"/>
      <c r="F1480" s="39"/>
      <c r="G1480" s="399">
        <f>IFERROR(VLOOKUP(A1480,醫療院所DATABASE!A:B,2,""),)</f>
        <v>0</v>
      </c>
      <c r="H1480" s="64"/>
      <c r="I1480" s="109"/>
      <c r="J1480" s="109"/>
      <c r="K1480" s="39"/>
      <c r="L1480" s="76"/>
      <c r="M1480" s="39"/>
      <c r="N1480" s="39"/>
      <c r="O1480" s="24"/>
      <c r="P1480" s="409"/>
      <c r="Q1480" s="76"/>
      <c r="R1480" s="76"/>
      <c r="S1480" s="24"/>
      <c r="T1480" s="24"/>
      <c r="U1480" s="64"/>
      <c r="V1480" s="56"/>
      <c r="W1480" s="56"/>
      <c r="X1480" s="56"/>
      <c r="Y1480" s="56"/>
      <c r="Z1480" s="56"/>
      <c r="AA1480" s="56"/>
      <c r="AB1480" s="56"/>
      <c r="AC1480" s="56"/>
    </row>
    <row r="1481" spans="1:29" ht="15.75" customHeight="1">
      <c r="A1481" s="39"/>
      <c r="B1481" s="107"/>
      <c r="C1481" s="109"/>
      <c r="D1481" s="76"/>
      <c r="E1481" s="64"/>
      <c r="F1481" s="39"/>
      <c r="G1481" s="399">
        <f>IFERROR(VLOOKUP(A1481,醫療院所DATABASE!A:B,2,""),)</f>
        <v>0</v>
      </c>
      <c r="H1481" s="64"/>
      <c r="I1481" s="109"/>
      <c r="J1481" s="109"/>
      <c r="K1481" s="39"/>
      <c r="L1481" s="76"/>
      <c r="M1481" s="39"/>
      <c r="N1481" s="39"/>
      <c r="O1481" s="24"/>
      <c r="P1481" s="409"/>
      <c r="Q1481" s="76"/>
      <c r="R1481" s="76"/>
      <c r="S1481" s="24"/>
      <c r="T1481" s="24"/>
      <c r="U1481" s="64"/>
      <c r="V1481" s="56"/>
      <c r="W1481" s="56"/>
      <c r="X1481" s="56"/>
      <c r="Y1481" s="56"/>
      <c r="Z1481" s="56"/>
      <c r="AA1481" s="56"/>
      <c r="AB1481" s="56"/>
      <c r="AC1481" s="56"/>
    </row>
    <row r="1482" spans="1:29" ht="15.75" customHeight="1">
      <c r="A1482" s="39"/>
      <c r="B1482" s="107"/>
      <c r="C1482" s="109"/>
      <c r="D1482" s="76"/>
      <c r="E1482" s="64"/>
      <c r="F1482" s="39"/>
      <c r="G1482" s="399">
        <f>IFERROR(VLOOKUP(A1482,醫療院所DATABASE!A:B,2,""),)</f>
        <v>0</v>
      </c>
      <c r="H1482" s="64"/>
      <c r="I1482" s="109"/>
      <c r="J1482" s="109"/>
      <c r="K1482" s="39"/>
      <c r="L1482" s="76"/>
      <c r="M1482" s="39"/>
      <c r="N1482" s="39"/>
      <c r="O1482" s="24"/>
      <c r="P1482" s="409"/>
      <c r="Q1482" s="76"/>
      <c r="R1482" s="76"/>
      <c r="S1482" s="24"/>
      <c r="T1482" s="24"/>
      <c r="U1482" s="64"/>
      <c r="V1482" s="56"/>
      <c r="W1482" s="56"/>
      <c r="X1482" s="56"/>
      <c r="Y1482" s="56"/>
      <c r="Z1482" s="56"/>
      <c r="AA1482" s="56"/>
      <c r="AB1482" s="56"/>
      <c r="AC1482" s="56"/>
    </row>
    <row r="1483" spans="1:29" ht="15.75" customHeight="1">
      <c r="A1483" s="39"/>
      <c r="B1483" s="107"/>
      <c r="C1483" s="109"/>
      <c r="D1483" s="76"/>
      <c r="E1483" s="64"/>
      <c r="F1483" s="39"/>
      <c r="G1483" s="399">
        <f>IFERROR(VLOOKUP(A1483,醫療院所DATABASE!A:B,2,""),)</f>
        <v>0</v>
      </c>
      <c r="H1483" s="64"/>
      <c r="I1483" s="109"/>
      <c r="J1483" s="109"/>
      <c r="K1483" s="39"/>
      <c r="L1483" s="76"/>
      <c r="M1483" s="39"/>
      <c r="N1483" s="39"/>
      <c r="O1483" s="24"/>
      <c r="P1483" s="409"/>
      <c r="Q1483" s="76"/>
      <c r="R1483" s="76"/>
      <c r="S1483" s="24"/>
      <c r="T1483" s="24"/>
      <c r="U1483" s="64"/>
      <c r="V1483" s="56"/>
      <c r="W1483" s="56"/>
      <c r="X1483" s="56"/>
      <c r="Y1483" s="56"/>
      <c r="Z1483" s="56"/>
      <c r="AA1483" s="56"/>
      <c r="AB1483" s="56"/>
      <c r="AC1483" s="56"/>
    </row>
    <row r="1484" spans="1:29" ht="15.75" customHeight="1">
      <c r="A1484" s="39"/>
      <c r="B1484" s="107"/>
      <c r="C1484" s="109"/>
      <c r="D1484" s="76"/>
      <c r="E1484" s="64"/>
      <c r="F1484" s="39"/>
      <c r="G1484" s="399">
        <f>IFERROR(VLOOKUP(A1484,醫療院所DATABASE!A:B,2,""),)</f>
        <v>0</v>
      </c>
      <c r="H1484" s="64"/>
      <c r="I1484" s="109"/>
      <c r="J1484" s="109"/>
      <c r="K1484" s="39"/>
      <c r="L1484" s="76"/>
      <c r="M1484" s="39"/>
      <c r="N1484" s="39"/>
      <c r="O1484" s="24"/>
      <c r="P1484" s="409"/>
      <c r="Q1484" s="76"/>
      <c r="R1484" s="76"/>
      <c r="S1484" s="24"/>
      <c r="T1484" s="24"/>
      <c r="U1484" s="64"/>
      <c r="V1484" s="56"/>
      <c r="W1484" s="56"/>
      <c r="X1484" s="56"/>
      <c r="Y1484" s="56"/>
      <c r="Z1484" s="56"/>
      <c r="AA1484" s="56"/>
      <c r="AB1484" s="56"/>
      <c r="AC1484" s="56"/>
    </row>
    <row r="1485" spans="1:29" ht="15.75" customHeight="1">
      <c r="A1485" s="39"/>
      <c r="B1485" s="107"/>
      <c r="C1485" s="109"/>
      <c r="D1485" s="76"/>
      <c r="E1485" s="64"/>
      <c r="F1485" s="39"/>
      <c r="G1485" s="399">
        <f>IFERROR(VLOOKUP(A1485,醫療院所DATABASE!A:B,2,""),)</f>
        <v>0</v>
      </c>
      <c r="H1485" s="64"/>
      <c r="I1485" s="109"/>
      <c r="J1485" s="109"/>
      <c r="K1485" s="39"/>
      <c r="L1485" s="76"/>
      <c r="M1485" s="39"/>
      <c r="N1485" s="39"/>
      <c r="O1485" s="24"/>
      <c r="P1485" s="409"/>
      <c r="Q1485" s="76"/>
      <c r="R1485" s="76"/>
      <c r="S1485" s="24"/>
      <c r="T1485" s="24"/>
      <c r="U1485" s="64"/>
      <c r="V1485" s="56"/>
      <c r="W1485" s="56"/>
      <c r="X1485" s="56"/>
      <c r="Y1485" s="56"/>
      <c r="Z1485" s="56"/>
      <c r="AA1485" s="56"/>
      <c r="AB1485" s="56"/>
      <c r="AC1485" s="56"/>
    </row>
    <row r="1486" spans="1:29" ht="15.75" customHeight="1">
      <c r="A1486" s="39"/>
      <c r="B1486" s="107"/>
      <c r="C1486" s="109"/>
      <c r="D1486" s="76"/>
      <c r="E1486" s="64"/>
      <c r="F1486" s="39"/>
      <c r="G1486" s="399">
        <f>IFERROR(VLOOKUP(A1486,醫療院所DATABASE!A:B,2,""),)</f>
        <v>0</v>
      </c>
      <c r="H1486" s="64"/>
      <c r="I1486" s="109"/>
      <c r="J1486" s="109"/>
      <c r="K1486" s="39"/>
      <c r="L1486" s="76"/>
      <c r="M1486" s="39"/>
      <c r="N1486" s="39"/>
      <c r="O1486" s="24"/>
      <c r="P1486" s="409"/>
      <c r="Q1486" s="76"/>
      <c r="R1486" s="76"/>
      <c r="S1486" s="24"/>
      <c r="T1486" s="24"/>
      <c r="U1486" s="64"/>
      <c r="V1486" s="56"/>
      <c r="W1486" s="56"/>
      <c r="X1486" s="56"/>
      <c r="Y1486" s="56"/>
      <c r="Z1486" s="56"/>
      <c r="AA1486" s="56"/>
      <c r="AB1486" s="56"/>
      <c r="AC1486" s="56"/>
    </row>
    <row r="1487" spans="1:29" ht="15.75" customHeight="1">
      <c r="A1487" s="39"/>
      <c r="B1487" s="107"/>
      <c r="C1487" s="109"/>
      <c r="D1487" s="76"/>
      <c r="E1487" s="64"/>
      <c r="F1487" s="39"/>
      <c r="G1487" s="399">
        <f>IFERROR(VLOOKUP(A1487,醫療院所DATABASE!A:B,2,""),)</f>
        <v>0</v>
      </c>
      <c r="H1487" s="64"/>
      <c r="I1487" s="109"/>
      <c r="J1487" s="109"/>
      <c r="K1487" s="39"/>
      <c r="L1487" s="76"/>
      <c r="M1487" s="39"/>
      <c r="N1487" s="39"/>
      <c r="O1487" s="24"/>
      <c r="P1487" s="409"/>
      <c r="Q1487" s="76"/>
      <c r="R1487" s="76"/>
      <c r="S1487" s="24"/>
      <c r="T1487" s="24"/>
      <c r="U1487" s="64"/>
      <c r="V1487" s="56"/>
      <c r="W1487" s="56"/>
      <c r="X1487" s="56"/>
      <c r="Y1487" s="56"/>
      <c r="Z1487" s="56"/>
      <c r="AA1487" s="56"/>
      <c r="AB1487" s="56"/>
      <c r="AC1487" s="56"/>
    </row>
    <row r="1488" spans="1:29" ht="15.75" customHeight="1">
      <c r="A1488" s="39"/>
      <c r="B1488" s="107"/>
      <c r="C1488" s="109"/>
      <c r="D1488" s="76"/>
      <c r="E1488" s="64"/>
      <c r="F1488" s="39"/>
      <c r="G1488" s="399">
        <f>IFERROR(VLOOKUP(A1488,醫療院所DATABASE!A:B,2,""),)</f>
        <v>0</v>
      </c>
      <c r="H1488" s="64"/>
      <c r="I1488" s="109"/>
      <c r="J1488" s="109"/>
      <c r="K1488" s="39"/>
      <c r="L1488" s="76"/>
      <c r="M1488" s="39"/>
      <c r="N1488" s="39"/>
      <c r="O1488" s="24"/>
      <c r="P1488" s="409"/>
      <c r="Q1488" s="76"/>
      <c r="R1488" s="76"/>
      <c r="S1488" s="24"/>
      <c r="T1488" s="24"/>
      <c r="U1488" s="64"/>
      <c r="V1488" s="56"/>
      <c r="W1488" s="56"/>
      <c r="X1488" s="56"/>
      <c r="Y1488" s="56"/>
      <c r="Z1488" s="56"/>
      <c r="AA1488" s="56"/>
      <c r="AB1488" s="56"/>
      <c r="AC1488" s="56"/>
    </row>
    <row r="1489" spans="1:29" ht="15.75" customHeight="1">
      <c r="A1489" s="39"/>
      <c r="B1489" s="107"/>
      <c r="C1489" s="109"/>
      <c r="D1489" s="76"/>
      <c r="E1489" s="64"/>
      <c r="F1489" s="39"/>
      <c r="G1489" s="399">
        <f>IFERROR(VLOOKUP(A1489,醫療院所DATABASE!A:B,2,""),)</f>
        <v>0</v>
      </c>
      <c r="H1489" s="64"/>
      <c r="I1489" s="109"/>
      <c r="J1489" s="109"/>
      <c r="K1489" s="39"/>
      <c r="L1489" s="76"/>
      <c r="M1489" s="39"/>
      <c r="N1489" s="39"/>
      <c r="O1489" s="24"/>
      <c r="P1489" s="409"/>
      <c r="Q1489" s="76"/>
      <c r="R1489" s="76"/>
      <c r="S1489" s="24"/>
      <c r="T1489" s="24"/>
      <c r="U1489" s="64"/>
      <c r="V1489" s="56"/>
      <c r="W1489" s="56"/>
      <c r="X1489" s="56"/>
      <c r="Y1489" s="56"/>
      <c r="Z1489" s="56"/>
      <c r="AA1489" s="56"/>
      <c r="AB1489" s="56"/>
      <c r="AC1489" s="56"/>
    </row>
    <row r="1490" spans="1:29" ht="15.75" customHeight="1">
      <c r="A1490" s="39"/>
      <c r="B1490" s="107"/>
      <c r="C1490" s="109"/>
      <c r="D1490" s="76"/>
      <c r="E1490" s="64"/>
      <c r="F1490" s="39"/>
      <c r="G1490" s="399">
        <f>IFERROR(VLOOKUP(A1490,醫療院所DATABASE!A:B,2,""),)</f>
        <v>0</v>
      </c>
      <c r="H1490" s="64"/>
      <c r="I1490" s="109"/>
      <c r="J1490" s="109"/>
      <c r="K1490" s="39"/>
      <c r="L1490" s="76"/>
      <c r="M1490" s="39"/>
      <c r="N1490" s="39"/>
      <c r="O1490" s="24"/>
      <c r="P1490" s="409"/>
      <c r="Q1490" s="76"/>
      <c r="R1490" s="76"/>
      <c r="S1490" s="24"/>
      <c r="T1490" s="24"/>
      <c r="U1490" s="64"/>
      <c r="V1490" s="56"/>
      <c r="W1490" s="56"/>
      <c r="X1490" s="56"/>
      <c r="Y1490" s="56"/>
      <c r="Z1490" s="56"/>
      <c r="AA1490" s="56"/>
      <c r="AB1490" s="56"/>
      <c r="AC1490" s="56"/>
    </row>
    <row r="1491" spans="1:29" ht="15.75" customHeight="1">
      <c r="A1491" s="39"/>
      <c r="B1491" s="107"/>
      <c r="C1491" s="109"/>
      <c r="D1491" s="76"/>
      <c r="E1491" s="64"/>
      <c r="F1491" s="39"/>
      <c r="G1491" s="399">
        <f>IFERROR(VLOOKUP(A1491,醫療院所DATABASE!A:B,2,""),)</f>
        <v>0</v>
      </c>
      <c r="H1491" s="64"/>
      <c r="I1491" s="109"/>
      <c r="J1491" s="109"/>
      <c r="K1491" s="39"/>
      <c r="L1491" s="76"/>
      <c r="M1491" s="39"/>
      <c r="N1491" s="39"/>
      <c r="O1491" s="24"/>
      <c r="P1491" s="409"/>
      <c r="Q1491" s="76"/>
      <c r="R1491" s="76"/>
      <c r="S1491" s="24"/>
      <c r="T1491" s="24"/>
      <c r="U1491" s="64"/>
      <c r="V1491" s="56"/>
      <c r="W1491" s="56"/>
      <c r="X1491" s="56"/>
      <c r="Y1491" s="56"/>
      <c r="Z1491" s="56"/>
      <c r="AA1491" s="56"/>
      <c r="AB1491" s="56"/>
      <c r="AC1491" s="56"/>
    </row>
    <row r="1492" spans="1:29" ht="15.75" customHeight="1">
      <c r="A1492" s="39"/>
      <c r="B1492" s="107"/>
      <c r="C1492" s="109"/>
      <c r="D1492" s="76"/>
      <c r="E1492" s="64"/>
      <c r="F1492" s="39"/>
      <c r="G1492" s="399">
        <f>IFERROR(VLOOKUP(A1492,醫療院所DATABASE!A:B,2,""),)</f>
        <v>0</v>
      </c>
      <c r="H1492" s="64"/>
      <c r="I1492" s="109"/>
      <c r="J1492" s="109"/>
      <c r="K1492" s="39"/>
      <c r="L1492" s="76"/>
      <c r="M1492" s="39"/>
      <c r="N1492" s="39"/>
      <c r="O1492" s="24"/>
      <c r="P1492" s="409"/>
      <c r="Q1492" s="76"/>
      <c r="R1492" s="76"/>
      <c r="S1492" s="24"/>
      <c r="T1492" s="24"/>
      <c r="U1492" s="64"/>
      <c r="V1492" s="56"/>
      <c r="W1492" s="56"/>
      <c r="X1492" s="56"/>
      <c r="Y1492" s="56"/>
      <c r="Z1492" s="56"/>
      <c r="AA1492" s="56"/>
      <c r="AB1492" s="56"/>
      <c r="AC1492" s="56"/>
    </row>
    <row r="1493" spans="1:29" ht="15.75" customHeight="1">
      <c r="A1493" s="39"/>
      <c r="B1493" s="107"/>
      <c r="C1493" s="109"/>
      <c r="D1493" s="76"/>
      <c r="E1493" s="64"/>
      <c r="F1493" s="39"/>
      <c r="G1493" s="399">
        <f>IFERROR(VLOOKUP(A1493,醫療院所DATABASE!A:B,2,""),)</f>
        <v>0</v>
      </c>
      <c r="H1493" s="64"/>
      <c r="I1493" s="109"/>
      <c r="J1493" s="109"/>
      <c r="K1493" s="39"/>
      <c r="L1493" s="76"/>
      <c r="M1493" s="39"/>
      <c r="N1493" s="39"/>
      <c r="O1493" s="24"/>
      <c r="P1493" s="409"/>
      <c r="Q1493" s="76"/>
      <c r="R1493" s="76"/>
      <c r="S1493" s="24"/>
      <c r="T1493" s="24"/>
      <c r="U1493" s="64"/>
      <c r="V1493" s="56"/>
      <c r="W1493" s="56"/>
      <c r="X1493" s="56"/>
      <c r="Y1493" s="56"/>
      <c r="Z1493" s="56"/>
      <c r="AA1493" s="56"/>
      <c r="AB1493" s="56"/>
      <c r="AC1493" s="56"/>
    </row>
    <row r="1494" spans="1:29" ht="15.75" customHeight="1">
      <c r="A1494" s="39"/>
      <c r="B1494" s="107"/>
      <c r="C1494" s="109"/>
      <c r="D1494" s="76"/>
      <c r="E1494" s="64"/>
      <c r="F1494" s="39"/>
      <c r="G1494" s="399">
        <f>IFERROR(VLOOKUP(A1494,醫療院所DATABASE!A:B,2,""),)</f>
        <v>0</v>
      </c>
      <c r="H1494" s="64"/>
      <c r="I1494" s="109"/>
      <c r="J1494" s="109"/>
      <c r="K1494" s="39"/>
      <c r="L1494" s="76"/>
      <c r="M1494" s="39"/>
      <c r="N1494" s="39"/>
      <c r="O1494" s="24"/>
      <c r="P1494" s="409"/>
      <c r="Q1494" s="76"/>
      <c r="R1494" s="76"/>
      <c r="S1494" s="24"/>
      <c r="T1494" s="24"/>
      <c r="U1494" s="64"/>
      <c r="V1494" s="56"/>
      <c r="W1494" s="56"/>
      <c r="X1494" s="56"/>
      <c r="Y1494" s="56"/>
      <c r="Z1494" s="56"/>
      <c r="AA1494" s="56"/>
      <c r="AB1494" s="56"/>
      <c r="AC1494" s="56"/>
    </row>
    <row r="1495" spans="1:29" ht="15.75" customHeight="1">
      <c r="A1495" s="39"/>
      <c r="B1495" s="107"/>
      <c r="C1495" s="109"/>
      <c r="D1495" s="76"/>
      <c r="E1495" s="64"/>
      <c r="F1495" s="39"/>
      <c r="G1495" s="399">
        <f>IFERROR(VLOOKUP(A1495,醫療院所DATABASE!A:B,2,""),)</f>
        <v>0</v>
      </c>
      <c r="H1495" s="64"/>
      <c r="I1495" s="109"/>
      <c r="J1495" s="109"/>
      <c r="K1495" s="39"/>
      <c r="L1495" s="76"/>
      <c r="M1495" s="39"/>
      <c r="N1495" s="39"/>
      <c r="O1495" s="24"/>
      <c r="P1495" s="409"/>
      <c r="Q1495" s="76"/>
      <c r="R1495" s="76"/>
      <c r="S1495" s="24"/>
      <c r="T1495" s="24"/>
      <c r="U1495" s="64"/>
      <c r="V1495" s="56"/>
      <c r="W1495" s="56"/>
      <c r="X1495" s="56"/>
      <c r="Y1495" s="56"/>
      <c r="Z1495" s="56"/>
      <c r="AA1495" s="56"/>
      <c r="AB1495" s="56"/>
      <c r="AC1495" s="56"/>
    </row>
    <row r="1496" spans="1:29" ht="15.75" customHeight="1">
      <c r="A1496" s="39"/>
      <c r="B1496" s="107"/>
      <c r="C1496" s="109"/>
      <c r="D1496" s="76"/>
      <c r="E1496" s="64"/>
      <c r="F1496" s="39"/>
      <c r="G1496" s="399">
        <f>IFERROR(VLOOKUP(A1496,醫療院所DATABASE!A:B,2,""),)</f>
        <v>0</v>
      </c>
      <c r="H1496" s="64"/>
      <c r="I1496" s="109"/>
      <c r="J1496" s="109"/>
      <c r="K1496" s="39"/>
      <c r="L1496" s="76"/>
      <c r="M1496" s="39"/>
      <c r="N1496" s="39"/>
      <c r="O1496" s="24"/>
      <c r="P1496" s="409"/>
      <c r="Q1496" s="76"/>
      <c r="R1496" s="76"/>
      <c r="S1496" s="24"/>
      <c r="T1496" s="24"/>
      <c r="U1496" s="64"/>
      <c r="V1496" s="56"/>
      <c r="W1496" s="56"/>
      <c r="X1496" s="56"/>
      <c r="Y1496" s="56"/>
      <c r="Z1496" s="56"/>
      <c r="AA1496" s="56"/>
      <c r="AB1496" s="56"/>
      <c r="AC1496" s="56"/>
    </row>
    <row r="1497" spans="1:29" ht="15.75" customHeight="1">
      <c r="A1497" s="39"/>
      <c r="B1497" s="107"/>
      <c r="C1497" s="109"/>
      <c r="D1497" s="76"/>
      <c r="E1497" s="64"/>
      <c r="F1497" s="39"/>
      <c r="G1497" s="399">
        <f>IFERROR(VLOOKUP(A1497,醫療院所DATABASE!A:B,2,""),)</f>
        <v>0</v>
      </c>
      <c r="H1497" s="64"/>
      <c r="I1497" s="109"/>
      <c r="J1497" s="109"/>
      <c r="K1497" s="39"/>
      <c r="L1497" s="76"/>
      <c r="M1497" s="39"/>
      <c r="N1497" s="39"/>
      <c r="O1497" s="24"/>
      <c r="P1497" s="409"/>
      <c r="Q1497" s="76"/>
      <c r="R1497" s="76"/>
      <c r="S1497" s="24"/>
      <c r="T1497" s="24"/>
      <c r="U1497" s="64"/>
      <c r="V1497" s="56"/>
      <c r="W1497" s="56"/>
      <c r="X1497" s="56"/>
      <c r="Y1497" s="56"/>
      <c r="Z1497" s="56"/>
      <c r="AA1497" s="56"/>
      <c r="AB1497" s="56"/>
      <c r="AC1497" s="56"/>
    </row>
    <row r="1498" spans="1:29" ht="15.75" customHeight="1">
      <c r="A1498" s="39"/>
      <c r="B1498" s="107"/>
      <c r="C1498" s="109"/>
      <c r="D1498" s="76"/>
      <c r="E1498" s="64"/>
      <c r="F1498" s="39"/>
      <c r="G1498" s="399">
        <f>IFERROR(VLOOKUP(A1498,醫療院所DATABASE!A:B,2,""),)</f>
        <v>0</v>
      </c>
      <c r="H1498" s="64"/>
      <c r="I1498" s="109"/>
      <c r="J1498" s="109"/>
      <c r="K1498" s="39"/>
      <c r="L1498" s="76"/>
      <c r="M1498" s="39"/>
      <c r="N1498" s="39"/>
      <c r="O1498" s="24"/>
      <c r="P1498" s="409"/>
      <c r="Q1498" s="76"/>
      <c r="R1498" s="76"/>
      <c r="S1498" s="24"/>
      <c r="T1498" s="24"/>
      <c r="U1498" s="64"/>
      <c r="V1498" s="56"/>
      <c r="W1498" s="56"/>
      <c r="X1498" s="56"/>
      <c r="Y1498" s="56"/>
      <c r="Z1498" s="56"/>
      <c r="AA1498" s="56"/>
      <c r="AB1498" s="56"/>
      <c r="AC1498" s="56"/>
    </row>
    <row r="1499" spans="1:29" ht="15.75" customHeight="1">
      <c r="A1499" s="39"/>
      <c r="B1499" s="107"/>
      <c r="C1499" s="109"/>
      <c r="D1499" s="76"/>
      <c r="E1499" s="64"/>
      <c r="F1499" s="39"/>
      <c r="G1499" s="399">
        <f>IFERROR(VLOOKUP(A1499,醫療院所DATABASE!A:B,2,""),)</f>
        <v>0</v>
      </c>
      <c r="H1499" s="64"/>
      <c r="I1499" s="109"/>
      <c r="J1499" s="109"/>
      <c r="K1499" s="39"/>
      <c r="L1499" s="76"/>
      <c r="M1499" s="39"/>
      <c r="N1499" s="39"/>
      <c r="O1499" s="24"/>
      <c r="P1499" s="409"/>
      <c r="Q1499" s="76"/>
      <c r="R1499" s="76"/>
      <c r="S1499" s="24"/>
      <c r="T1499" s="24"/>
      <c r="U1499" s="64"/>
      <c r="V1499" s="56"/>
      <c r="W1499" s="56"/>
      <c r="X1499" s="56"/>
      <c r="Y1499" s="56"/>
      <c r="Z1499" s="56"/>
      <c r="AA1499" s="56"/>
      <c r="AB1499" s="56"/>
      <c r="AC1499" s="56"/>
    </row>
    <row r="1500" spans="1:29" ht="15.75" customHeight="1">
      <c r="A1500" s="39"/>
      <c r="B1500" s="107"/>
      <c r="C1500" s="109"/>
      <c r="D1500" s="76"/>
      <c r="E1500" s="64"/>
      <c r="F1500" s="39"/>
      <c r="G1500" s="399">
        <f>IFERROR(VLOOKUP(A1500,醫療院所DATABASE!A:B,2,""),)</f>
        <v>0</v>
      </c>
      <c r="H1500" s="64"/>
      <c r="I1500" s="109"/>
      <c r="J1500" s="109"/>
      <c r="K1500" s="39"/>
      <c r="L1500" s="76"/>
      <c r="M1500" s="39"/>
      <c r="N1500" s="39"/>
      <c r="O1500" s="24"/>
      <c r="P1500" s="409"/>
      <c r="Q1500" s="76"/>
      <c r="R1500" s="76"/>
      <c r="S1500" s="24"/>
      <c r="T1500" s="24"/>
      <c r="U1500" s="64"/>
      <c r="V1500" s="56"/>
      <c r="W1500" s="56"/>
      <c r="X1500" s="56"/>
      <c r="Y1500" s="56"/>
      <c r="Z1500" s="56"/>
      <c r="AA1500" s="56"/>
      <c r="AB1500" s="56"/>
      <c r="AC1500" s="56"/>
    </row>
    <row r="1501" spans="1:29" ht="15.75" customHeight="1">
      <c r="A1501" s="39"/>
      <c r="B1501" s="107"/>
      <c r="C1501" s="109"/>
      <c r="D1501" s="76"/>
      <c r="E1501" s="64"/>
      <c r="F1501" s="39"/>
      <c r="G1501" s="399">
        <f>IFERROR(VLOOKUP(A1501,醫療院所DATABASE!A:B,2,""),)</f>
        <v>0</v>
      </c>
      <c r="H1501" s="64"/>
      <c r="I1501" s="109"/>
      <c r="J1501" s="109"/>
      <c r="K1501" s="39"/>
      <c r="L1501" s="76"/>
      <c r="M1501" s="39"/>
      <c r="N1501" s="39"/>
      <c r="O1501" s="24"/>
      <c r="P1501" s="409"/>
      <c r="Q1501" s="76"/>
      <c r="R1501" s="76"/>
      <c r="S1501" s="24"/>
      <c r="T1501" s="24"/>
      <c r="U1501" s="64"/>
      <c r="V1501" s="56"/>
      <c r="W1501" s="56"/>
      <c r="X1501" s="56"/>
      <c r="Y1501" s="56"/>
      <c r="Z1501" s="56"/>
      <c r="AA1501" s="56"/>
      <c r="AB1501" s="56"/>
      <c r="AC1501" s="56"/>
    </row>
    <row r="1502" spans="1:29" ht="15.75" customHeight="1">
      <c r="A1502" s="39"/>
      <c r="B1502" s="107"/>
      <c r="C1502" s="109"/>
      <c r="D1502" s="76"/>
      <c r="E1502" s="64"/>
      <c r="F1502" s="39"/>
      <c r="G1502" s="399">
        <f>IFERROR(VLOOKUP(A1502,醫療院所DATABASE!A:B,2,""),)</f>
        <v>0</v>
      </c>
      <c r="H1502" s="64"/>
      <c r="I1502" s="109"/>
      <c r="J1502" s="109"/>
      <c r="K1502" s="39"/>
      <c r="L1502" s="76"/>
      <c r="M1502" s="39"/>
      <c r="N1502" s="39"/>
      <c r="O1502" s="24"/>
      <c r="P1502" s="409"/>
      <c r="Q1502" s="76"/>
      <c r="R1502" s="76"/>
      <c r="S1502" s="24"/>
      <c r="T1502" s="24"/>
      <c r="U1502" s="64"/>
      <c r="V1502" s="56"/>
      <c r="W1502" s="56"/>
      <c r="X1502" s="56"/>
      <c r="Y1502" s="56"/>
      <c r="Z1502" s="56"/>
      <c r="AA1502" s="56"/>
      <c r="AB1502" s="56"/>
      <c r="AC1502" s="56"/>
    </row>
    <row r="1503" spans="1:29" ht="15.75" customHeight="1">
      <c r="A1503" s="39"/>
      <c r="B1503" s="107"/>
      <c r="C1503" s="109"/>
      <c r="D1503" s="76"/>
      <c r="E1503" s="64"/>
      <c r="F1503" s="39"/>
      <c r="G1503" s="399">
        <f>IFERROR(VLOOKUP(A1503,醫療院所DATABASE!A:B,2,""),)</f>
        <v>0</v>
      </c>
      <c r="H1503" s="64"/>
      <c r="I1503" s="109"/>
      <c r="J1503" s="109"/>
      <c r="K1503" s="39"/>
      <c r="L1503" s="76"/>
      <c r="M1503" s="39"/>
      <c r="N1503" s="39"/>
      <c r="O1503" s="24"/>
      <c r="P1503" s="409"/>
      <c r="Q1503" s="76"/>
      <c r="R1503" s="76"/>
      <c r="S1503" s="24"/>
      <c r="T1503" s="24"/>
      <c r="U1503" s="64"/>
      <c r="V1503" s="56"/>
      <c r="W1503" s="56"/>
      <c r="X1503" s="56"/>
      <c r="Y1503" s="56"/>
      <c r="Z1503" s="56"/>
      <c r="AA1503" s="56"/>
      <c r="AB1503" s="56"/>
      <c r="AC1503" s="56"/>
    </row>
    <row r="1504" spans="1:29" ht="15.75" customHeight="1">
      <c r="A1504" s="39"/>
      <c r="B1504" s="107"/>
      <c r="C1504" s="109"/>
      <c r="D1504" s="76"/>
      <c r="E1504" s="64"/>
      <c r="F1504" s="39"/>
      <c r="G1504" s="399">
        <f>IFERROR(VLOOKUP(A1504,醫療院所DATABASE!A:B,2,""),)</f>
        <v>0</v>
      </c>
      <c r="H1504" s="64"/>
      <c r="I1504" s="109"/>
      <c r="J1504" s="109"/>
      <c r="K1504" s="39"/>
      <c r="L1504" s="76"/>
      <c r="M1504" s="39"/>
      <c r="N1504" s="39"/>
      <c r="O1504" s="24"/>
      <c r="P1504" s="409"/>
      <c r="Q1504" s="76"/>
      <c r="R1504" s="76"/>
      <c r="S1504" s="24"/>
      <c r="T1504" s="24"/>
      <c r="U1504" s="64"/>
      <c r="V1504" s="56"/>
      <c r="W1504" s="56"/>
      <c r="X1504" s="56"/>
      <c r="Y1504" s="56"/>
      <c r="Z1504" s="56"/>
      <c r="AA1504" s="56"/>
      <c r="AB1504" s="56"/>
      <c r="AC1504" s="56"/>
    </row>
    <row r="1505" spans="1:29" ht="15.75" customHeight="1">
      <c r="A1505" s="39"/>
      <c r="B1505" s="107"/>
      <c r="C1505" s="109"/>
      <c r="D1505" s="76"/>
      <c r="E1505" s="64"/>
      <c r="F1505" s="39"/>
      <c r="G1505" s="399">
        <f>IFERROR(VLOOKUP(A1505,醫療院所DATABASE!A:B,2,""),)</f>
        <v>0</v>
      </c>
      <c r="H1505" s="64"/>
      <c r="I1505" s="109"/>
      <c r="J1505" s="109"/>
      <c r="K1505" s="39"/>
      <c r="L1505" s="76"/>
      <c r="M1505" s="39"/>
      <c r="N1505" s="39"/>
      <c r="O1505" s="24"/>
      <c r="P1505" s="409"/>
      <c r="Q1505" s="76"/>
      <c r="R1505" s="76"/>
      <c r="S1505" s="24"/>
      <c r="T1505" s="24"/>
      <c r="U1505" s="64"/>
      <c r="V1505" s="56"/>
      <c r="W1505" s="56"/>
      <c r="X1505" s="56"/>
      <c r="Y1505" s="56"/>
      <c r="Z1505" s="56"/>
      <c r="AA1505" s="56"/>
      <c r="AB1505" s="56"/>
      <c r="AC1505" s="56"/>
    </row>
    <row r="1506" spans="1:29" ht="15.75" customHeight="1">
      <c r="A1506" s="39"/>
      <c r="B1506" s="107"/>
      <c r="C1506" s="109"/>
      <c r="D1506" s="76"/>
      <c r="E1506" s="64"/>
      <c r="F1506" s="39"/>
      <c r="G1506" s="399">
        <f>IFERROR(VLOOKUP(A1506,醫療院所DATABASE!A:B,2,""),)</f>
        <v>0</v>
      </c>
      <c r="H1506" s="64"/>
      <c r="I1506" s="109"/>
      <c r="J1506" s="109"/>
      <c r="K1506" s="39"/>
      <c r="L1506" s="76"/>
      <c r="M1506" s="39"/>
      <c r="N1506" s="39"/>
      <c r="O1506" s="24"/>
      <c r="P1506" s="409"/>
      <c r="Q1506" s="76"/>
      <c r="R1506" s="76"/>
      <c r="S1506" s="24"/>
      <c r="T1506" s="24"/>
      <c r="U1506" s="64"/>
      <c r="V1506" s="56"/>
      <c r="W1506" s="56"/>
      <c r="X1506" s="56"/>
      <c r="Y1506" s="56"/>
      <c r="Z1506" s="56"/>
      <c r="AA1506" s="56"/>
      <c r="AB1506" s="56"/>
      <c r="AC1506" s="56"/>
    </row>
    <row r="1507" spans="1:29" ht="15.75" customHeight="1">
      <c r="A1507" s="39"/>
      <c r="B1507" s="107"/>
      <c r="C1507" s="109"/>
      <c r="D1507" s="76"/>
      <c r="E1507" s="64"/>
      <c r="F1507" s="39"/>
      <c r="G1507" s="399">
        <f>IFERROR(VLOOKUP(A1507,醫療院所DATABASE!A:B,2,""),)</f>
        <v>0</v>
      </c>
      <c r="H1507" s="64"/>
      <c r="I1507" s="109"/>
      <c r="J1507" s="109"/>
      <c r="K1507" s="39"/>
      <c r="L1507" s="76"/>
      <c r="M1507" s="39"/>
      <c r="N1507" s="39"/>
      <c r="O1507" s="24"/>
      <c r="P1507" s="409"/>
      <c r="Q1507" s="76"/>
      <c r="R1507" s="76"/>
      <c r="S1507" s="24"/>
      <c r="T1507" s="24"/>
      <c r="U1507" s="64"/>
      <c r="V1507" s="56"/>
      <c r="W1507" s="56"/>
      <c r="X1507" s="56"/>
      <c r="Y1507" s="56"/>
      <c r="Z1507" s="56"/>
      <c r="AA1507" s="56"/>
      <c r="AB1507" s="56"/>
      <c r="AC1507" s="56"/>
    </row>
    <row r="1508" spans="1:29" ht="15.75" customHeight="1">
      <c r="A1508" s="39"/>
      <c r="B1508" s="107"/>
      <c r="C1508" s="109"/>
      <c r="D1508" s="76"/>
      <c r="E1508" s="64"/>
      <c r="F1508" s="39"/>
      <c r="G1508" s="399">
        <f>IFERROR(VLOOKUP(A1508,醫療院所DATABASE!A:B,2,""),)</f>
        <v>0</v>
      </c>
      <c r="H1508" s="64"/>
      <c r="I1508" s="109"/>
      <c r="J1508" s="109"/>
      <c r="K1508" s="39"/>
      <c r="L1508" s="76"/>
      <c r="M1508" s="39"/>
      <c r="N1508" s="39"/>
      <c r="O1508" s="24"/>
      <c r="P1508" s="409"/>
      <c r="Q1508" s="76"/>
      <c r="R1508" s="76"/>
      <c r="S1508" s="24"/>
      <c r="T1508" s="24"/>
      <c r="U1508" s="64"/>
      <c r="V1508" s="56"/>
      <c r="W1508" s="56"/>
      <c r="X1508" s="56"/>
      <c r="Y1508" s="56"/>
      <c r="Z1508" s="56"/>
      <c r="AA1508" s="56"/>
      <c r="AB1508" s="56"/>
      <c r="AC1508" s="56"/>
    </row>
    <row r="1509" spans="1:29" ht="15.75" customHeight="1">
      <c r="A1509" s="39"/>
      <c r="B1509" s="107"/>
      <c r="C1509" s="109"/>
      <c r="D1509" s="76"/>
      <c r="E1509" s="64"/>
      <c r="F1509" s="39"/>
      <c r="G1509" s="399">
        <f>IFERROR(VLOOKUP(A1509,醫療院所DATABASE!A:B,2,""),)</f>
        <v>0</v>
      </c>
      <c r="H1509" s="64"/>
      <c r="I1509" s="109"/>
      <c r="J1509" s="109"/>
      <c r="K1509" s="39"/>
      <c r="L1509" s="76"/>
      <c r="M1509" s="39"/>
      <c r="N1509" s="39"/>
      <c r="O1509" s="24"/>
      <c r="P1509" s="409"/>
      <c r="Q1509" s="76"/>
      <c r="R1509" s="76"/>
      <c r="S1509" s="24"/>
      <c r="T1509" s="24"/>
      <c r="U1509" s="64"/>
      <c r="V1509" s="56"/>
      <c r="W1509" s="56"/>
      <c r="X1509" s="56"/>
      <c r="Y1509" s="56"/>
      <c r="Z1509" s="56"/>
      <c r="AA1509" s="56"/>
      <c r="AB1509" s="56"/>
      <c r="AC1509" s="56"/>
    </row>
    <row r="1510" spans="1:29" ht="15.75" customHeight="1">
      <c r="A1510" s="39"/>
      <c r="B1510" s="107"/>
      <c r="C1510" s="109"/>
      <c r="D1510" s="76"/>
      <c r="E1510" s="64"/>
      <c r="F1510" s="39"/>
      <c r="G1510" s="399">
        <f>IFERROR(VLOOKUP(A1510,醫療院所DATABASE!A:B,2,""),)</f>
        <v>0</v>
      </c>
      <c r="H1510" s="64"/>
      <c r="I1510" s="109"/>
      <c r="J1510" s="109"/>
      <c r="K1510" s="39"/>
      <c r="L1510" s="76"/>
      <c r="M1510" s="39"/>
      <c r="N1510" s="39"/>
      <c r="O1510" s="24"/>
      <c r="P1510" s="409"/>
      <c r="Q1510" s="76"/>
      <c r="R1510" s="76"/>
      <c r="S1510" s="24"/>
      <c r="T1510" s="24"/>
      <c r="U1510" s="64"/>
      <c r="V1510" s="56"/>
      <c r="W1510" s="56"/>
      <c r="X1510" s="56"/>
      <c r="Y1510" s="56"/>
      <c r="Z1510" s="56"/>
      <c r="AA1510" s="56"/>
      <c r="AB1510" s="56"/>
      <c r="AC1510" s="56"/>
    </row>
    <row r="1511" spans="1:29" ht="15.75" customHeight="1">
      <c r="A1511" s="39"/>
      <c r="B1511" s="107"/>
      <c r="C1511" s="109"/>
      <c r="D1511" s="76"/>
      <c r="E1511" s="64"/>
      <c r="F1511" s="39"/>
      <c r="G1511" s="399">
        <f>IFERROR(VLOOKUP(A1511,醫療院所DATABASE!A:B,2,""),)</f>
        <v>0</v>
      </c>
      <c r="H1511" s="64"/>
      <c r="I1511" s="109"/>
      <c r="J1511" s="109"/>
      <c r="K1511" s="39"/>
      <c r="L1511" s="76"/>
      <c r="M1511" s="39"/>
      <c r="N1511" s="39"/>
      <c r="O1511" s="24"/>
      <c r="P1511" s="409"/>
      <c r="Q1511" s="76"/>
      <c r="R1511" s="76"/>
      <c r="S1511" s="24"/>
      <c r="T1511" s="24"/>
      <c r="U1511" s="64"/>
      <c r="V1511" s="56"/>
      <c r="W1511" s="56"/>
      <c r="X1511" s="56"/>
      <c r="Y1511" s="56"/>
      <c r="Z1511" s="56"/>
      <c r="AA1511" s="56"/>
      <c r="AB1511" s="56"/>
      <c r="AC1511" s="56"/>
    </row>
    <row r="1512" spans="1:29" ht="15.75" customHeight="1">
      <c r="A1512" s="39"/>
      <c r="B1512" s="107"/>
      <c r="C1512" s="109"/>
      <c r="D1512" s="76"/>
      <c r="E1512" s="64"/>
      <c r="F1512" s="39"/>
      <c r="G1512" s="399">
        <f>IFERROR(VLOOKUP(A1512,醫療院所DATABASE!A:B,2,""),)</f>
        <v>0</v>
      </c>
      <c r="H1512" s="64"/>
      <c r="I1512" s="109"/>
      <c r="J1512" s="109"/>
      <c r="K1512" s="39"/>
      <c r="L1512" s="76"/>
      <c r="M1512" s="39"/>
      <c r="N1512" s="39"/>
      <c r="O1512" s="24"/>
      <c r="P1512" s="409"/>
      <c r="Q1512" s="76"/>
      <c r="R1512" s="76"/>
      <c r="S1512" s="24"/>
      <c r="T1512" s="24"/>
      <c r="U1512" s="64"/>
      <c r="V1512" s="56"/>
      <c r="W1512" s="56"/>
      <c r="X1512" s="56"/>
      <c r="Y1512" s="56"/>
      <c r="Z1512" s="56"/>
      <c r="AA1512" s="56"/>
      <c r="AB1512" s="56"/>
      <c r="AC1512" s="56"/>
    </row>
    <row r="1513" spans="1:29" ht="15.75" customHeight="1">
      <c r="A1513" s="39"/>
      <c r="B1513" s="107"/>
      <c r="C1513" s="109"/>
      <c r="D1513" s="76"/>
      <c r="E1513" s="64"/>
      <c r="F1513" s="39"/>
      <c r="G1513" s="399">
        <f>IFERROR(VLOOKUP(A1513,醫療院所DATABASE!A:B,2,""),)</f>
        <v>0</v>
      </c>
      <c r="H1513" s="64"/>
      <c r="I1513" s="109"/>
      <c r="J1513" s="109"/>
      <c r="K1513" s="39"/>
      <c r="L1513" s="76"/>
      <c r="M1513" s="39"/>
      <c r="N1513" s="39"/>
      <c r="O1513" s="24"/>
      <c r="P1513" s="409"/>
      <c r="Q1513" s="76"/>
      <c r="R1513" s="76"/>
      <c r="S1513" s="24"/>
      <c r="T1513" s="24"/>
      <c r="U1513" s="64"/>
      <c r="V1513" s="56"/>
      <c r="W1513" s="56"/>
      <c r="X1513" s="56"/>
      <c r="Y1513" s="56"/>
      <c r="Z1513" s="56"/>
      <c r="AA1513" s="56"/>
      <c r="AB1513" s="56"/>
      <c r="AC1513" s="56"/>
    </row>
    <row r="1514" spans="1:29" ht="15.75" customHeight="1">
      <c r="A1514" s="39"/>
      <c r="B1514" s="107"/>
      <c r="C1514" s="109"/>
      <c r="D1514" s="76"/>
      <c r="E1514" s="64"/>
      <c r="F1514" s="39"/>
      <c r="G1514" s="399">
        <f>IFERROR(VLOOKUP(A1514,醫療院所DATABASE!A:B,2,""),)</f>
        <v>0</v>
      </c>
      <c r="H1514" s="64"/>
      <c r="I1514" s="109"/>
      <c r="J1514" s="109"/>
      <c r="K1514" s="39"/>
      <c r="L1514" s="76"/>
      <c r="M1514" s="39"/>
      <c r="N1514" s="39"/>
      <c r="O1514" s="24"/>
      <c r="P1514" s="409"/>
      <c r="Q1514" s="76"/>
      <c r="R1514" s="76"/>
      <c r="S1514" s="24"/>
      <c r="T1514" s="24"/>
      <c r="U1514" s="64"/>
      <c r="V1514" s="56"/>
      <c r="W1514" s="56"/>
      <c r="X1514" s="56"/>
      <c r="Y1514" s="56"/>
      <c r="Z1514" s="56"/>
      <c r="AA1514" s="56"/>
      <c r="AB1514" s="56"/>
      <c r="AC1514" s="56"/>
    </row>
    <row r="1515" spans="1:29" ht="15.75" customHeight="1">
      <c r="A1515" s="39"/>
      <c r="B1515" s="107"/>
      <c r="C1515" s="109"/>
      <c r="D1515" s="76"/>
      <c r="E1515" s="64"/>
      <c r="F1515" s="39"/>
      <c r="G1515" s="399">
        <f>IFERROR(VLOOKUP(A1515,醫療院所DATABASE!A:B,2,""),)</f>
        <v>0</v>
      </c>
      <c r="H1515" s="64"/>
      <c r="I1515" s="109"/>
      <c r="J1515" s="109"/>
      <c r="K1515" s="39"/>
      <c r="L1515" s="76"/>
      <c r="M1515" s="39"/>
      <c r="N1515" s="39"/>
      <c r="O1515" s="24"/>
      <c r="P1515" s="409"/>
      <c r="Q1515" s="76"/>
      <c r="R1515" s="76"/>
      <c r="S1515" s="24"/>
      <c r="T1515" s="24"/>
      <c r="U1515" s="64"/>
      <c r="V1515" s="56"/>
      <c r="W1515" s="56"/>
      <c r="X1515" s="56"/>
      <c r="Y1515" s="56"/>
      <c r="Z1515" s="56"/>
      <c r="AA1515" s="56"/>
      <c r="AB1515" s="56"/>
      <c r="AC1515" s="56"/>
    </row>
    <row r="1516" spans="1:29" ht="15.75" customHeight="1">
      <c r="A1516" s="39"/>
      <c r="B1516" s="107"/>
      <c r="C1516" s="109"/>
      <c r="D1516" s="76"/>
      <c r="E1516" s="64"/>
      <c r="F1516" s="39"/>
      <c r="G1516" s="399">
        <f>IFERROR(VLOOKUP(A1516,醫療院所DATABASE!A:B,2,""),)</f>
        <v>0</v>
      </c>
      <c r="H1516" s="64"/>
      <c r="I1516" s="109"/>
      <c r="J1516" s="109"/>
      <c r="K1516" s="39"/>
      <c r="L1516" s="76"/>
      <c r="M1516" s="39"/>
      <c r="N1516" s="39"/>
      <c r="O1516" s="24"/>
      <c r="P1516" s="409"/>
      <c r="Q1516" s="76"/>
      <c r="R1516" s="76"/>
      <c r="S1516" s="24"/>
      <c r="T1516" s="24"/>
      <c r="U1516" s="64"/>
      <c r="V1516" s="56"/>
      <c r="W1516" s="56"/>
      <c r="X1516" s="56"/>
      <c r="Y1516" s="56"/>
      <c r="Z1516" s="56"/>
      <c r="AA1516" s="56"/>
      <c r="AB1516" s="56"/>
      <c r="AC1516" s="56"/>
    </row>
    <row r="1517" spans="1:29" ht="15.75" customHeight="1">
      <c r="A1517" s="39"/>
      <c r="B1517" s="107"/>
      <c r="C1517" s="109"/>
      <c r="D1517" s="76"/>
      <c r="E1517" s="64"/>
      <c r="F1517" s="39"/>
      <c r="G1517" s="399">
        <f>IFERROR(VLOOKUP(A1517,醫療院所DATABASE!A:B,2,""),)</f>
        <v>0</v>
      </c>
      <c r="H1517" s="64"/>
      <c r="I1517" s="109"/>
      <c r="J1517" s="109"/>
      <c r="K1517" s="39"/>
      <c r="L1517" s="76"/>
      <c r="M1517" s="39"/>
      <c r="N1517" s="39"/>
      <c r="O1517" s="24"/>
      <c r="P1517" s="409"/>
      <c r="Q1517" s="76"/>
      <c r="R1517" s="76"/>
      <c r="S1517" s="24"/>
      <c r="T1517" s="24"/>
      <c r="U1517" s="64"/>
      <c r="V1517" s="56"/>
      <c r="W1517" s="56"/>
      <c r="X1517" s="56"/>
      <c r="Y1517" s="56"/>
      <c r="Z1517" s="56"/>
      <c r="AA1517" s="56"/>
      <c r="AB1517" s="56"/>
      <c r="AC1517" s="56"/>
    </row>
    <row r="1518" spans="1:29" ht="15.75" customHeight="1">
      <c r="A1518" s="39"/>
      <c r="B1518" s="107"/>
      <c r="C1518" s="109"/>
      <c r="D1518" s="76"/>
      <c r="E1518" s="64"/>
      <c r="F1518" s="39"/>
      <c r="G1518" s="399">
        <f>IFERROR(VLOOKUP(A1518,醫療院所DATABASE!A:B,2,""),)</f>
        <v>0</v>
      </c>
      <c r="H1518" s="64"/>
      <c r="I1518" s="109"/>
      <c r="J1518" s="109"/>
      <c r="K1518" s="39"/>
      <c r="L1518" s="76"/>
      <c r="M1518" s="39"/>
      <c r="N1518" s="39"/>
      <c r="O1518" s="24"/>
      <c r="P1518" s="409"/>
      <c r="Q1518" s="76"/>
      <c r="R1518" s="76"/>
      <c r="S1518" s="24"/>
      <c r="T1518" s="24"/>
      <c r="U1518" s="64"/>
      <c r="V1518" s="56"/>
      <c r="W1518" s="56"/>
      <c r="X1518" s="56"/>
      <c r="Y1518" s="56"/>
      <c r="Z1518" s="56"/>
      <c r="AA1518" s="56"/>
      <c r="AB1518" s="56"/>
      <c r="AC1518" s="56"/>
    </row>
    <row r="1519" spans="1:29" ht="15.75" customHeight="1">
      <c r="A1519" s="39"/>
      <c r="B1519" s="107"/>
      <c r="C1519" s="109"/>
      <c r="D1519" s="76"/>
      <c r="E1519" s="64"/>
      <c r="F1519" s="39"/>
      <c r="G1519" s="399">
        <f>IFERROR(VLOOKUP(A1519,醫療院所DATABASE!A:B,2,""),)</f>
        <v>0</v>
      </c>
      <c r="H1519" s="64"/>
      <c r="I1519" s="109"/>
      <c r="J1519" s="109"/>
      <c r="K1519" s="39"/>
      <c r="L1519" s="76"/>
      <c r="M1519" s="39"/>
      <c r="N1519" s="39"/>
      <c r="O1519" s="24"/>
      <c r="P1519" s="409"/>
      <c r="Q1519" s="76"/>
      <c r="R1519" s="76"/>
      <c r="S1519" s="24"/>
      <c r="T1519" s="24"/>
      <c r="U1519" s="64"/>
      <c r="V1519" s="56"/>
      <c r="W1519" s="56"/>
      <c r="X1519" s="56"/>
      <c r="Y1519" s="56"/>
      <c r="Z1519" s="56"/>
      <c r="AA1519" s="56"/>
      <c r="AB1519" s="56"/>
      <c r="AC1519" s="56"/>
    </row>
    <row r="1520" spans="1:29" ht="15.75" customHeight="1">
      <c r="A1520" s="39"/>
      <c r="B1520" s="107"/>
      <c r="C1520" s="109"/>
      <c r="D1520" s="76"/>
      <c r="E1520" s="64"/>
      <c r="F1520" s="39"/>
      <c r="G1520" s="399">
        <f>IFERROR(VLOOKUP(A1520,醫療院所DATABASE!A:B,2,""),)</f>
        <v>0</v>
      </c>
      <c r="H1520" s="64"/>
      <c r="I1520" s="109"/>
      <c r="J1520" s="109"/>
      <c r="K1520" s="39"/>
      <c r="L1520" s="76"/>
      <c r="M1520" s="39"/>
      <c r="N1520" s="39"/>
      <c r="O1520" s="24"/>
      <c r="P1520" s="409"/>
      <c r="Q1520" s="76"/>
      <c r="R1520" s="76"/>
      <c r="S1520" s="24"/>
      <c r="T1520" s="24"/>
      <c r="U1520" s="64"/>
      <c r="V1520" s="56"/>
      <c r="W1520" s="56"/>
      <c r="X1520" s="56"/>
      <c r="Y1520" s="56"/>
      <c r="Z1520" s="56"/>
      <c r="AA1520" s="56"/>
      <c r="AB1520" s="56"/>
      <c r="AC1520" s="56"/>
    </row>
    <row r="1521" spans="1:29" ht="15.75" customHeight="1">
      <c r="A1521" s="39"/>
      <c r="B1521" s="107"/>
      <c r="C1521" s="109"/>
      <c r="D1521" s="76"/>
      <c r="E1521" s="64"/>
      <c r="F1521" s="39"/>
      <c r="G1521" s="399">
        <f>IFERROR(VLOOKUP(A1521,醫療院所DATABASE!A:B,2,""),)</f>
        <v>0</v>
      </c>
      <c r="H1521" s="64"/>
      <c r="I1521" s="109"/>
      <c r="J1521" s="109"/>
      <c r="K1521" s="39"/>
      <c r="L1521" s="76"/>
      <c r="M1521" s="39"/>
      <c r="N1521" s="39"/>
      <c r="O1521" s="24"/>
      <c r="P1521" s="409"/>
      <c r="Q1521" s="76"/>
      <c r="R1521" s="76"/>
      <c r="S1521" s="24"/>
      <c r="T1521" s="24"/>
      <c r="U1521" s="64"/>
      <c r="V1521" s="56"/>
      <c r="W1521" s="56"/>
      <c r="X1521" s="56"/>
      <c r="Y1521" s="56"/>
      <c r="Z1521" s="56"/>
      <c r="AA1521" s="56"/>
      <c r="AB1521" s="56"/>
      <c r="AC1521" s="56"/>
    </row>
    <row r="1522" spans="1:29" ht="15.75" customHeight="1">
      <c r="A1522" s="39"/>
      <c r="B1522" s="107"/>
      <c r="C1522" s="109"/>
      <c r="D1522" s="76"/>
      <c r="E1522" s="64"/>
      <c r="F1522" s="39"/>
      <c r="G1522" s="399">
        <f>IFERROR(VLOOKUP(A1522,醫療院所DATABASE!A:B,2,""),)</f>
        <v>0</v>
      </c>
      <c r="H1522" s="64"/>
      <c r="I1522" s="109"/>
      <c r="J1522" s="109"/>
      <c r="K1522" s="39"/>
      <c r="L1522" s="76"/>
      <c r="M1522" s="39"/>
      <c r="N1522" s="39"/>
      <c r="O1522" s="24"/>
      <c r="P1522" s="409"/>
      <c r="Q1522" s="76"/>
      <c r="R1522" s="76"/>
      <c r="S1522" s="24"/>
      <c r="T1522" s="24"/>
      <c r="U1522" s="64"/>
      <c r="V1522" s="56"/>
      <c r="W1522" s="56"/>
      <c r="X1522" s="56"/>
      <c r="Y1522" s="56"/>
      <c r="Z1522" s="56"/>
      <c r="AA1522" s="56"/>
      <c r="AB1522" s="56"/>
      <c r="AC1522" s="56"/>
    </row>
    <row r="1523" spans="1:29" ht="15.75" customHeight="1">
      <c r="A1523" s="39"/>
      <c r="B1523" s="107"/>
      <c r="C1523" s="109"/>
      <c r="D1523" s="76"/>
      <c r="E1523" s="64"/>
      <c r="F1523" s="39"/>
      <c r="G1523" s="399">
        <f>IFERROR(VLOOKUP(A1523,醫療院所DATABASE!A:B,2,""),)</f>
        <v>0</v>
      </c>
      <c r="H1523" s="64"/>
      <c r="I1523" s="109"/>
      <c r="J1523" s="109"/>
      <c r="K1523" s="39"/>
      <c r="L1523" s="76"/>
      <c r="M1523" s="39"/>
      <c r="N1523" s="39"/>
      <c r="O1523" s="24"/>
      <c r="P1523" s="409"/>
      <c r="Q1523" s="76"/>
      <c r="R1523" s="76"/>
      <c r="S1523" s="24"/>
      <c r="T1523" s="24"/>
      <c r="U1523" s="64"/>
      <c r="V1523" s="56"/>
      <c r="W1523" s="56"/>
      <c r="X1523" s="56"/>
      <c r="Y1523" s="56"/>
      <c r="Z1523" s="56"/>
      <c r="AA1523" s="56"/>
      <c r="AB1523" s="56"/>
      <c r="AC1523" s="56"/>
    </row>
    <row r="1524" spans="1:29" ht="15.75" customHeight="1">
      <c r="A1524" s="39"/>
      <c r="B1524" s="107"/>
      <c r="C1524" s="109"/>
      <c r="D1524" s="76"/>
      <c r="E1524" s="64"/>
      <c r="F1524" s="39"/>
      <c r="G1524" s="399">
        <f>IFERROR(VLOOKUP(A1524,醫療院所DATABASE!A:B,2,""),)</f>
        <v>0</v>
      </c>
      <c r="H1524" s="64"/>
      <c r="I1524" s="109"/>
      <c r="J1524" s="109"/>
      <c r="K1524" s="39"/>
      <c r="L1524" s="76"/>
      <c r="M1524" s="39"/>
      <c r="N1524" s="39"/>
      <c r="O1524" s="24"/>
      <c r="P1524" s="409"/>
      <c r="Q1524" s="76"/>
      <c r="R1524" s="76"/>
      <c r="S1524" s="24"/>
      <c r="T1524" s="24"/>
      <c r="U1524" s="64"/>
      <c r="V1524" s="56"/>
      <c r="W1524" s="56"/>
      <c r="X1524" s="56"/>
      <c r="Y1524" s="56"/>
      <c r="Z1524" s="56"/>
      <c r="AA1524" s="56"/>
      <c r="AB1524" s="56"/>
      <c r="AC1524" s="56"/>
    </row>
    <row r="1525" spans="1:29" ht="15.75" customHeight="1">
      <c r="A1525" s="39"/>
      <c r="B1525" s="107"/>
      <c r="C1525" s="109"/>
      <c r="D1525" s="76"/>
      <c r="E1525" s="64"/>
      <c r="F1525" s="39"/>
      <c r="G1525" s="399">
        <f>IFERROR(VLOOKUP(A1525,醫療院所DATABASE!A:B,2,""),)</f>
        <v>0</v>
      </c>
      <c r="H1525" s="64"/>
      <c r="I1525" s="109"/>
      <c r="J1525" s="109"/>
      <c r="K1525" s="39"/>
      <c r="L1525" s="76"/>
      <c r="M1525" s="39"/>
      <c r="N1525" s="39"/>
      <c r="O1525" s="24"/>
      <c r="P1525" s="409"/>
      <c r="Q1525" s="76"/>
      <c r="R1525" s="76"/>
      <c r="S1525" s="24"/>
      <c r="T1525" s="24"/>
      <c r="U1525" s="64"/>
      <c r="V1525" s="56"/>
      <c r="W1525" s="56"/>
      <c r="X1525" s="56"/>
      <c r="Y1525" s="56"/>
      <c r="Z1525" s="56"/>
      <c r="AA1525" s="56"/>
      <c r="AB1525" s="56"/>
      <c r="AC1525" s="56"/>
    </row>
    <row r="1526" spans="1:29" ht="15.75" customHeight="1">
      <c r="A1526" s="39"/>
      <c r="B1526" s="107"/>
      <c r="C1526" s="109"/>
      <c r="D1526" s="76"/>
      <c r="E1526" s="64"/>
      <c r="F1526" s="39"/>
      <c r="G1526" s="399">
        <f>IFERROR(VLOOKUP(A1526,醫療院所DATABASE!A:B,2,""),)</f>
        <v>0</v>
      </c>
      <c r="H1526" s="64"/>
      <c r="I1526" s="109"/>
      <c r="J1526" s="109"/>
      <c r="K1526" s="39"/>
      <c r="L1526" s="76"/>
      <c r="M1526" s="39"/>
      <c r="N1526" s="39"/>
      <c r="O1526" s="24"/>
      <c r="P1526" s="409"/>
      <c r="Q1526" s="76"/>
      <c r="R1526" s="76"/>
      <c r="S1526" s="24"/>
      <c r="T1526" s="24"/>
      <c r="U1526" s="64"/>
      <c r="V1526" s="56"/>
      <c r="W1526" s="56"/>
      <c r="X1526" s="56"/>
      <c r="Y1526" s="56"/>
      <c r="Z1526" s="56"/>
      <c r="AA1526" s="56"/>
      <c r="AB1526" s="56"/>
      <c r="AC1526" s="56"/>
    </row>
    <row r="1527" spans="1:29" ht="15.75" customHeight="1">
      <c r="A1527" s="39"/>
      <c r="B1527" s="107"/>
      <c r="C1527" s="109"/>
      <c r="D1527" s="76"/>
      <c r="E1527" s="64"/>
      <c r="F1527" s="39"/>
      <c r="G1527" s="399">
        <f>IFERROR(VLOOKUP(A1527,醫療院所DATABASE!A:B,2,""),)</f>
        <v>0</v>
      </c>
      <c r="H1527" s="64"/>
      <c r="I1527" s="109"/>
      <c r="J1527" s="109"/>
      <c r="K1527" s="39"/>
      <c r="L1527" s="76"/>
      <c r="M1527" s="39"/>
      <c r="N1527" s="39"/>
      <c r="O1527" s="24"/>
      <c r="P1527" s="409"/>
      <c r="Q1527" s="76"/>
      <c r="R1527" s="76"/>
      <c r="S1527" s="24"/>
      <c r="T1527" s="24"/>
      <c r="U1527" s="64"/>
      <c r="V1527" s="56"/>
      <c r="W1527" s="56"/>
      <c r="X1527" s="56"/>
      <c r="Y1527" s="56"/>
      <c r="Z1527" s="56"/>
      <c r="AA1527" s="56"/>
      <c r="AB1527" s="56"/>
      <c r="AC1527" s="56"/>
    </row>
    <row r="1528" spans="1:29" ht="15.75" customHeight="1">
      <c r="A1528" s="39"/>
      <c r="B1528" s="107"/>
      <c r="C1528" s="109"/>
      <c r="D1528" s="76"/>
      <c r="E1528" s="64"/>
      <c r="F1528" s="39"/>
      <c r="G1528" s="399">
        <f>IFERROR(VLOOKUP(A1528,醫療院所DATABASE!A:B,2,""),)</f>
        <v>0</v>
      </c>
      <c r="H1528" s="64"/>
      <c r="I1528" s="109"/>
      <c r="J1528" s="109"/>
      <c r="K1528" s="39"/>
      <c r="L1528" s="76"/>
      <c r="M1528" s="39"/>
      <c r="N1528" s="39"/>
      <c r="O1528" s="24"/>
      <c r="P1528" s="409"/>
      <c r="Q1528" s="76"/>
      <c r="R1528" s="76"/>
      <c r="S1528" s="24"/>
      <c r="T1528" s="24"/>
      <c r="U1528" s="64"/>
      <c r="V1528" s="56"/>
      <c r="W1528" s="56"/>
      <c r="X1528" s="56"/>
      <c r="Y1528" s="56"/>
      <c r="Z1528" s="56"/>
      <c r="AA1528" s="56"/>
      <c r="AB1528" s="56"/>
      <c r="AC1528" s="56"/>
    </row>
    <row r="1529" spans="1:29" ht="15.75" customHeight="1">
      <c r="A1529" s="39"/>
      <c r="B1529" s="107"/>
      <c r="C1529" s="109"/>
      <c r="D1529" s="76"/>
      <c r="E1529" s="64"/>
      <c r="F1529" s="39"/>
      <c r="G1529" s="399">
        <f>IFERROR(VLOOKUP(A1529,醫療院所DATABASE!A:B,2,""),)</f>
        <v>0</v>
      </c>
      <c r="H1529" s="64"/>
      <c r="I1529" s="109"/>
      <c r="J1529" s="109"/>
      <c r="K1529" s="39"/>
      <c r="L1529" s="76"/>
      <c r="M1529" s="39"/>
      <c r="N1529" s="39"/>
      <c r="O1529" s="24"/>
      <c r="P1529" s="409"/>
      <c r="Q1529" s="76"/>
      <c r="R1529" s="76"/>
      <c r="S1529" s="24"/>
      <c r="T1529" s="24"/>
      <c r="U1529" s="64"/>
      <c r="V1529" s="56"/>
      <c r="W1529" s="56"/>
      <c r="X1529" s="56"/>
      <c r="Y1529" s="56"/>
      <c r="Z1529" s="56"/>
      <c r="AA1529" s="56"/>
      <c r="AB1529" s="56"/>
      <c r="AC1529" s="56"/>
    </row>
    <row r="1530" spans="1:29" ht="15.75" customHeight="1">
      <c r="A1530" s="39"/>
      <c r="B1530" s="107"/>
      <c r="C1530" s="109"/>
      <c r="D1530" s="76"/>
      <c r="E1530" s="64"/>
      <c r="F1530" s="39"/>
      <c r="G1530" s="399">
        <f>IFERROR(VLOOKUP(A1530,醫療院所DATABASE!A:B,2,""),)</f>
        <v>0</v>
      </c>
      <c r="H1530" s="64"/>
      <c r="I1530" s="109"/>
      <c r="J1530" s="109"/>
      <c r="K1530" s="39"/>
      <c r="L1530" s="76"/>
      <c r="M1530" s="39"/>
      <c r="N1530" s="39"/>
      <c r="O1530" s="24"/>
      <c r="P1530" s="409"/>
      <c r="Q1530" s="76"/>
      <c r="R1530" s="76"/>
      <c r="S1530" s="24"/>
      <c r="T1530" s="24"/>
      <c r="U1530" s="64"/>
      <c r="V1530" s="56"/>
      <c r="W1530" s="56"/>
      <c r="X1530" s="56"/>
      <c r="Y1530" s="56"/>
      <c r="Z1530" s="56"/>
      <c r="AA1530" s="56"/>
      <c r="AB1530" s="56"/>
      <c r="AC1530" s="56"/>
    </row>
    <row r="1531" spans="1:29" ht="15.75" customHeight="1">
      <c r="A1531" s="39"/>
      <c r="B1531" s="107"/>
      <c r="C1531" s="109"/>
      <c r="D1531" s="76"/>
      <c r="E1531" s="64"/>
      <c r="F1531" s="39"/>
      <c r="G1531" s="399">
        <f>IFERROR(VLOOKUP(A1531,醫療院所DATABASE!A:B,2,""),)</f>
        <v>0</v>
      </c>
      <c r="H1531" s="64"/>
      <c r="I1531" s="109"/>
      <c r="J1531" s="109"/>
      <c r="K1531" s="39"/>
      <c r="L1531" s="76"/>
      <c r="M1531" s="39"/>
      <c r="N1531" s="39"/>
      <c r="O1531" s="24"/>
      <c r="P1531" s="409"/>
      <c r="Q1531" s="76"/>
      <c r="R1531" s="76"/>
      <c r="S1531" s="24"/>
      <c r="T1531" s="24"/>
      <c r="U1531" s="64"/>
      <c r="V1531" s="56"/>
      <c r="W1531" s="56"/>
      <c r="X1531" s="56"/>
      <c r="Y1531" s="56"/>
      <c r="Z1531" s="56"/>
      <c r="AA1531" s="56"/>
      <c r="AB1531" s="56"/>
      <c r="AC1531" s="56"/>
    </row>
    <row r="1532" spans="1:29" ht="15.75" customHeight="1">
      <c r="A1532" s="39"/>
      <c r="B1532" s="107"/>
      <c r="C1532" s="109"/>
      <c r="D1532" s="76"/>
      <c r="E1532" s="64"/>
      <c r="F1532" s="39"/>
      <c r="G1532" s="399">
        <f>IFERROR(VLOOKUP(A1532,醫療院所DATABASE!A:B,2,""),)</f>
        <v>0</v>
      </c>
      <c r="H1532" s="64"/>
      <c r="I1532" s="109"/>
      <c r="J1532" s="109"/>
      <c r="K1532" s="39"/>
      <c r="L1532" s="76"/>
      <c r="M1532" s="39"/>
      <c r="N1532" s="39"/>
      <c r="O1532" s="24"/>
      <c r="P1532" s="409"/>
      <c r="Q1532" s="76"/>
      <c r="R1532" s="76"/>
      <c r="S1532" s="24"/>
      <c r="T1532" s="24"/>
      <c r="U1532" s="64"/>
      <c r="V1532" s="56"/>
      <c r="W1532" s="56"/>
      <c r="X1532" s="56"/>
      <c r="Y1532" s="56"/>
      <c r="Z1532" s="56"/>
      <c r="AA1532" s="56"/>
      <c r="AB1532" s="56"/>
      <c r="AC1532" s="56"/>
    </row>
    <row r="1533" spans="1:29" ht="15.75" customHeight="1">
      <c r="A1533" s="39"/>
      <c r="B1533" s="107"/>
      <c r="C1533" s="109"/>
      <c r="D1533" s="76"/>
      <c r="E1533" s="64"/>
      <c r="F1533" s="39"/>
      <c r="G1533" s="399">
        <f>IFERROR(VLOOKUP(A1533,醫療院所DATABASE!A:B,2,""),)</f>
        <v>0</v>
      </c>
      <c r="H1533" s="64"/>
      <c r="I1533" s="109"/>
      <c r="J1533" s="109"/>
      <c r="K1533" s="39"/>
      <c r="L1533" s="76"/>
      <c r="M1533" s="39"/>
      <c r="N1533" s="39"/>
      <c r="O1533" s="24"/>
      <c r="P1533" s="409"/>
      <c r="Q1533" s="76"/>
      <c r="R1533" s="76"/>
      <c r="S1533" s="24"/>
      <c r="T1533" s="24"/>
      <c r="U1533" s="64"/>
      <c r="V1533" s="56"/>
      <c r="W1533" s="56"/>
      <c r="X1533" s="56"/>
      <c r="Y1533" s="56"/>
      <c r="Z1533" s="56"/>
      <c r="AA1533" s="56"/>
      <c r="AB1533" s="56"/>
      <c r="AC1533" s="56"/>
    </row>
    <row r="1534" spans="1:29" ht="15.75" customHeight="1">
      <c r="A1534" s="39"/>
      <c r="B1534" s="107"/>
      <c r="C1534" s="109"/>
      <c r="D1534" s="76"/>
      <c r="E1534" s="64"/>
      <c r="F1534" s="39"/>
      <c r="G1534" s="399">
        <f>IFERROR(VLOOKUP(A1534,醫療院所DATABASE!A:B,2,""),)</f>
        <v>0</v>
      </c>
      <c r="H1534" s="64"/>
      <c r="I1534" s="109"/>
      <c r="J1534" s="109"/>
      <c r="K1534" s="39"/>
      <c r="L1534" s="76"/>
      <c r="M1534" s="39"/>
      <c r="N1534" s="39"/>
      <c r="O1534" s="24"/>
      <c r="P1534" s="409"/>
      <c r="Q1534" s="76"/>
      <c r="R1534" s="76"/>
      <c r="S1534" s="24"/>
      <c r="T1534" s="24"/>
      <c r="U1534" s="64"/>
      <c r="V1534" s="56"/>
      <c r="W1534" s="56"/>
      <c r="X1534" s="56"/>
      <c r="Y1534" s="56"/>
      <c r="Z1534" s="56"/>
      <c r="AA1534" s="56"/>
      <c r="AB1534" s="56"/>
      <c r="AC1534" s="56"/>
    </row>
    <row r="1535" spans="1:29" ht="15.75" customHeight="1">
      <c r="A1535" s="39"/>
      <c r="B1535" s="107"/>
      <c r="C1535" s="109"/>
      <c r="D1535" s="76"/>
      <c r="E1535" s="64"/>
      <c r="F1535" s="39"/>
      <c r="G1535" s="399">
        <f>IFERROR(VLOOKUP(A1535,醫療院所DATABASE!A:B,2,""),)</f>
        <v>0</v>
      </c>
      <c r="H1535" s="64"/>
      <c r="I1535" s="109"/>
      <c r="J1535" s="109"/>
      <c r="K1535" s="39"/>
      <c r="L1535" s="76"/>
      <c r="M1535" s="39"/>
      <c r="N1535" s="39"/>
      <c r="O1535" s="24"/>
      <c r="P1535" s="409"/>
      <c r="Q1535" s="76"/>
      <c r="R1535" s="76"/>
      <c r="S1535" s="24"/>
      <c r="T1535" s="24"/>
      <c r="U1535" s="64"/>
      <c r="V1535" s="56"/>
      <c r="W1535" s="56"/>
      <c r="X1535" s="56"/>
      <c r="Y1535" s="56"/>
      <c r="Z1535" s="56"/>
      <c r="AA1535" s="56"/>
      <c r="AB1535" s="56"/>
      <c r="AC1535" s="56"/>
    </row>
    <row r="1536" spans="1:29" ht="15.75" customHeight="1">
      <c r="A1536" s="39"/>
      <c r="B1536" s="107"/>
      <c r="C1536" s="109"/>
      <c r="D1536" s="76"/>
      <c r="E1536" s="64"/>
      <c r="F1536" s="39"/>
      <c r="G1536" s="399">
        <f>IFERROR(VLOOKUP(A1536,醫療院所DATABASE!A:B,2,""),)</f>
        <v>0</v>
      </c>
      <c r="H1536" s="64"/>
      <c r="I1536" s="109"/>
      <c r="J1536" s="109"/>
      <c r="K1536" s="39"/>
      <c r="L1536" s="76"/>
      <c r="M1536" s="39"/>
      <c r="N1536" s="39"/>
      <c r="O1536" s="24"/>
      <c r="P1536" s="409"/>
      <c r="Q1536" s="76"/>
      <c r="R1536" s="76"/>
      <c r="S1536" s="24"/>
      <c r="T1536" s="24"/>
      <c r="U1536" s="64"/>
      <c r="V1536" s="56"/>
      <c r="W1536" s="56"/>
      <c r="X1536" s="56"/>
      <c r="Y1536" s="56"/>
      <c r="Z1536" s="56"/>
      <c r="AA1536" s="56"/>
      <c r="AB1536" s="56"/>
      <c r="AC1536" s="56"/>
    </row>
    <row r="1537" spans="1:29" ht="15.75" customHeight="1">
      <c r="A1537" s="39"/>
      <c r="B1537" s="107"/>
      <c r="C1537" s="109"/>
      <c r="D1537" s="76"/>
      <c r="E1537" s="64"/>
      <c r="F1537" s="39"/>
      <c r="G1537" s="399">
        <f>IFERROR(VLOOKUP(A1537,醫療院所DATABASE!A:B,2,""),)</f>
        <v>0</v>
      </c>
      <c r="H1537" s="64"/>
      <c r="I1537" s="109"/>
      <c r="J1537" s="109"/>
      <c r="K1537" s="39"/>
      <c r="L1537" s="76"/>
      <c r="M1537" s="39"/>
      <c r="N1537" s="39"/>
      <c r="O1537" s="24"/>
      <c r="P1537" s="409"/>
      <c r="Q1537" s="76"/>
      <c r="R1537" s="76"/>
      <c r="S1537" s="24"/>
      <c r="T1537" s="24"/>
      <c r="U1537" s="64"/>
      <c r="V1537" s="56"/>
      <c r="W1537" s="56"/>
      <c r="X1537" s="56"/>
      <c r="Y1537" s="56"/>
      <c r="Z1537" s="56"/>
      <c r="AA1537" s="56"/>
      <c r="AB1537" s="56"/>
      <c r="AC1537" s="56"/>
    </row>
    <row r="1538" spans="1:29" ht="15.75" customHeight="1">
      <c r="A1538" s="39"/>
      <c r="B1538" s="107"/>
      <c r="C1538" s="109"/>
      <c r="D1538" s="76"/>
      <c r="E1538" s="64"/>
      <c r="F1538" s="39"/>
      <c r="G1538" s="399">
        <f>IFERROR(VLOOKUP(A1538,醫療院所DATABASE!A:B,2,""),)</f>
        <v>0</v>
      </c>
      <c r="H1538" s="64"/>
      <c r="I1538" s="109"/>
      <c r="J1538" s="109"/>
      <c r="K1538" s="39"/>
      <c r="L1538" s="76"/>
      <c r="M1538" s="39"/>
      <c r="N1538" s="39"/>
      <c r="O1538" s="24"/>
      <c r="P1538" s="409"/>
      <c r="Q1538" s="76"/>
      <c r="R1538" s="76"/>
      <c r="S1538" s="24"/>
      <c r="T1538" s="24"/>
      <c r="U1538" s="64"/>
      <c r="V1538" s="56"/>
      <c r="W1538" s="56"/>
      <c r="X1538" s="56"/>
      <c r="Y1538" s="56"/>
      <c r="Z1538" s="56"/>
      <c r="AA1538" s="56"/>
      <c r="AB1538" s="56"/>
      <c r="AC1538" s="56"/>
    </row>
    <row r="1539" spans="1:29" ht="15.75" customHeight="1">
      <c r="A1539" s="39"/>
      <c r="B1539" s="107"/>
      <c r="C1539" s="109"/>
      <c r="D1539" s="76"/>
      <c r="E1539" s="64"/>
      <c r="F1539" s="39"/>
      <c r="G1539" s="399">
        <f>IFERROR(VLOOKUP(A1539,醫療院所DATABASE!A:B,2,""),)</f>
        <v>0</v>
      </c>
      <c r="H1539" s="64"/>
      <c r="I1539" s="109"/>
      <c r="J1539" s="109"/>
      <c r="K1539" s="39"/>
      <c r="L1539" s="76"/>
      <c r="M1539" s="39"/>
      <c r="N1539" s="39"/>
      <c r="O1539" s="24"/>
      <c r="P1539" s="409"/>
      <c r="Q1539" s="76"/>
      <c r="R1539" s="76"/>
      <c r="S1539" s="24"/>
      <c r="T1539" s="24"/>
      <c r="U1539" s="64"/>
      <c r="V1539" s="56"/>
      <c r="W1539" s="56"/>
      <c r="X1539" s="56"/>
      <c r="Y1539" s="56"/>
      <c r="Z1539" s="56"/>
      <c r="AA1539" s="56"/>
      <c r="AB1539" s="56"/>
      <c r="AC1539" s="56"/>
    </row>
    <row r="1540" spans="1:29" ht="15.75" customHeight="1">
      <c r="A1540" s="39"/>
      <c r="B1540" s="107"/>
      <c r="C1540" s="109"/>
      <c r="D1540" s="76"/>
      <c r="E1540" s="64"/>
      <c r="F1540" s="39"/>
      <c r="G1540" s="399">
        <f>IFERROR(VLOOKUP(A1540,醫療院所DATABASE!A:B,2,""),)</f>
        <v>0</v>
      </c>
      <c r="H1540" s="64"/>
      <c r="I1540" s="109"/>
      <c r="J1540" s="109"/>
      <c r="K1540" s="39"/>
      <c r="L1540" s="76"/>
      <c r="M1540" s="39"/>
      <c r="N1540" s="39"/>
      <c r="O1540" s="24"/>
      <c r="P1540" s="409"/>
      <c r="Q1540" s="76"/>
      <c r="R1540" s="76"/>
      <c r="S1540" s="24"/>
      <c r="T1540" s="24"/>
      <c r="U1540" s="64"/>
      <c r="V1540" s="56"/>
      <c r="W1540" s="56"/>
      <c r="X1540" s="56"/>
      <c r="Y1540" s="56"/>
      <c r="Z1540" s="56"/>
      <c r="AA1540" s="56"/>
      <c r="AB1540" s="56"/>
      <c r="AC1540" s="56"/>
    </row>
    <row r="1541" spans="1:29" ht="15.75" customHeight="1">
      <c r="A1541" s="39"/>
      <c r="B1541" s="107"/>
      <c r="C1541" s="109"/>
      <c r="D1541" s="76"/>
      <c r="E1541" s="64"/>
      <c r="F1541" s="39"/>
      <c r="G1541" s="399">
        <f>IFERROR(VLOOKUP(A1541,醫療院所DATABASE!A:B,2,""),)</f>
        <v>0</v>
      </c>
      <c r="H1541" s="64"/>
      <c r="I1541" s="109"/>
      <c r="J1541" s="109"/>
      <c r="K1541" s="39"/>
      <c r="L1541" s="76"/>
      <c r="M1541" s="39"/>
      <c r="N1541" s="39"/>
      <c r="O1541" s="24"/>
      <c r="P1541" s="409"/>
      <c r="Q1541" s="76"/>
      <c r="R1541" s="76"/>
      <c r="S1541" s="24"/>
      <c r="T1541" s="24"/>
      <c r="U1541" s="64"/>
      <c r="V1541" s="56"/>
      <c r="W1541" s="56"/>
      <c r="X1541" s="56"/>
      <c r="Y1541" s="56"/>
      <c r="Z1541" s="56"/>
      <c r="AA1541" s="56"/>
      <c r="AB1541" s="56"/>
      <c r="AC1541" s="56"/>
    </row>
    <row r="1542" spans="1:29" ht="15.75" customHeight="1">
      <c r="A1542" s="39"/>
      <c r="B1542" s="107"/>
      <c r="C1542" s="109"/>
      <c r="D1542" s="76"/>
      <c r="E1542" s="64"/>
      <c r="F1542" s="39"/>
      <c r="G1542" s="399">
        <f>IFERROR(VLOOKUP(A1542,醫療院所DATABASE!A:B,2,""),)</f>
        <v>0</v>
      </c>
      <c r="H1542" s="64"/>
      <c r="I1542" s="109"/>
      <c r="J1542" s="109"/>
      <c r="K1542" s="39"/>
      <c r="L1542" s="76"/>
      <c r="M1542" s="39"/>
      <c r="N1542" s="39"/>
      <c r="O1542" s="24"/>
      <c r="P1542" s="409"/>
      <c r="Q1542" s="76"/>
      <c r="R1542" s="76"/>
      <c r="S1542" s="24"/>
      <c r="T1542" s="24"/>
      <c r="U1542" s="64"/>
      <c r="V1542" s="56"/>
      <c r="W1542" s="56"/>
      <c r="X1542" s="56"/>
      <c r="Y1542" s="56"/>
      <c r="Z1542" s="56"/>
      <c r="AA1542" s="56"/>
      <c r="AB1542" s="56"/>
      <c r="AC1542" s="56"/>
    </row>
    <row r="1543" spans="1:29" ht="15.75" customHeight="1">
      <c r="A1543" s="39"/>
      <c r="B1543" s="107"/>
      <c r="C1543" s="109"/>
      <c r="D1543" s="76"/>
      <c r="E1543" s="64"/>
      <c r="F1543" s="39"/>
      <c r="G1543" s="399">
        <f>IFERROR(VLOOKUP(A1543,醫療院所DATABASE!A:B,2,""),)</f>
        <v>0</v>
      </c>
      <c r="H1543" s="64"/>
      <c r="I1543" s="109"/>
      <c r="J1543" s="109"/>
      <c r="K1543" s="39"/>
      <c r="L1543" s="76"/>
      <c r="M1543" s="39"/>
      <c r="N1543" s="39"/>
      <c r="O1543" s="24"/>
      <c r="P1543" s="409"/>
      <c r="Q1543" s="76"/>
      <c r="R1543" s="76"/>
      <c r="S1543" s="24"/>
      <c r="T1543" s="24"/>
      <c r="U1543" s="64"/>
      <c r="V1543" s="56"/>
      <c r="W1543" s="56"/>
      <c r="X1543" s="56"/>
      <c r="Y1543" s="56"/>
      <c r="Z1543" s="56"/>
      <c r="AA1543" s="56"/>
      <c r="AB1543" s="56"/>
      <c r="AC1543" s="56"/>
    </row>
    <row r="1544" spans="1:29" ht="15.75" customHeight="1">
      <c r="A1544" s="39"/>
      <c r="B1544" s="107"/>
      <c r="C1544" s="109"/>
      <c r="D1544" s="76"/>
      <c r="E1544" s="64"/>
      <c r="F1544" s="39"/>
      <c r="G1544" s="399">
        <f>IFERROR(VLOOKUP(A1544,醫療院所DATABASE!A:B,2,""),)</f>
        <v>0</v>
      </c>
      <c r="H1544" s="64"/>
      <c r="I1544" s="109"/>
      <c r="J1544" s="109"/>
      <c r="K1544" s="39"/>
      <c r="L1544" s="76"/>
      <c r="M1544" s="39"/>
      <c r="N1544" s="39"/>
      <c r="O1544" s="24"/>
      <c r="P1544" s="409"/>
      <c r="Q1544" s="76"/>
      <c r="R1544" s="76"/>
      <c r="S1544" s="24"/>
      <c r="T1544" s="24"/>
      <c r="U1544" s="64"/>
      <c r="V1544" s="56"/>
      <c r="W1544" s="56"/>
      <c r="X1544" s="56"/>
      <c r="Y1544" s="56"/>
      <c r="Z1544" s="56"/>
      <c r="AA1544" s="56"/>
      <c r="AB1544" s="56"/>
      <c r="AC1544" s="56"/>
    </row>
    <row r="1545" spans="1:29" ht="15.75" customHeight="1">
      <c r="A1545" s="39"/>
      <c r="B1545" s="107"/>
      <c r="C1545" s="109"/>
      <c r="D1545" s="76"/>
      <c r="E1545" s="64"/>
      <c r="F1545" s="39"/>
      <c r="G1545" s="399">
        <f>IFERROR(VLOOKUP(A1545,醫療院所DATABASE!A:B,2,""),)</f>
        <v>0</v>
      </c>
      <c r="H1545" s="64"/>
      <c r="I1545" s="109"/>
      <c r="J1545" s="109"/>
      <c r="K1545" s="39"/>
      <c r="L1545" s="76"/>
      <c r="M1545" s="39"/>
      <c r="N1545" s="39"/>
      <c r="O1545" s="24"/>
      <c r="P1545" s="409"/>
      <c r="Q1545" s="76"/>
      <c r="R1545" s="76"/>
      <c r="S1545" s="24"/>
      <c r="T1545" s="24"/>
      <c r="U1545" s="64"/>
      <c r="V1545" s="56"/>
      <c r="W1545" s="56"/>
      <c r="X1545" s="56"/>
      <c r="Y1545" s="56"/>
      <c r="Z1545" s="56"/>
      <c r="AA1545" s="56"/>
      <c r="AB1545" s="56"/>
      <c r="AC1545" s="56"/>
    </row>
    <row r="1546" spans="1:29" ht="15.75" customHeight="1">
      <c r="A1546" s="39"/>
      <c r="B1546" s="107"/>
      <c r="C1546" s="109"/>
      <c r="D1546" s="76"/>
      <c r="E1546" s="64"/>
      <c r="F1546" s="39"/>
      <c r="G1546" s="399">
        <f>IFERROR(VLOOKUP(A1546,醫療院所DATABASE!A:B,2,""),)</f>
        <v>0</v>
      </c>
      <c r="H1546" s="64"/>
      <c r="I1546" s="109"/>
      <c r="J1546" s="109"/>
      <c r="K1546" s="39"/>
      <c r="L1546" s="76"/>
      <c r="M1546" s="39"/>
      <c r="N1546" s="39"/>
      <c r="O1546" s="24"/>
      <c r="P1546" s="409"/>
      <c r="Q1546" s="76"/>
      <c r="R1546" s="76"/>
      <c r="S1546" s="24"/>
      <c r="T1546" s="24"/>
      <c r="U1546" s="64"/>
      <c r="V1546" s="56"/>
      <c r="W1546" s="56"/>
      <c r="X1546" s="56"/>
      <c r="Y1546" s="56"/>
      <c r="Z1546" s="56"/>
      <c r="AA1546" s="56"/>
      <c r="AB1546" s="56"/>
      <c r="AC1546" s="56"/>
    </row>
    <row r="1547" spans="1:29" ht="15.75" customHeight="1">
      <c r="A1547" s="39"/>
      <c r="B1547" s="107"/>
      <c r="C1547" s="109"/>
      <c r="D1547" s="76"/>
      <c r="E1547" s="64"/>
      <c r="F1547" s="39"/>
      <c r="G1547" s="399">
        <f>IFERROR(VLOOKUP(A1547,醫療院所DATABASE!A:B,2,""),)</f>
        <v>0</v>
      </c>
      <c r="H1547" s="64"/>
      <c r="I1547" s="109"/>
      <c r="J1547" s="109"/>
      <c r="K1547" s="39"/>
      <c r="L1547" s="76"/>
      <c r="M1547" s="39"/>
      <c r="N1547" s="39"/>
      <c r="O1547" s="24"/>
      <c r="P1547" s="409"/>
      <c r="Q1547" s="76"/>
      <c r="R1547" s="76"/>
      <c r="S1547" s="24"/>
      <c r="T1547" s="24"/>
      <c r="U1547" s="64"/>
      <c r="V1547" s="56"/>
      <c r="W1547" s="56"/>
      <c r="X1547" s="56"/>
      <c r="Y1547" s="56"/>
      <c r="Z1547" s="56"/>
      <c r="AA1547" s="56"/>
      <c r="AB1547" s="56"/>
      <c r="AC1547" s="56"/>
    </row>
    <row r="1548" spans="1:29" ht="15.75" customHeight="1">
      <c r="A1548" s="39"/>
      <c r="B1548" s="107"/>
      <c r="C1548" s="109"/>
      <c r="D1548" s="76"/>
      <c r="E1548" s="64"/>
      <c r="F1548" s="39"/>
      <c r="G1548" s="399">
        <f>IFERROR(VLOOKUP(A1548,醫療院所DATABASE!A:B,2,""),)</f>
        <v>0</v>
      </c>
      <c r="H1548" s="64"/>
      <c r="I1548" s="109"/>
      <c r="J1548" s="109"/>
      <c r="K1548" s="39"/>
      <c r="L1548" s="76"/>
      <c r="M1548" s="39"/>
      <c r="N1548" s="39"/>
      <c r="O1548" s="24"/>
      <c r="P1548" s="409"/>
      <c r="Q1548" s="76"/>
      <c r="R1548" s="76"/>
      <c r="S1548" s="24"/>
      <c r="T1548" s="24"/>
      <c r="U1548" s="64"/>
      <c r="V1548" s="56"/>
      <c r="W1548" s="56"/>
      <c r="X1548" s="56"/>
      <c r="Y1548" s="56"/>
      <c r="Z1548" s="56"/>
      <c r="AA1548" s="56"/>
      <c r="AB1548" s="56"/>
      <c r="AC1548" s="56"/>
    </row>
    <row r="1549" spans="1:29" ht="15.75" customHeight="1">
      <c r="A1549" s="39"/>
      <c r="B1549" s="107"/>
      <c r="C1549" s="109"/>
      <c r="D1549" s="76"/>
      <c r="E1549" s="64"/>
      <c r="F1549" s="39"/>
      <c r="G1549" s="399">
        <f>IFERROR(VLOOKUP(A1549,醫療院所DATABASE!A:B,2,""),)</f>
        <v>0</v>
      </c>
      <c r="H1549" s="64"/>
      <c r="I1549" s="109"/>
      <c r="J1549" s="109"/>
      <c r="K1549" s="39"/>
      <c r="L1549" s="76"/>
      <c r="M1549" s="39"/>
      <c r="N1549" s="39"/>
      <c r="O1549" s="24"/>
      <c r="P1549" s="409"/>
      <c r="Q1549" s="76"/>
      <c r="R1549" s="76"/>
      <c r="S1549" s="24"/>
      <c r="T1549" s="24"/>
      <c r="U1549" s="64"/>
      <c r="V1549" s="56"/>
      <c r="W1549" s="56"/>
      <c r="X1549" s="56"/>
      <c r="Y1549" s="56"/>
      <c r="Z1549" s="56"/>
      <c r="AA1549" s="56"/>
      <c r="AB1549" s="56"/>
      <c r="AC1549" s="56"/>
    </row>
    <row r="1550" spans="1:29" ht="15.75" customHeight="1">
      <c r="A1550" s="39"/>
      <c r="B1550" s="107"/>
      <c r="C1550" s="109"/>
      <c r="D1550" s="76"/>
      <c r="E1550" s="64"/>
      <c r="F1550" s="39"/>
      <c r="G1550" s="399">
        <f>IFERROR(VLOOKUP(A1550,醫療院所DATABASE!A:B,2,""),)</f>
        <v>0</v>
      </c>
      <c r="H1550" s="64"/>
      <c r="I1550" s="109"/>
      <c r="J1550" s="109"/>
      <c r="K1550" s="39"/>
      <c r="L1550" s="76"/>
      <c r="M1550" s="39"/>
      <c r="N1550" s="39"/>
      <c r="O1550" s="24"/>
      <c r="P1550" s="409"/>
      <c r="Q1550" s="76"/>
      <c r="R1550" s="76"/>
      <c r="S1550" s="24"/>
      <c r="T1550" s="24"/>
      <c r="U1550" s="64"/>
      <c r="V1550" s="56"/>
      <c r="W1550" s="56"/>
      <c r="X1550" s="56"/>
      <c r="Y1550" s="56"/>
      <c r="Z1550" s="56"/>
      <c r="AA1550" s="56"/>
      <c r="AB1550" s="56"/>
      <c r="AC1550" s="56"/>
    </row>
    <row r="1551" spans="1:29" ht="15.75" customHeight="1">
      <c r="A1551" s="39"/>
      <c r="B1551" s="107"/>
      <c r="C1551" s="109"/>
      <c r="D1551" s="76"/>
      <c r="E1551" s="64"/>
      <c r="F1551" s="39"/>
      <c r="G1551" s="399">
        <f>IFERROR(VLOOKUP(A1551,醫療院所DATABASE!A:B,2,""),)</f>
        <v>0</v>
      </c>
      <c r="H1551" s="64"/>
      <c r="I1551" s="109"/>
      <c r="J1551" s="109"/>
      <c r="K1551" s="39"/>
      <c r="L1551" s="76"/>
      <c r="M1551" s="39"/>
      <c r="N1551" s="39"/>
      <c r="O1551" s="24"/>
      <c r="P1551" s="409"/>
      <c r="Q1551" s="76"/>
      <c r="R1551" s="76"/>
      <c r="S1551" s="24"/>
      <c r="T1551" s="24"/>
      <c r="U1551" s="64"/>
      <c r="V1551" s="56"/>
      <c r="W1551" s="56"/>
      <c r="X1551" s="56"/>
      <c r="Y1551" s="56"/>
      <c r="Z1551" s="56"/>
      <c r="AA1551" s="56"/>
      <c r="AB1551" s="56"/>
      <c r="AC1551" s="56"/>
    </row>
    <row r="1552" spans="1:29" ht="15.75" customHeight="1">
      <c r="A1552" s="39"/>
      <c r="B1552" s="107"/>
      <c r="C1552" s="109"/>
      <c r="D1552" s="76"/>
      <c r="E1552" s="64"/>
      <c r="F1552" s="39"/>
      <c r="G1552" s="399">
        <f>IFERROR(VLOOKUP(A1552,醫療院所DATABASE!A:B,2,""),)</f>
        <v>0</v>
      </c>
      <c r="H1552" s="64"/>
      <c r="I1552" s="109"/>
      <c r="J1552" s="109"/>
      <c r="K1552" s="39"/>
      <c r="L1552" s="76"/>
      <c r="M1552" s="39"/>
      <c r="N1552" s="39"/>
      <c r="O1552" s="24"/>
      <c r="P1552" s="409"/>
      <c r="Q1552" s="76"/>
      <c r="R1552" s="76"/>
      <c r="S1552" s="24"/>
      <c r="T1552" s="24"/>
      <c r="U1552" s="64"/>
      <c r="V1552" s="56"/>
      <c r="W1552" s="56"/>
      <c r="X1552" s="56"/>
      <c r="Y1552" s="56"/>
      <c r="Z1552" s="56"/>
      <c r="AA1552" s="56"/>
      <c r="AB1552" s="56"/>
      <c r="AC1552" s="56"/>
    </row>
    <row r="1553" spans="1:29" ht="15.75" customHeight="1">
      <c r="A1553" s="39"/>
      <c r="B1553" s="107"/>
      <c r="C1553" s="109"/>
      <c r="D1553" s="76"/>
      <c r="E1553" s="64"/>
      <c r="F1553" s="39"/>
      <c r="G1553" s="399">
        <f>IFERROR(VLOOKUP(A1553,醫療院所DATABASE!A:B,2,""),)</f>
        <v>0</v>
      </c>
      <c r="H1553" s="64"/>
      <c r="I1553" s="109"/>
      <c r="J1553" s="109"/>
      <c r="K1553" s="39"/>
      <c r="L1553" s="76"/>
      <c r="M1553" s="39"/>
      <c r="N1553" s="39"/>
      <c r="O1553" s="24"/>
      <c r="P1553" s="409"/>
      <c r="Q1553" s="76"/>
      <c r="R1553" s="76"/>
      <c r="S1553" s="24"/>
      <c r="T1553" s="24"/>
      <c r="U1553" s="64"/>
      <c r="V1553" s="56"/>
      <c r="W1553" s="56"/>
      <c r="X1553" s="56"/>
      <c r="Y1553" s="56"/>
      <c r="Z1553" s="56"/>
      <c r="AA1553" s="56"/>
      <c r="AB1553" s="56"/>
      <c r="AC1553" s="56"/>
    </row>
    <row r="1554" spans="1:29" ht="15.75" customHeight="1">
      <c r="A1554" s="39"/>
      <c r="B1554" s="107"/>
      <c r="C1554" s="109"/>
      <c r="D1554" s="76"/>
      <c r="E1554" s="64"/>
      <c r="F1554" s="39"/>
      <c r="G1554" s="399">
        <f>IFERROR(VLOOKUP(A1554,醫療院所DATABASE!A:B,2,""),)</f>
        <v>0</v>
      </c>
      <c r="H1554" s="64"/>
      <c r="I1554" s="109"/>
      <c r="J1554" s="109"/>
      <c r="K1554" s="39"/>
      <c r="L1554" s="76"/>
      <c r="M1554" s="39"/>
      <c r="N1554" s="39"/>
      <c r="O1554" s="24"/>
      <c r="P1554" s="409"/>
      <c r="Q1554" s="76"/>
      <c r="R1554" s="76"/>
      <c r="S1554" s="24"/>
      <c r="T1554" s="24"/>
      <c r="U1554" s="64"/>
      <c r="V1554" s="56"/>
      <c r="W1554" s="56"/>
      <c r="X1554" s="56"/>
      <c r="Y1554" s="56"/>
      <c r="Z1554" s="56"/>
      <c r="AA1554" s="56"/>
      <c r="AB1554" s="56"/>
      <c r="AC1554" s="56"/>
    </row>
    <row r="1555" spans="1:29" ht="15.75" customHeight="1">
      <c r="A1555" s="39"/>
      <c r="B1555" s="107"/>
      <c r="C1555" s="109"/>
      <c r="D1555" s="76"/>
      <c r="E1555" s="64"/>
      <c r="F1555" s="39"/>
      <c r="G1555" s="399">
        <f>IFERROR(VLOOKUP(A1555,醫療院所DATABASE!A:B,2,""),)</f>
        <v>0</v>
      </c>
      <c r="H1555" s="64"/>
      <c r="I1555" s="109"/>
      <c r="J1555" s="109"/>
      <c r="K1555" s="39"/>
      <c r="L1555" s="76"/>
      <c r="M1555" s="39"/>
      <c r="N1555" s="39"/>
      <c r="O1555" s="24"/>
      <c r="P1555" s="409"/>
      <c r="Q1555" s="76"/>
      <c r="R1555" s="76"/>
      <c r="S1555" s="24"/>
      <c r="T1555" s="24"/>
      <c r="U1555" s="64"/>
      <c r="V1555" s="56"/>
      <c r="W1555" s="56"/>
      <c r="X1555" s="56"/>
      <c r="Y1555" s="56"/>
      <c r="Z1555" s="56"/>
      <c r="AA1555" s="56"/>
      <c r="AB1555" s="56"/>
      <c r="AC1555" s="56"/>
    </row>
    <row r="1556" spans="1:29" ht="15.75" customHeight="1">
      <c r="A1556" s="39"/>
      <c r="B1556" s="107"/>
      <c r="C1556" s="109"/>
      <c r="D1556" s="76"/>
      <c r="E1556" s="64"/>
      <c r="F1556" s="39"/>
      <c r="G1556" s="399">
        <f>IFERROR(VLOOKUP(A1556,醫療院所DATABASE!A:B,2,""),)</f>
        <v>0</v>
      </c>
      <c r="H1556" s="64"/>
      <c r="I1556" s="109"/>
      <c r="J1556" s="109"/>
      <c r="K1556" s="39"/>
      <c r="L1556" s="76"/>
      <c r="M1556" s="39"/>
      <c r="N1556" s="39"/>
      <c r="O1556" s="24"/>
      <c r="P1556" s="409"/>
      <c r="Q1556" s="76"/>
      <c r="R1556" s="76"/>
      <c r="S1556" s="24"/>
      <c r="T1556" s="24"/>
      <c r="U1556" s="64"/>
      <c r="V1556" s="56"/>
      <c r="W1556" s="56"/>
      <c r="X1556" s="56"/>
      <c r="Y1556" s="56"/>
      <c r="Z1556" s="56"/>
      <c r="AA1556" s="56"/>
      <c r="AB1556" s="56"/>
      <c r="AC1556" s="56"/>
    </row>
    <row r="1557" spans="1:29" ht="15.75" customHeight="1">
      <c r="A1557" s="39"/>
      <c r="B1557" s="107"/>
      <c r="C1557" s="109"/>
      <c r="D1557" s="76"/>
      <c r="E1557" s="64"/>
      <c r="F1557" s="39"/>
      <c r="G1557" s="399">
        <f>IFERROR(VLOOKUP(A1557,醫療院所DATABASE!A:B,2,""),)</f>
        <v>0</v>
      </c>
      <c r="H1557" s="64"/>
      <c r="I1557" s="109"/>
      <c r="J1557" s="109"/>
      <c r="K1557" s="39"/>
      <c r="L1557" s="76"/>
      <c r="M1557" s="39"/>
      <c r="N1557" s="39"/>
      <c r="O1557" s="24"/>
      <c r="P1557" s="409"/>
      <c r="Q1557" s="76"/>
      <c r="R1557" s="76"/>
      <c r="S1557" s="24"/>
      <c r="T1557" s="24"/>
      <c r="U1557" s="64"/>
      <c r="V1557" s="56"/>
      <c r="W1557" s="56"/>
      <c r="X1557" s="56"/>
      <c r="Y1557" s="56"/>
      <c r="Z1557" s="56"/>
      <c r="AA1557" s="56"/>
      <c r="AB1557" s="56"/>
      <c r="AC1557" s="56"/>
    </row>
    <row r="1558" spans="1:29" ht="15.75" customHeight="1">
      <c r="A1558" s="39"/>
      <c r="B1558" s="107"/>
      <c r="C1558" s="109"/>
      <c r="D1558" s="76"/>
      <c r="E1558" s="64"/>
      <c r="F1558" s="39"/>
      <c r="G1558" s="399">
        <f>IFERROR(VLOOKUP(A1558,醫療院所DATABASE!A:B,2,""),)</f>
        <v>0</v>
      </c>
      <c r="H1558" s="64"/>
      <c r="I1558" s="109"/>
      <c r="J1558" s="109"/>
      <c r="K1558" s="39"/>
      <c r="L1558" s="76"/>
      <c r="M1558" s="39"/>
      <c r="N1558" s="39"/>
      <c r="O1558" s="24"/>
      <c r="P1558" s="409"/>
      <c r="Q1558" s="76"/>
      <c r="R1558" s="76"/>
      <c r="S1558" s="24"/>
      <c r="T1558" s="24"/>
      <c r="U1558" s="64"/>
      <c r="V1558" s="56"/>
      <c r="W1558" s="56"/>
      <c r="X1558" s="56"/>
      <c r="Y1558" s="56"/>
      <c r="Z1558" s="56"/>
      <c r="AA1558" s="56"/>
      <c r="AB1558" s="56"/>
      <c r="AC1558" s="56"/>
    </row>
    <row r="1559" spans="1:29" ht="15.75" customHeight="1">
      <c r="A1559" s="39"/>
      <c r="B1559" s="107"/>
      <c r="C1559" s="109"/>
      <c r="D1559" s="76"/>
      <c r="E1559" s="64"/>
      <c r="F1559" s="39"/>
      <c r="G1559" s="399">
        <f>IFERROR(VLOOKUP(A1559,醫療院所DATABASE!A:B,2,""),)</f>
        <v>0</v>
      </c>
      <c r="H1559" s="64"/>
      <c r="I1559" s="109"/>
      <c r="J1559" s="109"/>
      <c r="K1559" s="39"/>
      <c r="L1559" s="76"/>
      <c r="M1559" s="39"/>
      <c r="N1559" s="39"/>
      <c r="O1559" s="24"/>
      <c r="P1559" s="409"/>
      <c r="Q1559" s="76"/>
      <c r="R1559" s="76"/>
      <c r="S1559" s="24"/>
      <c r="T1559" s="24"/>
      <c r="U1559" s="64"/>
      <c r="V1559" s="56"/>
      <c r="W1559" s="56"/>
      <c r="X1559" s="56"/>
      <c r="Y1559" s="56"/>
      <c r="Z1559" s="56"/>
      <c r="AA1559" s="56"/>
      <c r="AB1559" s="56"/>
      <c r="AC1559" s="56"/>
    </row>
    <row r="1560" spans="1:29" ht="15.75" customHeight="1">
      <c r="A1560" s="39"/>
      <c r="B1560" s="107"/>
      <c r="C1560" s="109"/>
      <c r="D1560" s="76"/>
      <c r="E1560" s="64"/>
      <c r="F1560" s="39"/>
      <c r="G1560" s="399">
        <f>IFERROR(VLOOKUP(A1560,醫療院所DATABASE!A:B,2,""),)</f>
        <v>0</v>
      </c>
      <c r="H1560" s="64"/>
      <c r="I1560" s="109"/>
      <c r="J1560" s="109"/>
      <c r="K1560" s="39"/>
      <c r="L1560" s="76"/>
      <c r="M1560" s="39"/>
      <c r="N1560" s="39"/>
      <c r="O1560" s="24"/>
      <c r="P1560" s="409"/>
      <c r="Q1560" s="76"/>
      <c r="R1560" s="76"/>
      <c r="S1560" s="24"/>
      <c r="T1560" s="24"/>
      <c r="U1560" s="64"/>
      <c r="V1560" s="56"/>
      <c r="W1560" s="56"/>
      <c r="X1560" s="56"/>
      <c r="Y1560" s="56"/>
      <c r="Z1560" s="56"/>
      <c r="AA1560" s="56"/>
      <c r="AB1560" s="56"/>
      <c r="AC1560" s="56"/>
    </row>
    <row r="1561" spans="1:29" ht="15.75" customHeight="1">
      <c r="A1561" s="39"/>
      <c r="B1561" s="107"/>
      <c r="C1561" s="109"/>
      <c r="D1561" s="76"/>
      <c r="E1561" s="64"/>
      <c r="F1561" s="39"/>
      <c r="G1561" s="399">
        <f>IFERROR(VLOOKUP(A1561,醫療院所DATABASE!A:B,2,""),)</f>
        <v>0</v>
      </c>
      <c r="H1561" s="64"/>
      <c r="I1561" s="109"/>
      <c r="J1561" s="109"/>
      <c r="K1561" s="39"/>
      <c r="L1561" s="76"/>
      <c r="M1561" s="39"/>
      <c r="N1561" s="39"/>
      <c r="O1561" s="24"/>
      <c r="P1561" s="409"/>
      <c r="Q1561" s="76"/>
      <c r="R1561" s="76"/>
      <c r="S1561" s="24"/>
      <c r="T1561" s="24"/>
      <c r="U1561" s="64"/>
      <c r="V1561" s="56"/>
      <c r="W1561" s="56"/>
      <c r="X1561" s="56"/>
      <c r="Y1561" s="56"/>
      <c r="Z1561" s="56"/>
      <c r="AA1561" s="56"/>
      <c r="AB1561" s="56"/>
      <c r="AC1561" s="56"/>
    </row>
    <row r="1562" spans="1:29" ht="15.75" customHeight="1">
      <c r="A1562" s="39"/>
      <c r="B1562" s="107"/>
      <c r="C1562" s="109"/>
      <c r="D1562" s="76"/>
      <c r="E1562" s="64"/>
      <c r="F1562" s="39"/>
      <c r="G1562" s="399">
        <f>IFERROR(VLOOKUP(A1562,醫療院所DATABASE!A:B,2,""),)</f>
        <v>0</v>
      </c>
      <c r="H1562" s="64"/>
      <c r="I1562" s="109"/>
      <c r="J1562" s="109"/>
      <c r="K1562" s="39"/>
      <c r="L1562" s="76"/>
      <c r="M1562" s="39"/>
      <c r="N1562" s="39"/>
      <c r="O1562" s="24"/>
      <c r="P1562" s="409"/>
      <c r="Q1562" s="76"/>
      <c r="R1562" s="76"/>
      <c r="S1562" s="24"/>
      <c r="T1562" s="24"/>
      <c r="U1562" s="64"/>
      <c r="V1562" s="56"/>
      <c r="W1562" s="56"/>
      <c r="X1562" s="56"/>
      <c r="Y1562" s="56"/>
      <c r="Z1562" s="56"/>
      <c r="AA1562" s="56"/>
      <c r="AB1562" s="56"/>
      <c r="AC1562" s="56"/>
    </row>
    <row r="1563" spans="1:29" ht="15.75" customHeight="1">
      <c r="A1563" s="39"/>
      <c r="B1563" s="107"/>
      <c r="C1563" s="109"/>
      <c r="D1563" s="76"/>
      <c r="E1563" s="64"/>
      <c r="F1563" s="39"/>
      <c r="G1563" s="399">
        <f>IFERROR(VLOOKUP(A1563,醫療院所DATABASE!A:B,2,""),)</f>
        <v>0</v>
      </c>
      <c r="H1563" s="64"/>
      <c r="I1563" s="109"/>
      <c r="J1563" s="109"/>
      <c r="K1563" s="39"/>
      <c r="L1563" s="76"/>
      <c r="M1563" s="39"/>
      <c r="N1563" s="39"/>
      <c r="O1563" s="24"/>
      <c r="P1563" s="409"/>
      <c r="Q1563" s="76"/>
      <c r="R1563" s="76"/>
      <c r="S1563" s="24"/>
      <c r="T1563" s="24"/>
      <c r="U1563" s="64"/>
      <c r="V1563" s="56"/>
      <c r="W1563" s="56"/>
      <c r="X1563" s="56"/>
      <c r="Y1563" s="56"/>
      <c r="Z1563" s="56"/>
      <c r="AA1563" s="56"/>
      <c r="AB1563" s="56"/>
      <c r="AC1563" s="56"/>
    </row>
    <row r="1564" spans="1:29" ht="15.75" customHeight="1">
      <c r="A1564" s="39"/>
      <c r="B1564" s="107"/>
      <c r="C1564" s="109"/>
      <c r="D1564" s="76"/>
      <c r="E1564" s="64"/>
      <c r="F1564" s="39"/>
      <c r="G1564" s="399">
        <f>IFERROR(VLOOKUP(A1564,醫療院所DATABASE!A:B,2,""),)</f>
        <v>0</v>
      </c>
      <c r="H1564" s="64"/>
      <c r="I1564" s="109"/>
      <c r="J1564" s="109"/>
      <c r="K1564" s="39"/>
      <c r="L1564" s="76"/>
      <c r="M1564" s="39"/>
      <c r="N1564" s="39"/>
      <c r="O1564" s="24"/>
      <c r="P1564" s="409"/>
      <c r="Q1564" s="76"/>
      <c r="R1564" s="76"/>
      <c r="S1564" s="24"/>
      <c r="T1564" s="24"/>
      <c r="U1564" s="64"/>
      <c r="V1564" s="56"/>
      <c r="W1564" s="56"/>
      <c r="X1564" s="56"/>
      <c r="Y1564" s="56"/>
      <c r="Z1564" s="56"/>
      <c r="AA1564" s="56"/>
      <c r="AB1564" s="56"/>
      <c r="AC1564" s="56"/>
    </row>
    <row r="1565" spans="1:29" ht="15.75" customHeight="1">
      <c r="A1565" s="39"/>
      <c r="B1565" s="107"/>
      <c r="C1565" s="109"/>
      <c r="D1565" s="76"/>
      <c r="E1565" s="64"/>
      <c r="F1565" s="39"/>
      <c r="G1565" s="399">
        <f>IFERROR(VLOOKUP(A1565,醫療院所DATABASE!A:B,2,""),)</f>
        <v>0</v>
      </c>
      <c r="H1565" s="64"/>
      <c r="I1565" s="109"/>
      <c r="J1565" s="109"/>
      <c r="K1565" s="39"/>
      <c r="L1565" s="76"/>
      <c r="M1565" s="39"/>
      <c r="N1565" s="39"/>
      <c r="O1565" s="24"/>
      <c r="P1565" s="409"/>
      <c r="Q1565" s="76"/>
      <c r="R1565" s="76"/>
      <c r="S1565" s="24"/>
      <c r="T1565" s="24"/>
      <c r="U1565" s="64"/>
      <c r="V1565" s="56"/>
      <c r="W1565" s="56"/>
      <c r="X1565" s="56"/>
      <c r="Y1565" s="56"/>
      <c r="Z1565" s="56"/>
      <c r="AA1565" s="56"/>
      <c r="AB1565" s="56"/>
      <c r="AC1565" s="56"/>
    </row>
    <row r="1566" spans="1:29" ht="15.75" customHeight="1">
      <c r="A1566" s="39"/>
      <c r="B1566" s="107"/>
      <c r="C1566" s="109"/>
      <c r="D1566" s="76"/>
      <c r="E1566" s="64"/>
      <c r="F1566" s="39"/>
      <c r="G1566" s="399">
        <f>IFERROR(VLOOKUP(A1566,醫療院所DATABASE!A:B,2,""),)</f>
        <v>0</v>
      </c>
      <c r="H1566" s="64"/>
      <c r="I1566" s="109"/>
      <c r="J1566" s="109"/>
      <c r="K1566" s="39"/>
      <c r="L1566" s="76"/>
      <c r="M1566" s="39"/>
      <c r="N1566" s="39"/>
      <c r="O1566" s="24"/>
      <c r="P1566" s="409"/>
      <c r="Q1566" s="76"/>
      <c r="R1566" s="76"/>
      <c r="S1566" s="24"/>
      <c r="T1566" s="24"/>
      <c r="U1566" s="64"/>
      <c r="V1566" s="56"/>
      <c r="W1566" s="56"/>
      <c r="X1566" s="56"/>
      <c r="Y1566" s="56"/>
      <c r="Z1566" s="56"/>
      <c r="AA1566" s="56"/>
      <c r="AB1566" s="56"/>
      <c r="AC1566" s="56"/>
    </row>
    <row r="1567" spans="1:29" ht="15.75" customHeight="1">
      <c r="A1567" s="39"/>
      <c r="B1567" s="107"/>
      <c r="C1567" s="109"/>
      <c r="D1567" s="76"/>
      <c r="E1567" s="64"/>
      <c r="F1567" s="39"/>
      <c r="G1567" s="399">
        <f>IFERROR(VLOOKUP(A1567,醫療院所DATABASE!A:B,2,""),)</f>
        <v>0</v>
      </c>
      <c r="H1567" s="64"/>
      <c r="I1567" s="109"/>
      <c r="J1567" s="109"/>
      <c r="K1567" s="39"/>
      <c r="L1567" s="76"/>
      <c r="M1567" s="39"/>
      <c r="N1567" s="39"/>
      <c r="O1567" s="24"/>
      <c r="P1567" s="409"/>
      <c r="Q1567" s="76"/>
      <c r="R1567" s="76"/>
      <c r="S1567" s="24"/>
      <c r="T1567" s="24"/>
      <c r="U1567" s="64"/>
      <c r="V1567" s="56"/>
      <c r="W1567" s="56"/>
      <c r="X1567" s="56"/>
      <c r="Y1567" s="56"/>
      <c r="Z1567" s="56"/>
      <c r="AA1567" s="56"/>
      <c r="AB1567" s="56"/>
      <c r="AC1567" s="56"/>
    </row>
    <row r="1568" spans="1:29" ht="15.75" customHeight="1">
      <c r="A1568" s="39"/>
      <c r="B1568" s="107"/>
      <c r="C1568" s="109"/>
      <c r="D1568" s="76"/>
      <c r="E1568" s="64"/>
      <c r="F1568" s="39"/>
      <c r="G1568" s="399">
        <f>IFERROR(VLOOKUP(A1568,醫療院所DATABASE!A:B,2,""),)</f>
        <v>0</v>
      </c>
      <c r="H1568" s="64"/>
      <c r="I1568" s="109"/>
      <c r="J1568" s="109"/>
      <c r="K1568" s="39"/>
      <c r="L1568" s="76"/>
      <c r="M1568" s="39"/>
      <c r="N1568" s="39"/>
      <c r="O1568" s="24"/>
      <c r="P1568" s="409"/>
      <c r="Q1568" s="76"/>
      <c r="R1568" s="76"/>
      <c r="S1568" s="24"/>
      <c r="T1568" s="24"/>
      <c r="U1568" s="64"/>
      <c r="V1568" s="56"/>
      <c r="W1568" s="56"/>
      <c r="X1568" s="56"/>
      <c r="Y1568" s="56"/>
      <c r="Z1568" s="56"/>
      <c r="AA1568" s="56"/>
      <c r="AB1568" s="56"/>
      <c r="AC1568" s="56"/>
    </row>
    <row r="1569" spans="1:29" ht="15.75" customHeight="1">
      <c r="A1569" s="39"/>
      <c r="B1569" s="107"/>
      <c r="C1569" s="109"/>
      <c r="D1569" s="76"/>
      <c r="E1569" s="64"/>
      <c r="F1569" s="39"/>
      <c r="G1569" s="399">
        <f>IFERROR(VLOOKUP(A1569,醫療院所DATABASE!A:B,2,""),)</f>
        <v>0</v>
      </c>
      <c r="H1569" s="64"/>
      <c r="I1569" s="109"/>
      <c r="J1569" s="109"/>
      <c r="K1569" s="39"/>
      <c r="L1569" s="76"/>
      <c r="M1569" s="39"/>
      <c r="N1569" s="39"/>
      <c r="O1569" s="24"/>
      <c r="P1569" s="409"/>
      <c r="Q1569" s="76"/>
      <c r="R1569" s="76"/>
      <c r="S1569" s="24"/>
      <c r="T1569" s="24"/>
      <c r="U1569" s="64"/>
      <c r="V1569" s="56"/>
      <c r="W1569" s="56"/>
      <c r="X1569" s="56"/>
      <c r="Y1569" s="56"/>
      <c r="Z1569" s="56"/>
      <c r="AA1569" s="56"/>
      <c r="AB1569" s="56"/>
      <c r="AC1569" s="56"/>
    </row>
    <row r="1570" spans="1:29" ht="15.75" customHeight="1">
      <c r="A1570" s="39"/>
      <c r="B1570" s="107"/>
      <c r="C1570" s="109"/>
      <c r="D1570" s="76"/>
      <c r="E1570" s="64"/>
      <c r="F1570" s="39"/>
      <c r="G1570" s="399">
        <f>IFERROR(VLOOKUP(A1570,醫療院所DATABASE!A:B,2,""),)</f>
        <v>0</v>
      </c>
      <c r="H1570" s="64"/>
      <c r="I1570" s="109"/>
      <c r="J1570" s="109"/>
      <c r="K1570" s="39"/>
      <c r="L1570" s="76"/>
      <c r="M1570" s="39"/>
      <c r="N1570" s="39"/>
      <c r="O1570" s="24"/>
      <c r="P1570" s="409"/>
      <c r="Q1570" s="76"/>
      <c r="R1570" s="76"/>
      <c r="S1570" s="24"/>
      <c r="T1570" s="24"/>
      <c r="U1570" s="64"/>
      <c r="V1570" s="56"/>
      <c r="W1570" s="56"/>
      <c r="X1570" s="56"/>
      <c r="Y1570" s="56"/>
      <c r="Z1570" s="56"/>
      <c r="AA1570" s="56"/>
      <c r="AB1570" s="56"/>
      <c r="AC1570" s="56"/>
    </row>
    <row r="1571" spans="1:29" ht="15.75" customHeight="1">
      <c r="A1571" s="39"/>
      <c r="B1571" s="107"/>
      <c r="C1571" s="109"/>
      <c r="D1571" s="76"/>
      <c r="E1571" s="64"/>
      <c r="F1571" s="39"/>
      <c r="G1571" s="399">
        <f>IFERROR(VLOOKUP(A1571,醫療院所DATABASE!A:B,2,""),)</f>
        <v>0</v>
      </c>
      <c r="H1571" s="64"/>
      <c r="I1571" s="109"/>
      <c r="J1571" s="109"/>
      <c r="K1571" s="39"/>
      <c r="L1571" s="76"/>
      <c r="M1571" s="39"/>
      <c r="N1571" s="39"/>
      <c r="O1571" s="24"/>
      <c r="P1571" s="409"/>
      <c r="Q1571" s="76"/>
      <c r="R1571" s="76"/>
      <c r="S1571" s="24"/>
      <c r="T1571" s="24"/>
      <c r="U1571" s="64"/>
      <c r="V1571" s="56"/>
      <c r="W1571" s="56"/>
      <c r="X1571" s="56"/>
      <c r="Y1571" s="56"/>
      <c r="Z1571" s="56"/>
      <c r="AA1571" s="56"/>
      <c r="AB1571" s="56"/>
      <c r="AC1571" s="56"/>
    </row>
    <row r="1572" spans="1:29" ht="15.75" customHeight="1">
      <c r="A1572" s="39"/>
      <c r="B1572" s="107"/>
      <c r="C1572" s="109"/>
      <c r="D1572" s="76"/>
      <c r="E1572" s="64"/>
      <c r="F1572" s="39"/>
      <c r="G1572" s="399">
        <f>IFERROR(VLOOKUP(A1572,醫療院所DATABASE!A:B,2,""),)</f>
        <v>0</v>
      </c>
      <c r="H1572" s="64"/>
      <c r="I1572" s="109"/>
      <c r="J1572" s="109"/>
      <c r="K1572" s="39"/>
      <c r="L1572" s="76"/>
      <c r="M1572" s="39"/>
      <c r="N1572" s="39"/>
      <c r="O1572" s="24"/>
      <c r="P1572" s="409"/>
      <c r="Q1572" s="76"/>
      <c r="R1572" s="76"/>
      <c r="S1572" s="24"/>
      <c r="T1572" s="24"/>
      <c r="U1572" s="64"/>
      <c r="V1572" s="56"/>
      <c r="W1572" s="56"/>
      <c r="X1572" s="56"/>
      <c r="Y1572" s="56"/>
      <c r="Z1572" s="56"/>
      <c r="AA1572" s="56"/>
      <c r="AB1572" s="56"/>
      <c r="AC1572" s="56"/>
    </row>
    <row r="1573" spans="1:29" ht="15.75" customHeight="1">
      <c r="A1573" s="39"/>
      <c r="B1573" s="107"/>
      <c r="C1573" s="109"/>
      <c r="D1573" s="76"/>
      <c r="E1573" s="64"/>
      <c r="F1573" s="39"/>
      <c r="G1573" s="399">
        <f>IFERROR(VLOOKUP(A1573,醫療院所DATABASE!A:B,2,""),)</f>
        <v>0</v>
      </c>
      <c r="H1573" s="64"/>
      <c r="I1573" s="109"/>
      <c r="J1573" s="109"/>
      <c r="K1573" s="39"/>
      <c r="L1573" s="76"/>
      <c r="M1573" s="39"/>
      <c r="N1573" s="39"/>
      <c r="O1573" s="24"/>
      <c r="P1573" s="409"/>
      <c r="Q1573" s="76"/>
      <c r="R1573" s="76"/>
      <c r="S1573" s="24"/>
      <c r="T1573" s="24"/>
      <c r="U1573" s="64"/>
      <c r="V1573" s="56"/>
      <c r="W1573" s="56"/>
      <c r="X1573" s="56"/>
      <c r="Y1573" s="56"/>
      <c r="Z1573" s="56"/>
      <c r="AA1573" s="56"/>
      <c r="AB1573" s="56"/>
      <c r="AC1573" s="56"/>
    </row>
    <row r="1574" spans="1:29" ht="15.75" customHeight="1">
      <c r="A1574" s="39"/>
      <c r="B1574" s="107"/>
      <c r="C1574" s="109"/>
      <c r="D1574" s="76"/>
      <c r="E1574" s="64"/>
      <c r="F1574" s="39"/>
      <c r="G1574" s="399">
        <f>IFERROR(VLOOKUP(A1574,醫療院所DATABASE!A:B,2,""),)</f>
        <v>0</v>
      </c>
      <c r="H1574" s="64"/>
      <c r="I1574" s="109"/>
      <c r="J1574" s="109"/>
      <c r="K1574" s="39"/>
      <c r="L1574" s="76"/>
      <c r="M1574" s="39"/>
      <c r="N1574" s="39"/>
      <c r="O1574" s="24"/>
      <c r="P1574" s="409"/>
      <c r="Q1574" s="76"/>
      <c r="R1574" s="76"/>
      <c r="S1574" s="24"/>
      <c r="T1574" s="24"/>
      <c r="U1574" s="64"/>
      <c r="V1574" s="56"/>
      <c r="W1574" s="56"/>
      <c r="X1574" s="56"/>
      <c r="Y1574" s="56"/>
      <c r="Z1574" s="56"/>
      <c r="AA1574" s="56"/>
      <c r="AB1574" s="56"/>
      <c r="AC1574" s="56"/>
    </row>
    <row r="1575" spans="1:29" ht="15.75" customHeight="1">
      <c r="A1575" s="39"/>
      <c r="B1575" s="107"/>
      <c r="C1575" s="109"/>
      <c r="D1575" s="76"/>
      <c r="E1575" s="64"/>
      <c r="F1575" s="39"/>
      <c r="G1575" s="399">
        <f>IFERROR(VLOOKUP(A1575,醫療院所DATABASE!A:B,2,""),)</f>
        <v>0</v>
      </c>
      <c r="H1575" s="64"/>
      <c r="I1575" s="109"/>
      <c r="J1575" s="109"/>
      <c r="K1575" s="39"/>
      <c r="L1575" s="76"/>
      <c r="M1575" s="39"/>
      <c r="N1575" s="39"/>
      <c r="O1575" s="24"/>
      <c r="P1575" s="409"/>
      <c r="Q1575" s="76"/>
      <c r="R1575" s="76"/>
      <c r="S1575" s="24"/>
      <c r="T1575" s="24"/>
      <c r="U1575" s="64"/>
      <c r="V1575" s="56"/>
      <c r="W1575" s="56"/>
      <c r="X1575" s="56"/>
      <c r="Y1575" s="56"/>
      <c r="Z1575" s="56"/>
      <c r="AA1575" s="56"/>
      <c r="AB1575" s="56"/>
      <c r="AC1575" s="56"/>
    </row>
    <row r="1576" spans="1:29" ht="15.75" customHeight="1">
      <c r="A1576" s="39"/>
      <c r="B1576" s="107"/>
      <c r="C1576" s="109"/>
      <c r="D1576" s="76"/>
      <c r="E1576" s="64"/>
      <c r="F1576" s="39"/>
      <c r="G1576" s="399">
        <f>IFERROR(VLOOKUP(A1576,醫療院所DATABASE!A:B,2,""),)</f>
        <v>0</v>
      </c>
      <c r="H1576" s="64"/>
      <c r="I1576" s="109"/>
      <c r="J1576" s="109"/>
      <c r="K1576" s="39"/>
      <c r="L1576" s="76"/>
      <c r="M1576" s="39"/>
      <c r="N1576" s="39"/>
      <c r="O1576" s="24"/>
      <c r="P1576" s="409"/>
      <c r="Q1576" s="76"/>
      <c r="R1576" s="76"/>
      <c r="S1576" s="24"/>
      <c r="T1576" s="24"/>
      <c r="U1576" s="64"/>
      <c r="V1576" s="56"/>
      <c r="W1576" s="56"/>
      <c r="X1576" s="56"/>
      <c r="Y1576" s="56"/>
      <c r="Z1576" s="56"/>
      <c r="AA1576" s="56"/>
      <c r="AB1576" s="56"/>
      <c r="AC1576" s="56"/>
    </row>
    <row r="1577" spans="1:29" ht="15.75" customHeight="1">
      <c r="A1577" s="39"/>
      <c r="B1577" s="107"/>
      <c r="C1577" s="109"/>
      <c r="D1577" s="76"/>
      <c r="E1577" s="64"/>
      <c r="F1577" s="39"/>
      <c r="G1577" s="399">
        <f>IFERROR(VLOOKUP(A1577,醫療院所DATABASE!A:B,2,""),)</f>
        <v>0</v>
      </c>
      <c r="H1577" s="64"/>
      <c r="I1577" s="109"/>
      <c r="J1577" s="109"/>
      <c r="K1577" s="39"/>
      <c r="L1577" s="76"/>
      <c r="M1577" s="39"/>
      <c r="N1577" s="39"/>
      <c r="O1577" s="24"/>
      <c r="P1577" s="409"/>
      <c r="Q1577" s="76"/>
      <c r="R1577" s="76"/>
      <c r="S1577" s="24"/>
      <c r="T1577" s="24"/>
      <c r="U1577" s="64"/>
      <c r="V1577" s="56"/>
      <c r="W1577" s="56"/>
      <c r="X1577" s="56"/>
      <c r="Y1577" s="56"/>
      <c r="Z1577" s="56"/>
      <c r="AA1577" s="56"/>
      <c r="AB1577" s="56"/>
      <c r="AC1577" s="56"/>
    </row>
    <row r="1578" spans="1:29" ht="15.75" customHeight="1">
      <c r="A1578" s="39"/>
      <c r="B1578" s="107"/>
      <c r="C1578" s="109"/>
      <c r="D1578" s="76"/>
      <c r="E1578" s="64"/>
      <c r="F1578" s="39"/>
      <c r="G1578" s="399">
        <f>IFERROR(VLOOKUP(A1578,醫療院所DATABASE!A:B,2,""),)</f>
        <v>0</v>
      </c>
      <c r="H1578" s="64"/>
      <c r="I1578" s="109"/>
      <c r="J1578" s="109"/>
      <c r="K1578" s="39"/>
      <c r="L1578" s="76"/>
      <c r="M1578" s="39"/>
      <c r="N1578" s="39"/>
      <c r="O1578" s="24"/>
      <c r="P1578" s="409"/>
      <c r="Q1578" s="76"/>
      <c r="R1578" s="76"/>
      <c r="S1578" s="24"/>
      <c r="T1578" s="24"/>
      <c r="U1578" s="64"/>
      <c r="V1578" s="56"/>
      <c r="W1578" s="56"/>
      <c r="X1578" s="56"/>
      <c r="Y1578" s="56"/>
      <c r="Z1578" s="56"/>
      <c r="AA1578" s="56"/>
      <c r="AB1578" s="56"/>
      <c r="AC1578" s="56"/>
    </row>
    <row r="1579" spans="1:29" ht="15.75" customHeight="1">
      <c r="A1579" s="39"/>
      <c r="B1579" s="107"/>
      <c r="C1579" s="109"/>
      <c r="D1579" s="76"/>
      <c r="E1579" s="64"/>
      <c r="F1579" s="39"/>
      <c r="G1579" s="399">
        <f>IFERROR(VLOOKUP(A1579,醫療院所DATABASE!A:B,2,""),)</f>
        <v>0</v>
      </c>
      <c r="H1579" s="64"/>
      <c r="I1579" s="109"/>
      <c r="J1579" s="109"/>
      <c r="K1579" s="39"/>
      <c r="L1579" s="76"/>
      <c r="M1579" s="39"/>
      <c r="N1579" s="39"/>
      <c r="O1579" s="24"/>
      <c r="P1579" s="409"/>
      <c r="Q1579" s="76"/>
      <c r="R1579" s="76"/>
      <c r="S1579" s="24"/>
      <c r="T1579" s="24"/>
      <c r="U1579" s="64"/>
      <c r="V1579" s="56"/>
      <c r="W1579" s="56"/>
      <c r="X1579" s="56"/>
      <c r="Y1579" s="56"/>
      <c r="Z1579" s="56"/>
      <c r="AA1579" s="56"/>
      <c r="AB1579" s="56"/>
      <c r="AC1579" s="56"/>
    </row>
    <row r="1580" spans="1:29" ht="15.75" customHeight="1">
      <c r="A1580" s="39"/>
      <c r="B1580" s="107"/>
      <c r="C1580" s="109"/>
      <c r="D1580" s="76"/>
      <c r="E1580" s="64"/>
      <c r="F1580" s="39"/>
      <c r="G1580" s="399">
        <f>IFERROR(VLOOKUP(A1580,醫療院所DATABASE!A:B,2,""),)</f>
        <v>0</v>
      </c>
      <c r="H1580" s="64"/>
      <c r="I1580" s="109"/>
      <c r="J1580" s="109"/>
      <c r="K1580" s="39"/>
      <c r="L1580" s="76"/>
      <c r="M1580" s="39"/>
      <c r="N1580" s="39"/>
      <c r="O1580" s="24"/>
      <c r="P1580" s="409"/>
      <c r="Q1580" s="76"/>
      <c r="R1580" s="76"/>
      <c r="S1580" s="24"/>
      <c r="T1580" s="24"/>
      <c r="U1580" s="64"/>
      <c r="V1580" s="56"/>
      <c r="W1580" s="56"/>
      <c r="X1580" s="56"/>
      <c r="Y1580" s="56"/>
      <c r="Z1580" s="56"/>
      <c r="AA1580" s="56"/>
      <c r="AB1580" s="56"/>
      <c r="AC1580" s="56"/>
    </row>
    <row r="1581" spans="1:29" ht="15.75" customHeight="1">
      <c r="A1581" s="39"/>
      <c r="B1581" s="107"/>
      <c r="C1581" s="109"/>
      <c r="D1581" s="76"/>
      <c r="E1581" s="64"/>
      <c r="F1581" s="39"/>
      <c r="G1581" s="399">
        <f>IFERROR(VLOOKUP(A1581,醫療院所DATABASE!A:B,2,""),)</f>
        <v>0</v>
      </c>
      <c r="H1581" s="64"/>
      <c r="I1581" s="109"/>
      <c r="J1581" s="109"/>
      <c r="K1581" s="39"/>
      <c r="L1581" s="76"/>
      <c r="M1581" s="39"/>
      <c r="N1581" s="39"/>
      <c r="O1581" s="24"/>
      <c r="P1581" s="409"/>
      <c r="Q1581" s="76"/>
      <c r="R1581" s="76"/>
      <c r="S1581" s="24"/>
      <c r="T1581" s="24"/>
      <c r="U1581" s="64"/>
      <c r="V1581" s="56"/>
      <c r="W1581" s="56"/>
      <c r="X1581" s="56"/>
      <c r="Y1581" s="56"/>
      <c r="Z1581" s="56"/>
      <c r="AA1581" s="56"/>
      <c r="AB1581" s="56"/>
      <c r="AC1581" s="56"/>
    </row>
    <row r="1582" spans="1:29" ht="15.75" customHeight="1">
      <c r="A1582" s="39"/>
      <c r="B1582" s="107"/>
      <c r="C1582" s="109"/>
      <c r="D1582" s="76"/>
      <c r="E1582" s="64"/>
      <c r="F1582" s="39"/>
      <c r="G1582" s="399">
        <f>IFERROR(VLOOKUP(A1582,醫療院所DATABASE!A:B,2,""),)</f>
        <v>0</v>
      </c>
      <c r="H1582" s="64"/>
      <c r="I1582" s="109"/>
      <c r="J1582" s="109"/>
      <c r="K1582" s="39"/>
      <c r="L1582" s="76"/>
      <c r="M1582" s="39"/>
      <c r="N1582" s="39"/>
      <c r="O1582" s="24"/>
      <c r="P1582" s="409"/>
      <c r="Q1582" s="76"/>
      <c r="R1582" s="76"/>
      <c r="S1582" s="24"/>
      <c r="T1582" s="24"/>
      <c r="U1582" s="64"/>
      <c r="V1582" s="56"/>
      <c r="W1582" s="56"/>
      <c r="X1582" s="56"/>
      <c r="Y1582" s="56"/>
      <c r="Z1582" s="56"/>
      <c r="AA1582" s="56"/>
      <c r="AB1582" s="56"/>
      <c r="AC1582" s="56"/>
    </row>
    <row r="1583" spans="1:29" ht="15.75" customHeight="1">
      <c r="A1583" s="39"/>
      <c r="B1583" s="107"/>
      <c r="C1583" s="109"/>
      <c r="D1583" s="76"/>
      <c r="E1583" s="64"/>
      <c r="F1583" s="39"/>
      <c r="G1583" s="399">
        <f>IFERROR(VLOOKUP(A1583,醫療院所DATABASE!A:B,2,""),)</f>
        <v>0</v>
      </c>
      <c r="H1583" s="64"/>
      <c r="I1583" s="109"/>
      <c r="J1583" s="109"/>
      <c r="K1583" s="39"/>
      <c r="L1583" s="76"/>
      <c r="M1583" s="39"/>
      <c r="N1583" s="39"/>
      <c r="O1583" s="24"/>
      <c r="P1583" s="409"/>
      <c r="Q1583" s="76"/>
      <c r="R1583" s="76"/>
      <c r="S1583" s="24"/>
      <c r="T1583" s="24"/>
      <c r="U1583" s="64"/>
      <c r="V1583" s="56"/>
      <c r="W1583" s="56"/>
      <c r="X1583" s="56"/>
      <c r="Y1583" s="56"/>
      <c r="Z1583" s="56"/>
      <c r="AA1583" s="56"/>
      <c r="AB1583" s="56"/>
      <c r="AC1583" s="56"/>
    </row>
    <row r="1584" spans="1:29" ht="15.75" customHeight="1">
      <c r="A1584" s="39"/>
      <c r="B1584" s="107"/>
      <c r="C1584" s="109"/>
      <c r="D1584" s="76"/>
      <c r="E1584" s="64"/>
      <c r="F1584" s="39"/>
      <c r="G1584" s="399">
        <f>IFERROR(VLOOKUP(A1584,醫療院所DATABASE!A:B,2,""),)</f>
        <v>0</v>
      </c>
      <c r="H1584" s="64"/>
      <c r="I1584" s="109"/>
      <c r="J1584" s="109"/>
      <c r="K1584" s="39"/>
      <c r="L1584" s="76"/>
      <c r="M1584" s="39"/>
      <c r="N1584" s="39"/>
      <c r="O1584" s="24"/>
      <c r="P1584" s="409"/>
      <c r="Q1584" s="76"/>
      <c r="R1584" s="76"/>
      <c r="S1584" s="24"/>
      <c r="T1584" s="24"/>
      <c r="U1584" s="64"/>
      <c r="V1584" s="56"/>
      <c r="W1584" s="56"/>
      <c r="X1584" s="56"/>
      <c r="Y1584" s="56"/>
      <c r="Z1584" s="56"/>
      <c r="AA1584" s="56"/>
      <c r="AB1584" s="56"/>
      <c r="AC1584" s="56"/>
    </row>
    <row r="1585" spans="1:29" ht="15.75" customHeight="1">
      <c r="A1585" s="39"/>
      <c r="B1585" s="107"/>
      <c r="C1585" s="109"/>
      <c r="D1585" s="76"/>
      <c r="E1585" s="64"/>
      <c r="F1585" s="39"/>
      <c r="G1585" s="399">
        <f>IFERROR(VLOOKUP(A1585,醫療院所DATABASE!A:B,2,""),)</f>
        <v>0</v>
      </c>
      <c r="H1585" s="64"/>
      <c r="I1585" s="109"/>
      <c r="J1585" s="109"/>
      <c r="K1585" s="39"/>
      <c r="L1585" s="76"/>
      <c r="M1585" s="39"/>
      <c r="N1585" s="39"/>
      <c r="O1585" s="24"/>
      <c r="P1585" s="409"/>
      <c r="Q1585" s="76"/>
      <c r="R1585" s="76"/>
      <c r="S1585" s="24"/>
      <c r="T1585" s="24"/>
      <c r="U1585" s="64"/>
      <c r="V1585" s="56"/>
      <c r="W1585" s="56"/>
      <c r="X1585" s="56"/>
      <c r="Y1585" s="56"/>
      <c r="Z1585" s="56"/>
      <c r="AA1585" s="56"/>
      <c r="AB1585" s="56"/>
      <c r="AC1585" s="56"/>
    </row>
    <row r="1586" spans="1:29" ht="15.75" customHeight="1">
      <c r="A1586" s="39"/>
      <c r="B1586" s="107"/>
      <c r="C1586" s="109"/>
      <c r="D1586" s="76"/>
      <c r="E1586" s="64"/>
      <c r="F1586" s="39"/>
      <c r="G1586" s="399">
        <f>IFERROR(VLOOKUP(A1586,醫療院所DATABASE!A:B,2,""),)</f>
        <v>0</v>
      </c>
      <c r="H1586" s="64"/>
      <c r="I1586" s="109"/>
      <c r="J1586" s="109"/>
      <c r="K1586" s="39"/>
      <c r="L1586" s="76"/>
      <c r="M1586" s="39"/>
      <c r="N1586" s="39"/>
      <c r="O1586" s="24"/>
      <c r="P1586" s="409"/>
      <c r="Q1586" s="76"/>
      <c r="R1586" s="76"/>
      <c r="S1586" s="24"/>
      <c r="T1586" s="24"/>
      <c r="U1586" s="64"/>
      <c r="V1586" s="56"/>
      <c r="W1586" s="56"/>
      <c r="X1586" s="56"/>
      <c r="Y1586" s="56"/>
      <c r="Z1586" s="56"/>
      <c r="AA1586" s="56"/>
      <c r="AB1586" s="56"/>
      <c r="AC1586" s="56"/>
    </row>
    <row r="1587" spans="1:29" ht="15.75" customHeight="1">
      <c r="A1587" s="39"/>
      <c r="B1587" s="107"/>
      <c r="C1587" s="109"/>
      <c r="D1587" s="76"/>
      <c r="E1587" s="64"/>
      <c r="F1587" s="39"/>
      <c r="G1587" s="399">
        <f>IFERROR(VLOOKUP(A1587,醫療院所DATABASE!A:B,2,""),)</f>
        <v>0</v>
      </c>
      <c r="H1587" s="64"/>
      <c r="I1587" s="109"/>
      <c r="J1587" s="109"/>
      <c r="K1587" s="39"/>
      <c r="L1587" s="76"/>
      <c r="M1587" s="39"/>
      <c r="N1587" s="39"/>
      <c r="O1587" s="24"/>
      <c r="P1587" s="409"/>
      <c r="Q1587" s="76"/>
      <c r="R1587" s="76"/>
      <c r="S1587" s="24"/>
      <c r="T1587" s="24"/>
      <c r="U1587" s="64"/>
      <c r="V1587" s="56"/>
      <c r="W1587" s="56"/>
      <c r="X1587" s="56"/>
      <c r="Y1587" s="56"/>
      <c r="Z1587" s="56"/>
      <c r="AA1587" s="56"/>
      <c r="AB1587" s="56"/>
      <c r="AC1587" s="56"/>
    </row>
    <row r="1588" spans="1:29" ht="15.75" customHeight="1">
      <c r="A1588" s="39"/>
      <c r="B1588" s="107"/>
      <c r="C1588" s="109"/>
      <c r="D1588" s="76"/>
      <c r="E1588" s="64"/>
      <c r="F1588" s="39"/>
      <c r="G1588" s="399">
        <f>IFERROR(VLOOKUP(A1588,醫療院所DATABASE!A:B,2,""),)</f>
        <v>0</v>
      </c>
      <c r="H1588" s="64"/>
      <c r="I1588" s="109"/>
      <c r="J1588" s="109"/>
      <c r="K1588" s="39"/>
      <c r="L1588" s="76"/>
      <c r="M1588" s="39"/>
      <c r="N1588" s="39"/>
      <c r="O1588" s="24"/>
      <c r="P1588" s="409"/>
      <c r="Q1588" s="76"/>
      <c r="R1588" s="76"/>
      <c r="S1588" s="24"/>
      <c r="T1588" s="24"/>
      <c r="U1588" s="64"/>
      <c r="V1588" s="56"/>
      <c r="W1588" s="56"/>
      <c r="X1588" s="56"/>
      <c r="Y1588" s="56"/>
      <c r="Z1588" s="56"/>
      <c r="AA1588" s="56"/>
      <c r="AB1588" s="56"/>
      <c r="AC1588" s="56"/>
    </row>
    <row r="1589" spans="1:29" ht="15.75" customHeight="1">
      <c r="A1589" s="39"/>
      <c r="B1589" s="107"/>
      <c r="C1589" s="109"/>
      <c r="D1589" s="76"/>
      <c r="E1589" s="64"/>
      <c r="F1589" s="39"/>
      <c r="G1589" s="399">
        <f>IFERROR(VLOOKUP(A1589,醫療院所DATABASE!A:B,2,""),)</f>
        <v>0</v>
      </c>
      <c r="H1589" s="64"/>
      <c r="I1589" s="109"/>
      <c r="J1589" s="109"/>
      <c r="K1589" s="39"/>
      <c r="L1589" s="76"/>
      <c r="M1589" s="39"/>
      <c r="N1589" s="39"/>
      <c r="O1589" s="24"/>
      <c r="P1589" s="409"/>
      <c r="Q1589" s="76"/>
      <c r="R1589" s="76"/>
      <c r="S1589" s="24"/>
      <c r="T1589" s="24"/>
      <c r="U1589" s="64"/>
      <c r="V1589" s="56"/>
      <c r="W1589" s="56"/>
      <c r="X1589" s="56"/>
      <c r="Y1589" s="56"/>
      <c r="Z1589" s="56"/>
      <c r="AA1589" s="56"/>
      <c r="AB1589" s="56"/>
      <c r="AC1589" s="56"/>
    </row>
    <row r="1590" spans="1:29" ht="15.75" customHeight="1">
      <c r="A1590" s="39"/>
      <c r="B1590" s="107"/>
      <c r="C1590" s="109"/>
      <c r="D1590" s="76"/>
      <c r="E1590" s="64"/>
      <c r="F1590" s="39"/>
      <c r="G1590" s="399">
        <f>IFERROR(VLOOKUP(A1590,醫療院所DATABASE!A:B,2,""),)</f>
        <v>0</v>
      </c>
      <c r="H1590" s="64"/>
      <c r="I1590" s="109"/>
      <c r="J1590" s="109"/>
      <c r="K1590" s="39"/>
      <c r="L1590" s="76"/>
      <c r="M1590" s="39"/>
      <c r="N1590" s="39"/>
      <c r="O1590" s="24"/>
      <c r="P1590" s="409"/>
      <c r="Q1590" s="76"/>
      <c r="R1590" s="76"/>
      <c r="S1590" s="24"/>
      <c r="T1590" s="24"/>
      <c r="U1590" s="64"/>
      <c r="V1590" s="56"/>
      <c r="W1590" s="56"/>
      <c r="X1590" s="56"/>
      <c r="Y1590" s="56"/>
      <c r="Z1590" s="56"/>
      <c r="AA1590" s="56"/>
      <c r="AB1590" s="56"/>
      <c r="AC1590" s="56"/>
    </row>
    <row r="1591" spans="1:29" ht="15.75" customHeight="1">
      <c r="A1591" s="39"/>
      <c r="B1591" s="107"/>
      <c r="C1591" s="109"/>
      <c r="D1591" s="76"/>
      <c r="E1591" s="64"/>
      <c r="F1591" s="39"/>
      <c r="G1591" s="399">
        <f>IFERROR(VLOOKUP(A1591,醫療院所DATABASE!A:B,2,""),)</f>
        <v>0</v>
      </c>
      <c r="H1591" s="64"/>
      <c r="I1591" s="109"/>
      <c r="J1591" s="109"/>
      <c r="K1591" s="39"/>
      <c r="L1591" s="76"/>
      <c r="M1591" s="39"/>
      <c r="N1591" s="39"/>
      <c r="O1591" s="24"/>
      <c r="P1591" s="409"/>
      <c r="Q1591" s="76"/>
      <c r="R1591" s="76"/>
      <c r="S1591" s="24"/>
      <c r="T1591" s="24"/>
      <c r="U1591" s="64"/>
      <c r="V1591" s="56"/>
      <c r="W1591" s="56"/>
      <c r="X1591" s="56"/>
      <c r="Y1591" s="56"/>
      <c r="Z1591" s="56"/>
      <c r="AA1591" s="56"/>
      <c r="AB1591" s="56"/>
      <c r="AC1591" s="56"/>
    </row>
    <row r="1592" spans="1:29" ht="15.75" customHeight="1">
      <c r="A1592" s="39"/>
      <c r="B1592" s="107"/>
      <c r="C1592" s="109"/>
      <c r="D1592" s="76"/>
      <c r="E1592" s="64"/>
      <c r="F1592" s="39"/>
      <c r="G1592" s="399">
        <f>IFERROR(VLOOKUP(A1592,醫療院所DATABASE!A:B,2,""),)</f>
        <v>0</v>
      </c>
      <c r="H1592" s="64"/>
      <c r="I1592" s="109"/>
      <c r="J1592" s="109"/>
      <c r="K1592" s="39"/>
      <c r="L1592" s="76"/>
      <c r="M1592" s="39"/>
      <c r="N1592" s="39"/>
      <c r="O1592" s="24"/>
      <c r="P1592" s="409"/>
      <c r="Q1592" s="76"/>
      <c r="R1592" s="76"/>
      <c r="S1592" s="24"/>
      <c r="T1592" s="24"/>
      <c r="U1592" s="64"/>
      <c r="V1592" s="56"/>
      <c r="W1592" s="56"/>
      <c r="X1592" s="56"/>
      <c r="Y1592" s="56"/>
      <c r="Z1592" s="56"/>
      <c r="AA1592" s="56"/>
      <c r="AB1592" s="56"/>
      <c r="AC1592" s="56"/>
    </row>
    <row r="1593" spans="1:29" ht="15.75" customHeight="1">
      <c r="A1593" s="39"/>
      <c r="B1593" s="107"/>
      <c r="C1593" s="109"/>
      <c r="D1593" s="76"/>
      <c r="E1593" s="64"/>
      <c r="F1593" s="39"/>
      <c r="G1593" s="399">
        <f>IFERROR(VLOOKUP(A1593,醫療院所DATABASE!A:B,2,""),)</f>
        <v>0</v>
      </c>
      <c r="H1593" s="64"/>
      <c r="I1593" s="109"/>
      <c r="J1593" s="109"/>
      <c r="K1593" s="39"/>
      <c r="L1593" s="76"/>
      <c r="M1593" s="39"/>
      <c r="N1593" s="39"/>
      <c r="O1593" s="24"/>
      <c r="P1593" s="409"/>
      <c r="Q1593" s="76"/>
      <c r="R1593" s="76"/>
      <c r="S1593" s="24"/>
      <c r="T1593" s="24"/>
      <c r="U1593" s="64"/>
      <c r="V1593" s="56"/>
      <c r="W1593" s="56"/>
      <c r="X1593" s="56"/>
      <c r="Y1593" s="56"/>
      <c r="Z1593" s="56"/>
      <c r="AA1593" s="56"/>
      <c r="AB1593" s="56"/>
      <c r="AC1593" s="56"/>
    </row>
    <row r="1594" spans="1:29" ht="15.75" customHeight="1">
      <c r="A1594" s="39"/>
      <c r="B1594" s="107"/>
      <c r="C1594" s="109"/>
      <c r="D1594" s="76"/>
      <c r="E1594" s="64"/>
      <c r="F1594" s="39"/>
      <c r="G1594" s="399">
        <f>IFERROR(VLOOKUP(A1594,醫療院所DATABASE!A:B,2,""),)</f>
        <v>0</v>
      </c>
      <c r="H1594" s="64"/>
      <c r="I1594" s="109"/>
      <c r="J1594" s="109"/>
      <c r="K1594" s="39"/>
      <c r="L1594" s="76"/>
      <c r="M1594" s="39"/>
      <c r="N1594" s="39"/>
      <c r="O1594" s="24"/>
      <c r="P1594" s="409"/>
      <c r="Q1594" s="76"/>
      <c r="R1594" s="76"/>
      <c r="S1594" s="24"/>
      <c r="T1594" s="24"/>
      <c r="U1594" s="64"/>
      <c r="V1594" s="56"/>
      <c r="W1594" s="56"/>
      <c r="X1594" s="56"/>
      <c r="Y1594" s="56"/>
      <c r="Z1594" s="56"/>
      <c r="AA1594" s="56"/>
      <c r="AB1594" s="56"/>
      <c r="AC1594" s="56"/>
    </row>
    <row r="1595" spans="1:29" ht="15.75" customHeight="1">
      <c r="A1595" s="39"/>
      <c r="B1595" s="107"/>
      <c r="C1595" s="109"/>
      <c r="D1595" s="76"/>
      <c r="E1595" s="64"/>
      <c r="F1595" s="39"/>
      <c r="G1595" s="399">
        <f>IFERROR(VLOOKUP(A1595,醫療院所DATABASE!A:B,2,""),)</f>
        <v>0</v>
      </c>
      <c r="H1595" s="64"/>
      <c r="I1595" s="109"/>
      <c r="J1595" s="109"/>
      <c r="K1595" s="39"/>
      <c r="L1595" s="76"/>
      <c r="M1595" s="39"/>
      <c r="N1595" s="39"/>
      <c r="O1595" s="24"/>
      <c r="P1595" s="409"/>
      <c r="Q1595" s="76"/>
      <c r="R1595" s="76"/>
      <c r="S1595" s="24"/>
      <c r="T1595" s="24"/>
      <c r="U1595" s="64"/>
      <c r="V1595" s="56"/>
      <c r="W1595" s="56"/>
      <c r="X1595" s="56"/>
      <c r="Y1595" s="56"/>
      <c r="Z1595" s="56"/>
      <c r="AA1595" s="56"/>
      <c r="AB1595" s="56"/>
      <c r="AC1595" s="56"/>
    </row>
    <row r="1596" spans="1:29" ht="15.75" customHeight="1">
      <c r="A1596" s="39"/>
      <c r="B1596" s="107"/>
      <c r="C1596" s="109"/>
      <c r="D1596" s="76"/>
      <c r="E1596" s="64"/>
      <c r="F1596" s="39"/>
      <c r="G1596" s="399">
        <f>IFERROR(VLOOKUP(A1596,醫療院所DATABASE!A:B,2,""),)</f>
        <v>0</v>
      </c>
      <c r="H1596" s="64"/>
      <c r="I1596" s="109"/>
      <c r="J1596" s="109"/>
      <c r="K1596" s="39"/>
      <c r="L1596" s="76"/>
      <c r="M1596" s="39"/>
      <c r="N1596" s="39"/>
      <c r="O1596" s="24"/>
      <c r="P1596" s="409"/>
      <c r="Q1596" s="76"/>
      <c r="R1596" s="76"/>
      <c r="S1596" s="24"/>
      <c r="T1596" s="24"/>
      <c r="U1596" s="64"/>
      <c r="V1596" s="56"/>
      <c r="W1596" s="56"/>
      <c r="X1596" s="56"/>
      <c r="Y1596" s="56"/>
      <c r="Z1596" s="56"/>
      <c r="AA1596" s="56"/>
      <c r="AB1596" s="56"/>
      <c r="AC1596" s="56"/>
    </row>
    <row r="1597" spans="1:29" ht="15.75" customHeight="1">
      <c r="A1597" s="39"/>
      <c r="B1597" s="107"/>
      <c r="C1597" s="109"/>
      <c r="D1597" s="76"/>
      <c r="E1597" s="64"/>
      <c r="F1597" s="39"/>
      <c r="G1597" s="399">
        <f>IFERROR(VLOOKUP(A1597,醫療院所DATABASE!A:B,2,""),)</f>
        <v>0</v>
      </c>
      <c r="H1597" s="64"/>
      <c r="I1597" s="109"/>
      <c r="J1597" s="109"/>
      <c r="K1597" s="39"/>
      <c r="L1597" s="76"/>
      <c r="M1597" s="39"/>
      <c r="N1597" s="39"/>
      <c r="O1597" s="24"/>
      <c r="P1597" s="409"/>
      <c r="Q1597" s="76"/>
      <c r="R1597" s="76"/>
      <c r="S1597" s="24"/>
      <c r="T1597" s="24"/>
      <c r="U1597" s="64"/>
      <c r="V1597" s="56"/>
      <c r="W1597" s="56"/>
      <c r="X1597" s="56"/>
      <c r="Y1597" s="56"/>
      <c r="Z1597" s="56"/>
      <c r="AA1597" s="56"/>
      <c r="AB1597" s="56"/>
      <c r="AC1597" s="56"/>
    </row>
    <row r="1598" spans="1:29" ht="15.75" customHeight="1">
      <c r="A1598" s="39"/>
      <c r="B1598" s="107"/>
      <c r="C1598" s="109"/>
      <c r="D1598" s="76"/>
      <c r="E1598" s="64"/>
      <c r="F1598" s="39"/>
      <c r="G1598" s="399">
        <f>IFERROR(VLOOKUP(A1598,醫療院所DATABASE!A:B,2,""),)</f>
        <v>0</v>
      </c>
      <c r="H1598" s="64"/>
      <c r="I1598" s="109"/>
      <c r="J1598" s="109"/>
      <c r="K1598" s="39"/>
      <c r="L1598" s="76"/>
      <c r="M1598" s="39"/>
      <c r="N1598" s="39"/>
      <c r="O1598" s="24"/>
      <c r="P1598" s="409"/>
      <c r="Q1598" s="76"/>
      <c r="R1598" s="76"/>
      <c r="S1598" s="24"/>
      <c r="T1598" s="24"/>
      <c r="U1598" s="64"/>
      <c r="V1598" s="56"/>
      <c r="W1598" s="56"/>
      <c r="X1598" s="56"/>
      <c r="Y1598" s="56"/>
      <c r="Z1598" s="56"/>
      <c r="AA1598" s="56"/>
      <c r="AB1598" s="56"/>
      <c r="AC1598" s="56"/>
    </row>
    <row r="1599" spans="1:29" ht="15.75" customHeight="1">
      <c r="A1599" s="39"/>
      <c r="B1599" s="107"/>
      <c r="C1599" s="109"/>
      <c r="D1599" s="76"/>
      <c r="E1599" s="64"/>
      <c r="F1599" s="39"/>
      <c r="G1599" s="399">
        <f>IFERROR(VLOOKUP(A1599,醫療院所DATABASE!A:B,2,""),)</f>
        <v>0</v>
      </c>
      <c r="H1599" s="64"/>
      <c r="I1599" s="109"/>
      <c r="J1599" s="109"/>
      <c r="K1599" s="39"/>
      <c r="L1599" s="76"/>
      <c r="M1599" s="39"/>
      <c r="N1599" s="39"/>
      <c r="O1599" s="24"/>
      <c r="P1599" s="409"/>
      <c r="Q1599" s="76"/>
      <c r="R1599" s="76"/>
      <c r="S1599" s="24"/>
      <c r="T1599" s="24"/>
      <c r="U1599" s="64"/>
      <c r="V1599" s="56"/>
      <c r="W1599" s="56"/>
      <c r="X1599" s="56"/>
      <c r="Y1599" s="56"/>
      <c r="Z1599" s="56"/>
      <c r="AA1599" s="56"/>
      <c r="AB1599" s="56"/>
      <c r="AC1599" s="56"/>
    </row>
    <row r="1600" spans="1:29" ht="15.75" customHeight="1">
      <c r="A1600" s="39"/>
      <c r="B1600" s="107"/>
      <c r="C1600" s="109"/>
      <c r="D1600" s="76"/>
      <c r="E1600" s="64"/>
      <c r="F1600" s="39"/>
      <c r="G1600" s="399">
        <f>IFERROR(VLOOKUP(A1600,醫療院所DATABASE!A:B,2,""),)</f>
        <v>0</v>
      </c>
      <c r="H1600" s="64"/>
      <c r="I1600" s="109"/>
      <c r="J1600" s="109"/>
      <c r="K1600" s="39"/>
      <c r="L1600" s="76"/>
      <c r="M1600" s="39"/>
      <c r="N1600" s="39"/>
      <c r="O1600" s="24"/>
      <c r="P1600" s="409"/>
      <c r="Q1600" s="76"/>
      <c r="R1600" s="76"/>
      <c r="S1600" s="24"/>
      <c r="T1600" s="24"/>
      <c r="U1600" s="64"/>
      <c r="V1600" s="56"/>
      <c r="W1600" s="56"/>
      <c r="X1600" s="56"/>
      <c r="Y1600" s="56"/>
      <c r="Z1600" s="56"/>
      <c r="AA1600" s="56"/>
      <c r="AB1600" s="56"/>
      <c r="AC1600" s="56"/>
    </row>
    <row r="1601" spans="1:29" ht="15.75" customHeight="1">
      <c r="A1601" s="39"/>
      <c r="B1601" s="107"/>
      <c r="C1601" s="109"/>
      <c r="D1601" s="76"/>
      <c r="E1601" s="64"/>
      <c r="F1601" s="39"/>
      <c r="G1601" s="399">
        <f>IFERROR(VLOOKUP(A1601,醫療院所DATABASE!A:B,2,""),)</f>
        <v>0</v>
      </c>
      <c r="H1601" s="64"/>
      <c r="I1601" s="109"/>
      <c r="J1601" s="109"/>
      <c r="K1601" s="39"/>
      <c r="L1601" s="76"/>
      <c r="M1601" s="39"/>
      <c r="N1601" s="39"/>
      <c r="O1601" s="24"/>
      <c r="P1601" s="409"/>
      <c r="Q1601" s="76"/>
      <c r="R1601" s="76"/>
      <c r="S1601" s="24"/>
      <c r="T1601" s="24"/>
      <c r="U1601" s="64"/>
      <c r="V1601" s="56"/>
      <c r="W1601" s="56"/>
      <c r="X1601" s="56"/>
      <c r="Y1601" s="56"/>
      <c r="Z1601" s="56"/>
      <c r="AA1601" s="56"/>
      <c r="AB1601" s="56"/>
      <c r="AC1601" s="56"/>
    </row>
    <row r="1602" spans="1:29" ht="15.75" customHeight="1">
      <c r="A1602" s="39"/>
      <c r="B1602" s="107"/>
      <c r="C1602" s="109"/>
      <c r="D1602" s="76"/>
      <c r="E1602" s="64"/>
      <c r="F1602" s="39"/>
      <c r="G1602" s="399">
        <f>IFERROR(VLOOKUP(A1602,醫療院所DATABASE!A:B,2,""),)</f>
        <v>0</v>
      </c>
      <c r="H1602" s="64"/>
      <c r="I1602" s="109"/>
      <c r="J1602" s="109"/>
      <c r="K1602" s="39"/>
      <c r="L1602" s="76"/>
      <c r="M1602" s="39"/>
      <c r="N1602" s="39"/>
      <c r="O1602" s="24"/>
      <c r="P1602" s="409"/>
      <c r="Q1602" s="76"/>
      <c r="R1602" s="76"/>
      <c r="S1602" s="24"/>
      <c r="T1602" s="24"/>
      <c r="U1602" s="64"/>
      <c r="V1602" s="56"/>
      <c r="W1602" s="56"/>
      <c r="X1602" s="56"/>
      <c r="Y1602" s="56"/>
      <c r="Z1602" s="56"/>
      <c r="AA1602" s="56"/>
      <c r="AB1602" s="56"/>
      <c r="AC1602" s="56"/>
    </row>
    <row r="1603" spans="1:29" ht="15.75" customHeight="1">
      <c r="A1603" s="39"/>
      <c r="B1603" s="107"/>
      <c r="C1603" s="109"/>
      <c r="D1603" s="76"/>
      <c r="E1603" s="64"/>
      <c r="F1603" s="39"/>
      <c r="G1603" s="399">
        <f>IFERROR(VLOOKUP(A1603,醫療院所DATABASE!A:B,2,""),)</f>
        <v>0</v>
      </c>
      <c r="H1603" s="64"/>
      <c r="I1603" s="109"/>
      <c r="J1603" s="109"/>
      <c r="K1603" s="39"/>
      <c r="L1603" s="76"/>
      <c r="M1603" s="39"/>
      <c r="N1603" s="39"/>
      <c r="O1603" s="24"/>
      <c r="P1603" s="409"/>
      <c r="Q1603" s="76"/>
      <c r="R1603" s="76"/>
      <c r="S1603" s="24"/>
      <c r="T1603" s="24"/>
      <c r="U1603" s="64"/>
      <c r="V1603" s="56"/>
      <c r="W1603" s="56"/>
      <c r="X1603" s="56"/>
      <c r="Y1603" s="56"/>
      <c r="Z1603" s="56"/>
      <c r="AA1603" s="56"/>
      <c r="AB1603" s="56"/>
      <c r="AC1603" s="56"/>
    </row>
    <row r="1604" spans="1:29" ht="15.75" customHeight="1">
      <c r="A1604" s="39"/>
      <c r="B1604" s="107"/>
      <c r="C1604" s="109"/>
      <c r="D1604" s="76"/>
      <c r="E1604" s="64"/>
      <c r="F1604" s="39"/>
      <c r="G1604" s="399">
        <f>IFERROR(VLOOKUP(A1604,醫療院所DATABASE!A:B,2,""),)</f>
        <v>0</v>
      </c>
      <c r="H1604" s="64"/>
      <c r="I1604" s="109"/>
      <c r="J1604" s="109"/>
      <c r="K1604" s="39"/>
      <c r="L1604" s="76"/>
      <c r="M1604" s="39"/>
      <c r="N1604" s="39"/>
      <c r="O1604" s="24"/>
      <c r="P1604" s="409"/>
      <c r="Q1604" s="76"/>
      <c r="R1604" s="76"/>
      <c r="S1604" s="24"/>
      <c r="T1604" s="24"/>
      <c r="U1604" s="64"/>
      <c r="V1604" s="56"/>
      <c r="W1604" s="56"/>
      <c r="X1604" s="56"/>
      <c r="Y1604" s="56"/>
      <c r="Z1604" s="56"/>
      <c r="AA1604" s="56"/>
      <c r="AB1604" s="56"/>
      <c r="AC1604" s="56"/>
    </row>
    <row r="1605" spans="1:29" ht="15.75" customHeight="1">
      <c r="A1605" s="39"/>
      <c r="B1605" s="107"/>
      <c r="C1605" s="109"/>
      <c r="D1605" s="76"/>
      <c r="E1605" s="64"/>
      <c r="F1605" s="39"/>
      <c r="G1605" s="399">
        <f>IFERROR(VLOOKUP(A1605,醫療院所DATABASE!A:B,2,""),)</f>
        <v>0</v>
      </c>
      <c r="H1605" s="64"/>
      <c r="I1605" s="109"/>
      <c r="J1605" s="109"/>
      <c r="K1605" s="39"/>
      <c r="L1605" s="76"/>
      <c r="M1605" s="39"/>
      <c r="N1605" s="39"/>
      <c r="O1605" s="24"/>
      <c r="P1605" s="409"/>
      <c r="Q1605" s="76"/>
      <c r="R1605" s="76"/>
      <c r="S1605" s="24"/>
      <c r="T1605" s="24"/>
      <c r="U1605" s="64"/>
      <c r="V1605" s="56"/>
      <c r="W1605" s="56"/>
      <c r="X1605" s="56"/>
      <c r="Y1605" s="56"/>
      <c r="Z1605" s="56"/>
      <c r="AA1605" s="56"/>
      <c r="AB1605" s="56"/>
      <c r="AC1605" s="56"/>
    </row>
    <row r="1606" spans="1:29" ht="15.75" customHeight="1">
      <c r="A1606" s="39"/>
      <c r="B1606" s="107"/>
      <c r="C1606" s="109"/>
      <c r="D1606" s="76"/>
      <c r="E1606" s="64"/>
      <c r="F1606" s="39"/>
      <c r="G1606" s="399">
        <f>IFERROR(VLOOKUP(A1606,醫療院所DATABASE!A:B,2,""),)</f>
        <v>0</v>
      </c>
      <c r="H1606" s="64"/>
      <c r="I1606" s="109"/>
      <c r="J1606" s="109"/>
      <c r="K1606" s="39"/>
      <c r="L1606" s="76"/>
      <c r="M1606" s="39"/>
      <c r="N1606" s="39"/>
      <c r="O1606" s="24"/>
      <c r="P1606" s="409"/>
      <c r="Q1606" s="76"/>
      <c r="R1606" s="76"/>
      <c r="S1606" s="24"/>
      <c r="T1606" s="24"/>
      <c r="U1606" s="64"/>
      <c r="V1606" s="56"/>
      <c r="W1606" s="56"/>
      <c r="X1606" s="56"/>
      <c r="Y1606" s="56"/>
      <c r="Z1606" s="56"/>
      <c r="AA1606" s="56"/>
      <c r="AB1606" s="56"/>
      <c r="AC1606" s="56"/>
    </row>
    <row r="1607" spans="1:29" ht="15.75" customHeight="1">
      <c r="A1607" s="39"/>
      <c r="B1607" s="107"/>
      <c r="C1607" s="109"/>
      <c r="D1607" s="76"/>
      <c r="E1607" s="64"/>
      <c r="F1607" s="39"/>
      <c r="G1607" s="399">
        <f>IFERROR(VLOOKUP(A1607,醫療院所DATABASE!A:B,2,""),)</f>
        <v>0</v>
      </c>
      <c r="H1607" s="64"/>
      <c r="I1607" s="109"/>
      <c r="J1607" s="109"/>
      <c r="K1607" s="39"/>
      <c r="L1607" s="76"/>
      <c r="M1607" s="39"/>
      <c r="N1607" s="39"/>
      <c r="O1607" s="24"/>
      <c r="P1607" s="409"/>
      <c r="Q1607" s="76"/>
      <c r="R1607" s="76"/>
      <c r="S1607" s="24"/>
      <c r="T1607" s="24"/>
      <c r="U1607" s="64"/>
      <c r="V1607" s="56"/>
      <c r="W1607" s="56"/>
      <c r="X1607" s="56"/>
      <c r="Y1607" s="56"/>
      <c r="Z1607" s="56"/>
      <c r="AA1607" s="56"/>
      <c r="AB1607" s="56"/>
      <c r="AC1607" s="56"/>
    </row>
    <row r="1608" spans="1:29" ht="15.75" customHeight="1">
      <c r="A1608" s="39"/>
      <c r="B1608" s="107"/>
      <c r="C1608" s="109"/>
      <c r="D1608" s="76"/>
      <c r="E1608" s="64"/>
      <c r="F1608" s="39"/>
      <c r="G1608" s="399">
        <f>IFERROR(VLOOKUP(A1608,醫療院所DATABASE!A:B,2,""),)</f>
        <v>0</v>
      </c>
      <c r="H1608" s="64"/>
      <c r="I1608" s="109"/>
      <c r="J1608" s="109"/>
      <c r="K1608" s="39"/>
      <c r="L1608" s="76"/>
      <c r="M1608" s="39"/>
      <c r="N1608" s="39"/>
      <c r="O1608" s="24"/>
      <c r="P1608" s="409"/>
      <c r="Q1608" s="76"/>
      <c r="R1608" s="76"/>
      <c r="S1608" s="24"/>
      <c r="T1608" s="24"/>
      <c r="U1608" s="64"/>
      <c r="V1608" s="56"/>
      <c r="W1608" s="56"/>
      <c r="X1608" s="56"/>
      <c r="Y1608" s="56"/>
      <c r="Z1608" s="56"/>
      <c r="AA1608" s="56"/>
      <c r="AB1608" s="56"/>
      <c r="AC1608" s="56"/>
    </row>
    <row r="1609" spans="1:29" ht="15.75" customHeight="1">
      <c r="A1609" s="39"/>
      <c r="B1609" s="107"/>
      <c r="C1609" s="109"/>
      <c r="D1609" s="76"/>
      <c r="E1609" s="64"/>
      <c r="F1609" s="39"/>
      <c r="G1609" s="399">
        <f>IFERROR(VLOOKUP(A1609,醫療院所DATABASE!A:B,2,""),)</f>
        <v>0</v>
      </c>
      <c r="H1609" s="64"/>
      <c r="I1609" s="109"/>
      <c r="J1609" s="109"/>
      <c r="K1609" s="39"/>
      <c r="L1609" s="76"/>
      <c r="M1609" s="39"/>
      <c r="N1609" s="39"/>
      <c r="O1609" s="24"/>
      <c r="P1609" s="409"/>
      <c r="Q1609" s="76"/>
      <c r="R1609" s="76"/>
      <c r="S1609" s="24"/>
      <c r="T1609" s="24"/>
      <c r="U1609" s="64"/>
      <c r="V1609" s="56"/>
      <c r="W1609" s="56"/>
      <c r="X1609" s="56"/>
      <c r="Y1609" s="56"/>
      <c r="Z1609" s="56"/>
      <c r="AA1609" s="56"/>
      <c r="AB1609" s="56"/>
      <c r="AC1609" s="56"/>
    </row>
    <row r="1610" spans="1:29" ht="15.75" customHeight="1">
      <c r="A1610" s="39"/>
      <c r="B1610" s="107"/>
      <c r="C1610" s="109"/>
      <c r="D1610" s="76"/>
      <c r="E1610" s="64"/>
      <c r="F1610" s="39"/>
      <c r="G1610" s="399">
        <f>IFERROR(VLOOKUP(A1610,醫療院所DATABASE!A:B,2,""),)</f>
        <v>0</v>
      </c>
      <c r="H1610" s="64"/>
      <c r="I1610" s="109"/>
      <c r="J1610" s="109"/>
      <c r="K1610" s="39"/>
      <c r="L1610" s="76"/>
      <c r="M1610" s="39"/>
      <c r="N1610" s="39"/>
      <c r="O1610" s="24"/>
      <c r="P1610" s="409"/>
      <c r="Q1610" s="76"/>
      <c r="R1610" s="76"/>
      <c r="S1610" s="24"/>
      <c r="T1610" s="24"/>
      <c r="U1610" s="64"/>
      <c r="V1610" s="56"/>
      <c r="W1610" s="56"/>
      <c r="X1610" s="56"/>
      <c r="Y1610" s="56"/>
      <c r="Z1610" s="56"/>
      <c r="AA1610" s="56"/>
      <c r="AB1610" s="56"/>
      <c r="AC1610" s="56"/>
    </row>
    <row r="1611" spans="1:29" ht="15.75" customHeight="1">
      <c r="A1611" s="39"/>
      <c r="B1611" s="107"/>
      <c r="C1611" s="109"/>
      <c r="D1611" s="76"/>
      <c r="E1611" s="64"/>
      <c r="F1611" s="39"/>
      <c r="G1611" s="399">
        <f>IFERROR(VLOOKUP(A1611,醫療院所DATABASE!A:B,2,""),)</f>
        <v>0</v>
      </c>
      <c r="H1611" s="64"/>
      <c r="I1611" s="109"/>
      <c r="J1611" s="109"/>
      <c r="K1611" s="39"/>
      <c r="L1611" s="76"/>
      <c r="M1611" s="39"/>
      <c r="N1611" s="39"/>
      <c r="O1611" s="24"/>
      <c r="P1611" s="409"/>
      <c r="Q1611" s="76"/>
      <c r="R1611" s="76"/>
      <c r="S1611" s="24"/>
      <c r="T1611" s="24"/>
      <c r="U1611" s="64"/>
      <c r="V1611" s="56"/>
      <c r="W1611" s="56"/>
      <c r="X1611" s="56"/>
      <c r="Y1611" s="56"/>
      <c r="Z1611" s="56"/>
      <c r="AA1611" s="56"/>
      <c r="AB1611" s="56"/>
      <c r="AC1611" s="56"/>
    </row>
    <row r="1612" spans="1:29" ht="15.75" customHeight="1">
      <c r="A1612" s="39"/>
      <c r="B1612" s="107"/>
      <c r="C1612" s="109"/>
      <c r="D1612" s="76"/>
      <c r="E1612" s="64"/>
      <c r="F1612" s="39"/>
      <c r="G1612" s="399">
        <f>IFERROR(VLOOKUP(A1612,醫療院所DATABASE!A:B,2,""),)</f>
        <v>0</v>
      </c>
      <c r="H1612" s="64"/>
      <c r="I1612" s="109"/>
      <c r="J1612" s="109"/>
      <c r="K1612" s="39"/>
      <c r="L1612" s="76"/>
      <c r="M1612" s="39"/>
      <c r="N1612" s="39"/>
      <c r="O1612" s="24"/>
      <c r="P1612" s="409"/>
      <c r="Q1612" s="76"/>
      <c r="R1612" s="76"/>
      <c r="S1612" s="24"/>
      <c r="T1612" s="24"/>
      <c r="U1612" s="64"/>
      <c r="V1612" s="56"/>
      <c r="W1612" s="56"/>
      <c r="X1612" s="56"/>
      <c r="Y1612" s="56"/>
      <c r="Z1612" s="56"/>
      <c r="AA1612" s="56"/>
      <c r="AB1612" s="56"/>
      <c r="AC1612" s="56"/>
    </row>
    <row r="1613" spans="1:29" ht="15.75" customHeight="1">
      <c r="A1613" s="39"/>
      <c r="B1613" s="107"/>
      <c r="C1613" s="109"/>
      <c r="D1613" s="76"/>
      <c r="E1613" s="64"/>
      <c r="F1613" s="39"/>
      <c r="G1613" s="399">
        <f>IFERROR(VLOOKUP(A1613,醫療院所DATABASE!A:B,2,""),)</f>
        <v>0</v>
      </c>
      <c r="H1613" s="64"/>
      <c r="I1613" s="109"/>
      <c r="J1613" s="109"/>
      <c r="K1613" s="39"/>
      <c r="L1613" s="76"/>
      <c r="M1613" s="39"/>
      <c r="N1613" s="39"/>
      <c r="O1613" s="24"/>
      <c r="P1613" s="409"/>
      <c r="Q1613" s="76"/>
      <c r="R1613" s="76"/>
      <c r="S1613" s="24"/>
      <c r="T1613" s="24"/>
      <c r="U1613" s="64"/>
      <c r="V1613" s="56"/>
      <c r="W1613" s="56"/>
      <c r="X1613" s="56"/>
      <c r="Y1613" s="56"/>
      <c r="Z1613" s="56"/>
      <c r="AA1613" s="56"/>
      <c r="AB1613" s="56"/>
      <c r="AC1613" s="56"/>
    </row>
    <row r="1614" spans="1:29" ht="15.75" customHeight="1">
      <c r="A1614" s="39"/>
      <c r="B1614" s="107"/>
      <c r="C1614" s="109"/>
      <c r="D1614" s="76"/>
      <c r="E1614" s="64"/>
      <c r="F1614" s="39"/>
      <c r="G1614" s="399">
        <f>IFERROR(VLOOKUP(A1614,醫療院所DATABASE!A:B,2,""),)</f>
        <v>0</v>
      </c>
      <c r="H1614" s="64"/>
      <c r="I1614" s="109"/>
      <c r="J1614" s="109"/>
      <c r="K1614" s="39"/>
      <c r="L1614" s="76"/>
      <c r="M1614" s="39"/>
      <c r="N1614" s="39"/>
      <c r="O1614" s="24"/>
      <c r="P1614" s="409"/>
      <c r="Q1614" s="76"/>
      <c r="R1614" s="76"/>
      <c r="S1614" s="24"/>
      <c r="T1614" s="24"/>
      <c r="U1614" s="64"/>
      <c r="V1614" s="56"/>
      <c r="W1614" s="56"/>
      <c r="X1614" s="56"/>
      <c r="Y1614" s="56"/>
      <c r="Z1614" s="56"/>
      <c r="AA1614" s="56"/>
      <c r="AB1614" s="56"/>
      <c r="AC1614" s="56"/>
    </row>
    <row r="1615" spans="1:29" ht="15.75" customHeight="1">
      <c r="A1615" s="39"/>
      <c r="B1615" s="107"/>
      <c r="C1615" s="109"/>
      <c r="D1615" s="76"/>
      <c r="E1615" s="64"/>
      <c r="F1615" s="39"/>
      <c r="G1615" s="399">
        <f>IFERROR(VLOOKUP(A1615,醫療院所DATABASE!A:B,2,""),)</f>
        <v>0</v>
      </c>
      <c r="H1615" s="64"/>
      <c r="I1615" s="109"/>
      <c r="J1615" s="109"/>
      <c r="K1615" s="39"/>
      <c r="L1615" s="76"/>
      <c r="M1615" s="39"/>
      <c r="N1615" s="39"/>
      <c r="O1615" s="24"/>
      <c r="P1615" s="409"/>
      <c r="Q1615" s="76"/>
      <c r="R1615" s="76"/>
      <c r="S1615" s="24"/>
      <c r="T1615" s="24"/>
      <c r="U1615" s="64"/>
      <c r="V1615" s="56"/>
      <c r="W1615" s="56"/>
      <c r="X1615" s="56"/>
      <c r="Y1615" s="56"/>
      <c r="Z1615" s="56"/>
      <c r="AA1615" s="56"/>
      <c r="AB1615" s="56"/>
      <c r="AC1615" s="56"/>
    </row>
    <row r="1616" spans="1:29" ht="15.75" customHeight="1">
      <c r="A1616" s="39"/>
      <c r="B1616" s="107"/>
      <c r="C1616" s="109"/>
      <c r="D1616" s="76"/>
      <c r="E1616" s="64"/>
      <c r="F1616" s="39"/>
      <c r="G1616" s="399">
        <f>IFERROR(VLOOKUP(A1616,醫療院所DATABASE!A:B,2,""),)</f>
        <v>0</v>
      </c>
      <c r="H1616" s="64"/>
      <c r="I1616" s="109"/>
      <c r="J1616" s="109"/>
      <c r="K1616" s="39"/>
      <c r="L1616" s="76"/>
      <c r="M1616" s="39"/>
      <c r="N1616" s="39"/>
      <c r="O1616" s="24"/>
      <c r="P1616" s="409"/>
      <c r="Q1616" s="76"/>
      <c r="R1616" s="76"/>
      <c r="S1616" s="24"/>
      <c r="T1616" s="24"/>
      <c r="U1616" s="64"/>
      <c r="V1616" s="56"/>
      <c r="W1616" s="56"/>
      <c r="X1616" s="56"/>
      <c r="Y1616" s="56"/>
      <c r="Z1616" s="56"/>
      <c r="AA1616" s="56"/>
      <c r="AB1616" s="56"/>
      <c r="AC1616" s="56"/>
    </row>
    <row r="1617" spans="1:29" ht="15.75" customHeight="1">
      <c r="A1617" s="39"/>
      <c r="B1617" s="107"/>
      <c r="C1617" s="109"/>
      <c r="D1617" s="76"/>
      <c r="E1617" s="64"/>
      <c r="F1617" s="39"/>
      <c r="G1617" s="399">
        <f>IFERROR(VLOOKUP(A1617,醫療院所DATABASE!A:B,2,""),)</f>
        <v>0</v>
      </c>
      <c r="H1617" s="64"/>
      <c r="I1617" s="109"/>
      <c r="J1617" s="109"/>
      <c r="K1617" s="39"/>
      <c r="L1617" s="76"/>
      <c r="M1617" s="39"/>
      <c r="N1617" s="39"/>
      <c r="O1617" s="24"/>
      <c r="P1617" s="409"/>
      <c r="Q1617" s="76"/>
      <c r="R1617" s="76"/>
      <c r="S1617" s="24"/>
      <c r="T1617" s="24"/>
      <c r="U1617" s="64"/>
      <c r="V1617" s="56"/>
      <c r="W1617" s="56"/>
      <c r="X1617" s="56"/>
      <c r="Y1617" s="56"/>
      <c r="Z1617" s="56"/>
      <c r="AA1617" s="56"/>
      <c r="AB1617" s="56"/>
      <c r="AC1617" s="56"/>
    </row>
    <row r="1618" spans="1:29" ht="15.75" customHeight="1">
      <c r="A1618" s="39"/>
      <c r="B1618" s="107"/>
      <c r="C1618" s="109"/>
      <c r="D1618" s="76"/>
      <c r="E1618" s="64"/>
      <c r="F1618" s="39"/>
      <c r="G1618" s="399">
        <f>IFERROR(VLOOKUP(A1618,醫療院所DATABASE!A:B,2,""),)</f>
        <v>0</v>
      </c>
      <c r="H1618" s="64"/>
      <c r="I1618" s="109"/>
      <c r="J1618" s="109"/>
      <c r="K1618" s="39"/>
      <c r="L1618" s="76"/>
      <c r="M1618" s="39"/>
      <c r="N1618" s="39"/>
      <c r="O1618" s="24"/>
      <c r="P1618" s="409"/>
      <c r="Q1618" s="76"/>
      <c r="R1618" s="76"/>
      <c r="S1618" s="24"/>
      <c r="T1618" s="24"/>
      <c r="U1618" s="64"/>
      <c r="V1618" s="56"/>
      <c r="W1618" s="56"/>
      <c r="X1618" s="56"/>
      <c r="Y1618" s="56"/>
      <c r="Z1618" s="56"/>
      <c r="AA1618" s="56"/>
      <c r="AB1618" s="56"/>
      <c r="AC1618" s="56"/>
    </row>
    <row r="1619" spans="1:29" ht="15.75" customHeight="1">
      <c r="A1619" s="39"/>
      <c r="B1619" s="107"/>
      <c r="C1619" s="109"/>
      <c r="D1619" s="76"/>
      <c r="E1619" s="64"/>
      <c r="F1619" s="39"/>
      <c r="G1619" s="399">
        <f>IFERROR(VLOOKUP(A1619,醫療院所DATABASE!A:B,2,""),)</f>
        <v>0</v>
      </c>
      <c r="H1619" s="64"/>
      <c r="I1619" s="109"/>
      <c r="J1619" s="109"/>
      <c r="K1619" s="39"/>
      <c r="L1619" s="76"/>
      <c r="M1619" s="39"/>
      <c r="N1619" s="39"/>
      <c r="O1619" s="24"/>
      <c r="P1619" s="409"/>
      <c r="Q1619" s="76"/>
      <c r="R1619" s="76"/>
      <c r="S1619" s="24"/>
      <c r="T1619" s="24"/>
      <c r="U1619" s="64"/>
      <c r="V1619" s="56"/>
      <c r="W1619" s="56"/>
      <c r="X1619" s="56"/>
      <c r="Y1619" s="56"/>
      <c r="Z1619" s="56"/>
      <c r="AA1619" s="56"/>
      <c r="AB1619" s="56"/>
      <c r="AC1619" s="56"/>
    </row>
    <row r="1620" spans="1:29" ht="15.75" customHeight="1">
      <c r="A1620" s="39"/>
      <c r="B1620" s="107"/>
      <c r="C1620" s="109"/>
      <c r="D1620" s="76"/>
      <c r="E1620" s="64"/>
      <c r="F1620" s="39"/>
      <c r="G1620" s="399">
        <f>IFERROR(VLOOKUP(A1620,醫療院所DATABASE!A:B,2,""),)</f>
        <v>0</v>
      </c>
      <c r="H1620" s="64"/>
      <c r="I1620" s="109"/>
      <c r="J1620" s="109"/>
      <c r="K1620" s="39"/>
      <c r="L1620" s="76"/>
      <c r="M1620" s="39"/>
      <c r="N1620" s="39"/>
      <c r="O1620" s="24"/>
      <c r="P1620" s="409"/>
      <c r="Q1620" s="76"/>
      <c r="R1620" s="76"/>
      <c r="S1620" s="24"/>
      <c r="T1620" s="24"/>
      <c r="U1620" s="64"/>
      <c r="V1620" s="56"/>
      <c r="W1620" s="56"/>
      <c r="X1620" s="56"/>
      <c r="Y1620" s="56"/>
      <c r="Z1620" s="56"/>
      <c r="AA1620" s="56"/>
      <c r="AB1620" s="56"/>
      <c r="AC1620" s="56"/>
    </row>
    <row r="1621" spans="1:29" ht="15.75" customHeight="1">
      <c r="A1621" s="39"/>
      <c r="B1621" s="107"/>
      <c r="C1621" s="109"/>
      <c r="D1621" s="76"/>
      <c r="E1621" s="64"/>
      <c r="F1621" s="39"/>
      <c r="G1621" s="399">
        <f>IFERROR(VLOOKUP(A1621,醫療院所DATABASE!A:B,2,""),)</f>
        <v>0</v>
      </c>
      <c r="H1621" s="64"/>
      <c r="I1621" s="109"/>
      <c r="J1621" s="109"/>
      <c r="K1621" s="39"/>
      <c r="L1621" s="76"/>
      <c r="M1621" s="39"/>
      <c r="N1621" s="39"/>
      <c r="O1621" s="24"/>
      <c r="P1621" s="409"/>
      <c r="Q1621" s="76"/>
      <c r="R1621" s="76"/>
      <c r="S1621" s="24"/>
      <c r="T1621" s="24"/>
      <c r="U1621" s="64"/>
      <c r="V1621" s="56"/>
      <c r="W1621" s="56"/>
      <c r="X1621" s="56"/>
      <c r="Y1621" s="56"/>
      <c r="Z1621" s="56"/>
      <c r="AA1621" s="56"/>
      <c r="AB1621" s="56"/>
      <c r="AC1621" s="56"/>
    </row>
    <row r="1622" spans="1:29" ht="15.75" customHeight="1">
      <c r="A1622" s="39"/>
      <c r="B1622" s="107"/>
      <c r="C1622" s="109"/>
      <c r="D1622" s="76"/>
      <c r="E1622" s="64"/>
      <c r="F1622" s="39"/>
      <c r="G1622" s="399">
        <f>IFERROR(VLOOKUP(A1622,醫療院所DATABASE!A:B,2,""),)</f>
        <v>0</v>
      </c>
      <c r="H1622" s="64"/>
      <c r="I1622" s="109"/>
      <c r="J1622" s="109"/>
      <c r="K1622" s="39"/>
      <c r="L1622" s="76"/>
      <c r="M1622" s="39"/>
      <c r="N1622" s="39"/>
      <c r="O1622" s="24"/>
      <c r="P1622" s="409"/>
      <c r="Q1622" s="76"/>
      <c r="R1622" s="76"/>
      <c r="S1622" s="24"/>
      <c r="T1622" s="24"/>
      <c r="U1622" s="64"/>
      <c r="V1622" s="56"/>
      <c r="W1622" s="56"/>
      <c r="X1622" s="56"/>
      <c r="Y1622" s="56"/>
      <c r="Z1622" s="56"/>
      <c r="AA1622" s="56"/>
      <c r="AB1622" s="56"/>
      <c r="AC1622" s="56"/>
    </row>
    <row r="1623" spans="1:29" ht="15.75" customHeight="1">
      <c r="A1623" s="39"/>
      <c r="B1623" s="107"/>
      <c r="C1623" s="109"/>
      <c r="D1623" s="76"/>
      <c r="E1623" s="64"/>
      <c r="F1623" s="39"/>
      <c r="G1623" s="399">
        <f>IFERROR(VLOOKUP(A1623,醫療院所DATABASE!A:B,2,""),)</f>
        <v>0</v>
      </c>
      <c r="H1623" s="64"/>
      <c r="I1623" s="109"/>
      <c r="J1623" s="109"/>
      <c r="K1623" s="39"/>
      <c r="L1623" s="76"/>
      <c r="M1623" s="39"/>
      <c r="N1623" s="39"/>
      <c r="O1623" s="24"/>
      <c r="P1623" s="409"/>
      <c r="Q1623" s="76"/>
      <c r="R1623" s="76"/>
      <c r="S1623" s="24"/>
      <c r="T1623" s="24"/>
      <c r="U1623" s="64"/>
      <c r="V1623" s="56"/>
      <c r="W1623" s="56"/>
      <c r="X1623" s="56"/>
      <c r="Y1623" s="56"/>
      <c r="Z1623" s="56"/>
      <c r="AA1623" s="56"/>
      <c r="AB1623" s="56"/>
      <c r="AC1623" s="56"/>
    </row>
    <row r="1624" spans="1:29" ht="15.75" customHeight="1">
      <c r="A1624" s="39"/>
      <c r="B1624" s="107"/>
      <c r="C1624" s="109"/>
      <c r="D1624" s="76"/>
      <c r="E1624" s="64"/>
      <c r="F1624" s="39"/>
      <c r="G1624" s="399">
        <f>IFERROR(VLOOKUP(A1624,醫療院所DATABASE!A:B,2,""),)</f>
        <v>0</v>
      </c>
      <c r="H1624" s="64"/>
      <c r="I1624" s="109"/>
      <c r="J1624" s="109"/>
      <c r="K1624" s="39"/>
      <c r="L1624" s="76"/>
      <c r="M1624" s="39"/>
      <c r="N1624" s="39"/>
      <c r="O1624" s="24"/>
      <c r="P1624" s="409"/>
      <c r="Q1624" s="76"/>
      <c r="R1624" s="76"/>
      <c r="S1624" s="24"/>
      <c r="T1624" s="24"/>
      <c r="U1624" s="64"/>
      <c r="V1624" s="56"/>
      <c r="W1624" s="56"/>
      <c r="X1624" s="56"/>
      <c r="Y1624" s="56"/>
      <c r="Z1624" s="56"/>
      <c r="AA1624" s="56"/>
      <c r="AB1624" s="56"/>
      <c r="AC1624" s="56"/>
    </row>
    <row r="1625" spans="1:29" ht="15.75" customHeight="1">
      <c r="A1625" s="39"/>
      <c r="B1625" s="107"/>
      <c r="C1625" s="109"/>
      <c r="D1625" s="76"/>
      <c r="E1625" s="64"/>
      <c r="F1625" s="39"/>
      <c r="G1625" s="399">
        <f>IFERROR(VLOOKUP(A1625,醫療院所DATABASE!A:B,2,""),)</f>
        <v>0</v>
      </c>
      <c r="H1625" s="64"/>
      <c r="I1625" s="109"/>
      <c r="J1625" s="109"/>
      <c r="K1625" s="39"/>
      <c r="L1625" s="76"/>
      <c r="M1625" s="39"/>
      <c r="N1625" s="39"/>
      <c r="O1625" s="24"/>
      <c r="P1625" s="409"/>
      <c r="Q1625" s="76"/>
      <c r="R1625" s="76"/>
      <c r="S1625" s="24"/>
      <c r="T1625" s="24"/>
      <c r="U1625" s="64"/>
      <c r="V1625" s="56"/>
      <c r="W1625" s="56"/>
      <c r="X1625" s="56"/>
      <c r="Y1625" s="56"/>
      <c r="Z1625" s="56"/>
      <c r="AA1625" s="56"/>
      <c r="AB1625" s="56"/>
      <c r="AC1625" s="56"/>
    </row>
    <row r="1626" spans="1:29" ht="15.75" customHeight="1">
      <c r="A1626" s="39"/>
      <c r="B1626" s="107"/>
      <c r="C1626" s="109"/>
      <c r="D1626" s="76"/>
      <c r="E1626" s="64"/>
      <c r="F1626" s="39"/>
      <c r="G1626" s="399">
        <f>IFERROR(VLOOKUP(A1626,醫療院所DATABASE!A:B,2,""),)</f>
        <v>0</v>
      </c>
      <c r="H1626" s="64"/>
      <c r="I1626" s="109"/>
      <c r="J1626" s="109"/>
      <c r="K1626" s="39"/>
      <c r="L1626" s="76"/>
      <c r="M1626" s="39"/>
      <c r="N1626" s="39"/>
      <c r="O1626" s="24"/>
      <c r="P1626" s="409"/>
      <c r="Q1626" s="76"/>
      <c r="R1626" s="76"/>
      <c r="S1626" s="24"/>
      <c r="T1626" s="24"/>
      <c r="U1626" s="64"/>
      <c r="V1626" s="56"/>
      <c r="W1626" s="56"/>
      <c r="X1626" s="56"/>
      <c r="Y1626" s="56"/>
      <c r="Z1626" s="56"/>
      <c r="AA1626" s="56"/>
      <c r="AB1626" s="56"/>
      <c r="AC1626" s="56"/>
    </row>
    <row r="1627" spans="1:29" ht="15.75" customHeight="1">
      <c r="A1627" s="39"/>
      <c r="B1627" s="107"/>
      <c r="C1627" s="109"/>
      <c r="D1627" s="76"/>
      <c r="E1627" s="64"/>
      <c r="F1627" s="39"/>
      <c r="G1627" s="399">
        <f>IFERROR(VLOOKUP(A1627,醫療院所DATABASE!A:B,2,""),)</f>
        <v>0</v>
      </c>
      <c r="H1627" s="64"/>
      <c r="I1627" s="109"/>
      <c r="J1627" s="109"/>
      <c r="K1627" s="39"/>
      <c r="L1627" s="76"/>
      <c r="M1627" s="39"/>
      <c r="N1627" s="39"/>
      <c r="O1627" s="24"/>
      <c r="P1627" s="409"/>
      <c r="Q1627" s="76"/>
      <c r="R1627" s="76"/>
      <c r="S1627" s="24"/>
      <c r="T1627" s="24"/>
      <c r="U1627" s="64"/>
      <c r="V1627" s="56"/>
      <c r="W1627" s="56"/>
      <c r="X1627" s="56"/>
      <c r="Y1627" s="56"/>
      <c r="Z1627" s="56"/>
      <c r="AA1627" s="56"/>
      <c r="AB1627" s="56"/>
      <c r="AC1627" s="56"/>
    </row>
    <row r="1628" spans="1:29" ht="15.75" customHeight="1">
      <c r="A1628" s="39"/>
      <c r="B1628" s="107"/>
      <c r="C1628" s="109"/>
      <c r="D1628" s="76"/>
      <c r="E1628" s="64"/>
      <c r="F1628" s="39"/>
      <c r="G1628" s="399">
        <f>IFERROR(VLOOKUP(A1628,醫療院所DATABASE!A:B,2,""),)</f>
        <v>0</v>
      </c>
      <c r="H1628" s="64"/>
      <c r="I1628" s="109"/>
      <c r="J1628" s="109"/>
      <c r="K1628" s="39"/>
      <c r="L1628" s="76"/>
      <c r="M1628" s="39"/>
      <c r="N1628" s="39"/>
      <c r="O1628" s="24"/>
      <c r="P1628" s="409"/>
      <c r="Q1628" s="76"/>
      <c r="R1628" s="76"/>
      <c r="S1628" s="24"/>
      <c r="T1628" s="24"/>
      <c r="U1628" s="64"/>
      <c r="V1628" s="56"/>
      <c r="W1628" s="56"/>
      <c r="X1628" s="56"/>
      <c r="Y1628" s="56"/>
      <c r="Z1628" s="56"/>
      <c r="AA1628" s="56"/>
      <c r="AB1628" s="56"/>
      <c r="AC1628" s="56"/>
    </row>
    <row r="1629" spans="1:29" ht="15.75" customHeight="1">
      <c r="A1629" s="39"/>
      <c r="B1629" s="107"/>
      <c r="C1629" s="109"/>
      <c r="D1629" s="76"/>
      <c r="E1629" s="64"/>
      <c r="F1629" s="39"/>
      <c r="G1629" s="399">
        <f>IFERROR(VLOOKUP(A1629,醫療院所DATABASE!A:B,2,""),)</f>
        <v>0</v>
      </c>
      <c r="H1629" s="64"/>
      <c r="I1629" s="109"/>
      <c r="J1629" s="109"/>
      <c r="K1629" s="39"/>
      <c r="L1629" s="76"/>
      <c r="M1629" s="39"/>
      <c r="N1629" s="39"/>
      <c r="O1629" s="24"/>
      <c r="P1629" s="409"/>
      <c r="Q1629" s="76"/>
      <c r="R1629" s="76"/>
      <c r="S1629" s="24"/>
      <c r="T1629" s="24"/>
      <c r="U1629" s="64"/>
      <c r="V1629" s="56"/>
      <c r="W1629" s="56"/>
      <c r="X1629" s="56"/>
      <c r="Y1629" s="56"/>
      <c r="Z1629" s="56"/>
      <c r="AA1629" s="56"/>
      <c r="AB1629" s="56"/>
      <c r="AC1629" s="56"/>
    </row>
    <row r="1630" spans="1:29" ht="15.75" customHeight="1">
      <c r="A1630" s="39"/>
      <c r="B1630" s="107"/>
      <c r="C1630" s="109"/>
      <c r="D1630" s="76"/>
      <c r="E1630" s="64"/>
      <c r="F1630" s="39"/>
      <c r="G1630" s="399">
        <f>IFERROR(VLOOKUP(A1630,醫療院所DATABASE!A:B,2,""),)</f>
        <v>0</v>
      </c>
      <c r="H1630" s="64"/>
      <c r="I1630" s="109"/>
      <c r="J1630" s="109"/>
      <c r="K1630" s="39"/>
      <c r="L1630" s="76"/>
      <c r="M1630" s="39"/>
      <c r="N1630" s="39"/>
      <c r="O1630" s="24"/>
      <c r="P1630" s="409"/>
      <c r="Q1630" s="76"/>
      <c r="R1630" s="76"/>
      <c r="S1630" s="24"/>
      <c r="T1630" s="24"/>
      <c r="U1630" s="64"/>
      <c r="V1630" s="56"/>
      <c r="W1630" s="56"/>
      <c r="X1630" s="56"/>
      <c r="Y1630" s="56"/>
      <c r="Z1630" s="56"/>
      <c r="AA1630" s="56"/>
      <c r="AB1630" s="56"/>
      <c r="AC1630" s="56"/>
    </row>
    <row r="1631" spans="1:29" ht="15.75" customHeight="1">
      <c r="A1631" s="39"/>
      <c r="B1631" s="107"/>
      <c r="C1631" s="109"/>
      <c r="D1631" s="76"/>
      <c r="E1631" s="64"/>
      <c r="F1631" s="39"/>
      <c r="G1631" s="399">
        <f>IFERROR(VLOOKUP(A1631,醫療院所DATABASE!A:B,2,""),)</f>
        <v>0</v>
      </c>
      <c r="H1631" s="64"/>
      <c r="I1631" s="109"/>
      <c r="J1631" s="109"/>
      <c r="K1631" s="39"/>
      <c r="L1631" s="76"/>
      <c r="M1631" s="39"/>
      <c r="N1631" s="39"/>
      <c r="O1631" s="24"/>
      <c r="P1631" s="409"/>
      <c r="Q1631" s="76"/>
      <c r="R1631" s="76"/>
      <c r="S1631" s="24"/>
      <c r="T1631" s="24"/>
      <c r="U1631" s="64"/>
      <c r="V1631" s="56"/>
      <c r="W1631" s="56"/>
      <c r="X1631" s="56"/>
      <c r="Y1631" s="56"/>
      <c r="Z1631" s="56"/>
      <c r="AA1631" s="56"/>
      <c r="AB1631" s="56"/>
      <c r="AC1631" s="56"/>
    </row>
    <row r="1632" spans="1:29" ht="15.75" customHeight="1">
      <c r="A1632" s="39"/>
      <c r="B1632" s="107"/>
      <c r="C1632" s="109"/>
      <c r="D1632" s="76"/>
      <c r="E1632" s="64"/>
      <c r="F1632" s="39"/>
      <c r="G1632" s="399">
        <f>IFERROR(VLOOKUP(A1632,醫療院所DATABASE!A:B,2,""),)</f>
        <v>0</v>
      </c>
      <c r="H1632" s="64"/>
      <c r="I1632" s="109"/>
      <c r="J1632" s="109"/>
      <c r="K1632" s="39"/>
      <c r="L1632" s="76"/>
      <c r="M1632" s="39"/>
      <c r="N1632" s="39"/>
      <c r="O1632" s="24"/>
      <c r="P1632" s="409"/>
      <c r="Q1632" s="76"/>
      <c r="R1632" s="76"/>
      <c r="S1632" s="24"/>
      <c r="T1632" s="24"/>
      <c r="U1632" s="64"/>
      <c r="V1632" s="56"/>
      <c r="W1632" s="56"/>
      <c r="X1632" s="56"/>
      <c r="Y1632" s="56"/>
      <c r="Z1632" s="56"/>
      <c r="AA1632" s="56"/>
      <c r="AB1632" s="56"/>
      <c r="AC1632" s="56"/>
    </row>
    <row r="1633" spans="1:29" ht="15.75" customHeight="1">
      <c r="A1633" s="39"/>
      <c r="B1633" s="107"/>
      <c r="C1633" s="109"/>
      <c r="D1633" s="76"/>
      <c r="E1633" s="64"/>
      <c r="F1633" s="39"/>
      <c r="G1633" s="399">
        <f>IFERROR(VLOOKUP(A1633,醫療院所DATABASE!A:B,2,""),)</f>
        <v>0</v>
      </c>
      <c r="H1633" s="64"/>
      <c r="I1633" s="109"/>
      <c r="J1633" s="109"/>
      <c r="K1633" s="39"/>
      <c r="L1633" s="76"/>
      <c r="M1633" s="39"/>
      <c r="N1633" s="39"/>
      <c r="O1633" s="24"/>
      <c r="P1633" s="409"/>
      <c r="Q1633" s="76"/>
      <c r="R1633" s="76"/>
      <c r="S1633" s="24"/>
      <c r="T1633" s="24"/>
      <c r="U1633" s="64"/>
      <c r="V1633" s="56"/>
      <c r="W1633" s="56"/>
      <c r="X1633" s="56"/>
      <c r="Y1633" s="56"/>
      <c r="Z1633" s="56"/>
      <c r="AA1633" s="56"/>
      <c r="AB1633" s="56"/>
      <c r="AC1633" s="56"/>
    </row>
    <row r="1634" spans="1:29" ht="15.75" customHeight="1">
      <c r="A1634" s="39"/>
      <c r="B1634" s="107"/>
      <c r="C1634" s="109"/>
      <c r="D1634" s="76"/>
      <c r="E1634" s="64"/>
      <c r="F1634" s="39"/>
      <c r="G1634" s="399">
        <f>IFERROR(VLOOKUP(A1634,醫療院所DATABASE!A:B,2,""),)</f>
        <v>0</v>
      </c>
      <c r="H1634" s="64"/>
      <c r="I1634" s="109"/>
      <c r="J1634" s="109"/>
      <c r="K1634" s="39"/>
      <c r="L1634" s="76"/>
      <c r="M1634" s="39"/>
      <c r="N1634" s="39"/>
      <c r="O1634" s="24"/>
      <c r="P1634" s="409"/>
      <c r="Q1634" s="76"/>
      <c r="R1634" s="76"/>
      <c r="S1634" s="24"/>
      <c r="T1634" s="24"/>
      <c r="U1634" s="64"/>
      <c r="V1634" s="56"/>
      <c r="W1634" s="56"/>
      <c r="X1634" s="56"/>
      <c r="Y1634" s="56"/>
      <c r="Z1634" s="56"/>
      <c r="AA1634" s="56"/>
      <c r="AB1634" s="56"/>
      <c r="AC1634" s="56"/>
    </row>
    <row r="1635" spans="1:29" ht="15.75" customHeight="1">
      <c r="A1635" s="39"/>
      <c r="B1635" s="107"/>
      <c r="C1635" s="109"/>
      <c r="D1635" s="76"/>
      <c r="E1635" s="64"/>
      <c r="F1635" s="39"/>
      <c r="G1635" s="399">
        <f>IFERROR(VLOOKUP(A1635,醫療院所DATABASE!A:B,2,""),)</f>
        <v>0</v>
      </c>
      <c r="H1635" s="64"/>
      <c r="I1635" s="109"/>
      <c r="J1635" s="109"/>
      <c r="K1635" s="39"/>
      <c r="L1635" s="76"/>
      <c r="M1635" s="39"/>
      <c r="N1635" s="39"/>
      <c r="O1635" s="24"/>
      <c r="P1635" s="409"/>
      <c r="Q1635" s="76"/>
      <c r="R1635" s="76"/>
      <c r="S1635" s="24"/>
      <c r="T1635" s="24"/>
      <c r="U1635" s="64"/>
      <c r="V1635" s="56"/>
      <c r="W1635" s="56"/>
      <c r="X1635" s="56"/>
      <c r="Y1635" s="56"/>
      <c r="Z1635" s="56"/>
      <c r="AA1635" s="56"/>
      <c r="AB1635" s="56"/>
      <c r="AC1635" s="56"/>
    </row>
    <row r="1636" spans="1:29" ht="15.75" customHeight="1">
      <c r="A1636" s="39"/>
      <c r="B1636" s="107"/>
      <c r="C1636" s="109"/>
      <c r="D1636" s="76"/>
      <c r="E1636" s="64"/>
      <c r="F1636" s="39"/>
      <c r="G1636" s="399">
        <f>IFERROR(VLOOKUP(A1636,醫療院所DATABASE!A:B,2,""),)</f>
        <v>0</v>
      </c>
      <c r="H1636" s="64"/>
      <c r="I1636" s="109"/>
      <c r="J1636" s="109"/>
      <c r="K1636" s="39"/>
      <c r="L1636" s="76"/>
      <c r="M1636" s="39"/>
      <c r="N1636" s="39"/>
      <c r="O1636" s="24"/>
      <c r="P1636" s="409"/>
      <c r="Q1636" s="76"/>
      <c r="R1636" s="76"/>
      <c r="S1636" s="24"/>
      <c r="T1636" s="24"/>
      <c r="U1636" s="64"/>
      <c r="V1636" s="56"/>
      <c r="W1636" s="56"/>
      <c r="X1636" s="56"/>
      <c r="Y1636" s="56"/>
      <c r="Z1636" s="56"/>
      <c r="AA1636" s="56"/>
      <c r="AB1636" s="56"/>
      <c r="AC1636" s="56"/>
    </row>
    <row r="1637" spans="1:29" ht="15.75" customHeight="1">
      <c r="A1637" s="39"/>
      <c r="B1637" s="107"/>
      <c r="C1637" s="109"/>
      <c r="D1637" s="76"/>
      <c r="E1637" s="64"/>
      <c r="F1637" s="39"/>
      <c r="G1637" s="399">
        <f>IFERROR(VLOOKUP(A1637,醫療院所DATABASE!A:B,2,""),)</f>
        <v>0</v>
      </c>
      <c r="H1637" s="64"/>
      <c r="I1637" s="109"/>
      <c r="J1637" s="109"/>
      <c r="K1637" s="39"/>
      <c r="L1637" s="76"/>
      <c r="M1637" s="39"/>
      <c r="N1637" s="39"/>
      <c r="O1637" s="24"/>
      <c r="P1637" s="409"/>
      <c r="Q1637" s="76"/>
      <c r="R1637" s="76"/>
      <c r="S1637" s="24"/>
      <c r="T1637" s="24"/>
      <c r="U1637" s="64"/>
      <c r="V1637" s="56"/>
      <c r="W1637" s="56"/>
      <c r="X1637" s="56"/>
      <c r="Y1637" s="56"/>
      <c r="Z1637" s="56"/>
      <c r="AA1637" s="56"/>
      <c r="AB1637" s="56"/>
      <c r="AC1637" s="56"/>
    </row>
    <row r="1638" spans="1:29" ht="15.75" customHeight="1">
      <c r="A1638" s="39"/>
      <c r="B1638" s="107"/>
      <c r="C1638" s="109"/>
      <c r="D1638" s="76"/>
      <c r="E1638" s="64"/>
      <c r="F1638" s="39"/>
      <c r="G1638" s="399">
        <f>IFERROR(VLOOKUP(A1638,醫療院所DATABASE!A:B,2,""),)</f>
        <v>0</v>
      </c>
      <c r="H1638" s="64"/>
      <c r="I1638" s="109"/>
      <c r="J1638" s="109"/>
      <c r="K1638" s="39"/>
      <c r="L1638" s="76"/>
      <c r="M1638" s="39"/>
      <c r="N1638" s="39"/>
      <c r="O1638" s="24"/>
      <c r="P1638" s="409"/>
      <c r="Q1638" s="76"/>
      <c r="R1638" s="76"/>
      <c r="S1638" s="24"/>
      <c r="T1638" s="24"/>
      <c r="U1638" s="64"/>
      <c r="V1638" s="56"/>
      <c r="W1638" s="56"/>
      <c r="X1638" s="56"/>
      <c r="Y1638" s="56"/>
      <c r="Z1638" s="56"/>
      <c r="AA1638" s="56"/>
      <c r="AB1638" s="56"/>
      <c r="AC1638" s="56"/>
    </row>
    <row r="1639" spans="1:29" ht="15.75" customHeight="1">
      <c r="A1639" s="39"/>
      <c r="B1639" s="107"/>
      <c r="C1639" s="109"/>
      <c r="D1639" s="76"/>
      <c r="E1639" s="64"/>
      <c r="F1639" s="39"/>
      <c r="G1639" s="399">
        <f>IFERROR(VLOOKUP(A1639,醫療院所DATABASE!A:B,2,""),)</f>
        <v>0</v>
      </c>
      <c r="H1639" s="64"/>
      <c r="I1639" s="109"/>
      <c r="J1639" s="109"/>
      <c r="K1639" s="39"/>
      <c r="L1639" s="76"/>
      <c r="M1639" s="39"/>
      <c r="N1639" s="39"/>
      <c r="O1639" s="24"/>
      <c r="P1639" s="409"/>
      <c r="Q1639" s="76"/>
      <c r="R1639" s="76"/>
      <c r="S1639" s="24"/>
      <c r="T1639" s="24"/>
      <c r="U1639" s="64"/>
      <c r="V1639" s="56"/>
      <c r="W1639" s="56"/>
      <c r="X1639" s="56"/>
      <c r="Y1639" s="56"/>
      <c r="Z1639" s="56"/>
      <c r="AA1639" s="56"/>
      <c r="AB1639" s="56"/>
      <c r="AC1639" s="56"/>
    </row>
    <row r="1640" spans="1:29" ht="15.75" customHeight="1">
      <c r="A1640" s="39"/>
      <c r="B1640" s="107"/>
      <c r="C1640" s="109"/>
      <c r="D1640" s="76"/>
      <c r="E1640" s="64"/>
      <c r="F1640" s="39"/>
      <c r="G1640" s="399">
        <f>IFERROR(VLOOKUP(A1640,醫療院所DATABASE!A:B,2,""),)</f>
        <v>0</v>
      </c>
      <c r="H1640" s="64"/>
      <c r="I1640" s="109"/>
      <c r="J1640" s="109"/>
      <c r="K1640" s="39"/>
      <c r="L1640" s="76"/>
      <c r="M1640" s="39"/>
      <c r="N1640" s="39"/>
      <c r="O1640" s="24"/>
      <c r="P1640" s="409"/>
      <c r="Q1640" s="76"/>
      <c r="R1640" s="76"/>
      <c r="S1640" s="24"/>
      <c r="T1640" s="24"/>
      <c r="U1640" s="64"/>
      <c r="V1640" s="56"/>
      <c r="W1640" s="56"/>
      <c r="X1640" s="56"/>
      <c r="Y1640" s="56"/>
      <c r="Z1640" s="56"/>
      <c r="AA1640" s="56"/>
      <c r="AB1640" s="56"/>
      <c r="AC1640" s="56"/>
    </row>
    <row r="1641" spans="1:29" ht="15.75" customHeight="1">
      <c r="A1641" s="39"/>
      <c r="B1641" s="107"/>
      <c r="C1641" s="109"/>
      <c r="D1641" s="76"/>
      <c r="E1641" s="64"/>
      <c r="F1641" s="39"/>
      <c r="G1641" s="399">
        <f>IFERROR(VLOOKUP(A1641,醫療院所DATABASE!A:B,2,""),)</f>
        <v>0</v>
      </c>
      <c r="H1641" s="64"/>
      <c r="I1641" s="109"/>
      <c r="J1641" s="109"/>
      <c r="K1641" s="39"/>
      <c r="L1641" s="76"/>
      <c r="M1641" s="39"/>
      <c r="N1641" s="39"/>
      <c r="O1641" s="24"/>
      <c r="P1641" s="409"/>
      <c r="Q1641" s="76"/>
      <c r="R1641" s="76"/>
      <c r="S1641" s="24"/>
      <c r="T1641" s="24"/>
      <c r="U1641" s="64"/>
      <c r="V1641" s="56"/>
      <c r="W1641" s="56"/>
      <c r="X1641" s="56"/>
      <c r="Y1641" s="56"/>
      <c r="Z1641" s="56"/>
      <c r="AA1641" s="56"/>
      <c r="AB1641" s="56"/>
      <c r="AC1641" s="56"/>
    </row>
    <row r="1642" spans="1:29" ht="15.75" customHeight="1">
      <c r="A1642" s="39"/>
      <c r="B1642" s="107"/>
      <c r="C1642" s="109"/>
      <c r="D1642" s="76"/>
      <c r="E1642" s="64"/>
      <c r="F1642" s="39"/>
      <c r="G1642" s="399">
        <f>IFERROR(VLOOKUP(A1642,醫療院所DATABASE!A:B,2,""),)</f>
        <v>0</v>
      </c>
      <c r="H1642" s="64"/>
      <c r="I1642" s="109"/>
      <c r="J1642" s="109"/>
      <c r="K1642" s="39"/>
      <c r="L1642" s="76"/>
      <c r="M1642" s="39"/>
      <c r="N1642" s="39"/>
      <c r="O1642" s="24"/>
      <c r="P1642" s="409"/>
      <c r="Q1642" s="76"/>
      <c r="R1642" s="76"/>
      <c r="S1642" s="24"/>
      <c r="T1642" s="24"/>
      <c r="U1642" s="64"/>
      <c r="V1642" s="56"/>
      <c r="W1642" s="56"/>
      <c r="X1642" s="56"/>
      <c r="Y1642" s="56"/>
      <c r="Z1642" s="56"/>
      <c r="AA1642" s="56"/>
      <c r="AB1642" s="56"/>
      <c r="AC1642" s="56"/>
    </row>
    <row r="1643" spans="1:29" ht="15.75" customHeight="1">
      <c r="A1643" s="39"/>
      <c r="B1643" s="107"/>
      <c r="C1643" s="109"/>
      <c r="D1643" s="76"/>
      <c r="E1643" s="64"/>
      <c r="F1643" s="39"/>
      <c r="G1643" s="399">
        <f>IFERROR(VLOOKUP(A1643,醫療院所DATABASE!A:B,2,""),)</f>
        <v>0</v>
      </c>
      <c r="H1643" s="64"/>
      <c r="I1643" s="109"/>
      <c r="J1643" s="109"/>
      <c r="K1643" s="39"/>
      <c r="L1643" s="76"/>
      <c r="M1643" s="39"/>
      <c r="N1643" s="39"/>
      <c r="O1643" s="24"/>
      <c r="P1643" s="409"/>
      <c r="Q1643" s="76"/>
      <c r="R1643" s="76"/>
      <c r="S1643" s="24"/>
      <c r="T1643" s="24"/>
      <c r="U1643" s="64"/>
      <c r="V1643" s="56"/>
      <c r="W1643" s="56"/>
      <c r="X1643" s="56"/>
      <c r="Y1643" s="56"/>
      <c r="Z1643" s="56"/>
      <c r="AA1643" s="56"/>
      <c r="AB1643" s="56"/>
      <c r="AC1643" s="56"/>
    </row>
    <row r="1644" spans="1:29" ht="15.75" customHeight="1">
      <c r="A1644" s="39"/>
      <c r="B1644" s="107"/>
      <c r="C1644" s="109"/>
      <c r="D1644" s="76"/>
      <c r="E1644" s="64"/>
      <c r="F1644" s="39"/>
      <c r="G1644" s="399">
        <f>IFERROR(VLOOKUP(A1644,醫療院所DATABASE!A:B,2,""),)</f>
        <v>0</v>
      </c>
      <c r="H1644" s="64"/>
      <c r="I1644" s="109"/>
      <c r="J1644" s="109"/>
      <c r="K1644" s="39"/>
      <c r="L1644" s="76"/>
      <c r="M1644" s="39"/>
      <c r="N1644" s="39"/>
      <c r="O1644" s="24"/>
      <c r="P1644" s="409"/>
      <c r="Q1644" s="76"/>
      <c r="R1644" s="76"/>
      <c r="S1644" s="24"/>
      <c r="T1644" s="24"/>
      <c r="U1644" s="64"/>
      <c r="V1644" s="56"/>
      <c r="W1644" s="56"/>
      <c r="X1644" s="56"/>
      <c r="Y1644" s="56"/>
      <c r="Z1644" s="56"/>
      <c r="AA1644" s="56"/>
      <c r="AB1644" s="56"/>
      <c r="AC1644" s="56"/>
    </row>
    <row r="1645" spans="1:29" ht="15.75" customHeight="1">
      <c r="A1645" s="39"/>
      <c r="B1645" s="107"/>
      <c r="C1645" s="109"/>
      <c r="D1645" s="76"/>
      <c r="E1645" s="64"/>
      <c r="F1645" s="39"/>
      <c r="G1645" s="399">
        <f>IFERROR(VLOOKUP(A1645,醫療院所DATABASE!A:B,2,""),)</f>
        <v>0</v>
      </c>
      <c r="H1645" s="64"/>
      <c r="I1645" s="109"/>
      <c r="J1645" s="109"/>
      <c r="K1645" s="39"/>
      <c r="L1645" s="76"/>
      <c r="M1645" s="39"/>
      <c r="N1645" s="39"/>
      <c r="O1645" s="24"/>
      <c r="P1645" s="409"/>
      <c r="Q1645" s="76"/>
      <c r="R1645" s="76"/>
      <c r="S1645" s="24"/>
      <c r="T1645" s="24"/>
      <c r="U1645" s="64"/>
      <c r="V1645" s="56"/>
      <c r="W1645" s="56"/>
      <c r="X1645" s="56"/>
      <c r="Y1645" s="56"/>
      <c r="Z1645" s="56"/>
      <c r="AA1645" s="56"/>
      <c r="AB1645" s="56"/>
      <c r="AC1645" s="56"/>
    </row>
    <row r="1646" spans="1:29" ht="15.75" customHeight="1">
      <c r="A1646" s="39"/>
      <c r="B1646" s="107"/>
      <c r="C1646" s="109"/>
      <c r="D1646" s="76"/>
      <c r="E1646" s="64"/>
      <c r="F1646" s="39"/>
      <c r="G1646" s="399">
        <f>IFERROR(VLOOKUP(A1646,醫療院所DATABASE!A:B,2,""),)</f>
        <v>0</v>
      </c>
      <c r="H1646" s="64"/>
      <c r="I1646" s="109"/>
      <c r="J1646" s="109"/>
      <c r="K1646" s="39"/>
      <c r="L1646" s="76"/>
      <c r="M1646" s="39"/>
      <c r="N1646" s="39"/>
      <c r="O1646" s="24"/>
      <c r="P1646" s="409"/>
      <c r="Q1646" s="76"/>
      <c r="R1646" s="76"/>
      <c r="S1646" s="24"/>
      <c r="T1646" s="24"/>
      <c r="U1646" s="64"/>
      <c r="V1646" s="56"/>
      <c r="W1646" s="56"/>
      <c r="X1646" s="56"/>
      <c r="Y1646" s="56"/>
      <c r="Z1646" s="56"/>
      <c r="AA1646" s="56"/>
      <c r="AB1646" s="56"/>
      <c r="AC1646" s="56"/>
    </row>
    <row r="1647" spans="1:29" ht="15.75" customHeight="1">
      <c r="A1647" s="39"/>
      <c r="B1647" s="107"/>
      <c r="C1647" s="109"/>
      <c r="D1647" s="76"/>
      <c r="E1647" s="64"/>
      <c r="F1647" s="39"/>
      <c r="G1647" s="399">
        <f>IFERROR(VLOOKUP(A1647,醫療院所DATABASE!A:B,2,""),)</f>
        <v>0</v>
      </c>
      <c r="H1647" s="64"/>
      <c r="I1647" s="109"/>
      <c r="J1647" s="109"/>
      <c r="K1647" s="39"/>
      <c r="L1647" s="76"/>
      <c r="M1647" s="39"/>
      <c r="N1647" s="39"/>
      <c r="O1647" s="24"/>
      <c r="P1647" s="409"/>
      <c r="Q1647" s="76"/>
      <c r="R1647" s="76"/>
      <c r="S1647" s="24"/>
      <c r="T1647" s="24"/>
      <c r="U1647" s="64"/>
      <c r="V1647" s="56"/>
      <c r="W1647" s="56"/>
      <c r="X1647" s="56"/>
      <c r="Y1647" s="56"/>
      <c r="Z1647" s="56"/>
      <c r="AA1647" s="56"/>
      <c r="AB1647" s="56"/>
      <c r="AC1647" s="56"/>
    </row>
    <row r="1648" spans="1:29" ht="15.75" customHeight="1">
      <c r="A1648" s="39"/>
      <c r="B1648" s="107"/>
      <c r="C1648" s="109"/>
      <c r="D1648" s="76"/>
      <c r="E1648" s="64"/>
      <c r="F1648" s="39"/>
      <c r="G1648" s="399">
        <f>IFERROR(VLOOKUP(A1648,醫療院所DATABASE!A:B,2,""),)</f>
        <v>0</v>
      </c>
      <c r="H1648" s="64"/>
      <c r="I1648" s="109"/>
      <c r="J1648" s="109"/>
      <c r="K1648" s="39"/>
      <c r="L1648" s="76"/>
      <c r="M1648" s="39"/>
      <c r="N1648" s="39"/>
      <c r="O1648" s="24"/>
      <c r="P1648" s="409"/>
      <c r="Q1648" s="76"/>
      <c r="R1648" s="76"/>
      <c r="S1648" s="24"/>
      <c r="T1648" s="24"/>
      <c r="U1648" s="64"/>
      <c r="V1648" s="56"/>
      <c r="W1648" s="56"/>
      <c r="X1648" s="56"/>
      <c r="Y1648" s="56"/>
      <c r="Z1648" s="56"/>
      <c r="AA1648" s="56"/>
      <c r="AB1648" s="56"/>
      <c r="AC1648" s="56"/>
    </row>
    <row r="1649" spans="1:29" ht="15.75" customHeight="1">
      <c r="A1649" s="39"/>
      <c r="B1649" s="107"/>
      <c r="C1649" s="109"/>
      <c r="D1649" s="76"/>
      <c r="E1649" s="64"/>
      <c r="F1649" s="39"/>
      <c r="G1649" s="399">
        <f>IFERROR(VLOOKUP(A1649,醫療院所DATABASE!A:B,2,""),)</f>
        <v>0</v>
      </c>
      <c r="H1649" s="64"/>
      <c r="I1649" s="109"/>
      <c r="J1649" s="109"/>
      <c r="K1649" s="39"/>
      <c r="L1649" s="76"/>
      <c r="M1649" s="39"/>
      <c r="N1649" s="39"/>
      <c r="O1649" s="24"/>
      <c r="P1649" s="409"/>
      <c r="Q1649" s="76"/>
      <c r="R1649" s="76"/>
      <c r="S1649" s="24"/>
      <c r="T1649" s="24"/>
      <c r="U1649" s="64"/>
      <c r="V1649" s="56"/>
      <c r="W1649" s="56"/>
      <c r="X1649" s="56"/>
      <c r="Y1649" s="56"/>
      <c r="Z1649" s="56"/>
      <c r="AA1649" s="56"/>
      <c r="AB1649" s="56"/>
      <c r="AC1649" s="56"/>
    </row>
    <row r="1650" spans="1:29" ht="15.75" customHeight="1">
      <c r="A1650" s="39"/>
      <c r="B1650" s="107"/>
      <c r="C1650" s="109"/>
      <c r="D1650" s="76"/>
      <c r="E1650" s="64"/>
      <c r="F1650" s="39"/>
      <c r="G1650" s="399">
        <f>IFERROR(VLOOKUP(A1650,醫療院所DATABASE!A:B,2,""),)</f>
        <v>0</v>
      </c>
      <c r="H1650" s="64"/>
      <c r="I1650" s="109"/>
      <c r="J1650" s="109"/>
      <c r="K1650" s="39"/>
      <c r="L1650" s="76"/>
      <c r="M1650" s="39"/>
      <c r="N1650" s="39"/>
      <c r="O1650" s="24"/>
      <c r="P1650" s="409"/>
      <c r="Q1650" s="76"/>
      <c r="R1650" s="76"/>
      <c r="S1650" s="24"/>
      <c r="T1650" s="24"/>
      <c r="U1650" s="64"/>
      <c r="V1650" s="56"/>
      <c r="W1650" s="56"/>
      <c r="X1650" s="56"/>
      <c r="Y1650" s="56"/>
      <c r="Z1650" s="56"/>
      <c r="AA1650" s="56"/>
      <c r="AB1650" s="56"/>
      <c r="AC1650" s="56"/>
    </row>
    <row r="1651" spans="1:29" ht="15.75" customHeight="1">
      <c r="A1651" s="39"/>
      <c r="B1651" s="107"/>
      <c r="C1651" s="109"/>
      <c r="D1651" s="76"/>
      <c r="E1651" s="64"/>
      <c r="F1651" s="39"/>
      <c r="G1651" s="399">
        <f>IFERROR(VLOOKUP(A1651,醫療院所DATABASE!A:B,2,""),)</f>
        <v>0</v>
      </c>
      <c r="H1651" s="64"/>
      <c r="I1651" s="109"/>
      <c r="J1651" s="109"/>
      <c r="K1651" s="39"/>
      <c r="L1651" s="76"/>
      <c r="M1651" s="39"/>
      <c r="N1651" s="39"/>
      <c r="O1651" s="24"/>
      <c r="P1651" s="409"/>
      <c r="Q1651" s="76"/>
      <c r="R1651" s="76"/>
      <c r="S1651" s="24"/>
      <c r="T1651" s="24"/>
      <c r="U1651" s="64"/>
      <c r="V1651" s="56"/>
      <c r="W1651" s="56"/>
      <c r="X1651" s="56"/>
      <c r="Y1651" s="56"/>
      <c r="Z1651" s="56"/>
      <c r="AA1651" s="56"/>
      <c r="AB1651" s="56"/>
      <c r="AC1651" s="56"/>
    </row>
    <row r="1652" spans="1:29" ht="15.75" customHeight="1">
      <c r="A1652" s="39"/>
      <c r="B1652" s="107"/>
      <c r="C1652" s="109"/>
      <c r="D1652" s="76"/>
      <c r="E1652" s="64"/>
      <c r="F1652" s="39"/>
      <c r="G1652" s="399">
        <f>IFERROR(VLOOKUP(A1652,醫療院所DATABASE!A:B,2,""),)</f>
        <v>0</v>
      </c>
      <c r="H1652" s="64"/>
      <c r="I1652" s="109"/>
      <c r="J1652" s="109"/>
      <c r="K1652" s="39"/>
      <c r="L1652" s="76"/>
      <c r="M1652" s="39"/>
      <c r="N1652" s="39"/>
      <c r="O1652" s="24"/>
      <c r="P1652" s="409"/>
      <c r="Q1652" s="76"/>
      <c r="R1652" s="76"/>
      <c r="S1652" s="24"/>
      <c r="T1652" s="24"/>
      <c r="U1652" s="64"/>
      <c r="V1652" s="56"/>
      <c r="W1652" s="56"/>
      <c r="X1652" s="56"/>
      <c r="Y1652" s="56"/>
      <c r="Z1652" s="56"/>
      <c r="AA1652" s="56"/>
      <c r="AB1652" s="56"/>
      <c r="AC1652" s="56"/>
    </row>
    <row r="1653" spans="1:29" ht="15.75" customHeight="1">
      <c r="A1653" s="39"/>
      <c r="B1653" s="107"/>
      <c r="C1653" s="109"/>
      <c r="D1653" s="76"/>
      <c r="E1653" s="64"/>
      <c r="F1653" s="39"/>
      <c r="G1653" s="399">
        <f>IFERROR(VLOOKUP(A1653,醫療院所DATABASE!A:B,2,""),)</f>
        <v>0</v>
      </c>
      <c r="H1653" s="64"/>
      <c r="I1653" s="109"/>
      <c r="J1653" s="109"/>
      <c r="K1653" s="39"/>
      <c r="L1653" s="76"/>
      <c r="M1653" s="39"/>
      <c r="N1653" s="39"/>
      <c r="O1653" s="24"/>
      <c r="P1653" s="409"/>
      <c r="Q1653" s="76"/>
      <c r="R1653" s="76"/>
      <c r="S1653" s="24"/>
      <c r="T1653" s="24"/>
      <c r="U1653" s="64"/>
      <c r="V1653" s="56"/>
      <c r="W1653" s="56"/>
      <c r="X1653" s="56"/>
      <c r="Y1653" s="56"/>
      <c r="Z1653" s="56"/>
      <c r="AA1653" s="56"/>
      <c r="AB1653" s="56"/>
      <c r="AC1653" s="56"/>
    </row>
    <row r="1654" spans="1:29" ht="15.75" customHeight="1">
      <c r="A1654" s="39"/>
      <c r="B1654" s="107"/>
      <c r="C1654" s="109"/>
      <c r="D1654" s="76"/>
      <c r="E1654" s="64"/>
      <c r="F1654" s="39"/>
      <c r="G1654" s="399">
        <f>IFERROR(VLOOKUP(A1654,醫療院所DATABASE!A:B,2,""),)</f>
        <v>0</v>
      </c>
      <c r="H1654" s="64"/>
      <c r="I1654" s="109"/>
      <c r="J1654" s="109"/>
      <c r="K1654" s="39"/>
      <c r="L1654" s="76"/>
      <c r="M1654" s="39"/>
      <c r="N1654" s="39"/>
      <c r="O1654" s="24"/>
      <c r="P1654" s="409"/>
      <c r="Q1654" s="76"/>
      <c r="R1654" s="76"/>
      <c r="S1654" s="24"/>
      <c r="T1654" s="24"/>
      <c r="U1654" s="64"/>
      <c r="V1654" s="56"/>
      <c r="W1654" s="56"/>
      <c r="X1654" s="56"/>
      <c r="Y1654" s="56"/>
      <c r="Z1654" s="56"/>
      <c r="AA1654" s="56"/>
      <c r="AB1654" s="56"/>
      <c r="AC1654" s="56"/>
    </row>
    <row r="1655" spans="1:29" ht="15.75" customHeight="1">
      <c r="A1655" s="39"/>
      <c r="B1655" s="107"/>
      <c r="C1655" s="109"/>
      <c r="D1655" s="76"/>
      <c r="E1655" s="64"/>
      <c r="F1655" s="39"/>
      <c r="G1655" s="399">
        <f>IFERROR(VLOOKUP(A1655,醫療院所DATABASE!A:B,2,""),)</f>
        <v>0</v>
      </c>
      <c r="H1655" s="64"/>
      <c r="I1655" s="109"/>
      <c r="J1655" s="109"/>
      <c r="K1655" s="39"/>
      <c r="L1655" s="76"/>
      <c r="M1655" s="39"/>
      <c r="N1655" s="39"/>
      <c r="O1655" s="24"/>
      <c r="P1655" s="409"/>
      <c r="Q1655" s="76"/>
      <c r="R1655" s="76"/>
      <c r="S1655" s="24"/>
      <c r="T1655" s="24"/>
      <c r="U1655" s="64"/>
      <c r="V1655" s="56"/>
      <c r="W1655" s="56"/>
      <c r="X1655" s="56"/>
      <c r="Y1655" s="56"/>
      <c r="Z1655" s="56"/>
      <c r="AA1655" s="56"/>
      <c r="AB1655" s="56"/>
      <c r="AC1655" s="56"/>
    </row>
    <row r="1656" spans="1:29" ht="15.75" customHeight="1">
      <c r="A1656" s="39"/>
      <c r="B1656" s="107"/>
      <c r="C1656" s="109"/>
      <c r="D1656" s="76"/>
      <c r="E1656" s="64"/>
      <c r="F1656" s="39"/>
      <c r="G1656" s="399">
        <f>IFERROR(VLOOKUP(A1656,醫療院所DATABASE!A:B,2,""),)</f>
        <v>0</v>
      </c>
      <c r="H1656" s="64"/>
      <c r="I1656" s="109"/>
      <c r="J1656" s="109"/>
      <c r="K1656" s="39"/>
      <c r="L1656" s="76"/>
      <c r="M1656" s="39"/>
      <c r="N1656" s="39"/>
      <c r="O1656" s="24"/>
      <c r="P1656" s="409"/>
      <c r="Q1656" s="76"/>
      <c r="R1656" s="76"/>
      <c r="S1656" s="24"/>
      <c r="T1656" s="24"/>
      <c r="U1656" s="64"/>
      <c r="V1656" s="56"/>
      <c r="W1656" s="56"/>
      <c r="X1656" s="56"/>
      <c r="Y1656" s="56"/>
      <c r="Z1656" s="56"/>
      <c r="AA1656" s="56"/>
      <c r="AB1656" s="56"/>
      <c r="AC1656" s="56"/>
    </row>
    <row r="1657" spans="1:29" ht="15.75" customHeight="1">
      <c r="A1657" s="39"/>
      <c r="B1657" s="107"/>
      <c r="C1657" s="109"/>
      <c r="D1657" s="76"/>
      <c r="E1657" s="64"/>
      <c r="F1657" s="39"/>
      <c r="G1657" s="399">
        <f>IFERROR(VLOOKUP(A1657,醫療院所DATABASE!A:B,2,""),)</f>
        <v>0</v>
      </c>
      <c r="H1657" s="64"/>
      <c r="I1657" s="109"/>
      <c r="J1657" s="109"/>
      <c r="K1657" s="39"/>
      <c r="L1657" s="76"/>
      <c r="M1657" s="39"/>
      <c r="N1657" s="39"/>
      <c r="O1657" s="24"/>
      <c r="P1657" s="409"/>
      <c r="Q1657" s="76"/>
      <c r="R1657" s="76"/>
      <c r="S1657" s="24"/>
      <c r="T1657" s="24"/>
      <c r="U1657" s="64"/>
      <c r="V1657" s="56"/>
      <c r="W1657" s="56"/>
      <c r="X1657" s="56"/>
      <c r="Y1657" s="56"/>
      <c r="Z1657" s="56"/>
      <c r="AA1657" s="56"/>
      <c r="AB1657" s="56"/>
      <c r="AC1657" s="56"/>
    </row>
    <row r="1658" spans="1:29" ht="15.75" customHeight="1">
      <c r="A1658" s="39"/>
      <c r="B1658" s="107"/>
      <c r="C1658" s="109"/>
      <c r="D1658" s="76"/>
      <c r="E1658" s="64"/>
      <c r="F1658" s="39"/>
      <c r="G1658" s="399">
        <f>IFERROR(VLOOKUP(A1658,醫療院所DATABASE!A:B,2,""),)</f>
        <v>0</v>
      </c>
      <c r="H1658" s="64"/>
      <c r="I1658" s="109"/>
      <c r="J1658" s="109"/>
      <c r="K1658" s="39"/>
      <c r="L1658" s="76"/>
      <c r="M1658" s="39"/>
      <c r="N1658" s="39"/>
      <c r="O1658" s="24"/>
      <c r="P1658" s="409"/>
      <c r="Q1658" s="76"/>
      <c r="R1658" s="76"/>
      <c r="S1658" s="24"/>
      <c r="T1658" s="24"/>
      <c r="U1658" s="64"/>
      <c r="V1658" s="56"/>
      <c r="W1658" s="56"/>
      <c r="X1658" s="56"/>
      <c r="Y1658" s="56"/>
      <c r="Z1658" s="56"/>
      <c r="AA1658" s="56"/>
      <c r="AB1658" s="56"/>
      <c r="AC1658" s="56"/>
    </row>
    <row r="1659" spans="1:29" ht="15.75" customHeight="1">
      <c r="A1659" s="39"/>
      <c r="B1659" s="107"/>
      <c r="C1659" s="109"/>
      <c r="D1659" s="76"/>
      <c r="E1659" s="64"/>
      <c r="F1659" s="39"/>
      <c r="G1659" s="399">
        <f>IFERROR(VLOOKUP(A1659,醫療院所DATABASE!A:B,2,""),)</f>
        <v>0</v>
      </c>
      <c r="H1659" s="64"/>
      <c r="I1659" s="109"/>
      <c r="J1659" s="109"/>
      <c r="K1659" s="39"/>
      <c r="L1659" s="76"/>
      <c r="M1659" s="39"/>
      <c r="N1659" s="39"/>
      <c r="O1659" s="24"/>
      <c r="P1659" s="409"/>
      <c r="Q1659" s="76"/>
      <c r="R1659" s="76"/>
      <c r="S1659" s="24"/>
      <c r="T1659" s="24"/>
      <c r="U1659" s="64"/>
      <c r="V1659" s="56"/>
      <c r="W1659" s="56"/>
      <c r="X1659" s="56"/>
      <c r="Y1659" s="56"/>
      <c r="Z1659" s="56"/>
      <c r="AA1659" s="56"/>
      <c r="AB1659" s="56"/>
      <c r="AC1659" s="56"/>
    </row>
    <row r="1660" spans="1:29" ht="15.75" customHeight="1">
      <c r="A1660" s="39"/>
      <c r="B1660" s="107"/>
      <c r="C1660" s="109"/>
      <c r="D1660" s="76"/>
      <c r="E1660" s="64"/>
      <c r="F1660" s="39"/>
      <c r="G1660" s="399">
        <f>IFERROR(VLOOKUP(A1660,醫療院所DATABASE!A:B,2,""),)</f>
        <v>0</v>
      </c>
      <c r="H1660" s="64"/>
      <c r="I1660" s="109"/>
      <c r="J1660" s="109"/>
      <c r="K1660" s="39"/>
      <c r="L1660" s="76"/>
      <c r="M1660" s="39"/>
      <c r="N1660" s="39"/>
      <c r="O1660" s="24"/>
      <c r="P1660" s="409"/>
      <c r="Q1660" s="76"/>
      <c r="R1660" s="76"/>
      <c r="S1660" s="24"/>
      <c r="T1660" s="24"/>
      <c r="U1660" s="64"/>
      <c r="V1660" s="56"/>
      <c r="W1660" s="56"/>
      <c r="X1660" s="56"/>
      <c r="Y1660" s="56"/>
      <c r="Z1660" s="56"/>
      <c r="AA1660" s="56"/>
      <c r="AB1660" s="56"/>
      <c r="AC1660" s="56"/>
    </row>
    <row r="1661" spans="1:29" ht="15.75" customHeight="1">
      <c r="A1661" s="39"/>
      <c r="B1661" s="107"/>
      <c r="C1661" s="109"/>
      <c r="D1661" s="76"/>
      <c r="E1661" s="64"/>
      <c r="F1661" s="39"/>
      <c r="G1661" s="399">
        <f>IFERROR(VLOOKUP(A1661,醫療院所DATABASE!A:B,2,""),)</f>
        <v>0</v>
      </c>
      <c r="H1661" s="64"/>
      <c r="I1661" s="109"/>
      <c r="J1661" s="109"/>
      <c r="K1661" s="39"/>
      <c r="L1661" s="76"/>
      <c r="M1661" s="39"/>
      <c r="N1661" s="39"/>
      <c r="O1661" s="24"/>
      <c r="P1661" s="409"/>
      <c r="Q1661" s="76"/>
      <c r="R1661" s="76"/>
      <c r="S1661" s="24"/>
      <c r="T1661" s="24"/>
      <c r="U1661" s="64"/>
      <c r="V1661" s="56"/>
      <c r="W1661" s="56"/>
      <c r="X1661" s="56"/>
      <c r="Y1661" s="56"/>
      <c r="Z1661" s="56"/>
      <c r="AA1661" s="56"/>
      <c r="AB1661" s="56"/>
      <c r="AC1661" s="56"/>
    </row>
    <row r="1662" spans="1:29" ht="15.75" customHeight="1">
      <c r="A1662" s="39"/>
      <c r="B1662" s="107"/>
      <c r="C1662" s="109"/>
      <c r="D1662" s="76"/>
      <c r="E1662" s="64"/>
      <c r="F1662" s="39"/>
      <c r="G1662" s="399">
        <f>IFERROR(VLOOKUP(A1662,醫療院所DATABASE!A:B,2,""),)</f>
        <v>0</v>
      </c>
      <c r="H1662" s="64"/>
      <c r="I1662" s="109"/>
      <c r="J1662" s="109"/>
      <c r="K1662" s="39"/>
      <c r="L1662" s="76"/>
      <c r="M1662" s="39"/>
      <c r="N1662" s="39"/>
      <c r="O1662" s="24"/>
      <c r="P1662" s="409"/>
      <c r="Q1662" s="76"/>
      <c r="R1662" s="76"/>
      <c r="S1662" s="24"/>
      <c r="T1662" s="24"/>
      <c r="U1662" s="64"/>
      <c r="V1662" s="56"/>
      <c r="W1662" s="56"/>
      <c r="X1662" s="56"/>
      <c r="Y1662" s="56"/>
      <c r="Z1662" s="56"/>
      <c r="AA1662" s="56"/>
      <c r="AB1662" s="56"/>
      <c r="AC1662" s="56"/>
    </row>
    <row r="1663" spans="1:29" ht="15.75" customHeight="1">
      <c r="A1663" s="39"/>
      <c r="B1663" s="107"/>
      <c r="C1663" s="109"/>
      <c r="D1663" s="76"/>
      <c r="E1663" s="64"/>
      <c r="F1663" s="39"/>
      <c r="G1663" s="399">
        <f>IFERROR(VLOOKUP(A1663,醫療院所DATABASE!A:B,2,""),)</f>
        <v>0</v>
      </c>
      <c r="H1663" s="64"/>
      <c r="I1663" s="109"/>
      <c r="J1663" s="109"/>
      <c r="K1663" s="39"/>
      <c r="L1663" s="76"/>
      <c r="M1663" s="39"/>
      <c r="N1663" s="39"/>
      <c r="O1663" s="24"/>
      <c r="P1663" s="409"/>
      <c r="Q1663" s="76"/>
      <c r="R1663" s="76"/>
      <c r="S1663" s="24"/>
      <c r="T1663" s="24"/>
      <c r="U1663" s="64"/>
      <c r="V1663" s="56"/>
      <c r="W1663" s="56"/>
      <c r="X1663" s="56"/>
      <c r="Y1663" s="56"/>
      <c r="Z1663" s="56"/>
      <c r="AA1663" s="56"/>
      <c r="AB1663" s="56"/>
      <c r="AC1663" s="56"/>
    </row>
    <row r="1664" spans="1:29" ht="15.75" customHeight="1">
      <c r="A1664" s="39"/>
      <c r="B1664" s="107"/>
      <c r="C1664" s="109"/>
      <c r="D1664" s="76"/>
      <c r="E1664" s="64"/>
      <c r="F1664" s="39"/>
      <c r="G1664" s="399">
        <f>IFERROR(VLOOKUP(A1664,醫療院所DATABASE!A:B,2,""),)</f>
        <v>0</v>
      </c>
      <c r="H1664" s="64"/>
      <c r="I1664" s="109"/>
      <c r="J1664" s="109"/>
      <c r="K1664" s="39"/>
      <c r="L1664" s="76"/>
      <c r="M1664" s="39"/>
      <c r="N1664" s="39"/>
      <c r="O1664" s="24"/>
      <c r="P1664" s="409"/>
      <c r="Q1664" s="76"/>
      <c r="R1664" s="76"/>
      <c r="S1664" s="24"/>
      <c r="T1664" s="24"/>
      <c r="U1664" s="64"/>
      <c r="V1664" s="56"/>
      <c r="W1664" s="56"/>
      <c r="X1664" s="56"/>
      <c r="Y1664" s="56"/>
      <c r="Z1664" s="56"/>
      <c r="AA1664" s="56"/>
      <c r="AB1664" s="56"/>
      <c r="AC1664" s="56"/>
    </row>
    <row r="1665" spans="1:29" ht="15.75" customHeight="1">
      <c r="A1665" s="39"/>
      <c r="B1665" s="107"/>
      <c r="C1665" s="109"/>
      <c r="D1665" s="76"/>
      <c r="E1665" s="64"/>
      <c r="F1665" s="39"/>
      <c r="G1665" s="399">
        <f>IFERROR(VLOOKUP(A1665,醫療院所DATABASE!A:B,2,""),)</f>
        <v>0</v>
      </c>
      <c r="H1665" s="64"/>
      <c r="I1665" s="109"/>
      <c r="J1665" s="109"/>
      <c r="K1665" s="39"/>
      <c r="L1665" s="76"/>
      <c r="M1665" s="39"/>
      <c r="N1665" s="39"/>
      <c r="O1665" s="24"/>
      <c r="P1665" s="409"/>
      <c r="Q1665" s="76"/>
      <c r="R1665" s="76"/>
      <c r="S1665" s="24"/>
      <c r="T1665" s="24"/>
      <c r="U1665" s="64"/>
      <c r="V1665" s="56"/>
      <c r="W1665" s="56"/>
      <c r="X1665" s="56"/>
      <c r="Y1665" s="56"/>
      <c r="Z1665" s="56"/>
      <c r="AA1665" s="56"/>
      <c r="AB1665" s="56"/>
      <c r="AC1665" s="56"/>
    </row>
    <row r="1666" spans="1:29" ht="15.75" customHeight="1">
      <c r="A1666" s="39"/>
      <c r="B1666" s="107"/>
      <c r="C1666" s="109"/>
      <c r="D1666" s="76"/>
      <c r="E1666" s="64"/>
      <c r="F1666" s="39"/>
      <c r="G1666" s="399">
        <f>IFERROR(VLOOKUP(A1666,醫療院所DATABASE!A:B,2,""),)</f>
        <v>0</v>
      </c>
      <c r="H1666" s="64"/>
      <c r="I1666" s="109"/>
      <c r="J1666" s="109"/>
      <c r="K1666" s="39"/>
      <c r="L1666" s="76"/>
      <c r="M1666" s="39"/>
      <c r="N1666" s="39"/>
      <c r="O1666" s="24"/>
      <c r="P1666" s="409"/>
      <c r="Q1666" s="76"/>
      <c r="R1666" s="76"/>
      <c r="S1666" s="24"/>
      <c r="T1666" s="24"/>
      <c r="U1666" s="64"/>
      <c r="V1666" s="56"/>
      <c r="W1666" s="56"/>
      <c r="X1666" s="56"/>
      <c r="Y1666" s="56"/>
      <c r="Z1666" s="56"/>
      <c r="AA1666" s="56"/>
      <c r="AB1666" s="56"/>
      <c r="AC1666" s="56"/>
    </row>
    <row r="1667" spans="1:29" ht="15.75" customHeight="1">
      <c r="A1667" s="39"/>
      <c r="B1667" s="107"/>
      <c r="C1667" s="109"/>
      <c r="D1667" s="76"/>
      <c r="E1667" s="64"/>
      <c r="F1667" s="39"/>
      <c r="G1667" s="399">
        <f>IFERROR(VLOOKUP(A1667,醫療院所DATABASE!A:B,2,""),)</f>
        <v>0</v>
      </c>
      <c r="H1667" s="64"/>
      <c r="I1667" s="109"/>
      <c r="J1667" s="109"/>
      <c r="K1667" s="39"/>
      <c r="L1667" s="76"/>
      <c r="M1667" s="39"/>
      <c r="N1667" s="39"/>
      <c r="O1667" s="24"/>
      <c r="P1667" s="409"/>
      <c r="Q1667" s="76"/>
      <c r="R1667" s="76"/>
      <c r="S1667" s="24"/>
      <c r="T1667" s="24"/>
      <c r="U1667" s="64"/>
      <c r="V1667" s="56"/>
      <c r="W1667" s="56"/>
      <c r="X1667" s="56"/>
      <c r="Y1667" s="56"/>
      <c r="Z1667" s="56"/>
      <c r="AA1667" s="56"/>
      <c r="AB1667" s="56"/>
      <c r="AC1667" s="56"/>
    </row>
    <row r="1668" spans="1:29" ht="15.75" customHeight="1">
      <c r="A1668" s="39"/>
      <c r="B1668" s="107"/>
      <c r="C1668" s="109"/>
      <c r="D1668" s="76"/>
      <c r="E1668" s="64"/>
      <c r="F1668" s="39"/>
      <c r="G1668" s="399">
        <f>IFERROR(VLOOKUP(A1668,醫療院所DATABASE!A:B,2,""),)</f>
        <v>0</v>
      </c>
      <c r="H1668" s="64"/>
      <c r="I1668" s="109"/>
      <c r="J1668" s="109"/>
      <c r="K1668" s="39"/>
      <c r="L1668" s="76"/>
      <c r="M1668" s="39"/>
      <c r="N1668" s="39"/>
      <c r="O1668" s="24"/>
      <c r="P1668" s="409"/>
      <c r="Q1668" s="76"/>
      <c r="R1668" s="76"/>
      <c r="S1668" s="24"/>
      <c r="T1668" s="24"/>
      <c r="U1668" s="64"/>
      <c r="V1668" s="56"/>
      <c r="W1668" s="56"/>
      <c r="X1668" s="56"/>
      <c r="Y1668" s="56"/>
      <c r="Z1668" s="56"/>
      <c r="AA1668" s="56"/>
      <c r="AB1668" s="56"/>
      <c r="AC1668" s="56"/>
    </row>
    <row r="1669" spans="1:29" ht="15.75" customHeight="1">
      <c r="A1669" s="39"/>
      <c r="B1669" s="107"/>
      <c r="C1669" s="109"/>
      <c r="D1669" s="76"/>
      <c r="E1669" s="64"/>
      <c r="F1669" s="39"/>
      <c r="G1669" s="399">
        <f>IFERROR(VLOOKUP(A1669,醫療院所DATABASE!A:B,2,""),)</f>
        <v>0</v>
      </c>
      <c r="H1669" s="64"/>
      <c r="I1669" s="109"/>
      <c r="J1669" s="109"/>
      <c r="K1669" s="39"/>
      <c r="L1669" s="76"/>
      <c r="M1669" s="39"/>
      <c r="N1669" s="39"/>
      <c r="O1669" s="24"/>
      <c r="P1669" s="409"/>
      <c r="Q1669" s="76"/>
      <c r="R1669" s="76"/>
      <c r="S1669" s="24"/>
      <c r="T1669" s="24"/>
      <c r="U1669" s="64"/>
      <c r="V1669" s="56"/>
      <c r="W1669" s="56"/>
      <c r="X1669" s="56"/>
      <c r="Y1669" s="56"/>
      <c r="Z1669" s="56"/>
      <c r="AA1669" s="56"/>
      <c r="AB1669" s="56"/>
      <c r="AC1669" s="56"/>
    </row>
    <row r="1670" spans="1:29" ht="15.75" customHeight="1">
      <c r="A1670" s="39"/>
      <c r="B1670" s="107"/>
      <c r="C1670" s="109"/>
      <c r="D1670" s="76"/>
      <c r="E1670" s="64"/>
      <c r="F1670" s="39"/>
      <c r="G1670" s="399">
        <f>IFERROR(VLOOKUP(A1670,醫療院所DATABASE!A:B,2,""),)</f>
        <v>0</v>
      </c>
      <c r="H1670" s="64"/>
      <c r="I1670" s="109"/>
      <c r="J1670" s="109"/>
      <c r="K1670" s="39"/>
      <c r="L1670" s="76"/>
      <c r="M1670" s="39"/>
      <c r="N1670" s="39"/>
      <c r="O1670" s="24"/>
      <c r="P1670" s="409"/>
      <c r="Q1670" s="76"/>
      <c r="R1670" s="76"/>
      <c r="S1670" s="24"/>
      <c r="T1670" s="24"/>
      <c r="U1670" s="64"/>
      <c r="V1670" s="56"/>
      <c r="W1670" s="56"/>
      <c r="X1670" s="56"/>
      <c r="Y1670" s="56"/>
      <c r="Z1670" s="56"/>
      <c r="AA1670" s="56"/>
      <c r="AB1670" s="56"/>
      <c r="AC1670" s="56"/>
    </row>
    <row r="1671" spans="1:29" ht="15.75" customHeight="1">
      <c r="A1671" s="39"/>
      <c r="B1671" s="107"/>
      <c r="C1671" s="109"/>
      <c r="D1671" s="76"/>
      <c r="E1671" s="64"/>
      <c r="F1671" s="39"/>
      <c r="G1671" s="399">
        <f>IFERROR(VLOOKUP(A1671,醫療院所DATABASE!A:B,2,""),)</f>
        <v>0</v>
      </c>
      <c r="H1671" s="64"/>
      <c r="I1671" s="109"/>
      <c r="J1671" s="109"/>
      <c r="K1671" s="39"/>
      <c r="L1671" s="76"/>
      <c r="M1671" s="39"/>
      <c r="N1671" s="39"/>
      <c r="O1671" s="24"/>
      <c r="P1671" s="409"/>
      <c r="Q1671" s="76"/>
      <c r="R1671" s="76"/>
      <c r="S1671" s="24"/>
      <c r="T1671" s="24"/>
      <c r="U1671" s="64"/>
      <c r="V1671" s="56"/>
      <c r="W1671" s="56"/>
      <c r="X1671" s="56"/>
      <c r="Y1671" s="56"/>
      <c r="Z1671" s="56"/>
      <c r="AA1671" s="56"/>
      <c r="AB1671" s="56"/>
      <c r="AC1671" s="56"/>
    </row>
    <row r="1672" spans="1:29" ht="15.75" customHeight="1">
      <c r="A1672" s="39"/>
      <c r="B1672" s="107"/>
      <c r="C1672" s="109"/>
      <c r="D1672" s="76"/>
      <c r="E1672" s="64"/>
      <c r="F1672" s="39"/>
      <c r="G1672" s="399">
        <f>IFERROR(VLOOKUP(A1672,醫療院所DATABASE!A:B,2,""),)</f>
        <v>0</v>
      </c>
      <c r="H1672" s="64"/>
      <c r="I1672" s="109"/>
      <c r="J1672" s="109"/>
      <c r="K1672" s="39"/>
      <c r="L1672" s="76"/>
      <c r="M1672" s="39"/>
      <c r="N1672" s="39"/>
      <c r="O1672" s="24"/>
      <c r="P1672" s="409"/>
      <c r="Q1672" s="76"/>
      <c r="R1672" s="76"/>
      <c r="S1672" s="24"/>
      <c r="T1672" s="24"/>
      <c r="U1672" s="64"/>
      <c r="V1672" s="56"/>
      <c r="W1672" s="56"/>
      <c r="X1672" s="56"/>
      <c r="Y1672" s="56"/>
      <c r="Z1672" s="56"/>
      <c r="AA1672" s="56"/>
      <c r="AB1672" s="56"/>
      <c r="AC1672" s="56"/>
    </row>
    <row r="1673" spans="1:29" ht="15.75" customHeight="1">
      <c r="A1673" s="39"/>
      <c r="B1673" s="107"/>
      <c r="C1673" s="109"/>
      <c r="D1673" s="76"/>
      <c r="E1673" s="64"/>
      <c r="F1673" s="39"/>
      <c r="G1673" s="399">
        <f>IFERROR(VLOOKUP(A1673,醫療院所DATABASE!A:B,2,""),)</f>
        <v>0</v>
      </c>
      <c r="H1673" s="64"/>
      <c r="I1673" s="109"/>
      <c r="J1673" s="109"/>
      <c r="K1673" s="39"/>
      <c r="L1673" s="76"/>
      <c r="M1673" s="39"/>
      <c r="N1673" s="39"/>
      <c r="O1673" s="24"/>
      <c r="P1673" s="409"/>
      <c r="Q1673" s="76"/>
      <c r="R1673" s="76"/>
      <c r="S1673" s="24"/>
      <c r="T1673" s="24"/>
      <c r="U1673" s="64"/>
      <c r="V1673" s="56"/>
      <c r="W1673" s="56"/>
      <c r="X1673" s="56"/>
      <c r="Y1673" s="56"/>
      <c r="Z1673" s="56"/>
      <c r="AA1673" s="56"/>
      <c r="AB1673" s="56"/>
      <c r="AC1673" s="56"/>
    </row>
    <row r="1674" spans="1:29" ht="15.75" customHeight="1">
      <c r="A1674" s="39"/>
      <c r="B1674" s="107"/>
      <c r="C1674" s="109"/>
      <c r="D1674" s="76"/>
      <c r="E1674" s="64"/>
      <c r="F1674" s="39"/>
      <c r="G1674" s="399">
        <f>IFERROR(VLOOKUP(A1674,醫療院所DATABASE!A:B,2,""),)</f>
        <v>0</v>
      </c>
      <c r="H1674" s="64"/>
      <c r="I1674" s="109"/>
      <c r="J1674" s="109"/>
      <c r="K1674" s="39"/>
      <c r="L1674" s="76"/>
      <c r="M1674" s="39"/>
      <c r="N1674" s="39"/>
      <c r="O1674" s="24"/>
      <c r="P1674" s="409"/>
      <c r="Q1674" s="76"/>
      <c r="R1674" s="76"/>
      <c r="S1674" s="24"/>
      <c r="T1674" s="24"/>
      <c r="U1674" s="64"/>
      <c r="V1674" s="56"/>
      <c r="W1674" s="56"/>
      <c r="X1674" s="56"/>
      <c r="Y1674" s="56"/>
      <c r="Z1674" s="56"/>
      <c r="AA1674" s="56"/>
      <c r="AB1674" s="56"/>
      <c r="AC1674" s="56"/>
    </row>
    <row r="1675" spans="1:29" ht="15.75" customHeight="1">
      <c r="A1675" s="39"/>
      <c r="B1675" s="107"/>
      <c r="C1675" s="109"/>
      <c r="D1675" s="76"/>
      <c r="E1675" s="64"/>
      <c r="F1675" s="39"/>
      <c r="G1675" s="399">
        <f>IFERROR(VLOOKUP(A1675,醫療院所DATABASE!A:B,2,""),)</f>
        <v>0</v>
      </c>
      <c r="H1675" s="64"/>
      <c r="I1675" s="109"/>
      <c r="J1675" s="109"/>
      <c r="K1675" s="39"/>
      <c r="L1675" s="76"/>
      <c r="M1675" s="39"/>
      <c r="N1675" s="39"/>
      <c r="O1675" s="24"/>
      <c r="P1675" s="409"/>
      <c r="Q1675" s="76"/>
      <c r="R1675" s="76"/>
      <c r="S1675" s="24"/>
      <c r="T1675" s="24"/>
      <c r="U1675" s="64"/>
      <c r="V1675" s="56"/>
      <c r="W1675" s="56"/>
      <c r="X1675" s="56"/>
      <c r="Y1675" s="56"/>
      <c r="Z1675" s="56"/>
      <c r="AA1675" s="56"/>
      <c r="AB1675" s="56"/>
      <c r="AC1675" s="56"/>
    </row>
    <row r="1676" spans="1:29" ht="15.75" customHeight="1">
      <c r="A1676" s="39"/>
      <c r="B1676" s="107"/>
      <c r="C1676" s="109"/>
      <c r="D1676" s="76"/>
      <c r="E1676" s="64"/>
      <c r="F1676" s="39"/>
      <c r="G1676" s="399">
        <f>IFERROR(VLOOKUP(A1676,醫療院所DATABASE!A:B,2,""),)</f>
        <v>0</v>
      </c>
      <c r="H1676" s="64"/>
      <c r="I1676" s="109"/>
      <c r="J1676" s="109"/>
      <c r="K1676" s="39"/>
      <c r="L1676" s="76"/>
      <c r="M1676" s="39"/>
      <c r="N1676" s="39"/>
      <c r="O1676" s="24"/>
      <c r="P1676" s="409"/>
      <c r="Q1676" s="76"/>
      <c r="R1676" s="76"/>
      <c r="S1676" s="24"/>
      <c r="T1676" s="24"/>
      <c r="U1676" s="64"/>
      <c r="V1676" s="56"/>
      <c r="W1676" s="56"/>
      <c r="X1676" s="56"/>
      <c r="Y1676" s="56"/>
      <c r="Z1676" s="56"/>
      <c r="AA1676" s="56"/>
      <c r="AB1676" s="56"/>
      <c r="AC1676" s="56"/>
    </row>
    <row r="1677" spans="1:29" ht="15.75" customHeight="1">
      <c r="A1677" s="39"/>
      <c r="B1677" s="107"/>
      <c r="C1677" s="109"/>
      <c r="D1677" s="76"/>
      <c r="E1677" s="64"/>
      <c r="F1677" s="39"/>
      <c r="G1677" s="399">
        <f>IFERROR(VLOOKUP(A1677,醫療院所DATABASE!A:B,2,""),)</f>
        <v>0</v>
      </c>
      <c r="H1677" s="64"/>
      <c r="I1677" s="109"/>
      <c r="J1677" s="109"/>
      <c r="K1677" s="39"/>
      <c r="L1677" s="76"/>
      <c r="M1677" s="39"/>
      <c r="N1677" s="39"/>
      <c r="O1677" s="24"/>
      <c r="P1677" s="409"/>
      <c r="Q1677" s="76"/>
      <c r="R1677" s="76"/>
      <c r="S1677" s="24"/>
      <c r="T1677" s="24"/>
      <c r="U1677" s="64"/>
      <c r="V1677" s="56"/>
      <c r="W1677" s="56"/>
      <c r="X1677" s="56"/>
      <c r="Y1677" s="56"/>
      <c r="Z1677" s="56"/>
      <c r="AA1677" s="56"/>
      <c r="AB1677" s="56"/>
      <c r="AC1677" s="56"/>
    </row>
    <row r="1678" spans="1:29" ht="15.75" customHeight="1">
      <c r="A1678" s="39"/>
      <c r="B1678" s="107"/>
      <c r="C1678" s="109"/>
      <c r="D1678" s="76"/>
      <c r="E1678" s="64"/>
      <c r="F1678" s="39"/>
      <c r="G1678" s="399">
        <f>IFERROR(VLOOKUP(A1678,醫療院所DATABASE!A:B,2,""),)</f>
        <v>0</v>
      </c>
      <c r="H1678" s="64"/>
      <c r="I1678" s="109"/>
      <c r="J1678" s="109"/>
      <c r="K1678" s="39"/>
      <c r="L1678" s="76"/>
      <c r="M1678" s="39"/>
      <c r="N1678" s="39"/>
      <c r="O1678" s="24"/>
      <c r="P1678" s="409"/>
      <c r="Q1678" s="76"/>
      <c r="R1678" s="76"/>
      <c r="S1678" s="24"/>
      <c r="T1678" s="24"/>
      <c r="U1678" s="64"/>
      <c r="V1678" s="56"/>
      <c r="W1678" s="56"/>
      <c r="X1678" s="56"/>
      <c r="Y1678" s="56"/>
      <c r="Z1678" s="56"/>
      <c r="AA1678" s="56"/>
      <c r="AB1678" s="56"/>
      <c r="AC1678" s="56"/>
    </row>
    <row r="1679" spans="1:29" ht="15.75" customHeight="1">
      <c r="A1679" s="39"/>
      <c r="B1679" s="107"/>
      <c r="C1679" s="109"/>
      <c r="D1679" s="76"/>
      <c r="E1679" s="64"/>
      <c r="F1679" s="39"/>
      <c r="G1679" s="399">
        <f>IFERROR(VLOOKUP(A1679,醫療院所DATABASE!A:B,2,""),)</f>
        <v>0</v>
      </c>
      <c r="H1679" s="64"/>
      <c r="I1679" s="109"/>
      <c r="J1679" s="109"/>
      <c r="K1679" s="39"/>
      <c r="L1679" s="76"/>
      <c r="M1679" s="39"/>
      <c r="N1679" s="39"/>
      <c r="O1679" s="24"/>
      <c r="P1679" s="409"/>
      <c r="Q1679" s="76"/>
      <c r="R1679" s="76"/>
      <c r="S1679" s="24"/>
      <c r="T1679" s="24"/>
      <c r="U1679" s="64"/>
      <c r="V1679" s="56"/>
      <c r="W1679" s="56"/>
      <c r="X1679" s="56"/>
      <c r="Y1679" s="56"/>
      <c r="Z1679" s="56"/>
      <c r="AA1679" s="56"/>
      <c r="AB1679" s="56"/>
      <c r="AC1679" s="56"/>
    </row>
    <row r="1680" spans="1:29" ht="15.75" customHeight="1">
      <c r="A1680" s="39"/>
      <c r="B1680" s="107"/>
      <c r="C1680" s="109"/>
      <c r="D1680" s="76"/>
      <c r="E1680" s="64"/>
      <c r="F1680" s="39"/>
      <c r="G1680" s="399">
        <f>IFERROR(VLOOKUP(A1680,醫療院所DATABASE!A:B,2,""),)</f>
        <v>0</v>
      </c>
      <c r="H1680" s="64"/>
      <c r="I1680" s="109"/>
      <c r="J1680" s="109"/>
      <c r="K1680" s="39"/>
      <c r="L1680" s="76"/>
      <c r="M1680" s="39"/>
      <c r="N1680" s="39"/>
      <c r="O1680" s="24"/>
      <c r="P1680" s="409"/>
      <c r="Q1680" s="76"/>
      <c r="R1680" s="76"/>
      <c r="S1680" s="24"/>
      <c r="T1680" s="24"/>
      <c r="U1680" s="64"/>
      <c r="V1680" s="56"/>
      <c r="W1680" s="56"/>
      <c r="X1680" s="56"/>
      <c r="Y1680" s="56"/>
      <c r="Z1680" s="56"/>
      <c r="AA1680" s="56"/>
      <c r="AB1680" s="56"/>
      <c r="AC1680" s="56"/>
    </row>
    <row r="1681" spans="1:29" ht="15.75" customHeight="1">
      <c r="A1681" s="39"/>
      <c r="B1681" s="107"/>
      <c r="C1681" s="109"/>
      <c r="D1681" s="76"/>
      <c r="E1681" s="64"/>
      <c r="F1681" s="39"/>
      <c r="G1681" s="399">
        <f>IFERROR(VLOOKUP(A1681,醫療院所DATABASE!A:B,2,""),)</f>
        <v>0</v>
      </c>
      <c r="H1681" s="64"/>
      <c r="I1681" s="109"/>
      <c r="J1681" s="109"/>
      <c r="K1681" s="39"/>
      <c r="L1681" s="76"/>
      <c r="M1681" s="39"/>
      <c r="N1681" s="39"/>
      <c r="O1681" s="24"/>
      <c r="P1681" s="409"/>
      <c r="Q1681" s="76"/>
      <c r="R1681" s="76"/>
      <c r="S1681" s="24"/>
      <c r="T1681" s="24"/>
      <c r="U1681" s="64"/>
      <c r="V1681" s="56"/>
      <c r="W1681" s="56"/>
      <c r="X1681" s="56"/>
      <c r="Y1681" s="56"/>
      <c r="Z1681" s="56"/>
      <c r="AA1681" s="56"/>
      <c r="AB1681" s="56"/>
      <c r="AC1681" s="56"/>
    </row>
    <row r="1682" spans="1:29" ht="15.75" customHeight="1">
      <c r="A1682" s="39"/>
      <c r="B1682" s="107"/>
      <c r="C1682" s="109"/>
      <c r="D1682" s="76"/>
      <c r="E1682" s="64"/>
      <c r="F1682" s="39"/>
      <c r="G1682" s="399">
        <f>IFERROR(VLOOKUP(A1682,醫療院所DATABASE!A:B,2,""),)</f>
        <v>0</v>
      </c>
      <c r="H1682" s="64"/>
      <c r="I1682" s="109"/>
      <c r="J1682" s="109"/>
      <c r="K1682" s="39"/>
      <c r="L1682" s="76"/>
      <c r="M1682" s="39"/>
      <c r="N1682" s="39"/>
      <c r="O1682" s="24"/>
      <c r="P1682" s="409"/>
      <c r="Q1682" s="76"/>
      <c r="R1682" s="76"/>
      <c r="S1682" s="24"/>
      <c r="T1682" s="24"/>
      <c r="U1682" s="64"/>
      <c r="V1682" s="56"/>
      <c r="W1682" s="56"/>
      <c r="X1682" s="56"/>
      <c r="Y1682" s="56"/>
      <c r="Z1682" s="56"/>
      <c r="AA1682" s="56"/>
      <c r="AB1682" s="56"/>
      <c r="AC1682" s="56"/>
    </row>
    <row r="1683" spans="1:29" ht="15.75" customHeight="1">
      <c r="A1683" s="39"/>
      <c r="B1683" s="107"/>
      <c r="C1683" s="109"/>
      <c r="D1683" s="76"/>
      <c r="E1683" s="64"/>
      <c r="F1683" s="39"/>
      <c r="G1683" s="399">
        <f>IFERROR(VLOOKUP(A1683,醫療院所DATABASE!A:B,2,""),)</f>
        <v>0</v>
      </c>
      <c r="H1683" s="64"/>
      <c r="I1683" s="109"/>
      <c r="J1683" s="109"/>
      <c r="K1683" s="39"/>
      <c r="L1683" s="76"/>
      <c r="M1683" s="39"/>
      <c r="N1683" s="39"/>
      <c r="O1683" s="24"/>
      <c r="P1683" s="409"/>
      <c r="Q1683" s="76"/>
      <c r="R1683" s="76"/>
      <c r="S1683" s="24"/>
      <c r="T1683" s="24"/>
      <c r="U1683" s="64"/>
      <c r="V1683" s="56"/>
      <c r="W1683" s="56"/>
      <c r="X1683" s="56"/>
      <c r="Y1683" s="56"/>
      <c r="Z1683" s="56"/>
      <c r="AA1683" s="56"/>
      <c r="AB1683" s="56"/>
      <c r="AC1683" s="56"/>
    </row>
    <row r="1684" spans="1:29" ht="15.75" customHeight="1">
      <c r="A1684" s="39"/>
      <c r="B1684" s="107"/>
      <c r="C1684" s="109"/>
      <c r="D1684" s="76"/>
      <c r="E1684" s="64"/>
      <c r="F1684" s="39"/>
      <c r="G1684" s="399">
        <f>IFERROR(VLOOKUP(A1684,醫療院所DATABASE!A:B,2,""),)</f>
        <v>0</v>
      </c>
      <c r="H1684" s="64"/>
      <c r="I1684" s="109"/>
      <c r="J1684" s="109"/>
      <c r="K1684" s="39"/>
      <c r="L1684" s="76"/>
      <c r="M1684" s="39"/>
      <c r="N1684" s="39"/>
      <c r="O1684" s="24"/>
      <c r="P1684" s="409"/>
      <c r="Q1684" s="76"/>
      <c r="R1684" s="76"/>
      <c r="S1684" s="24"/>
      <c r="T1684" s="24"/>
      <c r="U1684" s="64"/>
      <c r="V1684" s="56"/>
      <c r="W1684" s="56"/>
      <c r="X1684" s="56"/>
      <c r="Y1684" s="56"/>
      <c r="Z1684" s="56"/>
      <c r="AA1684" s="56"/>
      <c r="AB1684" s="56"/>
      <c r="AC1684" s="56"/>
    </row>
    <row r="1685" spans="1:29" ht="15.75" customHeight="1">
      <c r="A1685" s="39"/>
      <c r="B1685" s="107"/>
      <c r="C1685" s="109"/>
      <c r="D1685" s="76"/>
      <c r="E1685" s="64"/>
      <c r="F1685" s="39"/>
      <c r="G1685" s="399">
        <f>IFERROR(VLOOKUP(A1685,醫療院所DATABASE!A:B,2,""),)</f>
        <v>0</v>
      </c>
      <c r="H1685" s="64"/>
      <c r="I1685" s="109"/>
      <c r="J1685" s="109"/>
      <c r="K1685" s="39"/>
      <c r="L1685" s="76"/>
      <c r="M1685" s="39"/>
      <c r="N1685" s="39"/>
      <c r="O1685" s="24"/>
      <c r="P1685" s="409"/>
      <c r="Q1685" s="76"/>
      <c r="R1685" s="76"/>
      <c r="S1685" s="24"/>
      <c r="T1685" s="24"/>
      <c r="U1685" s="64"/>
      <c r="V1685" s="56"/>
      <c r="W1685" s="56"/>
      <c r="X1685" s="56"/>
      <c r="Y1685" s="56"/>
      <c r="Z1685" s="56"/>
      <c r="AA1685" s="56"/>
      <c r="AB1685" s="56"/>
      <c r="AC1685" s="56"/>
    </row>
    <row r="1686" spans="1:29" ht="15.75" customHeight="1">
      <c r="A1686" s="39"/>
      <c r="B1686" s="107"/>
      <c r="C1686" s="109"/>
      <c r="D1686" s="76"/>
      <c r="E1686" s="64"/>
      <c r="F1686" s="39"/>
      <c r="G1686" s="399">
        <f>IFERROR(VLOOKUP(A1686,醫療院所DATABASE!A:B,2,""),)</f>
        <v>0</v>
      </c>
      <c r="H1686" s="64"/>
      <c r="I1686" s="109"/>
      <c r="J1686" s="109"/>
      <c r="K1686" s="39"/>
      <c r="L1686" s="76"/>
      <c r="M1686" s="39"/>
      <c r="N1686" s="39"/>
      <c r="O1686" s="24"/>
      <c r="P1686" s="409"/>
      <c r="Q1686" s="76"/>
      <c r="R1686" s="76"/>
      <c r="S1686" s="24"/>
      <c r="T1686" s="24"/>
      <c r="U1686" s="64"/>
      <c r="V1686" s="56"/>
      <c r="W1686" s="56"/>
      <c r="X1686" s="56"/>
      <c r="Y1686" s="56"/>
      <c r="Z1686" s="56"/>
      <c r="AA1686" s="56"/>
      <c r="AB1686" s="56"/>
      <c r="AC1686" s="56"/>
    </row>
    <row r="1687" spans="1:29" ht="15.75" customHeight="1">
      <c r="A1687" s="39"/>
      <c r="B1687" s="107"/>
      <c r="C1687" s="109"/>
      <c r="D1687" s="76"/>
      <c r="E1687" s="64"/>
      <c r="F1687" s="39"/>
      <c r="G1687" s="399">
        <f>IFERROR(VLOOKUP(A1687,醫療院所DATABASE!A:B,2,""),)</f>
        <v>0</v>
      </c>
      <c r="H1687" s="64"/>
      <c r="I1687" s="109"/>
      <c r="J1687" s="109"/>
      <c r="K1687" s="39"/>
      <c r="L1687" s="76"/>
      <c r="M1687" s="39"/>
      <c r="N1687" s="39"/>
      <c r="O1687" s="24"/>
      <c r="P1687" s="409"/>
      <c r="Q1687" s="76"/>
      <c r="R1687" s="76"/>
      <c r="S1687" s="24"/>
      <c r="T1687" s="24"/>
      <c r="U1687" s="64"/>
      <c r="V1687" s="56"/>
      <c r="W1687" s="56"/>
      <c r="X1687" s="56"/>
      <c r="Y1687" s="56"/>
      <c r="Z1687" s="56"/>
      <c r="AA1687" s="56"/>
      <c r="AB1687" s="56"/>
      <c r="AC1687" s="56"/>
    </row>
    <row r="1688" spans="1:29" ht="15.75" customHeight="1">
      <c r="A1688" s="39"/>
      <c r="B1688" s="107"/>
      <c r="C1688" s="109"/>
      <c r="D1688" s="76"/>
      <c r="E1688" s="64"/>
      <c r="F1688" s="39"/>
      <c r="G1688" s="399">
        <f>IFERROR(VLOOKUP(A1688,醫療院所DATABASE!A:B,2,""),)</f>
        <v>0</v>
      </c>
      <c r="H1688" s="64"/>
      <c r="I1688" s="109"/>
      <c r="J1688" s="109"/>
      <c r="K1688" s="39"/>
      <c r="L1688" s="76"/>
      <c r="M1688" s="39"/>
      <c r="N1688" s="39"/>
      <c r="O1688" s="24"/>
      <c r="P1688" s="409"/>
      <c r="Q1688" s="76"/>
      <c r="R1688" s="76"/>
      <c r="S1688" s="24"/>
      <c r="T1688" s="24"/>
      <c r="U1688" s="64"/>
      <c r="V1688" s="56"/>
      <c r="W1688" s="56"/>
      <c r="X1688" s="56"/>
      <c r="Y1688" s="56"/>
      <c r="Z1688" s="56"/>
      <c r="AA1688" s="56"/>
      <c r="AB1688" s="56"/>
      <c r="AC1688" s="56"/>
    </row>
    <row r="1689" spans="1:29" ht="15.75" customHeight="1">
      <c r="A1689" s="39"/>
      <c r="B1689" s="107"/>
      <c r="C1689" s="109"/>
      <c r="D1689" s="76"/>
      <c r="E1689" s="64"/>
      <c r="F1689" s="39"/>
      <c r="G1689" s="399">
        <f>IFERROR(VLOOKUP(A1689,醫療院所DATABASE!A:B,2,""),)</f>
        <v>0</v>
      </c>
      <c r="H1689" s="64"/>
      <c r="I1689" s="109"/>
      <c r="J1689" s="109"/>
      <c r="K1689" s="39"/>
      <c r="L1689" s="76"/>
      <c r="M1689" s="39"/>
      <c r="N1689" s="39"/>
      <c r="O1689" s="24"/>
      <c r="P1689" s="409"/>
      <c r="Q1689" s="76"/>
      <c r="R1689" s="76"/>
      <c r="S1689" s="24"/>
      <c r="T1689" s="24"/>
      <c r="U1689" s="64"/>
      <c r="V1689" s="56"/>
      <c r="W1689" s="56"/>
      <c r="X1689" s="56"/>
      <c r="Y1689" s="56"/>
      <c r="Z1689" s="56"/>
      <c r="AA1689" s="56"/>
      <c r="AB1689" s="56"/>
      <c r="AC1689" s="56"/>
    </row>
    <row r="1690" spans="1:29" ht="15.75" customHeight="1">
      <c r="A1690" s="39"/>
      <c r="B1690" s="107"/>
      <c r="C1690" s="109"/>
      <c r="D1690" s="76"/>
      <c r="E1690" s="64"/>
      <c r="F1690" s="39"/>
      <c r="G1690" s="399">
        <f>IFERROR(VLOOKUP(A1690,醫療院所DATABASE!A:B,2,""),)</f>
        <v>0</v>
      </c>
      <c r="H1690" s="64"/>
      <c r="I1690" s="109"/>
      <c r="J1690" s="109"/>
      <c r="K1690" s="39"/>
      <c r="L1690" s="76"/>
      <c r="M1690" s="39"/>
      <c r="N1690" s="39"/>
      <c r="O1690" s="24"/>
      <c r="P1690" s="409"/>
      <c r="Q1690" s="76"/>
      <c r="R1690" s="76"/>
      <c r="S1690" s="24"/>
      <c r="T1690" s="24"/>
      <c r="U1690" s="64"/>
      <c r="V1690" s="56"/>
      <c r="W1690" s="56"/>
      <c r="X1690" s="56"/>
      <c r="Y1690" s="56"/>
      <c r="Z1690" s="56"/>
      <c r="AA1690" s="56"/>
      <c r="AB1690" s="56"/>
      <c r="AC1690" s="56"/>
    </row>
    <row r="1691" spans="1:29" ht="15.75" customHeight="1">
      <c r="A1691" s="39"/>
      <c r="B1691" s="107"/>
      <c r="C1691" s="109"/>
      <c r="D1691" s="76"/>
      <c r="E1691" s="64"/>
      <c r="F1691" s="39"/>
      <c r="G1691" s="399">
        <f>IFERROR(VLOOKUP(A1691,醫療院所DATABASE!A:B,2,""),)</f>
        <v>0</v>
      </c>
      <c r="H1691" s="64"/>
      <c r="I1691" s="109"/>
      <c r="J1691" s="109"/>
      <c r="K1691" s="39"/>
      <c r="L1691" s="76"/>
      <c r="M1691" s="39"/>
      <c r="N1691" s="39"/>
      <c r="O1691" s="24"/>
      <c r="P1691" s="409"/>
      <c r="Q1691" s="76"/>
      <c r="R1691" s="76"/>
      <c r="S1691" s="24"/>
      <c r="T1691" s="24"/>
      <c r="U1691" s="64"/>
      <c r="V1691" s="56"/>
      <c r="W1691" s="56"/>
      <c r="X1691" s="56"/>
      <c r="Y1691" s="56"/>
      <c r="Z1691" s="56"/>
      <c r="AA1691" s="56"/>
      <c r="AB1691" s="56"/>
      <c r="AC1691" s="56"/>
    </row>
    <row r="1692" spans="1:29" ht="15.75" customHeight="1">
      <c r="A1692" s="39"/>
      <c r="B1692" s="107"/>
      <c r="C1692" s="109"/>
      <c r="D1692" s="76"/>
      <c r="E1692" s="64"/>
      <c r="F1692" s="39"/>
      <c r="G1692" s="399">
        <f>IFERROR(VLOOKUP(A1692,醫療院所DATABASE!A:B,2,""),)</f>
        <v>0</v>
      </c>
      <c r="H1692" s="64"/>
      <c r="I1692" s="109"/>
      <c r="J1692" s="109"/>
      <c r="K1692" s="39"/>
      <c r="L1692" s="76"/>
      <c r="M1692" s="39"/>
      <c r="N1692" s="39"/>
      <c r="O1692" s="24"/>
      <c r="P1692" s="409"/>
      <c r="Q1692" s="76"/>
      <c r="R1692" s="76"/>
      <c r="S1692" s="24"/>
      <c r="T1692" s="24"/>
      <c r="U1692" s="64"/>
      <c r="V1692" s="56"/>
      <c r="W1692" s="56"/>
      <c r="X1692" s="56"/>
      <c r="Y1692" s="56"/>
      <c r="Z1692" s="56"/>
      <c r="AA1692" s="56"/>
      <c r="AB1692" s="56"/>
      <c r="AC1692" s="56"/>
    </row>
    <row r="1693" spans="1:29" ht="15.75" customHeight="1">
      <c r="A1693" s="39"/>
      <c r="B1693" s="107"/>
      <c r="C1693" s="109"/>
      <c r="D1693" s="76"/>
      <c r="E1693" s="64"/>
      <c r="F1693" s="39"/>
      <c r="G1693" s="399">
        <f>IFERROR(VLOOKUP(A1693,醫療院所DATABASE!A:B,2,""),)</f>
        <v>0</v>
      </c>
      <c r="H1693" s="64"/>
      <c r="I1693" s="109"/>
      <c r="J1693" s="109"/>
      <c r="K1693" s="39"/>
      <c r="L1693" s="76"/>
      <c r="M1693" s="39"/>
      <c r="N1693" s="39"/>
      <c r="O1693" s="24"/>
      <c r="P1693" s="409"/>
      <c r="Q1693" s="76"/>
      <c r="R1693" s="76"/>
      <c r="S1693" s="24"/>
      <c r="T1693" s="24"/>
      <c r="U1693" s="64"/>
      <c r="V1693" s="56"/>
      <c r="W1693" s="56"/>
      <c r="X1693" s="56"/>
      <c r="Y1693" s="56"/>
      <c r="Z1693" s="56"/>
      <c r="AA1693" s="56"/>
      <c r="AB1693" s="56"/>
      <c r="AC1693" s="56"/>
    </row>
    <row r="1694" spans="1:29" ht="15.75" customHeight="1">
      <c r="A1694" s="39"/>
      <c r="B1694" s="107"/>
      <c r="C1694" s="109"/>
      <c r="D1694" s="76"/>
      <c r="E1694" s="64"/>
      <c r="F1694" s="39"/>
      <c r="G1694" s="399">
        <f>IFERROR(VLOOKUP(A1694,醫療院所DATABASE!A:B,2,""),)</f>
        <v>0</v>
      </c>
      <c r="H1694" s="64"/>
      <c r="I1694" s="109"/>
      <c r="J1694" s="109"/>
      <c r="K1694" s="39"/>
      <c r="L1694" s="76"/>
      <c r="M1694" s="39"/>
      <c r="N1694" s="39"/>
      <c r="O1694" s="24"/>
      <c r="P1694" s="409"/>
      <c r="Q1694" s="76"/>
      <c r="R1694" s="76"/>
      <c r="S1694" s="24"/>
      <c r="T1694" s="24"/>
      <c r="U1694" s="64"/>
      <c r="V1694" s="56"/>
      <c r="W1694" s="56"/>
      <c r="X1694" s="56"/>
      <c r="Y1694" s="56"/>
      <c r="Z1694" s="56"/>
      <c r="AA1694" s="56"/>
      <c r="AB1694" s="56"/>
      <c r="AC1694" s="56"/>
    </row>
    <row r="1695" spans="1:29" ht="15.75" customHeight="1">
      <c r="A1695" s="39"/>
      <c r="B1695" s="107"/>
      <c r="C1695" s="109"/>
      <c r="D1695" s="76"/>
      <c r="E1695" s="64"/>
      <c r="F1695" s="39"/>
      <c r="G1695" s="399">
        <f>IFERROR(VLOOKUP(A1695,醫療院所DATABASE!A:B,2,""),)</f>
        <v>0</v>
      </c>
      <c r="H1695" s="64"/>
      <c r="I1695" s="109"/>
      <c r="J1695" s="109"/>
      <c r="K1695" s="39"/>
      <c r="L1695" s="76"/>
      <c r="M1695" s="39"/>
      <c r="N1695" s="39"/>
      <c r="O1695" s="24"/>
      <c r="P1695" s="409"/>
      <c r="Q1695" s="76"/>
      <c r="R1695" s="76"/>
      <c r="S1695" s="24"/>
      <c r="T1695" s="24"/>
      <c r="U1695" s="64"/>
      <c r="V1695" s="56"/>
      <c r="W1695" s="56"/>
      <c r="X1695" s="56"/>
      <c r="Y1695" s="56"/>
      <c r="Z1695" s="56"/>
      <c r="AA1695" s="56"/>
      <c r="AB1695" s="56"/>
      <c r="AC1695" s="56"/>
    </row>
    <row r="1696" spans="1:29" ht="15.75" customHeight="1">
      <c r="A1696" s="39"/>
      <c r="B1696" s="107"/>
      <c r="C1696" s="109"/>
      <c r="D1696" s="76"/>
      <c r="E1696" s="64"/>
      <c r="F1696" s="39"/>
      <c r="G1696" s="399">
        <f>IFERROR(VLOOKUP(A1696,醫療院所DATABASE!A:B,2,""),)</f>
        <v>0</v>
      </c>
      <c r="H1696" s="64"/>
      <c r="I1696" s="109"/>
      <c r="J1696" s="109"/>
      <c r="K1696" s="39"/>
      <c r="L1696" s="76"/>
      <c r="M1696" s="39"/>
      <c r="N1696" s="39"/>
      <c r="O1696" s="24"/>
      <c r="P1696" s="409"/>
      <c r="Q1696" s="76"/>
      <c r="R1696" s="76"/>
      <c r="S1696" s="24"/>
      <c r="T1696" s="24"/>
      <c r="U1696" s="64"/>
      <c r="V1696" s="56"/>
      <c r="W1696" s="56"/>
      <c r="X1696" s="56"/>
      <c r="Y1696" s="56"/>
      <c r="Z1696" s="56"/>
      <c r="AA1696" s="56"/>
      <c r="AB1696" s="56"/>
      <c r="AC1696" s="56"/>
    </row>
    <row r="1697" spans="1:29" ht="15.75" customHeight="1">
      <c r="A1697" s="39"/>
      <c r="B1697" s="107"/>
      <c r="C1697" s="109"/>
      <c r="D1697" s="76"/>
      <c r="E1697" s="64"/>
      <c r="F1697" s="39"/>
      <c r="G1697" s="399">
        <f>IFERROR(VLOOKUP(A1697,醫療院所DATABASE!A:B,2,""),)</f>
        <v>0</v>
      </c>
      <c r="H1697" s="64"/>
      <c r="I1697" s="109"/>
      <c r="J1697" s="109"/>
      <c r="K1697" s="39"/>
      <c r="L1697" s="76"/>
      <c r="M1697" s="39"/>
      <c r="N1697" s="39"/>
      <c r="O1697" s="24"/>
      <c r="P1697" s="409"/>
      <c r="Q1697" s="76"/>
      <c r="R1697" s="76"/>
      <c r="S1697" s="24"/>
      <c r="T1697" s="24"/>
      <c r="U1697" s="64"/>
      <c r="V1697" s="56"/>
      <c r="W1697" s="56"/>
      <c r="X1697" s="56"/>
      <c r="Y1697" s="56"/>
      <c r="Z1697" s="56"/>
      <c r="AA1697" s="56"/>
      <c r="AB1697" s="56"/>
      <c r="AC1697" s="56"/>
    </row>
    <row r="1698" spans="1:29" ht="15.75" customHeight="1">
      <c r="A1698" s="39"/>
      <c r="B1698" s="107"/>
      <c r="C1698" s="109"/>
      <c r="D1698" s="76"/>
      <c r="E1698" s="64"/>
      <c r="F1698" s="39"/>
      <c r="G1698" s="399">
        <f>IFERROR(VLOOKUP(A1698,醫療院所DATABASE!A:B,2,""),)</f>
        <v>0</v>
      </c>
      <c r="H1698" s="64"/>
      <c r="I1698" s="109"/>
      <c r="J1698" s="109"/>
      <c r="K1698" s="39"/>
      <c r="L1698" s="76"/>
      <c r="M1698" s="39"/>
      <c r="N1698" s="39"/>
      <c r="O1698" s="24"/>
      <c r="P1698" s="409"/>
      <c r="Q1698" s="76"/>
      <c r="R1698" s="76"/>
      <c r="S1698" s="24"/>
      <c r="T1698" s="24"/>
      <c r="U1698" s="64"/>
      <c r="V1698" s="56"/>
      <c r="W1698" s="56"/>
      <c r="X1698" s="56"/>
      <c r="Y1698" s="56"/>
      <c r="Z1698" s="56"/>
      <c r="AA1698" s="56"/>
      <c r="AB1698" s="56"/>
      <c r="AC1698" s="56"/>
    </row>
    <row r="1699" spans="1:29" ht="15.75" customHeight="1">
      <c r="A1699" s="39"/>
      <c r="B1699" s="107"/>
      <c r="C1699" s="109"/>
      <c r="D1699" s="76"/>
      <c r="E1699" s="64"/>
      <c r="F1699" s="39"/>
      <c r="G1699" s="399">
        <f>IFERROR(VLOOKUP(A1699,醫療院所DATABASE!A:B,2,""),)</f>
        <v>0</v>
      </c>
      <c r="H1699" s="64"/>
      <c r="I1699" s="109"/>
      <c r="J1699" s="109"/>
      <c r="K1699" s="39"/>
      <c r="L1699" s="76"/>
      <c r="M1699" s="39"/>
      <c r="N1699" s="39"/>
      <c r="O1699" s="24"/>
      <c r="P1699" s="409"/>
      <c r="Q1699" s="76"/>
      <c r="R1699" s="76"/>
      <c r="S1699" s="24"/>
      <c r="T1699" s="24"/>
      <c r="U1699" s="64"/>
      <c r="V1699" s="56"/>
      <c r="W1699" s="56"/>
      <c r="X1699" s="56"/>
      <c r="Y1699" s="56"/>
      <c r="Z1699" s="56"/>
      <c r="AA1699" s="56"/>
      <c r="AB1699" s="56"/>
      <c r="AC1699" s="56"/>
    </row>
    <row r="1700" spans="1:29" ht="15.75" customHeight="1">
      <c r="A1700" s="39"/>
      <c r="B1700" s="107"/>
      <c r="C1700" s="109"/>
      <c r="D1700" s="76"/>
      <c r="E1700" s="64"/>
      <c r="F1700" s="39"/>
      <c r="G1700" s="399">
        <f>IFERROR(VLOOKUP(A1700,醫療院所DATABASE!A:B,2,""),)</f>
        <v>0</v>
      </c>
      <c r="H1700" s="64"/>
      <c r="I1700" s="109"/>
      <c r="J1700" s="109"/>
      <c r="K1700" s="39"/>
      <c r="L1700" s="76"/>
      <c r="M1700" s="39"/>
      <c r="N1700" s="39"/>
      <c r="O1700" s="24"/>
      <c r="P1700" s="409"/>
      <c r="Q1700" s="76"/>
      <c r="R1700" s="76"/>
      <c r="S1700" s="24"/>
      <c r="T1700" s="24"/>
      <c r="U1700" s="64"/>
      <c r="V1700" s="56"/>
      <c r="W1700" s="56"/>
      <c r="X1700" s="56"/>
      <c r="Y1700" s="56"/>
      <c r="Z1700" s="56"/>
      <c r="AA1700" s="56"/>
      <c r="AB1700" s="56"/>
      <c r="AC1700" s="56"/>
    </row>
    <row r="1701" spans="1:29" ht="15.75" customHeight="1">
      <c r="A1701" s="39"/>
      <c r="B1701" s="107"/>
      <c r="C1701" s="109"/>
      <c r="D1701" s="76"/>
      <c r="E1701" s="64"/>
      <c r="F1701" s="39"/>
      <c r="G1701" s="399">
        <f>IFERROR(VLOOKUP(A1701,醫療院所DATABASE!A:B,2,""),)</f>
        <v>0</v>
      </c>
      <c r="H1701" s="64"/>
      <c r="I1701" s="109"/>
      <c r="J1701" s="109"/>
      <c r="K1701" s="39"/>
      <c r="L1701" s="76"/>
      <c r="M1701" s="39"/>
      <c r="N1701" s="39"/>
      <c r="O1701" s="24"/>
      <c r="P1701" s="409"/>
      <c r="Q1701" s="76"/>
      <c r="R1701" s="76"/>
      <c r="S1701" s="24"/>
      <c r="T1701" s="24"/>
      <c r="U1701" s="64"/>
      <c r="V1701" s="56"/>
      <c r="W1701" s="56"/>
      <c r="X1701" s="56"/>
      <c r="Y1701" s="56"/>
      <c r="Z1701" s="56"/>
      <c r="AA1701" s="56"/>
      <c r="AB1701" s="56"/>
      <c r="AC1701" s="56"/>
    </row>
    <row r="1702" spans="1:29" ht="15.75" customHeight="1">
      <c r="A1702" s="39"/>
      <c r="B1702" s="107"/>
      <c r="C1702" s="109"/>
      <c r="D1702" s="76"/>
      <c r="E1702" s="64"/>
      <c r="F1702" s="39"/>
      <c r="G1702" s="399">
        <f>IFERROR(VLOOKUP(A1702,醫療院所DATABASE!A:B,2,""),)</f>
        <v>0</v>
      </c>
      <c r="H1702" s="64"/>
      <c r="I1702" s="109"/>
      <c r="J1702" s="109"/>
      <c r="K1702" s="39"/>
      <c r="L1702" s="76"/>
      <c r="M1702" s="39"/>
      <c r="N1702" s="39"/>
      <c r="O1702" s="24"/>
      <c r="P1702" s="409"/>
      <c r="Q1702" s="76"/>
      <c r="R1702" s="76"/>
      <c r="S1702" s="24"/>
      <c r="T1702" s="24"/>
      <c r="U1702" s="64"/>
      <c r="V1702" s="56"/>
      <c r="W1702" s="56"/>
      <c r="X1702" s="56"/>
      <c r="Y1702" s="56"/>
      <c r="Z1702" s="56"/>
      <c r="AA1702" s="56"/>
      <c r="AB1702" s="56"/>
      <c r="AC1702" s="56"/>
    </row>
    <row r="1703" spans="1:29" ht="15.75" customHeight="1">
      <c r="A1703" s="39"/>
      <c r="B1703" s="107"/>
      <c r="C1703" s="109"/>
      <c r="D1703" s="76"/>
      <c r="E1703" s="64"/>
      <c r="F1703" s="39"/>
      <c r="G1703" s="399">
        <f>IFERROR(VLOOKUP(A1703,醫療院所DATABASE!A:B,2,""),)</f>
        <v>0</v>
      </c>
      <c r="H1703" s="64"/>
      <c r="I1703" s="109"/>
      <c r="J1703" s="109"/>
      <c r="K1703" s="39"/>
      <c r="L1703" s="76"/>
      <c r="M1703" s="39"/>
      <c r="N1703" s="39"/>
      <c r="O1703" s="24"/>
      <c r="P1703" s="409"/>
      <c r="Q1703" s="76"/>
      <c r="R1703" s="76"/>
      <c r="S1703" s="24"/>
      <c r="T1703" s="24"/>
      <c r="U1703" s="64"/>
      <c r="V1703" s="56"/>
      <c r="W1703" s="56"/>
      <c r="X1703" s="56"/>
      <c r="Y1703" s="56"/>
      <c r="Z1703" s="56"/>
      <c r="AA1703" s="56"/>
      <c r="AB1703" s="56"/>
      <c r="AC1703" s="56"/>
    </row>
    <row r="1704" spans="1:29" ht="15.75" customHeight="1">
      <c r="A1704" s="39"/>
      <c r="B1704" s="107"/>
      <c r="C1704" s="109"/>
      <c r="D1704" s="76"/>
      <c r="E1704" s="64"/>
      <c r="F1704" s="39"/>
      <c r="G1704" s="399">
        <f>IFERROR(VLOOKUP(A1704,醫療院所DATABASE!A:B,2,""),)</f>
        <v>0</v>
      </c>
      <c r="H1704" s="64"/>
      <c r="I1704" s="109"/>
      <c r="J1704" s="109"/>
      <c r="K1704" s="39"/>
      <c r="L1704" s="76"/>
      <c r="M1704" s="39"/>
      <c r="N1704" s="39"/>
      <c r="O1704" s="24"/>
      <c r="P1704" s="409"/>
      <c r="Q1704" s="76"/>
      <c r="R1704" s="76"/>
      <c r="S1704" s="24"/>
      <c r="T1704" s="24"/>
      <c r="U1704" s="64"/>
      <c r="V1704" s="56"/>
      <c r="W1704" s="56"/>
      <c r="X1704" s="56"/>
      <c r="Y1704" s="56"/>
      <c r="Z1704" s="56"/>
      <c r="AA1704" s="56"/>
      <c r="AB1704" s="56"/>
      <c r="AC1704" s="56"/>
    </row>
    <row r="1705" spans="1:29" ht="15.75" customHeight="1">
      <c r="A1705" s="39"/>
      <c r="B1705" s="107"/>
      <c r="C1705" s="109"/>
      <c r="D1705" s="76"/>
      <c r="E1705" s="64"/>
      <c r="F1705" s="39"/>
      <c r="G1705" s="399">
        <f>IFERROR(VLOOKUP(A1705,醫療院所DATABASE!A:B,2,""),)</f>
        <v>0</v>
      </c>
      <c r="H1705" s="64"/>
      <c r="I1705" s="109"/>
      <c r="J1705" s="109"/>
      <c r="K1705" s="39"/>
      <c r="L1705" s="76"/>
      <c r="M1705" s="39"/>
      <c r="N1705" s="39"/>
      <c r="O1705" s="24"/>
      <c r="P1705" s="409"/>
      <c r="Q1705" s="76"/>
      <c r="R1705" s="76"/>
      <c r="S1705" s="24"/>
      <c r="T1705" s="24"/>
      <c r="U1705" s="64"/>
      <c r="V1705" s="56"/>
      <c r="W1705" s="56"/>
      <c r="X1705" s="56"/>
      <c r="Y1705" s="56"/>
      <c r="Z1705" s="56"/>
      <c r="AA1705" s="56"/>
      <c r="AB1705" s="56"/>
      <c r="AC1705" s="56"/>
    </row>
    <row r="1706" spans="1:29" ht="15.75" customHeight="1">
      <c r="A1706" s="39"/>
      <c r="B1706" s="107"/>
      <c r="C1706" s="109"/>
      <c r="D1706" s="76"/>
      <c r="E1706" s="64"/>
      <c r="F1706" s="39"/>
      <c r="G1706" s="399">
        <f>IFERROR(VLOOKUP(A1706,醫療院所DATABASE!A:B,2,""),)</f>
        <v>0</v>
      </c>
      <c r="H1706" s="64"/>
      <c r="I1706" s="109"/>
      <c r="J1706" s="109"/>
      <c r="K1706" s="39"/>
      <c r="L1706" s="76"/>
      <c r="M1706" s="39"/>
      <c r="N1706" s="39"/>
      <c r="O1706" s="24"/>
      <c r="P1706" s="409"/>
      <c r="Q1706" s="76"/>
      <c r="R1706" s="76"/>
      <c r="S1706" s="24"/>
      <c r="T1706" s="24"/>
      <c r="U1706" s="64"/>
      <c r="V1706" s="56"/>
      <c r="W1706" s="56"/>
      <c r="X1706" s="56"/>
      <c r="Y1706" s="56"/>
      <c r="Z1706" s="56"/>
      <c r="AA1706" s="56"/>
      <c r="AB1706" s="56"/>
      <c r="AC1706" s="56"/>
    </row>
    <row r="1707" spans="1:29" ht="15.75" customHeight="1">
      <c r="A1707" s="39"/>
      <c r="B1707" s="107"/>
      <c r="C1707" s="109"/>
      <c r="D1707" s="76"/>
      <c r="E1707" s="64"/>
      <c r="F1707" s="39"/>
      <c r="G1707" s="399">
        <f>IFERROR(VLOOKUP(A1707,醫療院所DATABASE!A:B,2,""),)</f>
        <v>0</v>
      </c>
      <c r="H1707" s="64"/>
      <c r="I1707" s="109"/>
      <c r="J1707" s="109"/>
      <c r="K1707" s="39"/>
      <c r="L1707" s="76"/>
      <c r="M1707" s="39"/>
      <c r="N1707" s="39"/>
      <c r="O1707" s="24"/>
      <c r="P1707" s="409"/>
      <c r="Q1707" s="76"/>
      <c r="R1707" s="76"/>
      <c r="S1707" s="24"/>
      <c r="T1707" s="24"/>
      <c r="U1707" s="64"/>
      <c r="V1707" s="56"/>
      <c r="W1707" s="56"/>
      <c r="X1707" s="56"/>
      <c r="Y1707" s="56"/>
      <c r="Z1707" s="56"/>
      <c r="AA1707" s="56"/>
      <c r="AB1707" s="56"/>
      <c r="AC1707" s="56"/>
    </row>
    <row r="1708" spans="1:29" ht="15.75" customHeight="1">
      <c r="A1708" s="39"/>
      <c r="B1708" s="107"/>
      <c r="C1708" s="109"/>
      <c r="D1708" s="76"/>
      <c r="E1708" s="64"/>
      <c r="F1708" s="39"/>
      <c r="G1708" s="399">
        <f>IFERROR(VLOOKUP(A1708,醫療院所DATABASE!A:B,2,""),)</f>
        <v>0</v>
      </c>
      <c r="H1708" s="64"/>
      <c r="I1708" s="109"/>
      <c r="J1708" s="109"/>
      <c r="K1708" s="39"/>
      <c r="L1708" s="76"/>
      <c r="M1708" s="39"/>
      <c r="N1708" s="39"/>
      <c r="O1708" s="24"/>
      <c r="P1708" s="409"/>
      <c r="Q1708" s="76"/>
      <c r="R1708" s="76"/>
      <c r="S1708" s="24"/>
      <c r="T1708" s="24"/>
      <c r="U1708" s="64"/>
      <c r="V1708" s="56"/>
      <c r="W1708" s="56"/>
      <c r="X1708" s="56"/>
      <c r="Y1708" s="56"/>
      <c r="Z1708" s="56"/>
      <c r="AA1708" s="56"/>
      <c r="AB1708" s="56"/>
      <c r="AC1708" s="56"/>
    </row>
    <row r="1709" spans="1:29" ht="15.75" customHeight="1">
      <c r="A1709" s="39"/>
      <c r="B1709" s="107"/>
      <c r="C1709" s="109"/>
      <c r="D1709" s="76"/>
      <c r="E1709" s="64"/>
      <c r="F1709" s="39"/>
      <c r="G1709" s="399">
        <f>IFERROR(VLOOKUP(A1709,醫療院所DATABASE!A:B,2,""),)</f>
        <v>0</v>
      </c>
      <c r="H1709" s="64"/>
      <c r="I1709" s="109"/>
      <c r="J1709" s="109"/>
      <c r="K1709" s="39"/>
      <c r="L1709" s="76"/>
      <c r="M1709" s="39"/>
      <c r="N1709" s="39"/>
      <c r="O1709" s="24"/>
      <c r="P1709" s="409"/>
      <c r="Q1709" s="76"/>
      <c r="R1709" s="76"/>
      <c r="S1709" s="24"/>
      <c r="T1709" s="24"/>
      <c r="U1709" s="64"/>
      <c r="V1709" s="56"/>
      <c r="W1709" s="56"/>
      <c r="X1709" s="56"/>
      <c r="Y1709" s="56"/>
      <c r="Z1709" s="56"/>
      <c r="AA1709" s="56"/>
      <c r="AB1709" s="56"/>
      <c r="AC1709" s="56"/>
    </row>
    <row r="1710" spans="1:29" ht="15.75" customHeight="1">
      <c r="A1710" s="39"/>
      <c r="B1710" s="107"/>
      <c r="C1710" s="109"/>
      <c r="D1710" s="76"/>
      <c r="E1710" s="64"/>
      <c r="F1710" s="39"/>
      <c r="G1710" s="399">
        <f>IFERROR(VLOOKUP(A1710,醫療院所DATABASE!A:B,2,""),)</f>
        <v>0</v>
      </c>
      <c r="H1710" s="64"/>
      <c r="I1710" s="109"/>
      <c r="J1710" s="109"/>
      <c r="K1710" s="39"/>
      <c r="L1710" s="76"/>
      <c r="M1710" s="39"/>
      <c r="N1710" s="39"/>
      <c r="O1710" s="24"/>
      <c r="P1710" s="409"/>
      <c r="Q1710" s="76"/>
      <c r="R1710" s="76"/>
      <c r="S1710" s="24"/>
      <c r="T1710" s="24"/>
      <c r="U1710" s="64"/>
      <c r="V1710" s="56"/>
      <c r="W1710" s="56"/>
      <c r="X1710" s="56"/>
      <c r="Y1710" s="56"/>
      <c r="Z1710" s="56"/>
      <c r="AA1710" s="56"/>
      <c r="AB1710" s="56"/>
      <c r="AC1710" s="56"/>
    </row>
    <row r="1711" spans="1:29" ht="15.75" customHeight="1">
      <c r="A1711" s="39"/>
      <c r="B1711" s="107"/>
      <c r="C1711" s="109"/>
      <c r="D1711" s="76"/>
      <c r="E1711" s="64"/>
      <c r="F1711" s="39"/>
      <c r="G1711" s="399">
        <f>IFERROR(VLOOKUP(A1711,醫療院所DATABASE!A:B,2,""),)</f>
        <v>0</v>
      </c>
      <c r="H1711" s="64"/>
      <c r="I1711" s="109"/>
      <c r="J1711" s="109"/>
      <c r="K1711" s="39"/>
      <c r="L1711" s="76"/>
      <c r="M1711" s="39"/>
      <c r="N1711" s="39"/>
      <c r="O1711" s="24"/>
      <c r="P1711" s="409"/>
      <c r="Q1711" s="76"/>
      <c r="R1711" s="76"/>
      <c r="S1711" s="24"/>
      <c r="T1711" s="24"/>
      <c r="U1711" s="64"/>
      <c r="V1711" s="56"/>
      <c r="W1711" s="56"/>
      <c r="X1711" s="56"/>
      <c r="Y1711" s="56"/>
      <c r="Z1711" s="56"/>
      <c r="AA1711" s="56"/>
      <c r="AB1711" s="56"/>
      <c r="AC1711" s="56"/>
    </row>
    <row r="1712" spans="1:29" ht="15.75" customHeight="1">
      <c r="A1712" s="39"/>
      <c r="B1712" s="107"/>
      <c r="C1712" s="109"/>
      <c r="D1712" s="76"/>
      <c r="E1712" s="64"/>
      <c r="F1712" s="39"/>
      <c r="G1712" s="399">
        <f>IFERROR(VLOOKUP(A1712,醫療院所DATABASE!A:B,2,""),)</f>
        <v>0</v>
      </c>
      <c r="H1712" s="64"/>
      <c r="I1712" s="109"/>
      <c r="J1712" s="109"/>
      <c r="K1712" s="39"/>
      <c r="L1712" s="76"/>
      <c r="M1712" s="39"/>
      <c r="N1712" s="39"/>
      <c r="O1712" s="24"/>
      <c r="P1712" s="409"/>
      <c r="Q1712" s="76"/>
      <c r="R1712" s="76"/>
      <c r="S1712" s="24"/>
      <c r="T1712" s="24"/>
      <c r="U1712" s="64"/>
      <c r="V1712" s="56"/>
      <c r="W1712" s="56"/>
      <c r="X1712" s="56"/>
      <c r="Y1712" s="56"/>
      <c r="Z1712" s="56"/>
      <c r="AA1712" s="56"/>
      <c r="AB1712" s="56"/>
      <c r="AC1712" s="56"/>
    </row>
    <row r="1713" spans="1:29" ht="15.75" customHeight="1">
      <c r="A1713" s="39"/>
      <c r="B1713" s="107"/>
      <c r="C1713" s="109"/>
      <c r="D1713" s="76"/>
      <c r="E1713" s="64"/>
      <c r="F1713" s="39"/>
      <c r="G1713" s="399">
        <f>IFERROR(VLOOKUP(A1713,醫療院所DATABASE!A:B,2,""),)</f>
        <v>0</v>
      </c>
      <c r="H1713" s="64"/>
      <c r="I1713" s="109"/>
      <c r="J1713" s="109"/>
      <c r="K1713" s="39"/>
      <c r="L1713" s="76"/>
      <c r="M1713" s="39"/>
      <c r="N1713" s="39"/>
      <c r="O1713" s="24"/>
      <c r="P1713" s="409"/>
      <c r="Q1713" s="76"/>
      <c r="R1713" s="76"/>
      <c r="S1713" s="24"/>
      <c r="T1713" s="24"/>
      <c r="U1713" s="64"/>
      <c r="V1713" s="56"/>
      <c r="W1713" s="56"/>
      <c r="X1713" s="56"/>
      <c r="Y1713" s="56"/>
      <c r="Z1713" s="56"/>
      <c r="AA1713" s="56"/>
      <c r="AB1713" s="56"/>
      <c r="AC1713" s="56"/>
    </row>
    <row r="1714" spans="1:29" ht="15.75" customHeight="1">
      <c r="A1714" s="39"/>
      <c r="B1714" s="107"/>
      <c r="C1714" s="109"/>
      <c r="D1714" s="76"/>
      <c r="E1714" s="64"/>
      <c r="F1714" s="39"/>
      <c r="G1714" s="399">
        <f>IFERROR(VLOOKUP(A1714,醫療院所DATABASE!A:B,2,""),)</f>
        <v>0</v>
      </c>
      <c r="H1714" s="64"/>
      <c r="I1714" s="109"/>
      <c r="J1714" s="109"/>
      <c r="K1714" s="39"/>
      <c r="L1714" s="76"/>
      <c r="M1714" s="39"/>
      <c r="N1714" s="39"/>
      <c r="O1714" s="24"/>
      <c r="P1714" s="409"/>
      <c r="Q1714" s="76"/>
      <c r="R1714" s="76"/>
      <c r="S1714" s="24"/>
      <c r="T1714" s="24"/>
      <c r="U1714" s="64"/>
      <c r="V1714" s="56"/>
      <c r="W1714" s="56"/>
      <c r="X1714" s="56"/>
      <c r="Y1714" s="56"/>
      <c r="Z1714" s="56"/>
      <c r="AA1714" s="56"/>
      <c r="AB1714" s="56"/>
      <c r="AC1714" s="56"/>
    </row>
    <row r="1715" spans="1:29" ht="15.75" customHeight="1">
      <c r="A1715" s="39"/>
      <c r="B1715" s="107"/>
      <c r="C1715" s="109"/>
      <c r="D1715" s="76"/>
      <c r="E1715" s="64"/>
      <c r="F1715" s="39"/>
      <c r="G1715" s="399">
        <f>IFERROR(VLOOKUP(A1715,醫療院所DATABASE!A:B,2,""),)</f>
        <v>0</v>
      </c>
      <c r="H1715" s="64"/>
      <c r="I1715" s="109"/>
      <c r="J1715" s="109"/>
      <c r="K1715" s="39"/>
      <c r="L1715" s="76"/>
      <c r="M1715" s="39"/>
      <c r="N1715" s="39"/>
      <c r="O1715" s="24"/>
      <c r="P1715" s="409"/>
      <c r="Q1715" s="76"/>
      <c r="R1715" s="76"/>
      <c r="S1715" s="24"/>
      <c r="T1715" s="24"/>
      <c r="U1715" s="64"/>
      <c r="V1715" s="56"/>
      <c r="W1715" s="56"/>
      <c r="X1715" s="56"/>
      <c r="Y1715" s="56"/>
      <c r="Z1715" s="56"/>
      <c r="AA1715" s="56"/>
      <c r="AB1715" s="56"/>
      <c r="AC1715" s="56"/>
    </row>
    <row r="1716" spans="1:29" ht="15.75" customHeight="1">
      <c r="A1716" s="39"/>
      <c r="B1716" s="107"/>
      <c r="C1716" s="109"/>
      <c r="D1716" s="76"/>
      <c r="E1716" s="64"/>
      <c r="F1716" s="39"/>
      <c r="G1716" s="399">
        <f>IFERROR(VLOOKUP(A1716,醫療院所DATABASE!A:B,2,""),)</f>
        <v>0</v>
      </c>
      <c r="H1716" s="64"/>
      <c r="I1716" s="109"/>
      <c r="J1716" s="109"/>
      <c r="K1716" s="39"/>
      <c r="L1716" s="76"/>
      <c r="M1716" s="39"/>
      <c r="N1716" s="39"/>
      <c r="O1716" s="24"/>
      <c r="P1716" s="409"/>
      <c r="Q1716" s="76"/>
      <c r="R1716" s="76"/>
      <c r="S1716" s="24"/>
      <c r="T1716" s="24"/>
      <c r="U1716" s="64"/>
      <c r="V1716" s="56"/>
      <c r="W1716" s="56"/>
      <c r="X1716" s="56"/>
      <c r="Y1716" s="56"/>
      <c r="Z1716" s="56"/>
      <c r="AA1716" s="56"/>
      <c r="AB1716" s="56"/>
      <c r="AC1716" s="56"/>
    </row>
    <row r="1717" spans="1:29" ht="15.75" customHeight="1">
      <c r="A1717" s="39"/>
      <c r="B1717" s="107"/>
      <c r="C1717" s="109"/>
      <c r="D1717" s="76"/>
      <c r="E1717" s="64"/>
      <c r="F1717" s="39"/>
      <c r="G1717" s="399">
        <f>IFERROR(VLOOKUP(A1717,醫療院所DATABASE!A:B,2,""),)</f>
        <v>0</v>
      </c>
      <c r="H1717" s="64"/>
      <c r="I1717" s="109"/>
      <c r="J1717" s="109"/>
      <c r="K1717" s="39"/>
      <c r="L1717" s="76"/>
      <c r="M1717" s="39"/>
      <c r="N1717" s="39"/>
      <c r="O1717" s="24"/>
      <c r="P1717" s="409"/>
      <c r="Q1717" s="76"/>
      <c r="R1717" s="76"/>
      <c r="S1717" s="24"/>
      <c r="T1717" s="24"/>
      <c r="U1717" s="64"/>
      <c r="V1717" s="56"/>
      <c r="W1717" s="56"/>
      <c r="X1717" s="56"/>
      <c r="Y1717" s="56"/>
      <c r="Z1717" s="56"/>
      <c r="AA1717" s="56"/>
      <c r="AB1717" s="56"/>
      <c r="AC1717" s="56"/>
    </row>
    <row r="1718" spans="1:29" ht="15.75" customHeight="1">
      <c r="A1718" s="39"/>
      <c r="B1718" s="107"/>
      <c r="C1718" s="109"/>
      <c r="D1718" s="76"/>
      <c r="E1718" s="64"/>
      <c r="F1718" s="39"/>
      <c r="G1718" s="399">
        <f>IFERROR(VLOOKUP(A1718,醫療院所DATABASE!A:B,2,""),)</f>
        <v>0</v>
      </c>
      <c r="H1718" s="64"/>
      <c r="I1718" s="109"/>
      <c r="J1718" s="109"/>
      <c r="K1718" s="39"/>
      <c r="L1718" s="76"/>
      <c r="M1718" s="39"/>
      <c r="N1718" s="39"/>
      <c r="O1718" s="24"/>
      <c r="P1718" s="409"/>
      <c r="Q1718" s="76"/>
      <c r="R1718" s="76"/>
      <c r="S1718" s="24"/>
      <c r="T1718" s="24"/>
      <c r="U1718" s="64"/>
      <c r="V1718" s="56"/>
      <c r="W1718" s="56"/>
      <c r="X1718" s="56"/>
      <c r="Y1718" s="56"/>
      <c r="Z1718" s="56"/>
      <c r="AA1718" s="56"/>
      <c r="AB1718" s="56"/>
      <c r="AC1718" s="56"/>
    </row>
    <row r="1719" spans="1:29" ht="15.75" customHeight="1">
      <c r="A1719" s="39"/>
      <c r="B1719" s="107"/>
      <c r="C1719" s="109"/>
      <c r="D1719" s="76"/>
      <c r="E1719" s="64"/>
      <c r="F1719" s="39"/>
      <c r="G1719" s="399">
        <f>IFERROR(VLOOKUP(A1719,醫療院所DATABASE!A:B,2,""),)</f>
        <v>0</v>
      </c>
      <c r="H1719" s="64"/>
      <c r="I1719" s="109"/>
      <c r="J1719" s="109"/>
      <c r="K1719" s="39"/>
      <c r="L1719" s="76"/>
      <c r="M1719" s="39"/>
      <c r="N1719" s="39"/>
      <c r="O1719" s="24"/>
      <c r="P1719" s="409"/>
      <c r="Q1719" s="76"/>
      <c r="R1719" s="76"/>
      <c r="S1719" s="24"/>
      <c r="T1719" s="24"/>
      <c r="U1719" s="64"/>
      <c r="V1719" s="56"/>
      <c r="W1719" s="56"/>
      <c r="X1719" s="56"/>
      <c r="Y1719" s="56"/>
      <c r="Z1719" s="56"/>
      <c r="AA1719" s="56"/>
      <c r="AB1719" s="56"/>
      <c r="AC1719" s="56"/>
    </row>
    <row r="1720" spans="1:29" ht="15.75" customHeight="1">
      <c r="A1720" s="39"/>
      <c r="B1720" s="107"/>
      <c r="C1720" s="109"/>
      <c r="D1720" s="76"/>
      <c r="E1720" s="64"/>
      <c r="F1720" s="39"/>
      <c r="G1720" s="399">
        <f>IFERROR(VLOOKUP(A1720,醫療院所DATABASE!A:B,2,""),)</f>
        <v>0</v>
      </c>
      <c r="H1720" s="64"/>
      <c r="I1720" s="109"/>
      <c r="J1720" s="109"/>
      <c r="K1720" s="39"/>
      <c r="L1720" s="76"/>
      <c r="M1720" s="39"/>
      <c r="N1720" s="39"/>
      <c r="O1720" s="24"/>
      <c r="P1720" s="409"/>
      <c r="Q1720" s="76"/>
      <c r="R1720" s="76"/>
      <c r="S1720" s="24"/>
      <c r="T1720" s="24"/>
      <c r="U1720" s="64"/>
      <c r="V1720" s="56"/>
      <c r="W1720" s="56"/>
      <c r="X1720" s="56"/>
      <c r="Y1720" s="56"/>
      <c r="Z1720" s="56"/>
      <c r="AA1720" s="56"/>
      <c r="AB1720" s="56"/>
      <c r="AC1720" s="56"/>
    </row>
    <row r="1721" spans="1:29" ht="15.75" customHeight="1">
      <c r="A1721" s="39"/>
      <c r="B1721" s="107"/>
      <c r="C1721" s="109"/>
      <c r="D1721" s="76"/>
      <c r="E1721" s="64"/>
      <c r="F1721" s="39"/>
      <c r="G1721" s="399">
        <f>IFERROR(VLOOKUP(A1721,醫療院所DATABASE!A:B,2,""),)</f>
        <v>0</v>
      </c>
      <c r="H1721" s="64"/>
      <c r="I1721" s="109"/>
      <c r="J1721" s="109"/>
      <c r="K1721" s="39"/>
      <c r="L1721" s="76"/>
      <c r="M1721" s="39"/>
      <c r="N1721" s="39"/>
      <c r="O1721" s="24"/>
      <c r="P1721" s="409"/>
      <c r="Q1721" s="76"/>
      <c r="R1721" s="76"/>
      <c r="S1721" s="24"/>
      <c r="T1721" s="24"/>
      <c r="U1721" s="64"/>
      <c r="V1721" s="56"/>
      <c r="W1721" s="56"/>
      <c r="X1721" s="56"/>
      <c r="Y1721" s="56"/>
      <c r="Z1721" s="56"/>
      <c r="AA1721" s="56"/>
      <c r="AB1721" s="56"/>
      <c r="AC1721" s="56"/>
    </row>
    <row r="1722" spans="1:29" ht="15.75" customHeight="1">
      <c r="A1722" s="39"/>
      <c r="B1722" s="107"/>
      <c r="C1722" s="109"/>
      <c r="D1722" s="76"/>
      <c r="E1722" s="64"/>
      <c r="F1722" s="39"/>
      <c r="G1722" s="399">
        <f>IFERROR(VLOOKUP(A1722,醫療院所DATABASE!A:B,2,""),)</f>
        <v>0</v>
      </c>
      <c r="H1722" s="64"/>
      <c r="I1722" s="109"/>
      <c r="J1722" s="109"/>
      <c r="K1722" s="39"/>
      <c r="L1722" s="76"/>
      <c r="M1722" s="39"/>
      <c r="N1722" s="39"/>
      <c r="O1722" s="24"/>
      <c r="P1722" s="409"/>
      <c r="Q1722" s="76"/>
      <c r="R1722" s="76"/>
      <c r="S1722" s="24"/>
      <c r="T1722" s="24"/>
      <c r="U1722" s="64"/>
      <c r="V1722" s="56"/>
      <c r="W1722" s="56"/>
      <c r="X1722" s="56"/>
      <c r="Y1722" s="56"/>
      <c r="Z1722" s="56"/>
      <c r="AA1722" s="56"/>
      <c r="AB1722" s="56"/>
      <c r="AC1722" s="56"/>
    </row>
    <row r="1723" spans="1:29" ht="15.75" customHeight="1">
      <c r="A1723" s="39"/>
      <c r="B1723" s="107"/>
      <c r="C1723" s="109"/>
      <c r="D1723" s="76"/>
      <c r="E1723" s="64"/>
      <c r="F1723" s="39"/>
      <c r="G1723" s="399">
        <f>IFERROR(VLOOKUP(A1723,醫療院所DATABASE!A:B,2,""),)</f>
        <v>0</v>
      </c>
      <c r="H1723" s="64"/>
      <c r="I1723" s="109"/>
      <c r="J1723" s="109"/>
      <c r="K1723" s="39"/>
      <c r="L1723" s="76"/>
      <c r="M1723" s="39"/>
      <c r="N1723" s="39"/>
      <c r="O1723" s="24"/>
      <c r="P1723" s="409"/>
      <c r="Q1723" s="76"/>
      <c r="R1723" s="76"/>
      <c r="S1723" s="24"/>
      <c r="T1723" s="24"/>
      <c r="U1723" s="64"/>
      <c r="V1723" s="56"/>
      <c r="W1723" s="56"/>
      <c r="X1723" s="56"/>
      <c r="Y1723" s="56"/>
      <c r="Z1723" s="56"/>
      <c r="AA1723" s="56"/>
      <c r="AB1723" s="56"/>
      <c r="AC1723" s="56"/>
    </row>
    <row r="1724" spans="1:29" ht="15.75" customHeight="1">
      <c r="A1724" s="39"/>
      <c r="B1724" s="107"/>
      <c r="C1724" s="109"/>
      <c r="D1724" s="76"/>
      <c r="E1724" s="64"/>
      <c r="F1724" s="39"/>
      <c r="G1724" s="399">
        <f>IFERROR(VLOOKUP(A1724,醫療院所DATABASE!A:B,2,""),)</f>
        <v>0</v>
      </c>
      <c r="H1724" s="64"/>
      <c r="I1724" s="109"/>
      <c r="J1724" s="109"/>
      <c r="K1724" s="39"/>
      <c r="L1724" s="76"/>
      <c r="M1724" s="39"/>
      <c r="N1724" s="39"/>
      <c r="O1724" s="24"/>
      <c r="P1724" s="409"/>
      <c r="Q1724" s="76"/>
      <c r="R1724" s="76"/>
      <c r="S1724" s="24"/>
      <c r="T1724" s="24"/>
      <c r="U1724" s="64"/>
      <c r="V1724" s="56"/>
      <c r="W1724" s="56"/>
      <c r="X1724" s="56"/>
      <c r="Y1724" s="56"/>
      <c r="Z1724" s="56"/>
      <c r="AA1724" s="56"/>
      <c r="AB1724" s="56"/>
      <c r="AC1724" s="56"/>
    </row>
    <row r="1725" spans="1:29" ht="15.75" customHeight="1">
      <c r="A1725" s="39"/>
      <c r="B1725" s="107"/>
      <c r="C1725" s="109"/>
      <c r="D1725" s="76"/>
      <c r="E1725" s="64"/>
      <c r="F1725" s="39"/>
      <c r="G1725" s="399">
        <f>IFERROR(VLOOKUP(A1725,醫療院所DATABASE!A:B,2,""),)</f>
        <v>0</v>
      </c>
      <c r="H1725" s="64"/>
      <c r="I1725" s="109"/>
      <c r="J1725" s="109"/>
      <c r="K1725" s="39"/>
      <c r="L1725" s="76"/>
      <c r="M1725" s="39"/>
      <c r="N1725" s="39"/>
      <c r="O1725" s="24"/>
      <c r="P1725" s="409"/>
      <c r="Q1725" s="76"/>
      <c r="R1725" s="76"/>
      <c r="S1725" s="24"/>
      <c r="T1725" s="24"/>
      <c r="U1725" s="64"/>
      <c r="V1725" s="56"/>
      <c r="W1725" s="56"/>
      <c r="X1725" s="56"/>
      <c r="Y1725" s="56"/>
      <c r="Z1725" s="56"/>
      <c r="AA1725" s="56"/>
      <c r="AB1725" s="56"/>
      <c r="AC1725" s="56"/>
    </row>
    <row r="1726" spans="1:29" ht="15.75" customHeight="1">
      <c r="A1726" s="39"/>
      <c r="B1726" s="107"/>
      <c r="C1726" s="109"/>
      <c r="D1726" s="76"/>
      <c r="E1726" s="64"/>
      <c r="F1726" s="39"/>
      <c r="G1726" s="399">
        <f>IFERROR(VLOOKUP(A1726,醫療院所DATABASE!A:B,2,""),)</f>
        <v>0</v>
      </c>
      <c r="H1726" s="64"/>
      <c r="I1726" s="109"/>
      <c r="J1726" s="109"/>
      <c r="K1726" s="39"/>
      <c r="L1726" s="76"/>
      <c r="M1726" s="39"/>
      <c r="N1726" s="39"/>
      <c r="O1726" s="24"/>
      <c r="P1726" s="409"/>
      <c r="Q1726" s="76"/>
      <c r="R1726" s="76"/>
      <c r="S1726" s="24"/>
      <c r="T1726" s="24"/>
      <c r="U1726" s="64"/>
      <c r="V1726" s="56"/>
      <c r="W1726" s="56"/>
      <c r="X1726" s="56"/>
      <c r="Y1726" s="56"/>
      <c r="Z1726" s="56"/>
      <c r="AA1726" s="56"/>
      <c r="AB1726" s="56"/>
      <c r="AC1726" s="56"/>
    </row>
    <row r="1727" spans="1:29" ht="15.75" customHeight="1">
      <c r="A1727" s="39"/>
      <c r="B1727" s="107"/>
      <c r="C1727" s="109"/>
      <c r="D1727" s="76"/>
      <c r="E1727" s="64"/>
      <c r="F1727" s="39"/>
      <c r="G1727" s="399">
        <f>IFERROR(VLOOKUP(A1727,醫療院所DATABASE!A:B,2,""),)</f>
        <v>0</v>
      </c>
      <c r="H1727" s="64"/>
      <c r="I1727" s="109"/>
      <c r="J1727" s="109"/>
      <c r="K1727" s="39"/>
      <c r="L1727" s="76"/>
      <c r="M1727" s="39"/>
      <c r="N1727" s="39"/>
      <c r="O1727" s="24"/>
      <c r="P1727" s="409"/>
      <c r="Q1727" s="76"/>
      <c r="R1727" s="76"/>
      <c r="S1727" s="24"/>
      <c r="T1727" s="24"/>
      <c r="U1727" s="64"/>
      <c r="V1727" s="56"/>
      <c r="W1727" s="56"/>
      <c r="X1727" s="56"/>
      <c r="Y1727" s="56"/>
      <c r="Z1727" s="56"/>
      <c r="AA1727" s="56"/>
      <c r="AB1727" s="56"/>
      <c r="AC1727" s="56"/>
    </row>
    <row r="1728" spans="1:29" ht="15.75" customHeight="1">
      <c r="A1728" s="39"/>
      <c r="B1728" s="107"/>
      <c r="C1728" s="109"/>
      <c r="D1728" s="76"/>
      <c r="E1728" s="64"/>
      <c r="F1728" s="39"/>
      <c r="G1728" s="399">
        <f>IFERROR(VLOOKUP(A1728,醫療院所DATABASE!A:B,2,""),)</f>
        <v>0</v>
      </c>
      <c r="H1728" s="64"/>
      <c r="I1728" s="109"/>
      <c r="J1728" s="109"/>
      <c r="K1728" s="39"/>
      <c r="L1728" s="76"/>
      <c r="M1728" s="39"/>
      <c r="N1728" s="39"/>
      <c r="O1728" s="24"/>
      <c r="P1728" s="409"/>
      <c r="Q1728" s="76"/>
      <c r="R1728" s="76"/>
      <c r="S1728" s="24"/>
      <c r="T1728" s="24"/>
      <c r="U1728" s="64"/>
      <c r="V1728" s="56"/>
      <c r="W1728" s="56"/>
      <c r="X1728" s="56"/>
      <c r="Y1728" s="56"/>
      <c r="Z1728" s="56"/>
      <c r="AA1728" s="56"/>
      <c r="AB1728" s="56"/>
      <c r="AC1728" s="56"/>
    </row>
    <row r="1729" spans="1:29" ht="15.75" customHeight="1">
      <c r="A1729" s="39"/>
      <c r="B1729" s="107"/>
      <c r="C1729" s="109"/>
      <c r="D1729" s="76"/>
      <c r="E1729" s="64"/>
      <c r="F1729" s="39"/>
      <c r="G1729" s="399">
        <f>IFERROR(VLOOKUP(A1729,醫療院所DATABASE!A:B,2,""),)</f>
        <v>0</v>
      </c>
      <c r="H1729" s="64"/>
      <c r="I1729" s="109"/>
      <c r="J1729" s="109"/>
      <c r="K1729" s="39"/>
      <c r="L1729" s="76"/>
      <c r="M1729" s="39"/>
      <c r="N1729" s="39"/>
      <c r="O1729" s="24"/>
      <c r="P1729" s="409"/>
      <c r="Q1729" s="76"/>
      <c r="R1729" s="76"/>
      <c r="S1729" s="24"/>
      <c r="T1729" s="24"/>
      <c r="U1729" s="64"/>
      <c r="V1729" s="56"/>
      <c r="W1729" s="56"/>
      <c r="X1729" s="56"/>
      <c r="Y1729" s="56"/>
      <c r="Z1729" s="56"/>
      <c r="AA1729" s="56"/>
      <c r="AB1729" s="56"/>
      <c r="AC1729" s="56"/>
    </row>
    <row r="1730" spans="1:29" ht="15.75" customHeight="1">
      <c r="A1730" s="39"/>
      <c r="B1730" s="107"/>
      <c r="C1730" s="109"/>
      <c r="D1730" s="76"/>
      <c r="E1730" s="64"/>
      <c r="F1730" s="39"/>
      <c r="G1730" s="399">
        <f>IFERROR(VLOOKUP(A1730,醫療院所DATABASE!A:B,2,""),)</f>
        <v>0</v>
      </c>
      <c r="H1730" s="64"/>
      <c r="I1730" s="109"/>
      <c r="J1730" s="109"/>
      <c r="K1730" s="39"/>
      <c r="L1730" s="76"/>
      <c r="M1730" s="39"/>
      <c r="N1730" s="39"/>
      <c r="O1730" s="24"/>
      <c r="P1730" s="409"/>
      <c r="Q1730" s="76"/>
      <c r="R1730" s="76"/>
      <c r="S1730" s="24"/>
      <c r="T1730" s="24"/>
      <c r="U1730" s="64"/>
      <c r="V1730" s="56"/>
      <c r="W1730" s="56"/>
      <c r="X1730" s="56"/>
      <c r="Y1730" s="56"/>
      <c r="Z1730" s="56"/>
      <c r="AA1730" s="56"/>
      <c r="AB1730" s="56"/>
      <c r="AC1730" s="56"/>
    </row>
    <row r="1731" spans="1:29" ht="15.75" customHeight="1">
      <c r="A1731" s="39"/>
      <c r="B1731" s="107"/>
      <c r="C1731" s="109"/>
      <c r="D1731" s="76"/>
      <c r="E1731" s="64"/>
      <c r="F1731" s="39"/>
      <c r="G1731" s="399">
        <f>IFERROR(VLOOKUP(A1731,醫療院所DATABASE!A:B,2,""),)</f>
        <v>0</v>
      </c>
      <c r="H1731" s="64"/>
      <c r="I1731" s="109"/>
      <c r="J1731" s="109"/>
      <c r="K1731" s="39"/>
      <c r="L1731" s="76"/>
      <c r="M1731" s="39"/>
      <c r="N1731" s="39"/>
      <c r="O1731" s="24"/>
      <c r="P1731" s="409"/>
      <c r="Q1731" s="76"/>
      <c r="R1731" s="76"/>
      <c r="S1731" s="24"/>
      <c r="T1731" s="24"/>
      <c r="U1731" s="64"/>
      <c r="V1731" s="56"/>
      <c r="W1731" s="56"/>
      <c r="X1731" s="56"/>
      <c r="Y1731" s="56"/>
      <c r="Z1731" s="56"/>
      <c r="AA1731" s="56"/>
      <c r="AB1731" s="56"/>
      <c r="AC1731" s="56"/>
    </row>
    <row r="1732" spans="1:29" ht="15.75" customHeight="1">
      <c r="A1732" s="39"/>
      <c r="B1732" s="107"/>
      <c r="C1732" s="109"/>
      <c r="D1732" s="76"/>
      <c r="E1732" s="64"/>
      <c r="F1732" s="39"/>
      <c r="G1732" s="399">
        <f>IFERROR(VLOOKUP(A1732,醫療院所DATABASE!A:B,2,""),)</f>
        <v>0</v>
      </c>
      <c r="H1732" s="64"/>
      <c r="I1732" s="109"/>
      <c r="J1732" s="109"/>
      <c r="K1732" s="39"/>
      <c r="L1732" s="76"/>
      <c r="M1732" s="39"/>
      <c r="N1732" s="39"/>
      <c r="O1732" s="24"/>
      <c r="P1732" s="409"/>
      <c r="Q1732" s="76"/>
      <c r="R1732" s="76"/>
      <c r="S1732" s="24"/>
      <c r="T1732" s="24"/>
      <c r="U1732" s="64"/>
      <c r="V1732" s="56"/>
      <c r="W1732" s="56"/>
      <c r="X1732" s="56"/>
      <c r="Y1732" s="56"/>
      <c r="Z1732" s="56"/>
      <c r="AA1732" s="56"/>
      <c r="AB1732" s="56"/>
      <c r="AC1732" s="56"/>
    </row>
    <row r="1733" spans="1:29" ht="15.75" customHeight="1">
      <c r="A1733" s="39"/>
      <c r="B1733" s="107"/>
      <c r="C1733" s="109"/>
      <c r="D1733" s="76"/>
      <c r="E1733" s="64"/>
      <c r="F1733" s="39"/>
      <c r="G1733" s="399">
        <f>IFERROR(VLOOKUP(A1733,醫療院所DATABASE!A:B,2,""),)</f>
        <v>0</v>
      </c>
      <c r="H1733" s="64"/>
      <c r="I1733" s="109"/>
      <c r="J1733" s="109"/>
      <c r="K1733" s="39"/>
      <c r="L1733" s="76"/>
      <c r="M1733" s="39"/>
      <c r="N1733" s="39"/>
      <c r="O1733" s="24"/>
      <c r="P1733" s="409"/>
      <c r="Q1733" s="76"/>
      <c r="R1733" s="76"/>
      <c r="S1733" s="24"/>
      <c r="T1733" s="24"/>
      <c r="U1733" s="64"/>
      <c r="V1733" s="56"/>
      <c r="W1733" s="56"/>
      <c r="X1733" s="56"/>
      <c r="Y1733" s="56"/>
      <c r="Z1733" s="56"/>
      <c r="AA1733" s="56"/>
      <c r="AB1733" s="56"/>
      <c r="AC1733" s="56"/>
    </row>
    <row r="1734" spans="1:29" ht="15.75" customHeight="1">
      <c r="A1734" s="39"/>
      <c r="B1734" s="107"/>
      <c r="C1734" s="109"/>
      <c r="D1734" s="76"/>
      <c r="E1734" s="64"/>
      <c r="F1734" s="39"/>
      <c r="G1734" s="399">
        <f>IFERROR(VLOOKUP(A1734,醫療院所DATABASE!A:B,2,""),)</f>
        <v>0</v>
      </c>
      <c r="H1734" s="64"/>
      <c r="I1734" s="109"/>
      <c r="J1734" s="109"/>
      <c r="K1734" s="39"/>
      <c r="L1734" s="76"/>
      <c r="M1734" s="39"/>
      <c r="N1734" s="39"/>
      <c r="O1734" s="24"/>
      <c r="P1734" s="409"/>
      <c r="Q1734" s="76"/>
      <c r="R1734" s="76"/>
      <c r="S1734" s="24"/>
      <c r="T1734" s="24"/>
      <c r="U1734" s="64"/>
      <c r="V1734" s="56"/>
      <c r="W1734" s="56"/>
      <c r="X1734" s="56"/>
      <c r="Y1734" s="56"/>
      <c r="Z1734" s="56"/>
      <c r="AA1734" s="56"/>
      <c r="AB1734" s="56"/>
      <c r="AC1734" s="56"/>
    </row>
    <row r="1735" spans="1:29" ht="15.75" customHeight="1">
      <c r="A1735" s="39"/>
      <c r="B1735" s="107"/>
      <c r="C1735" s="109"/>
      <c r="D1735" s="76"/>
      <c r="E1735" s="64"/>
      <c r="F1735" s="39"/>
      <c r="G1735" s="399">
        <f>IFERROR(VLOOKUP(A1735,醫療院所DATABASE!A:B,2,""),)</f>
        <v>0</v>
      </c>
      <c r="H1735" s="64"/>
      <c r="I1735" s="109"/>
      <c r="J1735" s="109"/>
      <c r="K1735" s="39"/>
      <c r="L1735" s="76"/>
      <c r="M1735" s="39"/>
      <c r="N1735" s="39"/>
      <c r="O1735" s="24"/>
      <c r="P1735" s="409"/>
      <c r="Q1735" s="76"/>
      <c r="R1735" s="76"/>
      <c r="S1735" s="24"/>
      <c r="T1735" s="24"/>
      <c r="U1735" s="64"/>
      <c r="V1735" s="56"/>
      <c r="W1735" s="56"/>
      <c r="X1735" s="56"/>
      <c r="Y1735" s="56"/>
      <c r="Z1735" s="56"/>
      <c r="AA1735" s="56"/>
      <c r="AB1735" s="56"/>
      <c r="AC1735" s="56"/>
    </row>
    <row r="1736" spans="1:29" ht="15.75" customHeight="1">
      <c r="A1736" s="39"/>
      <c r="B1736" s="107"/>
      <c r="C1736" s="109"/>
      <c r="D1736" s="76"/>
      <c r="E1736" s="64"/>
      <c r="F1736" s="39"/>
      <c r="G1736" s="399">
        <f>IFERROR(VLOOKUP(A1736,醫療院所DATABASE!A:B,2,""),)</f>
        <v>0</v>
      </c>
      <c r="H1736" s="64"/>
      <c r="I1736" s="109"/>
      <c r="J1736" s="109"/>
      <c r="K1736" s="39"/>
      <c r="L1736" s="76"/>
      <c r="M1736" s="39"/>
      <c r="N1736" s="39"/>
      <c r="O1736" s="24"/>
      <c r="P1736" s="409"/>
      <c r="Q1736" s="76"/>
      <c r="R1736" s="76"/>
      <c r="S1736" s="24"/>
      <c r="T1736" s="24"/>
      <c r="U1736" s="64"/>
      <c r="V1736" s="56"/>
      <c r="W1736" s="56"/>
      <c r="X1736" s="56"/>
      <c r="Y1736" s="56"/>
      <c r="Z1736" s="56"/>
      <c r="AA1736" s="56"/>
      <c r="AB1736" s="56"/>
      <c r="AC1736" s="56"/>
    </row>
    <row r="1737" spans="1:29" ht="15.75" customHeight="1">
      <c r="A1737" s="39"/>
      <c r="B1737" s="107"/>
      <c r="C1737" s="109"/>
      <c r="D1737" s="76"/>
      <c r="E1737" s="64"/>
      <c r="F1737" s="39"/>
      <c r="G1737" s="399">
        <f>IFERROR(VLOOKUP(A1737,醫療院所DATABASE!A:B,2,""),)</f>
        <v>0</v>
      </c>
      <c r="H1737" s="64"/>
      <c r="I1737" s="109"/>
      <c r="J1737" s="109"/>
      <c r="K1737" s="39"/>
      <c r="L1737" s="76"/>
      <c r="M1737" s="39"/>
      <c r="N1737" s="39"/>
      <c r="O1737" s="24"/>
      <c r="P1737" s="409"/>
      <c r="Q1737" s="76"/>
      <c r="R1737" s="76"/>
      <c r="S1737" s="24"/>
      <c r="T1737" s="24"/>
      <c r="U1737" s="64"/>
      <c r="V1737" s="56"/>
      <c r="W1737" s="56"/>
      <c r="X1737" s="56"/>
      <c r="Y1737" s="56"/>
      <c r="Z1737" s="56"/>
      <c r="AA1737" s="56"/>
      <c r="AB1737" s="56"/>
      <c r="AC1737" s="56"/>
    </row>
    <row r="1738" spans="1:29" ht="15.75" customHeight="1">
      <c r="A1738" s="39"/>
      <c r="B1738" s="107"/>
      <c r="C1738" s="109"/>
      <c r="D1738" s="76"/>
      <c r="E1738" s="64"/>
      <c r="F1738" s="39"/>
      <c r="G1738" s="399">
        <f>IFERROR(VLOOKUP(A1738,醫療院所DATABASE!A:B,2,""),)</f>
        <v>0</v>
      </c>
      <c r="H1738" s="64"/>
      <c r="I1738" s="109"/>
      <c r="J1738" s="109"/>
      <c r="K1738" s="39"/>
      <c r="L1738" s="76"/>
      <c r="M1738" s="39"/>
      <c r="N1738" s="39"/>
      <c r="O1738" s="24"/>
      <c r="P1738" s="409"/>
      <c r="Q1738" s="76"/>
      <c r="R1738" s="76"/>
      <c r="S1738" s="24"/>
      <c r="T1738" s="24"/>
      <c r="U1738" s="64"/>
      <c r="V1738" s="56"/>
      <c r="W1738" s="56"/>
      <c r="X1738" s="56"/>
      <c r="Y1738" s="56"/>
      <c r="Z1738" s="56"/>
      <c r="AA1738" s="56"/>
      <c r="AB1738" s="56"/>
      <c r="AC1738" s="56"/>
    </row>
    <row r="1739" spans="1:29" ht="15.75" customHeight="1">
      <c r="A1739" s="39"/>
      <c r="B1739" s="107"/>
      <c r="C1739" s="109"/>
      <c r="D1739" s="76"/>
      <c r="E1739" s="64"/>
      <c r="F1739" s="39"/>
      <c r="G1739" s="399">
        <f>IFERROR(VLOOKUP(A1739,醫療院所DATABASE!A:B,2,""),)</f>
        <v>0</v>
      </c>
      <c r="H1739" s="64"/>
      <c r="I1739" s="109"/>
      <c r="J1739" s="109"/>
      <c r="K1739" s="39"/>
      <c r="L1739" s="76"/>
      <c r="M1739" s="39"/>
      <c r="N1739" s="39"/>
      <c r="O1739" s="24"/>
      <c r="P1739" s="409"/>
      <c r="Q1739" s="76"/>
      <c r="R1739" s="76"/>
      <c r="S1739" s="24"/>
      <c r="T1739" s="24"/>
      <c r="U1739" s="64"/>
      <c r="V1739" s="56"/>
      <c r="W1739" s="56"/>
      <c r="X1739" s="56"/>
      <c r="Y1739" s="56"/>
      <c r="Z1739" s="56"/>
      <c r="AA1739" s="56"/>
      <c r="AB1739" s="56"/>
      <c r="AC1739" s="56"/>
    </row>
    <row r="1740" spans="1:29" ht="15.75" customHeight="1">
      <c r="A1740" s="39"/>
      <c r="B1740" s="107"/>
      <c r="C1740" s="109"/>
      <c r="D1740" s="76"/>
      <c r="E1740" s="64"/>
      <c r="F1740" s="39"/>
      <c r="G1740" s="399">
        <f>IFERROR(VLOOKUP(A1740,醫療院所DATABASE!A:B,2,""),)</f>
        <v>0</v>
      </c>
      <c r="H1740" s="64"/>
      <c r="I1740" s="109"/>
      <c r="J1740" s="109"/>
      <c r="K1740" s="39"/>
      <c r="L1740" s="76"/>
      <c r="M1740" s="39"/>
      <c r="N1740" s="39"/>
      <c r="O1740" s="24"/>
      <c r="P1740" s="409"/>
      <c r="Q1740" s="76"/>
      <c r="R1740" s="76"/>
      <c r="S1740" s="24"/>
      <c r="T1740" s="24"/>
      <c r="U1740" s="64"/>
      <c r="V1740" s="56"/>
      <c r="W1740" s="56"/>
      <c r="X1740" s="56"/>
      <c r="Y1740" s="56"/>
      <c r="Z1740" s="56"/>
      <c r="AA1740" s="56"/>
      <c r="AB1740" s="56"/>
      <c r="AC1740" s="56"/>
    </row>
    <row r="1741" spans="1:29" ht="15.75" customHeight="1">
      <c r="A1741" s="39"/>
      <c r="B1741" s="107"/>
      <c r="C1741" s="109"/>
      <c r="D1741" s="76"/>
      <c r="E1741" s="64"/>
      <c r="F1741" s="39"/>
      <c r="G1741" s="399">
        <f>IFERROR(VLOOKUP(A1741,醫療院所DATABASE!A:B,2,""),)</f>
        <v>0</v>
      </c>
      <c r="H1741" s="64"/>
      <c r="I1741" s="109"/>
      <c r="J1741" s="109"/>
      <c r="K1741" s="39"/>
      <c r="L1741" s="76"/>
      <c r="M1741" s="39"/>
      <c r="N1741" s="39"/>
      <c r="O1741" s="24"/>
      <c r="P1741" s="409"/>
      <c r="Q1741" s="76"/>
      <c r="R1741" s="76"/>
      <c r="S1741" s="24"/>
      <c r="T1741" s="24"/>
      <c r="U1741" s="64"/>
      <c r="V1741" s="56"/>
      <c r="W1741" s="56"/>
      <c r="X1741" s="56"/>
      <c r="Y1741" s="56"/>
      <c r="Z1741" s="56"/>
      <c r="AA1741" s="56"/>
      <c r="AB1741" s="56"/>
      <c r="AC1741" s="56"/>
    </row>
    <row r="1742" spans="1:29" ht="15.75" customHeight="1">
      <c r="A1742" s="39"/>
      <c r="B1742" s="107"/>
      <c r="C1742" s="109"/>
      <c r="D1742" s="76"/>
      <c r="E1742" s="64"/>
      <c r="F1742" s="39"/>
      <c r="G1742" s="399">
        <f>IFERROR(VLOOKUP(A1742,醫療院所DATABASE!A:B,2,""),)</f>
        <v>0</v>
      </c>
      <c r="H1742" s="64"/>
      <c r="I1742" s="109"/>
      <c r="J1742" s="109"/>
      <c r="K1742" s="39"/>
      <c r="L1742" s="76"/>
      <c r="M1742" s="39"/>
      <c r="N1742" s="39"/>
      <c r="O1742" s="24"/>
      <c r="P1742" s="409"/>
      <c r="Q1742" s="76"/>
      <c r="R1742" s="76"/>
      <c r="S1742" s="24"/>
      <c r="T1742" s="24"/>
      <c r="U1742" s="64"/>
      <c r="V1742" s="56"/>
      <c r="W1742" s="56"/>
      <c r="X1742" s="56"/>
      <c r="Y1742" s="56"/>
      <c r="Z1742" s="56"/>
      <c r="AA1742" s="56"/>
      <c r="AB1742" s="56"/>
      <c r="AC1742" s="56"/>
    </row>
    <row r="1743" spans="1:29" ht="15.75" customHeight="1">
      <c r="A1743" s="39"/>
      <c r="B1743" s="107"/>
      <c r="C1743" s="109"/>
      <c r="D1743" s="76"/>
      <c r="E1743" s="64"/>
      <c r="F1743" s="39"/>
      <c r="G1743" s="399">
        <f>IFERROR(VLOOKUP(A1743,醫療院所DATABASE!A:B,2,""),)</f>
        <v>0</v>
      </c>
      <c r="H1743" s="64"/>
      <c r="I1743" s="109"/>
      <c r="J1743" s="109"/>
      <c r="K1743" s="39"/>
      <c r="L1743" s="76"/>
      <c r="M1743" s="39"/>
      <c r="N1743" s="39"/>
      <c r="O1743" s="24"/>
      <c r="P1743" s="409"/>
      <c r="Q1743" s="76"/>
      <c r="R1743" s="76"/>
      <c r="S1743" s="24"/>
      <c r="T1743" s="24"/>
      <c r="U1743" s="64"/>
      <c r="V1743" s="56"/>
      <c r="W1743" s="56"/>
      <c r="X1743" s="56"/>
      <c r="Y1743" s="56"/>
      <c r="Z1743" s="56"/>
      <c r="AA1743" s="56"/>
      <c r="AB1743" s="56"/>
      <c r="AC1743" s="56"/>
    </row>
    <row r="1744" spans="1:29" ht="15.75" customHeight="1">
      <c r="A1744" s="39"/>
      <c r="B1744" s="107"/>
      <c r="C1744" s="109"/>
      <c r="D1744" s="76"/>
      <c r="E1744" s="64"/>
      <c r="F1744" s="39"/>
      <c r="G1744" s="399">
        <f>IFERROR(VLOOKUP(A1744,醫療院所DATABASE!A:B,2,""),)</f>
        <v>0</v>
      </c>
      <c r="H1744" s="64"/>
      <c r="I1744" s="109"/>
      <c r="J1744" s="109"/>
      <c r="K1744" s="39"/>
      <c r="L1744" s="76"/>
      <c r="M1744" s="39"/>
      <c r="N1744" s="39"/>
      <c r="O1744" s="24"/>
      <c r="P1744" s="409"/>
      <c r="Q1744" s="76"/>
      <c r="R1744" s="76"/>
      <c r="S1744" s="24"/>
      <c r="T1744" s="24"/>
      <c r="U1744" s="64"/>
      <c r="V1744" s="56"/>
      <c r="W1744" s="56"/>
      <c r="X1744" s="56"/>
      <c r="Y1744" s="56"/>
      <c r="Z1744" s="56"/>
      <c r="AA1744" s="56"/>
      <c r="AB1744" s="56"/>
      <c r="AC1744" s="56"/>
    </row>
    <row r="1745" spans="1:29" ht="15.75" customHeight="1">
      <c r="A1745" s="39"/>
      <c r="B1745" s="107"/>
      <c r="C1745" s="109"/>
      <c r="D1745" s="76"/>
      <c r="E1745" s="64"/>
      <c r="F1745" s="39"/>
      <c r="G1745" s="399">
        <f>IFERROR(VLOOKUP(A1745,醫療院所DATABASE!A:B,2,""),)</f>
        <v>0</v>
      </c>
      <c r="H1745" s="64"/>
      <c r="I1745" s="109"/>
      <c r="J1745" s="109"/>
      <c r="K1745" s="39"/>
      <c r="L1745" s="76"/>
      <c r="M1745" s="39"/>
      <c r="N1745" s="39"/>
      <c r="O1745" s="24"/>
      <c r="P1745" s="409"/>
      <c r="Q1745" s="76"/>
      <c r="R1745" s="76"/>
      <c r="S1745" s="24"/>
      <c r="T1745" s="24"/>
      <c r="U1745" s="64"/>
      <c r="V1745" s="56"/>
      <c r="W1745" s="56"/>
      <c r="X1745" s="56"/>
      <c r="Y1745" s="56"/>
      <c r="Z1745" s="56"/>
      <c r="AA1745" s="56"/>
      <c r="AB1745" s="56"/>
      <c r="AC1745" s="56"/>
    </row>
    <row r="1746" spans="1:29" ht="15.75" customHeight="1">
      <c r="A1746" s="39"/>
      <c r="B1746" s="107"/>
      <c r="C1746" s="109"/>
      <c r="D1746" s="76"/>
      <c r="E1746" s="64"/>
      <c r="F1746" s="39"/>
      <c r="G1746" s="399">
        <f>IFERROR(VLOOKUP(A1746,醫療院所DATABASE!A:B,2,""),)</f>
        <v>0</v>
      </c>
      <c r="H1746" s="64"/>
      <c r="I1746" s="109"/>
      <c r="J1746" s="109"/>
      <c r="K1746" s="39"/>
      <c r="L1746" s="76"/>
      <c r="M1746" s="39"/>
      <c r="N1746" s="39"/>
      <c r="O1746" s="24"/>
      <c r="P1746" s="409"/>
      <c r="Q1746" s="76"/>
      <c r="R1746" s="76"/>
      <c r="S1746" s="24"/>
      <c r="T1746" s="24"/>
      <c r="U1746" s="64"/>
      <c r="V1746" s="56"/>
      <c r="W1746" s="56"/>
      <c r="X1746" s="56"/>
      <c r="Y1746" s="56"/>
      <c r="Z1746" s="56"/>
      <c r="AA1746" s="56"/>
      <c r="AB1746" s="56"/>
      <c r="AC1746" s="56"/>
    </row>
    <row r="1747" spans="1:29" ht="15.75" customHeight="1">
      <c r="A1747" s="39"/>
      <c r="B1747" s="107"/>
      <c r="C1747" s="109"/>
      <c r="D1747" s="76"/>
      <c r="E1747" s="64"/>
      <c r="F1747" s="39"/>
      <c r="G1747" s="399">
        <f>IFERROR(VLOOKUP(A1747,醫療院所DATABASE!A:B,2,""),)</f>
        <v>0</v>
      </c>
      <c r="H1747" s="64"/>
      <c r="I1747" s="109"/>
      <c r="J1747" s="109"/>
      <c r="K1747" s="39"/>
      <c r="L1747" s="76"/>
      <c r="M1747" s="39"/>
      <c r="N1747" s="39"/>
      <c r="O1747" s="24"/>
      <c r="P1747" s="409"/>
      <c r="Q1747" s="76"/>
      <c r="R1747" s="76"/>
      <c r="S1747" s="24"/>
      <c r="T1747" s="24"/>
      <c r="U1747" s="64"/>
      <c r="V1747" s="56"/>
      <c r="W1747" s="56"/>
      <c r="X1747" s="56"/>
      <c r="Y1747" s="56"/>
      <c r="Z1747" s="56"/>
      <c r="AA1747" s="56"/>
      <c r="AB1747" s="56"/>
      <c r="AC1747" s="56"/>
    </row>
    <row r="1748" spans="1:29" ht="15.75" customHeight="1">
      <c r="A1748" s="39"/>
      <c r="B1748" s="107"/>
      <c r="C1748" s="109"/>
      <c r="D1748" s="76"/>
      <c r="E1748" s="64"/>
      <c r="F1748" s="39"/>
      <c r="G1748" s="399">
        <f>IFERROR(VLOOKUP(A1748,醫療院所DATABASE!A:B,2,""),)</f>
        <v>0</v>
      </c>
      <c r="H1748" s="64"/>
      <c r="I1748" s="109"/>
      <c r="J1748" s="109"/>
      <c r="K1748" s="39"/>
      <c r="L1748" s="76"/>
      <c r="M1748" s="39"/>
      <c r="N1748" s="39"/>
      <c r="O1748" s="24"/>
      <c r="P1748" s="409"/>
      <c r="Q1748" s="76"/>
      <c r="R1748" s="76"/>
      <c r="S1748" s="24"/>
      <c r="T1748" s="24"/>
      <c r="U1748" s="64"/>
      <c r="V1748" s="56"/>
      <c r="W1748" s="56"/>
      <c r="X1748" s="56"/>
      <c r="Y1748" s="56"/>
      <c r="Z1748" s="56"/>
      <c r="AA1748" s="56"/>
      <c r="AB1748" s="56"/>
      <c r="AC1748" s="56"/>
    </row>
    <row r="1749" spans="1:29" ht="15.75" customHeight="1">
      <c r="A1749" s="39"/>
      <c r="B1749" s="107"/>
      <c r="C1749" s="109"/>
      <c r="D1749" s="76"/>
      <c r="E1749" s="64"/>
      <c r="F1749" s="39"/>
      <c r="G1749" s="399">
        <f>IFERROR(VLOOKUP(A1749,醫療院所DATABASE!A:B,2,""),)</f>
        <v>0</v>
      </c>
      <c r="H1749" s="64"/>
      <c r="I1749" s="109"/>
      <c r="J1749" s="109"/>
      <c r="K1749" s="39"/>
      <c r="L1749" s="76"/>
      <c r="M1749" s="39"/>
      <c r="N1749" s="39"/>
      <c r="O1749" s="24"/>
      <c r="P1749" s="409"/>
      <c r="Q1749" s="76"/>
      <c r="R1749" s="76"/>
      <c r="S1749" s="24"/>
      <c r="T1749" s="24"/>
      <c r="U1749" s="64"/>
      <c r="V1749" s="56"/>
      <c r="W1749" s="56"/>
      <c r="X1749" s="56"/>
      <c r="Y1749" s="56"/>
      <c r="Z1749" s="56"/>
      <c r="AA1749" s="56"/>
      <c r="AB1749" s="56"/>
      <c r="AC1749" s="56"/>
    </row>
    <row r="1750" spans="1:29" ht="15.75" customHeight="1">
      <c r="A1750" s="39"/>
      <c r="B1750" s="107"/>
      <c r="C1750" s="109"/>
      <c r="D1750" s="76"/>
      <c r="E1750" s="64"/>
      <c r="F1750" s="39"/>
      <c r="G1750" s="399">
        <f>IFERROR(VLOOKUP(A1750,醫療院所DATABASE!A:B,2,""),)</f>
        <v>0</v>
      </c>
      <c r="H1750" s="64"/>
      <c r="I1750" s="109"/>
      <c r="J1750" s="109"/>
      <c r="K1750" s="39"/>
      <c r="L1750" s="76"/>
      <c r="M1750" s="39"/>
      <c r="N1750" s="39"/>
      <c r="O1750" s="24"/>
      <c r="P1750" s="409"/>
      <c r="Q1750" s="76"/>
      <c r="R1750" s="76"/>
      <c r="S1750" s="24"/>
      <c r="T1750" s="24"/>
      <c r="U1750" s="64"/>
      <c r="V1750" s="56"/>
      <c r="W1750" s="56"/>
      <c r="X1750" s="56"/>
      <c r="Y1750" s="56"/>
      <c r="Z1750" s="56"/>
      <c r="AA1750" s="56"/>
      <c r="AB1750" s="56"/>
      <c r="AC1750" s="56"/>
    </row>
    <row r="1751" spans="1:29" ht="15.75" customHeight="1">
      <c r="A1751" s="39"/>
      <c r="B1751" s="107"/>
      <c r="C1751" s="109"/>
      <c r="D1751" s="76"/>
      <c r="E1751" s="64"/>
      <c r="F1751" s="39"/>
      <c r="G1751" s="399">
        <f>IFERROR(VLOOKUP(A1751,醫療院所DATABASE!A:B,2,""),)</f>
        <v>0</v>
      </c>
      <c r="H1751" s="64"/>
      <c r="I1751" s="109"/>
      <c r="J1751" s="109"/>
      <c r="K1751" s="39"/>
      <c r="L1751" s="76"/>
      <c r="M1751" s="39"/>
      <c r="N1751" s="39"/>
      <c r="O1751" s="24"/>
      <c r="P1751" s="409"/>
      <c r="Q1751" s="76"/>
      <c r="R1751" s="76"/>
      <c r="S1751" s="24"/>
      <c r="T1751" s="24"/>
      <c r="U1751" s="64"/>
      <c r="V1751" s="56"/>
      <c r="W1751" s="56"/>
      <c r="X1751" s="56"/>
      <c r="Y1751" s="56"/>
      <c r="Z1751" s="56"/>
      <c r="AA1751" s="56"/>
      <c r="AB1751" s="56"/>
      <c r="AC1751" s="56"/>
    </row>
    <row r="1752" spans="1:29" ht="15.75" customHeight="1">
      <c r="A1752" s="39"/>
      <c r="B1752" s="107"/>
      <c r="C1752" s="109"/>
      <c r="D1752" s="76"/>
      <c r="E1752" s="64"/>
      <c r="F1752" s="39"/>
      <c r="G1752" s="399">
        <f>IFERROR(VLOOKUP(A1752,醫療院所DATABASE!A:B,2,""),)</f>
        <v>0</v>
      </c>
      <c r="H1752" s="64"/>
      <c r="I1752" s="109"/>
      <c r="J1752" s="109"/>
      <c r="K1752" s="39"/>
      <c r="L1752" s="76"/>
      <c r="M1752" s="39"/>
      <c r="N1752" s="39"/>
      <c r="O1752" s="24"/>
      <c r="P1752" s="409"/>
      <c r="Q1752" s="76"/>
      <c r="R1752" s="76"/>
      <c r="S1752" s="24"/>
      <c r="T1752" s="24"/>
      <c r="U1752" s="64"/>
      <c r="V1752" s="56"/>
      <c r="W1752" s="56"/>
      <c r="X1752" s="56"/>
      <c r="Y1752" s="56"/>
      <c r="Z1752" s="56"/>
      <c r="AA1752" s="56"/>
      <c r="AB1752" s="56"/>
      <c r="AC1752" s="56"/>
    </row>
    <row r="1753" spans="1:29" ht="15.75" customHeight="1">
      <c r="A1753" s="39"/>
      <c r="B1753" s="107"/>
      <c r="C1753" s="109"/>
      <c r="D1753" s="76"/>
      <c r="E1753" s="64"/>
      <c r="F1753" s="39"/>
      <c r="G1753" s="399">
        <f>IFERROR(VLOOKUP(A1753,醫療院所DATABASE!A:B,2,""),)</f>
        <v>0</v>
      </c>
      <c r="H1753" s="64"/>
      <c r="I1753" s="109"/>
      <c r="J1753" s="109"/>
      <c r="K1753" s="39"/>
      <c r="L1753" s="76"/>
      <c r="M1753" s="39"/>
      <c r="N1753" s="39"/>
      <c r="O1753" s="24"/>
      <c r="P1753" s="409"/>
      <c r="Q1753" s="76"/>
      <c r="R1753" s="76"/>
      <c r="S1753" s="24"/>
      <c r="T1753" s="24"/>
      <c r="U1753" s="64"/>
      <c r="V1753" s="56"/>
      <c r="W1753" s="56"/>
      <c r="X1753" s="56"/>
      <c r="Y1753" s="56"/>
      <c r="Z1753" s="56"/>
      <c r="AA1753" s="56"/>
      <c r="AB1753" s="56"/>
      <c r="AC1753" s="56"/>
    </row>
    <row r="1754" spans="1:29" ht="15.75" customHeight="1">
      <c r="A1754" s="39"/>
      <c r="B1754" s="107"/>
      <c r="C1754" s="109"/>
      <c r="D1754" s="76"/>
      <c r="E1754" s="64"/>
      <c r="F1754" s="39"/>
      <c r="G1754" s="399">
        <f>IFERROR(VLOOKUP(A1754,醫療院所DATABASE!A:B,2,""),)</f>
        <v>0</v>
      </c>
      <c r="H1754" s="64"/>
      <c r="I1754" s="109"/>
      <c r="J1754" s="109"/>
      <c r="K1754" s="39"/>
      <c r="L1754" s="76"/>
      <c r="M1754" s="39"/>
      <c r="N1754" s="39"/>
      <c r="O1754" s="24"/>
      <c r="P1754" s="409"/>
      <c r="Q1754" s="76"/>
      <c r="R1754" s="76"/>
      <c r="S1754" s="24"/>
      <c r="T1754" s="24"/>
      <c r="U1754" s="64"/>
      <c r="V1754" s="56"/>
      <c r="W1754" s="56"/>
      <c r="X1754" s="56"/>
      <c r="Y1754" s="56"/>
      <c r="Z1754" s="56"/>
      <c r="AA1754" s="56"/>
      <c r="AB1754" s="56"/>
      <c r="AC1754" s="56"/>
    </row>
    <row r="1755" spans="1:29" ht="15.75" customHeight="1">
      <c r="A1755" s="39"/>
      <c r="B1755" s="107"/>
      <c r="C1755" s="109"/>
      <c r="D1755" s="76"/>
      <c r="E1755" s="64"/>
      <c r="F1755" s="39"/>
      <c r="G1755" s="399">
        <f>IFERROR(VLOOKUP(A1755,醫療院所DATABASE!A:B,2,""),)</f>
        <v>0</v>
      </c>
      <c r="H1755" s="64"/>
      <c r="I1755" s="109"/>
      <c r="J1755" s="109"/>
      <c r="K1755" s="39"/>
      <c r="L1755" s="76"/>
      <c r="M1755" s="39"/>
      <c r="N1755" s="39"/>
      <c r="O1755" s="24"/>
      <c r="P1755" s="409"/>
      <c r="Q1755" s="76"/>
      <c r="R1755" s="76"/>
      <c r="S1755" s="24"/>
      <c r="T1755" s="24"/>
      <c r="U1755" s="64"/>
      <c r="V1755" s="56"/>
      <c r="W1755" s="56"/>
      <c r="X1755" s="56"/>
      <c r="Y1755" s="56"/>
      <c r="Z1755" s="56"/>
      <c r="AA1755" s="56"/>
      <c r="AB1755" s="56"/>
      <c r="AC1755" s="56"/>
    </row>
    <row r="1756" spans="1:29" ht="15.75" customHeight="1">
      <c r="A1756" s="39"/>
      <c r="B1756" s="107"/>
      <c r="C1756" s="109"/>
      <c r="D1756" s="76"/>
      <c r="E1756" s="64"/>
      <c r="F1756" s="39"/>
      <c r="G1756" s="399">
        <f>IFERROR(VLOOKUP(A1756,醫療院所DATABASE!A:B,2,""),)</f>
        <v>0</v>
      </c>
      <c r="H1756" s="64"/>
      <c r="I1756" s="109"/>
      <c r="J1756" s="109"/>
      <c r="K1756" s="39"/>
      <c r="L1756" s="76"/>
      <c r="M1756" s="39"/>
      <c r="N1756" s="39"/>
      <c r="O1756" s="24"/>
      <c r="P1756" s="409"/>
      <c r="Q1756" s="76"/>
      <c r="R1756" s="76"/>
      <c r="S1756" s="24"/>
      <c r="T1756" s="24"/>
      <c r="U1756" s="64"/>
      <c r="V1756" s="56"/>
      <c r="W1756" s="56"/>
      <c r="X1756" s="56"/>
      <c r="Y1756" s="56"/>
      <c r="Z1756" s="56"/>
      <c r="AA1756" s="56"/>
      <c r="AB1756" s="56"/>
      <c r="AC1756" s="56"/>
    </row>
    <row r="1757" spans="1:29" ht="15.75" customHeight="1">
      <c r="A1757" s="39"/>
      <c r="B1757" s="107"/>
      <c r="C1757" s="109"/>
      <c r="D1757" s="76"/>
      <c r="E1757" s="64"/>
      <c r="F1757" s="39"/>
      <c r="G1757" s="399">
        <f>IFERROR(VLOOKUP(A1757,醫療院所DATABASE!A:B,2,""),)</f>
        <v>0</v>
      </c>
      <c r="H1757" s="64"/>
      <c r="I1757" s="109"/>
      <c r="J1757" s="109"/>
      <c r="K1757" s="39"/>
      <c r="L1757" s="76"/>
      <c r="M1757" s="39"/>
      <c r="N1757" s="39"/>
      <c r="O1757" s="24"/>
      <c r="P1757" s="409"/>
      <c r="Q1757" s="76"/>
      <c r="R1757" s="76"/>
      <c r="S1757" s="24"/>
      <c r="T1757" s="24"/>
      <c r="U1757" s="64"/>
      <c r="V1757" s="56"/>
      <c r="W1757" s="56"/>
      <c r="X1757" s="56"/>
      <c r="Y1757" s="56"/>
      <c r="Z1757" s="56"/>
      <c r="AA1757" s="56"/>
      <c r="AB1757" s="56"/>
      <c r="AC1757" s="56"/>
    </row>
    <row r="1758" spans="1:29" ht="15.75" customHeight="1">
      <c r="A1758" s="39"/>
      <c r="B1758" s="107"/>
      <c r="C1758" s="109"/>
      <c r="D1758" s="76"/>
      <c r="E1758" s="64"/>
      <c r="F1758" s="39"/>
      <c r="G1758" s="399">
        <f>IFERROR(VLOOKUP(A1758,醫療院所DATABASE!A:B,2,""),)</f>
        <v>0</v>
      </c>
      <c r="H1758" s="64"/>
      <c r="I1758" s="109"/>
      <c r="J1758" s="109"/>
      <c r="K1758" s="39"/>
      <c r="L1758" s="76"/>
      <c r="M1758" s="39"/>
      <c r="N1758" s="39"/>
      <c r="O1758" s="24"/>
      <c r="P1758" s="409"/>
      <c r="Q1758" s="76"/>
      <c r="R1758" s="76"/>
      <c r="S1758" s="24"/>
      <c r="T1758" s="24"/>
      <c r="U1758" s="64"/>
      <c r="V1758" s="56"/>
      <c r="W1758" s="56"/>
      <c r="X1758" s="56"/>
      <c r="Y1758" s="56"/>
      <c r="Z1758" s="56"/>
      <c r="AA1758" s="56"/>
      <c r="AB1758" s="56"/>
      <c r="AC1758" s="56"/>
    </row>
    <row r="1759" spans="1:29" ht="15.75" customHeight="1">
      <c r="A1759" s="39"/>
      <c r="B1759" s="107"/>
      <c r="C1759" s="109"/>
      <c r="D1759" s="76"/>
      <c r="E1759" s="64"/>
      <c r="F1759" s="39"/>
      <c r="G1759" s="399">
        <f>IFERROR(VLOOKUP(A1759,醫療院所DATABASE!A:B,2,""),)</f>
        <v>0</v>
      </c>
      <c r="H1759" s="64"/>
      <c r="I1759" s="109"/>
      <c r="J1759" s="109"/>
      <c r="K1759" s="39"/>
      <c r="L1759" s="76"/>
      <c r="M1759" s="39"/>
      <c r="N1759" s="39"/>
      <c r="O1759" s="24"/>
      <c r="P1759" s="409"/>
      <c r="Q1759" s="76"/>
      <c r="R1759" s="76"/>
      <c r="S1759" s="24"/>
      <c r="T1759" s="24"/>
      <c r="U1759" s="64"/>
      <c r="V1759" s="56"/>
      <c r="W1759" s="56"/>
      <c r="X1759" s="56"/>
      <c r="Y1759" s="56"/>
      <c r="Z1759" s="56"/>
      <c r="AA1759" s="56"/>
      <c r="AB1759" s="56"/>
      <c r="AC1759" s="56"/>
    </row>
    <row r="1760" spans="1:29" ht="15.75" customHeight="1">
      <c r="A1760" s="39"/>
      <c r="B1760" s="107"/>
      <c r="C1760" s="109"/>
      <c r="D1760" s="76"/>
      <c r="E1760" s="64"/>
      <c r="F1760" s="39"/>
      <c r="G1760" s="399">
        <f>IFERROR(VLOOKUP(A1760,醫療院所DATABASE!A:B,2,""),)</f>
        <v>0</v>
      </c>
      <c r="H1760" s="64"/>
      <c r="I1760" s="109"/>
      <c r="J1760" s="109"/>
      <c r="K1760" s="39"/>
      <c r="L1760" s="76"/>
      <c r="M1760" s="39"/>
      <c r="N1760" s="39"/>
      <c r="O1760" s="24"/>
      <c r="P1760" s="409"/>
      <c r="Q1760" s="76"/>
      <c r="R1760" s="76"/>
      <c r="S1760" s="24"/>
      <c r="T1760" s="24"/>
      <c r="U1760" s="64"/>
      <c r="V1760" s="56"/>
      <c r="W1760" s="56"/>
      <c r="X1760" s="56"/>
      <c r="Y1760" s="56"/>
      <c r="Z1760" s="56"/>
      <c r="AA1760" s="56"/>
      <c r="AB1760" s="56"/>
      <c r="AC1760" s="56"/>
    </row>
    <row r="1761" spans="1:29" ht="15.75" customHeight="1">
      <c r="A1761" s="39"/>
      <c r="B1761" s="107"/>
      <c r="C1761" s="109"/>
      <c r="D1761" s="76"/>
      <c r="E1761" s="64"/>
      <c r="F1761" s="39"/>
      <c r="G1761" s="399">
        <f>IFERROR(VLOOKUP(A1761,醫療院所DATABASE!A:B,2,""),)</f>
        <v>0</v>
      </c>
      <c r="H1761" s="64"/>
      <c r="I1761" s="109"/>
      <c r="J1761" s="109"/>
      <c r="K1761" s="39"/>
      <c r="L1761" s="76"/>
      <c r="M1761" s="39"/>
      <c r="N1761" s="39"/>
      <c r="O1761" s="24"/>
      <c r="P1761" s="409"/>
      <c r="Q1761" s="76"/>
      <c r="R1761" s="76"/>
      <c r="S1761" s="24"/>
      <c r="T1761" s="24"/>
      <c r="U1761" s="64"/>
      <c r="V1761" s="56"/>
      <c r="W1761" s="56"/>
      <c r="X1761" s="56"/>
      <c r="Y1761" s="56"/>
      <c r="Z1761" s="56"/>
      <c r="AA1761" s="56"/>
      <c r="AB1761" s="56"/>
      <c r="AC1761" s="56"/>
    </row>
    <row r="1762" spans="1:29" ht="15.75" customHeight="1">
      <c r="A1762" s="39"/>
      <c r="B1762" s="107"/>
      <c r="C1762" s="109"/>
      <c r="D1762" s="76"/>
      <c r="E1762" s="64"/>
      <c r="F1762" s="39"/>
      <c r="G1762" s="399">
        <f>IFERROR(VLOOKUP(A1762,醫療院所DATABASE!A:B,2,""),)</f>
        <v>0</v>
      </c>
      <c r="H1762" s="64"/>
      <c r="I1762" s="109"/>
      <c r="J1762" s="109"/>
      <c r="K1762" s="39"/>
      <c r="L1762" s="76"/>
      <c r="M1762" s="39"/>
      <c r="N1762" s="39"/>
      <c r="O1762" s="24"/>
      <c r="P1762" s="409"/>
      <c r="Q1762" s="76"/>
      <c r="R1762" s="76"/>
      <c r="S1762" s="24"/>
      <c r="T1762" s="24"/>
      <c r="U1762" s="64"/>
      <c r="V1762" s="56"/>
      <c r="W1762" s="56"/>
      <c r="X1762" s="56"/>
      <c r="Y1762" s="56"/>
      <c r="Z1762" s="56"/>
      <c r="AA1762" s="56"/>
      <c r="AB1762" s="56"/>
      <c r="AC1762" s="56"/>
    </row>
    <row r="1763" spans="1:29" ht="15.75" customHeight="1">
      <c r="A1763" s="39"/>
      <c r="B1763" s="107"/>
      <c r="C1763" s="109"/>
      <c r="D1763" s="76"/>
      <c r="E1763" s="64"/>
      <c r="F1763" s="39"/>
      <c r="G1763" s="399">
        <f>IFERROR(VLOOKUP(A1763,醫療院所DATABASE!A:B,2,""),)</f>
        <v>0</v>
      </c>
      <c r="H1763" s="64"/>
      <c r="I1763" s="109"/>
      <c r="J1763" s="109"/>
      <c r="K1763" s="39"/>
      <c r="L1763" s="76"/>
      <c r="M1763" s="39"/>
      <c r="N1763" s="39"/>
      <c r="O1763" s="24"/>
      <c r="P1763" s="409"/>
      <c r="Q1763" s="76"/>
      <c r="R1763" s="76"/>
      <c r="S1763" s="24"/>
      <c r="T1763" s="24"/>
      <c r="U1763" s="64"/>
      <c r="V1763" s="56"/>
      <c r="W1763" s="56"/>
      <c r="X1763" s="56"/>
      <c r="Y1763" s="56"/>
      <c r="Z1763" s="56"/>
      <c r="AA1763" s="56"/>
      <c r="AB1763" s="56"/>
      <c r="AC1763" s="56"/>
    </row>
    <row r="1764" spans="1:29" ht="15.75" customHeight="1">
      <c r="A1764" s="39"/>
      <c r="B1764" s="107"/>
      <c r="C1764" s="109"/>
      <c r="D1764" s="76"/>
      <c r="E1764" s="64"/>
      <c r="F1764" s="39"/>
      <c r="G1764" s="399">
        <f>IFERROR(VLOOKUP(A1764,醫療院所DATABASE!A:B,2,""),)</f>
        <v>0</v>
      </c>
      <c r="H1764" s="64"/>
      <c r="I1764" s="109"/>
      <c r="J1764" s="109"/>
      <c r="K1764" s="39"/>
      <c r="L1764" s="76"/>
      <c r="M1764" s="39"/>
      <c r="N1764" s="39"/>
      <c r="O1764" s="24"/>
      <c r="P1764" s="409"/>
      <c r="Q1764" s="76"/>
      <c r="R1764" s="76"/>
      <c r="S1764" s="24"/>
      <c r="T1764" s="24"/>
      <c r="U1764" s="64"/>
      <c r="V1764" s="56"/>
      <c r="W1764" s="56"/>
      <c r="X1764" s="56"/>
      <c r="Y1764" s="56"/>
      <c r="Z1764" s="56"/>
      <c r="AA1764" s="56"/>
      <c r="AB1764" s="56"/>
      <c r="AC1764" s="56"/>
    </row>
    <row r="1765" spans="1:29" ht="15.75" customHeight="1">
      <c r="A1765" s="39"/>
      <c r="B1765" s="107"/>
      <c r="C1765" s="109"/>
      <c r="D1765" s="76"/>
      <c r="E1765" s="64"/>
      <c r="F1765" s="39"/>
      <c r="G1765" s="399">
        <f>IFERROR(VLOOKUP(A1765,醫療院所DATABASE!A:B,2,""),)</f>
        <v>0</v>
      </c>
      <c r="H1765" s="64"/>
      <c r="I1765" s="109"/>
      <c r="J1765" s="109"/>
      <c r="K1765" s="39"/>
      <c r="L1765" s="76"/>
      <c r="M1765" s="39"/>
      <c r="N1765" s="39"/>
      <c r="O1765" s="24"/>
      <c r="P1765" s="409"/>
      <c r="Q1765" s="76"/>
      <c r="R1765" s="76"/>
      <c r="S1765" s="24"/>
      <c r="T1765" s="24"/>
      <c r="U1765" s="64"/>
      <c r="V1765" s="56"/>
      <c r="W1765" s="56"/>
      <c r="X1765" s="56"/>
      <c r="Y1765" s="56"/>
      <c r="Z1765" s="56"/>
      <c r="AA1765" s="56"/>
      <c r="AB1765" s="56"/>
      <c r="AC1765" s="56"/>
    </row>
    <row r="1766" spans="1:29" ht="15.75" customHeight="1">
      <c r="A1766" s="39"/>
      <c r="B1766" s="107"/>
      <c r="C1766" s="109"/>
      <c r="D1766" s="76"/>
      <c r="E1766" s="64"/>
      <c r="F1766" s="39"/>
      <c r="G1766" s="399">
        <f>IFERROR(VLOOKUP(A1766,醫療院所DATABASE!A:B,2,""),)</f>
        <v>0</v>
      </c>
      <c r="H1766" s="64"/>
      <c r="I1766" s="109"/>
      <c r="J1766" s="109"/>
      <c r="K1766" s="39"/>
      <c r="L1766" s="76"/>
      <c r="M1766" s="39"/>
      <c r="N1766" s="39"/>
      <c r="O1766" s="24"/>
      <c r="P1766" s="409"/>
      <c r="Q1766" s="76"/>
      <c r="R1766" s="76"/>
      <c r="S1766" s="24"/>
      <c r="T1766" s="24"/>
      <c r="U1766" s="64"/>
      <c r="V1766" s="56"/>
      <c r="W1766" s="56"/>
      <c r="X1766" s="56"/>
      <c r="Y1766" s="56"/>
      <c r="Z1766" s="56"/>
      <c r="AA1766" s="56"/>
      <c r="AB1766" s="56"/>
      <c r="AC1766" s="56"/>
    </row>
    <row r="1767" spans="1:29" ht="15.75" customHeight="1">
      <c r="A1767" s="39"/>
      <c r="B1767" s="107"/>
      <c r="C1767" s="109"/>
      <c r="D1767" s="76"/>
      <c r="E1767" s="64"/>
      <c r="F1767" s="39"/>
      <c r="G1767" s="399">
        <f>IFERROR(VLOOKUP(A1767,醫療院所DATABASE!A:B,2,""),)</f>
        <v>0</v>
      </c>
      <c r="H1767" s="64"/>
      <c r="I1767" s="109"/>
      <c r="J1767" s="109"/>
      <c r="K1767" s="39"/>
      <c r="L1767" s="76"/>
      <c r="M1767" s="39"/>
      <c r="N1767" s="39"/>
      <c r="O1767" s="24"/>
      <c r="P1767" s="409"/>
      <c r="Q1767" s="76"/>
      <c r="R1767" s="76"/>
      <c r="S1767" s="24"/>
      <c r="T1767" s="24"/>
      <c r="U1767" s="64"/>
      <c r="V1767" s="56"/>
      <c r="W1767" s="56"/>
      <c r="X1767" s="56"/>
      <c r="Y1767" s="56"/>
      <c r="Z1767" s="56"/>
      <c r="AA1767" s="56"/>
      <c r="AB1767" s="56"/>
      <c r="AC1767" s="56"/>
    </row>
    <row r="1768" spans="1:29" ht="15.75" customHeight="1">
      <c r="A1768" s="39"/>
      <c r="B1768" s="107"/>
      <c r="C1768" s="109"/>
      <c r="D1768" s="76"/>
      <c r="E1768" s="64"/>
      <c r="F1768" s="39"/>
      <c r="G1768" s="399">
        <f>IFERROR(VLOOKUP(A1768,醫療院所DATABASE!A:B,2,""),)</f>
        <v>0</v>
      </c>
      <c r="H1768" s="64"/>
      <c r="I1768" s="109"/>
      <c r="J1768" s="109"/>
      <c r="K1768" s="39"/>
      <c r="L1768" s="76"/>
      <c r="M1768" s="39"/>
      <c r="N1768" s="39"/>
      <c r="O1768" s="24"/>
      <c r="P1768" s="409"/>
      <c r="Q1768" s="76"/>
      <c r="R1768" s="76"/>
      <c r="S1768" s="24"/>
      <c r="T1768" s="24"/>
      <c r="U1768" s="64"/>
      <c r="V1768" s="56"/>
      <c r="W1768" s="56"/>
      <c r="X1768" s="56"/>
      <c r="Y1768" s="56"/>
      <c r="Z1768" s="56"/>
      <c r="AA1768" s="56"/>
      <c r="AB1768" s="56"/>
      <c r="AC1768" s="56"/>
    </row>
    <row r="1769" spans="1:29" ht="15.75" customHeight="1">
      <c r="A1769" s="39"/>
      <c r="B1769" s="107"/>
      <c r="C1769" s="109"/>
      <c r="D1769" s="76"/>
      <c r="E1769" s="64"/>
      <c r="F1769" s="39"/>
      <c r="G1769" s="399">
        <f>IFERROR(VLOOKUP(A1769,醫療院所DATABASE!A:B,2,""),)</f>
        <v>0</v>
      </c>
      <c r="H1769" s="64"/>
      <c r="I1769" s="109"/>
      <c r="J1769" s="109"/>
      <c r="K1769" s="39"/>
      <c r="L1769" s="76"/>
      <c r="M1769" s="39"/>
      <c r="N1769" s="39"/>
      <c r="O1769" s="24"/>
      <c r="P1769" s="409"/>
      <c r="Q1769" s="76"/>
      <c r="R1769" s="76"/>
      <c r="S1769" s="24"/>
      <c r="T1769" s="24"/>
      <c r="U1769" s="64"/>
      <c r="V1769" s="56"/>
      <c r="W1769" s="56"/>
      <c r="X1769" s="56"/>
      <c r="Y1769" s="56"/>
      <c r="Z1769" s="56"/>
      <c r="AA1769" s="56"/>
      <c r="AB1769" s="56"/>
      <c r="AC1769" s="56"/>
    </row>
    <row r="1770" spans="1:29" ht="15.75" customHeight="1">
      <c r="A1770" s="39"/>
      <c r="B1770" s="107"/>
      <c r="C1770" s="109"/>
      <c r="D1770" s="76"/>
      <c r="E1770" s="64"/>
      <c r="F1770" s="39"/>
      <c r="G1770" s="399">
        <f>IFERROR(VLOOKUP(A1770,醫療院所DATABASE!A:B,2,""),)</f>
        <v>0</v>
      </c>
      <c r="H1770" s="64"/>
      <c r="I1770" s="109"/>
      <c r="J1770" s="109"/>
      <c r="K1770" s="39"/>
      <c r="L1770" s="76"/>
      <c r="M1770" s="39"/>
      <c r="N1770" s="39"/>
      <c r="O1770" s="24"/>
      <c r="P1770" s="409"/>
      <c r="Q1770" s="76"/>
      <c r="R1770" s="76"/>
      <c r="S1770" s="24"/>
      <c r="T1770" s="24"/>
      <c r="U1770" s="64"/>
      <c r="V1770" s="56"/>
      <c r="W1770" s="56"/>
      <c r="X1770" s="56"/>
      <c r="Y1770" s="56"/>
      <c r="Z1770" s="56"/>
      <c r="AA1770" s="56"/>
      <c r="AB1770" s="56"/>
      <c r="AC1770" s="56"/>
    </row>
    <row r="1771" spans="1:29" ht="15.75" customHeight="1">
      <c r="A1771" s="39"/>
      <c r="B1771" s="107"/>
      <c r="C1771" s="109"/>
      <c r="D1771" s="76"/>
      <c r="E1771" s="64"/>
      <c r="F1771" s="39"/>
      <c r="G1771" s="399">
        <f>IFERROR(VLOOKUP(A1771,醫療院所DATABASE!A:B,2,""),)</f>
        <v>0</v>
      </c>
      <c r="H1771" s="64"/>
      <c r="I1771" s="109"/>
      <c r="J1771" s="109"/>
      <c r="K1771" s="39"/>
      <c r="L1771" s="76"/>
      <c r="M1771" s="39"/>
      <c r="N1771" s="39"/>
      <c r="O1771" s="24"/>
      <c r="P1771" s="409"/>
      <c r="Q1771" s="76"/>
      <c r="R1771" s="76"/>
      <c r="S1771" s="24"/>
      <c r="T1771" s="24"/>
      <c r="U1771" s="64"/>
      <c r="V1771" s="56"/>
      <c r="W1771" s="56"/>
      <c r="X1771" s="56"/>
      <c r="Y1771" s="56"/>
      <c r="Z1771" s="56"/>
      <c r="AA1771" s="56"/>
      <c r="AB1771" s="56"/>
      <c r="AC1771" s="56"/>
    </row>
    <row r="1772" spans="1:29" ht="15.75" customHeight="1">
      <c r="A1772" s="39"/>
      <c r="B1772" s="107"/>
      <c r="C1772" s="109"/>
      <c r="D1772" s="76"/>
      <c r="E1772" s="64"/>
      <c r="F1772" s="39"/>
      <c r="G1772" s="399">
        <f>IFERROR(VLOOKUP(A1772,醫療院所DATABASE!A:B,2,""),)</f>
        <v>0</v>
      </c>
      <c r="H1772" s="64"/>
      <c r="I1772" s="109"/>
      <c r="J1772" s="109"/>
      <c r="K1772" s="39"/>
      <c r="L1772" s="76"/>
      <c r="M1772" s="39"/>
      <c r="N1772" s="39"/>
      <c r="O1772" s="24"/>
      <c r="P1772" s="409"/>
      <c r="Q1772" s="76"/>
      <c r="R1772" s="76"/>
      <c r="S1772" s="24"/>
      <c r="T1772" s="24"/>
      <c r="U1772" s="64"/>
      <c r="V1772" s="56"/>
      <c r="W1772" s="56"/>
      <c r="X1772" s="56"/>
      <c r="Y1772" s="56"/>
      <c r="Z1772" s="56"/>
      <c r="AA1772" s="56"/>
      <c r="AB1772" s="56"/>
      <c r="AC1772" s="56"/>
    </row>
    <row r="1773" spans="1:29" ht="15.75" customHeight="1">
      <c r="A1773" s="39"/>
      <c r="B1773" s="107"/>
      <c r="C1773" s="109"/>
      <c r="D1773" s="76"/>
      <c r="E1773" s="64"/>
      <c r="F1773" s="39"/>
      <c r="G1773" s="399">
        <f>IFERROR(VLOOKUP(A1773,醫療院所DATABASE!A:B,2,""),)</f>
        <v>0</v>
      </c>
      <c r="H1773" s="64"/>
      <c r="I1773" s="109"/>
      <c r="J1773" s="109"/>
      <c r="K1773" s="39"/>
      <c r="L1773" s="76"/>
      <c r="M1773" s="39"/>
      <c r="N1773" s="39"/>
      <c r="O1773" s="24"/>
      <c r="P1773" s="409"/>
      <c r="Q1773" s="76"/>
      <c r="R1773" s="76"/>
      <c r="S1773" s="24"/>
      <c r="T1773" s="24"/>
      <c r="U1773" s="64"/>
      <c r="V1773" s="56"/>
      <c r="W1773" s="56"/>
      <c r="X1773" s="56"/>
      <c r="Y1773" s="56"/>
      <c r="Z1773" s="56"/>
      <c r="AA1773" s="56"/>
      <c r="AB1773" s="56"/>
      <c r="AC1773" s="56"/>
    </row>
    <row r="1774" spans="1:29" ht="15.75" customHeight="1">
      <c r="A1774" s="39"/>
      <c r="B1774" s="107"/>
      <c r="C1774" s="109"/>
      <c r="D1774" s="76"/>
      <c r="E1774" s="64"/>
      <c r="F1774" s="39"/>
      <c r="G1774" s="399">
        <f>IFERROR(VLOOKUP(A1774,醫療院所DATABASE!A:B,2,""),)</f>
        <v>0</v>
      </c>
      <c r="H1774" s="64"/>
      <c r="I1774" s="109"/>
      <c r="J1774" s="109"/>
      <c r="K1774" s="39"/>
      <c r="L1774" s="76"/>
      <c r="M1774" s="39"/>
      <c r="N1774" s="39"/>
      <c r="O1774" s="24"/>
      <c r="P1774" s="409"/>
      <c r="Q1774" s="76"/>
      <c r="R1774" s="76"/>
      <c r="S1774" s="24"/>
      <c r="T1774" s="24"/>
      <c r="U1774" s="64"/>
      <c r="V1774" s="56"/>
      <c r="W1774" s="56"/>
      <c r="X1774" s="56"/>
      <c r="Y1774" s="56"/>
      <c r="Z1774" s="56"/>
      <c r="AA1774" s="56"/>
      <c r="AB1774" s="56"/>
      <c r="AC1774" s="56"/>
    </row>
    <row r="1775" spans="1:29" ht="15.75" customHeight="1">
      <c r="A1775" s="39"/>
      <c r="B1775" s="107"/>
      <c r="C1775" s="109"/>
      <c r="D1775" s="76"/>
      <c r="E1775" s="64"/>
      <c r="F1775" s="39"/>
      <c r="G1775" s="399">
        <f>IFERROR(VLOOKUP(A1775,醫療院所DATABASE!A:B,2,""),)</f>
        <v>0</v>
      </c>
      <c r="H1775" s="64"/>
      <c r="I1775" s="109"/>
      <c r="J1775" s="109"/>
      <c r="K1775" s="39"/>
      <c r="L1775" s="76"/>
      <c r="M1775" s="39"/>
      <c r="N1775" s="39"/>
      <c r="O1775" s="24"/>
      <c r="P1775" s="409"/>
      <c r="Q1775" s="76"/>
      <c r="R1775" s="76"/>
      <c r="S1775" s="24"/>
      <c r="T1775" s="24"/>
      <c r="U1775" s="64"/>
      <c r="V1775" s="56"/>
      <c r="W1775" s="56"/>
      <c r="X1775" s="56"/>
      <c r="Y1775" s="56"/>
      <c r="Z1775" s="56"/>
      <c r="AA1775" s="56"/>
      <c r="AB1775" s="56"/>
      <c r="AC1775" s="56"/>
    </row>
    <row r="1776" spans="1:29" ht="15.75" customHeight="1">
      <c r="A1776" s="39"/>
      <c r="B1776" s="107"/>
      <c r="C1776" s="109"/>
      <c r="D1776" s="76"/>
      <c r="E1776" s="64"/>
      <c r="F1776" s="39"/>
      <c r="G1776" s="399">
        <f>IFERROR(VLOOKUP(A1776,醫療院所DATABASE!A:B,2,""),)</f>
        <v>0</v>
      </c>
      <c r="H1776" s="64"/>
      <c r="I1776" s="109"/>
      <c r="J1776" s="109"/>
      <c r="K1776" s="39"/>
      <c r="L1776" s="76"/>
      <c r="M1776" s="39"/>
      <c r="N1776" s="39"/>
      <c r="O1776" s="24"/>
      <c r="P1776" s="409"/>
      <c r="Q1776" s="76"/>
      <c r="R1776" s="76"/>
      <c r="S1776" s="24"/>
      <c r="T1776" s="24"/>
      <c r="U1776" s="64"/>
      <c r="V1776" s="56"/>
      <c r="W1776" s="56"/>
      <c r="X1776" s="56"/>
      <c r="Y1776" s="56"/>
      <c r="Z1776" s="56"/>
      <c r="AA1776" s="56"/>
      <c r="AB1776" s="56"/>
      <c r="AC1776" s="56"/>
    </row>
    <row r="1777" spans="1:29" ht="15.75" customHeight="1">
      <c r="A1777" s="39"/>
      <c r="B1777" s="107"/>
      <c r="C1777" s="109"/>
      <c r="D1777" s="76"/>
      <c r="E1777" s="64"/>
      <c r="F1777" s="39"/>
      <c r="G1777" s="399">
        <f>IFERROR(VLOOKUP(A1777,醫療院所DATABASE!A:B,2,""),)</f>
        <v>0</v>
      </c>
      <c r="H1777" s="64"/>
      <c r="I1777" s="109"/>
      <c r="J1777" s="109"/>
      <c r="K1777" s="39"/>
      <c r="L1777" s="76"/>
      <c r="M1777" s="39"/>
      <c r="N1777" s="39"/>
      <c r="O1777" s="24"/>
      <c r="P1777" s="409"/>
      <c r="Q1777" s="76"/>
      <c r="R1777" s="76"/>
      <c r="S1777" s="24"/>
      <c r="T1777" s="24"/>
      <c r="U1777" s="64"/>
      <c r="V1777" s="56"/>
      <c r="W1777" s="56"/>
      <c r="X1777" s="56"/>
      <c r="Y1777" s="56"/>
      <c r="Z1777" s="56"/>
      <c r="AA1777" s="56"/>
      <c r="AB1777" s="56"/>
      <c r="AC1777" s="56"/>
    </row>
    <row r="1778" spans="1:29" ht="15.75" customHeight="1">
      <c r="A1778" s="39"/>
      <c r="B1778" s="107"/>
      <c r="C1778" s="109"/>
      <c r="D1778" s="76"/>
      <c r="E1778" s="64"/>
      <c r="F1778" s="39"/>
      <c r="G1778" s="399">
        <f>IFERROR(VLOOKUP(A1778,醫療院所DATABASE!A:B,2,""),)</f>
        <v>0</v>
      </c>
      <c r="H1778" s="64"/>
      <c r="I1778" s="109"/>
      <c r="J1778" s="109"/>
      <c r="K1778" s="39"/>
      <c r="L1778" s="76"/>
      <c r="M1778" s="39"/>
      <c r="N1778" s="39"/>
      <c r="O1778" s="24"/>
      <c r="P1778" s="409"/>
      <c r="Q1778" s="76"/>
      <c r="R1778" s="76"/>
      <c r="S1778" s="24"/>
      <c r="T1778" s="24"/>
      <c r="U1778" s="64"/>
      <c r="V1778" s="56"/>
      <c r="W1778" s="56"/>
      <c r="X1778" s="56"/>
      <c r="Y1778" s="56"/>
      <c r="Z1778" s="56"/>
      <c r="AA1778" s="56"/>
      <c r="AB1778" s="56"/>
      <c r="AC1778" s="56"/>
    </row>
    <row r="1779" spans="1:29" ht="15.75" customHeight="1">
      <c r="A1779" s="39"/>
      <c r="B1779" s="107"/>
      <c r="C1779" s="109"/>
      <c r="D1779" s="76"/>
      <c r="E1779" s="64"/>
      <c r="F1779" s="39"/>
      <c r="G1779" s="399">
        <f>IFERROR(VLOOKUP(A1779,醫療院所DATABASE!A:B,2,""),)</f>
        <v>0</v>
      </c>
      <c r="H1779" s="64"/>
      <c r="I1779" s="109"/>
      <c r="J1779" s="109"/>
      <c r="K1779" s="39"/>
      <c r="L1779" s="76"/>
      <c r="M1779" s="39"/>
      <c r="N1779" s="39"/>
      <c r="O1779" s="24"/>
      <c r="P1779" s="409"/>
      <c r="Q1779" s="76"/>
      <c r="R1779" s="76"/>
      <c r="S1779" s="24"/>
      <c r="T1779" s="24"/>
      <c r="U1779" s="64"/>
      <c r="V1779" s="56"/>
      <c r="W1779" s="56"/>
      <c r="X1779" s="56"/>
      <c r="Y1779" s="56"/>
      <c r="Z1779" s="56"/>
      <c r="AA1779" s="56"/>
      <c r="AB1779" s="56"/>
      <c r="AC1779" s="56"/>
    </row>
    <row r="1780" spans="1:29" ht="15.75" customHeight="1">
      <c r="A1780" s="39"/>
      <c r="B1780" s="107"/>
      <c r="C1780" s="109"/>
      <c r="D1780" s="76"/>
      <c r="E1780" s="64"/>
      <c r="F1780" s="39"/>
      <c r="G1780" s="399">
        <f>IFERROR(VLOOKUP(A1780,醫療院所DATABASE!A:B,2,""),)</f>
        <v>0</v>
      </c>
      <c r="H1780" s="64"/>
      <c r="I1780" s="109"/>
      <c r="J1780" s="109"/>
      <c r="K1780" s="39"/>
      <c r="L1780" s="76"/>
      <c r="M1780" s="39"/>
      <c r="N1780" s="39"/>
      <c r="O1780" s="24"/>
      <c r="P1780" s="409"/>
      <c r="Q1780" s="76"/>
      <c r="R1780" s="76"/>
      <c r="S1780" s="24"/>
      <c r="T1780" s="24"/>
      <c r="U1780" s="64"/>
      <c r="V1780" s="56"/>
      <c r="W1780" s="56"/>
      <c r="X1780" s="56"/>
      <c r="Y1780" s="56"/>
      <c r="Z1780" s="56"/>
      <c r="AA1780" s="56"/>
      <c r="AB1780" s="56"/>
      <c r="AC1780" s="56"/>
    </row>
    <row r="1781" spans="1:29" ht="15.75" customHeight="1">
      <c r="A1781" s="39"/>
      <c r="B1781" s="107"/>
      <c r="C1781" s="109"/>
      <c r="D1781" s="76"/>
      <c r="E1781" s="64"/>
      <c r="F1781" s="39"/>
      <c r="G1781" s="399">
        <f>IFERROR(VLOOKUP(A1781,醫療院所DATABASE!A:B,2,""),)</f>
        <v>0</v>
      </c>
      <c r="H1781" s="64"/>
      <c r="I1781" s="109"/>
      <c r="J1781" s="109"/>
      <c r="K1781" s="39"/>
      <c r="L1781" s="76"/>
      <c r="M1781" s="39"/>
      <c r="N1781" s="39"/>
      <c r="O1781" s="24"/>
      <c r="P1781" s="409"/>
      <c r="Q1781" s="76"/>
      <c r="R1781" s="76"/>
      <c r="S1781" s="24"/>
      <c r="T1781" s="24"/>
      <c r="U1781" s="64"/>
      <c r="V1781" s="56"/>
      <c r="W1781" s="56"/>
      <c r="X1781" s="56"/>
      <c r="Y1781" s="56"/>
      <c r="Z1781" s="56"/>
      <c r="AA1781" s="56"/>
      <c r="AB1781" s="56"/>
      <c r="AC1781" s="56"/>
    </row>
    <row r="1782" spans="1:29" ht="15.75" customHeight="1">
      <c r="A1782" s="39"/>
      <c r="B1782" s="107"/>
      <c r="C1782" s="109"/>
      <c r="D1782" s="76"/>
      <c r="E1782" s="64"/>
      <c r="F1782" s="39"/>
      <c r="G1782" s="399">
        <f>IFERROR(VLOOKUP(A1782,醫療院所DATABASE!A:B,2,""),)</f>
        <v>0</v>
      </c>
      <c r="H1782" s="64"/>
      <c r="I1782" s="109"/>
      <c r="J1782" s="109"/>
      <c r="K1782" s="39"/>
      <c r="L1782" s="76"/>
      <c r="M1782" s="39"/>
      <c r="N1782" s="39"/>
      <c r="O1782" s="24"/>
      <c r="P1782" s="409"/>
      <c r="Q1782" s="76"/>
      <c r="R1782" s="76"/>
      <c r="S1782" s="24"/>
      <c r="T1782" s="24"/>
      <c r="U1782" s="64"/>
      <c r="V1782" s="56"/>
      <c r="W1782" s="56"/>
      <c r="X1782" s="56"/>
      <c r="Y1782" s="56"/>
      <c r="Z1782" s="56"/>
      <c r="AA1782" s="56"/>
      <c r="AB1782" s="56"/>
      <c r="AC1782" s="56"/>
    </row>
    <row r="1783" spans="1:29" ht="15.75" customHeight="1">
      <c r="A1783" s="39"/>
      <c r="B1783" s="107"/>
      <c r="C1783" s="109"/>
      <c r="D1783" s="76"/>
      <c r="E1783" s="64"/>
      <c r="F1783" s="39"/>
      <c r="G1783" s="399">
        <f>IFERROR(VLOOKUP(A1783,醫療院所DATABASE!A:B,2,""),)</f>
        <v>0</v>
      </c>
      <c r="H1783" s="64"/>
      <c r="I1783" s="109"/>
      <c r="J1783" s="109"/>
      <c r="K1783" s="39"/>
      <c r="L1783" s="76"/>
      <c r="M1783" s="39"/>
      <c r="N1783" s="39"/>
      <c r="O1783" s="24"/>
      <c r="P1783" s="409"/>
      <c r="Q1783" s="76"/>
      <c r="R1783" s="76"/>
      <c r="S1783" s="24"/>
      <c r="T1783" s="24"/>
      <c r="U1783" s="64"/>
      <c r="V1783" s="56"/>
      <c r="W1783" s="56"/>
      <c r="X1783" s="56"/>
      <c r="Y1783" s="56"/>
      <c r="Z1783" s="56"/>
      <c r="AA1783" s="56"/>
      <c r="AB1783" s="56"/>
      <c r="AC1783" s="56"/>
    </row>
    <row r="1784" spans="1:29" ht="15.75" customHeight="1">
      <c r="A1784" s="39"/>
      <c r="B1784" s="107"/>
      <c r="C1784" s="109"/>
      <c r="D1784" s="76"/>
      <c r="E1784" s="64"/>
      <c r="F1784" s="39"/>
      <c r="G1784" s="399">
        <f>IFERROR(VLOOKUP(A1784,醫療院所DATABASE!A:B,2,""),)</f>
        <v>0</v>
      </c>
      <c r="H1784" s="64"/>
      <c r="I1784" s="109"/>
      <c r="J1784" s="109"/>
      <c r="K1784" s="39"/>
      <c r="L1784" s="76"/>
      <c r="M1784" s="39"/>
      <c r="N1784" s="39"/>
      <c r="O1784" s="24"/>
      <c r="P1784" s="409"/>
      <c r="Q1784" s="76"/>
      <c r="R1784" s="76"/>
      <c r="S1784" s="24"/>
      <c r="T1784" s="24"/>
      <c r="U1784" s="64"/>
      <c r="V1784" s="56"/>
      <c r="W1784" s="56"/>
      <c r="X1784" s="56"/>
      <c r="Y1784" s="56"/>
      <c r="Z1784" s="56"/>
      <c r="AA1784" s="56"/>
      <c r="AB1784" s="56"/>
      <c r="AC1784" s="56"/>
    </row>
    <row r="1785" spans="1:29" ht="15.75" customHeight="1">
      <c r="A1785" s="39"/>
      <c r="B1785" s="107"/>
      <c r="C1785" s="109"/>
      <c r="D1785" s="76"/>
      <c r="E1785" s="64"/>
      <c r="F1785" s="39"/>
      <c r="G1785" s="399">
        <f>IFERROR(VLOOKUP(A1785,醫療院所DATABASE!A:B,2,""),)</f>
        <v>0</v>
      </c>
      <c r="H1785" s="64"/>
      <c r="I1785" s="109"/>
      <c r="J1785" s="109"/>
      <c r="K1785" s="39"/>
      <c r="L1785" s="76"/>
      <c r="M1785" s="39"/>
      <c r="N1785" s="39"/>
      <c r="O1785" s="24"/>
      <c r="P1785" s="409"/>
      <c r="Q1785" s="76"/>
      <c r="R1785" s="76"/>
      <c r="S1785" s="24"/>
      <c r="T1785" s="24"/>
      <c r="U1785" s="64"/>
      <c r="V1785" s="56"/>
      <c r="W1785" s="56"/>
      <c r="X1785" s="56"/>
      <c r="Y1785" s="56"/>
      <c r="Z1785" s="56"/>
      <c r="AA1785" s="56"/>
      <c r="AB1785" s="56"/>
      <c r="AC1785" s="56"/>
    </row>
    <row r="1786" spans="1:29" ht="15.75" customHeight="1">
      <c r="A1786" s="39"/>
      <c r="B1786" s="107"/>
      <c r="C1786" s="109"/>
      <c r="D1786" s="76"/>
      <c r="E1786" s="64"/>
      <c r="F1786" s="39"/>
      <c r="G1786" s="399">
        <f>IFERROR(VLOOKUP(A1786,醫療院所DATABASE!A:B,2,""),)</f>
        <v>0</v>
      </c>
      <c r="H1786" s="64"/>
      <c r="I1786" s="109"/>
      <c r="J1786" s="109"/>
      <c r="K1786" s="39"/>
      <c r="L1786" s="76"/>
      <c r="M1786" s="39"/>
      <c r="N1786" s="39"/>
      <c r="O1786" s="24"/>
      <c r="P1786" s="409"/>
      <c r="Q1786" s="76"/>
      <c r="R1786" s="76"/>
      <c r="S1786" s="24"/>
      <c r="T1786" s="24"/>
      <c r="U1786" s="64"/>
      <c r="V1786" s="56"/>
      <c r="W1786" s="56"/>
      <c r="X1786" s="56"/>
      <c r="Y1786" s="56"/>
      <c r="Z1786" s="56"/>
      <c r="AA1786" s="56"/>
      <c r="AB1786" s="56"/>
      <c r="AC1786" s="56"/>
    </row>
    <row r="1787" spans="1:29" ht="15.75" customHeight="1">
      <c r="A1787" s="39"/>
      <c r="B1787" s="107"/>
      <c r="C1787" s="109"/>
      <c r="D1787" s="76"/>
      <c r="E1787" s="64"/>
      <c r="F1787" s="39"/>
      <c r="G1787" s="399">
        <f>IFERROR(VLOOKUP(A1787,醫療院所DATABASE!A:B,2,""),)</f>
        <v>0</v>
      </c>
      <c r="H1787" s="64"/>
      <c r="I1787" s="109"/>
      <c r="J1787" s="109"/>
      <c r="K1787" s="39"/>
      <c r="L1787" s="76"/>
      <c r="M1787" s="39"/>
      <c r="N1787" s="39"/>
      <c r="O1787" s="24"/>
      <c r="P1787" s="409"/>
      <c r="Q1787" s="76"/>
      <c r="R1787" s="76"/>
      <c r="S1787" s="24"/>
      <c r="T1787" s="24"/>
      <c r="U1787" s="64"/>
      <c r="V1787" s="56"/>
      <c r="W1787" s="56"/>
      <c r="X1787" s="56"/>
      <c r="Y1787" s="56"/>
      <c r="Z1787" s="56"/>
      <c r="AA1787" s="56"/>
      <c r="AB1787" s="56"/>
      <c r="AC1787" s="56"/>
    </row>
    <row r="1788" spans="1:29" ht="15.75" customHeight="1">
      <c r="A1788" s="39"/>
      <c r="B1788" s="107"/>
      <c r="C1788" s="109"/>
      <c r="D1788" s="76"/>
      <c r="E1788" s="64"/>
      <c r="F1788" s="39"/>
      <c r="G1788" s="399">
        <f>IFERROR(VLOOKUP(A1788,醫療院所DATABASE!A:B,2,""),)</f>
        <v>0</v>
      </c>
      <c r="H1788" s="64"/>
      <c r="I1788" s="109"/>
      <c r="J1788" s="109"/>
      <c r="K1788" s="39"/>
      <c r="L1788" s="76"/>
      <c r="M1788" s="39"/>
      <c r="N1788" s="39"/>
      <c r="O1788" s="24"/>
      <c r="P1788" s="409"/>
      <c r="Q1788" s="76"/>
      <c r="R1788" s="76"/>
      <c r="S1788" s="24"/>
      <c r="T1788" s="24"/>
      <c r="U1788" s="64"/>
      <c r="V1788" s="56"/>
      <c r="W1788" s="56"/>
      <c r="X1788" s="56"/>
      <c r="Y1788" s="56"/>
      <c r="Z1788" s="56"/>
      <c r="AA1788" s="56"/>
      <c r="AB1788" s="56"/>
      <c r="AC1788" s="56"/>
    </row>
    <row r="1789" spans="1:29" ht="15.75" customHeight="1">
      <c r="A1789" s="39"/>
      <c r="B1789" s="107"/>
      <c r="C1789" s="109"/>
      <c r="D1789" s="76"/>
      <c r="E1789" s="64"/>
      <c r="F1789" s="39"/>
      <c r="G1789" s="399">
        <f>IFERROR(VLOOKUP(A1789,醫療院所DATABASE!A:B,2,""),)</f>
        <v>0</v>
      </c>
      <c r="H1789" s="64"/>
      <c r="I1789" s="109"/>
      <c r="J1789" s="109"/>
      <c r="K1789" s="39"/>
      <c r="L1789" s="76"/>
      <c r="M1789" s="39"/>
      <c r="N1789" s="39"/>
      <c r="O1789" s="24"/>
      <c r="P1789" s="409"/>
      <c r="Q1789" s="76"/>
      <c r="R1789" s="76"/>
      <c r="S1789" s="24"/>
      <c r="T1789" s="24"/>
      <c r="U1789" s="64"/>
      <c r="V1789" s="56"/>
      <c r="W1789" s="56"/>
      <c r="X1789" s="56"/>
      <c r="Y1789" s="56"/>
      <c r="Z1789" s="56"/>
      <c r="AA1789" s="56"/>
      <c r="AB1789" s="56"/>
      <c r="AC1789" s="56"/>
    </row>
    <row r="1790" spans="1:29" ht="15.75" customHeight="1">
      <c r="A1790" s="39"/>
      <c r="B1790" s="107"/>
      <c r="C1790" s="109"/>
      <c r="D1790" s="76"/>
      <c r="E1790" s="64"/>
      <c r="F1790" s="39"/>
      <c r="G1790" s="399">
        <f>IFERROR(VLOOKUP(A1790,醫療院所DATABASE!A:B,2,""),)</f>
        <v>0</v>
      </c>
      <c r="H1790" s="64"/>
      <c r="I1790" s="109"/>
      <c r="J1790" s="109"/>
      <c r="K1790" s="39"/>
      <c r="L1790" s="76"/>
      <c r="M1790" s="39"/>
      <c r="N1790" s="39"/>
      <c r="O1790" s="24"/>
      <c r="P1790" s="409"/>
      <c r="Q1790" s="76"/>
      <c r="R1790" s="76"/>
      <c r="S1790" s="24"/>
      <c r="T1790" s="24"/>
      <c r="U1790" s="64"/>
      <c r="V1790" s="56"/>
      <c r="W1790" s="56"/>
      <c r="X1790" s="56"/>
      <c r="Y1790" s="56"/>
      <c r="Z1790" s="56"/>
      <c r="AA1790" s="56"/>
      <c r="AB1790" s="56"/>
      <c r="AC1790" s="56"/>
    </row>
    <row r="1791" spans="1:29" ht="15.75" customHeight="1">
      <c r="A1791" s="39"/>
      <c r="B1791" s="107"/>
      <c r="C1791" s="109"/>
      <c r="D1791" s="76"/>
      <c r="E1791" s="64"/>
      <c r="F1791" s="39"/>
      <c r="G1791" s="399">
        <f>IFERROR(VLOOKUP(A1791,醫療院所DATABASE!A:B,2,""),)</f>
        <v>0</v>
      </c>
      <c r="H1791" s="64"/>
      <c r="I1791" s="109"/>
      <c r="J1791" s="109"/>
      <c r="K1791" s="39"/>
      <c r="L1791" s="76"/>
      <c r="M1791" s="39"/>
      <c r="N1791" s="39"/>
      <c r="O1791" s="24"/>
      <c r="P1791" s="409"/>
      <c r="Q1791" s="76"/>
      <c r="R1791" s="76"/>
      <c r="S1791" s="24"/>
      <c r="T1791" s="24"/>
      <c r="U1791" s="64"/>
      <c r="V1791" s="56"/>
      <c r="W1791" s="56"/>
      <c r="X1791" s="56"/>
      <c r="Y1791" s="56"/>
      <c r="Z1791" s="56"/>
      <c r="AA1791" s="56"/>
      <c r="AB1791" s="56"/>
      <c r="AC1791" s="56"/>
    </row>
    <row r="1792" spans="1:29" ht="15.75" customHeight="1">
      <c r="A1792" s="39"/>
      <c r="B1792" s="107"/>
      <c r="C1792" s="109"/>
      <c r="D1792" s="76"/>
      <c r="E1792" s="64"/>
      <c r="F1792" s="39"/>
      <c r="G1792" s="399">
        <f>IFERROR(VLOOKUP(A1792,醫療院所DATABASE!A:B,2,""),)</f>
        <v>0</v>
      </c>
      <c r="H1792" s="64"/>
      <c r="I1792" s="109"/>
      <c r="J1792" s="109"/>
      <c r="K1792" s="39"/>
      <c r="L1792" s="76"/>
      <c r="M1792" s="39"/>
      <c r="N1792" s="39"/>
      <c r="O1792" s="24"/>
      <c r="P1792" s="409"/>
      <c r="Q1792" s="76"/>
      <c r="R1792" s="76"/>
      <c r="S1792" s="24"/>
      <c r="T1792" s="24"/>
      <c r="U1792" s="64"/>
      <c r="V1792" s="56"/>
      <c r="W1792" s="56"/>
      <c r="X1792" s="56"/>
      <c r="Y1792" s="56"/>
      <c r="Z1792" s="56"/>
      <c r="AA1792" s="56"/>
      <c r="AB1792" s="56"/>
      <c r="AC1792" s="56"/>
    </row>
    <row r="1793" spans="1:29" ht="15.75" customHeight="1">
      <c r="A1793" s="39"/>
      <c r="B1793" s="107"/>
      <c r="C1793" s="109"/>
      <c r="D1793" s="76"/>
      <c r="E1793" s="64"/>
      <c r="F1793" s="39"/>
      <c r="G1793" s="399">
        <f>IFERROR(VLOOKUP(A1793,醫療院所DATABASE!A:B,2,""),)</f>
        <v>0</v>
      </c>
      <c r="H1793" s="64"/>
      <c r="I1793" s="109"/>
      <c r="J1793" s="109"/>
      <c r="K1793" s="39"/>
      <c r="L1793" s="76"/>
      <c r="M1793" s="39"/>
      <c r="N1793" s="39"/>
      <c r="O1793" s="24"/>
      <c r="P1793" s="409"/>
      <c r="Q1793" s="76"/>
      <c r="R1793" s="76"/>
      <c r="S1793" s="24"/>
      <c r="T1793" s="24"/>
      <c r="U1793" s="64"/>
      <c r="V1793" s="56"/>
      <c r="W1793" s="56"/>
      <c r="X1793" s="56"/>
      <c r="Y1793" s="56"/>
      <c r="Z1793" s="56"/>
      <c r="AA1793" s="56"/>
      <c r="AB1793" s="56"/>
      <c r="AC1793" s="56"/>
    </row>
    <row r="1794" spans="1:29" ht="15.75" customHeight="1">
      <c r="A1794" s="39"/>
      <c r="B1794" s="107"/>
      <c r="C1794" s="109"/>
      <c r="D1794" s="76"/>
      <c r="E1794" s="64"/>
      <c r="F1794" s="39"/>
      <c r="G1794" s="399">
        <f>IFERROR(VLOOKUP(A1794,醫療院所DATABASE!A:B,2,""),)</f>
        <v>0</v>
      </c>
      <c r="H1794" s="64"/>
      <c r="I1794" s="109"/>
      <c r="J1794" s="109"/>
      <c r="K1794" s="39"/>
      <c r="L1794" s="76"/>
      <c r="M1794" s="39"/>
      <c r="N1794" s="39"/>
      <c r="O1794" s="24"/>
      <c r="P1794" s="409"/>
      <c r="Q1794" s="76"/>
      <c r="R1794" s="76"/>
      <c r="S1794" s="24"/>
      <c r="T1794" s="24"/>
      <c r="U1794" s="64"/>
      <c r="V1794" s="56"/>
      <c r="W1794" s="56"/>
      <c r="X1794" s="56"/>
      <c r="Y1794" s="56"/>
      <c r="Z1794" s="56"/>
      <c r="AA1794" s="56"/>
      <c r="AB1794" s="56"/>
      <c r="AC1794" s="56"/>
    </row>
    <row r="1795" spans="1:29" ht="15.75" customHeight="1">
      <c r="A1795" s="39"/>
      <c r="B1795" s="107"/>
      <c r="C1795" s="109"/>
      <c r="D1795" s="76"/>
      <c r="E1795" s="64"/>
      <c r="F1795" s="39"/>
      <c r="G1795" s="399">
        <f>IFERROR(VLOOKUP(A1795,醫療院所DATABASE!A:B,2,""),)</f>
        <v>0</v>
      </c>
      <c r="H1795" s="64"/>
      <c r="I1795" s="109"/>
      <c r="J1795" s="109"/>
      <c r="K1795" s="39"/>
      <c r="L1795" s="76"/>
      <c r="M1795" s="39"/>
      <c r="N1795" s="39"/>
      <c r="O1795" s="24"/>
      <c r="P1795" s="409"/>
      <c r="Q1795" s="76"/>
      <c r="R1795" s="76"/>
      <c r="S1795" s="24"/>
      <c r="T1795" s="24"/>
      <c r="U1795" s="64"/>
      <c r="V1795" s="56"/>
      <c r="W1795" s="56"/>
      <c r="X1795" s="56"/>
      <c r="Y1795" s="56"/>
      <c r="Z1795" s="56"/>
      <c r="AA1795" s="56"/>
      <c r="AB1795" s="56"/>
      <c r="AC1795" s="56"/>
    </row>
    <row r="1796" spans="1:29" ht="15.75" customHeight="1">
      <c r="A1796" s="39"/>
      <c r="B1796" s="107"/>
      <c r="C1796" s="109"/>
      <c r="D1796" s="76"/>
      <c r="E1796" s="64"/>
      <c r="F1796" s="39"/>
      <c r="G1796" s="399">
        <f>IFERROR(VLOOKUP(A1796,醫療院所DATABASE!A:B,2,""),)</f>
        <v>0</v>
      </c>
      <c r="H1796" s="64"/>
      <c r="I1796" s="109"/>
      <c r="J1796" s="109"/>
      <c r="K1796" s="39"/>
      <c r="L1796" s="76"/>
      <c r="M1796" s="39"/>
      <c r="N1796" s="39"/>
      <c r="O1796" s="24"/>
      <c r="P1796" s="409"/>
      <c r="Q1796" s="76"/>
      <c r="R1796" s="76"/>
      <c r="S1796" s="24"/>
      <c r="T1796" s="24"/>
      <c r="U1796" s="64"/>
      <c r="V1796" s="56"/>
      <c r="W1796" s="56"/>
      <c r="X1796" s="56"/>
      <c r="Y1796" s="56"/>
      <c r="Z1796" s="56"/>
      <c r="AA1796" s="56"/>
      <c r="AB1796" s="56"/>
      <c r="AC1796" s="56"/>
    </row>
    <row r="1797" spans="1:29" ht="15.75" customHeight="1">
      <c r="A1797" s="39"/>
      <c r="B1797" s="107"/>
      <c r="C1797" s="109"/>
      <c r="D1797" s="76"/>
      <c r="E1797" s="64"/>
      <c r="F1797" s="39"/>
      <c r="G1797" s="399">
        <f>IFERROR(VLOOKUP(A1797,醫療院所DATABASE!A:B,2,""),)</f>
        <v>0</v>
      </c>
      <c r="H1797" s="64"/>
      <c r="I1797" s="109"/>
      <c r="J1797" s="109"/>
      <c r="K1797" s="39"/>
      <c r="L1797" s="76"/>
      <c r="M1797" s="39"/>
      <c r="N1797" s="39"/>
      <c r="O1797" s="24"/>
      <c r="P1797" s="409"/>
      <c r="Q1797" s="76"/>
      <c r="R1797" s="76"/>
      <c r="S1797" s="24"/>
      <c r="T1797" s="24"/>
      <c r="U1797" s="64"/>
      <c r="V1797" s="56"/>
      <c r="W1797" s="56"/>
      <c r="X1797" s="56"/>
      <c r="Y1797" s="56"/>
      <c r="Z1797" s="56"/>
      <c r="AA1797" s="56"/>
      <c r="AB1797" s="56"/>
      <c r="AC1797" s="56"/>
    </row>
    <row r="1798" spans="1:29" ht="15.75" customHeight="1">
      <c r="A1798" s="39"/>
      <c r="B1798" s="107"/>
      <c r="C1798" s="109"/>
      <c r="D1798" s="76"/>
      <c r="E1798" s="64"/>
      <c r="F1798" s="39"/>
      <c r="G1798" s="399">
        <f>IFERROR(VLOOKUP(A1798,醫療院所DATABASE!A:B,2,""),)</f>
        <v>0</v>
      </c>
      <c r="H1798" s="64"/>
      <c r="I1798" s="109"/>
      <c r="J1798" s="109"/>
      <c r="K1798" s="39"/>
      <c r="L1798" s="76"/>
      <c r="M1798" s="39"/>
      <c r="N1798" s="39"/>
      <c r="O1798" s="24"/>
      <c r="P1798" s="409"/>
      <c r="Q1798" s="76"/>
      <c r="R1798" s="76"/>
      <c r="S1798" s="24"/>
      <c r="T1798" s="24"/>
      <c r="U1798" s="64"/>
      <c r="V1798" s="56"/>
      <c r="W1798" s="56"/>
      <c r="X1798" s="56"/>
      <c r="Y1798" s="56"/>
      <c r="Z1798" s="56"/>
      <c r="AA1798" s="56"/>
      <c r="AB1798" s="56"/>
      <c r="AC1798" s="56"/>
    </row>
    <row r="1799" spans="1:29" ht="15.75" customHeight="1">
      <c r="A1799" s="39"/>
      <c r="B1799" s="107"/>
      <c r="C1799" s="109"/>
      <c r="D1799" s="76"/>
      <c r="E1799" s="64"/>
      <c r="F1799" s="39"/>
      <c r="G1799" s="399">
        <f>IFERROR(VLOOKUP(A1799,醫療院所DATABASE!A:B,2,""),)</f>
        <v>0</v>
      </c>
      <c r="H1799" s="64"/>
      <c r="I1799" s="109"/>
      <c r="J1799" s="109"/>
      <c r="K1799" s="39"/>
      <c r="L1799" s="76"/>
      <c r="M1799" s="39"/>
      <c r="N1799" s="39"/>
      <c r="O1799" s="24"/>
      <c r="P1799" s="409"/>
      <c r="Q1799" s="76"/>
      <c r="R1799" s="76"/>
      <c r="S1799" s="24"/>
      <c r="T1799" s="24"/>
      <c r="U1799" s="64"/>
      <c r="V1799" s="56"/>
      <c r="W1799" s="56"/>
      <c r="X1799" s="56"/>
      <c r="Y1799" s="56"/>
      <c r="Z1799" s="56"/>
      <c r="AA1799" s="56"/>
      <c r="AB1799" s="56"/>
      <c r="AC1799" s="56"/>
    </row>
    <row r="1800" spans="1:29" ht="15.75" customHeight="1">
      <c r="A1800" s="39"/>
      <c r="B1800" s="107"/>
      <c r="C1800" s="109"/>
      <c r="D1800" s="76"/>
      <c r="E1800" s="64"/>
      <c r="F1800" s="39"/>
      <c r="G1800" s="399">
        <f>IFERROR(VLOOKUP(A1800,醫療院所DATABASE!A:B,2,""),)</f>
        <v>0</v>
      </c>
      <c r="H1800" s="64"/>
      <c r="I1800" s="109"/>
      <c r="J1800" s="109"/>
      <c r="K1800" s="39"/>
      <c r="L1800" s="76"/>
      <c r="M1800" s="39"/>
      <c r="N1800" s="39"/>
      <c r="O1800" s="24"/>
      <c r="P1800" s="409"/>
      <c r="Q1800" s="76"/>
      <c r="R1800" s="76"/>
      <c r="S1800" s="24"/>
      <c r="T1800" s="24"/>
      <c r="U1800" s="64"/>
      <c r="V1800" s="56"/>
      <c r="W1800" s="56"/>
      <c r="X1800" s="56"/>
      <c r="Y1800" s="56"/>
      <c r="Z1800" s="56"/>
      <c r="AA1800" s="56"/>
      <c r="AB1800" s="56"/>
      <c r="AC1800" s="56"/>
    </row>
    <row r="1801" spans="1:29" ht="15.75" customHeight="1">
      <c r="A1801" s="39"/>
      <c r="B1801" s="107"/>
      <c r="C1801" s="109"/>
      <c r="D1801" s="76"/>
      <c r="E1801" s="64"/>
      <c r="F1801" s="39"/>
      <c r="G1801" s="399">
        <f>IFERROR(VLOOKUP(A1801,醫療院所DATABASE!A:B,2,""),)</f>
        <v>0</v>
      </c>
      <c r="H1801" s="64"/>
      <c r="I1801" s="109"/>
      <c r="J1801" s="109"/>
      <c r="K1801" s="39"/>
      <c r="L1801" s="76"/>
      <c r="M1801" s="39"/>
      <c r="N1801" s="39"/>
      <c r="O1801" s="24"/>
      <c r="P1801" s="409"/>
      <c r="Q1801" s="76"/>
      <c r="R1801" s="76"/>
      <c r="S1801" s="24"/>
      <c r="T1801" s="24"/>
      <c r="U1801" s="64"/>
      <c r="V1801" s="56"/>
      <c r="W1801" s="56"/>
      <c r="X1801" s="56"/>
      <c r="Y1801" s="56"/>
      <c r="Z1801" s="56"/>
      <c r="AA1801" s="56"/>
      <c r="AB1801" s="56"/>
      <c r="AC1801" s="56"/>
    </row>
    <row r="1802" spans="1:29" ht="15.75" customHeight="1">
      <c r="A1802" s="39"/>
      <c r="B1802" s="107"/>
      <c r="C1802" s="109"/>
      <c r="D1802" s="76"/>
      <c r="E1802" s="64"/>
      <c r="F1802" s="39"/>
      <c r="G1802" s="399">
        <f>IFERROR(VLOOKUP(A1802,醫療院所DATABASE!A:B,2,""),)</f>
        <v>0</v>
      </c>
      <c r="H1802" s="64"/>
      <c r="I1802" s="109"/>
      <c r="J1802" s="109"/>
      <c r="K1802" s="39"/>
      <c r="L1802" s="76"/>
      <c r="M1802" s="39"/>
      <c r="N1802" s="39"/>
      <c r="O1802" s="24"/>
      <c r="P1802" s="409"/>
      <c r="Q1802" s="76"/>
      <c r="R1802" s="76"/>
      <c r="S1802" s="24"/>
      <c r="T1802" s="24"/>
      <c r="U1802" s="64"/>
      <c r="V1802" s="56"/>
      <c r="W1802" s="56"/>
      <c r="X1802" s="56"/>
      <c r="Y1802" s="56"/>
      <c r="Z1802" s="56"/>
      <c r="AA1802" s="56"/>
      <c r="AB1802" s="56"/>
      <c r="AC1802" s="56"/>
    </row>
    <row r="1803" spans="1:29" ht="15.75" customHeight="1">
      <c r="A1803" s="39"/>
      <c r="B1803" s="107"/>
      <c r="C1803" s="109"/>
      <c r="D1803" s="76"/>
      <c r="E1803" s="64"/>
      <c r="F1803" s="39"/>
      <c r="G1803" s="399">
        <f>IFERROR(VLOOKUP(A1803,醫療院所DATABASE!A:B,2,""),)</f>
        <v>0</v>
      </c>
      <c r="H1803" s="64"/>
      <c r="I1803" s="109"/>
      <c r="J1803" s="109"/>
      <c r="K1803" s="39"/>
      <c r="L1803" s="76"/>
      <c r="M1803" s="39"/>
      <c r="N1803" s="39"/>
      <c r="O1803" s="24"/>
      <c r="P1803" s="409"/>
      <c r="Q1803" s="76"/>
      <c r="R1803" s="76"/>
      <c r="S1803" s="24"/>
      <c r="T1803" s="24"/>
      <c r="U1803" s="64"/>
      <c r="V1803" s="56"/>
      <c r="W1803" s="56"/>
      <c r="X1803" s="56"/>
      <c r="Y1803" s="56"/>
      <c r="Z1803" s="56"/>
      <c r="AA1803" s="56"/>
      <c r="AB1803" s="56"/>
      <c r="AC1803" s="56"/>
    </row>
    <row r="1804" spans="1:29" ht="15.75" customHeight="1">
      <c r="A1804" s="39"/>
      <c r="B1804" s="107"/>
      <c r="C1804" s="109"/>
      <c r="D1804" s="76"/>
      <c r="E1804" s="64"/>
      <c r="F1804" s="39"/>
      <c r="G1804" s="399">
        <f>IFERROR(VLOOKUP(A1804,醫療院所DATABASE!A:B,2,""),)</f>
        <v>0</v>
      </c>
      <c r="H1804" s="64"/>
      <c r="I1804" s="109"/>
      <c r="J1804" s="109"/>
      <c r="K1804" s="39"/>
      <c r="L1804" s="76"/>
      <c r="M1804" s="39"/>
      <c r="N1804" s="39"/>
      <c r="O1804" s="24"/>
      <c r="P1804" s="409"/>
      <c r="Q1804" s="76"/>
      <c r="R1804" s="76"/>
      <c r="S1804" s="24"/>
      <c r="T1804" s="24"/>
      <c r="U1804" s="64"/>
      <c r="V1804" s="56"/>
      <c r="W1804" s="56"/>
      <c r="X1804" s="56"/>
      <c r="Y1804" s="56"/>
      <c r="Z1804" s="56"/>
      <c r="AA1804" s="56"/>
      <c r="AB1804" s="56"/>
      <c r="AC1804" s="56"/>
    </row>
    <row r="1805" spans="1:29" ht="15.75" customHeight="1">
      <c r="A1805" s="39"/>
      <c r="B1805" s="107"/>
      <c r="C1805" s="109"/>
      <c r="D1805" s="76"/>
      <c r="E1805" s="64"/>
      <c r="F1805" s="39"/>
      <c r="G1805" s="399">
        <f>IFERROR(VLOOKUP(A1805,醫療院所DATABASE!A:B,2,""),)</f>
        <v>0</v>
      </c>
      <c r="H1805" s="64"/>
      <c r="I1805" s="109"/>
      <c r="J1805" s="109"/>
      <c r="K1805" s="39"/>
      <c r="L1805" s="76"/>
      <c r="M1805" s="39"/>
      <c r="N1805" s="39"/>
      <c r="O1805" s="24"/>
      <c r="P1805" s="409"/>
      <c r="Q1805" s="76"/>
      <c r="R1805" s="76"/>
      <c r="S1805" s="24"/>
      <c r="T1805" s="24"/>
      <c r="U1805" s="64"/>
      <c r="V1805" s="56"/>
      <c r="W1805" s="56"/>
      <c r="X1805" s="56"/>
      <c r="Y1805" s="56"/>
      <c r="Z1805" s="56"/>
      <c r="AA1805" s="56"/>
      <c r="AB1805" s="56"/>
      <c r="AC1805" s="56"/>
    </row>
    <row r="1806" spans="1:29" ht="15.75" customHeight="1">
      <c r="A1806" s="39"/>
      <c r="B1806" s="107"/>
      <c r="C1806" s="109"/>
      <c r="D1806" s="76"/>
      <c r="E1806" s="64"/>
      <c r="F1806" s="39"/>
      <c r="G1806" s="399">
        <f>IFERROR(VLOOKUP(A1806,醫療院所DATABASE!A:B,2,""),)</f>
        <v>0</v>
      </c>
      <c r="H1806" s="64"/>
      <c r="I1806" s="109"/>
      <c r="J1806" s="109"/>
      <c r="K1806" s="39"/>
      <c r="L1806" s="76"/>
      <c r="M1806" s="39"/>
      <c r="N1806" s="39"/>
      <c r="O1806" s="24"/>
      <c r="P1806" s="409"/>
      <c r="Q1806" s="76"/>
      <c r="R1806" s="76"/>
      <c r="S1806" s="24"/>
      <c r="T1806" s="24"/>
      <c r="U1806" s="64"/>
      <c r="V1806" s="56"/>
      <c r="W1806" s="56"/>
      <c r="X1806" s="56"/>
      <c r="Y1806" s="56"/>
      <c r="Z1806" s="56"/>
      <c r="AA1806" s="56"/>
      <c r="AB1806" s="56"/>
      <c r="AC1806" s="56"/>
    </row>
    <row r="1807" spans="1:29" ht="15.75" customHeight="1">
      <c r="A1807" s="39"/>
      <c r="B1807" s="107"/>
      <c r="C1807" s="109"/>
      <c r="D1807" s="76"/>
      <c r="E1807" s="64"/>
      <c r="F1807" s="39"/>
      <c r="G1807" s="399">
        <f>IFERROR(VLOOKUP(A1807,醫療院所DATABASE!A:B,2,""),)</f>
        <v>0</v>
      </c>
      <c r="H1807" s="64"/>
      <c r="I1807" s="109"/>
      <c r="J1807" s="109"/>
      <c r="K1807" s="39"/>
      <c r="L1807" s="76"/>
      <c r="M1807" s="39"/>
      <c r="N1807" s="39"/>
      <c r="O1807" s="24"/>
      <c r="P1807" s="409"/>
      <c r="Q1807" s="76"/>
      <c r="R1807" s="76"/>
      <c r="S1807" s="24"/>
      <c r="T1807" s="24"/>
      <c r="U1807" s="64"/>
      <c r="V1807" s="56"/>
      <c r="W1807" s="56"/>
      <c r="X1807" s="56"/>
      <c r="Y1807" s="56"/>
      <c r="Z1807" s="56"/>
      <c r="AA1807" s="56"/>
      <c r="AB1807" s="56"/>
      <c r="AC1807" s="56"/>
    </row>
    <row r="1808" spans="1:29" ht="15.75" customHeight="1">
      <c r="A1808" s="39"/>
      <c r="B1808" s="107"/>
      <c r="C1808" s="109"/>
      <c r="D1808" s="76"/>
      <c r="E1808" s="64"/>
      <c r="F1808" s="39"/>
      <c r="G1808" s="399">
        <f>IFERROR(VLOOKUP(A1808,醫療院所DATABASE!A:B,2,""),)</f>
        <v>0</v>
      </c>
      <c r="H1808" s="64"/>
      <c r="I1808" s="109"/>
      <c r="J1808" s="109"/>
      <c r="K1808" s="39"/>
      <c r="L1808" s="76"/>
      <c r="M1808" s="39"/>
      <c r="N1808" s="39"/>
      <c r="O1808" s="24"/>
      <c r="P1808" s="409"/>
      <c r="Q1808" s="76"/>
      <c r="R1808" s="76"/>
      <c r="S1808" s="24"/>
      <c r="T1808" s="24"/>
      <c r="U1808" s="64"/>
      <c r="V1808" s="56"/>
      <c r="W1808" s="56"/>
      <c r="X1808" s="56"/>
      <c r="Y1808" s="56"/>
      <c r="Z1808" s="56"/>
      <c r="AA1808" s="56"/>
      <c r="AB1808" s="56"/>
      <c r="AC1808" s="56"/>
    </row>
    <row r="1809" spans="1:29" ht="15.75" customHeight="1">
      <c r="A1809" s="39"/>
      <c r="B1809" s="107"/>
      <c r="C1809" s="109"/>
      <c r="D1809" s="76"/>
      <c r="E1809" s="64"/>
      <c r="F1809" s="39"/>
      <c r="G1809" s="399">
        <f>IFERROR(VLOOKUP(A1809,醫療院所DATABASE!A:B,2,""),)</f>
        <v>0</v>
      </c>
      <c r="H1809" s="64"/>
      <c r="I1809" s="109"/>
      <c r="J1809" s="109"/>
      <c r="K1809" s="39"/>
      <c r="L1809" s="76"/>
      <c r="M1809" s="39"/>
      <c r="N1809" s="39"/>
      <c r="O1809" s="24"/>
      <c r="P1809" s="409"/>
      <c r="Q1809" s="76"/>
      <c r="R1809" s="76"/>
      <c r="S1809" s="24"/>
      <c r="T1809" s="24"/>
      <c r="U1809" s="64"/>
      <c r="V1809" s="56"/>
      <c r="W1809" s="56"/>
      <c r="X1809" s="56"/>
      <c r="Y1809" s="56"/>
      <c r="Z1809" s="56"/>
      <c r="AA1809" s="56"/>
      <c r="AB1809" s="56"/>
      <c r="AC1809" s="56"/>
    </row>
    <row r="1810" spans="1:29" ht="15.75" customHeight="1">
      <c r="A1810" s="39"/>
      <c r="B1810" s="107"/>
      <c r="C1810" s="109"/>
      <c r="D1810" s="76"/>
      <c r="E1810" s="64"/>
      <c r="F1810" s="39"/>
      <c r="G1810" s="399">
        <f>IFERROR(VLOOKUP(A1810,醫療院所DATABASE!A:B,2,""),)</f>
        <v>0</v>
      </c>
      <c r="H1810" s="64"/>
      <c r="I1810" s="109"/>
      <c r="J1810" s="109"/>
      <c r="K1810" s="39"/>
      <c r="L1810" s="76"/>
      <c r="M1810" s="39"/>
      <c r="N1810" s="39"/>
      <c r="O1810" s="24"/>
      <c r="P1810" s="409"/>
      <c r="Q1810" s="76"/>
      <c r="R1810" s="76"/>
      <c r="S1810" s="24"/>
      <c r="T1810" s="24"/>
      <c r="U1810" s="64"/>
      <c r="V1810" s="56"/>
      <c r="W1810" s="56"/>
      <c r="X1810" s="56"/>
      <c r="Y1810" s="56"/>
      <c r="Z1810" s="56"/>
      <c r="AA1810" s="56"/>
      <c r="AB1810" s="56"/>
      <c r="AC1810" s="56"/>
    </row>
    <row r="1811" spans="1:29" ht="15.75" customHeight="1">
      <c r="A1811" s="39"/>
      <c r="B1811" s="107"/>
      <c r="C1811" s="109"/>
      <c r="D1811" s="76"/>
      <c r="E1811" s="64"/>
      <c r="F1811" s="39"/>
      <c r="G1811" s="399">
        <f>IFERROR(VLOOKUP(A1811,醫療院所DATABASE!A:B,2,""),)</f>
        <v>0</v>
      </c>
      <c r="H1811" s="64"/>
      <c r="I1811" s="109"/>
      <c r="J1811" s="109"/>
      <c r="K1811" s="39"/>
      <c r="L1811" s="76"/>
      <c r="M1811" s="39"/>
      <c r="N1811" s="39"/>
      <c r="O1811" s="24"/>
      <c r="P1811" s="409"/>
      <c r="Q1811" s="76"/>
      <c r="R1811" s="76"/>
      <c r="S1811" s="24"/>
      <c r="T1811" s="24"/>
      <c r="U1811" s="64"/>
      <c r="V1811" s="56"/>
      <c r="W1811" s="56"/>
      <c r="X1811" s="56"/>
      <c r="Y1811" s="56"/>
      <c r="Z1811" s="56"/>
      <c r="AA1811" s="56"/>
      <c r="AB1811" s="56"/>
      <c r="AC1811" s="56"/>
    </row>
    <row r="1812" spans="1:29" ht="15.75" customHeight="1">
      <c r="A1812" s="39"/>
      <c r="B1812" s="107"/>
      <c r="C1812" s="109"/>
      <c r="D1812" s="76"/>
      <c r="E1812" s="64"/>
      <c r="F1812" s="39"/>
      <c r="G1812" s="399">
        <f>IFERROR(VLOOKUP(A1812,醫療院所DATABASE!A:B,2,""),)</f>
        <v>0</v>
      </c>
      <c r="H1812" s="64"/>
      <c r="I1812" s="109"/>
      <c r="J1812" s="109"/>
      <c r="K1812" s="39"/>
      <c r="L1812" s="76"/>
      <c r="M1812" s="39"/>
      <c r="N1812" s="39"/>
      <c r="O1812" s="24"/>
      <c r="P1812" s="409"/>
      <c r="Q1812" s="76"/>
      <c r="R1812" s="76"/>
      <c r="S1812" s="24"/>
      <c r="T1812" s="24"/>
      <c r="U1812" s="64"/>
      <c r="V1812" s="56"/>
      <c r="W1812" s="56"/>
      <c r="X1812" s="56"/>
      <c r="Y1812" s="56"/>
      <c r="Z1812" s="56"/>
      <c r="AA1812" s="56"/>
      <c r="AB1812" s="56"/>
      <c r="AC1812" s="56"/>
    </row>
    <row r="1813" spans="1:29" ht="15.75" customHeight="1">
      <c r="A1813" s="39"/>
      <c r="B1813" s="107"/>
      <c r="C1813" s="109"/>
      <c r="D1813" s="76"/>
      <c r="E1813" s="64"/>
      <c r="F1813" s="39"/>
      <c r="G1813" s="399">
        <f>IFERROR(VLOOKUP(A1813,醫療院所DATABASE!A:B,2,""),)</f>
        <v>0</v>
      </c>
      <c r="H1813" s="64"/>
      <c r="I1813" s="109"/>
      <c r="J1813" s="109"/>
      <c r="K1813" s="39"/>
      <c r="L1813" s="76"/>
      <c r="M1813" s="39"/>
      <c r="N1813" s="39"/>
      <c r="O1813" s="24"/>
      <c r="P1813" s="409"/>
      <c r="Q1813" s="76"/>
      <c r="R1813" s="76"/>
      <c r="S1813" s="24"/>
      <c r="T1813" s="24"/>
      <c r="U1813" s="64"/>
      <c r="V1813" s="56"/>
      <c r="W1813" s="56"/>
      <c r="X1813" s="56"/>
      <c r="Y1813" s="56"/>
      <c r="Z1813" s="56"/>
      <c r="AA1813" s="56"/>
      <c r="AB1813" s="56"/>
      <c r="AC1813" s="56"/>
    </row>
    <row r="1814" spans="1:29" ht="15.75" customHeight="1">
      <c r="A1814" s="39"/>
      <c r="B1814" s="107"/>
      <c r="C1814" s="109"/>
      <c r="D1814" s="76"/>
      <c r="E1814" s="64"/>
      <c r="F1814" s="39"/>
      <c r="G1814" s="399">
        <f>IFERROR(VLOOKUP(A1814,醫療院所DATABASE!A:B,2,""),)</f>
        <v>0</v>
      </c>
      <c r="H1814" s="64"/>
      <c r="I1814" s="109"/>
      <c r="J1814" s="109"/>
      <c r="K1814" s="39"/>
      <c r="L1814" s="76"/>
      <c r="M1814" s="39"/>
      <c r="N1814" s="39"/>
      <c r="O1814" s="24"/>
      <c r="P1814" s="409"/>
      <c r="Q1814" s="76"/>
      <c r="R1814" s="76"/>
      <c r="S1814" s="24"/>
      <c r="T1814" s="24"/>
      <c r="U1814" s="64"/>
      <c r="V1814" s="56"/>
      <c r="W1814" s="56"/>
      <c r="X1814" s="56"/>
      <c r="Y1814" s="56"/>
      <c r="Z1814" s="56"/>
      <c r="AA1814" s="56"/>
      <c r="AB1814" s="56"/>
      <c r="AC1814" s="56"/>
    </row>
    <row r="1815" spans="1:29" ht="15.75" customHeight="1">
      <c r="A1815" s="39"/>
      <c r="B1815" s="107"/>
      <c r="C1815" s="109"/>
      <c r="D1815" s="76"/>
      <c r="E1815" s="64"/>
      <c r="F1815" s="39"/>
      <c r="G1815" s="399">
        <f>IFERROR(VLOOKUP(A1815,醫療院所DATABASE!A:B,2,""),)</f>
        <v>0</v>
      </c>
      <c r="H1815" s="64"/>
      <c r="I1815" s="109"/>
      <c r="J1815" s="109"/>
      <c r="K1815" s="39"/>
      <c r="L1815" s="76"/>
      <c r="M1815" s="39"/>
      <c r="N1815" s="39"/>
      <c r="O1815" s="24"/>
      <c r="P1815" s="409"/>
      <c r="Q1815" s="76"/>
      <c r="R1815" s="76"/>
      <c r="S1815" s="24"/>
      <c r="T1815" s="24"/>
      <c r="U1815" s="64"/>
      <c r="V1815" s="56"/>
      <c r="W1815" s="56"/>
      <c r="X1815" s="56"/>
      <c r="Y1815" s="56"/>
      <c r="Z1815" s="56"/>
      <c r="AA1815" s="56"/>
      <c r="AB1815" s="56"/>
      <c r="AC1815" s="56"/>
    </row>
    <row r="1816" spans="1:29" ht="15.75" customHeight="1">
      <c r="A1816" s="39"/>
      <c r="B1816" s="107"/>
      <c r="C1816" s="109"/>
      <c r="D1816" s="76"/>
      <c r="E1816" s="64"/>
      <c r="F1816" s="39"/>
      <c r="G1816" s="399">
        <f>IFERROR(VLOOKUP(A1816,醫療院所DATABASE!A:B,2,""),)</f>
        <v>0</v>
      </c>
      <c r="H1816" s="64"/>
      <c r="I1816" s="109"/>
      <c r="J1816" s="109"/>
      <c r="K1816" s="39"/>
      <c r="L1816" s="76"/>
      <c r="M1816" s="39"/>
      <c r="N1816" s="39"/>
      <c r="O1816" s="24"/>
      <c r="P1816" s="409"/>
      <c r="Q1816" s="76"/>
      <c r="R1816" s="76"/>
      <c r="S1816" s="24"/>
      <c r="T1816" s="24"/>
      <c r="U1816" s="64"/>
      <c r="V1816" s="56"/>
      <c r="W1816" s="56"/>
      <c r="X1816" s="56"/>
      <c r="Y1816" s="56"/>
      <c r="Z1816" s="56"/>
      <c r="AA1816" s="56"/>
      <c r="AB1816" s="56"/>
      <c r="AC1816" s="56"/>
    </row>
    <row r="1817" spans="1:29" ht="15.75" customHeight="1">
      <c r="A1817" s="39"/>
      <c r="B1817" s="107"/>
      <c r="C1817" s="109"/>
      <c r="D1817" s="76"/>
      <c r="E1817" s="64"/>
      <c r="F1817" s="39"/>
      <c r="G1817" s="399">
        <f>IFERROR(VLOOKUP(A1817,醫療院所DATABASE!A:B,2,""),)</f>
        <v>0</v>
      </c>
      <c r="H1817" s="64"/>
      <c r="I1817" s="109"/>
      <c r="J1817" s="109"/>
      <c r="K1817" s="39"/>
      <c r="L1817" s="76"/>
      <c r="M1817" s="39"/>
      <c r="N1817" s="39"/>
      <c r="O1817" s="24"/>
      <c r="P1817" s="409"/>
      <c r="Q1817" s="76"/>
      <c r="R1817" s="76"/>
      <c r="S1817" s="24"/>
      <c r="T1817" s="24"/>
      <c r="U1817" s="64"/>
      <c r="V1817" s="56"/>
      <c r="W1817" s="56"/>
      <c r="X1817" s="56"/>
      <c r="Y1817" s="56"/>
      <c r="Z1817" s="56"/>
      <c r="AA1817" s="56"/>
      <c r="AB1817" s="56"/>
      <c r="AC1817" s="56"/>
    </row>
    <row r="1818" spans="1:29" ht="15.75" customHeight="1">
      <c r="A1818" s="39"/>
      <c r="B1818" s="107"/>
      <c r="C1818" s="109"/>
      <c r="D1818" s="76"/>
      <c r="E1818" s="64"/>
      <c r="F1818" s="39"/>
      <c r="G1818" s="399">
        <f>IFERROR(VLOOKUP(A1818,醫療院所DATABASE!A:B,2,""),)</f>
        <v>0</v>
      </c>
      <c r="H1818" s="64"/>
      <c r="I1818" s="109"/>
      <c r="J1818" s="109"/>
      <c r="K1818" s="39"/>
      <c r="L1818" s="76"/>
      <c r="M1818" s="39"/>
      <c r="N1818" s="39"/>
      <c r="O1818" s="24"/>
      <c r="P1818" s="409"/>
      <c r="Q1818" s="76"/>
      <c r="R1818" s="76"/>
      <c r="S1818" s="24"/>
      <c r="T1818" s="24"/>
      <c r="U1818" s="64"/>
      <c r="V1818" s="56"/>
      <c r="W1818" s="56"/>
      <c r="X1818" s="56"/>
      <c r="Y1818" s="56"/>
      <c r="Z1818" s="56"/>
      <c r="AA1818" s="56"/>
      <c r="AB1818" s="56"/>
      <c r="AC1818" s="56"/>
    </row>
    <row r="1819" spans="1:29" ht="15.75" customHeight="1">
      <c r="A1819" s="39"/>
      <c r="B1819" s="107"/>
      <c r="C1819" s="109"/>
      <c r="D1819" s="76"/>
      <c r="E1819" s="64"/>
      <c r="F1819" s="39"/>
      <c r="G1819" s="399">
        <f>IFERROR(VLOOKUP(A1819,醫療院所DATABASE!A:B,2,""),)</f>
        <v>0</v>
      </c>
      <c r="H1819" s="64"/>
      <c r="I1819" s="109"/>
      <c r="J1819" s="109"/>
      <c r="K1819" s="39"/>
      <c r="L1819" s="76"/>
      <c r="M1819" s="39"/>
      <c r="N1819" s="39"/>
      <c r="O1819" s="24"/>
      <c r="P1819" s="409"/>
      <c r="Q1819" s="76"/>
      <c r="R1819" s="76"/>
      <c r="S1819" s="24"/>
      <c r="T1819" s="24"/>
      <c r="U1819" s="64"/>
      <c r="V1819" s="56"/>
      <c r="W1819" s="56"/>
      <c r="X1819" s="56"/>
      <c r="Y1819" s="56"/>
      <c r="Z1819" s="56"/>
      <c r="AA1819" s="56"/>
      <c r="AB1819" s="56"/>
      <c r="AC1819" s="56"/>
    </row>
    <row r="1820" spans="1:29" ht="15.75" customHeight="1">
      <c r="A1820" s="39"/>
      <c r="B1820" s="107"/>
      <c r="C1820" s="109"/>
      <c r="D1820" s="76"/>
      <c r="E1820" s="64"/>
      <c r="F1820" s="39"/>
      <c r="G1820" s="399">
        <f>IFERROR(VLOOKUP(A1820,醫療院所DATABASE!A:B,2,""),)</f>
        <v>0</v>
      </c>
      <c r="H1820" s="64"/>
      <c r="I1820" s="109"/>
      <c r="J1820" s="109"/>
      <c r="K1820" s="39"/>
      <c r="L1820" s="76"/>
      <c r="M1820" s="39"/>
      <c r="N1820" s="39"/>
      <c r="O1820" s="24"/>
      <c r="P1820" s="409"/>
      <c r="Q1820" s="76"/>
      <c r="R1820" s="76"/>
      <c r="S1820" s="24"/>
      <c r="T1820" s="24"/>
      <c r="U1820" s="64"/>
      <c r="V1820" s="56"/>
      <c r="W1820" s="56"/>
      <c r="X1820" s="56"/>
      <c r="Y1820" s="56"/>
      <c r="Z1820" s="56"/>
      <c r="AA1820" s="56"/>
      <c r="AB1820" s="56"/>
      <c r="AC1820" s="56"/>
    </row>
    <row r="1821" spans="1:29" ht="15.75" customHeight="1">
      <c r="A1821" s="39"/>
      <c r="B1821" s="107"/>
      <c r="C1821" s="109"/>
      <c r="D1821" s="76"/>
      <c r="E1821" s="64"/>
      <c r="F1821" s="39"/>
      <c r="G1821" s="399">
        <f>IFERROR(VLOOKUP(A1821,醫療院所DATABASE!A:B,2,""),)</f>
        <v>0</v>
      </c>
      <c r="H1821" s="64"/>
      <c r="I1821" s="109"/>
      <c r="J1821" s="109"/>
      <c r="K1821" s="39"/>
      <c r="L1821" s="76"/>
      <c r="M1821" s="39"/>
      <c r="N1821" s="39"/>
      <c r="O1821" s="24"/>
      <c r="P1821" s="409"/>
      <c r="Q1821" s="76"/>
      <c r="R1821" s="76"/>
      <c r="S1821" s="24"/>
      <c r="T1821" s="24"/>
      <c r="U1821" s="64"/>
      <c r="V1821" s="56"/>
      <c r="W1821" s="56"/>
      <c r="X1821" s="56"/>
      <c r="Y1821" s="56"/>
      <c r="Z1821" s="56"/>
      <c r="AA1821" s="56"/>
      <c r="AB1821" s="56"/>
      <c r="AC1821" s="56"/>
    </row>
    <row r="1822" spans="1:29" ht="15.75" customHeight="1">
      <c r="A1822" s="39"/>
      <c r="B1822" s="107"/>
      <c r="C1822" s="109"/>
      <c r="D1822" s="76"/>
      <c r="E1822" s="64"/>
      <c r="F1822" s="39"/>
      <c r="G1822" s="399">
        <f>IFERROR(VLOOKUP(A1822,醫療院所DATABASE!A:B,2,""),)</f>
        <v>0</v>
      </c>
      <c r="H1822" s="64"/>
      <c r="I1822" s="109"/>
      <c r="J1822" s="109"/>
      <c r="K1822" s="39"/>
      <c r="L1822" s="76"/>
      <c r="M1822" s="39"/>
      <c r="N1822" s="39"/>
      <c r="O1822" s="24"/>
      <c r="P1822" s="409"/>
      <c r="Q1822" s="76"/>
      <c r="R1822" s="76"/>
      <c r="S1822" s="24"/>
      <c r="T1822" s="24"/>
      <c r="U1822" s="64"/>
      <c r="V1822" s="56"/>
      <c r="W1822" s="56"/>
      <c r="X1822" s="56"/>
      <c r="Y1822" s="56"/>
      <c r="Z1822" s="56"/>
      <c r="AA1822" s="56"/>
      <c r="AB1822" s="56"/>
      <c r="AC1822" s="56"/>
    </row>
    <row r="1823" spans="1:29" ht="15.75" customHeight="1">
      <c r="A1823" s="39"/>
      <c r="B1823" s="107"/>
      <c r="C1823" s="109"/>
      <c r="D1823" s="76"/>
      <c r="E1823" s="64"/>
      <c r="F1823" s="39"/>
      <c r="G1823" s="399">
        <f>IFERROR(VLOOKUP(A1823,醫療院所DATABASE!A:B,2,""),)</f>
        <v>0</v>
      </c>
      <c r="H1823" s="64"/>
      <c r="I1823" s="109"/>
      <c r="J1823" s="109"/>
      <c r="K1823" s="39"/>
      <c r="L1823" s="76"/>
      <c r="M1823" s="39"/>
      <c r="N1823" s="39"/>
      <c r="O1823" s="24"/>
      <c r="P1823" s="409"/>
      <c r="Q1823" s="76"/>
      <c r="R1823" s="76"/>
      <c r="S1823" s="24"/>
      <c r="T1823" s="24"/>
      <c r="U1823" s="64"/>
      <c r="V1823" s="56"/>
      <c r="W1823" s="56"/>
      <c r="X1823" s="56"/>
      <c r="Y1823" s="56"/>
      <c r="Z1823" s="56"/>
      <c r="AA1823" s="56"/>
      <c r="AB1823" s="56"/>
      <c r="AC1823" s="56"/>
    </row>
    <row r="1824" spans="1:29" ht="15.75" customHeight="1">
      <c r="A1824" s="39"/>
      <c r="B1824" s="107"/>
      <c r="C1824" s="109"/>
      <c r="D1824" s="76"/>
      <c r="E1824" s="64"/>
      <c r="F1824" s="39"/>
      <c r="G1824" s="399">
        <f>IFERROR(VLOOKUP(A1824,醫療院所DATABASE!A:B,2,""),)</f>
        <v>0</v>
      </c>
      <c r="H1824" s="64"/>
      <c r="I1824" s="109"/>
      <c r="J1824" s="109"/>
      <c r="K1824" s="39"/>
      <c r="L1824" s="76"/>
      <c r="M1824" s="39"/>
      <c r="N1824" s="39"/>
      <c r="O1824" s="24"/>
      <c r="P1824" s="409"/>
      <c r="Q1824" s="76"/>
      <c r="R1824" s="76"/>
      <c r="S1824" s="24"/>
      <c r="T1824" s="24"/>
      <c r="U1824" s="64"/>
      <c r="V1824" s="56"/>
      <c r="W1824" s="56"/>
      <c r="X1824" s="56"/>
      <c r="Y1824" s="56"/>
      <c r="Z1824" s="56"/>
      <c r="AA1824" s="56"/>
      <c r="AB1824" s="56"/>
      <c r="AC1824" s="56"/>
    </row>
    <row r="1825" spans="1:29" ht="15.75" customHeight="1">
      <c r="A1825" s="39"/>
      <c r="B1825" s="107"/>
      <c r="C1825" s="109"/>
      <c r="D1825" s="76"/>
      <c r="E1825" s="64"/>
      <c r="F1825" s="39"/>
      <c r="G1825" s="399">
        <f>IFERROR(VLOOKUP(A1825,醫療院所DATABASE!A:B,2,""),)</f>
        <v>0</v>
      </c>
      <c r="H1825" s="64"/>
      <c r="I1825" s="109"/>
      <c r="J1825" s="109"/>
      <c r="K1825" s="39"/>
      <c r="L1825" s="76"/>
      <c r="M1825" s="39"/>
      <c r="N1825" s="39"/>
      <c r="O1825" s="24"/>
      <c r="P1825" s="409"/>
      <c r="Q1825" s="76"/>
      <c r="R1825" s="76"/>
      <c r="S1825" s="24"/>
      <c r="T1825" s="24"/>
      <c r="U1825" s="64"/>
      <c r="V1825" s="56"/>
      <c r="W1825" s="56"/>
      <c r="X1825" s="56"/>
      <c r="Y1825" s="56"/>
      <c r="Z1825" s="56"/>
      <c r="AA1825" s="56"/>
      <c r="AB1825" s="56"/>
      <c r="AC1825" s="56"/>
    </row>
    <row r="1826" spans="1:29" ht="15.75" customHeight="1">
      <c r="A1826" s="39"/>
      <c r="B1826" s="107"/>
      <c r="C1826" s="109"/>
      <c r="D1826" s="76"/>
      <c r="E1826" s="64"/>
      <c r="F1826" s="39"/>
      <c r="G1826" s="399">
        <f>IFERROR(VLOOKUP(A1826,醫療院所DATABASE!A:B,2,""),)</f>
        <v>0</v>
      </c>
      <c r="H1826" s="64"/>
      <c r="I1826" s="109"/>
      <c r="J1826" s="109"/>
      <c r="K1826" s="39"/>
      <c r="L1826" s="76"/>
      <c r="M1826" s="39"/>
      <c r="N1826" s="39"/>
      <c r="O1826" s="24"/>
      <c r="P1826" s="409"/>
      <c r="Q1826" s="76"/>
      <c r="R1826" s="76"/>
      <c r="S1826" s="24"/>
      <c r="T1826" s="24"/>
      <c r="U1826" s="64"/>
      <c r="V1826" s="56"/>
      <c r="W1826" s="56"/>
      <c r="X1826" s="56"/>
      <c r="Y1826" s="56"/>
      <c r="Z1826" s="56"/>
      <c r="AA1826" s="56"/>
      <c r="AB1826" s="56"/>
      <c r="AC1826" s="56"/>
    </row>
    <row r="1827" spans="1:29" ht="15.75" customHeight="1">
      <c r="A1827" s="39"/>
      <c r="B1827" s="107"/>
      <c r="C1827" s="109"/>
      <c r="D1827" s="76"/>
      <c r="E1827" s="64"/>
      <c r="F1827" s="39"/>
      <c r="G1827" s="399">
        <f>IFERROR(VLOOKUP(A1827,醫療院所DATABASE!A:B,2,""),)</f>
        <v>0</v>
      </c>
      <c r="H1827" s="64"/>
      <c r="I1827" s="109"/>
      <c r="J1827" s="109"/>
      <c r="K1827" s="39"/>
      <c r="L1827" s="76"/>
      <c r="M1827" s="39"/>
      <c r="N1827" s="39"/>
      <c r="O1827" s="24"/>
      <c r="P1827" s="409"/>
      <c r="Q1827" s="76"/>
      <c r="R1827" s="76"/>
      <c r="S1827" s="24"/>
      <c r="T1827" s="24"/>
      <c r="U1827" s="64"/>
      <c r="V1827" s="56"/>
      <c r="W1827" s="56"/>
      <c r="X1827" s="56"/>
      <c r="Y1827" s="56"/>
      <c r="Z1827" s="56"/>
      <c r="AA1827" s="56"/>
      <c r="AB1827" s="56"/>
      <c r="AC1827" s="56"/>
    </row>
    <row r="1828" spans="1:29" ht="15.75" customHeight="1">
      <c r="A1828" s="39"/>
      <c r="B1828" s="107"/>
      <c r="C1828" s="109"/>
      <c r="D1828" s="76"/>
      <c r="E1828" s="64"/>
      <c r="F1828" s="39"/>
      <c r="G1828" s="399">
        <f>IFERROR(VLOOKUP(A1828,醫療院所DATABASE!A:B,2,""),)</f>
        <v>0</v>
      </c>
      <c r="H1828" s="64"/>
      <c r="I1828" s="109"/>
      <c r="J1828" s="109"/>
      <c r="K1828" s="39"/>
      <c r="L1828" s="76"/>
      <c r="M1828" s="39"/>
      <c r="N1828" s="39"/>
      <c r="O1828" s="24"/>
      <c r="P1828" s="409"/>
      <c r="Q1828" s="76"/>
      <c r="R1828" s="76"/>
      <c r="S1828" s="24"/>
      <c r="T1828" s="24"/>
      <c r="U1828" s="64"/>
      <c r="V1828" s="56"/>
      <c r="W1828" s="56"/>
      <c r="X1828" s="56"/>
      <c r="Y1828" s="56"/>
      <c r="Z1828" s="56"/>
      <c r="AA1828" s="56"/>
      <c r="AB1828" s="56"/>
      <c r="AC1828" s="56"/>
    </row>
    <row r="1829" spans="1:29" ht="15.75" customHeight="1">
      <c r="A1829" s="39"/>
      <c r="B1829" s="107"/>
      <c r="C1829" s="109"/>
      <c r="D1829" s="76"/>
      <c r="E1829" s="64"/>
      <c r="F1829" s="39"/>
      <c r="G1829" s="399">
        <f>IFERROR(VLOOKUP(A1829,醫療院所DATABASE!A:B,2,""),)</f>
        <v>0</v>
      </c>
      <c r="H1829" s="64"/>
      <c r="I1829" s="109"/>
      <c r="J1829" s="109"/>
      <c r="K1829" s="39"/>
      <c r="L1829" s="76"/>
      <c r="M1829" s="39"/>
      <c r="N1829" s="39"/>
      <c r="O1829" s="24"/>
      <c r="P1829" s="409"/>
      <c r="Q1829" s="76"/>
      <c r="R1829" s="76"/>
      <c r="S1829" s="24"/>
      <c r="T1829" s="24"/>
      <c r="U1829" s="64"/>
      <c r="V1829" s="56"/>
      <c r="W1829" s="56"/>
      <c r="X1829" s="56"/>
      <c r="Y1829" s="56"/>
      <c r="Z1829" s="56"/>
      <c r="AA1829" s="56"/>
      <c r="AB1829" s="56"/>
      <c r="AC1829" s="56"/>
    </row>
    <row r="1830" spans="1:29" ht="15.75" customHeight="1">
      <c r="A1830" s="39"/>
      <c r="B1830" s="107"/>
      <c r="C1830" s="109"/>
      <c r="D1830" s="76"/>
      <c r="E1830" s="64"/>
      <c r="F1830" s="39"/>
      <c r="G1830" s="399">
        <f>IFERROR(VLOOKUP(A1830,醫療院所DATABASE!A:B,2,""),)</f>
        <v>0</v>
      </c>
      <c r="H1830" s="64"/>
      <c r="I1830" s="109"/>
      <c r="J1830" s="109"/>
      <c r="K1830" s="39"/>
      <c r="L1830" s="76"/>
      <c r="M1830" s="39"/>
      <c r="N1830" s="39"/>
      <c r="O1830" s="24"/>
      <c r="P1830" s="409"/>
      <c r="Q1830" s="76"/>
      <c r="R1830" s="76"/>
      <c r="S1830" s="24"/>
      <c r="T1830" s="24"/>
      <c r="U1830" s="64"/>
      <c r="V1830" s="56"/>
      <c r="W1830" s="56"/>
      <c r="X1830" s="56"/>
      <c r="Y1830" s="56"/>
      <c r="Z1830" s="56"/>
      <c r="AA1830" s="56"/>
      <c r="AB1830" s="56"/>
      <c r="AC1830" s="56"/>
    </row>
    <row r="1831" spans="1:29" ht="15.75" customHeight="1">
      <c r="A1831" s="39"/>
      <c r="B1831" s="107"/>
      <c r="C1831" s="109"/>
      <c r="D1831" s="76"/>
      <c r="E1831" s="64"/>
      <c r="F1831" s="39"/>
      <c r="G1831" s="399">
        <f>IFERROR(VLOOKUP(A1831,醫療院所DATABASE!A:B,2,""),)</f>
        <v>0</v>
      </c>
      <c r="H1831" s="64"/>
      <c r="I1831" s="109"/>
      <c r="J1831" s="109"/>
      <c r="K1831" s="39"/>
      <c r="L1831" s="76"/>
      <c r="M1831" s="39"/>
      <c r="N1831" s="39"/>
      <c r="O1831" s="24"/>
      <c r="P1831" s="409"/>
      <c r="Q1831" s="76"/>
      <c r="R1831" s="76"/>
      <c r="S1831" s="24"/>
      <c r="T1831" s="24"/>
      <c r="U1831" s="64"/>
      <c r="V1831" s="56"/>
      <c r="W1831" s="56"/>
      <c r="X1831" s="56"/>
      <c r="Y1831" s="56"/>
      <c r="Z1831" s="56"/>
      <c r="AA1831" s="56"/>
      <c r="AB1831" s="56"/>
      <c r="AC1831" s="56"/>
    </row>
    <row r="1832" spans="1:29" ht="15.75" customHeight="1">
      <c r="A1832" s="39"/>
      <c r="B1832" s="107"/>
      <c r="C1832" s="109"/>
      <c r="D1832" s="76"/>
      <c r="E1832" s="64"/>
      <c r="F1832" s="39"/>
      <c r="G1832" s="399">
        <f>IFERROR(VLOOKUP(A1832,醫療院所DATABASE!A:B,2,""),)</f>
        <v>0</v>
      </c>
      <c r="H1832" s="64"/>
      <c r="I1832" s="109"/>
      <c r="J1832" s="109"/>
      <c r="K1832" s="39"/>
      <c r="L1832" s="76"/>
      <c r="M1832" s="39"/>
      <c r="N1832" s="39"/>
      <c r="O1832" s="24"/>
      <c r="P1832" s="409"/>
      <c r="Q1832" s="76"/>
      <c r="R1832" s="76"/>
      <c r="S1832" s="24"/>
      <c r="T1832" s="24"/>
      <c r="U1832" s="64"/>
      <c r="V1832" s="56"/>
      <c r="W1832" s="56"/>
      <c r="X1832" s="56"/>
      <c r="Y1832" s="56"/>
      <c r="Z1832" s="56"/>
      <c r="AA1832" s="56"/>
      <c r="AB1832" s="56"/>
      <c r="AC1832" s="56"/>
    </row>
    <row r="1833" spans="1:29" ht="15.75" customHeight="1">
      <c r="A1833" s="39"/>
      <c r="B1833" s="107"/>
      <c r="C1833" s="109"/>
      <c r="D1833" s="76"/>
      <c r="E1833" s="64"/>
      <c r="F1833" s="39"/>
      <c r="G1833" s="399">
        <f>IFERROR(VLOOKUP(A1833,醫療院所DATABASE!A:B,2,""),)</f>
        <v>0</v>
      </c>
      <c r="H1833" s="64"/>
      <c r="I1833" s="109"/>
      <c r="J1833" s="109"/>
      <c r="K1833" s="39"/>
      <c r="L1833" s="76"/>
      <c r="M1833" s="39"/>
      <c r="N1833" s="39"/>
      <c r="O1833" s="24"/>
      <c r="P1833" s="409"/>
      <c r="Q1833" s="76"/>
      <c r="R1833" s="76"/>
      <c r="S1833" s="24"/>
      <c r="T1833" s="24"/>
      <c r="U1833" s="64"/>
      <c r="V1833" s="56"/>
      <c r="W1833" s="56"/>
      <c r="X1833" s="56"/>
      <c r="Y1833" s="56"/>
      <c r="Z1833" s="56"/>
      <c r="AA1833" s="56"/>
      <c r="AB1833" s="56"/>
      <c r="AC1833" s="56"/>
    </row>
    <row r="1834" spans="1:29" ht="15.75" customHeight="1">
      <c r="A1834" s="39"/>
      <c r="B1834" s="107"/>
      <c r="C1834" s="109"/>
      <c r="D1834" s="76"/>
      <c r="E1834" s="64"/>
      <c r="F1834" s="39"/>
      <c r="G1834" s="399">
        <f>IFERROR(VLOOKUP(A1834,醫療院所DATABASE!A:B,2,""),)</f>
        <v>0</v>
      </c>
      <c r="H1834" s="64"/>
      <c r="I1834" s="109"/>
      <c r="J1834" s="109"/>
      <c r="K1834" s="39"/>
      <c r="L1834" s="76"/>
      <c r="M1834" s="39"/>
      <c r="N1834" s="39"/>
      <c r="O1834" s="24"/>
      <c r="P1834" s="409"/>
      <c r="Q1834" s="76"/>
      <c r="R1834" s="76"/>
      <c r="S1834" s="24"/>
      <c r="T1834" s="24"/>
      <c r="U1834" s="64"/>
      <c r="V1834" s="56"/>
      <c r="W1834" s="56"/>
      <c r="X1834" s="56"/>
      <c r="Y1834" s="56"/>
      <c r="Z1834" s="56"/>
      <c r="AA1834" s="56"/>
      <c r="AB1834" s="56"/>
      <c r="AC1834" s="56"/>
    </row>
    <row r="1835" spans="1:29" ht="15.75" customHeight="1">
      <c r="A1835" s="39"/>
      <c r="B1835" s="107"/>
      <c r="C1835" s="109"/>
      <c r="D1835" s="76"/>
      <c r="E1835" s="64"/>
      <c r="F1835" s="39"/>
      <c r="G1835" s="399">
        <f>IFERROR(VLOOKUP(A1835,醫療院所DATABASE!A:B,2,""),)</f>
        <v>0</v>
      </c>
      <c r="H1835" s="64"/>
      <c r="I1835" s="109"/>
      <c r="J1835" s="109"/>
      <c r="K1835" s="39"/>
      <c r="L1835" s="76"/>
      <c r="M1835" s="39"/>
      <c r="N1835" s="39"/>
      <c r="O1835" s="24"/>
      <c r="P1835" s="409"/>
      <c r="Q1835" s="76"/>
      <c r="R1835" s="76"/>
      <c r="S1835" s="24"/>
      <c r="T1835" s="24"/>
      <c r="U1835" s="64"/>
      <c r="V1835" s="56"/>
      <c r="W1835" s="56"/>
      <c r="X1835" s="56"/>
      <c r="Y1835" s="56"/>
      <c r="Z1835" s="56"/>
      <c r="AA1835" s="56"/>
      <c r="AB1835" s="56"/>
      <c r="AC1835" s="56"/>
    </row>
    <row r="1836" spans="1:29" ht="15.75" customHeight="1">
      <c r="A1836" s="39"/>
      <c r="B1836" s="107"/>
      <c r="C1836" s="109"/>
      <c r="D1836" s="76"/>
      <c r="E1836" s="64"/>
      <c r="F1836" s="39"/>
      <c r="G1836" s="399">
        <f>IFERROR(VLOOKUP(A1836,醫療院所DATABASE!A:B,2,""),)</f>
        <v>0</v>
      </c>
      <c r="H1836" s="64"/>
      <c r="I1836" s="109"/>
      <c r="J1836" s="109"/>
      <c r="K1836" s="39"/>
      <c r="L1836" s="76"/>
      <c r="M1836" s="39"/>
      <c r="N1836" s="39"/>
      <c r="O1836" s="24"/>
      <c r="P1836" s="409"/>
      <c r="Q1836" s="76"/>
      <c r="R1836" s="76"/>
      <c r="S1836" s="24"/>
      <c r="T1836" s="24"/>
      <c r="U1836" s="64"/>
      <c r="V1836" s="56"/>
      <c r="W1836" s="56"/>
      <c r="X1836" s="56"/>
      <c r="Y1836" s="56"/>
      <c r="Z1836" s="56"/>
      <c r="AA1836" s="56"/>
      <c r="AB1836" s="56"/>
      <c r="AC1836" s="56"/>
    </row>
    <row r="1837" spans="1:29" ht="15.75" customHeight="1">
      <c r="A1837" s="39"/>
      <c r="B1837" s="107"/>
      <c r="C1837" s="109"/>
      <c r="D1837" s="76"/>
      <c r="E1837" s="64"/>
      <c r="F1837" s="39"/>
      <c r="G1837" s="399">
        <f>IFERROR(VLOOKUP(A1837,醫療院所DATABASE!A:B,2,""),)</f>
        <v>0</v>
      </c>
      <c r="H1837" s="64"/>
      <c r="I1837" s="109"/>
      <c r="J1837" s="109"/>
      <c r="K1837" s="39"/>
      <c r="L1837" s="76"/>
      <c r="M1837" s="39"/>
      <c r="N1837" s="39"/>
      <c r="O1837" s="24"/>
      <c r="P1837" s="409"/>
      <c r="Q1837" s="76"/>
      <c r="R1837" s="76"/>
      <c r="S1837" s="24"/>
      <c r="T1837" s="24"/>
      <c r="U1837" s="64"/>
      <c r="V1837" s="56"/>
      <c r="W1837" s="56"/>
      <c r="X1837" s="56"/>
      <c r="Y1837" s="56"/>
      <c r="Z1837" s="56"/>
      <c r="AA1837" s="56"/>
      <c r="AB1837" s="56"/>
      <c r="AC1837" s="56"/>
    </row>
    <row r="1838" spans="1:29" ht="15.75" customHeight="1">
      <c r="A1838" s="39"/>
      <c r="B1838" s="107"/>
      <c r="C1838" s="109"/>
      <c r="D1838" s="76"/>
      <c r="E1838" s="64"/>
      <c r="F1838" s="39"/>
      <c r="G1838" s="399">
        <f>IFERROR(VLOOKUP(A1838,醫療院所DATABASE!A:B,2,""),)</f>
        <v>0</v>
      </c>
      <c r="H1838" s="64"/>
      <c r="I1838" s="109"/>
      <c r="J1838" s="109"/>
      <c r="K1838" s="39"/>
      <c r="L1838" s="76"/>
      <c r="M1838" s="39"/>
      <c r="N1838" s="39"/>
      <c r="O1838" s="24"/>
      <c r="P1838" s="409"/>
      <c r="Q1838" s="76"/>
      <c r="R1838" s="76"/>
      <c r="S1838" s="24"/>
      <c r="T1838" s="24"/>
      <c r="U1838" s="64"/>
      <c r="V1838" s="56"/>
      <c r="W1838" s="56"/>
      <c r="X1838" s="56"/>
      <c r="Y1838" s="56"/>
      <c r="Z1838" s="56"/>
      <c r="AA1838" s="56"/>
      <c r="AB1838" s="56"/>
      <c r="AC1838" s="56"/>
    </row>
    <row r="1839" spans="1:29" ht="15.75" customHeight="1">
      <c r="A1839" s="39"/>
      <c r="B1839" s="107"/>
      <c r="C1839" s="109"/>
      <c r="D1839" s="76"/>
      <c r="E1839" s="64"/>
      <c r="F1839" s="39"/>
      <c r="G1839" s="399">
        <f>IFERROR(VLOOKUP(A1839,醫療院所DATABASE!A:B,2,""),)</f>
        <v>0</v>
      </c>
      <c r="H1839" s="64"/>
      <c r="I1839" s="109"/>
      <c r="J1839" s="109"/>
      <c r="K1839" s="39"/>
      <c r="L1839" s="76"/>
      <c r="M1839" s="39"/>
      <c r="N1839" s="39"/>
      <c r="O1839" s="24"/>
      <c r="P1839" s="409"/>
      <c r="Q1839" s="76"/>
      <c r="R1839" s="76"/>
      <c r="S1839" s="24"/>
      <c r="T1839" s="24"/>
      <c r="U1839" s="64"/>
      <c r="V1839" s="56"/>
      <c r="W1839" s="56"/>
      <c r="X1839" s="56"/>
      <c r="Y1839" s="56"/>
      <c r="Z1839" s="56"/>
      <c r="AA1839" s="56"/>
      <c r="AB1839" s="56"/>
      <c r="AC1839" s="56"/>
    </row>
    <row r="1840" spans="1:29" ht="15.75" customHeight="1">
      <c r="A1840" s="39"/>
      <c r="B1840" s="107"/>
      <c r="C1840" s="109"/>
      <c r="D1840" s="76"/>
      <c r="E1840" s="64"/>
      <c r="F1840" s="39"/>
      <c r="G1840" s="399">
        <f>IFERROR(VLOOKUP(A1840,醫療院所DATABASE!A:B,2,""),)</f>
        <v>0</v>
      </c>
      <c r="H1840" s="64"/>
      <c r="I1840" s="109"/>
      <c r="J1840" s="109"/>
      <c r="K1840" s="39"/>
      <c r="L1840" s="76"/>
      <c r="M1840" s="39"/>
      <c r="N1840" s="39"/>
      <c r="O1840" s="24"/>
      <c r="P1840" s="409"/>
      <c r="Q1840" s="76"/>
      <c r="R1840" s="76"/>
      <c r="S1840" s="24"/>
      <c r="T1840" s="24"/>
      <c r="U1840" s="64"/>
      <c r="V1840" s="56"/>
      <c r="W1840" s="56"/>
      <c r="X1840" s="56"/>
      <c r="Y1840" s="56"/>
      <c r="Z1840" s="56"/>
      <c r="AA1840" s="56"/>
      <c r="AB1840" s="56"/>
      <c r="AC1840" s="56"/>
    </row>
    <row r="1841" spans="1:29" ht="15.75" customHeight="1">
      <c r="A1841" s="39"/>
      <c r="B1841" s="107"/>
      <c r="C1841" s="109"/>
      <c r="D1841" s="76"/>
      <c r="E1841" s="64"/>
      <c r="F1841" s="39"/>
      <c r="G1841" s="399">
        <f>IFERROR(VLOOKUP(A1841,醫療院所DATABASE!A:B,2,""),)</f>
        <v>0</v>
      </c>
      <c r="H1841" s="64"/>
      <c r="I1841" s="109"/>
      <c r="J1841" s="109"/>
      <c r="K1841" s="39"/>
      <c r="L1841" s="76"/>
      <c r="M1841" s="39"/>
      <c r="N1841" s="39"/>
      <c r="O1841" s="24"/>
      <c r="P1841" s="409"/>
      <c r="Q1841" s="76"/>
      <c r="R1841" s="76"/>
      <c r="S1841" s="24"/>
      <c r="T1841" s="24"/>
      <c r="U1841" s="64"/>
      <c r="V1841" s="56"/>
      <c r="W1841" s="56"/>
      <c r="X1841" s="56"/>
      <c r="Y1841" s="56"/>
      <c r="Z1841" s="56"/>
      <c r="AA1841" s="56"/>
      <c r="AB1841" s="56"/>
      <c r="AC1841" s="56"/>
    </row>
    <row r="1842" spans="1:29" ht="15.75" customHeight="1">
      <c r="A1842" s="39"/>
      <c r="B1842" s="107"/>
      <c r="C1842" s="109"/>
      <c r="D1842" s="76"/>
      <c r="E1842" s="64"/>
      <c r="F1842" s="39"/>
      <c r="G1842" s="399">
        <f>IFERROR(VLOOKUP(A1842,醫療院所DATABASE!A:B,2,""),)</f>
        <v>0</v>
      </c>
      <c r="H1842" s="64"/>
      <c r="I1842" s="109"/>
      <c r="J1842" s="109"/>
      <c r="K1842" s="39"/>
      <c r="L1842" s="76"/>
      <c r="M1842" s="39"/>
      <c r="N1842" s="39"/>
      <c r="O1842" s="24"/>
      <c r="P1842" s="409"/>
      <c r="Q1842" s="76"/>
      <c r="R1842" s="76"/>
      <c r="S1842" s="24"/>
      <c r="T1842" s="24"/>
      <c r="U1842" s="64"/>
      <c r="V1842" s="56"/>
      <c r="W1842" s="56"/>
      <c r="X1842" s="56"/>
      <c r="Y1842" s="56"/>
      <c r="Z1842" s="56"/>
      <c r="AA1842" s="56"/>
      <c r="AB1842" s="56"/>
      <c r="AC1842" s="56"/>
    </row>
    <row r="1843" spans="1:29" ht="15.75" customHeight="1">
      <c r="A1843" s="39"/>
      <c r="B1843" s="107"/>
      <c r="C1843" s="109"/>
      <c r="D1843" s="76"/>
      <c r="E1843" s="64"/>
      <c r="F1843" s="39"/>
      <c r="G1843" s="399">
        <f>IFERROR(VLOOKUP(A1843,醫療院所DATABASE!A:B,2,""),)</f>
        <v>0</v>
      </c>
      <c r="H1843" s="64"/>
      <c r="I1843" s="109"/>
      <c r="J1843" s="109"/>
      <c r="K1843" s="39"/>
      <c r="L1843" s="76"/>
      <c r="M1843" s="39"/>
      <c r="N1843" s="39"/>
      <c r="O1843" s="24"/>
      <c r="P1843" s="409"/>
      <c r="Q1843" s="76"/>
      <c r="R1843" s="76"/>
      <c r="S1843" s="24"/>
      <c r="T1843" s="24"/>
      <c r="U1843" s="64"/>
      <c r="V1843" s="56"/>
      <c r="W1843" s="56"/>
      <c r="X1843" s="56"/>
      <c r="Y1843" s="56"/>
      <c r="Z1843" s="56"/>
      <c r="AA1843" s="56"/>
      <c r="AB1843" s="56"/>
      <c r="AC1843" s="56"/>
    </row>
    <row r="1844" spans="1:29" ht="15.75" customHeight="1">
      <c r="A1844" s="39"/>
      <c r="B1844" s="107"/>
      <c r="C1844" s="109"/>
      <c r="D1844" s="76"/>
      <c r="E1844" s="64"/>
      <c r="F1844" s="39"/>
      <c r="G1844" s="399">
        <f>IFERROR(VLOOKUP(A1844,醫療院所DATABASE!A:B,2,""),)</f>
        <v>0</v>
      </c>
      <c r="H1844" s="64"/>
      <c r="I1844" s="109"/>
      <c r="J1844" s="109"/>
      <c r="K1844" s="39"/>
      <c r="L1844" s="76"/>
      <c r="M1844" s="39"/>
      <c r="N1844" s="39"/>
      <c r="O1844" s="24"/>
      <c r="P1844" s="409"/>
      <c r="Q1844" s="76"/>
      <c r="R1844" s="76"/>
      <c r="S1844" s="24"/>
      <c r="T1844" s="24"/>
      <c r="U1844" s="64"/>
      <c r="V1844" s="56"/>
      <c r="W1844" s="56"/>
      <c r="X1844" s="56"/>
      <c r="Y1844" s="56"/>
      <c r="Z1844" s="56"/>
      <c r="AA1844" s="56"/>
      <c r="AB1844" s="56"/>
      <c r="AC1844" s="56"/>
    </row>
    <row r="1845" spans="1:29" ht="15.75" customHeight="1">
      <c r="A1845" s="39"/>
      <c r="B1845" s="107"/>
      <c r="C1845" s="109"/>
      <c r="D1845" s="76"/>
      <c r="E1845" s="64"/>
      <c r="F1845" s="39"/>
      <c r="G1845" s="399">
        <f>IFERROR(VLOOKUP(A1845,醫療院所DATABASE!A:B,2,""),)</f>
        <v>0</v>
      </c>
      <c r="H1845" s="64"/>
      <c r="I1845" s="109"/>
      <c r="J1845" s="109"/>
      <c r="K1845" s="39"/>
      <c r="L1845" s="76"/>
      <c r="M1845" s="39"/>
      <c r="N1845" s="39"/>
      <c r="O1845" s="24"/>
      <c r="P1845" s="409"/>
      <c r="Q1845" s="76"/>
      <c r="R1845" s="76"/>
      <c r="S1845" s="24"/>
      <c r="T1845" s="24"/>
      <c r="U1845" s="64"/>
      <c r="V1845" s="56"/>
      <c r="W1845" s="56"/>
      <c r="X1845" s="56"/>
      <c r="Y1845" s="56"/>
      <c r="Z1845" s="56"/>
      <c r="AA1845" s="56"/>
      <c r="AB1845" s="56"/>
      <c r="AC1845" s="56"/>
    </row>
    <row r="1846" spans="1:29" ht="15.75" customHeight="1">
      <c r="A1846" s="39"/>
      <c r="B1846" s="107"/>
      <c r="C1846" s="109"/>
      <c r="D1846" s="76"/>
      <c r="E1846" s="64"/>
      <c r="F1846" s="39"/>
      <c r="G1846" s="399">
        <f>IFERROR(VLOOKUP(A1846,醫療院所DATABASE!A:B,2,""),)</f>
        <v>0</v>
      </c>
      <c r="H1846" s="64"/>
      <c r="I1846" s="109"/>
      <c r="J1846" s="109"/>
      <c r="K1846" s="39"/>
      <c r="L1846" s="76"/>
      <c r="M1846" s="39"/>
      <c r="N1846" s="39"/>
      <c r="O1846" s="24"/>
      <c r="P1846" s="409"/>
      <c r="Q1846" s="76"/>
      <c r="R1846" s="76"/>
      <c r="S1846" s="24"/>
      <c r="T1846" s="24"/>
      <c r="U1846" s="64"/>
      <c r="V1846" s="56"/>
      <c r="W1846" s="56"/>
      <c r="X1846" s="56"/>
      <c r="Y1846" s="56"/>
      <c r="Z1846" s="56"/>
      <c r="AA1846" s="56"/>
      <c r="AB1846" s="56"/>
      <c r="AC1846" s="56"/>
    </row>
    <row r="1847" spans="1:29" ht="15.75" customHeight="1">
      <c r="A1847" s="39"/>
      <c r="B1847" s="107"/>
      <c r="C1847" s="109"/>
      <c r="D1847" s="76"/>
      <c r="E1847" s="64"/>
      <c r="F1847" s="39"/>
      <c r="G1847" s="399">
        <f>IFERROR(VLOOKUP(A1847,醫療院所DATABASE!A:B,2,""),)</f>
        <v>0</v>
      </c>
      <c r="H1847" s="64"/>
      <c r="I1847" s="109"/>
      <c r="J1847" s="109"/>
      <c r="K1847" s="39"/>
      <c r="L1847" s="76"/>
      <c r="M1847" s="39"/>
      <c r="N1847" s="39"/>
      <c r="O1847" s="24"/>
      <c r="P1847" s="409"/>
      <c r="Q1847" s="76"/>
      <c r="R1847" s="76"/>
      <c r="S1847" s="24"/>
      <c r="T1847" s="24"/>
      <c r="U1847" s="64"/>
      <c r="V1847" s="56"/>
      <c r="W1847" s="56"/>
      <c r="X1847" s="56"/>
      <c r="Y1847" s="56"/>
      <c r="Z1847" s="56"/>
      <c r="AA1847" s="56"/>
      <c r="AB1847" s="56"/>
      <c r="AC1847" s="56"/>
    </row>
    <row r="1848" spans="1:29" ht="15.75" customHeight="1">
      <c r="A1848" s="39"/>
      <c r="B1848" s="107"/>
      <c r="C1848" s="109"/>
      <c r="D1848" s="76"/>
      <c r="E1848" s="64"/>
      <c r="F1848" s="39"/>
      <c r="G1848" s="399">
        <f>IFERROR(VLOOKUP(A1848,醫療院所DATABASE!A:B,2,""),)</f>
        <v>0</v>
      </c>
      <c r="H1848" s="64"/>
      <c r="I1848" s="109"/>
      <c r="J1848" s="109"/>
      <c r="K1848" s="39"/>
      <c r="L1848" s="76"/>
      <c r="M1848" s="39"/>
      <c r="N1848" s="39"/>
      <c r="O1848" s="24"/>
      <c r="P1848" s="409"/>
      <c r="Q1848" s="76"/>
      <c r="R1848" s="76"/>
      <c r="S1848" s="24"/>
      <c r="T1848" s="24"/>
      <c r="U1848" s="64"/>
      <c r="V1848" s="56"/>
      <c r="W1848" s="56"/>
      <c r="X1848" s="56"/>
      <c r="Y1848" s="56"/>
      <c r="Z1848" s="56"/>
      <c r="AA1848" s="56"/>
      <c r="AB1848" s="56"/>
      <c r="AC1848" s="56"/>
    </row>
    <row r="1849" spans="1:29" ht="15.75" customHeight="1">
      <c r="A1849" s="39"/>
      <c r="B1849" s="107"/>
      <c r="C1849" s="109"/>
      <c r="D1849" s="76"/>
      <c r="E1849" s="64"/>
      <c r="F1849" s="39"/>
      <c r="G1849" s="399">
        <f>IFERROR(VLOOKUP(A1849,醫療院所DATABASE!A:B,2,""),)</f>
        <v>0</v>
      </c>
      <c r="H1849" s="64"/>
      <c r="I1849" s="109"/>
      <c r="J1849" s="109"/>
      <c r="K1849" s="39"/>
      <c r="L1849" s="76"/>
      <c r="M1849" s="39"/>
      <c r="N1849" s="39"/>
      <c r="O1849" s="24"/>
      <c r="P1849" s="409"/>
      <c r="Q1849" s="76"/>
      <c r="R1849" s="76"/>
      <c r="S1849" s="24"/>
      <c r="T1849" s="24"/>
      <c r="U1849" s="64"/>
      <c r="V1849" s="56"/>
      <c r="W1849" s="56"/>
      <c r="X1849" s="56"/>
      <c r="Y1849" s="56"/>
      <c r="Z1849" s="56"/>
      <c r="AA1849" s="56"/>
      <c r="AB1849" s="56"/>
      <c r="AC1849" s="56"/>
    </row>
    <row r="1850" spans="1:29" ht="15.75" customHeight="1">
      <c r="A1850" s="39"/>
      <c r="B1850" s="107"/>
      <c r="C1850" s="109"/>
      <c r="D1850" s="76"/>
      <c r="E1850" s="64"/>
      <c r="F1850" s="39"/>
      <c r="G1850" s="399">
        <f>IFERROR(VLOOKUP(A1850,醫療院所DATABASE!A:B,2,""),)</f>
        <v>0</v>
      </c>
      <c r="H1850" s="64"/>
      <c r="I1850" s="109"/>
      <c r="J1850" s="109"/>
      <c r="K1850" s="39"/>
      <c r="L1850" s="76"/>
      <c r="M1850" s="39"/>
      <c r="N1850" s="39"/>
      <c r="O1850" s="24"/>
      <c r="P1850" s="409"/>
      <c r="Q1850" s="76"/>
      <c r="R1850" s="76"/>
      <c r="S1850" s="24"/>
      <c r="T1850" s="24"/>
      <c r="U1850" s="64"/>
      <c r="V1850" s="56"/>
      <c r="W1850" s="56"/>
      <c r="X1850" s="56"/>
      <c r="Y1850" s="56"/>
      <c r="Z1850" s="56"/>
      <c r="AA1850" s="56"/>
      <c r="AB1850" s="56"/>
      <c r="AC1850" s="56"/>
    </row>
    <row r="1851" spans="1:29" ht="15.75" customHeight="1">
      <c r="A1851" s="39"/>
      <c r="B1851" s="107"/>
      <c r="C1851" s="109"/>
      <c r="D1851" s="76"/>
      <c r="E1851" s="64"/>
      <c r="F1851" s="39"/>
      <c r="G1851" s="399">
        <f>IFERROR(VLOOKUP(A1851,醫療院所DATABASE!A:B,2,""),)</f>
        <v>0</v>
      </c>
      <c r="H1851" s="64"/>
      <c r="I1851" s="109"/>
      <c r="J1851" s="109"/>
      <c r="K1851" s="39"/>
      <c r="L1851" s="76"/>
      <c r="M1851" s="39"/>
      <c r="N1851" s="39"/>
      <c r="O1851" s="24"/>
      <c r="P1851" s="409"/>
      <c r="Q1851" s="76"/>
      <c r="R1851" s="76"/>
      <c r="S1851" s="24"/>
      <c r="T1851" s="24"/>
      <c r="U1851" s="64"/>
      <c r="V1851" s="56"/>
      <c r="W1851" s="56"/>
      <c r="X1851" s="56"/>
      <c r="Y1851" s="56"/>
      <c r="Z1851" s="56"/>
      <c r="AA1851" s="56"/>
      <c r="AB1851" s="56"/>
      <c r="AC1851" s="56"/>
    </row>
    <row r="1852" spans="1:29" ht="15.75" customHeight="1">
      <c r="A1852" s="39"/>
      <c r="B1852" s="107"/>
      <c r="C1852" s="109"/>
      <c r="D1852" s="76"/>
      <c r="E1852" s="64"/>
      <c r="F1852" s="39"/>
      <c r="G1852" s="399">
        <f>IFERROR(VLOOKUP(A1852,醫療院所DATABASE!A:B,2,""),)</f>
        <v>0</v>
      </c>
      <c r="H1852" s="64"/>
      <c r="I1852" s="109"/>
      <c r="J1852" s="109"/>
      <c r="K1852" s="39"/>
      <c r="L1852" s="76"/>
      <c r="M1852" s="39"/>
      <c r="N1852" s="39"/>
      <c r="O1852" s="24"/>
      <c r="P1852" s="409"/>
      <c r="Q1852" s="76"/>
      <c r="R1852" s="76"/>
      <c r="S1852" s="24"/>
      <c r="T1852" s="24"/>
      <c r="U1852" s="64"/>
      <c r="V1852" s="56"/>
      <c r="W1852" s="56"/>
      <c r="X1852" s="56"/>
      <c r="Y1852" s="56"/>
      <c r="Z1852" s="56"/>
      <c r="AA1852" s="56"/>
      <c r="AB1852" s="56"/>
      <c r="AC1852" s="56"/>
    </row>
    <row r="1853" spans="1:29" ht="15.75" customHeight="1">
      <c r="A1853" s="39"/>
      <c r="B1853" s="107"/>
      <c r="C1853" s="109"/>
      <c r="D1853" s="76"/>
      <c r="E1853" s="64"/>
      <c r="F1853" s="39"/>
      <c r="G1853" s="399">
        <f>IFERROR(VLOOKUP(A1853,醫療院所DATABASE!A:B,2,""),)</f>
        <v>0</v>
      </c>
      <c r="H1853" s="64"/>
      <c r="I1853" s="109"/>
      <c r="J1853" s="109"/>
      <c r="K1853" s="39"/>
      <c r="L1853" s="76"/>
      <c r="M1853" s="39"/>
      <c r="N1853" s="39"/>
      <c r="O1853" s="24"/>
      <c r="P1853" s="409"/>
      <c r="Q1853" s="76"/>
      <c r="R1853" s="76"/>
      <c r="S1853" s="24"/>
      <c r="T1853" s="24"/>
      <c r="U1853" s="64"/>
      <c r="V1853" s="56"/>
      <c r="W1853" s="56"/>
      <c r="X1853" s="56"/>
      <c r="Y1853" s="56"/>
      <c r="Z1853" s="56"/>
      <c r="AA1853" s="56"/>
      <c r="AB1853" s="56"/>
      <c r="AC1853" s="56"/>
    </row>
    <row r="1854" spans="1:29" ht="15.75" customHeight="1">
      <c r="A1854" s="39"/>
      <c r="B1854" s="107"/>
      <c r="C1854" s="109"/>
      <c r="D1854" s="76"/>
      <c r="E1854" s="64"/>
      <c r="F1854" s="39"/>
      <c r="G1854" s="399">
        <f>IFERROR(VLOOKUP(A1854,醫療院所DATABASE!A:B,2,""),)</f>
        <v>0</v>
      </c>
      <c r="H1854" s="64"/>
      <c r="I1854" s="109"/>
      <c r="J1854" s="109"/>
      <c r="K1854" s="39"/>
      <c r="L1854" s="76"/>
      <c r="M1854" s="39"/>
      <c r="N1854" s="39"/>
      <c r="O1854" s="24"/>
      <c r="P1854" s="409"/>
      <c r="Q1854" s="76"/>
      <c r="R1854" s="76"/>
      <c r="S1854" s="24"/>
      <c r="T1854" s="24"/>
      <c r="U1854" s="64"/>
      <c r="V1854" s="56"/>
      <c r="W1854" s="56"/>
      <c r="X1854" s="56"/>
      <c r="Y1854" s="56"/>
      <c r="Z1854" s="56"/>
      <c r="AA1854" s="56"/>
      <c r="AB1854" s="56"/>
      <c r="AC1854" s="56"/>
    </row>
    <row r="1855" spans="1:29" ht="15.75" customHeight="1">
      <c r="A1855" s="39"/>
      <c r="B1855" s="107"/>
      <c r="C1855" s="109"/>
      <c r="D1855" s="76"/>
      <c r="E1855" s="64"/>
      <c r="F1855" s="39"/>
      <c r="G1855" s="399">
        <f>IFERROR(VLOOKUP(A1855,醫療院所DATABASE!A:B,2,""),)</f>
        <v>0</v>
      </c>
      <c r="H1855" s="64"/>
      <c r="I1855" s="109"/>
      <c r="J1855" s="109"/>
      <c r="K1855" s="39"/>
      <c r="L1855" s="76"/>
      <c r="M1855" s="39"/>
      <c r="N1855" s="39"/>
      <c r="O1855" s="24"/>
      <c r="P1855" s="409"/>
      <c r="Q1855" s="76"/>
      <c r="R1855" s="76"/>
      <c r="S1855" s="24"/>
      <c r="T1855" s="24"/>
      <c r="U1855" s="64"/>
      <c r="V1855" s="56"/>
      <c r="W1855" s="56"/>
      <c r="X1855" s="56"/>
      <c r="Y1855" s="56"/>
      <c r="Z1855" s="56"/>
      <c r="AA1855" s="56"/>
      <c r="AB1855" s="56"/>
      <c r="AC1855" s="56"/>
    </row>
    <row r="1856" spans="1:29" ht="15.75" customHeight="1">
      <c r="A1856" s="39"/>
      <c r="B1856" s="107"/>
      <c r="C1856" s="109"/>
      <c r="D1856" s="76"/>
      <c r="E1856" s="64"/>
      <c r="F1856" s="39"/>
      <c r="G1856" s="399">
        <f>IFERROR(VLOOKUP(A1856,醫療院所DATABASE!A:B,2,""),)</f>
        <v>0</v>
      </c>
      <c r="H1856" s="64"/>
      <c r="I1856" s="109"/>
      <c r="J1856" s="109"/>
      <c r="K1856" s="39"/>
      <c r="L1856" s="76"/>
      <c r="M1856" s="39"/>
      <c r="N1856" s="39"/>
      <c r="O1856" s="24"/>
      <c r="P1856" s="409"/>
      <c r="Q1856" s="76"/>
      <c r="R1856" s="76"/>
      <c r="S1856" s="24"/>
      <c r="T1856" s="24"/>
      <c r="U1856" s="64"/>
      <c r="V1856" s="56"/>
      <c r="W1856" s="56"/>
      <c r="X1856" s="56"/>
      <c r="Y1856" s="56"/>
      <c r="Z1856" s="56"/>
      <c r="AA1856" s="56"/>
      <c r="AB1856" s="56"/>
      <c r="AC1856" s="56"/>
    </row>
    <row r="1857" spans="1:29" ht="15.75" customHeight="1">
      <c r="A1857" s="39"/>
      <c r="B1857" s="107"/>
      <c r="C1857" s="109"/>
      <c r="D1857" s="76"/>
      <c r="E1857" s="64"/>
      <c r="F1857" s="39"/>
      <c r="G1857" s="399">
        <f>IFERROR(VLOOKUP(A1857,醫療院所DATABASE!A:B,2,""),)</f>
        <v>0</v>
      </c>
      <c r="H1857" s="64"/>
      <c r="I1857" s="109"/>
      <c r="J1857" s="109"/>
      <c r="K1857" s="39"/>
      <c r="L1857" s="76"/>
      <c r="M1857" s="39"/>
      <c r="N1857" s="39"/>
      <c r="O1857" s="24"/>
      <c r="P1857" s="409"/>
      <c r="Q1857" s="76"/>
      <c r="R1857" s="76"/>
      <c r="S1857" s="24"/>
      <c r="T1857" s="24"/>
      <c r="U1857" s="64"/>
      <c r="V1857" s="56"/>
      <c r="W1857" s="56"/>
      <c r="X1857" s="56"/>
      <c r="Y1857" s="56"/>
      <c r="Z1857" s="56"/>
      <c r="AA1857" s="56"/>
      <c r="AB1857" s="56"/>
      <c r="AC1857" s="56"/>
    </row>
    <row r="1858" spans="1:29" ht="15.75" customHeight="1">
      <c r="A1858" s="39"/>
      <c r="B1858" s="107"/>
      <c r="C1858" s="109"/>
      <c r="D1858" s="76"/>
      <c r="E1858" s="64"/>
      <c r="F1858" s="39"/>
      <c r="G1858" s="399">
        <f>IFERROR(VLOOKUP(A1858,醫療院所DATABASE!A:B,2,""),)</f>
        <v>0</v>
      </c>
      <c r="H1858" s="64"/>
      <c r="I1858" s="109"/>
      <c r="J1858" s="109"/>
      <c r="K1858" s="39"/>
      <c r="L1858" s="76"/>
      <c r="M1858" s="39"/>
      <c r="N1858" s="39"/>
      <c r="O1858" s="24"/>
      <c r="P1858" s="409"/>
      <c r="Q1858" s="76"/>
      <c r="R1858" s="76"/>
      <c r="S1858" s="24"/>
      <c r="T1858" s="24"/>
      <c r="U1858" s="64"/>
      <c r="V1858" s="56"/>
      <c r="W1858" s="56"/>
      <c r="X1858" s="56"/>
      <c r="Y1858" s="56"/>
      <c r="Z1858" s="56"/>
      <c r="AA1858" s="56"/>
      <c r="AB1858" s="56"/>
      <c r="AC1858" s="56"/>
    </row>
    <row r="1859" spans="1:29" ht="15.75" customHeight="1">
      <c r="A1859" s="39"/>
      <c r="B1859" s="107"/>
      <c r="C1859" s="109"/>
      <c r="D1859" s="76"/>
      <c r="E1859" s="64"/>
      <c r="F1859" s="39"/>
      <c r="G1859" s="399">
        <f>IFERROR(VLOOKUP(A1859,醫療院所DATABASE!A:B,2,""),)</f>
        <v>0</v>
      </c>
      <c r="H1859" s="64"/>
      <c r="I1859" s="109"/>
      <c r="J1859" s="109"/>
      <c r="K1859" s="39"/>
      <c r="L1859" s="76"/>
      <c r="M1859" s="39"/>
      <c r="N1859" s="39"/>
      <c r="O1859" s="24"/>
      <c r="P1859" s="409"/>
      <c r="Q1859" s="76"/>
      <c r="R1859" s="76"/>
      <c r="S1859" s="24"/>
      <c r="T1859" s="24"/>
      <c r="U1859" s="64"/>
      <c r="V1859" s="56"/>
      <c r="W1859" s="56"/>
      <c r="X1859" s="56"/>
      <c r="Y1859" s="56"/>
      <c r="Z1859" s="56"/>
      <c r="AA1859" s="56"/>
      <c r="AB1859" s="56"/>
      <c r="AC1859" s="56"/>
    </row>
    <row r="1860" spans="1:29" ht="15.75" customHeight="1">
      <c r="A1860" s="39"/>
      <c r="B1860" s="107"/>
      <c r="C1860" s="109"/>
      <c r="D1860" s="76"/>
      <c r="E1860" s="64"/>
      <c r="F1860" s="39"/>
      <c r="G1860" s="399">
        <f>IFERROR(VLOOKUP(A1860,醫療院所DATABASE!A:B,2,""),)</f>
        <v>0</v>
      </c>
      <c r="H1860" s="64"/>
      <c r="I1860" s="109"/>
      <c r="J1860" s="109"/>
      <c r="K1860" s="39"/>
      <c r="L1860" s="76"/>
      <c r="M1860" s="39"/>
      <c r="N1860" s="39"/>
      <c r="O1860" s="24"/>
      <c r="P1860" s="409"/>
      <c r="Q1860" s="76"/>
      <c r="R1860" s="76"/>
      <c r="S1860" s="24"/>
      <c r="T1860" s="24"/>
      <c r="U1860" s="64"/>
      <c r="V1860" s="56"/>
      <c r="W1860" s="56"/>
      <c r="X1860" s="56"/>
      <c r="Y1860" s="56"/>
      <c r="Z1860" s="56"/>
      <c r="AA1860" s="56"/>
      <c r="AB1860" s="56"/>
      <c r="AC1860" s="56"/>
    </row>
    <row r="1861" spans="1:29" ht="15.75" customHeight="1">
      <c r="A1861" s="39"/>
      <c r="B1861" s="107"/>
      <c r="C1861" s="109"/>
      <c r="D1861" s="76"/>
      <c r="E1861" s="64"/>
      <c r="F1861" s="39"/>
      <c r="G1861" s="399">
        <f>IFERROR(VLOOKUP(A1861,醫療院所DATABASE!A:B,2,""),)</f>
        <v>0</v>
      </c>
      <c r="H1861" s="64"/>
      <c r="I1861" s="109"/>
      <c r="J1861" s="109"/>
      <c r="K1861" s="39"/>
      <c r="L1861" s="76"/>
      <c r="M1861" s="39"/>
      <c r="N1861" s="39"/>
      <c r="O1861" s="24"/>
      <c r="P1861" s="409"/>
      <c r="Q1861" s="76"/>
      <c r="R1861" s="76"/>
      <c r="S1861" s="24"/>
      <c r="T1861" s="24"/>
      <c r="U1861" s="64"/>
      <c r="V1861" s="56"/>
      <c r="W1861" s="56"/>
      <c r="X1861" s="56"/>
      <c r="Y1861" s="56"/>
      <c r="Z1861" s="56"/>
      <c r="AA1861" s="56"/>
      <c r="AB1861" s="56"/>
      <c r="AC1861" s="56"/>
    </row>
    <row r="1862" spans="1:29" ht="15.75" customHeight="1">
      <c r="A1862" s="39"/>
      <c r="B1862" s="107"/>
      <c r="C1862" s="109"/>
      <c r="D1862" s="76"/>
      <c r="E1862" s="64"/>
      <c r="F1862" s="39"/>
      <c r="G1862" s="399">
        <f>IFERROR(VLOOKUP(A1862,醫療院所DATABASE!A:B,2,""),)</f>
        <v>0</v>
      </c>
      <c r="H1862" s="64"/>
      <c r="I1862" s="109"/>
      <c r="J1862" s="109"/>
      <c r="K1862" s="39"/>
      <c r="L1862" s="76"/>
      <c r="M1862" s="39"/>
      <c r="N1862" s="39"/>
      <c r="O1862" s="24"/>
      <c r="P1862" s="409"/>
      <c r="Q1862" s="76"/>
      <c r="R1862" s="76"/>
      <c r="S1862" s="24"/>
      <c r="T1862" s="24"/>
      <c r="U1862" s="64"/>
      <c r="V1862" s="56"/>
      <c r="W1862" s="56"/>
      <c r="X1862" s="56"/>
      <c r="Y1862" s="56"/>
      <c r="Z1862" s="56"/>
      <c r="AA1862" s="56"/>
      <c r="AB1862" s="56"/>
      <c r="AC1862" s="56"/>
    </row>
    <row r="1863" spans="1:29" ht="15.75" customHeight="1">
      <c r="A1863" s="39"/>
      <c r="B1863" s="107"/>
      <c r="C1863" s="109"/>
      <c r="D1863" s="76"/>
      <c r="E1863" s="64"/>
      <c r="F1863" s="39"/>
      <c r="G1863" s="399">
        <f>IFERROR(VLOOKUP(A1863,醫療院所DATABASE!A:B,2,""),)</f>
        <v>0</v>
      </c>
      <c r="H1863" s="64"/>
      <c r="I1863" s="109"/>
      <c r="J1863" s="109"/>
      <c r="K1863" s="39"/>
      <c r="L1863" s="76"/>
      <c r="M1863" s="39"/>
      <c r="N1863" s="39"/>
      <c r="O1863" s="24"/>
      <c r="P1863" s="409"/>
      <c r="Q1863" s="76"/>
      <c r="R1863" s="76"/>
      <c r="S1863" s="24"/>
      <c r="T1863" s="24"/>
      <c r="U1863" s="64"/>
      <c r="V1863" s="56"/>
      <c r="W1863" s="56"/>
      <c r="X1863" s="56"/>
      <c r="Y1863" s="56"/>
      <c r="Z1863" s="56"/>
      <c r="AA1863" s="56"/>
      <c r="AB1863" s="56"/>
      <c r="AC1863" s="56"/>
    </row>
    <row r="1864" spans="1:29" ht="15.75" customHeight="1">
      <c r="A1864" s="39"/>
      <c r="B1864" s="107"/>
      <c r="C1864" s="109"/>
      <c r="D1864" s="76"/>
      <c r="E1864" s="64"/>
      <c r="F1864" s="39"/>
      <c r="G1864" s="399">
        <f>IFERROR(VLOOKUP(A1864,醫療院所DATABASE!A:B,2,""),)</f>
        <v>0</v>
      </c>
      <c r="H1864" s="64"/>
      <c r="I1864" s="109"/>
      <c r="J1864" s="109"/>
      <c r="K1864" s="39"/>
      <c r="L1864" s="76"/>
      <c r="M1864" s="39"/>
      <c r="N1864" s="39"/>
      <c r="O1864" s="24"/>
      <c r="P1864" s="409"/>
      <c r="Q1864" s="76"/>
      <c r="R1864" s="76"/>
      <c r="S1864" s="24"/>
      <c r="T1864" s="24"/>
      <c r="U1864" s="64"/>
      <c r="V1864" s="56"/>
      <c r="W1864" s="56"/>
      <c r="X1864" s="56"/>
      <c r="Y1864" s="56"/>
      <c r="Z1864" s="56"/>
      <c r="AA1864" s="56"/>
      <c r="AB1864" s="56"/>
      <c r="AC1864" s="56"/>
    </row>
    <row r="1865" spans="1:29" ht="15.75" customHeight="1">
      <c r="A1865" s="39"/>
      <c r="B1865" s="107"/>
      <c r="C1865" s="109"/>
      <c r="D1865" s="76"/>
      <c r="E1865" s="64"/>
      <c r="F1865" s="39"/>
      <c r="G1865" s="399">
        <f>IFERROR(VLOOKUP(A1865,醫療院所DATABASE!A:B,2,""),)</f>
        <v>0</v>
      </c>
      <c r="H1865" s="64"/>
      <c r="I1865" s="109"/>
      <c r="J1865" s="109"/>
      <c r="K1865" s="39"/>
      <c r="L1865" s="76"/>
      <c r="M1865" s="39"/>
      <c r="N1865" s="39"/>
      <c r="O1865" s="24"/>
      <c r="P1865" s="409"/>
      <c r="Q1865" s="76"/>
      <c r="R1865" s="76"/>
      <c r="S1865" s="24"/>
      <c r="T1865" s="24"/>
      <c r="U1865" s="64"/>
      <c r="V1865" s="56"/>
      <c r="W1865" s="56"/>
      <c r="X1865" s="56"/>
      <c r="Y1865" s="56"/>
      <c r="Z1865" s="56"/>
      <c r="AA1865" s="56"/>
      <c r="AB1865" s="56"/>
      <c r="AC1865" s="56"/>
    </row>
    <row r="1866" spans="1:29" ht="15.75" customHeight="1">
      <c r="A1866" s="39"/>
      <c r="B1866" s="107"/>
      <c r="C1866" s="109"/>
      <c r="D1866" s="76"/>
      <c r="E1866" s="64"/>
      <c r="F1866" s="39"/>
      <c r="G1866" s="399">
        <f>IFERROR(VLOOKUP(A1866,醫療院所DATABASE!A:B,2,""),)</f>
        <v>0</v>
      </c>
      <c r="H1866" s="64"/>
      <c r="I1866" s="109"/>
      <c r="J1866" s="109"/>
      <c r="K1866" s="39"/>
      <c r="L1866" s="76"/>
      <c r="M1866" s="39"/>
      <c r="N1866" s="39"/>
      <c r="O1866" s="24"/>
      <c r="P1866" s="409"/>
      <c r="Q1866" s="76"/>
      <c r="R1866" s="76"/>
      <c r="S1866" s="24"/>
      <c r="T1866" s="24"/>
      <c r="U1866" s="64"/>
      <c r="V1866" s="56"/>
      <c r="W1866" s="56"/>
      <c r="X1866" s="56"/>
      <c r="Y1866" s="56"/>
      <c r="Z1866" s="56"/>
      <c r="AA1866" s="56"/>
      <c r="AB1866" s="56"/>
      <c r="AC1866" s="56"/>
    </row>
    <row r="1867" spans="1:29" ht="15.75" customHeight="1">
      <c r="A1867" s="39"/>
      <c r="B1867" s="107"/>
      <c r="C1867" s="109"/>
      <c r="D1867" s="76"/>
      <c r="E1867" s="64"/>
      <c r="F1867" s="39"/>
      <c r="G1867" s="399">
        <f>IFERROR(VLOOKUP(A1867,醫療院所DATABASE!A:B,2,""),)</f>
        <v>0</v>
      </c>
      <c r="H1867" s="64"/>
      <c r="I1867" s="109"/>
      <c r="J1867" s="109"/>
      <c r="K1867" s="39"/>
      <c r="L1867" s="76"/>
      <c r="M1867" s="39"/>
      <c r="N1867" s="39"/>
      <c r="O1867" s="24"/>
      <c r="P1867" s="409"/>
      <c r="Q1867" s="76"/>
      <c r="R1867" s="76"/>
      <c r="S1867" s="24"/>
      <c r="T1867" s="24"/>
      <c r="U1867" s="64"/>
      <c r="V1867" s="56"/>
      <c r="W1867" s="56"/>
      <c r="X1867" s="56"/>
      <c r="Y1867" s="56"/>
      <c r="Z1867" s="56"/>
      <c r="AA1867" s="56"/>
      <c r="AB1867" s="56"/>
      <c r="AC1867" s="56"/>
    </row>
    <row r="1868" spans="1:29" ht="15.75" customHeight="1">
      <c r="A1868" s="39"/>
      <c r="B1868" s="107"/>
      <c r="C1868" s="109"/>
      <c r="D1868" s="76"/>
      <c r="E1868" s="64"/>
      <c r="F1868" s="39"/>
      <c r="G1868" s="399">
        <f>IFERROR(VLOOKUP(A1868,醫療院所DATABASE!A:B,2,""),)</f>
        <v>0</v>
      </c>
      <c r="H1868" s="64"/>
      <c r="I1868" s="109"/>
      <c r="J1868" s="109"/>
      <c r="K1868" s="39"/>
      <c r="L1868" s="76"/>
      <c r="M1868" s="39"/>
      <c r="N1868" s="39"/>
      <c r="O1868" s="24"/>
      <c r="P1868" s="409"/>
      <c r="Q1868" s="76"/>
      <c r="R1868" s="76"/>
      <c r="S1868" s="24"/>
      <c r="T1868" s="24"/>
      <c r="U1868" s="64"/>
      <c r="V1868" s="56"/>
      <c r="W1868" s="56"/>
      <c r="X1868" s="56"/>
      <c r="Y1868" s="56"/>
      <c r="Z1868" s="56"/>
      <c r="AA1868" s="56"/>
      <c r="AB1868" s="56"/>
      <c r="AC1868" s="56"/>
    </row>
    <row r="1869" spans="1:29" ht="15.75" customHeight="1">
      <c r="A1869" s="39"/>
      <c r="B1869" s="107"/>
      <c r="C1869" s="109"/>
      <c r="D1869" s="76"/>
      <c r="E1869" s="64"/>
      <c r="F1869" s="39"/>
      <c r="G1869" s="399">
        <f>IFERROR(VLOOKUP(A1869,醫療院所DATABASE!A:B,2,""),)</f>
        <v>0</v>
      </c>
      <c r="H1869" s="64"/>
      <c r="I1869" s="109"/>
      <c r="J1869" s="109"/>
      <c r="K1869" s="39"/>
      <c r="L1869" s="76"/>
      <c r="M1869" s="39"/>
      <c r="N1869" s="39"/>
      <c r="O1869" s="24"/>
      <c r="P1869" s="409"/>
      <c r="Q1869" s="76"/>
      <c r="R1869" s="76"/>
      <c r="S1869" s="24"/>
      <c r="T1869" s="24"/>
      <c r="U1869" s="64"/>
      <c r="V1869" s="56"/>
      <c r="W1869" s="56"/>
      <c r="X1869" s="56"/>
      <c r="Y1869" s="56"/>
      <c r="Z1869" s="56"/>
      <c r="AA1869" s="56"/>
      <c r="AB1869" s="56"/>
      <c r="AC1869" s="56"/>
    </row>
    <row r="1870" spans="1:29" ht="15.75" customHeight="1">
      <c r="A1870" s="39"/>
      <c r="B1870" s="107"/>
      <c r="C1870" s="109"/>
      <c r="D1870" s="76"/>
      <c r="E1870" s="64"/>
      <c r="F1870" s="39"/>
      <c r="G1870" s="399">
        <f>IFERROR(VLOOKUP(A1870,醫療院所DATABASE!A:B,2,""),)</f>
        <v>0</v>
      </c>
      <c r="H1870" s="64"/>
      <c r="I1870" s="109"/>
      <c r="J1870" s="109"/>
      <c r="K1870" s="39"/>
      <c r="L1870" s="76"/>
      <c r="M1870" s="39"/>
      <c r="N1870" s="39"/>
      <c r="O1870" s="24"/>
      <c r="P1870" s="409"/>
      <c r="Q1870" s="76"/>
      <c r="R1870" s="76"/>
      <c r="S1870" s="24"/>
      <c r="T1870" s="24"/>
      <c r="U1870" s="64"/>
      <c r="V1870" s="56"/>
      <c r="W1870" s="56"/>
      <c r="X1870" s="56"/>
      <c r="Y1870" s="56"/>
      <c r="Z1870" s="56"/>
      <c r="AA1870" s="56"/>
      <c r="AB1870" s="56"/>
      <c r="AC1870" s="56"/>
    </row>
    <row r="1871" spans="1:29" ht="15.75" customHeight="1">
      <c r="A1871" s="39"/>
      <c r="B1871" s="107"/>
      <c r="C1871" s="109"/>
      <c r="D1871" s="76"/>
      <c r="E1871" s="64"/>
      <c r="F1871" s="39"/>
      <c r="G1871" s="399">
        <f>IFERROR(VLOOKUP(A1871,醫療院所DATABASE!A:B,2,""),)</f>
        <v>0</v>
      </c>
      <c r="H1871" s="64"/>
      <c r="I1871" s="109"/>
      <c r="J1871" s="109"/>
      <c r="K1871" s="39"/>
      <c r="L1871" s="76"/>
      <c r="M1871" s="39"/>
      <c r="N1871" s="39"/>
      <c r="O1871" s="24"/>
      <c r="P1871" s="409"/>
      <c r="Q1871" s="76"/>
      <c r="R1871" s="76"/>
      <c r="S1871" s="24"/>
      <c r="T1871" s="24"/>
      <c r="U1871" s="64"/>
      <c r="V1871" s="56"/>
      <c r="W1871" s="56"/>
      <c r="X1871" s="56"/>
      <c r="Y1871" s="56"/>
      <c r="Z1871" s="56"/>
      <c r="AA1871" s="56"/>
      <c r="AB1871" s="56"/>
      <c r="AC1871" s="56"/>
    </row>
    <row r="1872" spans="1:29" ht="15.75" customHeight="1">
      <c r="A1872" s="39"/>
      <c r="B1872" s="107"/>
      <c r="C1872" s="109"/>
      <c r="D1872" s="76"/>
      <c r="E1872" s="64"/>
      <c r="F1872" s="39"/>
      <c r="G1872" s="399">
        <f>IFERROR(VLOOKUP(A1872,醫療院所DATABASE!A:B,2,""),)</f>
        <v>0</v>
      </c>
      <c r="H1872" s="64"/>
      <c r="I1872" s="109"/>
      <c r="J1872" s="109"/>
      <c r="K1872" s="39"/>
      <c r="L1872" s="76"/>
      <c r="M1872" s="39"/>
      <c r="N1872" s="39"/>
      <c r="O1872" s="24"/>
      <c r="P1872" s="409"/>
      <c r="Q1872" s="76"/>
      <c r="R1872" s="76"/>
      <c r="S1872" s="24"/>
      <c r="T1872" s="24"/>
      <c r="U1872" s="64"/>
      <c r="V1872" s="56"/>
      <c r="W1872" s="56"/>
      <c r="X1872" s="56"/>
      <c r="Y1872" s="56"/>
      <c r="Z1872" s="56"/>
      <c r="AA1872" s="56"/>
      <c r="AB1872" s="56"/>
      <c r="AC1872" s="56"/>
    </row>
    <row r="1873" spans="1:29" ht="15.75" customHeight="1">
      <c r="A1873" s="39"/>
      <c r="B1873" s="107"/>
      <c r="C1873" s="109"/>
      <c r="D1873" s="76"/>
      <c r="E1873" s="64"/>
      <c r="F1873" s="39"/>
      <c r="G1873" s="399">
        <f>IFERROR(VLOOKUP(A1873,醫療院所DATABASE!A:B,2,""),)</f>
        <v>0</v>
      </c>
      <c r="H1873" s="64"/>
      <c r="I1873" s="109"/>
      <c r="J1873" s="109"/>
      <c r="K1873" s="39"/>
      <c r="L1873" s="76"/>
      <c r="M1873" s="39"/>
      <c r="N1873" s="39"/>
      <c r="O1873" s="24"/>
      <c r="P1873" s="409"/>
      <c r="Q1873" s="76"/>
      <c r="R1873" s="76"/>
      <c r="S1873" s="24"/>
      <c r="T1873" s="24"/>
      <c r="U1873" s="64"/>
      <c r="V1873" s="56"/>
      <c r="W1873" s="56"/>
      <c r="X1873" s="56"/>
      <c r="Y1873" s="56"/>
      <c r="Z1873" s="56"/>
      <c r="AA1873" s="56"/>
      <c r="AB1873" s="56"/>
      <c r="AC1873" s="56"/>
    </row>
    <row r="1874" spans="1:29" ht="15.75" customHeight="1">
      <c r="A1874" s="39"/>
      <c r="B1874" s="107"/>
      <c r="C1874" s="109"/>
      <c r="D1874" s="76"/>
      <c r="E1874" s="64"/>
      <c r="F1874" s="39"/>
      <c r="G1874" s="399">
        <f>IFERROR(VLOOKUP(A1874,醫療院所DATABASE!A:B,2,""),)</f>
        <v>0</v>
      </c>
      <c r="H1874" s="64"/>
      <c r="I1874" s="109"/>
      <c r="J1874" s="109"/>
      <c r="K1874" s="39"/>
      <c r="L1874" s="76"/>
      <c r="M1874" s="39"/>
      <c r="N1874" s="39"/>
      <c r="O1874" s="24"/>
      <c r="P1874" s="409"/>
      <c r="Q1874" s="76"/>
      <c r="R1874" s="76"/>
      <c r="S1874" s="24"/>
      <c r="T1874" s="24"/>
      <c r="U1874" s="64"/>
      <c r="V1874" s="56"/>
      <c r="W1874" s="56"/>
      <c r="X1874" s="56"/>
      <c r="Y1874" s="56"/>
      <c r="Z1874" s="56"/>
      <c r="AA1874" s="56"/>
      <c r="AB1874" s="56"/>
      <c r="AC1874" s="56"/>
    </row>
    <row r="1875" spans="1:29" ht="15.75" customHeight="1">
      <c r="A1875" s="39"/>
      <c r="B1875" s="107"/>
      <c r="C1875" s="109"/>
      <c r="D1875" s="76"/>
      <c r="E1875" s="64"/>
      <c r="F1875" s="39"/>
      <c r="G1875" s="399">
        <f>IFERROR(VLOOKUP(A1875,醫療院所DATABASE!A:B,2,""),)</f>
        <v>0</v>
      </c>
      <c r="H1875" s="64"/>
      <c r="I1875" s="109"/>
      <c r="J1875" s="109"/>
      <c r="K1875" s="39"/>
      <c r="L1875" s="76"/>
      <c r="M1875" s="39"/>
      <c r="N1875" s="39"/>
      <c r="O1875" s="24"/>
      <c r="P1875" s="409"/>
      <c r="Q1875" s="76"/>
      <c r="R1875" s="76"/>
      <c r="S1875" s="24"/>
      <c r="T1875" s="24"/>
      <c r="U1875" s="64"/>
      <c r="V1875" s="56"/>
      <c r="W1875" s="56"/>
      <c r="X1875" s="56"/>
      <c r="Y1875" s="56"/>
      <c r="Z1875" s="56"/>
      <c r="AA1875" s="56"/>
      <c r="AB1875" s="56"/>
      <c r="AC1875" s="56"/>
    </row>
    <row r="1876" spans="1:29" ht="15.75" customHeight="1">
      <c r="A1876" s="39"/>
      <c r="B1876" s="107"/>
      <c r="C1876" s="109"/>
      <c r="D1876" s="76"/>
      <c r="E1876" s="64"/>
      <c r="F1876" s="39"/>
      <c r="G1876" s="399">
        <f>IFERROR(VLOOKUP(A1876,醫療院所DATABASE!A:B,2,""),)</f>
        <v>0</v>
      </c>
      <c r="H1876" s="64"/>
      <c r="I1876" s="109"/>
      <c r="J1876" s="109"/>
      <c r="K1876" s="39"/>
      <c r="L1876" s="76"/>
      <c r="M1876" s="39"/>
      <c r="N1876" s="39"/>
      <c r="O1876" s="24"/>
      <c r="P1876" s="409"/>
      <c r="Q1876" s="76"/>
      <c r="R1876" s="76"/>
      <c r="S1876" s="24"/>
      <c r="T1876" s="24"/>
      <c r="U1876" s="64"/>
      <c r="V1876" s="56"/>
      <c r="W1876" s="56"/>
      <c r="X1876" s="56"/>
      <c r="Y1876" s="56"/>
      <c r="Z1876" s="56"/>
      <c r="AA1876" s="56"/>
      <c r="AB1876" s="56"/>
      <c r="AC1876" s="56"/>
    </row>
    <row r="1877" spans="1:29" ht="15.75" customHeight="1">
      <c r="A1877" s="39"/>
      <c r="B1877" s="107"/>
      <c r="C1877" s="109"/>
      <c r="D1877" s="76"/>
      <c r="E1877" s="64"/>
      <c r="F1877" s="39"/>
      <c r="G1877" s="399">
        <f>IFERROR(VLOOKUP(A1877,醫療院所DATABASE!A:B,2,""),)</f>
        <v>0</v>
      </c>
      <c r="H1877" s="64"/>
      <c r="I1877" s="109"/>
      <c r="J1877" s="109"/>
      <c r="K1877" s="39"/>
      <c r="L1877" s="76"/>
      <c r="M1877" s="39"/>
      <c r="N1877" s="39"/>
      <c r="O1877" s="24"/>
      <c r="P1877" s="409"/>
      <c r="Q1877" s="76"/>
      <c r="R1877" s="76"/>
      <c r="S1877" s="24"/>
      <c r="T1877" s="24"/>
      <c r="U1877" s="64"/>
      <c r="V1877" s="56"/>
      <c r="W1877" s="56"/>
      <c r="X1877" s="56"/>
      <c r="Y1877" s="56"/>
      <c r="Z1877" s="56"/>
      <c r="AA1877" s="56"/>
      <c r="AB1877" s="56"/>
      <c r="AC1877" s="56"/>
    </row>
    <row r="1878" spans="1:29" ht="15.75" customHeight="1">
      <c r="A1878" s="39"/>
      <c r="B1878" s="107"/>
      <c r="C1878" s="109"/>
      <c r="D1878" s="76"/>
      <c r="E1878" s="64"/>
      <c r="F1878" s="39"/>
      <c r="G1878" s="399">
        <f>IFERROR(VLOOKUP(A1878,醫療院所DATABASE!A:B,2,""),)</f>
        <v>0</v>
      </c>
      <c r="H1878" s="64"/>
      <c r="I1878" s="109"/>
      <c r="J1878" s="109"/>
      <c r="K1878" s="39"/>
      <c r="L1878" s="76"/>
      <c r="M1878" s="39"/>
      <c r="N1878" s="39"/>
      <c r="O1878" s="24"/>
      <c r="P1878" s="409"/>
      <c r="Q1878" s="76"/>
      <c r="R1878" s="76"/>
      <c r="S1878" s="24"/>
      <c r="T1878" s="24"/>
      <c r="U1878" s="64"/>
      <c r="V1878" s="56"/>
      <c r="W1878" s="56"/>
      <c r="X1878" s="56"/>
      <c r="Y1878" s="56"/>
      <c r="Z1878" s="56"/>
      <c r="AA1878" s="56"/>
      <c r="AB1878" s="56"/>
      <c r="AC1878" s="56"/>
    </row>
    <row r="1879" spans="1:29" ht="15.75" customHeight="1">
      <c r="A1879" s="39"/>
      <c r="B1879" s="107"/>
      <c r="C1879" s="109"/>
      <c r="D1879" s="76"/>
      <c r="E1879" s="64"/>
      <c r="F1879" s="39"/>
      <c r="G1879" s="399">
        <f>IFERROR(VLOOKUP(A1879,醫療院所DATABASE!A:B,2,""),)</f>
        <v>0</v>
      </c>
      <c r="H1879" s="64"/>
      <c r="I1879" s="109"/>
      <c r="J1879" s="109"/>
      <c r="K1879" s="39"/>
      <c r="L1879" s="76"/>
      <c r="M1879" s="39"/>
      <c r="N1879" s="39"/>
      <c r="O1879" s="24"/>
      <c r="P1879" s="409"/>
      <c r="Q1879" s="76"/>
      <c r="R1879" s="76"/>
      <c r="S1879" s="24"/>
      <c r="T1879" s="24"/>
      <c r="U1879" s="64"/>
      <c r="V1879" s="56"/>
      <c r="W1879" s="56"/>
      <c r="X1879" s="56"/>
      <c r="Y1879" s="56"/>
      <c r="Z1879" s="56"/>
      <c r="AA1879" s="56"/>
      <c r="AB1879" s="56"/>
      <c r="AC1879" s="56"/>
    </row>
    <row r="1880" spans="1:29" ht="15.75" customHeight="1">
      <c r="A1880" s="39"/>
      <c r="B1880" s="107"/>
      <c r="C1880" s="109"/>
      <c r="D1880" s="76"/>
      <c r="E1880" s="64"/>
      <c r="F1880" s="39"/>
      <c r="G1880" s="399">
        <f>IFERROR(VLOOKUP(A1880,醫療院所DATABASE!A:B,2,""),)</f>
        <v>0</v>
      </c>
      <c r="H1880" s="64"/>
      <c r="I1880" s="109"/>
      <c r="J1880" s="109"/>
      <c r="K1880" s="39"/>
      <c r="L1880" s="76"/>
      <c r="M1880" s="39"/>
      <c r="N1880" s="39"/>
      <c r="O1880" s="24"/>
      <c r="P1880" s="409"/>
      <c r="Q1880" s="76"/>
      <c r="R1880" s="76"/>
      <c r="S1880" s="24"/>
      <c r="T1880" s="24"/>
      <c r="U1880" s="64"/>
      <c r="V1880" s="56"/>
      <c r="W1880" s="56"/>
      <c r="X1880" s="56"/>
      <c r="Y1880" s="56"/>
      <c r="Z1880" s="56"/>
      <c r="AA1880" s="56"/>
      <c r="AB1880" s="56"/>
      <c r="AC1880" s="56"/>
    </row>
    <row r="1881" spans="1:29" ht="15.75" customHeight="1">
      <c r="A1881" s="39"/>
      <c r="B1881" s="107"/>
      <c r="C1881" s="109"/>
      <c r="D1881" s="76"/>
      <c r="E1881" s="64"/>
      <c r="F1881" s="39"/>
      <c r="G1881" s="399">
        <f>IFERROR(VLOOKUP(A1881,醫療院所DATABASE!A:B,2,""),)</f>
        <v>0</v>
      </c>
      <c r="H1881" s="64"/>
      <c r="I1881" s="109"/>
      <c r="J1881" s="109"/>
      <c r="K1881" s="39"/>
      <c r="L1881" s="76"/>
      <c r="M1881" s="39"/>
      <c r="N1881" s="39"/>
      <c r="O1881" s="24"/>
      <c r="P1881" s="409"/>
      <c r="Q1881" s="76"/>
      <c r="R1881" s="76"/>
      <c r="S1881" s="24"/>
      <c r="T1881" s="24"/>
      <c r="U1881" s="64"/>
      <c r="V1881" s="56"/>
      <c r="W1881" s="56"/>
      <c r="X1881" s="56"/>
      <c r="Y1881" s="56"/>
      <c r="Z1881" s="56"/>
      <c r="AA1881" s="56"/>
      <c r="AB1881" s="56"/>
      <c r="AC1881" s="56"/>
    </row>
    <row r="1882" spans="1:29" ht="15.75" customHeight="1">
      <c r="A1882" s="39"/>
      <c r="B1882" s="107"/>
      <c r="C1882" s="109"/>
      <c r="D1882" s="76"/>
      <c r="E1882" s="64"/>
      <c r="F1882" s="39"/>
      <c r="G1882" s="399">
        <f>IFERROR(VLOOKUP(A1882,醫療院所DATABASE!A:B,2,""),)</f>
        <v>0</v>
      </c>
      <c r="H1882" s="64"/>
      <c r="I1882" s="109"/>
      <c r="J1882" s="109"/>
      <c r="K1882" s="39"/>
      <c r="L1882" s="76"/>
      <c r="M1882" s="39"/>
      <c r="N1882" s="39"/>
      <c r="O1882" s="24"/>
      <c r="P1882" s="409"/>
      <c r="Q1882" s="76"/>
      <c r="R1882" s="76"/>
      <c r="S1882" s="24"/>
      <c r="T1882" s="24"/>
      <c r="U1882" s="64"/>
      <c r="V1882" s="56"/>
      <c r="W1882" s="56"/>
      <c r="X1882" s="56"/>
      <c r="Y1882" s="56"/>
      <c r="Z1882" s="56"/>
      <c r="AA1882" s="56"/>
      <c r="AB1882" s="56"/>
      <c r="AC1882" s="56"/>
    </row>
    <row r="1883" spans="1:29" ht="15.75" customHeight="1">
      <c r="A1883" s="39"/>
      <c r="B1883" s="107"/>
      <c r="C1883" s="109"/>
      <c r="D1883" s="76"/>
      <c r="E1883" s="64"/>
      <c r="F1883" s="39"/>
      <c r="G1883" s="399">
        <f>IFERROR(VLOOKUP(A1883,醫療院所DATABASE!A:B,2,""),)</f>
        <v>0</v>
      </c>
      <c r="H1883" s="64"/>
      <c r="I1883" s="109"/>
      <c r="J1883" s="109"/>
      <c r="K1883" s="39"/>
      <c r="L1883" s="76"/>
      <c r="M1883" s="39"/>
      <c r="N1883" s="39"/>
      <c r="O1883" s="24"/>
      <c r="P1883" s="409"/>
      <c r="Q1883" s="76"/>
      <c r="R1883" s="76"/>
      <c r="S1883" s="24"/>
      <c r="T1883" s="24"/>
      <c r="U1883" s="64"/>
      <c r="V1883" s="56"/>
      <c r="W1883" s="56"/>
      <c r="X1883" s="56"/>
      <c r="Y1883" s="56"/>
      <c r="Z1883" s="56"/>
      <c r="AA1883" s="56"/>
      <c r="AB1883" s="56"/>
      <c r="AC1883" s="56"/>
    </row>
    <row r="1884" spans="1:29" ht="15.75" customHeight="1">
      <c r="A1884" s="39"/>
      <c r="B1884" s="107"/>
      <c r="C1884" s="109"/>
      <c r="D1884" s="76"/>
      <c r="E1884" s="64"/>
      <c r="F1884" s="39"/>
      <c r="G1884" s="399">
        <f>IFERROR(VLOOKUP(A1884,醫療院所DATABASE!A:B,2,""),)</f>
        <v>0</v>
      </c>
      <c r="H1884" s="64"/>
      <c r="I1884" s="109"/>
      <c r="J1884" s="109"/>
      <c r="K1884" s="39"/>
      <c r="L1884" s="76"/>
      <c r="M1884" s="39"/>
      <c r="N1884" s="39"/>
      <c r="O1884" s="24"/>
      <c r="P1884" s="409"/>
      <c r="Q1884" s="76"/>
      <c r="R1884" s="76"/>
      <c r="S1884" s="24"/>
      <c r="T1884" s="24"/>
      <c r="U1884" s="64"/>
      <c r="V1884" s="56"/>
      <c r="W1884" s="56"/>
      <c r="X1884" s="56"/>
      <c r="Y1884" s="56"/>
      <c r="Z1884" s="56"/>
      <c r="AA1884" s="56"/>
      <c r="AB1884" s="56"/>
      <c r="AC1884" s="56"/>
    </row>
    <row r="1885" spans="1:29" ht="15.75" customHeight="1">
      <c r="A1885" s="39"/>
      <c r="B1885" s="107"/>
      <c r="C1885" s="109"/>
      <c r="D1885" s="76"/>
      <c r="E1885" s="64"/>
      <c r="F1885" s="39"/>
      <c r="G1885" s="399">
        <f>IFERROR(VLOOKUP(A1885,醫療院所DATABASE!A:B,2,""),)</f>
        <v>0</v>
      </c>
      <c r="H1885" s="64"/>
      <c r="I1885" s="109"/>
      <c r="J1885" s="109"/>
      <c r="K1885" s="39"/>
      <c r="L1885" s="76"/>
      <c r="M1885" s="39"/>
      <c r="N1885" s="39"/>
      <c r="O1885" s="24"/>
      <c r="P1885" s="409"/>
      <c r="Q1885" s="76"/>
      <c r="R1885" s="76"/>
      <c r="S1885" s="24"/>
      <c r="T1885" s="24"/>
      <c r="U1885" s="64"/>
      <c r="V1885" s="56"/>
      <c r="W1885" s="56"/>
      <c r="X1885" s="56"/>
      <c r="Y1885" s="56"/>
      <c r="Z1885" s="56"/>
      <c r="AA1885" s="56"/>
      <c r="AB1885" s="56"/>
      <c r="AC1885" s="56"/>
    </row>
    <row r="1886" spans="1:29" ht="15.75" customHeight="1">
      <c r="A1886" s="39"/>
      <c r="B1886" s="107"/>
      <c r="C1886" s="109"/>
      <c r="D1886" s="76"/>
      <c r="E1886" s="64"/>
      <c r="F1886" s="39"/>
      <c r="G1886" s="399">
        <f>IFERROR(VLOOKUP(A1886,醫療院所DATABASE!A:B,2,""),)</f>
        <v>0</v>
      </c>
      <c r="H1886" s="64"/>
      <c r="I1886" s="109"/>
      <c r="J1886" s="109"/>
      <c r="K1886" s="39"/>
      <c r="L1886" s="76"/>
      <c r="M1886" s="39"/>
      <c r="N1886" s="39"/>
      <c r="O1886" s="24"/>
      <c r="P1886" s="409"/>
      <c r="Q1886" s="76"/>
      <c r="R1886" s="76"/>
      <c r="S1886" s="24"/>
      <c r="T1886" s="24"/>
      <c r="U1886" s="64"/>
      <c r="V1886" s="56"/>
      <c r="W1886" s="56"/>
      <c r="X1886" s="56"/>
      <c r="Y1886" s="56"/>
      <c r="Z1886" s="56"/>
      <c r="AA1886" s="56"/>
      <c r="AB1886" s="56"/>
      <c r="AC1886" s="56"/>
    </row>
    <row r="1887" spans="1:29" ht="15.75" customHeight="1">
      <c r="A1887" s="39"/>
      <c r="B1887" s="107"/>
      <c r="C1887" s="109"/>
      <c r="D1887" s="76"/>
      <c r="E1887" s="64"/>
      <c r="F1887" s="39"/>
      <c r="G1887" s="399">
        <f>IFERROR(VLOOKUP(A1887,醫療院所DATABASE!A:B,2,""),)</f>
        <v>0</v>
      </c>
      <c r="H1887" s="64"/>
      <c r="I1887" s="109"/>
      <c r="J1887" s="109"/>
      <c r="K1887" s="39"/>
      <c r="L1887" s="76"/>
      <c r="M1887" s="39"/>
      <c r="N1887" s="39"/>
      <c r="O1887" s="24"/>
      <c r="P1887" s="409"/>
      <c r="Q1887" s="76"/>
      <c r="R1887" s="76"/>
      <c r="S1887" s="24"/>
      <c r="T1887" s="24"/>
      <c r="U1887" s="64"/>
      <c r="V1887" s="56"/>
      <c r="W1887" s="56"/>
      <c r="X1887" s="56"/>
      <c r="Y1887" s="56"/>
      <c r="Z1887" s="56"/>
      <c r="AA1887" s="56"/>
      <c r="AB1887" s="56"/>
      <c r="AC1887" s="56"/>
    </row>
    <row r="1888" spans="1:29" ht="15.75" customHeight="1">
      <c r="A1888" s="39"/>
      <c r="B1888" s="107"/>
      <c r="C1888" s="109"/>
      <c r="D1888" s="76"/>
      <c r="E1888" s="64"/>
      <c r="F1888" s="39"/>
      <c r="G1888" s="399">
        <f>IFERROR(VLOOKUP(A1888,醫療院所DATABASE!A:B,2,""),)</f>
        <v>0</v>
      </c>
      <c r="H1888" s="64"/>
      <c r="I1888" s="109"/>
      <c r="J1888" s="109"/>
      <c r="K1888" s="39"/>
      <c r="L1888" s="76"/>
      <c r="M1888" s="39"/>
      <c r="N1888" s="39"/>
      <c r="O1888" s="24"/>
      <c r="P1888" s="409"/>
      <c r="Q1888" s="76"/>
      <c r="R1888" s="76"/>
      <c r="S1888" s="24"/>
      <c r="T1888" s="24"/>
      <c r="U1888" s="64"/>
      <c r="V1888" s="56"/>
      <c r="W1888" s="56"/>
      <c r="X1888" s="56"/>
      <c r="Y1888" s="56"/>
      <c r="Z1888" s="56"/>
      <c r="AA1888" s="56"/>
      <c r="AB1888" s="56"/>
      <c r="AC1888" s="56"/>
    </row>
    <row r="1889" spans="1:29" ht="15.75" customHeight="1">
      <c r="A1889" s="39"/>
      <c r="B1889" s="107"/>
      <c r="C1889" s="109"/>
      <c r="D1889" s="76"/>
      <c r="E1889" s="64"/>
      <c r="F1889" s="39"/>
      <c r="G1889" s="399">
        <f>IFERROR(VLOOKUP(A1889,醫療院所DATABASE!A:B,2,""),)</f>
        <v>0</v>
      </c>
      <c r="H1889" s="64"/>
      <c r="I1889" s="109"/>
      <c r="J1889" s="109"/>
      <c r="K1889" s="39"/>
      <c r="L1889" s="76"/>
      <c r="M1889" s="39"/>
      <c r="N1889" s="39"/>
      <c r="O1889" s="24"/>
      <c r="P1889" s="409"/>
      <c r="Q1889" s="76"/>
      <c r="R1889" s="76"/>
      <c r="S1889" s="24"/>
      <c r="T1889" s="24"/>
      <c r="U1889" s="64"/>
      <c r="V1889" s="56"/>
      <c r="W1889" s="56"/>
      <c r="X1889" s="56"/>
      <c r="Y1889" s="56"/>
      <c r="Z1889" s="56"/>
      <c r="AA1889" s="56"/>
      <c r="AB1889" s="56"/>
      <c r="AC1889" s="56"/>
    </row>
    <row r="1890" spans="1:29" ht="15.75" customHeight="1">
      <c r="A1890" s="39"/>
      <c r="B1890" s="107"/>
      <c r="C1890" s="109"/>
      <c r="D1890" s="76"/>
      <c r="E1890" s="64"/>
      <c r="F1890" s="39"/>
      <c r="G1890" s="399">
        <f>IFERROR(VLOOKUP(A1890,醫療院所DATABASE!A:B,2,""),)</f>
        <v>0</v>
      </c>
      <c r="H1890" s="64"/>
      <c r="I1890" s="109"/>
      <c r="J1890" s="109"/>
      <c r="K1890" s="39"/>
      <c r="L1890" s="76"/>
      <c r="M1890" s="39"/>
      <c r="N1890" s="39"/>
      <c r="O1890" s="24"/>
      <c r="P1890" s="409"/>
      <c r="Q1890" s="76"/>
      <c r="R1890" s="76"/>
      <c r="S1890" s="24"/>
      <c r="T1890" s="24"/>
      <c r="U1890" s="64"/>
      <c r="V1890" s="56"/>
      <c r="W1890" s="56"/>
      <c r="X1890" s="56"/>
      <c r="Y1890" s="56"/>
      <c r="Z1890" s="56"/>
      <c r="AA1890" s="56"/>
      <c r="AB1890" s="56"/>
      <c r="AC1890" s="56"/>
    </row>
    <row r="1891" spans="1:29" ht="15.75" customHeight="1">
      <c r="A1891" s="39"/>
      <c r="B1891" s="107"/>
      <c r="C1891" s="109"/>
      <c r="D1891" s="76"/>
      <c r="E1891" s="64"/>
      <c r="F1891" s="39"/>
      <c r="G1891" s="399">
        <f>IFERROR(VLOOKUP(A1891,醫療院所DATABASE!A:B,2,""),)</f>
        <v>0</v>
      </c>
      <c r="H1891" s="64"/>
      <c r="I1891" s="109"/>
      <c r="J1891" s="109"/>
      <c r="K1891" s="39"/>
      <c r="L1891" s="76"/>
      <c r="M1891" s="39"/>
      <c r="N1891" s="39"/>
      <c r="O1891" s="24"/>
      <c r="P1891" s="409"/>
      <c r="Q1891" s="76"/>
      <c r="R1891" s="76"/>
      <c r="S1891" s="24"/>
      <c r="T1891" s="24"/>
      <c r="U1891" s="64"/>
      <c r="V1891" s="56"/>
      <c r="W1891" s="56"/>
      <c r="X1891" s="56"/>
      <c r="Y1891" s="56"/>
      <c r="Z1891" s="56"/>
      <c r="AA1891" s="56"/>
      <c r="AB1891" s="56"/>
      <c r="AC1891" s="56"/>
    </row>
    <row r="1892" spans="1:29" ht="15.75" customHeight="1">
      <c r="A1892" s="39"/>
      <c r="B1892" s="107"/>
      <c r="C1892" s="109"/>
      <c r="D1892" s="76"/>
      <c r="E1892" s="64"/>
      <c r="F1892" s="39"/>
      <c r="G1892" s="399">
        <f>IFERROR(VLOOKUP(A1892,醫療院所DATABASE!A:B,2,""),)</f>
        <v>0</v>
      </c>
      <c r="H1892" s="64"/>
      <c r="I1892" s="109"/>
      <c r="J1892" s="109"/>
      <c r="K1892" s="39"/>
      <c r="L1892" s="76"/>
      <c r="M1892" s="39"/>
      <c r="N1892" s="39"/>
      <c r="O1892" s="24"/>
      <c r="P1892" s="409"/>
      <c r="Q1892" s="76"/>
      <c r="R1892" s="76"/>
      <c r="S1892" s="24"/>
      <c r="T1892" s="24"/>
      <c r="U1892" s="64"/>
      <c r="V1892" s="56"/>
      <c r="W1892" s="56"/>
      <c r="X1892" s="56"/>
      <c r="Y1892" s="56"/>
      <c r="Z1892" s="56"/>
      <c r="AA1892" s="56"/>
      <c r="AB1892" s="56"/>
      <c r="AC1892" s="56"/>
    </row>
    <row r="1893" spans="1:29" ht="15.75" customHeight="1">
      <c r="A1893" s="39"/>
      <c r="B1893" s="107"/>
      <c r="C1893" s="109"/>
      <c r="D1893" s="76"/>
      <c r="E1893" s="64"/>
      <c r="F1893" s="39"/>
      <c r="G1893" s="399">
        <f>IFERROR(VLOOKUP(A1893,醫療院所DATABASE!A:B,2,""),)</f>
        <v>0</v>
      </c>
      <c r="H1893" s="64"/>
      <c r="I1893" s="109"/>
      <c r="J1893" s="109"/>
      <c r="K1893" s="39"/>
      <c r="L1893" s="76"/>
      <c r="M1893" s="39"/>
      <c r="N1893" s="39"/>
      <c r="O1893" s="24"/>
      <c r="P1893" s="409"/>
      <c r="Q1893" s="76"/>
      <c r="R1893" s="76"/>
      <c r="S1893" s="24"/>
      <c r="T1893" s="24"/>
      <c r="U1893" s="64"/>
      <c r="V1893" s="56"/>
      <c r="W1893" s="56"/>
      <c r="X1893" s="56"/>
      <c r="Y1893" s="56"/>
      <c r="Z1893" s="56"/>
      <c r="AA1893" s="56"/>
      <c r="AB1893" s="56"/>
      <c r="AC1893" s="56"/>
    </row>
    <row r="1894" spans="1:29" ht="15.75" customHeight="1">
      <c r="A1894" s="39"/>
      <c r="B1894" s="107"/>
      <c r="C1894" s="109"/>
      <c r="D1894" s="76"/>
      <c r="E1894" s="64"/>
      <c r="F1894" s="39"/>
      <c r="G1894" s="399">
        <f>IFERROR(VLOOKUP(A1894,醫療院所DATABASE!A:B,2,""),)</f>
        <v>0</v>
      </c>
      <c r="H1894" s="64"/>
      <c r="I1894" s="109"/>
      <c r="J1894" s="109"/>
      <c r="K1894" s="39"/>
      <c r="L1894" s="76"/>
      <c r="M1894" s="39"/>
      <c r="N1894" s="39"/>
      <c r="O1894" s="24"/>
      <c r="P1894" s="409"/>
      <c r="Q1894" s="76"/>
      <c r="R1894" s="76"/>
      <c r="S1894" s="24"/>
      <c r="T1894" s="24"/>
      <c r="U1894" s="64"/>
      <c r="V1894" s="56"/>
      <c r="W1894" s="56"/>
      <c r="X1894" s="56"/>
      <c r="Y1894" s="56"/>
      <c r="Z1894" s="56"/>
      <c r="AA1894" s="56"/>
      <c r="AB1894" s="56"/>
      <c r="AC1894" s="56"/>
    </row>
    <row r="1895" spans="1:29" ht="15.75" customHeight="1">
      <c r="A1895" s="39"/>
      <c r="B1895" s="107"/>
      <c r="C1895" s="109"/>
      <c r="D1895" s="76"/>
      <c r="E1895" s="64"/>
      <c r="F1895" s="39"/>
      <c r="G1895" s="399">
        <f>IFERROR(VLOOKUP(A1895,醫療院所DATABASE!A:B,2,""),)</f>
        <v>0</v>
      </c>
      <c r="H1895" s="64"/>
      <c r="I1895" s="109"/>
      <c r="J1895" s="109"/>
      <c r="K1895" s="39"/>
      <c r="L1895" s="76"/>
      <c r="M1895" s="39"/>
      <c r="N1895" s="39"/>
      <c r="O1895" s="24"/>
      <c r="P1895" s="409"/>
      <c r="Q1895" s="76"/>
      <c r="R1895" s="76"/>
      <c r="S1895" s="24"/>
      <c r="T1895" s="24"/>
      <c r="U1895" s="64"/>
      <c r="V1895" s="56"/>
      <c r="W1895" s="56"/>
      <c r="X1895" s="56"/>
      <c r="Y1895" s="56"/>
      <c r="Z1895" s="56"/>
      <c r="AA1895" s="56"/>
      <c r="AB1895" s="56"/>
      <c r="AC1895" s="56"/>
    </row>
    <row r="1896" spans="1:29" ht="15.75" customHeight="1">
      <c r="A1896" s="39"/>
      <c r="B1896" s="107"/>
      <c r="C1896" s="109"/>
      <c r="D1896" s="76"/>
      <c r="E1896" s="64"/>
      <c r="F1896" s="39"/>
      <c r="G1896" s="399">
        <f>IFERROR(VLOOKUP(A1896,醫療院所DATABASE!A:B,2,""),)</f>
        <v>0</v>
      </c>
      <c r="H1896" s="64"/>
      <c r="I1896" s="109"/>
      <c r="J1896" s="109"/>
      <c r="K1896" s="39"/>
      <c r="L1896" s="76"/>
      <c r="M1896" s="39"/>
      <c r="N1896" s="39"/>
      <c r="O1896" s="24"/>
      <c r="P1896" s="409"/>
      <c r="Q1896" s="76"/>
      <c r="R1896" s="76"/>
      <c r="S1896" s="24"/>
      <c r="T1896" s="24"/>
      <c r="U1896" s="64"/>
      <c r="V1896" s="56"/>
      <c r="W1896" s="56"/>
      <c r="X1896" s="56"/>
      <c r="Y1896" s="56"/>
      <c r="Z1896" s="56"/>
      <c r="AA1896" s="56"/>
      <c r="AB1896" s="56"/>
      <c r="AC1896" s="56"/>
    </row>
    <row r="1897" spans="1:29" ht="15.75" customHeight="1">
      <c r="A1897" s="39"/>
      <c r="B1897" s="107"/>
      <c r="C1897" s="109"/>
      <c r="D1897" s="76"/>
      <c r="E1897" s="64"/>
      <c r="F1897" s="39"/>
      <c r="G1897" s="399">
        <f>IFERROR(VLOOKUP(A1897,醫療院所DATABASE!A:B,2,""),)</f>
        <v>0</v>
      </c>
      <c r="H1897" s="64"/>
      <c r="I1897" s="109"/>
      <c r="J1897" s="109"/>
      <c r="K1897" s="39"/>
      <c r="L1897" s="76"/>
      <c r="M1897" s="39"/>
      <c r="N1897" s="39"/>
      <c r="O1897" s="24"/>
      <c r="P1897" s="409"/>
      <c r="Q1897" s="76"/>
      <c r="R1897" s="76"/>
      <c r="S1897" s="24"/>
      <c r="T1897" s="24"/>
      <c r="U1897" s="64"/>
      <c r="V1897" s="56"/>
      <c r="W1897" s="56"/>
      <c r="X1897" s="56"/>
      <c r="Y1897" s="56"/>
      <c r="Z1897" s="56"/>
      <c r="AA1897" s="56"/>
      <c r="AB1897" s="56"/>
      <c r="AC1897" s="56"/>
    </row>
    <row r="1898" spans="1:29" ht="15.75" customHeight="1">
      <c r="A1898" s="39"/>
      <c r="B1898" s="107"/>
      <c r="C1898" s="109"/>
      <c r="D1898" s="76"/>
      <c r="E1898" s="64"/>
      <c r="F1898" s="39"/>
      <c r="G1898" s="399">
        <f>IFERROR(VLOOKUP(A1898,醫療院所DATABASE!A:B,2,""),)</f>
        <v>0</v>
      </c>
      <c r="H1898" s="64"/>
      <c r="I1898" s="109"/>
      <c r="J1898" s="109"/>
      <c r="K1898" s="39"/>
      <c r="L1898" s="76"/>
      <c r="M1898" s="39"/>
      <c r="N1898" s="39"/>
      <c r="O1898" s="24"/>
      <c r="P1898" s="409"/>
      <c r="Q1898" s="76"/>
      <c r="R1898" s="76"/>
      <c r="S1898" s="24"/>
      <c r="T1898" s="24"/>
      <c r="U1898" s="64"/>
      <c r="V1898" s="56"/>
      <c r="W1898" s="56"/>
      <c r="X1898" s="56"/>
      <c r="Y1898" s="56"/>
      <c r="Z1898" s="56"/>
      <c r="AA1898" s="56"/>
      <c r="AB1898" s="56"/>
      <c r="AC1898" s="56"/>
    </row>
    <row r="1899" spans="1:29" ht="15.75" customHeight="1">
      <c r="A1899" s="39"/>
      <c r="B1899" s="107"/>
      <c r="C1899" s="109"/>
      <c r="D1899" s="76"/>
      <c r="E1899" s="64"/>
      <c r="F1899" s="39"/>
      <c r="G1899" s="399">
        <f>IFERROR(VLOOKUP(A1899,醫療院所DATABASE!A:B,2,""),)</f>
        <v>0</v>
      </c>
      <c r="H1899" s="64"/>
      <c r="I1899" s="109"/>
      <c r="J1899" s="109"/>
      <c r="K1899" s="39"/>
      <c r="L1899" s="76"/>
      <c r="M1899" s="39"/>
      <c r="N1899" s="39"/>
      <c r="O1899" s="24"/>
      <c r="P1899" s="409"/>
      <c r="Q1899" s="76"/>
      <c r="R1899" s="76"/>
      <c r="S1899" s="24"/>
      <c r="T1899" s="24"/>
      <c r="U1899" s="64"/>
      <c r="V1899" s="56"/>
      <c r="W1899" s="56"/>
      <c r="X1899" s="56"/>
      <c r="Y1899" s="56"/>
      <c r="Z1899" s="56"/>
      <c r="AA1899" s="56"/>
      <c r="AB1899" s="56"/>
      <c r="AC1899" s="56"/>
    </row>
    <row r="1900" spans="1:29" ht="15.75" customHeight="1">
      <c r="A1900" s="39"/>
      <c r="B1900" s="107"/>
      <c r="C1900" s="109"/>
      <c r="D1900" s="76"/>
      <c r="E1900" s="64"/>
      <c r="F1900" s="39"/>
      <c r="G1900" s="399">
        <f>IFERROR(VLOOKUP(A1900,醫療院所DATABASE!A:B,2,""),)</f>
        <v>0</v>
      </c>
      <c r="H1900" s="64"/>
      <c r="I1900" s="109"/>
      <c r="J1900" s="109"/>
      <c r="K1900" s="39"/>
      <c r="L1900" s="76"/>
      <c r="M1900" s="39"/>
      <c r="N1900" s="39"/>
      <c r="O1900" s="24"/>
      <c r="P1900" s="409"/>
      <c r="Q1900" s="76"/>
      <c r="R1900" s="76"/>
      <c r="S1900" s="24"/>
      <c r="T1900" s="24"/>
      <c r="U1900" s="64"/>
      <c r="V1900" s="56"/>
      <c r="W1900" s="56"/>
      <c r="X1900" s="56"/>
      <c r="Y1900" s="56"/>
      <c r="Z1900" s="56"/>
      <c r="AA1900" s="56"/>
      <c r="AB1900" s="56"/>
      <c r="AC1900" s="56"/>
    </row>
    <row r="1901" spans="1:29" ht="15.75" customHeight="1">
      <c r="A1901" s="39"/>
      <c r="B1901" s="107"/>
      <c r="C1901" s="109"/>
      <c r="D1901" s="76"/>
      <c r="E1901" s="64"/>
      <c r="F1901" s="39"/>
      <c r="G1901" s="399">
        <f>IFERROR(VLOOKUP(A1901,醫療院所DATABASE!A:B,2,""),)</f>
        <v>0</v>
      </c>
      <c r="H1901" s="64"/>
      <c r="I1901" s="109"/>
      <c r="J1901" s="109"/>
      <c r="K1901" s="39"/>
      <c r="L1901" s="76"/>
      <c r="M1901" s="39"/>
      <c r="N1901" s="39"/>
      <c r="O1901" s="24"/>
      <c r="P1901" s="409"/>
      <c r="Q1901" s="76"/>
      <c r="R1901" s="76"/>
      <c r="S1901" s="24"/>
      <c r="T1901" s="24"/>
      <c r="U1901" s="64"/>
      <c r="V1901" s="56"/>
      <c r="W1901" s="56"/>
      <c r="X1901" s="56"/>
      <c r="Y1901" s="56"/>
      <c r="Z1901" s="56"/>
      <c r="AA1901" s="56"/>
      <c r="AB1901" s="56"/>
      <c r="AC1901" s="56"/>
    </row>
    <row r="1902" spans="1:29" ht="15.75" customHeight="1">
      <c r="A1902" s="39"/>
      <c r="B1902" s="107"/>
      <c r="C1902" s="109"/>
      <c r="D1902" s="76"/>
      <c r="E1902" s="64"/>
      <c r="F1902" s="39"/>
      <c r="G1902" s="399">
        <f>IFERROR(VLOOKUP(A1902,醫療院所DATABASE!A:B,2,""),)</f>
        <v>0</v>
      </c>
      <c r="H1902" s="64"/>
      <c r="I1902" s="109"/>
      <c r="J1902" s="109"/>
      <c r="K1902" s="39"/>
      <c r="L1902" s="76"/>
      <c r="M1902" s="39"/>
      <c r="N1902" s="39"/>
      <c r="O1902" s="24"/>
      <c r="P1902" s="409"/>
      <c r="Q1902" s="76"/>
      <c r="R1902" s="76"/>
      <c r="S1902" s="24"/>
      <c r="T1902" s="24"/>
      <c r="U1902" s="64"/>
      <c r="V1902" s="56"/>
      <c r="W1902" s="56"/>
      <c r="X1902" s="56"/>
      <c r="Y1902" s="56"/>
      <c r="Z1902" s="56"/>
      <c r="AA1902" s="56"/>
      <c r="AB1902" s="56"/>
      <c r="AC1902" s="56"/>
    </row>
    <row r="1903" spans="1:29" ht="15.75" customHeight="1">
      <c r="A1903" s="39"/>
      <c r="B1903" s="107"/>
      <c r="C1903" s="109"/>
      <c r="D1903" s="76"/>
      <c r="E1903" s="64"/>
      <c r="F1903" s="39"/>
      <c r="G1903" s="399">
        <f>IFERROR(VLOOKUP(A1903,醫療院所DATABASE!A:B,2,""),)</f>
        <v>0</v>
      </c>
      <c r="H1903" s="64"/>
      <c r="I1903" s="109"/>
      <c r="J1903" s="109"/>
      <c r="K1903" s="39"/>
      <c r="L1903" s="76"/>
      <c r="M1903" s="39"/>
      <c r="N1903" s="39"/>
      <c r="O1903" s="24"/>
      <c r="P1903" s="409"/>
      <c r="Q1903" s="76"/>
      <c r="R1903" s="76"/>
      <c r="S1903" s="24"/>
      <c r="T1903" s="24"/>
      <c r="U1903" s="64"/>
      <c r="V1903" s="56"/>
      <c r="W1903" s="56"/>
      <c r="X1903" s="56"/>
      <c r="Y1903" s="56"/>
      <c r="Z1903" s="56"/>
      <c r="AA1903" s="56"/>
      <c r="AB1903" s="56"/>
      <c r="AC1903" s="56"/>
    </row>
    <row r="1904" spans="1:29" ht="15.75" customHeight="1">
      <c r="A1904" s="39"/>
      <c r="B1904" s="107"/>
      <c r="C1904" s="109"/>
      <c r="D1904" s="76"/>
      <c r="E1904" s="64"/>
      <c r="F1904" s="39"/>
      <c r="G1904" s="399">
        <f>IFERROR(VLOOKUP(A1904,醫療院所DATABASE!A:B,2,""),)</f>
        <v>0</v>
      </c>
      <c r="H1904" s="64"/>
      <c r="I1904" s="109"/>
      <c r="J1904" s="109"/>
      <c r="K1904" s="39"/>
      <c r="L1904" s="76"/>
      <c r="M1904" s="39"/>
      <c r="N1904" s="39"/>
      <c r="O1904" s="24"/>
      <c r="P1904" s="409"/>
      <c r="Q1904" s="76"/>
      <c r="R1904" s="76"/>
      <c r="S1904" s="24"/>
      <c r="T1904" s="24"/>
      <c r="U1904" s="64"/>
      <c r="V1904" s="56"/>
      <c r="W1904" s="56"/>
      <c r="X1904" s="56"/>
      <c r="Y1904" s="56"/>
      <c r="Z1904" s="56"/>
      <c r="AA1904" s="56"/>
      <c r="AB1904" s="56"/>
      <c r="AC1904" s="56"/>
    </row>
    <row r="1905" spans="1:29" ht="15.75" customHeight="1">
      <c r="A1905" s="39"/>
      <c r="B1905" s="107"/>
      <c r="C1905" s="109"/>
      <c r="D1905" s="76"/>
      <c r="E1905" s="64"/>
      <c r="F1905" s="39"/>
      <c r="G1905" s="399">
        <f>IFERROR(VLOOKUP(A1905,醫療院所DATABASE!A:B,2,""),)</f>
        <v>0</v>
      </c>
      <c r="H1905" s="64"/>
      <c r="I1905" s="109"/>
      <c r="J1905" s="109"/>
      <c r="K1905" s="39"/>
      <c r="L1905" s="76"/>
      <c r="M1905" s="39"/>
      <c r="N1905" s="39"/>
      <c r="O1905" s="24"/>
      <c r="P1905" s="409"/>
      <c r="Q1905" s="76"/>
      <c r="R1905" s="76"/>
      <c r="S1905" s="24"/>
      <c r="T1905" s="24"/>
      <c r="U1905" s="64"/>
      <c r="V1905" s="56"/>
      <c r="W1905" s="56"/>
      <c r="X1905" s="56"/>
      <c r="Y1905" s="56"/>
      <c r="Z1905" s="56"/>
      <c r="AA1905" s="56"/>
      <c r="AB1905" s="56"/>
      <c r="AC1905" s="56"/>
    </row>
    <row r="1906" spans="1:29" ht="15.75" customHeight="1">
      <c r="A1906" s="39"/>
      <c r="B1906" s="107"/>
      <c r="C1906" s="109"/>
      <c r="D1906" s="76"/>
      <c r="E1906" s="64"/>
      <c r="F1906" s="39"/>
      <c r="G1906" s="399">
        <f>IFERROR(VLOOKUP(A1906,醫療院所DATABASE!A:B,2,""),)</f>
        <v>0</v>
      </c>
      <c r="H1906" s="64"/>
      <c r="I1906" s="109"/>
      <c r="J1906" s="109"/>
      <c r="K1906" s="39"/>
      <c r="L1906" s="76"/>
      <c r="M1906" s="39"/>
      <c r="N1906" s="39"/>
      <c r="O1906" s="24"/>
      <c r="P1906" s="409"/>
      <c r="Q1906" s="76"/>
      <c r="R1906" s="76"/>
      <c r="S1906" s="24"/>
      <c r="T1906" s="24"/>
      <c r="U1906" s="64"/>
      <c r="V1906" s="56"/>
      <c r="W1906" s="56"/>
      <c r="X1906" s="56"/>
      <c r="Y1906" s="56"/>
      <c r="Z1906" s="56"/>
      <c r="AA1906" s="56"/>
      <c r="AB1906" s="56"/>
      <c r="AC1906" s="56"/>
    </row>
    <row r="1907" spans="1:29" ht="15.75" customHeight="1">
      <c r="A1907" s="39"/>
      <c r="B1907" s="107"/>
      <c r="C1907" s="109"/>
      <c r="D1907" s="76"/>
      <c r="E1907" s="64"/>
      <c r="F1907" s="39"/>
      <c r="G1907" s="399">
        <f>IFERROR(VLOOKUP(A1907,醫療院所DATABASE!A:B,2,""),)</f>
        <v>0</v>
      </c>
      <c r="H1907" s="64"/>
      <c r="I1907" s="109"/>
      <c r="J1907" s="109"/>
      <c r="K1907" s="39"/>
      <c r="L1907" s="76"/>
      <c r="M1907" s="39"/>
      <c r="N1907" s="39"/>
      <c r="O1907" s="24"/>
      <c r="P1907" s="409"/>
      <c r="Q1907" s="76"/>
      <c r="R1907" s="76"/>
      <c r="S1907" s="24"/>
      <c r="T1907" s="24"/>
      <c r="U1907" s="64"/>
      <c r="V1907" s="56"/>
      <c r="W1907" s="56"/>
      <c r="X1907" s="56"/>
      <c r="Y1907" s="56"/>
      <c r="Z1907" s="56"/>
      <c r="AA1907" s="56"/>
      <c r="AB1907" s="56"/>
      <c r="AC1907" s="56"/>
    </row>
    <row r="1908" spans="1:29" ht="15.75" customHeight="1">
      <c r="A1908" s="39"/>
      <c r="B1908" s="107"/>
      <c r="C1908" s="109"/>
      <c r="D1908" s="76"/>
      <c r="E1908" s="64"/>
      <c r="F1908" s="39"/>
      <c r="G1908" s="399">
        <f>IFERROR(VLOOKUP(A1908,醫療院所DATABASE!A:B,2,""),)</f>
        <v>0</v>
      </c>
      <c r="H1908" s="64"/>
      <c r="I1908" s="109"/>
      <c r="J1908" s="109"/>
      <c r="K1908" s="39"/>
      <c r="L1908" s="76"/>
      <c r="M1908" s="39"/>
      <c r="N1908" s="39"/>
      <c r="O1908" s="24"/>
      <c r="P1908" s="409"/>
      <c r="Q1908" s="76"/>
      <c r="R1908" s="76"/>
      <c r="S1908" s="24"/>
      <c r="T1908" s="24"/>
      <c r="U1908" s="64"/>
      <c r="V1908" s="56"/>
      <c r="W1908" s="56"/>
      <c r="X1908" s="56"/>
      <c r="Y1908" s="56"/>
      <c r="Z1908" s="56"/>
      <c r="AA1908" s="56"/>
      <c r="AB1908" s="56"/>
      <c r="AC1908" s="56"/>
    </row>
    <row r="1909" spans="1:29" ht="15.75" customHeight="1">
      <c r="A1909" s="39"/>
      <c r="B1909" s="107"/>
      <c r="C1909" s="109"/>
      <c r="D1909" s="76"/>
      <c r="E1909" s="64"/>
      <c r="F1909" s="39"/>
      <c r="G1909" s="399">
        <f>IFERROR(VLOOKUP(A1909,醫療院所DATABASE!A:B,2,""),)</f>
        <v>0</v>
      </c>
      <c r="H1909" s="64"/>
      <c r="I1909" s="109"/>
      <c r="J1909" s="109"/>
      <c r="K1909" s="39"/>
      <c r="L1909" s="76"/>
      <c r="M1909" s="39"/>
      <c r="N1909" s="39"/>
      <c r="O1909" s="24"/>
      <c r="P1909" s="409"/>
      <c r="Q1909" s="76"/>
      <c r="R1909" s="76"/>
      <c r="S1909" s="24"/>
      <c r="T1909" s="24"/>
      <c r="U1909" s="64"/>
      <c r="V1909" s="56"/>
      <c r="W1909" s="56"/>
      <c r="X1909" s="56"/>
      <c r="Y1909" s="56"/>
      <c r="Z1909" s="56"/>
      <c r="AA1909" s="56"/>
      <c r="AB1909" s="56"/>
      <c r="AC1909" s="56"/>
    </row>
    <row r="1910" spans="1:29" ht="15.75" customHeight="1">
      <c r="A1910" s="39"/>
      <c r="B1910" s="107"/>
      <c r="C1910" s="109"/>
      <c r="D1910" s="76"/>
      <c r="E1910" s="64"/>
      <c r="F1910" s="39"/>
      <c r="G1910" s="399">
        <f>IFERROR(VLOOKUP(A1910,醫療院所DATABASE!A:B,2,""),)</f>
        <v>0</v>
      </c>
      <c r="H1910" s="64"/>
      <c r="I1910" s="109"/>
      <c r="J1910" s="109"/>
      <c r="K1910" s="39"/>
      <c r="L1910" s="76"/>
      <c r="M1910" s="39"/>
      <c r="N1910" s="39"/>
      <c r="O1910" s="24"/>
      <c r="P1910" s="409"/>
      <c r="Q1910" s="76"/>
      <c r="R1910" s="76"/>
      <c r="S1910" s="24"/>
      <c r="T1910" s="24"/>
      <c r="U1910" s="64"/>
      <c r="V1910" s="56"/>
      <c r="W1910" s="56"/>
      <c r="X1910" s="56"/>
      <c r="Y1910" s="56"/>
      <c r="Z1910" s="56"/>
      <c r="AA1910" s="56"/>
      <c r="AB1910" s="56"/>
      <c r="AC1910" s="56"/>
    </row>
    <row r="1911" spans="1:29" ht="15.75" customHeight="1">
      <c r="A1911" s="39"/>
      <c r="B1911" s="107"/>
      <c r="C1911" s="109"/>
      <c r="D1911" s="76"/>
      <c r="E1911" s="64"/>
      <c r="F1911" s="39"/>
      <c r="G1911" s="399">
        <f>IFERROR(VLOOKUP(A1911,醫療院所DATABASE!A:B,2,""),)</f>
        <v>0</v>
      </c>
      <c r="H1911" s="64"/>
      <c r="I1911" s="109"/>
      <c r="J1911" s="109"/>
      <c r="K1911" s="39"/>
      <c r="L1911" s="76"/>
      <c r="M1911" s="39"/>
      <c r="N1911" s="39"/>
      <c r="O1911" s="24"/>
      <c r="P1911" s="409"/>
      <c r="Q1911" s="76"/>
      <c r="R1911" s="76"/>
      <c r="S1911" s="24"/>
      <c r="T1911" s="24"/>
      <c r="U1911" s="64"/>
      <c r="V1911" s="56"/>
      <c r="W1911" s="56"/>
      <c r="X1911" s="56"/>
      <c r="Y1911" s="56"/>
      <c r="Z1911" s="56"/>
      <c r="AA1911" s="56"/>
      <c r="AB1911" s="56"/>
      <c r="AC1911" s="56"/>
    </row>
    <row r="1912" spans="1:29" ht="15.75" customHeight="1">
      <c r="A1912" s="39"/>
      <c r="B1912" s="107"/>
      <c r="C1912" s="109"/>
      <c r="D1912" s="76"/>
      <c r="E1912" s="64"/>
      <c r="F1912" s="39"/>
      <c r="G1912" s="399">
        <f>IFERROR(VLOOKUP(A1912,醫療院所DATABASE!A:B,2,""),)</f>
        <v>0</v>
      </c>
      <c r="H1912" s="64"/>
      <c r="I1912" s="109"/>
      <c r="J1912" s="109"/>
      <c r="K1912" s="39"/>
      <c r="L1912" s="76"/>
      <c r="M1912" s="39"/>
      <c r="N1912" s="39"/>
      <c r="O1912" s="24"/>
      <c r="P1912" s="409"/>
      <c r="Q1912" s="76"/>
      <c r="R1912" s="76"/>
      <c r="S1912" s="24"/>
      <c r="T1912" s="24"/>
      <c r="U1912" s="64"/>
      <c r="V1912" s="56"/>
      <c r="W1912" s="56"/>
      <c r="X1912" s="56"/>
      <c r="Y1912" s="56"/>
      <c r="Z1912" s="56"/>
      <c r="AA1912" s="56"/>
      <c r="AB1912" s="56"/>
      <c r="AC1912" s="56"/>
    </row>
    <row r="1913" spans="1:29" ht="15.75" customHeight="1">
      <c r="A1913" s="39"/>
      <c r="B1913" s="107"/>
      <c r="C1913" s="109"/>
      <c r="D1913" s="76"/>
      <c r="E1913" s="64"/>
      <c r="F1913" s="39"/>
      <c r="G1913" s="399">
        <f>IFERROR(VLOOKUP(A1913,醫療院所DATABASE!A:B,2,""),)</f>
        <v>0</v>
      </c>
      <c r="H1913" s="64"/>
      <c r="I1913" s="109"/>
      <c r="J1913" s="109"/>
      <c r="K1913" s="39"/>
      <c r="L1913" s="76"/>
      <c r="M1913" s="39"/>
      <c r="N1913" s="39"/>
      <c r="O1913" s="24"/>
      <c r="P1913" s="409"/>
      <c r="Q1913" s="76"/>
      <c r="R1913" s="76"/>
      <c r="S1913" s="24"/>
      <c r="T1913" s="24"/>
      <c r="U1913" s="64"/>
      <c r="V1913" s="56"/>
      <c r="W1913" s="56"/>
      <c r="X1913" s="56"/>
      <c r="Y1913" s="56"/>
      <c r="Z1913" s="56"/>
      <c r="AA1913" s="56"/>
      <c r="AB1913" s="56"/>
      <c r="AC1913" s="56"/>
    </row>
    <row r="1914" spans="1:29" ht="15.75" customHeight="1">
      <c r="A1914" s="39"/>
      <c r="B1914" s="107"/>
      <c r="C1914" s="109"/>
      <c r="D1914" s="76"/>
      <c r="E1914" s="64"/>
      <c r="F1914" s="39"/>
      <c r="G1914" s="399">
        <f>IFERROR(VLOOKUP(A1914,醫療院所DATABASE!A:B,2,""),)</f>
        <v>0</v>
      </c>
      <c r="H1914" s="64"/>
      <c r="I1914" s="109"/>
      <c r="J1914" s="109"/>
      <c r="K1914" s="39"/>
      <c r="L1914" s="76"/>
      <c r="M1914" s="39"/>
      <c r="N1914" s="39"/>
      <c r="O1914" s="24"/>
      <c r="P1914" s="409"/>
      <c r="Q1914" s="76"/>
      <c r="R1914" s="76"/>
      <c r="S1914" s="24"/>
      <c r="T1914" s="24"/>
      <c r="U1914" s="64"/>
      <c r="V1914" s="56"/>
      <c r="W1914" s="56"/>
      <c r="X1914" s="56"/>
      <c r="Y1914" s="56"/>
      <c r="Z1914" s="56"/>
      <c r="AA1914" s="56"/>
      <c r="AB1914" s="56"/>
      <c r="AC1914" s="56"/>
    </row>
    <row r="1915" spans="1:29" ht="15.75" customHeight="1">
      <c r="A1915" s="39"/>
      <c r="B1915" s="107"/>
      <c r="C1915" s="109"/>
      <c r="D1915" s="76"/>
      <c r="E1915" s="64"/>
      <c r="F1915" s="39"/>
      <c r="G1915" s="399">
        <f>IFERROR(VLOOKUP(A1915,醫療院所DATABASE!A:B,2,""),)</f>
        <v>0</v>
      </c>
      <c r="H1915" s="64"/>
      <c r="I1915" s="109"/>
      <c r="J1915" s="109"/>
      <c r="K1915" s="39"/>
      <c r="L1915" s="76"/>
      <c r="M1915" s="39"/>
      <c r="N1915" s="39"/>
      <c r="O1915" s="24"/>
      <c r="P1915" s="409"/>
      <c r="Q1915" s="76"/>
      <c r="R1915" s="76"/>
      <c r="S1915" s="24"/>
      <c r="T1915" s="24"/>
      <c r="U1915" s="64"/>
      <c r="V1915" s="56"/>
      <c r="W1915" s="56"/>
      <c r="X1915" s="56"/>
      <c r="Y1915" s="56"/>
      <c r="Z1915" s="56"/>
      <c r="AA1915" s="56"/>
      <c r="AB1915" s="56"/>
      <c r="AC1915" s="56"/>
    </row>
    <row r="1916" spans="1:29" ht="15.75" customHeight="1">
      <c r="A1916" s="39"/>
      <c r="B1916" s="107"/>
      <c r="C1916" s="109"/>
      <c r="D1916" s="76"/>
      <c r="E1916" s="64"/>
      <c r="F1916" s="39"/>
      <c r="G1916" s="399">
        <f>IFERROR(VLOOKUP(A1916,醫療院所DATABASE!A:B,2,""),)</f>
        <v>0</v>
      </c>
      <c r="H1916" s="64"/>
      <c r="I1916" s="109"/>
      <c r="J1916" s="109"/>
      <c r="K1916" s="39"/>
      <c r="L1916" s="76"/>
      <c r="M1916" s="39"/>
      <c r="N1916" s="39"/>
      <c r="O1916" s="24"/>
      <c r="P1916" s="409"/>
      <c r="Q1916" s="76"/>
      <c r="R1916" s="76"/>
      <c r="S1916" s="24"/>
      <c r="T1916" s="24"/>
      <c r="U1916" s="64"/>
      <c r="V1916" s="56"/>
      <c r="W1916" s="56"/>
      <c r="X1916" s="56"/>
      <c r="Y1916" s="56"/>
      <c r="Z1916" s="56"/>
      <c r="AA1916" s="56"/>
      <c r="AB1916" s="56"/>
      <c r="AC1916" s="56"/>
    </row>
    <row r="1917" spans="1:29" ht="15.75" customHeight="1">
      <c r="A1917" s="39"/>
      <c r="B1917" s="107"/>
      <c r="C1917" s="109"/>
      <c r="D1917" s="76"/>
      <c r="E1917" s="64"/>
      <c r="F1917" s="39"/>
      <c r="G1917" s="399">
        <f>IFERROR(VLOOKUP(A1917,醫療院所DATABASE!A:B,2,""),)</f>
        <v>0</v>
      </c>
      <c r="H1917" s="64"/>
      <c r="I1917" s="109"/>
      <c r="J1917" s="109"/>
      <c r="K1917" s="39"/>
      <c r="L1917" s="76"/>
      <c r="M1917" s="39"/>
      <c r="N1917" s="39"/>
      <c r="O1917" s="24"/>
      <c r="P1917" s="409"/>
      <c r="Q1917" s="76"/>
      <c r="R1917" s="76"/>
      <c r="S1917" s="24"/>
      <c r="T1917" s="24"/>
      <c r="U1917" s="64"/>
      <c r="V1917" s="56"/>
      <c r="W1917" s="56"/>
      <c r="X1917" s="56"/>
      <c r="Y1917" s="56"/>
      <c r="Z1917" s="56"/>
      <c r="AA1917" s="56"/>
      <c r="AB1917" s="56"/>
      <c r="AC1917" s="56"/>
    </row>
    <row r="1918" spans="1:29" ht="15.75" customHeight="1">
      <c r="A1918" s="39"/>
      <c r="B1918" s="107"/>
      <c r="C1918" s="109"/>
      <c r="D1918" s="76"/>
      <c r="E1918" s="64"/>
      <c r="F1918" s="39"/>
      <c r="G1918" s="399">
        <f>IFERROR(VLOOKUP(A1918,醫療院所DATABASE!A:B,2,""),)</f>
        <v>0</v>
      </c>
      <c r="H1918" s="64"/>
      <c r="I1918" s="109"/>
      <c r="J1918" s="109"/>
      <c r="K1918" s="39"/>
      <c r="L1918" s="76"/>
      <c r="M1918" s="39"/>
      <c r="N1918" s="39"/>
      <c r="O1918" s="24"/>
      <c r="P1918" s="409"/>
      <c r="Q1918" s="76"/>
      <c r="R1918" s="76"/>
      <c r="S1918" s="24"/>
      <c r="T1918" s="24"/>
      <c r="U1918" s="64"/>
      <c r="V1918" s="56"/>
      <c r="W1918" s="56"/>
      <c r="X1918" s="56"/>
      <c r="Y1918" s="56"/>
      <c r="Z1918" s="56"/>
      <c r="AA1918" s="56"/>
      <c r="AB1918" s="56"/>
      <c r="AC1918" s="56"/>
    </row>
    <row r="1919" spans="1:29" ht="15.75" customHeight="1">
      <c r="A1919" s="39"/>
      <c r="B1919" s="107"/>
      <c r="C1919" s="109"/>
      <c r="D1919" s="76"/>
      <c r="E1919" s="64"/>
      <c r="F1919" s="39"/>
      <c r="G1919" s="399">
        <f>IFERROR(VLOOKUP(A1919,醫療院所DATABASE!A:B,2,""),)</f>
        <v>0</v>
      </c>
      <c r="H1919" s="64"/>
      <c r="I1919" s="109"/>
      <c r="J1919" s="109"/>
      <c r="K1919" s="39"/>
      <c r="L1919" s="76"/>
      <c r="M1919" s="39"/>
      <c r="N1919" s="39"/>
      <c r="O1919" s="24"/>
      <c r="P1919" s="409"/>
      <c r="Q1919" s="76"/>
      <c r="R1919" s="76"/>
      <c r="S1919" s="24"/>
      <c r="T1919" s="24"/>
      <c r="U1919" s="64"/>
      <c r="V1919" s="56"/>
      <c r="W1919" s="56"/>
      <c r="X1919" s="56"/>
      <c r="Y1919" s="56"/>
      <c r="Z1919" s="56"/>
      <c r="AA1919" s="56"/>
      <c r="AB1919" s="56"/>
      <c r="AC1919" s="56"/>
    </row>
    <row r="1920" spans="1:29" ht="15.75" customHeight="1">
      <c r="A1920" s="39"/>
      <c r="B1920" s="107"/>
      <c r="C1920" s="109"/>
      <c r="D1920" s="76"/>
      <c r="E1920" s="64"/>
      <c r="F1920" s="39"/>
      <c r="G1920" s="399">
        <f>IFERROR(VLOOKUP(A1920,醫療院所DATABASE!A:B,2,""),)</f>
        <v>0</v>
      </c>
      <c r="H1920" s="64"/>
      <c r="I1920" s="109"/>
      <c r="J1920" s="109"/>
      <c r="K1920" s="39"/>
      <c r="L1920" s="76"/>
      <c r="M1920" s="39"/>
      <c r="N1920" s="39"/>
      <c r="O1920" s="24"/>
      <c r="P1920" s="409"/>
      <c r="Q1920" s="76"/>
      <c r="R1920" s="76"/>
      <c r="S1920" s="24"/>
      <c r="T1920" s="24"/>
      <c r="U1920" s="64"/>
      <c r="V1920" s="56"/>
      <c r="W1920" s="56"/>
      <c r="X1920" s="56"/>
      <c r="Y1920" s="56"/>
      <c r="Z1920" s="56"/>
      <c r="AA1920" s="56"/>
      <c r="AB1920" s="56"/>
      <c r="AC1920" s="56"/>
    </row>
    <row r="1921" spans="1:29" ht="15.75" customHeight="1">
      <c r="A1921" s="39"/>
      <c r="B1921" s="107"/>
      <c r="C1921" s="109"/>
      <c r="D1921" s="76"/>
      <c r="E1921" s="64"/>
      <c r="F1921" s="39"/>
      <c r="G1921" s="399">
        <f>IFERROR(VLOOKUP(A1921,醫療院所DATABASE!A:B,2,""),)</f>
        <v>0</v>
      </c>
      <c r="H1921" s="64"/>
      <c r="I1921" s="109"/>
      <c r="J1921" s="109"/>
      <c r="K1921" s="39"/>
      <c r="L1921" s="76"/>
      <c r="M1921" s="39"/>
      <c r="N1921" s="39"/>
      <c r="O1921" s="24"/>
      <c r="P1921" s="409"/>
      <c r="Q1921" s="76"/>
      <c r="R1921" s="76"/>
      <c r="S1921" s="24"/>
      <c r="T1921" s="24"/>
      <c r="U1921" s="64"/>
      <c r="V1921" s="56"/>
      <c r="W1921" s="56"/>
      <c r="X1921" s="56"/>
      <c r="Y1921" s="56"/>
      <c r="Z1921" s="56"/>
      <c r="AA1921" s="56"/>
      <c r="AB1921" s="56"/>
      <c r="AC1921" s="56"/>
    </row>
    <row r="1922" spans="1:29" ht="15.75" customHeight="1">
      <c r="A1922" s="39"/>
      <c r="B1922" s="107"/>
      <c r="C1922" s="109"/>
      <c r="D1922" s="76"/>
      <c r="E1922" s="64"/>
      <c r="F1922" s="39"/>
      <c r="G1922" s="399">
        <f>IFERROR(VLOOKUP(A1922,醫療院所DATABASE!A:B,2,""),)</f>
        <v>0</v>
      </c>
      <c r="H1922" s="64"/>
      <c r="I1922" s="109"/>
      <c r="J1922" s="109"/>
      <c r="K1922" s="39"/>
      <c r="L1922" s="76"/>
      <c r="M1922" s="39"/>
      <c r="N1922" s="39"/>
      <c r="O1922" s="24"/>
      <c r="P1922" s="409"/>
      <c r="Q1922" s="76"/>
      <c r="R1922" s="76"/>
      <c r="S1922" s="24"/>
      <c r="T1922" s="24"/>
      <c r="U1922" s="64"/>
      <c r="V1922" s="56"/>
      <c r="W1922" s="56"/>
      <c r="X1922" s="56"/>
      <c r="Y1922" s="56"/>
      <c r="Z1922" s="56"/>
      <c r="AA1922" s="56"/>
      <c r="AB1922" s="56"/>
      <c r="AC1922" s="56"/>
    </row>
    <row r="1923" spans="1:29" ht="15.75" customHeight="1">
      <c r="A1923" s="39"/>
      <c r="B1923" s="107"/>
      <c r="C1923" s="109"/>
      <c r="D1923" s="76"/>
      <c r="E1923" s="64"/>
      <c r="F1923" s="39"/>
      <c r="G1923" s="399">
        <f>IFERROR(VLOOKUP(A1923,醫療院所DATABASE!A:B,2,""),)</f>
        <v>0</v>
      </c>
      <c r="H1923" s="64"/>
      <c r="I1923" s="109"/>
      <c r="J1923" s="109"/>
      <c r="K1923" s="39"/>
      <c r="L1923" s="76"/>
      <c r="M1923" s="39"/>
      <c r="N1923" s="39"/>
      <c r="O1923" s="24"/>
      <c r="P1923" s="409"/>
      <c r="Q1923" s="76"/>
      <c r="R1923" s="76"/>
      <c r="S1923" s="24"/>
      <c r="T1923" s="24"/>
      <c r="U1923" s="64"/>
      <c r="V1923" s="56"/>
      <c r="W1923" s="56"/>
      <c r="X1923" s="56"/>
      <c r="Y1923" s="56"/>
      <c r="Z1923" s="56"/>
      <c r="AA1923" s="56"/>
      <c r="AB1923" s="56"/>
      <c r="AC1923" s="56"/>
    </row>
    <row r="1924" spans="1:29" ht="15.75" customHeight="1">
      <c r="A1924" s="39"/>
      <c r="B1924" s="107"/>
      <c r="C1924" s="109"/>
      <c r="D1924" s="76"/>
      <c r="E1924" s="64"/>
      <c r="F1924" s="39"/>
      <c r="G1924" s="399">
        <f>IFERROR(VLOOKUP(A1924,醫療院所DATABASE!A:B,2,""),)</f>
        <v>0</v>
      </c>
      <c r="H1924" s="64"/>
      <c r="I1924" s="109"/>
      <c r="J1924" s="109"/>
      <c r="K1924" s="39"/>
      <c r="L1924" s="76"/>
      <c r="M1924" s="39"/>
      <c r="N1924" s="39"/>
      <c r="O1924" s="24"/>
      <c r="P1924" s="409"/>
      <c r="Q1924" s="76"/>
      <c r="R1924" s="76"/>
      <c r="S1924" s="24"/>
      <c r="T1924" s="24"/>
      <c r="U1924" s="64"/>
      <c r="V1924" s="56"/>
      <c r="W1924" s="56"/>
      <c r="X1924" s="56"/>
      <c r="Y1924" s="56"/>
      <c r="Z1924" s="56"/>
      <c r="AA1924" s="56"/>
      <c r="AB1924" s="56"/>
      <c r="AC1924" s="56"/>
    </row>
    <row r="1925" spans="1:29" ht="15.75" customHeight="1">
      <c r="A1925" s="39"/>
      <c r="B1925" s="107"/>
      <c r="C1925" s="109"/>
      <c r="D1925" s="76"/>
      <c r="E1925" s="64"/>
      <c r="F1925" s="39"/>
      <c r="G1925" s="399">
        <f>IFERROR(VLOOKUP(A1925,醫療院所DATABASE!A:B,2,""),)</f>
        <v>0</v>
      </c>
      <c r="H1925" s="64"/>
      <c r="I1925" s="109"/>
      <c r="J1925" s="109"/>
      <c r="K1925" s="39"/>
      <c r="L1925" s="76"/>
      <c r="M1925" s="39"/>
      <c r="N1925" s="39"/>
      <c r="O1925" s="24"/>
      <c r="P1925" s="409"/>
      <c r="Q1925" s="76"/>
      <c r="R1925" s="76"/>
      <c r="S1925" s="24"/>
      <c r="T1925" s="24"/>
      <c r="U1925" s="64"/>
      <c r="V1925" s="56"/>
      <c r="W1925" s="56"/>
      <c r="X1925" s="56"/>
      <c r="Y1925" s="56"/>
      <c r="Z1925" s="56"/>
      <c r="AA1925" s="56"/>
      <c r="AB1925" s="56"/>
      <c r="AC1925" s="56"/>
    </row>
    <row r="1926" spans="1:29" ht="15.75" customHeight="1">
      <c r="A1926" s="39"/>
      <c r="B1926" s="107"/>
      <c r="C1926" s="109"/>
      <c r="D1926" s="76"/>
      <c r="E1926" s="64"/>
      <c r="F1926" s="39"/>
      <c r="G1926" s="399">
        <f>IFERROR(VLOOKUP(A1926,醫療院所DATABASE!A:B,2,""),)</f>
        <v>0</v>
      </c>
      <c r="H1926" s="64"/>
      <c r="I1926" s="109"/>
      <c r="J1926" s="109"/>
      <c r="K1926" s="39"/>
      <c r="L1926" s="76"/>
      <c r="M1926" s="39"/>
      <c r="N1926" s="39"/>
      <c r="O1926" s="24"/>
      <c r="P1926" s="409"/>
      <c r="Q1926" s="76"/>
      <c r="R1926" s="76"/>
      <c r="S1926" s="24"/>
      <c r="T1926" s="24"/>
      <c r="U1926" s="64"/>
      <c r="V1926" s="56"/>
      <c r="W1926" s="56"/>
      <c r="X1926" s="56"/>
      <c r="Y1926" s="56"/>
      <c r="Z1926" s="56"/>
      <c r="AA1926" s="56"/>
      <c r="AB1926" s="56"/>
      <c r="AC1926" s="56"/>
    </row>
    <row r="1927" spans="1:29" ht="15.75" customHeight="1">
      <c r="A1927" s="39"/>
      <c r="B1927" s="107"/>
      <c r="C1927" s="109"/>
      <c r="D1927" s="76"/>
      <c r="E1927" s="64"/>
      <c r="F1927" s="39"/>
      <c r="G1927" s="399">
        <f>IFERROR(VLOOKUP(A1927,醫療院所DATABASE!A:B,2,""),)</f>
        <v>0</v>
      </c>
      <c r="H1927" s="64"/>
      <c r="I1927" s="109"/>
      <c r="J1927" s="109"/>
      <c r="K1927" s="39"/>
      <c r="L1927" s="76"/>
      <c r="M1927" s="39"/>
      <c r="N1927" s="39"/>
      <c r="O1927" s="24"/>
      <c r="P1927" s="409"/>
      <c r="Q1927" s="76"/>
      <c r="R1927" s="76"/>
      <c r="S1927" s="24"/>
      <c r="T1927" s="24"/>
      <c r="U1927" s="64"/>
      <c r="V1927" s="56"/>
      <c r="W1927" s="56"/>
      <c r="X1927" s="56"/>
      <c r="Y1927" s="56"/>
      <c r="Z1927" s="56"/>
      <c r="AA1927" s="56"/>
      <c r="AB1927" s="56"/>
      <c r="AC1927" s="56"/>
    </row>
    <row r="1928" spans="1:29" ht="15.75" customHeight="1">
      <c r="A1928" s="39"/>
      <c r="B1928" s="107"/>
      <c r="C1928" s="109"/>
      <c r="D1928" s="76"/>
      <c r="E1928" s="64"/>
      <c r="F1928" s="39"/>
      <c r="G1928" s="399">
        <f>IFERROR(VLOOKUP(A1928,醫療院所DATABASE!A:B,2,""),)</f>
        <v>0</v>
      </c>
      <c r="H1928" s="64"/>
      <c r="I1928" s="109"/>
      <c r="J1928" s="109"/>
      <c r="K1928" s="39"/>
      <c r="L1928" s="76"/>
      <c r="M1928" s="39"/>
      <c r="N1928" s="39"/>
      <c r="O1928" s="24"/>
      <c r="P1928" s="409"/>
      <c r="Q1928" s="76"/>
      <c r="R1928" s="76"/>
      <c r="S1928" s="24"/>
      <c r="T1928" s="24"/>
      <c r="U1928" s="64"/>
      <c r="V1928" s="56"/>
      <c r="W1928" s="56"/>
      <c r="X1928" s="56"/>
      <c r="Y1928" s="56"/>
      <c r="Z1928" s="56"/>
      <c r="AA1928" s="56"/>
      <c r="AB1928" s="56"/>
      <c r="AC1928" s="56"/>
    </row>
    <row r="1929" spans="1:29" ht="15.75" customHeight="1">
      <c r="A1929" s="39"/>
      <c r="B1929" s="107"/>
      <c r="C1929" s="109"/>
      <c r="D1929" s="76"/>
      <c r="E1929" s="64"/>
      <c r="F1929" s="39"/>
      <c r="G1929" s="399">
        <f>IFERROR(VLOOKUP(A1929,醫療院所DATABASE!A:B,2,""),)</f>
        <v>0</v>
      </c>
      <c r="H1929" s="64"/>
      <c r="I1929" s="109"/>
      <c r="J1929" s="109"/>
      <c r="K1929" s="39"/>
      <c r="L1929" s="76"/>
      <c r="M1929" s="39"/>
      <c r="N1929" s="39"/>
      <c r="O1929" s="24"/>
      <c r="P1929" s="409"/>
      <c r="Q1929" s="76"/>
      <c r="R1929" s="76"/>
      <c r="S1929" s="24"/>
      <c r="T1929" s="24"/>
      <c r="U1929" s="64"/>
      <c r="V1929" s="56"/>
      <c r="W1929" s="56"/>
      <c r="X1929" s="56"/>
      <c r="Y1929" s="56"/>
      <c r="Z1929" s="56"/>
      <c r="AA1929" s="56"/>
      <c r="AB1929" s="56"/>
      <c r="AC1929" s="56"/>
    </row>
    <row r="1930" spans="1:29" ht="15.75" customHeight="1">
      <c r="A1930" s="39"/>
      <c r="B1930" s="107"/>
      <c r="C1930" s="109"/>
      <c r="D1930" s="76"/>
      <c r="E1930" s="64"/>
      <c r="F1930" s="39"/>
      <c r="G1930" s="399">
        <f>IFERROR(VLOOKUP(A1930,醫療院所DATABASE!A:B,2,""),)</f>
        <v>0</v>
      </c>
      <c r="H1930" s="64"/>
      <c r="I1930" s="109"/>
      <c r="J1930" s="109"/>
      <c r="K1930" s="39"/>
      <c r="L1930" s="76"/>
      <c r="M1930" s="39"/>
      <c r="N1930" s="39"/>
      <c r="O1930" s="24"/>
      <c r="P1930" s="409"/>
      <c r="Q1930" s="76"/>
      <c r="R1930" s="76"/>
      <c r="S1930" s="24"/>
      <c r="T1930" s="24"/>
      <c r="U1930" s="64"/>
      <c r="V1930" s="56"/>
      <c r="W1930" s="56"/>
      <c r="X1930" s="56"/>
      <c r="Y1930" s="56"/>
      <c r="Z1930" s="56"/>
      <c r="AA1930" s="56"/>
      <c r="AB1930" s="56"/>
      <c r="AC1930" s="56"/>
    </row>
    <row r="1931" spans="1:29" ht="15.75" customHeight="1">
      <c r="A1931" s="39"/>
      <c r="B1931" s="107"/>
      <c r="C1931" s="109"/>
      <c r="D1931" s="76"/>
      <c r="E1931" s="64"/>
      <c r="F1931" s="39"/>
      <c r="G1931" s="399">
        <f>IFERROR(VLOOKUP(A1931,醫療院所DATABASE!A:B,2,""),)</f>
        <v>0</v>
      </c>
      <c r="H1931" s="64"/>
      <c r="I1931" s="109"/>
      <c r="J1931" s="109"/>
      <c r="K1931" s="39"/>
      <c r="L1931" s="76"/>
      <c r="M1931" s="39"/>
      <c r="N1931" s="39"/>
      <c r="O1931" s="24"/>
      <c r="P1931" s="409"/>
      <c r="Q1931" s="76"/>
      <c r="R1931" s="76"/>
      <c r="S1931" s="24"/>
      <c r="T1931" s="24"/>
      <c r="U1931" s="64"/>
      <c r="V1931" s="56"/>
      <c r="W1931" s="56"/>
      <c r="X1931" s="56"/>
      <c r="Y1931" s="56"/>
      <c r="Z1931" s="56"/>
      <c r="AA1931" s="56"/>
      <c r="AB1931" s="56"/>
      <c r="AC1931" s="56"/>
    </row>
    <row r="1932" spans="1:29" ht="15.75" customHeight="1">
      <c r="A1932" s="39"/>
      <c r="B1932" s="107"/>
      <c r="C1932" s="109"/>
      <c r="D1932" s="76"/>
      <c r="E1932" s="64"/>
      <c r="F1932" s="39"/>
      <c r="G1932" s="399">
        <f>IFERROR(VLOOKUP(A1932,醫療院所DATABASE!A:B,2,""),)</f>
        <v>0</v>
      </c>
      <c r="H1932" s="64"/>
      <c r="I1932" s="109"/>
      <c r="J1932" s="109"/>
      <c r="K1932" s="39"/>
      <c r="L1932" s="76"/>
      <c r="M1932" s="39"/>
      <c r="N1932" s="39"/>
      <c r="O1932" s="24"/>
      <c r="P1932" s="409"/>
      <c r="Q1932" s="76"/>
      <c r="R1932" s="76"/>
      <c r="S1932" s="24"/>
      <c r="T1932" s="24"/>
      <c r="U1932" s="64"/>
      <c r="V1932" s="56"/>
      <c r="W1932" s="56"/>
      <c r="X1932" s="56"/>
      <c r="Y1932" s="56"/>
      <c r="Z1932" s="56"/>
      <c r="AA1932" s="56"/>
      <c r="AB1932" s="56"/>
      <c r="AC1932" s="56"/>
    </row>
    <row r="1933" spans="1:29" ht="15.75" customHeight="1">
      <c r="A1933" s="39"/>
      <c r="B1933" s="107"/>
      <c r="C1933" s="109"/>
      <c r="D1933" s="76"/>
      <c r="E1933" s="64"/>
      <c r="F1933" s="39"/>
      <c r="G1933" s="399">
        <f>IFERROR(VLOOKUP(A1933,醫療院所DATABASE!A:B,2,""),)</f>
        <v>0</v>
      </c>
      <c r="H1933" s="64"/>
      <c r="I1933" s="109"/>
      <c r="J1933" s="109"/>
      <c r="K1933" s="39"/>
      <c r="L1933" s="76"/>
      <c r="M1933" s="39"/>
      <c r="N1933" s="39"/>
      <c r="O1933" s="24"/>
      <c r="P1933" s="409"/>
      <c r="Q1933" s="76"/>
      <c r="R1933" s="76"/>
      <c r="S1933" s="24"/>
      <c r="T1933" s="24"/>
      <c r="U1933" s="64"/>
      <c r="V1933" s="56"/>
      <c r="W1933" s="56"/>
      <c r="X1933" s="56"/>
      <c r="Y1933" s="56"/>
      <c r="Z1933" s="56"/>
      <c r="AA1933" s="56"/>
      <c r="AB1933" s="56"/>
      <c r="AC1933" s="56"/>
    </row>
    <row r="1934" spans="1:29" ht="15.75" customHeight="1">
      <c r="A1934" s="39"/>
      <c r="B1934" s="107"/>
      <c r="C1934" s="109"/>
      <c r="D1934" s="76"/>
      <c r="E1934" s="64"/>
      <c r="F1934" s="39"/>
      <c r="G1934" s="399">
        <f>IFERROR(VLOOKUP(A1934,醫療院所DATABASE!A:B,2,""),)</f>
        <v>0</v>
      </c>
      <c r="H1934" s="64"/>
      <c r="I1934" s="109"/>
      <c r="J1934" s="109"/>
      <c r="K1934" s="39"/>
      <c r="L1934" s="76"/>
      <c r="M1934" s="39"/>
      <c r="N1934" s="39"/>
      <c r="O1934" s="24"/>
      <c r="P1934" s="409"/>
      <c r="Q1934" s="76"/>
      <c r="R1934" s="76"/>
      <c r="S1934" s="24"/>
      <c r="T1934" s="24"/>
      <c r="U1934" s="64"/>
      <c r="V1934" s="56"/>
      <c r="W1934" s="56"/>
      <c r="X1934" s="56"/>
      <c r="Y1934" s="56"/>
      <c r="Z1934" s="56"/>
      <c r="AA1934" s="56"/>
      <c r="AB1934" s="56"/>
      <c r="AC1934" s="56"/>
    </row>
    <row r="1935" spans="1:29" ht="15.75" customHeight="1">
      <c r="A1935" s="39"/>
      <c r="B1935" s="107"/>
      <c r="C1935" s="109"/>
      <c r="D1935" s="76"/>
      <c r="E1935" s="64"/>
      <c r="F1935" s="39"/>
      <c r="G1935" s="399">
        <f>IFERROR(VLOOKUP(A1935,醫療院所DATABASE!A:B,2,""),)</f>
        <v>0</v>
      </c>
      <c r="H1935" s="64"/>
      <c r="I1935" s="109"/>
      <c r="J1935" s="109"/>
      <c r="K1935" s="39"/>
      <c r="L1935" s="76"/>
      <c r="M1935" s="39"/>
      <c r="N1935" s="39"/>
      <c r="O1935" s="24"/>
      <c r="P1935" s="409"/>
      <c r="Q1935" s="76"/>
      <c r="R1935" s="76"/>
      <c r="S1935" s="24"/>
      <c r="T1935" s="24"/>
      <c r="U1935" s="64"/>
      <c r="V1935" s="56"/>
      <c r="W1935" s="56"/>
      <c r="X1935" s="56"/>
      <c r="Y1935" s="56"/>
      <c r="Z1935" s="56"/>
      <c r="AA1935" s="56"/>
      <c r="AB1935" s="56"/>
      <c r="AC1935" s="56"/>
    </row>
    <row r="1936" spans="1:29" ht="15.75" customHeight="1">
      <c r="A1936" s="39"/>
      <c r="B1936" s="107"/>
      <c r="C1936" s="109"/>
      <c r="D1936" s="76"/>
      <c r="E1936" s="64"/>
      <c r="F1936" s="39"/>
      <c r="G1936" s="399">
        <f>IFERROR(VLOOKUP(A1936,醫療院所DATABASE!A:B,2,""),)</f>
        <v>0</v>
      </c>
      <c r="H1936" s="64"/>
      <c r="I1936" s="109"/>
      <c r="J1936" s="109"/>
      <c r="K1936" s="39"/>
      <c r="L1936" s="76"/>
      <c r="M1936" s="39"/>
      <c r="N1936" s="39"/>
      <c r="O1936" s="24"/>
      <c r="P1936" s="409"/>
      <c r="Q1936" s="76"/>
      <c r="R1936" s="76"/>
      <c r="S1936" s="24"/>
      <c r="T1936" s="24"/>
      <c r="U1936" s="64"/>
      <c r="V1936" s="56"/>
      <c r="W1936" s="56"/>
      <c r="X1936" s="56"/>
      <c r="Y1936" s="56"/>
      <c r="Z1936" s="56"/>
      <c r="AA1936" s="56"/>
      <c r="AB1936" s="56"/>
      <c r="AC1936" s="56"/>
    </row>
    <row r="1937" spans="1:29" ht="15.75" customHeight="1">
      <c r="A1937" s="39"/>
      <c r="B1937" s="107"/>
      <c r="C1937" s="109"/>
      <c r="D1937" s="76"/>
      <c r="E1937" s="64"/>
      <c r="F1937" s="39"/>
      <c r="G1937" s="399">
        <f>IFERROR(VLOOKUP(A1937,醫療院所DATABASE!A:B,2,""),)</f>
        <v>0</v>
      </c>
      <c r="H1937" s="64"/>
      <c r="I1937" s="109"/>
      <c r="J1937" s="109"/>
      <c r="K1937" s="39"/>
      <c r="L1937" s="76"/>
      <c r="M1937" s="39"/>
      <c r="N1937" s="39"/>
      <c r="O1937" s="24"/>
      <c r="P1937" s="409"/>
      <c r="Q1937" s="76"/>
      <c r="R1937" s="76"/>
      <c r="S1937" s="24"/>
      <c r="T1937" s="24"/>
      <c r="U1937" s="64"/>
      <c r="V1937" s="56"/>
      <c r="W1937" s="56"/>
      <c r="X1937" s="56"/>
      <c r="Y1937" s="56"/>
      <c r="Z1937" s="56"/>
      <c r="AA1937" s="56"/>
      <c r="AB1937" s="56"/>
      <c r="AC1937" s="56"/>
    </row>
    <row r="1938" spans="1:29" ht="15.75" customHeight="1">
      <c r="A1938" s="39"/>
      <c r="B1938" s="107"/>
      <c r="C1938" s="109"/>
      <c r="D1938" s="76"/>
      <c r="E1938" s="64"/>
      <c r="F1938" s="39"/>
      <c r="G1938" s="399">
        <f>IFERROR(VLOOKUP(A1938,醫療院所DATABASE!A:B,2,""),)</f>
        <v>0</v>
      </c>
      <c r="H1938" s="64"/>
      <c r="I1938" s="109"/>
      <c r="J1938" s="109"/>
      <c r="K1938" s="39"/>
      <c r="L1938" s="76"/>
      <c r="M1938" s="39"/>
      <c r="N1938" s="39"/>
      <c r="O1938" s="24"/>
      <c r="P1938" s="409"/>
      <c r="Q1938" s="76"/>
      <c r="R1938" s="76"/>
      <c r="S1938" s="24"/>
      <c r="T1938" s="24"/>
      <c r="U1938" s="64"/>
      <c r="V1938" s="56"/>
      <c r="W1938" s="56"/>
      <c r="X1938" s="56"/>
      <c r="Y1938" s="56"/>
      <c r="Z1938" s="56"/>
      <c r="AA1938" s="56"/>
      <c r="AB1938" s="56"/>
      <c r="AC1938" s="56"/>
    </row>
    <row r="1939" spans="1:29" ht="15.75" customHeight="1">
      <c r="A1939" s="39"/>
      <c r="B1939" s="107"/>
      <c r="C1939" s="109"/>
      <c r="D1939" s="76"/>
      <c r="E1939" s="64"/>
      <c r="F1939" s="39"/>
      <c r="G1939" s="399">
        <f>IFERROR(VLOOKUP(A1939,醫療院所DATABASE!A:B,2,""),)</f>
        <v>0</v>
      </c>
      <c r="H1939" s="64"/>
      <c r="I1939" s="109"/>
      <c r="J1939" s="109"/>
      <c r="K1939" s="39"/>
      <c r="L1939" s="76"/>
      <c r="M1939" s="39"/>
      <c r="N1939" s="39"/>
      <c r="O1939" s="24"/>
      <c r="P1939" s="409"/>
      <c r="Q1939" s="76"/>
      <c r="R1939" s="76"/>
      <c r="S1939" s="24"/>
      <c r="T1939" s="24"/>
      <c r="U1939" s="64"/>
      <c r="V1939" s="56"/>
      <c r="W1939" s="56"/>
      <c r="X1939" s="56"/>
      <c r="Y1939" s="56"/>
      <c r="Z1939" s="56"/>
      <c r="AA1939" s="56"/>
      <c r="AB1939" s="56"/>
      <c r="AC1939" s="56"/>
    </row>
    <row r="1940" spans="1:29" ht="15.75" customHeight="1">
      <c r="A1940" s="39"/>
      <c r="B1940" s="107"/>
      <c r="C1940" s="109"/>
      <c r="D1940" s="76"/>
      <c r="E1940" s="64"/>
      <c r="F1940" s="39"/>
      <c r="G1940" s="399">
        <f>IFERROR(VLOOKUP(A1940,醫療院所DATABASE!A:B,2,""),)</f>
        <v>0</v>
      </c>
      <c r="H1940" s="64"/>
      <c r="I1940" s="109"/>
      <c r="J1940" s="109"/>
      <c r="K1940" s="39"/>
      <c r="L1940" s="76"/>
      <c r="M1940" s="39"/>
      <c r="N1940" s="39"/>
      <c r="O1940" s="24"/>
      <c r="P1940" s="409"/>
      <c r="Q1940" s="76"/>
      <c r="R1940" s="76"/>
      <c r="S1940" s="24"/>
      <c r="T1940" s="24"/>
      <c r="U1940" s="64"/>
      <c r="V1940" s="56"/>
      <c r="W1940" s="56"/>
      <c r="X1940" s="56"/>
      <c r="Y1940" s="56"/>
      <c r="Z1940" s="56"/>
      <c r="AA1940" s="56"/>
      <c r="AB1940" s="56"/>
      <c r="AC1940" s="56"/>
    </row>
    <row r="1941" spans="1:29" ht="15.75" customHeight="1">
      <c r="A1941" s="39"/>
      <c r="B1941" s="107"/>
      <c r="C1941" s="109"/>
      <c r="D1941" s="76"/>
      <c r="E1941" s="64"/>
      <c r="F1941" s="39"/>
      <c r="G1941" s="399">
        <f>IFERROR(VLOOKUP(A1941,醫療院所DATABASE!A:B,2,""),)</f>
        <v>0</v>
      </c>
      <c r="H1941" s="64"/>
      <c r="I1941" s="109"/>
      <c r="J1941" s="109"/>
      <c r="K1941" s="39"/>
      <c r="L1941" s="76"/>
      <c r="M1941" s="39"/>
      <c r="N1941" s="39"/>
      <c r="O1941" s="24"/>
      <c r="P1941" s="409"/>
      <c r="Q1941" s="76"/>
      <c r="R1941" s="76"/>
      <c r="S1941" s="24"/>
      <c r="T1941" s="24"/>
      <c r="U1941" s="64"/>
      <c r="V1941" s="56"/>
      <c r="W1941" s="56"/>
      <c r="X1941" s="56"/>
      <c r="Y1941" s="56"/>
      <c r="Z1941" s="56"/>
      <c r="AA1941" s="56"/>
      <c r="AB1941" s="56"/>
      <c r="AC1941" s="56"/>
    </row>
    <row r="1942" spans="1:29" ht="15.75" customHeight="1">
      <c r="A1942" s="39"/>
      <c r="B1942" s="107"/>
      <c r="C1942" s="109"/>
      <c r="D1942" s="76"/>
      <c r="E1942" s="64"/>
      <c r="F1942" s="39"/>
      <c r="G1942" s="399">
        <f>IFERROR(VLOOKUP(A1942,醫療院所DATABASE!A:B,2,""),)</f>
        <v>0</v>
      </c>
      <c r="H1942" s="64"/>
      <c r="I1942" s="109"/>
      <c r="J1942" s="109"/>
      <c r="K1942" s="39"/>
      <c r="L1942" s="76"/>
      <c r="M1942" s="39"/>
      <c r="N1942" s="39"/>
      <c r="O1942" s="24"/>
      <c r="P1942" s="409"/>
      <c r="Q1942" s="76"/>
      <c r="R1942" s="76"/>
      <c r="S1942" s="24"/>
      <c r="T1942" s="24"/>
      <c r="U1942" s="64"/>
      <c r="V1942" s="56"/>
      <c r="W1942" s="56"/>
      <c r="X1942" s="56"/>
      <c r="Y1942" s="56"/>
      <c r="Z1942" s="56"/>
      <c r="AA1942" s="56"/>
      <c r="AB1942" s="56"/>
      <c r="AC1942" s="56"/>
    </row>
    <row r="1943" spans="1:29" ht="15.75" customHeight="1">
      <c r="A1943" s="39"/>
      <c r="B1943" s="107"/>
      <c r="C1943" s="109"/>
      <c r="D1943" s="76"/>
      <c r="E1943" s="64"/>
      <c r="F1943" s="39"/>
      <c r="G1943" s="399">
        <f>IFERROR(VLOOKUP(A1943,醫療院所DATABASE!A:B,2,""),)</f>
        <v>0</v>
      </c>
      <c r="H1943" s="64"/>
      <c r="I1943" s="109"/>
      <c r="J1943" s="109"/>
      <c r="K1943" s="39"/>
      <c r="L1943" s="76"/>
      <c r="M1943" s="39"/>
      <c r="N1943" s="39"/>
      <c r="O1943" s="24"/>
      <c r="P1943" s="409"/>
      <c r="Q1943" s="76"/>
      <c r="R1943" s="76"/>
      <c r="S1943" s="24"/>
      <c r="T1943" s="24"/>
      <c r="U1943" s="64"/>
      <c r="V1943" s="56"/>
      <c r="W1943" s="56"/>
      <c r="X1943" s="56"/>
      <c r="Y1943" s="56"/>
      <c r="Z1943" s="56"/>
      <c r="AA1943" s="56"/>
      <c r="AB1943" s="56"/>
      <c r="AC1943" s="56"/>
    </row>
    <row r="1944" spans="1:29" ht="15.75" customHeight="1">
      <c r="A1944" s="39"/>
      <c r="B1944" s="107"/>
      <c r="C1944" s="109"/>
      <c r="D1944" s="76"/>
      <c r="E1944" s="64"/>
      <c r="F1944" s="39"/>
      <c r="G1944" s="399">
        <f>IFERROR(VLOOKUP(A1944,醫療院所DATABASE!A:B,2,""),)</f>
        <v>0</v>
      </c>
      <c r="H1944" s="64"/>
      <c r="I1944" s="109"/>
      <c r="J1944" s="109"/>
      <c r="K1944" s="39"/>
      <c r="L1944" s="76"/>
      <c r="M1944" s="39"/>
      <c r="N1944" s="39"/>
      <c r="O1944" s="24"/>
      <c r="P1944" s="409"/>
      <c r="Q1944" s="76"/>
      <c r="R1944" s="76"/>
      <c r="S1944" s="24"/>
      <c r="T1944" s="24"/>
      <c r="U1944" s="64"/>
      <c r="V1944" s="56"/>
      <c r="W1944" s="56"/>
      <c r="X1944" s="56"/>
      <c r="Y1944" s="56"/>
      <c r="Z1944" s="56"/>
      <c r="AA1944" s="56"/>
      <c r="AB1944" s="56"/>
      <c r="AC1944" s="56"/>
    </row>
    <row r="1945" spans="1:29" ht="15.75" customHeight="1">
      <c r="A1945" s="39"/>
      <c r="B1945" s="107"/>
      <c r="C1945" s="109"/>
      <c r="D1945" s="76"/>
      <c r="E1945" s="64"/>
      <c r="F1945" s="39"/>
      <c r="G1945" s="399">
        <f>IFERROR(VLOOKUP(A1945,醫療院所DATABASE!A:B,2,""),)</f>
        <v>0</v>
      </c>
      <c r="H1945" s="64"/>
      <c r="I1945" s="109"/>
      <c r="J1945" s="109"/>
      <c r="K1945" s="39"/>
      <c r="L1945" s="76"/>
      <c r="M1945" s="39"/>
      <c r="N1945" s="39"/>
      <c r="O1945" s="24"/>
      <c r="P1945" s="409"/>
      <c r="Q1945" s="76"/>
      <c r="R1945" s="76"/>
      <c r="S1945" s="24"/>
      <c r="T1945" s="24"/>
      <c r="U1945" s="64"/>
      <c r="V1945" s="56"/>
      <c r="W1945" s="56"/>
      <c r="X1945" s="56"/>
      <c r="Y1945" s="56"/>
      <c r="Z1945" s="56"/>
      <c r="AA1945" s="56"/>
      <c r="AB1945" s="56"/>
      <c r="AC1945" s="56"/>
    </row>
    <row r="1946" spans="1:29" ht="15.75" customHeight="1">
      <c r="A1946" s="39"/>
      <c r="B1946" s="107"/>
      <c r="C1946" s="109"/>
      <c r="D1946" s="76"/>
      <c r="E1946" s="64"/>
      <c r="F1946" s="39"/>
      <c r="G1946" s="399">
        <f>IFERROR(VLOOKUP(A1946,醫療院所DATABASE!A:B,2,""),)</f>
        <v>0</v>
      </c>
      <c r="H1946" s="64"/>
      <c r="I1946" s="109"/>
      <c r="J1946" s="109"/>
      <c r="K1946" s="39"/>
      <c r="L1946" s="76"/>
      <c r="M1946" s="39"/>
      <c r="N1946" s="39"/>
      <c r="O1946" s="24"/>
      <c r="P1946" s="409"/>
      <c r="Q1946" s="76"/>
      <c r="R1946" s="76"/>
      <c r="S1946" s="24"/>
      <c r="T1946" s="24"/>
      <c r="U1946" s="64"/>
      <c r="V1946" s="56"/>
      <c r="W1946" s="56"/>
      <c r="X1946" s="56"/>
      <c r="Y1946" s="56"/>
      <c r="Z1946" s="56"/>
      <c r="AA1946" s="56"/>
      <c r="AB1946" s="56"/>
      <c r="AC1946" s="56"/>
    </row>
    <row r="1947" spans="1:29" ht="15.75" customHeight="1">
      <c r="A1947" s="39"/>
      <c r="B1947" s="107"/>
      <c r="C1947" s="109"/>
      <c r="D1947" s="76"/>
      <c r="E1947" s="64"/>
      <c r="F1947" s="39"/>
      <c r="G1947" s="399">
        <f>IFERROR(VLOOKUP(A1947,醫療院所DATABASE!A:B,2,""),)</f>
        <v>0</v>
      </c>
      <c r="H1947" s="64"/>
      <c r="I1947" s="109"/>
      <c r="J1947" s="109"/>
      <c r="K1947" s="39"/>
      <c r="L1947" s="76"/>
      <c r="M1947" s="39"/>
      <c r="N1947" s="39"/>
      <c r="O1947" s="24"/>
      <c r="P1947" s="409"/>
      <c r="Q1947" s="76"/>
      <c r="R1947" s="76"/>
      <c r="S1947" s="24"/>
      <c r="T1947" s="24"/>
      <c r="U1947" s="64"/>
      <c r="V1947" s="56"/>
      <c r="W1947" s="56"/>
      <c r="X1947" s="56"/>
      <c r="Y1947" s="56"/>
      <c r="Z1947" s="56"/>
      <c r="AA1947" s="56"/>
      <c r="AB1947" s="56"/>
      <c r="AC1947" s="56"/>
    </row>
    <row r="1948" spans="1:29" ht="15.75" customHeight="1">
      <c r="A1948" s="39"/>
      <c r="B1948" s="107"/>
      <c r="C1948" s="109"/>
      <c r="D1948" s="76"/>
      <c r="E1948" s="64"/>
      <c r="F1948" s="39"/>
      <c r="G1948" s="399">
        <f>IFERROR(VLOOKUP(A1948,醫療院所DATABASE!A:B,2,""),)</f>
        <v>0</v>
      </c>
      <c r="H1948" s="64"/>
      <c r="I1948" s="109"/>
      <c r="J1948" s="109"/>
      <c r="K1948" s="39"/>
      <c r="L1948" s="76"/>
      <c r="M1948" s="39"/>
      <c r="N1948" s="39"/>
      <c r="O1948" s="24"/>
      <c r="P1948" s="409"/>
      <c r="Q1948" s="76"/>
      <c r="R1948" s="76"/>
      <c r="S1948" s="24"/>
      <c r="T1948" s="24"/>
      <c r="U1948" s="64"/>
      <c r="V1948" s="56"/>
      <c r="W1948" s="56"/>
      <c r="X1948" s="56"/>
      <c r="Y1948" s="56"/>
      <c r="Z1948" s="56"/>
      <c r="AA1948" s="56"/>
      <c r="AB1948" s="56"/>
      <c r="AC1948" s="56"/>
    </row>
    <row r="1949" spans="1:29" ht="15.75" customHeight="1">
      <c r="A1949" s="39"/>
      <c r="B1949" s="107"/>
      <c r="C1949" s="109"/>
      <c r="D1949" s="76"/>
      <c r="E1949" s="64"/>
      <c r="F1949" s="39"/>
      <c r="G1949" s="399">
        <f>IFERROR(VLOOKUP(A1949,醫療院所DATABASE!A:B,2,""),)</f>
        <v>0</v>
      </c>
      <c r="H1949" s="64"/>
      <c r="I1949" s="109"/>
      <c r="J1949" s="109"/>
      <c r="K1949" s="39"/>
      <c r="L1949" s="76"/>
      <c r="M1949" s="39"/>
      <c r="N1949" s="39"/>
      <c r="O1949" s="24"/>
      <c r="P1949" s="409"/>
      <c r="Q1949" s="76"/>
      <c r="R1949" s="76"/>
      <c r="S1949" s="24"/>
      <c r="T1949" s="24"/>
      <c r="U1949" s="64"/>
      <c r="V1949" s="56"/>
      <c r="W1949" s="56"/>
      <c r="X1949" s="56"/>
      <c r="Y1949" s="56"/>
      <c r="Z1949" s="56"/>
      <c r="AA1949" s="56"/>
      <c r="AB1949" s="56"/>
      <c r="AC1949" s="56"/>
    </row>
    <row r="1950" spans="1:29" ht="15.75" customHeight="1">
      <c r="A1950" s="39"/>
      <c r="B1950" s="107"/>
      <c r="C1950" s="109"/>
      <c r="D1950" s="76"/>
      <c r="E1950" s="64"/>
      <c r="F1950" s="39"/>
      <c r="G1950" s="399">
        <f>IFERROR(VLOOKUP(A1950,醫療院所DATABASE!A:B,2,""),)</f>
        <v>0</v>
      </c>
      <c r="H1950" s="64"/>
      <c r="I1950" s="109"/>
      <c r="J1950" s="109"/>
      <c r="K1950" s="39"/>
      <c r="L1950" s="76"/>
      <c r="M1950" s="39"/>
      <c r="N1950" s="39"/>
      <c r="O1950" s="24"/>
      <c r="P1950" s="409"/>
      <c r="Q1950" s="76"/>
      <c r="R1950" s="76"/>
      <c r="S1950" s="24"/>
      <c r="T1950" s="24"/>
      <c r="U1950" s="64"/>
      <c r="V1950" s="56"/>
      <c r="W1950" s="56"/>
      <c r="X1950" s="56"/>
      <c r="Y1950" s="56"/>
      <c r="Z1950" s="56"/>
      <c r="AA1950" s="56"/>
      <c r="AB1950" s="56"/>
      <c r="AC1950" s="56"/>
    </row>
    <row r="1951" spans="1:29" ht="15.75" customHeight="1">
      <c r="A1951" s="39"/>
      <c r="B1951" s="107"/>
      <c r="C1951" s="109"/>
      <c r="D1951" s="76"/>
      <c r="E1951" s="64"/>
      <c r="F1951" s="39"/>
      <c r="G1951" s="399">
        <f>IFERROR(VLOOKUP(A1951,醫療院所DATABASE!A:B,2,""),)</f>
        <v>0</v>
      </c>
      <c r="H1951" s="64"/>
      <c r="I1951" s="109"/>
      <c r="J1951" s="109"/>
      <c r="K1951" s="39"/>
      <c r="L1951" s="76"/>
      <c r="M1951" s="39"/>
      <c r="N1951" s="39"/>
      <c r="O1951" s="24"/>
      <c r="P1951" s="409"/>
      <c r="Q1951" s="76"/>
      <c r="R1951" s="76"/>
      <c r="S1951" s="24"/>
      <c r="T1951" s="24"/>
      <c r="U1951" s="64"/>
      <c r="V1951" s="56"/>
      <c r="W1951" s="56"/>
      <c r="X1951" s="56"/>
      <c r="Y1951" s="56"/>
      <c r="Z1951" s="56"/>
      <c r="AA1951" s="56"/>
      <c r="AB1951" s="56"/>
      <c r="AC1951" s="56"/>
    </row>
    <row r="1952" spans="1:29" ht="15.75" customHeight="1">
      <c r="A1952" s="39"/>
      <c r="B1952" s="107"/>
      <c r="C1952" s="109"/>
      <c r="D1952" s="76"/>
      <c r="E1952" s="64"/>
      <c r="F1952" s="39"/>
      <c r="G1952" s="399">
        <f>IFERROR(VLOOKUP(A1952,醫療院所DATABASE!A:B,2,""),)</f>
        <v>0</v>
      </c>
      <c r="H1952" s="64"/>
      <c r="I1952" s="109"/>
      <c r="J1952" s="109"/>
      <c r="K1952" s="39"/>
      <c r="L1952" s="76"/>
      <c r="M1952" s="39"/>
      <c r="N1952" s="39"/>
      <c r="O1952" s="24"/>
      <c r="P1952" s="409"/>
      <c r="Q1952" s="76"/>
      <c r="R1952" s="76"/>
      <c r="S1952" s="24"/>
      <c r="T1952" s="24"/>
      <c r="U1952" s="64"/>
      <c r="V1952" s="56"/>
      <c r="W1952" s="56"/>
      <c r="X1952" s="56"/>
      <c r="Y1952" s="56"/>
      <c r="Z1952" s="56"/>
      <c r="AA1952" s="56"/>
      <c r="AB1952" s="56"/>
      <c r="AC1952" s="56"/>
    </row>
    <row r="1953" spans="1:29" ht="15.75" customHeight="1">
      <c r="A1953" s="39"/>
      <c r="B1953" s="107"/>
      <c r="C1953" s="109"/>
      <c r="D1953" s="76"/>
      <c r="E1953" s="64"/>
      <c r="F1953" s="39"/>
      <c r="G1953" s="399">
        <f>IFERROR(VLOOKUP(A1953,醫療院所DATABASE!A:B,2,""),)</f>
        <v>0</v>
      </c>
      <c r="H1953" s="64"/>
      <c r="I1953" s="109"/>
      <c r="J1953" s="109"/>
      <c r="K1953" s="39"/>
      <c r="L1953" s="76"/>
      <c r="M1953" s="39"/>
      <c r="N1953" s="39"/>
      <c r="O1953" s="24"/>
      <c r="P1953" s="409"/>
      <c r="Q1953" s="76"/>
      <c r="R1953" s="76"/>
      <c r="S1953" s="24"/>
      <c r="T1953" s="24"/>
      <c r="U1953" s="64"/>
      <c r="V1953" s="56"/>
      <c r="W1953" s="56"/>
      <c r="X1953" s="56"/>
      <c r="Y1953" s="56"/>
      <c r="Z1953" s="56"/>
      <c r="AA1953" s="56"/>
      <c r="AB1953" s="56"/>
      <c r="AC1953" s="56"/>
    </row>
    <row r="1954" spans="1:29" ht="15.75" customHeight="1">
      <c r="A1954" s="39"/>
      <c r="B1954" s="107"/>
      <c r="C1954" s="109"/>
      <c r="D1954" s="76"/>
      <c r="E1954" s="64"/>
      <c r="F1954" s="39"/>
      <c r="G1954" s="399">
        <f>IFERROR(VLOOKUP(A1954,醫療院所DATABASE!A:B,2,""),)</f>
        <v>0</v>
      </c>
      <c r="H1954" s="64"/>
      <c r="I1954" s="109"/>
      <c r="J1954" s="109"/>
      <c r="K1954" s="39"/>
      <c r="L1954" s="76"/>
      <c r="M1954" s="39"/>
      <c r="N1954" s="39"/>
      <c r="O1954" s="24"/>
      <c r="P1954" s="409"/>
      <c r="Q1954" s="76"/>
      <c r="R1954" s="76"/>
      <c r="S1954" s="24"/>
      <c r="T1954" s="24"/>
      <c r="U1954" s="64"/>
      <c r="V1954" s="56"/>
      <c r="W1954" s="56"/>
      <c r="X1954" s="56"/>
      <c r="Y1954" s="56"/>
      <c r="Z1954" s="56"/>
      <c r="AA1954" s="56"/>
      <c r="AB1954" s="56"/>
      <c r="AC1954" s="56"/>
    </row>
    <row r="1955" spans="1:29" ht="15.75" customHeight="1">
      <c r="A1955" s="39"/>
      <c r="B1955" s="107"/>
      <c r="C1955" s="109"/>
      <c r="D1955" s="76"/>
      <c r="E1955" s="64"/>
      <c r="F1955" s="39"/>
      <c r="G1955" s="399">
        <f>IFERROR(VLOOKUP(A1955,醫療院所DATABASE!A:B,2,""),)</f>
        <v>0</v>
      </c>
      <c r="H1955" s="64"/>
      <c r="I1955" s="109"/>
      <c r="J1955" s="109"/>
      <c r="K1955" s="39"/>
      <c r="L1955" s="76"/>
      <c r="M1955" s="39"/>
      <c r="N1955" s="39"/>
      <c r="O1955" s="24"/>
      <c r="P1955" s="409"/>
      <c r="Q1955" s="76"/>
      <c r="R1955" s="76"/>
      <c r="S1955" s="24"/>
      <c r="T1955" s="24"/>
      <c r="U1955" s="64"/>
      <c r="V1955" s="56"/>
      <c r="W1955" s="56"/>
      <c r="X1955" s="56"/>
      <c r="Y1955" s="56"/>
      <c r="Z1955" s="56"/>
      <c r="AA1955" s="56"/>
      <c r="AB1955" s="56"/>
      <c r="AC1955" s="56"/>
    </row>
    <row r="1956" spans="1:29" ht="15.75" customHeight="1">
      <c r="A1956" s="39"/>
      <c r="B1956" s="107"/>
      <c r="C1956" s="109"/>
      <c r="D1956" s="76"/>
      <c r="E1956" s="64"/>
      <c r="F1956" s="39"/>
      <c r="G1956" s="399">
        <f>IFERROR(VLOOKUP(A1956,醫療院所DATABASE!A:B,2,""),)</f>
        <v>0</v>
      </c>
      <c r="H1956" s="64"/>
      <c r="I1956" s="109"/>
      <c r="J1956" s="109"/>
      <c r="K1956" s="39"/>
      <c r="L1956" s="76"/>
      <c r="M1956" s="39"/>
      <c r="N1956" s="39"/>
      <c r="O1956" s="24"/>
      <c r="P1956" s="409"/>
      <c r="Q1956" s="76"/>
      <c r="R1956" s="76"/>
      <c r="S1956" s="24"/>
      <c r="T1956" s="24"/>
      <c r="U1956" s="64"/>
      <c r="V1956" s="56"/>
      <c r="W1956" s="56"/>
      <c r="X1956" s="56"/>
      <c r="Y1956" s="56"/>
      <c r="Z1956" s="56"/>
      <c r="AA1956" s="56"/>
      <c r="AB1956" s="56"/>
      <c r="AC1956" s="56"/>
    </row>
    <row r="1957" spans="1:29" ht="15.75" customHeight="1">
      <c r="A1957" s="39"/>
      <c r="B1957" s="107"/>
      <c r="C1957" s="109"/>
      <c r="D1957" s="76"/>
      <c r="E1957" s="64"/>
      <c r="F1957" s="39"/>
      <c r="G1957" s="399">
        <f>IFERROR(VLOOKUP(A1957,醫療院所DATABASE!A:B,2,""),)</f>
        <v>0</v>
      </c>
      <c r="H1957" s="64"/>
      <c r="I1957" s="109"/>
      <c r="J1957" s="109"/>
      <c r="K1957" s="39"/>
      <c r="L1957" s="76"/>
      <c r="M1957" s="39"/>
      <c r="N1957" s="39"/>
      <c r="O1957" s="24"/>
      <c r="P1957" s="409"/>
      <c r="Q1957" s="76"/>
      <c r="R1957" s="76"/>
      <c r="S1957" s="24"/>
      <c r="T1957" s="24"/>
      <c r="U1957" s="64"/>
      <c r="V1957" s="56"/>
      <c r="W1957" s="56"/>
      <c r="X1957" s="56"/>
      <c r="Y1957" s="56"/>
      <c r="Z1957" s="56"/>
      <c r="AA1957" s="56"/>
      <c r="AB1957" s="56"/>
      <c r="AC1957" s="56"/>
    </row>
    <row r="1958" spans="1:29" ht="15.75" customHeight="1">
      <c r="A1958" s="39"/>
      <c r="B1958" s="107"/>
      <c r="C1958" s="109"/>
      <c r="D1958" s="76"/>
      <c r="E1958" s="64"/>
      <c r="F1958" s="39"/>
      <c r="G1958" s="399">
        <f>IFERROR(VLOOKUP(A1958,醫療院所DATABASE!A:B,2,""),)</f>
        <v>0</v>
      </c>
      <c r="H1958" s="64"/>
      <c r="I1958" s="109"/>
      <c r="J1958" s="109"/>
      <c r="K1958" s="39"/>
      <c r="L1958" s="76"/>
      <c r="M1958" s="39"/>
      <c r="N1958" s="39"/>
      <c r="O1958" s="24"/>
      <c r="P1958" s="409"/>
      <c r="Q1958" s="76"/>
      <c r="R1958" s="76"/>
      <c r="S1958" s="24"/>
      <c r="T1958" s="24"/>
      <c r="U1958" s="64"/>
      <c r="V1958" s="56"/>
      <c r="W1958" s="56"/>
      <c r="X1958" s="56"/>
      <c r="Y1958" s="56"/>
      <c r="Z1958" s="56"/>
      <c r="AA1958" s="56"/>
      <c r="AB1958" s="56"/>
      <c r="AC1958" s="56"/>
    </row>
    <row r="1959" spans="1:29" ht="15.75" customHeight="1">
      <c r="A1959" s="39"/>
      <c r="B1959" s="107"/>
      <c r="C1959" s="109"/>
      <c r="D1959" s="76"/>
      <c r="E1959" s="64"/>
      <c r="F1959" s="39"/>
      <c r="G1959" s="399">
        <f>IFERROR(VLOOKUP(A1959,醫療院所DATABASE!A:B,2,""),)</f>
        <v>0</v>
      </c>
      <c r="H1959" s="64"/>
      <c r="I1959" s="109"/>
      <c r="J1959" s="109"/>
      <c r="K1959" s="39"/>
      <c r="L1959" s="76"/>
      <c r="M1959" s="39"/>
      <c r="N1959" s="39"/>
      <c r="O1959" s="24"/>
      <c r="P1959" s="409"/>
      <c r="Q1959" s="76"/>
      <c r="R1959" s="76"/>
      <c r="S1959" s="24"/>
      <c r="T1959" s="24"/>
      <c r="U1959" s="64"/>
      <c r="V1959" s="56"/>
      <c r="W1959" s="56"/>
      <c r="X1959" s="56"/>
      <c r="Y1959" s="56"/>
      <c r="Z1959" s="56"/>
      <c r="AA1959" s="56"/>
      <c r="AB1959" s="56"/>
      <c r="AC1959" s="56"/>
    </row>
    <row r="1960" spans="1:29" ht="15.75" customHeight="1">
      <c r="A1960" s="39"/>
      <c r="B1960" s="107"/>
      <c r="C1960" s="109"/>
      <c r="D1960" s="76"/>
      <c r="E1960" s="64"/>
      <c r="F1960" s="39"/>
      <c r="G1960" s="399">
        <f>IFERROR(VLOOKUP(A1960,醫療院所DATABASE!A:B,2,""),)</f>
        <v>0</v>
      </c>
      <c r="H1960" s="64"/>
      <c r="I1960" s="109"/>
      <c r="J1960" s="109"/>
      <c r="K1960" s="39"/>
      <c r="L1960" s="76"/>
      <c r="M1960" s="39"/>
      <c r="N1960" s="39"/>
      <c r="O1960" s="24"/>
      <c r="P1960" s="409"/>
      <c r="Q1960" s="76"/>
      <c r="R1960" s="76"/>
      <c r="S1960" s="24"/>
      <c r="T1960" s="24"/>
      <c r="U1960" s="64"/>
      <c r="V1960" s="56"/>
      <c r="W1960" s="56"/>
      <c r="X1960" s="56"/>
      <c r="Y1960" s="56"/>
      <c r="Z1960" s="56"/>
      <c r="AA1960" s="56"/>
      <c r="AB1960" s="56"/>
      <c r="AC1960" s="56"/>
    </row>
    <row r="1961" spans="1:29" ht="15.75" customHeight="1">
      <c r="A1961" s="39"/>
      <c r="B1961" s="107"/>
      <c r="C1961" s="109"/>
      <c r="D1961" s="76"/>
      <c r="E1961" s="64"/>
      <c r="F1961" s="39"/>
      <c r="G1961" s="399">
        <f>IFERROR(VLOOKUP(A1961,醫療院所DATABASE!A:B,2,""),)</f>
        <v>0</v>
      </c>
      <c r="H1961" s="64"/>
      <c r="I1961" s="109"/>
      <c r="J1961" s="109"/>
      <c r="K1961" s="39"/>
      <c r="L1961" s="76"/>
      <c r="M1961" s="39"/>
      <c r="N1961" s="39"/>
      <c r="O1961" s="24"/>
      <c r="P1961" s="409"/>
      <c r="Q1961" s="76"/>
      <c r="R1961" s="76"/>
      <c r="S1961" s="24"/>
      <c r="T1961" s="24"/>
      <c r="U1961" s="64"/>
      <c r="V1961" s="56"/>
      <c r="W1961" s="56"/>
      <c r="X1961" s="56"/>
      <c r="Y1961" s="56"/>
      <c r="Z1961" s="56"/>
      <c r="AA1961" s="56"/>
      <c r="AB1961" s="56"/>
      <c r="AC1961" s="56"/>
    </row>
    <row r="1962" spans="1:29" ht="15.75" customHeight="1">
      <c r="A1962" s="39"/>
      <c r="B1962" s="107"/>
      <c r="C1962" s="109"/>
      <c r="D1962" s="76"/>
      <c r="E1962" s="64"/>
      <c r="F1962" s="39"/>
      <c r="G1962" s="399">
        <f>IFERROR(VLOOKUP(A1962,醫療院所DATABASE!A:B,2,""),)</f>
        <v>0</v>
      </c>
      <c r="H1962" s="64"/>
      <c r="I1962" s="109"/>
      <c r="J1962" s="109"/>
      <c r="K1962" s="39"/>
      <c r="L1962" s="76"/>
      <c r="M1962" s="39"/>
      <c r="N1962" s="39"/>
      <c r="O1962" s="24"/>
      <c r="P1962" s="409"/>
      <c r="Q1962" s="76"/>
      <c r="R1962" s="76"/>
      <c r="S1962" s="24"/>
      <c r="T1962" s="24"/>
      <c r="U1962" s="64"/>
      <c r="V1962" s="56"/>
      <c r="W1962" s="56"/>
      <c r="X1962" s="56"/>
      <c r="Y1962" s="56"/>
      <c r="Z1962" s="56"/>
      <c r="AA1962" s="56"/>
      <c r="AB1962" s="56"/>
      <c r="AC1962" s="56"/>
    </row>
    <row r="1963" spans="1:29" ht="15.75" customHeight="1">
      <c r="A1963" s="39"/>
      <c r="B1963" s="107"/>
      <c r="C1963" s="109"/>
      <c r="D1963" s="76"/>
      <c r="E1963" s="64"/>
      <c r="F1963" s="39"/>
      <c r="G1963" s="399">
        <f>IFERROR(VLOOKUP(A1963,醫療院所DATABASE!A:B,2,""),)</f>
        <v>0</v>
      </c>
      <c r="H1963" s="64"/>
      <c r="I1963" s="109"/>
      <c r="J1963" s="109"/>
      <c r="K1963" s="39"/>
      <c r="L1963" s="76"/>
      <c r="M1963" s="39"/>
      <c r="N1963" s="39"/>
      <c r="O1963" s="24"/>
      <c r="P1963" s="409"/>
      <c r="Q1963" s="76"/>
      <c r="R1963" s="76"/>
      <c r="S1963" s="24"/>
      <c r="T1963" s="24"/>
      <c r="U1963" s="64"/>
      <c r="V1963" s="56"/>
      <c r="W1963" s="56"/>
      <c r="X1963" s="56"/>
      <c r="Y1963" s="56"/>
      <c r="Z1963" s="56"/>
      <c r="AA1963" s="56"/>
      <c r="AB1963" s="56"/>
      <c r="AC1963" s="56"/>
    </row>
    <row r="1964" spans="1:29" ht="15.75" customHeight="1">
      <c r="A1964" s="39"/>
      <c r="B1964" s="107"/>
      <c r="C1964" s="109"/>
      <c r="D1964" s="76"/>
      <c r="E1964" s="64"/>
      <c r="F1964" s="39"/>
      <c r="G1964" s="399">
        <f>IFERROR(VLOOKUP(A1964,醫療院所DATABASE!A:B,2,""),)</f>
        <v>0</v>
      </c>
      <c r="H1964" s="64"/>
      <c r="I1964" s="109"/>
      <c r="J1964" s="109"/>
      <c r="K1964" s="39"/>
      <c r="L1964" s="76"/>
      <c r="M1964" s="39"/>
      <c r="N1964" s="39"/>
      <c r="O1964" s="24"/>
      <c r="P1964" s="409"/>
      <c r="Q1964" s="76"/>
      <c r="R1964" s="76"/>
      <c r="S1964" s="24"/>
      <c r="T1964" s="24"/>
      <c r="U1964" s="64"/>
      <c r="V1964" s="56"/>
      <c r="W1964" s="56"/>
      <c r="X1964" s="56"/>
      <c r="Y1964" s="56"/>
      <c r="Z1964" s="56"/>
      <c r="AA1964" s="56"/>
      <c r="AB1964" s="56"/>
      <c r="AC1964" s="56"/>
    </row>
    <row r="1965" spans="1:29" ht="15.75" customHeight="1">
      <c r="A1965" s="39"/>
      <c r="B1965" s="107"/>
      <c r="C1965" s="109"/>
      <c r="D1965" s="76"/>
      <c r="E1965" s="64"/>
      <c r="F1965" s="39"/>
      <c r="G1965" s="399">
        <f>IFERROR(VLOOKUP(A1965,醫療院所DATABASE!A:B,2,""),)</f>
        <v>0</v>
      </c>
      <c r="H1965" s="64"/>
      <c r="I1965" s="109"/>
      <c r="J1965" s="109"/>
      <c r="K1965" s="39"/>
      <c r="L1965" s="76"/>
      <c r="M1965" s="39"/>
      <c r="N1965" s="39"/>
      <c r="O1965" s="24"/>
      <c r="P1965" s="409"/>
      <c r="Q1965" s="76"/>
      <c r="R1965" s="76"/>
      <c r="S1965" s="24"/>
      <c r="T1965" s="24"/>
      <c r="U1965" s="64"/>
      <c r="V1965" s="56"/>
      <c r="W1965" s="56"/>
      <c r="X1965" s="56"/>
      <c r="Y1965" s="56"/>
      <c r="Z1965" s="56"/>
      <c r="AA1965" s="56"/>
      <c r="AB1965" s="56"/>
      <c r="AC1965" s="56"/>
    </row>
    <row r="1966" spans="1:29" ht="15.75" customHeight="1">
      <c r="A1966" s="39"/>
      <c r="B1966" s="107"/>
      <c r="C1966" s="109"/>
      <c r="D1966" s="76"/>
      <c r="E1966" s="64"/>
      <c r="F1966" s="39"/>
      <c r="G1966" s="399">
        <f>IFERROR(VLOOKUP(A1966,醫療院所DATABASE!A:B,2,""),)</f>
        <v>0</v>
      </c>
      <c r="H1966" s="64"/>
      <c r="I1966" s="109"/>
      <c r="J1966" s="109"/>
      <c r="K1966" s="39"/>
      <c r="L1966" s="76"/>
      <c r="M1966" s="39"/>
      <c r="N1966" s="39"/>
      <c r="O1966" s="24"/>
      <c r="P1966" s="409"/>
      <c r="Q1966" s="76"/>
      <c r="R1966" s="76"/>
      <c r="S1966" s="24"/>
      <c r="T1966" s="24"/>
      <c r="U1966" s="64"/>
      <c r="V1966" s="56"/>
      <c r="W1966" s="56"/>
      <c r="X1966" s="56"/>
      <c r="Y1966" s="56"/>
      <c r="Z1966" s="56"/>
      <c r="AA1966" s="56"/>
      <c r="AB1966" s="56"/>
      <c r="AC1966" s="56"/>
    </row>
    <row r="1967" spans="1:29" ht="15.75" customHeight="1">
      <c r="A1967" s="39"/>
      <c r="B1967" s="107"/>
      <c r="C1967" s="109"/>
      <c r="D1967" s="76"/>
      <c r="E1967" s="64"/>
      <c r="F1967" s="39"/>
      <c r="G1967" s="399">
        <f>IFERROR(VLOOKUP(A1967,醫療院所DATABASE!A:B,2,""),)</f>
        <v>0</v>
      </c>
      <c r="H1967" s="64"/>
      <c r="I1967" s="109"/>
      <c r="J1967" s="109"/>
      <c r="K1967" s="39"/>
      <c r="L1967" s="76"/>
      <c r="M1967" s="39"/>
      <c r="N1967" s="39"/>
      <c r="O1967" s="24"/>
      <c r="P1967" s="409"/>
      <c r="Q1967" s="76"/>
      <c r="R1967" s="76"/>
      <c r="S1967" s="24"/>
      <c r="T1967" s="24"/>
      <c r="U1967" s="64"/>
      <c r="V1967" s="56"/>
      <c r="W1967" s="56"/>
      <c r="X1967" s="56"/>
      <c r="Y1967" s="56"/>
      <c r="Z1967" s="56"/>
      <c r="AA1967" s="56"/>
      <c r="AB1967" s="56"/>
      <c r="AC1967" s="56"/>
    </row>
    <row r="1968" spans="1:29" ht="15.75" customHeight="1">
      <c r="A1968" s="39"/>
      <c r="B1968" s="107"/>
      <c r="C1968" s="109"/>
      <c r="D1968" s="76"/>
      <c r="E1968" s="64"/>
      <c r="F1968" s="39"/>
      <c r="G1968" s="399">
        <f>IFERROR(VLOOKUP(A1968,醫療院所DATABASE!A:B,2,""),)</f>
        <v>0</v>
      </c>
      <c r="H1968" s="64"/>
      <c r="I1968" s="109"/>
      <c r="J1968" s="109"/>
      <c r="K1968" s="39"/>
      <c r="L1968" s="76"/>
      <c r="M1968" s="39"/>
      <c r="N1968" s="39"/>
      <c r="O1968" s="24"/>
      <c r="P1968" s="409"/>
      <c r="Q1968" s="76"/>
      <c r="R1968" s="76"/>
      <c r="S1968" s="24"/>
      <c r="T1968" s="24"/>
      <c r="U1968" s="64"/>
      <c r="V1968" s="56"/>
      <c r="W1968" s="56"/>
      <c r="X1968" s="56"/>
      <c r="Y1968" s="56"/>
      <c r="Z1968" s="56"/>
      <c r="AA1968" s="56"/>
      <c r="AB1968" s="56"/>
      <c r="AC1968" s="56"/>
    </row>
    <row r="1969" spans="1:29" ht="15.75" customHeight="1">
      <c r="A1969" s="39"/>
      <c r="B1969" s="107"/>
      <c r="C1969" s="109"/>
      <c r="D1969" s="76"/>
      <c r="E1969" s="64"/>
      <c r="F1969" s="39"/>
      <c r="G1969" s="399">
        <f>IFERROR(VLOOKUP(A1969,醫療院所DATABASE!A:B,2,""),)</f>
        <v>0</v>
      </c>
      <c r="H1969" s="64"/>
      <c r="I1969" s="109"/>
      <c r="J1969" s="109"/>
      <c r="K1969" s="39"/>
      <c r="L1969" s="76"/>
      <c r="M1969" s="39"/>
      <c r="N1969" s="39"/>
      <c r="O1969" s="24"/>
      <c r="P1969" s="409"/>
      <c r="Q1969" s="76"/>
      <c r="R1969" s="76"/>
      <c r="S1969" s="24"/>
      <c r="T1969" s="24"/>
      <c r="U1969" s="64"/>
      <c r="V1969" s="56"/>
      <c r="W1969" s="56"/>
      <c r="X1969" s="56"/>
      <c r="Y1969" s="56"/>
      <c r="Z1969" s="56"/>
      <c r="AA1969" s="56"/>
      <c r="AB1969" s="56"/>
      <c r="AC1969" s="56"/>
    </row>
    <row r="1970" spans="1:29" ht="15.75" customHeight="1">
      <c r="A1970" s="39"/>
      <c r="B1970" s="107"/>
      <c r="C1970" s="109"/>
      <c r="D1970" s="76"/>
      <c r="E1970" s="64"/>
      <c r="F1970" s="39"/>
      <c r="G1970" s="399">
        <f>IFERROR(VLOOKUP(A1970,醫療院所DATABASE!A:B,2,""),)</f>
        <v>0</v>
      </c>
      <c r="H1970" s="64"/>
      <c r="I1970" s="109"/>
      <c r="J1970" s="109"/>
      <c r="K1970" s="39"/>
      <c r="L1970" s="76"/>
      <c r="M1970" s="39"/>
      <c r="N1970" s="39"/>
      <c r="O1970" s="24"/>
      <c r="P1970" s="409"/>
      <c r="Q1970" s="76"/>
      <c r="R1970" s="76"/>
      <c r="S1970" s="24"/>
      <c r="T1970" s="24"/>
      <c r="U1970" s="64"/>
      <c r="V1970" s="56"/>
      <c r="W1970" s="56"/>
      <c r="X1970" s="56"/>
      <c r="Y1970" s="56"/>
      <c r="Z1970" s="56"/>
      <c r="AA1970" s="56"/>
      <c r="AB1970" s="56"/>
      <c r="AC1970" s="56"/>
    </row>
    <row r="1971" spans="1:29" ht="15.75" customHeight="1">
      <c r="A1971" s="39"/>
      <c r="B1971" s="107"/>
      <c r="C1971" s="109"/>
      <c r="D1971" s="76"/>
      <c r="E1971" s="64"/>
      <c r="F1971" s="39"/>
      <c r="G1971" s="399">
        <f>IFERROR(VLOOKUP(A1971,醫療院所DATABASE!A:B,2,""),)</f>
        <v>0</v>
      </c>
      <c r="H1971" s="64"/>
      <c r="I1971" s="109"/>
      <c r="J1971" s="109"/>
      <c r="K1971" s="39"/>
      <c r="L1971" s="76"/>
      <c r="M1971" s="39"/>
      <c r="N1971" s="39"/>
      <c r="O1971" s="24"/>
      <c r="P1971" s="409"/>
      <c r="Q1971" s="76"/>
      <c r="R1971" s="76"/>
      <c r="S1971" s="24"/>
      <c r="T1971" s="24"/>
      <c r="U1971" s="64"/>
      <c r="V1971" s="56"/>
      <c r="W1971" s="56"/>
      <c r="X1971" s="56"/>
      <c r="Y1971" s="56"/>
      <c r="Z1971" s="56"/>
      <c r="AA1971" s="56"/>
      <c r="AB1971" s="56"/>
      <c r="AC1971" s="56"/>
    </row>
    <row r="1972" spans="1:29" ht="15.75" customHeight="1">
      <c r="A1972" s="39"/>
      <c r="B1972" s="107"/>
      <c r="C1972" s="109"/>
      <c r="D1972" s="76"/>
      <c r="E1972" s="64"/>
      <c r="F1972" s="39"/>
      <c r="G1972" s="399">
        <f>IFERROR(VLOOKUP(A1972,醫療院所DATABASE!A:B,2,""),)</f>
        <v>0</v>
      </c>
      <c r="H1972" s="64"/>
      <c r="I1972" s="109"/>
      <c r="J1972" s="109"/>
      <c r="K1972" s="39"/>
      <c r="L1972" s="76"/>
      <c r="M1972" s="39"/>
      <c r="N1972" s="39"/>
      <c r="O1972" s="24"/>
      <c r="P1972" s="409"/>
      <c r="Q1972" s="76"/>
      <c r="R1972" s="76"/>
      <c r="S1972" s="24"/>
      <c r="T1972" s="24"/>
      <c r="U1972" s="64"/>
      <c r="V1972" s="56"/>
      <c r="W1972" s="56"/>
      <c r="X1972" s="56"/>
      <c r="Y1972" s="56"/>
      <c r="Z1972" s="56"/>
      <c r="AA1972" s="56"/>
      <c r="AB1972" s="56"/>
      <c r="AC1972" s="56"/>
    </row>
    <row r="1973" spans="1:29" ht="15.75" customHeight="1">
      <c r="A1973" s="39"/>
      <c r="B1973" s="107"/>
      <c r="C1973" s="109"/>
      <c r="D1973" s="76"/>
      <c r="E1973" s="64"/>
      <c r="F1973" s="39"/>
      <c r="G1973" s="399">
        <f>IFERROR(VLOOKUP(A1973,醫療院所DATABASE!A:B,2,""),)</f>
        <v>0</v>
      </c>
      <c r="H1973" s="64"/>
      <c r="I1973" s="109"/>
      <c r="J1973" s="109"/>
      <c r="K1973" s="39"/>
      <c r="L1973" s="76"/>
      <c r="M1973" s="39"/>
      <c r="N1973" s="39"/>
      <c r="O1973" s="24"/>
      <c r="P1973" s="409"/>
      <c r="Q1973" s="76"/>
      <c r="R1973" s="76"/>
      <c r="S1973" s="24"/>
      <c r="T1973" s="24"/>
      <c r="U1973" s="64"/>
      <c r="V1973" s="56"/>
      <c r="W1973" s="56"/>
      <c r="X1973" s="56"/>
      <c r="Y1973" s="56"/>
      <c r="Z1973" s="56"/>
      <c r="AA1973" s="56"/>
      <c r="AB1973" s="56"/>
      <c r="AC1973" s="56"/>
    </row>
    <row r="1974" spans="1:29" ht="15.75" customHeight="1">
      <c r="A1974" s="39"/>
      <c r="B1974" s="107"/>
      <c r="C1974" s="109"/>
      <c r="D1974" s="76"/>
      <c r="E1974" s="64"/>
      <c r="F1974" s="39"/>
      <c r="G1974" s="399">
        <f>IFERROR(VLOOKUP(A1974,醫療院所DATABASE!A:B,2,""),)</f>
        <v>0</v>
      </c>
      <c r="H1974" s="64"/>
      <c r="I1974" s="109"/>
      <c r="J1974" s="109"/>
      <c r="K1974" s="39"/>
      <c r="L1974" s="76"/>
      <c r="M1974" s="39"/>
      <c r="N1974" s="39"/>
      <c r="O1974" s="24"/>
      <c r="P1974" s="409"/>
      <c r="Q1974" s="76"/>
      <c r="R1974" s="76"/>
      <c r="S1974" s="24"/>
      <c r="T1974" s="24"/>
      <c r="U1974" s="64"/>
      <c r="V1974" s="56"/>
      <c r="W1974" s="56"/>
      <c r="X1974" s="56"/>
      <c r="Y1974" s="56"/>
      <c r="Z1974" s="56"/>
      <c r="AA1974" s="56"/>
      <c r="AB1974" s="56"/>
      <c r="AC1974" s="56"/>
    </row>
    <row r="1975" spans="1:29" ht="15.75" customHeight="1">
      <c r="A1975" s="39"/>
      <c r="B1975" s="107"/>
      <c r="C1975" s="109"/>
      <c r="D1975" s="76"/>
      <c r="E1975" s="64"/>
      <c r="F1975" s="39"/>
      <c r="G1975" s="399">
        <f>IFERROR(VLOOKUP(A1975,醫療院所DATABASE!A:B,2,""),)</f>
        <v>0</v>
      </c>
      <c r="H1975" s="64"/>
      <c r="I1975" s="109"/>
      <c r="J1975" s="109"/>
      <c r="K1975" s="39"/>
      <c r="L1975" s="76"/>
      <c r="M1975" s="39"/>
      <c r="N1975" s="39"/>
      <c r="O1975" s="24"/>
      <c r="P1975" s="409"/>
      <c r="Q1975" s="76"/>
      <c r="R1975" s="76"/>
      <c r="S1975" s="24"/>
      <c r="T1975" s="24"/>
      <c r="U1975" s="64"/>
      <c r="V1975" s="56"/>
      <c r="W1975" s="56"/>
      <c r="X1975" s="56"/>
      <c r="Y1975" s="56"/>
      <c r="Z1975" s="56"/>
      <c r="AA1975" s="56"/>
      <c r="AB1975" s="56"/>
      <c r="AC1975" s="56"/>
    </row>
    <row r="1976" spans="1:29" ht="15.75" customHeight="1">
      <c r="A1976" s="39"/>
      <c r="B1976" s="107"/>
      <c r="C1976" s="109"/>
      <c r="D1976" s="76"/>
      <c r="E1976" s="64"/>
      <c r="F1976" s="39"/>
      <c r="G1976" s="399">
        <f>IFERROR(VLOOKUP(A1976,醫療院所DATABASE!A:B,2,""),)</f>
        <v>0</v>
      </c>
      <c r="H1976" s="64"/>
      <c r="I1976" s="109"/>
      <c r="J1976" s="109"/>
      <c r="K1976" s="39"/>
      <c r="L1976" s="76"/>
      <c r="M1976" s="39"/>
      <c r="N1976" s="39"/>
      <c r="O1976" s="24"/>
      <c r="P1976" s="409"/>
      <c r="Q1976" s="76"/>
      <c r="R1976" s="76"/>
      <c r="S1976" s="24"/>
      <c r="T1976" s="24"/>
      <c r="U1976" s="64"/>
      <c r="V1976" s="56"/>
      <c r="W1976" s="56"/>
      <c r="X1976" s="56"/>
      <c r="Y1976" s="56"/>
      <c r="Z1976" s="56"/>
      <c r="AA1976" s="56"/>
      <c r="AB1976" s="56"/>
      <c r="AC1976" s="56"/>
    </row>
    <row r="1977" spans="1:29" ht="15.75" customHeight="1">
      <c r="A1977" s="39"/>
      <c r="B1977" s="107"/>
      <c r="C1977" s="109"/>
      <c r="D1977" s="76"/>
      <c r="E1977" s="64"/>
      <c r="F1977" s="39"/>
      <c r="G1977" s="399">
        <f>IFERROR(VLOOKUP(A1977,醫療院所DATABASE!A:B,2,""),)</f>
        <v>0</v>
      </c>
      <c r="H1977" s="64"/>
      <c r="I1977" s="109"/>
      <c r="J1977" s="109"/>
      <c r="K1977" s="39"/>
      <c r="L1977" s="76"/>
      <c r="M1977" s="39"/>
      <c r="N1977" s="39"/>
      <c r="O1977" s="24"/>
      <c r="P1977" s="409"/>
      <c r="Q1977" s="76"/>
      <c r="R1977" s="76"/>
      <c r="S1977" s="24"/>
      <c r="T1977" s="24"/>
      <c r="U1977" s="64"/>
      <c r="V1977" s="56"/>
      <c r="W1977" s="56"/>
      <c r="X1977" s="56"/>
      <c r="Y1977" s="56"/>
      <c r="Z1977" s="56"/>
      <c r="AA1977" s="56"/>
      <c r="AB1977" s="56"/>
      <c r="AC1977" s="56"/>
    </row>
    <row r="1978" spans="1:29" ht="15.75" customHeight="1">
      <c r="A1978" s="39"/>
      <c r="B1978" s="107"/>
      <c r="C1978" s="109"/>
      <c r="D1978" s="76"/>
      <c r="E1978" s="64"/>
      <c r="F1978" s="39"/>
      <c r="G1978" s="399">
        <f>IFERROR(VLOOKUP(A1978,醫療院所DATABASE!A:B,2,""),)</f>
        <v>0</v>
      </c>
      <c r="H1978" s="64"/>
      <c r="I1978" s="109"/>
      <c r="J1978" s="109"/>
      <c r="K1978" s="39"/>
      <c r="L1978" s="76"/>
      <c r="M1978" s="39"/>
      <c r="N1978" s="39"/>
      <c r="O1978" s="24"/>
      <c r="P1978" s="409"/>
      <c r="Q1978" s="76"/>
      <c r="R1978" s="76"/>
      <c r="S1978" s="24"/>
      <c r="T1978" s="24"/>
      <c r="U1978" s="64"/>
      <c r="V1978" s="56"/>
      <c r="W1978" s="56"/>
      <c r="X1978" s="56"/>
      <c r="Y1978" s="56"/>
      <c r="Z1978" s="56"/>
      <c r="AA1978" s="56"/>
      <c r="AB1978" s="56"/>
      <c r="AC1978" s="56"/>
    </row>
    <row r="1979" spans="1:29" ht="15.75" customHeight="1">
      <c r="A1979" s="39"/>
      <c r="B1979" s="107"/>
      <c r="C1979" s="109"/>
      <c r="D1979" s="76"/>
      <c r="E1979" s="64"/>
      <c r="F1979" s="39"/>
      <c r="G1979" s="399">
        <f>IFERROR(VLOOKUP(A1979,醫療院所DATABASE!A:B,2,""),)</f>
        <v>0</v>
      </c>
      <c r="H1979" s="64"/>
      <c r="I1979" s="109"/>
      <c r="J1979" s="109"/>
      <c r="K1979" s="39"/>
      <c r="L1979" s="76"/>
      <c r="M1979" s="39"/>
      <c r="N1979" s="39"/>
      <c r="O1979" s="24"/>
      <c r="P1979" s="409"/>
      <c r="Q1979" s="76"/>
      <c r="R1979" s="76"/>
      <c r="S1979" s="24"/>
      <c r="T1979" s="24"/>
      <c r="U1979" s="64"/>
      <c r="V1979" s="56"/>
      <c r="W1979" s="56"/>
      <c r="X1979" s="56"/>
      <c r="Y1979" s="56"/>
      <c r="Z1979" s="56"/>
      <c r="AA1979" s="56"/>
      <c r="AB1979" s="56"/>
      <c r="AC1979" s="56"/>
    </row>
    <row r="1980" spans="1:29" ht="15.75" customHeight="1">
      <c r="A1980" s="39"/>
      <c r="B1980" s="107"/>
      <c r="C1980" s="109"/>
      <c r="D1980" s="76"/>
      <c r="E1980" s="64"/>
      <c r="F1980" s="39"/>
      <c r="G1980" s="399">
        <f>IFERROR(VLOOKUP(A1980,醫療院所DATABASE!A:B,2,""),)</f>
        <v>0</v>
      </c>
      <c r="H1980" s="64"/>
      <c r="I1980" s="109"/>
      <c r="J1980" s="109"/>
      <c r="K1980" s="39"/>
      <c r="L1980" s="76"/>
      <c r="M1980" s="39"/>
      <c r="N1980" s="39"/>
      <c r="O1980" s="24"/>
      <c r="P1980" s="409"/>
      <c r="Q1980" s="76"/>
      <c r="R1980" s="76"/>
      <c r="S1980" s="24"/>
      <c r="T1980" s="24"/>
      <c r="U1980" s="64"/>
      <c r="V1980" s="56"/>
      <c r="W1980" s="56"/>
      <c r="X1980" s="56"/>
      <c r="Y1980" s="56"/>
      <c r="Z1980" s="56"/>
      <c r="AA1980" s="56"/>
      <c r="AB1980" s="56"/>
      <c r="AC1980" s="56"/>
    </row>
    <row r="1981" spans="1:29" ht="15.75" customHeight="1">
      <c r="A1981" s="39"/>
      <c r="B1981" s="107"/>
      <c r="C1981" s="109"/>
      <c r="D1981" s="76"/>
      <c r="E1981" s="64"/>
      <c r="F1981" s="39"/>
      <c r="G1981" s="399">
        <f>IFERROR(VLOOKUP(A1981,醫療院所DATABASE!A:B,2,""),)</f>
        <v>0</v>
      </c>
      <c r="H1981" s="64"/>
      <c r="I1981" s="109"/>
      <c r="J1981" s="109"/>
      <c r="K1981" s="39"/>
      <c r="L1981" s="76"/>
      <c r="M1981" s="39"/>
      <c r="N1981" s="39"/>
      <c r="O1981" s="24"/>
      <c r="P1981" s="409"/>
      <c r="Q1981" s="76"/>
      <c r="R1981" s="76"/>
      <c r="S1981" s="24"/>
      <c r="T1981" s="24"/>
      <c r="U1981" s="64"/>
      <c r="V1981" s="56"/>
      <c r="W1981" s="56"/>
      <c r="X1981" s="56"/>
      <c r="Y1981" s="56"/>
      <c r="Z1981" s="56"/>
      <c r="AA1981" s="56"/>
      <c r="AB1981" s="56"/>
      <c r="AC1981" s="56"/>
    </row>
    <row r="1982" spans="1:29" ht="15.75" customHeight="1">
      <c r="A1982" s="39"/>
      <c r="B1982" s="107"/>
      <c r="C1982" s="109"/>
      <c r="D1982" s="76"/>
      <c r="E1982" s="64"/>
      <c r="F1982" s="39"/>
      <c r="G1982" s="399">
        <f>IFERROR(VLOOKUP(A1982,醫療院所DATABASE!A:B,2,""),)</f>
        <v>0</v>
      </c>
      <c r="H1982" s="64"/>
      <c r="I1982" s="109"/>
      <c r="J1982" s="109"/>
      <c r="K1982" s="39"/>
      <c r="L1982" s="76"/>
      <c r="M1982" s="39"/>
      <c r="N1982" s="39"/>
      <c r="O1982" s="24"/>
      <c r="P1982" s="409"/>
      <c r="Q1982" s="76"/>
      <c r="R1982" s="76"/>
      <c r="S1982" s="24"/>
      <c r="T1982" s="24"/>
      <c r="U1982" s="64"/>
      <c r="V1982" s="56"/>
      <c r="W1982" s="56"/>
      <c r="X1982" s="56"/>
      <c r="Y1982" s="56"/>
      <c r="Z1982" s="56"/>
      <c r="AA1982" s="56"/>
      <c r="AB1982" s="56"/>
      <c r="AC1982" s="56"/>
    </row>
    <row r="1983" spans="1:29" ht="15.75" customHeight="1">
      <c r="A1983" s="39"/>
      <c r="B1983" s="107"/>
      <c r="C1983" s="109"/>
      <c r="D1983" s="76"/>
      <c r="E1983" s="64"/>
      <c r="F1983" s="39"/>
      <c r="G1983" s="399">
        <f>IFERROR(VLOOKUP(A1983,醫療院所DATABASE!A:B,2,""),)</f>
        <v>0</v>
      </c>
      <c r="H1983" s="64"/>
      <c r="I1983" s="109"/>
      <c r="J1983" s="109"/>
      <c r="K1983" s="39"/>
      <c r="L1983" s="76"/>
      <c r="M1983" s="39"/>
      <c r="N1983" s="39"/>
      <c r="O1983" s="24"/>
      <c r="P1983" s="409"/>
      <c r="Q1983" s="76"/>
      <c r="R1983" s="76"/>
      <c r="S1983" s="24"/>
      <c r="T1983" s="24"/>
      <c r="U1983" s="64"/>
      <c r="V1983" s="56"/>
      <c r="W1983" s="56"/>
      <c r="X1983" s="56"/>
      <c r="Y1983" s="56"/>
      <c r="Z1983" s="56"/>
      <c r="AA1983" s="56"/>
      <c r="AB1983" s="56"/>
      <c r="AC1983" s="56"/>
    </row>
    <row r="1984" spans="1:29" ht="15.75" customHeight="1">
      <c r="A1984" s="39"/>
      <c r="B1984" s="107"/>
      <c r="C1984" s="109"/>
      <c r="D1984" s="76"/>
      <c r="E1984" s="64"/>
      <c r="F1984" s="39"/>
      <c r="G1984" s="399">
        <f>IFERROR(VLOOKUP(A1984,醫療院所DATABASE!A:B,2,""),)</f>
        <v>0</v>
      </c>
      <c r="H1984" s="64"/>
      <c r="I1984" s="109"/>
      <c r="J1984" s="109"/>
      <c r="K1984" s="39"/>
      <c r="L1984" s="76"/>
      <c r="M1984" s="39"/>
      <c r="N1984" s="39"/>
      <c r="O1984" s="24"/>
      <c r="P1984" s="409"/>
      <c r="Q1984" s="76"/>
      <c r="R1984" s="76"/>
      <c r="S1984" s="24"/>
      <c r="T1984" s="24"/>
      <c r="U1984" s="64"/>
      <c r="V1984" s="56"/>
      <c r="W1984" s="56"/>
      <c r="X1984" s="56"/>
      <c r="Y1984" s="56"/>
      <c r="Z1984" s="56"/>
      <c r="AA1984" s="56"/>
      <c r="AB1984" s="56"/>
      <c r="AC1984" s="56"/>
    </row>
    <row r="1985" spans="1:29" ht="15.75" customHeight="1">
      <c r="A1985" s="39"/>
      <c r="B1985" s="107"/>
      <c r="C1985" s="109"/>
      <c r="D1985" s="76"/>
      <c r="E1985" s="64"/>
      <c r="F1985" s="39"/>
      <c r="G1985" s="399">
        <f>IFERROR(VLOOKUP(A1985,醫療院所DATABASE!A:B,2,""),)</f>
        <v>0</v>
      </c>
      <c r="H1985" s="64"/>
      <c r="I1985" s="109"/>
      <c r="J1985" s="109"/>
      <c r="K1985" s="39"/>
      <c r="L1985" s="76"/>
      <c r="M1985" s="39"/>
      <c r="N1985" s="39"/>
      <c r="O1985" s="24"/>
      <c r="P1985" s="409"/>
      <c r="Q1985" s="76"/>
      <c r="R1985" s="76"/>
      <c r="S1985" s="24"/>
      <c r="T1985" s="24"/>
      <c r="U1985" s="64"/>
      <c r="V1985" s="56"/>
      <c r="W1985" s="56"/>
      <c r="X1985" s="56"/>
      <c r="Y1985" s="56"/>
      <c r="Z1985" s="56"/>
      <c r="AA1985" s="56"/>
      <c r="AB1985" s="56"/>
      <c r="AC1985" s="56"/>
    </row>
    <row r="1986" spans="1:29" ht="15.75" customHeight="1">
      <c r="A1986" s="39"/>
      <c r="B1986" s="107"/>
      <c r="C1986" s="109"/>
      <c r="D1986" s="76"/>
      <c r="E1986" s="64"/>
      <c r="F1986" s="39"/>
      <c r="G1986" s="399">
        <f>IFERROR(VLOOKUP(A1986,醫療院所DATABASE!A:B,2,""),)</f>
        <v>0</v>
      </c>
      <c r="H1986" s="64"/>
      <c r="I1986" s="109"/>
      <c r="J1986" s="109"/>
      <c r="K1986" s="39"/>
      <c r="L1986" s="76"/>
      <c r="M1986" s="39"/>
      <c r="N1986" s="39"/>
      <c r="O1986" s="24"/>
      <c r="P1986" s="409"/>
      <c r="Q1986" s="76"/>
      <c r="R1986" s="76"/>
      <c r="S1986" s="24"/>
      <c r="T1986" s="24"/>
      <c r="U1986" s="64"/>
      <c r="V1986" s="56"/>
      <c r="W1986" s="56"/>
      <c r="X1986" s="56"/>
      <c r="Y1986" s="56"/>
      <c r="Z1986" s="56"/>
      <c r="AA1986" s="56"/>
      <c r="AB1986" s="56"/>
      <c r="AC1986" s="56"/>
    </row>
    <row r="1987" spans="1:29" ht="15.75" customHeight="1">
      <c r="A1987" s="39"/>
      <c r="B1987" s="107"/>
      <c r="C1987" s="109"/>
      <c r="D1987" s="76"/>
      <c r="E1987" s="64"/>
      <c r="F1987" s="39"/>
      <c r="G1987" s="399">
        <f>IFERROR(VLOOKUP(A1987,醫療院所DATABASE!A:B,2,""),)</f>
        <v>0</v>
      </c>
      <c r="H1987" s="64"/>
      <c r="I1987" s="109"/>
      <c r="J1987" s="109"/>
      <c r="K1987" s="39"/>
      <c r="L1987" s="76"/>
      <c r="M1987" s="39"/>
      <c r="N1987" s="39"/>
      <c r="O1987" s="24"/>
      <c r="P1987" s="409"/>
      <c r="Q1987" s="76"/>
      <c r="R1987" s="76"/>
      <c r="S1987" s="24"/>
      <c r="T1987" s="24"/>
      <c r="U1987" s="64"/>
      <c r="V1987" s="56"/>
      <c r="W1987" s="56"/>
      <c r="X1987" s="56"/>
      <c r="Y1987" s="56"/>
      <c r="Z1987" s="56"/>
      <c r="AA1987" s="56"/>
      <c r="AB1987" s="56"/>
      <c r="AC1987" s="56"/>
    </row>
  </sheetData>
  <autoFilter ref="A1:U418"/>
  <customSheetViews>
    <customSheetView guid="{5803CC54-402F-4A18-B885-AD5764FF37C2}" filter="1" showAutoFilter="1">
      <autoFilter ref="A1:AD987">
        <filterColumn colId="1">
          <filters>
            <filter val="2019/07/02"/>
            <filter val="2019/07/03"/>
            <filter val="2019/07/04"/>
            <filter val="2019/07/05"/>
            <filter val="2019/07/08"/>
            <filter val="2019/07/10"/>
            <filter val="2019/07/11"/>
            <filter val="2019/07/12"/>
            <filter val="2019/07/15"/>
            <filter val="2019/07/17"/>
            <filter val="2019/07/18"/>
            <filter val="2019/07/19"/>
            <filter val="2019/07/22"/>
            <filter val="2019/07/23"/>
            <filter val="2019/07/24"/>
            <filter val="2019/07/25"/>
            <filter val="2019/07/26"/>
            <filter val="2019/07/30"/>
            <filter val="2019/07/31"/>
            <filter val="2019/08/01"/>
            <filter val="2019/08/02"/>
            <filter val="2019/08/05"/>
            <filter val="2019/08/06"/>
            <filter val="2019/08/07"/>
            <filter val="2019/08/08"/>
            <filter val="2019/08/12"/>
            <filter val="2019/08/13"/>
            <filter val="2019/08/14"/>
            <filter val="2019/08/15"/>
            <filter val="2019/08/19"/>
            <filter val="2019/08/21"/>
            <filter val="2019/08/22"/>
            <filter val="2019/08/23"/>
            <filter val="2019/08/26"/>
            <filter val="2019/08/28"/>
            <filter val="2019/08/29"/>
            <filter val="2019/08/30"/>
            <filter val="2019/09/02"/>
            <filter val="2019/09/05"/>
            <filter val="2019/09/06"/>
            <filter val="2019/09/10"/>
            <filter val="2019/09/11"/>
            <filter val="2019/09/17"/>
            <filter val="2019/09/18"/>
            <filter val="2019/09/20"/>
            <filter val="2019/09/24"/>
            <filter val="2019/09/25"/>
            <filter val="2019/10/01"/>
            <filter val="2019/10/30"/>
            <filter val="2019/11/05"/>
          </filters>
        </filterColumn>
        <filterColumn colId="2">
          <filters blank="1">
            <filter val="2019/10/1"/>
            <filter val="2019/10/31"/>
            <filter val="2019/5/20"/>
            <filter val="2019/7/17"/>
            <filter val="2019/7/18"/>
            <filter val="2019/7/23"/>
            <filter val="2019/7/29"/>
            <filter val="2019/7/31"/>
            <filter val="2019/7/5"/>
            <filter val="2019/7/9"/>
            <filter val="2019/8/1"/>
            <filter val="2019/8/12"/>
            <filter val="2019/8/13"/>
            <filter val="2019/8/14"/>
            <filter val="2019/8/15"/>
            <filter val="2019/8/16"/>
            <filter val="2019/8/2"/>
            <filter val="2019/8/20"/>
            <filter val="2019/8/22"/>
            <filter val="2019/8/23"/>
            <filter val="2019/8/26"/>
            <filter val="2019/8/28"/>
            <filter val="2019/8/29"/>
            <filter val="2019/8/30"/>
            <filter val="2019/8/5"/>
            <filter val="2019/8/6"/>
            <filter val="2019/8/7"/>
            <filter val="2019/8/8"/>
            <filter val="2019/8/9"/>
            <filter val="2019/9/10"/>
            <filter val="2019/9/11"/>
            <filter val="2019/9/16"/>
            <filter val="2019/9/19"/>
            <filter val="2019/9/20"/>
            <filter val="2019/9/23"/>
            <filter val="2019/9/25"/>
            <filter val="2019/9/3"/>
            <filter val="2019/9/9"/>
          </filters>
        </filterColumn>
      </autoFilter>
    </customSheetView>
    <customSheetView guid="{ED20CC69-DF7E-48C0-892D-1B5D6A0EDEC6}" filter="1" showAutoFilter="1">
      <autoFilter ref="A1:AD1100">
        <filterColumn colId="1">
          <filters>
            <filter val="2019/10/01"/>
            <filter val="2019/10/02"/>
            <filter val="2019/10/04"/>
            <filter val="2019/10/09"/>
            <filter val="2019/10/14"/>
            <filter val="2019/10/15"/>
            <filter val="2019/10/16"/>
            <filter val="2019/10/17"/>
            <filter val="2019/10/18"/>
            <filter val="2019/10/23"/>
            <filter val="2019/10/24"/>
            <filter val="2019/10/25"/>
            <filter val="2019/10/28"/>
            <filter val="2019/10/29"/>
            <filter val="2019/10/30"/>
            <filter val="2019/11/01"/>
            <filter val="2019/11/05"/>
            <filter val="2019/11/06"/>
            <filter val="2019/11/08"/>
          </filters>
        </filterColumn>
      </autoFilter>
    </customSheetView>
  </customSheetViews>
  <phoneticPr fontId="50" type="noConversion"/>
  <conditionalFormatting sqref="C1:C184 C186:C187 C189:C191 C193:C199 C203:C204 C206:C282 C284:C344 C355:C468 C472:C519 C523 C527:C534 C537:C1019 K611 C1021:C1194 C1223:C1987">
    <cfRule type="notContainsBlanks" dxfId="7" priority="1">
      <formula>LEN(TRIM(C1))&gt;0</formula>
    </cfRule>
  </conditionalFormatting>
  <conditionalFormatting sqref="Q1:Q1194 Q1223:Q1987">
    <cfRule type="cellIs" dxfId="6" priority="2" operator="equal">
      <formula>"電子"</formula>
    </cfRule>
  </conditionalFormatting>
  <conditionalFormatting sqref="Q1:Q1194 Q1223:Q1987">
    <cfRule type="cellIs" dxfId="5" priority="3" operator="equal">
      <formula>"紙本&amp;電子"</formula>
    </cfRule>
  </conditionalFormatting>
  <conditionalFormatting sqref="R1:R1194 R1223:R1987">
    <cfRule type="cellIs" dxfId="4" priority="4" operator="equal">
      <formula>"簡體中文"</formula>
    </cfRule>
  </conditionalFormatting>
  <conditionalFormatting sqref="R1:R1194 R1223:R1987">
    <cfRule type="cellIs" dxfId="3" priority="5" operator="equal">
      <formula>"中英"</formula>
    </cfRule>
  </conditionalFormatting>
  <conditionalFormatting sqref="R1:R1194 R1223:R1987">
    <cfRule type="cellIs" dxfId="2" priority="6" operator="equal">
      <formula>"英文"</formula>
    </cfRule>
  </conditionalFormatting>
  <conditionalFormatting sqref="A1003">
    <cfRule type="colorScale" priority="7">
      <colorScale>
        <cfvo type="min"/>
        <cfvo type="max"/>
        <color rgb="FF57BB8A"/>
        <color rgb="FFFFFFFF"/>
      </colorScale>
    </cfRule>
  </conditionalFormatting>
  <dataValidations count="5">
    <dataValidation type="list" allowBlank="1" showErrorMessage="1" sqref="R2:R1194 R1223:R1987">
      <formula1>"繁體中文,簡體中文,英文,中英"</formula1>
    </dataValidation>
    <dataValidation type="list" allowBlank="1" showErrorMessage="1" sqref="N1:N267 N269:N1194 N1223:N1987">
      <formula1>$Y$2:$Y$3</formula1>
    </dataValidation>
    <dataValidation type="list" allowBlank="1" showErrorMessage="1" sqref="Q1">
      <formula1>$Z$2:$Z$3</formula1>
    </dataValidation>
    <dataValidation type="list" allowBlank="1" sqref="B1">
      <formula1>$B$3:$B$1980</formula1>
    </dataValidation>
    <dataValidation type="list" allowBlank="1" showErrorMessage="1" sqref="Q2:Q1194 Q1223:Q1987">
      <formula1>"紙本,電子,紙本&amp;電子"</formula1>
    </dataValidation>
  </dataValidations>
  <hyperlinks>
    <hyperlink ref="K89" r:id="rId1"/>
    <hyperlink ref="D323" r:id="rId2"/>
    <hyperlink ref="D426" r:id="rId3"/>
    <hyperlink ref="D505" r:id="rId4"/>
    <hyperlink ref="D545" r:id="rId5"/>
    <hyperlink ref="D553" r:id="rId6"/>
    <hyperlink ref="D554" r:id="rId7"/>
    <hyperlink ref="D569" r:id="rId8"/>
    <hyperlink ref="D571" r:id="rId9"/>
    <hyperlink ref="D572" r:id="rId10"/>
    <hyperlink ref="D573" r:id="rId11"/>
    <hyperlink ref="D574" r:id="rId12"/>
    <hyperlink ref="D575" r:id="rId13"/>
    <hyperlink ref="D576" r:id="rId14"/>
    <hyperlink ref="D605" r:id="rId15"/>
    <hyperlink ref="D659" r:id="rId16"/>
    <hyperlink ref="D660" r:id="rId17"/>
    <hyperlink ref="D698" r:id="rId18"/>
    <hyperlink ref="D699" r:id="rId19"/>
    <hyperlink ref="D700" r:id="rId20"/>
    <hyperlink ref="D723" r:id="rId21"/>
    <hyperlink ref="D799" r:id="rId22"/>
    <hyperlink ref="D880" r:id="rId23"/>
    <hyperlink ref="D895" r:id="rId24"/>
    <hyperlink ref="D967" r:id="rId25"/>
    <hyperlink ref="D968" r:id="rId26"/>
    <hyperlink ref="D985" r:id="rId27"/>
  </hyperlinks>
  <pageMargins left="0.7" right="0.7" top="0.75" bottom="0.75" header="0" footer="0"/>
  <pageSetup paperSize="9" orientation="portrait"/>
  <legacyDrawing r:id="rId28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G1073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1.28515625" defaultRowHeight="15" customHeight="1" x14ac:dyDescent="0"/>
  <cols>
    <col min="1" max="1" width="12.140625" customWidth="1"/>
    <col min="2" max="2" width="11" customWidth="1"/>
    <col min="3" max="3" width="12" customWidth="1"/>
    <col min="4" max="4" width="9.42578125" customWidth="1"/>
    <col min="5" max="6" width="7" customWidth="1"/>
    <col min="7" max="7" width="10" customWidth="1"/>
    <col min="8" max="8" width="9.85546875" customWidth="1"/>
    <col min="9" max="9" width="13" customWidth="1"/>
    <col min="10" max="10" width="11.42578125" customWidth="1"/>
    <col min="11" max="11" width="13.5703125" customWidth="1"/>
    <col min="12" max="12" width="16.28515625" customWidth="1"/>
    <col min="13" max="13" width="14.7109375" customWidth="1"/>
    <col min="14" max="14" width="39.42578125" customWidth="1"/>
    <col min="15" max="15" width="5.7109375" customWidth="1"/>
    <col min="16" max="16" width="6.140625" customWidth="1"/>
    <col min="17" max="17" width="9.140625" customWidth="1"/>
    <col min="18" max="18" width="9.85546875" customWidth="1"/>
    <col min="19" max="19" width="8" customWidth="1"/>
    <col min="20" max="20" width="7.28515625" customWidth="1"/>
    <col min="21" max="21" width="8.28515625" customWidth="1"/>
    <col min="22" max="22" width="8.85546875" customWidth="1"/>
    <col min="23" max="24" width="7.7109375" customWidth="1"/>
    <col min="25" max="25" width="7.85546875" customWidth="1"/>
    <col min="26" max="26" width="11.42578125" customWidth="1"/>
    <col min="27" max="33" width="6.7109375" customWidth="1"/>
  </cols>
  <sheetData>
    <row r="1" spans="1:33" ht="15.75" customHeight="1">
      <c r="A1" s="3"/>
      <c r="B1" s="5" t="s">
        <v>5</v>
      </c>
      <c r="C1" s="7" t="s">
        <v>6</v>
      </c>
      <c r="D1" s="8" t="s">
        <v>7</v>
      </c>
      <c r="E1" s="8" t="s">
        <v>9</v>
      </c>
      <c r="F1" s="8" t="s">
        <v>10</v>
      </c>
      <c r="G1" s="10" t="s">
        <v>11</v>
      </c>
      <c r="H1" s="12" t="s">
        <v>13</v>
      </c>
      <c r="I1" s="14" t="s">
        <v>14</v>
      </c>
      <c r="J1" s="16" t="s">
        <v>16</v>
      </c>
      <c r="K1" s="17" t="s">
        <v>17</v>
      </c>
      <c r="L1" s="12" t="s">
        <v>18</v>
      </c>
      <c r="M1" s="12" t="s">
        <v>19</v>
      </c>
      <c r="N1" s="18" t="s">
        <v>20</v>
      </c>
      <c r="O1" s="12" t="s">
        <v>21</v>
      </c>
      <c r="P1" s="12" t="s">
        <v>22</v>
      </c>
      <c r="Q1" s="14" t="s">
        <v>23</v>
      </c>
      <c r="R1" s="14" t="s">
        <v>24</v>
      </c>
      <c r="S1" s="12" t="s">
        <v>25</v>
      </c>
      <c r="T1" s="14" t="s">
        <v>26</v>
      </c>
      <c r="U1" s="12" t="s">
        <v>27</v>
      </c>
      <c r="V1" s="12" t="s">
        <v>28</v>
      </c>
      <c r="W1" s="17" t="s">
        <v>29</v>
      </c>
      <c r="X1" s="17" t="s">
        <v>30</v>
      </c>
      <c r="Y1" s="17" t="s">
        <v>31</v>
      </c>
      <c r="Z1" s="17" t="s">
        <v>32</v>
      </c>
      <c r="AA1" s="22"/>
      <c r="AB1" s="22"/>
      <c r="AC1" s="22"/>
      <c r="AD1" s="22"/>
      <c r="AE1" s="22"/>
      <c r="AF1" s="22"/>
      <c r="AG1" s="22"/>
    </row>
    <row r="2" spans="1:33" ht="15.75" customHeight="1">
      <c r="A2" s="24"/>
      <c r="B2" s="26">
        <f t="shared" ref="B2:B23" si="0">Z2</f>
        <v>0</v>
      </c>
      <c r="C2" s="28"/>
      <c r="D2" s="30" t="s">
        <v>37</v>
      </c>
      <c r="E2" s="31"/>
      <c r="F2" s="31"/>
      <c r="G2" s="35">
        <v>43120</v>
      </c>
      <c r="H2" s="35">
        <v>43094</v>
      </c>
      <c r="I2" s="35">
        <f>H2+10</f>
        <v>43104</v>
      </c>
      <c r="J2" s="35">
        <f t="shared" ref="J2:K2" si="1">H2+2</f>
        <v>43096</v>
      </c>
      <c r="K2" s="35">
        <f t="shared" si="1"/>
        <v>43106</v>
      </c>
      <c r="L2" s="31" t="s">
        <v>46</v>
      </c>
      <c r="M2" s="31" t="s">
        <v>48</v>
      </c>
      <c r="N2" s="42" t="s">
        <v>49</v>
      </c>
      <c r="O2" s="42" t="s">
        <v>51</v>
      </c>
      <c r="P2" s="44" t="s">
        <v>52</v>
      </c>
      <c r="Q2" s="44" t="s">
        <v>55</v>
      </c>
      <c r="R2" s="31" t="s">
        <v>56</v>
      </c>
      <c r="S2" s="46">
        <v>0.39583333333333331</v>
      </c>
      <c r="T2" s="44" t="s">
        <v>59</v>
      </c>
      <c r="U2" s="44" t="s">
        <v>59</v>
      </c>
      <c r="V2" s="48">
        <v>0</v>
      </c>
      <c r="W2" s="44"/>
      <c r="X2" s="44"/>
      <c r="Y2" s="44"/>
      <c r="Z2" s="44"/>
      <c r="AA2" s="44"/>
      <c r="AB2" s="31"/>
      <c r="AC2" s="31"/>
      <c r="AD2" s="31"/>
      <c r="AE2" s="31"/>
      <c r="AF2" s="31"/>
      <c r="AG2" s="31"/>
    </row>
    <row r="3" spans="1:33" ht="15.75" customHeight="1">
      <c r="A3" s="24"/>
      <c r="B3" s="26">
        <f t="shared" si="0"/>
        <v>0</v>
      </c>
      <c r="C3" s="28"/>
      <c r="D3" s="28"/>
      <c r="E3" s="28"/>
      <c r="F3" s="28"/>
      <c r="G3" s="28"/>
      <c r="H3" s="28"/>
      <c r="I3" s="50"/>
      <c r="J3" s="51"/>
      <c r="K3" s="51"/>
      <c r="L3" s="22"/>
      <c r="M3" s="22"/>
      <c r="N3" s="28"/>
      <c r="O3" s="28"/>
      <c r="P3" s="53"/>
      <c r="Q3" s="53"/>
      <c r="R3" s="28"/>
      <c r="S3" s="53"/>
      <c r="T3" s="53"/>
      <c r="U3" s="53"/>
      <c r="V3" s="53"/>
      <c r="W3" s="53"/>
      <c r="X3" s="53"/>
      <c r="Y3" s="55"/>
      <c r="Z3" s="53"/>
      <c r="AA3" s="53"/>
      <c r="AB3" s="28"/>
      <c r="AC3" s="28"/>
      <c r="AD3" s="28"/>
      <c r="AE3" s="28"/>
      <c r="AF3" s="28"/>
      <c r="AG3" s="28"/>
    </row>
    <row r="4" spans="1:33" ht="15.75" customHeight="1">
      <c r="A4" s="24"/>
      <c r="B4" s="26">
        <f t="shared" si="0"/>
        <v>0</v>
      </c>
      <c r="C4" s="28"/>
      <c r="D4" s="57" t="s">
        <v>65</v>
      </c>
      <c r="E4" s="22" t="s">
        <v>67</v>
      </c>
      <c r="F4" s="58" t="s">
        <v>67</v>
      </c>
      <c r="G4" s="28"/>
      <c r="H4" s="50">
        <v>43476</v>
      </c>
      <c r="I4" s="59"/>
      <c r="J4" s="50">
        <v>43493</v>
      </c>
      <c r="K4" s="50">
        <v>43493</v>
      </c>
      <c r="L4" s="22" t="s">
        <v>68</v>
      </c>
      <c r="M4" s="24" t="s">
        <v>69</v>
      </c>
      <c r="N4" s="24" t="s">
        <v>70</v>
      </c>
      <c r="O4" s="24" t="s">
        <v>51</v>
      </c>
      <c r="P4" s="55" t="s">
        <v>52</v>
      </c>
      <c r="Q4" s="55" t="s">
        <v>55</v>
      </c>
      <c r="R4" s="28" t="s">
        <v>71</v>
      </c>
      <c r="S4" s="61">
        <v>0.39583333333333331</v>
      </c>
      <c r="T4" s="53"/>
      <c r="U4" s="55" t="s">
        <v>59</v>
      </c>
      <c r="V4" s="53"/>
      <c r="W4" s="53"/>
      <c r="X4" s="53"/>
      <c r="Y4" s="55"/>
      <c r="Z4" s="53"/>
      <c r="AA4" s="53"/>
      <c r="AB4" s="28"/>
      <c r="AC4" s="28"/>
      <c r="AD4" s="28"/>
      <c r="AE4" s="28"/>
      <c r="AF4" s="28"/>
      <c r="AG4" s="28"/>
    </row>
    <row r="5" spans="1:33" ht="15.75" customHeight="1">
      <c r="A5" s="24"/>
      <c r="B5" s="26">
        <f t="shared" si="0"/>
        <v>0</v>
      </c>
      <c r="C5" s="28"/>
      <c r="D5" s="57" t="s">
        <v>65</v>
      </c>
      <c r="E5" s="22" t="s">
        <v>67</v>
      </c>
      <c r="F5" s="58" t="s">
        <v>67</v>
      </c>
      <c r="G5" s="28"/>
      <c r="H5" s="50">
        <v>43487</v>
      </c>
      <c r="I5" s="50"/>
      <c r="J5" s="50">
        <v>43509</v>
      </c>
      <c r="K5" s="50">
        <v>43509</v>
      </c>
      <c r="L5" s="22"/>
      <c r="M5" s="24" t="s">
        <v>73</v>
      </c>
      <c r="N5" s="24" t="s">
        <v>70</v>
      </c>
      <c r="O5" s="24" t="s">
        <v>51</v>
      </c>
      <c r="P5" s="55" t="s">
        <v>52</v>
      </c>
      <c r="Q5" s="55" t="s">
        <v>55</v>
      </c>
      <c r="R5" s="28" t="s">
        <v>74</v>
      </c>
      <c r="S5" s="61">
        <v>0.39583333333333331</v>
      </c>
      <c r="T5" s="53"/>
      <c r="U5" s="55" t="s">
        <v>59</v>
      </c>
      <c r="V5" s="53"/>
      <c r="W5" s="53"/>
      <c r="X5" s="53"/>
      <c r="Y5" s="55"/>
      <c r="Z5" s="53"/>
      <c r="AA5" s="53"/>
      <c r="AB5" s="28"/>
      <c r="AC5" s="28"/>
      <c r="AD5" s="28"/>
      <c r="AE5" s="28"/>
      <c r="AF5" s="28"/>
      <c r="AG5" s="28"/>
    </row>
    <row r="6" spans="1:33" ht="15.75" customHeight="1">
      <c r="A6" s="28"/>
      <c r="B6" s="26">
        <f t="shared" si="0"/>
        <v>0</v>
      </c>
      <c r="C6" s="28"/>
      <c r="D6" s="57" t="s">
        <v>65</v>
      </c>
      <c r="E6" s="22" t="s">
        <v>67</v>
      </c>
      <c r="F6" s="58" t="s">
        <v>67</v>
      </c>
      <c r="G6" s="28"/>
      <c r="H6" s="50">
        <v>43507</v>
      </c>
      <c r="I6" s="50"/>
      <c r="J6" s="50">
        <v>43521</v>
      </c>
      <c r="K6" s="50">
        <v>43521</v>
      </c>
      <c r="L6" s="22"/>
      <c r="M6" s="24" t="s">
        <v>77</v>
      </c>
      <c r="N6" s="24" t="s">
        <v>70</v>
      </c>
      <c r="O6" s="24" t="s">
        <v>51</v>
      </c>
      <c r="P6" s="55" t="s">
        <v>52</v>
      </c>
      <c r="Q6" s="55" t="s">
        <v>55</v>
      </c>
      <c r="R6" s="28" t="s">
        <v>78</v>
      </c>
      <c r="S6" s="61">
        <v>0.39583333333333331</v>
      </c>
      <c r="T6" s="53"/>
      <c r="U6" s="55" t="s">
        <v>59</v>
      </c>
      <c r="V6" s="53"/>
      <c r="W6" s="53"/>
      <c r="X6" s="53"/>
      <c r="Y6" s="55"/>
      <c r="Z6" s="53"/>
      <c r="AA6" s="53"/>
      <c r="AB6" s="28"/>
      <c r="AC6" s="28"/>
      <c r="AD6" s="28"/>
      <c r="AE6" s="28"/>
      <c r="AF6" s="28"/>
      <c r="AG6" s="28"/>
    </row>
    <row r="7" spans="1:33" ht="15.75" customHeight="1">
      <c r="A7" s="24"/>
      <c r="B7" s="26">
        <f t="shared" si="0"/>
        <v>0</v>
      </c>
      <c r="C7" s="28"/>
      <c r="D7" s="57" t="s">
        <v>65</v>
      </c>
      <c r="E7" s="22" t="s">
        <v>67</v>
      </c>
      <c r="F7" s="58" t="s">
        <v>67</v>
      </c>
      <c r="G7" s="28"/>
      <c r="H7" s="50">
        <v>43507</v>
      </c>
      <c r="I7" s="50"/>
      <c r="J7" s="50">
        <v>43521</v>
      </c>
      <c r="K7" s="50">
        <v>43521</v>
      </c>
      <c r="L7" s="22"/>
      <c r="M7" s="24" t="s">
        <v>79</v>
      </c>
      <c r="N7" s="24" t="s">
        <v>70</v>
      </c>
      <c r="O7" s="24" t="s">
        <v>62</v>
      </c>
      <c r="P7" s="55" t="s">
        <v>52</v>
      </c>
      <c r="Q7" s="55" t="s">
        <v>55</v>
      </c>
      <c r="R7" s="28" t="s">
        <v>80</v>
      </c>
      <c r="S7" s="61">
        <v>0.39583333333333331</v>
      </c>
      <c r="T7" s="53"/>
      <c r="U7" s="55" t="s">
        <v>59</v>
      </c>
      <c r="V7" s="53"/>
      <c r="W7" s="53"/>
      <c r="X7" s="53"/>
      <c r="Y7" s="55"/>
      <c r="Z7" s="55"/>
      <c r="AA7" s="53"/>
      <c r="AB7" s="28"/>
      <c r="AC7" s="28"/>
      <c r="AD7" s="28"/>
      <c r="AE7" s="28"/>
      <c r="AF7" s="28"/>
      <c r="AG7" s="28"/>
    </row>
    <row r="8" spans="1:33" ht="15.75" customHeight="1">
      <c r="A8" s="24"/>
      <c r="B8" s="26">
        <f t="shared" si="0"/>
        <v>0</v>
      </c>
      <c r="C8" s="28"/>
      <c r="D8" s="57" t="s">
        <v>65</v>
      </c>
      <c r="E8" s="22" t="s">
        <v>67</v>
      </c>
      <c r="F8" s="58" t="s">
        <v>67</v>
      </c>
      <c r="G8" s="28"/>
      <c r="H8" s="50">
        <v>43508</v>
      </c>
      <c r="I8" s="50"/>
      <c r="J8" s="51"/>
      <c r="K8" s="51"/>
      <c r="L8" s="22"/>
      <c r="M8" s="24" t="s">
        <v>83</v>
      </c>
      <c r="N8" s="24" t="s">
        <v>70</v>
      </c>
      <c r="O8" s="24" t="s">
        <v>62</v>
      </c>
      <c r="P8" s="55" t="s">
        <v>52</v>
      </c>
      <c r="Q8" s="55" t="s">
        <v>55</v>
      </c>
      <c r="R8" s="28" t="s">
        <v>85</v>
      </c>
      <c r="S8" s="61">
        <v>0.39583333333333331</v>
      </c>
      <c r="T8" s="53"/>
      <c r="U8" s="55" t="s">
        <v>59</v>
      </c>
      <c r="V8" s="53"/>
      <c r="W8" s="53"/>
      <c r="X8" s="53"/>
      <c r="Y8" s="55"/>
      <c r="Z8" s="55"/>
      <c r="AA8" s="53"/>
      <c r="AB8" s="28"/>
      <c r="AC8" s="28"/>
      <c r="AD8" s="28"/>
      <c r="AE8" s="28"/>
      <c r="AF8" s="28"/>
      <c r="AG8" s="28"/>
    </row>
    <row r="9" spans="1:33" ht="15.75" customHeight="1">
      <c r="A9" s="24"/>
      <c r="B9" s="26">
        <f t="shared" si="0"/>
        <v>0</v>
      </c>
      <c r="C9" s="28"/>
      <c r="D9" s="57" t="s">
        <v>65</v>
      </c>
      <c r="E9" s="22" t="s">
        <v>67</v>
      </c>
      <c r="F9" s="58" t="s">
        <v>67</v>
      </c>
      <c r="G9" s="28"/>
      <c r="H9" s="50">
        <v>43509</v>
      </c>
      <c r="I9" s="50"/>
      <c r="J9" s="51"/>
      <c r="K9" s="51"/>
      <c r="L9" s="22" t="s">
        <v>86</v>
      </c>
      <c r="M9" s="24" t="s">
        <v>87</v>
      </c>
      <c r="N9" s="28"/>
      <c r="O9" s="24" t="s">
        <v>51</v>
      </c>
      <c r="P9" s="55" t="s">
        <v>52</v>
      </c>
      <c r="Q9" s="55" t="s">
        <v>55</v>
      </c>
      <c r="R9" s="28" t="s">
        <v>88</v>
      </c>
      <c r="S9" s="61">
        <v>0.39583333333333331</v>
      </c>
      <c r="T9" s="53"/>
      <c r="U9" s="55" t="s">
        <v>59</v>
      </c>
      <c r="V9" s="53"/>
      <c r="W9" s="53"/>
      <c r="X9" s="53"/>
      <c r="Y9" s="55"/>
      <c r="Z9" s="55"/>
      <c r="AA9" s="53"/>
      <c r="AB9" s="28"/>
      <c r="AC9" s="28"/>
      <c r="AD9" s="28"/>
      <c r="AE9" s="28"/>
      <c r="AF9" s="28"/>
      <c r="AG9" s="28"/>
    </row>
    <row r="10" spans="1:33" ht="15.75" customHeight="1">
      <c r="A10" s="24"/>
      <c r="B10" s="26">
        <f t="shared" si="0"/>
        <v>0</v>
      </c>
      <c r="C10" s="28"/>
      <c r="D10" s="57" t="s">
        <v>65</v>
      </c>
      <c r="E10" s="22" t="s">
        <v>67</v>
      </c>
      <c r="F10" s="58" t="s">
        <v>67</v>
      </c>
      <c r="G10" s="28"/>
      <c r="H10" s="50">
        <v>43509</v>
      </c>
      <c r="I10" s="50"/>
      <c r="J10" s="51"/>
      <c r="K10" s="51"/>
      <c r="L10" s="22"/>
      <c r="M10" s="24" t="s">
        <v>89</v>
      </c>
      <c r="N10" s="24" t="s">
        <v>70</v>
      </c>
      <c r="O10" s="24" t="s">
        <v>51</v>
      </c>
      <c r="P10" s="55" t="s">
        <v>52</v>
      </c>
      <c r="Q10" s="55" t="s">
        <v>55</v>
      </c>
      <c r="R10" s="28" t="s">
        <v>90</v>
      </c>
      <c r="S10" s="61">
        <v>0.39583333333333331</v>
      </c>
      <c r="T10" s="53"/>
      <c r="U10" s="55" t="s">
        <v>59</v>
      </c>
      <c r="V10" s="53"/>
      <c r="W10" s="53"/>
      <c r="X10" s="53"/>
      <c r="Y10" s="55"/>
      <c r="Z10" s="55"/>
      <c r="AA10" s="53"/>
      <c r="AB10" s="28"/>
      <c r="AC10" s="28"/>
      <c r="AD10" s="28"/>
      <c r="AE10" s="28"/>
      <c r="AF10" s="28"/>
      <c r="AG10" s="28"/>
    </row>
    <row r="11" spans="1:33" ht="15.75" customHeight="1">
      <c r="A11" s="24"/>
      <c r="B11" s="26">
        <f t="shared" si="0"/>
        <v>0</v>
      </c>
      <c r="C11" s="28"/>
      <c r="D11" s="57" t="s">
        <v>65</v>
      </c>
      <c r="E11" s="22" t="s">
        <v>67</v>
      </c>
      <c r="F11" s="58" t="s">
        <v>67</v>
      </c>
      <c r="G11" s="28"/>
      <c r="H11" s="50">
        <v>43509</v>
      </c>
      <c r="I11" s="50"/>
      <c r="J11" s="51"/>
      <c r="K11" s="51"/>
      <c r="L11" s="22" t="s">
        <v>91</v>
      </c>
      <c r="M11" s="24" t="s">
        <v>92</v>
      </c>
      <c r="N11" s="24" t="s">
        <v>70</v>
      </c>
      <c r="O11" s="24" t="s">
        <v>62</v>
      </c>
      <c r="P11" s="55" t="s">
        <v>52</v>
      </c>
      <c r="Q11" s="55" t="s">
        <v>55</v>
      </c>
      <c r="R11" s="28" t="s">
        <v>93</v>
      </c>
      <c r="S11" s="61">
        <v>0.39583333333333331</v>
      </c>
      <c r="T11" s="53"/>
      <c r="U11" s="55" t="s">
        <v>59</v>
      </c>
      <c r="V11" s="53"/>
      <c r="W11" s="53"/>
      <c r="X11" s="53"/>
      <c r="Y11" s="55"/>
      <c r="Z11" s="55"/>
      <c r="AA11" s="53"/>
      <c r="AB11" s="28"/>
      <c r="AC11" s="28"/>
      <c r="AD11" s="28"/>
      <c r="AE11" s="28"/>
      <c r="AF11" s="28"/>
      <c r="AG11" s="28"/>
    </row>
    <row r="12" spans="1:33" ht="15.75" customHeight="1">
      <c r="A12" s="24"/>
      <c r="B12" s="26">
        <f t="shared" si="0"/>
        <v>0</v>
      </c>
      <c r="C12" s="28"/>
      <c r="D12" s="57" t="s">
        <v>65</v>
      </c>
      <c r="E12" s="22" t="s">
        <v>67</v>
      </c>
      <c r="F12" s="58" t="s">
        <v>67</v>
      </c>
      <c r="G12" s="28"/>
      <c r="H12" s="50">
        <v>43510</v>
      </c>
      <c r="I12" s="50"/>
      <c r="J12" s="51"/>
      <c r="K12" s="51"/>
      <c r="L12" s="22"/>
      <c r="M12" s="24" t="s">
        <v>94</v>
      </c>
      <c r="N12" s="24" t="s">
        <v>70</v>
      </c>
      <c r="O12" s="24" t="s">
        <v>51</v>
      </c>
      <c r="P12" s="55" t="s">
        <v>52</v>
      </c>
      <c r="Q12" s="55" t="s">
        <v>55</v>
      </c>
      <c r="R12" s="28" t="s">
        <v>95</v>
      </c>
      <c r="S12" s="61">
        <v>0.39583333333333331</v>
      </c>
      <c r="T12" s="53"/>
      <c r="U12" s="55" t="s">
        <v>59</v>
      </c>
      <c r="V12" s="53"/>
      <c r="W12" s="53"/>
      <c r="X12" s="53"/>
      <c r="Y12" s="55"/>
      <c r="Z12" s="55"/>
      <c r="AA12" s="53"/>
      <c r="AB12" s="28"/>
      <c r="AC12" s="28"/>
      <c r="AD12" s="28"/>
      <c r="AE12" s="28"/>
      <c r="AF12" s="28"/>
      <c r="AG12" s="28"/>
    </row>
    <row r="13" spans="1:33" ht="15.75" customHeight="1">
      <c r="A13" s="28"/>
      <c r="B13" s="26">
        <f t="shared" si="0"/>
        <v>0</v>
      </c>
      <c r="C13" s="28"/>
      <c r="D13" s="57" t="s">
        <v>65</v>
      </c>
      <c r="E13" s="22" t="s">
        <v>67</v>
      </c>
      <c r="F13" s="58" t="s">
        <v>67</v>
      </c>
      <c r="G13" s="28"/>
      <c r="H13" s="50">
        <v>43510</v>
      </c>
      <c r="I13" s="50"/>
      <c r="J13" s="51"/>
      <c r="K13" s="51"/>
      <c r="L13" s="22" t="s">
        <v>96</v>
      </c>
      <c r="M13" s="24" t="s">
        <v>97</v>
      </c>
      <c r="N13" s="24" t="s">
        <v>70</v>
      </c>
      <c r="O13" s="24" t="s">
        <v>51</v>
      </c>
      <c r="P13" s="55" t="s">
        <v>52</v>
      </c>
      <c r="Q13" s="55" t="s">
        <v>55</v>
      </c>
      <c r="R13" s="28" t="s">
        <v>98</v>
      </c>
      <c r="S13" s="61">
        <v>0.39583333333333331</v>
      </c>
      <c r="T13" s="53"/>
      <c r="U13" s="55" t="s">
        <v>59</v>
      </c>
      <c r="V13" s="53"/>
      <c r="W13" s="53"/>
      <c r="X13" s="53"/>
      <c r="Y13" s="55"/>
      <c r="Z13" s="55"/>
      <c r="AA13" s="53"/>
      <c r="AB13" s="28"/>
      <c r="AC13" s="28"/>
      <c r="AD13" s="28"/>
      <c r="AE13" s="28"/>
      <c r="AF13" s="28"/>
      <c r="AG13" s="28"/>
    </row>
    <row r="14" spans="1:33" ht="15.75" customHeight="1">
      <c r="A14" s="28"/>
      <c r="B14" s="26">
        <f t="shared" si="0"/>
        <v>0</v>
      </c>
      <c r="C14" s="28"/>
      <c r="D14" s="57" t="s">
        <v>65</v>
      </c>
      <c r="E14" s="22" t="s">
        <v>67</v>
      </c>
      <c r="F14" s="58" t="s">
        <v>67</v>
      </c>
      <c r="G14" s="28"/>
      <c r="H14" s="50">
        <v>43511</v>
      </c>
      <c r="I14" s="50"/>
      <c r="J14" s="51"/>
      <c r="K14" s="51"/>
      <c r="L14" s="22" t="s">
        <v>102</v>
      </c>
      <c r="M14" s="24" t="s">
        <v>103</v>
      </c>
      <c r="N14" s="24" t="s">
        <v>70</v>
      </c>
      <c r="O14" s="24" t="s">
        <v>62</v>
      </c>
      <c r="P14" s="55" t="s">
        <v>52</v>
      </c>
      <c r="Q14" s="55" t="s">
        <v>55</v>
      </c>
      <c r="R14" s="28" t="s">
        <v>104</v>
      </c>
      <c r="S14" s="61">
        <v>0.39583333333333331</v>
      </c>
      <c r="T14" s="53"/>
      <c r="U14" s="55" t="s">
        <v>59</v>
      </c>
      <c r="V14" s="53"/>
      <c r="W14" s="53"/>
      <c r="X14" s="53"/>
      <c r="Y14" s="55"/>
      <c r="Z14" s="55"/>
      <c r="AA14" s="53"/>
      <c r="AB14" s="28"/>
      <c r="AC14" s="28"/>
      <c r="AD14" s="28"/>
      <c r="AE14" s="28"/>
      <c r="AF14" s="28"/>
      <c r="AG14" s="28"/>
    </row>
    <row r="15" spans="1:33" ht="15.75" customHeight="1">
      <c r="A15" s="28"/>
      <c r="B15" s="26">
        <f t="shared" si="0"/>
        <v>0</v>
      </c>
      <c r="C15" s="28"/>
      <c r="D15" s="57" t="s">
        <v>65</v>
      </c>
      <c r="E15" s="22" t="s">
        <v>67</v>
      </c>
      <c r="F15" s="58" t="s">
        <v>67</v>
      </c>
      <c r="G15" s="28"/>
      <c r="H15" s="50">
        <v>43514</v>
      </c>
      <c r="I15" s="50"/>
      <c r="J15" s="51"/>
      <c r="K15" s="50"/>
      <c r="L15" s="22" t="s">
        <v>105</v>
      </c>
      <c r="M15" s="24" t="s">
        <v>106</v>
      </c>
      <c r="N15" s="24" t="s">
        <v>70</v>
      </c>
      <c r="O15" s="24" t="s">
        <v>62</v>
      </c>
      <c r="P15" s="55" t="s">
        <v>52</v>
      </c>
      <c r="Q15" s="55" t="s">
        <v>55</v>
      </c>
      <c r="R15" s="28" t="s">
        <v>107</v>
      </c>
      <c r="S15" s="61">
        <v>0.39583333333333331</v>
      </c>
      <c r="T15" s="53"/>
      <c r="U15" s="55" t="s">
        <v>59</v>
      </c>
      <c r="V15" s="53"/>
      <c r="W15" s="53"/>
      <c r="X15" s="53"/>
      <c r="Y15" s="55"/>
      <c r="Z15" s="55"/>
      <c r="AA15" s="53"/>
      <c r="AB15" s="28"/>
      <c r="AC15" s="28"/>
      <c r="AD15" s="28"/>
      <c r="AE15" s="28"/>
      <c r="AF15" s="28"/>
      <c r="AG15" s="28"/>
    </row>
    <row r="16" spans="1:33" ht="15.75" customHeight="1">
      <c r="A16" s="58"/>
      <c r="B16" s="26">
        <f t="shared" si="0"/>
        <v>190503</v>
      </c>
      <c r="C16" s="28"/>
      <c r="D16" s="57" t="s">
        <v>65</v>
      </c>
      <c r="E16" s="22" t="s">
        <v>67</v>
      </c>
      <c r="F16" s="58" t="s">
        <v>67</v>
      </c>
      <c r="G16" s="65">
        <v>43592</v>
      </c>
      <c r="H16" s="66">
        <v>43579</v>
      </c>
      <c r="I16" s="50"/>
      <c r="J16" s="51"/>
      <c r="K16" s="66">
        <v>43592</v>
      </c>
      <c r="L16" s="22" t="s">
        <v>114</v>
      </c>
      <c r="M16" s="24" t="s">
        <v>115</v>
      </c>
      <c r="N16" s="24" t="s">
        <v>116</v>
      </c>
      <c r="O16" s="24" t="s">
        <v>51</v>
      </c>
      <c r="P16" s="26" t="s">
        <v>52</v>
      </c>
      <c r="Q16" s="26" t="s">
        <v>117</v>
      </c>
      <c r="R16" s="58" t="s">
        <v>118</v>
      </c>
      <c r="S16" s="61">
        <v>0.39583333333333331</v>
      </c>
      <c r="T16" s="55" t="s">
        <v>59</v>
      </c>
      <c r="U16" s="53"/>
      <c r="V16" s="53"/>
      <c r="W16" s="55" t="s">
        <v>59</v>
      </c>
      <c r="X16" s="26">
        <v>190502</v>
      </c>
      <c r="Y16" s="55" t="s">
        <v>59</v>
      </c>
      <c r="Z16" s="26">
        <v>190503</v>
      </c>
      <c r="AA16" s="53"/>
      <c r="AB16" s="28"/>
      <c r="AC16" s="28"/>
      <c r="AD16" s="28"/>
      <c r="AE16" s="28"/>
      <c r="AF16" s="28"/>
      <c r="AG16" s="28"/>
    </row>
    <row r="17" spans="1:33" ht="15.75" customHeight="1">
      <c r="A17" s="58"/>
      <c r="B17" s="26">
        <f t="shared" si="0"/>
        <v>190503</v>
      </c>
      <c r="C17" s="28"/>
      <c r="D17" s="57" t="s">
        <v>65</v>
      </c>
      <c r="E17" s="22" t="s">
        <v>67</v>
      </c>
      <c r="F17" s="58" t="s">
        <v>67</v>
      </c>
      <c r="G17" s="65">
        <v>43592</v>
      </c>
      <c r="H17" s="66">
        <v>43579</v>
      </c>
      <c r="I17" s="50"/>
      <c r="J17" s="51"/>
      <c r="K17" s="66">
        <v>43592</v>
      </c>
      <c r="L17" s="22" t="s">
        <v>122</v>
      </c>
      <c r="M17" s="24" t="s">
        <v>123</v>
      </c>
      <c r="N17" s="24" t="s">
        <v>116</v>
      </c>
      <c r="O17" s="24" t="s">
        <v>51</v>
      </c>
      <c r="P17" s="26" t="s">
        <v>52</v>
      </c>
      <c r="Q17" s="26" t="s">
        <v>117</v>
      </c>
      <c r="R17" s="58" t="s">
        <v>124</v>
      </c>
      <c r="S17" s="61">
        <v>0.39583333333333331</v>
      </c>
      <c r="T17" s="55" t="s">
        <v>59</v>
      </c>
      <c r="U17" s="53"/>
      <c r="V17" s="53"/>
      <c r="W17" s="55" t="s">
        <v>59</v>
      </c>
      <c r="X17" s="26">
        <v>190502</v>
      </c>
      <c r="Y17" s="55" t="s">
        <v>59</v>
      </c>
      <c r="Z17" s="26">
        <v>190503</v>
      </c>
      <c r="AA17" s="53"/>
      <c r="AB17" s="28"/>
      <c r="AC17" s="28"/>
      <c r="AD17" s="28"/>
      <c r="AE17" s="28"/>
      <c r="AF17" s="28"/>
      <c r="AG17" s="28"/>
    </row>
    <row r="18" spans="1:33" ht="15.75" customHeight="1">
      <c r="A18" s="58" t="s">
        <v>125</v>
      </c>
      <c r="B18" s="26">
        <f t="shared" si="0"/>
        <v>190506</v>
      </c>
      <c r="C18" s="28"/>
      <c r="D18" s="67" t="s">
        <v>54</v>
      </c>
      <c r="E18" s="22" t="s">
        <v>53</v>
      </c>
      <c r="F18" s="68" t="s">
        <v>53</v>
      </c>
      <c r="G18" s="65">
        <v>43593</v>
      </c>
      <c r="H18" s="66">
        <v>43580</v>
      </c>
      <c r="I18" s="50"/>
      <c r="J18" s="51"/>
      <c r="K18" s="66">
        <v>43593</v>
      </c>
      <c r="L18" s="22" t="s">
        <v>133</v>
      </c>
      <c r="M18" s="24" t="s">
        <v>136</v>
      </c>
      <c r="N18" s="24" t="s">
        <v>116</v>
      </c>
      <c r="O18" s="24" t="s">
        <v>62</v>
      </c>
      <c r="P18" s="26" t="s">
        <v>52</v>
      </c>
      <c r="Q18" s="26" t="s">
        <v>117</v>
      </c>
      <c r="R18" s="58" t="s">
        <v>139</v>
      </c>
      <c r="S18" s="61">
        <v>0.39583333333333331</v>
      </c>
      <c r="T18" s="55" t="s">
        <v>59</v>
      </c>
      <c r="U18" s="53"/>
      <c r="V18" s="53"/>
      <c r="W18" s="55" t="s">
        <v>59</v>
      </c>
      <c r="X18" s="26">
        <v>190502</v>
      </c>
      <c r="Y18" s="55" t="s">
        <v>59</v>
      </c>
      <c r="Z18" s="26">
        <v>190506</v>
      </c>
      <c r="AA18" s="53"/>
      <c r="AB18" s="28"/>
      <c r="AC18" s="28"/>
      <c r="AD18" s="28"/>
      <c r="AE18" s="28"/>
      <c r="AF18" s="28"/>
      <c r="AG18" s="28"/>
    </row>
    <row r="19" spans="1:33" ht="15.75" customHeight="1">
      <c r="A19" s="58"/>
      <c r="B19" s="26">
        <f t="shared" si="0"/>
        <v>190506</v>
      </c>
      <c r="C19" s="28"/>
      <c r="D19" s="67" t="s">
        <v>54</v>
      </c>
      <c r="E19" s="22"/>
      <c r="F19" s="22"/>
      <c r="G19" s="65">
        <v>43593</v>
      </c>
      <c r="H19" s="66">
        <v>43580</v>
      </c>
      <c r="I19" s="50"/>
      <c r="J19" s="51"/>
      <c r="K19" s="66">
        <v>43593</v>
      </c>
      <c r="L19" s="22" t="s">
        <v>141</v>
      </c>
      <c r="M19" s="24" t="s">
        <v>143</v>
      </c>
      <c r="N19" s="24" t="s">
        <v>116</v>
      </c>
      <c r="O19" s="24" t="s">
        <v>51</v>
      </c>
      <c r="P19" s="26" t="s">
        <v>52</v>
      </c>
      <c r="Q19" s="26" t="s">
        <v>117</v>
      </c>
      <c r="R19" s="58" t="s">
        <v>146</v>
      </c>
      <c r="S19" s="61">
        <v>0.39583333333333331</v>
      </c>
      <c r="T19" s="55" t="s">
        <v>59</v>
      </c>
      <c r="U19" s="53"/>
      <c r="V19" s="53"/>
      <c r="W19" s="55" t="s">
        <v>59</v>
      </c>
      <c r="X19" s="26">
        <v>190502</v>
      </c>
      <c r="Y19" s="55" t="s">
        <v>59</v>
      </c>
      <c r="Z19" s="26">
        <v>190506</v>
      </c>
      <c r="AA19" s="53"/>
      <c r="AB19" s="28"/>
      <c r="AC19" s="28"/>
      <c r="AD19" s="28"/>
      <c r="AE19" s="28"/>
      <c r="AF19" s="28"/>
      <c r="AG19" s="28"/>
    </row>
    <row r="20" spans="1:33" ht="15.75" customHeight="1">
      <c r="A20" s="58" t="s">
        <v>147</v>
      </c>
      <c r="B20" s="26">
        <f t="shared" si="0"/>
        <v>190506</v>
      </c>
      <c r="C20" s="28"/>
      <c r="D20" s="67" t="s">
        <v>54</v>
      </c>
      <c r="E20" s="22" t="s">
        <v>52</v>
      </c>
      <c r="F20" s="22" t="s">
        <v>151</v>
      </c>
      <c r="G20" s="65">
        <v>43593</v>
      </c>
      <c r="H20" s="66">
        <v>43580</v>
      </c>
      <c r="I20" s="50"/>
      <c r="J20" s="51"/>
      <c r="K20" s="66">
        <v>43593</v>
      </c>
      <c r="L20" s="22"/>
      <c r="M20" s="24" t="s">
        <v>154</v>
      </c>
      <c r="N20" s="24" t="s">
        <v>116</v>
      </c>
      <c r="O20" s="24" t="s">
        <v>51</v>
      </c>
      <c r="P20" s="26" t="s">
        <v>52</v>
      </c>
      <c r="Q20" s="26" t="s">
        <v>117</v>
      </c>
      <c r="R20" s="58" t="s">
        <v>155</v>
      </c>
      <c r="S20" s="61">
        <v>0.39583333333333331</v>
      </c>
      <c r="T20" s="55" t="s">
        <v>59</v>
      </c>
      <c r="U20" s="53"/>
      <c r="V20" s="53"/>
      <c r="W20" s="55" t="s">
        <v>59</v>
      </c>
      <c r="X20" s="26">
        <v>190502</v>
      </c>
      <c r="Y20" s="55" t="s">
        <v>59</v>
      </c>
      <c r="Z20" s="26">
        <v>190506</v>
      </c>
      <c r="AA20" s="53"/>
      <c r="AB20" s="28"/>
      <c r="AC20" s="28"/>
      <c r="AD20" s="28"/>
      <c r="AE20" s="28"/>
      <c r="AF20" s="28"/>
      <c r="AG20" s="28"/>
    </row>
    <row r="21" spans="1:33" ht="15.75" customHeight="1">
      <c r="A21" s="58"/>
      <c r="B21" s="26">
        <f t="shared" si="0"/>
        <v>190506</v>
      </c>
      <c r="C21" s="28"/>
      <c r="D21" s="67" t="s">
        <v>54</v>
      </c>
      <c r="E21" s="22"/>
      <c r="F21" s="22"/>
      <c r="G21" s="65">
        <v>43594</v>
      </c>
      <c r="H21" s="66">
        <v>43581</v>
      </c>
      <c r="I21" s="50"/>
      <c r="J21" s="51"/>
      <c r="K21" s="66">
        <v>43594</v>
      </c>
      <c r="L21" s="22"/>
      <c r="M21" s="24" t="s">
        <v>159</v>
      </c>
      <c r="N21" s="24" t="s">
        <v>116</v>
      </c>
      <c r="O21" s="24" t="s">
        <v>62</v>
      </c>
      <c r="P21" s="26" t="s">
        <v>52</v>
      </c>
      <c r="Q21" s="26" t="s">
        <v>117</v>
      </c>
      <c r="R21" s="58" t="s">
        <v>160</v>
      </c>
      <c r="S21" s="61">
        <v>0.39583333333333331</v>
      </c>
      <c r="T21" s="55" t="s">
        <v>59</v>
      </c>
      <c r="U21" s="53"/>
      <c r="V21" s="53"/>
      <c r="W21" s="55" t="s">
        <v>59</v>
      </c>
      <c r="X21" s="26">
        <v>190502</v>
      </c>
      <c r="Y21" s="55" t="s">
        <v>59</v>
      </c>
      <c r="Z21" s="26">
        <v>190506</v>
      </c>
      <c r="AA21" s="53"/>
      <c r="AB21" s="28"/>
      <c r="AC21" s="28"/>
      <c r="AD21" s="28"/>
      <c r="AE21" s="28"/>
      <c r="AF21" s="28"/>
      <c r="AG21" s="28"/>
    </row>
    <row r="22" spans="1:33" ht="15.75" customHeight="1">
      <c r="A22" s="58"/>
      <c r="B22" s="26">
        <f t="shared" si="0"/>
        <v>190508</v>
      </c>
      <c r="C22" s="28"/>
      <c r="D22" s="57" t="s">
        <v>65</v>
      </c>
      <c r="E22" s="68" t="s">
        <v>163</v>
      </c>
      <c r="F22" s="68" t="s">
        <v>163</v>
      </c>
      <c r="G22" s="65">
        <v>43595</v>
      </c>
      <c r="H22" s="66">
        <v>43584</v>
      </c>
      <c r="I22" s="50"/>
      <c r="J22" s="51"/>
      <c r="K22" s="66">
        <v>43595</v>
      </c>
      <c r="L22" s="22" t="s">
        <v>165</v>
      </c>
      <c r="M22" s="24" t="s">
        <v>166</v>
      </c>
      <c r="N22" s="24" t="s">
        <v>116</v>
      </c>
      <c r="O22" s="24" t="s">
        <v>51</v>
      </c>
      <c r="P22" s="26" t="s">
        <v>52</v>
      </c>
      <c r="Q22" s="26" t="s">
        <v>117</v>
      </c>
      <c r="R22" s="58" t="s">
        <v>168</v>
      </c>
      <c r="S22" s="61">
        <v>0.39583333333333331</v>
      </c>
      <c r="T22" s="55" t="s">
        <v>59</v>
      </c>
      <c r="U22" s="53"/>
      <c r="V22" s="53"/>
      <c r="W22" s="55" t="s">
        <v>59</v>
      </c>
      <c r="X22" s="55" t="s">
        <v>59</v>
      </c>
      <c r="Y22" s="55" t="s">
        <v>59</v>
      </c>
      <c r="Z22" s="26">
        <v>190508</v>
      </c>
      <c r="AA22" s="53"/>
      <c r="AB22" s="28"/>
      <c r="AC22" s="28"/>
      <c r="AD22" s="28"/>
      <c r="AE22" s="28"/>
      <c r="AF22" s="28"/>
      <c r="AG22" s="28"/>
    </row>
    <row r="23" spans="1:33" ht="15.75" customHeight="1">
      <c r="A23" s="58" t="s">
        <v>147</v>
      </c>
      <c r="B23" s="26">
        <f t="shared" si="0"/>
        <v>190510</v>
      </c>
      <c r="C23" s="28"/>
      <c r="D23" s="67" t="s">
        <v>54</v>
      </c>
      <c r="E23" s="22" t="s">
        <v>52</v>
      </c>
      <c r="F23" s="22" t="s">
        <v>151</v>
      </c>
      <c r="G23" s="65">
        <v>43598</v>
      </c>
      <c r="H23" s="66">
        <v>43585</v>
      </c>
      <c r="I23" s="50"/>
      <c r="J23" s="51"/>
      <c r="K23" s="66">
        <v>43598</v>
      </c>
      <c r="L23" s="22" t="s">
        <v>169</v>
      </c>
      <c r="M23" s="24" t="s">
        <v>170</v>
      </c>
      <c r="N23" s="24" t="s">
        <v>116</v>
      </c>
      <c r="O23" s="24" t="s">
        <v>51</v>
      </c>
      <c r="P23" s="26" t="s">
        <v>52</v>
      </c>
      <c r="Q23" s="26" t="s">
        <v>117</v>
      </c>
      <c r="R23" s="58" t="s">
        <v>171</v>
      </c>
      <c r="S23" s="61">
        <v>0.39583333333333331</v>
      </c>
      <c r="T23" s="55" t="s">
        <v>59</v>
      </c>
      <c r="U23" s="53"/>
      <c r="V23" s="53"/>
      <c r="W23" s="55" t="s">
        <v>59</v>
      </c>
      <c r="X23" s="55" t="s">
        <v>59</v>
      </c>
      <c r="Y23" s="55" t="s">
        <v>59</v>
      </c>
      <c r="Z23" s="26">
        <v>190510</v>
      </c>
      <c r="AA23" s="53"/>
      <c r="AB23" s="28"/>
      <c r="AC23" s="28"/>
      <c r="AD23" s="28"/>
      <c r="AE23" s="28"/>
      <c r="AF23" s="28"/>
      <c r="AG23" s="28"/>
    </row>
    <row r="24" spans="1:33" ht="15.75" customHeight="1">
      <c r="A24" s="58"/>
      <c r="B24" s="26"/>
      <c r="C24" s="28"/>
      <c r="D24" s="67" t="s">
        <v>175</v>
      </c>
      <c r="E24" s="68" t="s">
        <v>151</v>
      </c>
      <c r="F24" s="68" t="s">
        <v>53</v>
      </c>
      <c r="G24" s="65">
        <v>43602</v>
      </c>
      <c r="H24" s="66">
        <v>43587</v>
      </c>
      <c r="I24" s="50"/>
      <c r="J24" s="69">
        <v>43605</v>
      </c>
      <c r="K24" s="66"/>
      <c r="L24" s="68" t="s">
        <v>180</v>
      </c>
      <c r="M24" s="39" t="s">
        <v>181</v>
      </c>
      <c r="N24" s="39" t="s">
        <v>182</v>
      </c>
      <c r="O24" s="24" t="s">
        <v>62</v>
      </c>
      <c r="P24" s="55" t="s">
        <v>52</v>
      </c>
      <c r="Q24" s="55" t="s">
        <v>55</v>
      </c>
      <c r="R24" s="58" t="s">
        <v>183</v>
      </c>
      <c r="S24" s="61">
        <v>0.39583333333333331</v>
      </c>
      <c r="T24" s="55"/>
      <c r="U24" s="55" t="s">
        <v>59</v>
      </c>
      <c r="V24" s="55" t="s">
        <v>59</v>
      </c>
      <c r="W24" s="55"/>
      <c r="X24" s="55"/>
      <c r="Y24" s="55"/>
      <c r="Z24" s="26"/>
      <c r="AA24" s="53"/>
      <c r="AB24" s="28"/>
      <c r="AC24" s="28"/>
      <c r="AD24" s="28"/>
      <c r="AE24" s="28"/>
      <c r="AF24" s="28"/>
      <c r="AG24" s="28"/>
    </row>
    <row r="25" spans="1:33" ht="15.75" customHeight="1">
      <c r="A25" s="58"/>
      <c r="B25" s="26"/>
      <c r="C25" s="28"/>
      <c r="D25" s="67" t="s">
        <v>175</v>
      </c>
      <c r="E25" s="68" t="s">
        <v>187</v>
      </c>
      <c r="F25" s="68" t="s">
        <v>188</v>
      </c>
      <c r="G25" s="65">
        <v>43606</v>
      </c>
      <c r="H25" s="66">
        <v>43588</v>
      </c>
      <c r="I25" s="50"/>
      <c r="J25" s="69">
        <v>43606</v>
      </c>
      <c r="K25" s="66"/>
      <c r="L25" s="68"/>
      <c r="M25" s="39" t="s">
        <v>189</v>
      </c>
      <c r="N25" s="39" t="s">
        <v>182</v>
      </c>
      <c r="O25" s="24" t="s">
        <v>62</v>
      </c>
      <c r="P25" s="55" t="s">
        <v>52</v>
      </c>
      <c r="Q25" s="55" t="s">
        <v>55</v>
      </c>
      <c r="R25" s="58" t="s">
        <v>190</v>
      </c>
      <c r="S25" s="61">
        <v>0.39583333333333331</v>
      </c>
      <c r="T25" s="55"/>
      <c r="U25" s="55" t="s">
        <v>59</v>
      </c>
      <c r="V25" s="55" t="s">
        <v>59</v>
      </c>
      <c r="W25" s="55"/>
      <c r="X25" s="55"/>
      <c r="Y25" s="55"/>
      <c r="Z25" s="26"/>
      <c r="AA25" s="53"/>
      <c r="AB25" s="28"/>
      <c r="AC25" s="28"/>
      <c r="AD25" s="28"/>
      <c r="AE25" s="28"/>
      <c r="AF25" s="28"/>
      <c r="AG25" s="28"/>
    </row>
    <row r="26" spans="1:33" ht="15.75" customHeight="1">
      <c r="A26" s="58"/>
      <c r="B26" s="26" t="s">
        <v>192</v>
      </c>
      <c r="C26" s="28"/>
      <c r="D26" s="67" t="s">
        <v>194</v>
      </c>
      <c r="E26" s="22"/>
      <c r="F26" s="22"/>
      <c r="G26" s="65"/>
      <c r="H26" s="66">
        <v>43588</v>
      </c>
      <c r="I26" s="50"/>
      <c r="J26" s="51"/>
      <c r="K26" s="66"/>
      <c r="L26" s="22" t="s">
        <v>133</v>
      </c>
      <c r="M26" s="24" t="s">
        <v>136</v>
      </c>
      <c r="N26" s="39" t="s">
        <v>197</v>
      </c>
      <c r="O26" s="24" t="s">
        <v>62</v>
      </c>
      <c r="P26" s="55" t="s">
        <v>52</v>
      </c>
      <c r="Q26" s="55" t="s">
        <v>55</v>
      </c>
      <c r="R26" s="58" t="s">
        <v>198</v>
      </c>
      <c r="S26" s="61">
        <v>0.39583333333333331</v>
      </c>
      <c r="T26" s="55"/>
      <c r="U26" s="55" t="s">
        <v>59</v>
      </c>
      <c r="V26" s="55" t="s">
        <v>59</v>
      </c>
      <c r="W26" s="55"/>
      <c r="X26" s="55"/>
      <c r="Y26" s="55"/>
      <c r="Z26" s="26"/>
      <c r="AA26" s="53"/>
      <c r="AB26" s="28"/>
      <c r="AC26" s="28"/>
      <c r="AD26" s="28"/>
      <c r="AE26" s="28"/>
      <c r="AF26" s="28"/>
      <c r="AG26" s="28"/>
    </row>
    <row r="27" spans="1:33" ht="15.75" customHeight="1">
      <c r="A27" s="58" t="s">
        <v>199</v>
      </c>
      <c r="B27" s="26">
        <f>Z27</f>
        <v>190520</v>
      </c>
      <c r="C27" s="28"/>
      <c r="D27" s="67" t="s">
        <v>54</v>
      </c>
      <c r="E27" s="22" t="s">
        <v>53</v>
      </c>
      <c r="F27" s="22" t="s">
        <v>53</v>
      </c>
      <c r="G27" s="65">
        <v>43605</v>
      </c>
      <c r="H27" s="66">
        <v>43591</v>
      </c>
      <c r="I27" s="50"/>
      <c r="J27" s="51"/>
      <c r="K27" s="66">
        <v>43605</v>
      </c>
      <c r="L27" s="22" t="s">
        <v>204</v>
      </c>
      <c r="M27" s="24" t="s">
        <v>205</v>
      </c>
      <c r="N27" s="24" t="s">
        <v>116</v>
      </c>
      <c r="O27" s="24" t="s">
        <v>51</v>
      </c>
      <c r="P27" s="26" t="s">
        <v>52</v>
      </c>
      <c r="Q27" s="26" t="s">
        <v>117</v>
      </c>
      <c r="R27" s="58" t="s">
        <v>208</v>
      </c>
      <c r="S27" s="61">
        <v>0.39583333333333331</v>
      </c>
      <c r="T27" s="55" t="s">
        <v>59</v>
      </c>
      <c r="U27" s="53"/>
      <c r="V27" s="53"/>
      <c r="W27" s="55" t="s">
        <v>59</v>
      </c>
      <c r="X27" s="55" t="s">
        <v>59</v>
      </c>
      <c r="Y27" s="55" t="s">
        <v>59</v>
      </c>
      <c r="Z27" s="26">
        <v>190520</v>
      </c>
      <c r="AA27" s="53"/>
      <c r="AB27" s="28"/>
      <c r="AC27" s="28"/>
      <c r="AD27" s="28"/>
      <c r="AE27" s="28"/>
      <c r="AF27" s="28"/>
      <c r="AG27" s="28"/>
    </row>
    <row r="28" spans="1:33" ht="15.75" customHeight="1">
      <c r="A28" s="58"/>
      <c r="B28" s="26" t="s">
        <v>192</v>
      </c>
      <c r="C28" s="28"/>
      <c r="D28" s="67" t="s">
        <v>194</v>
      </c>
      <c r="E28" s="22"/>
      <c r="F28" s="22"/>
      <c r="G28" s="65"/>
      <c r="H28" s="66">
        <v>43592</v>
      </c>
      <c r="I28" s="50"/>
      <c r="J28" s="51"/>
      <c r="K28" s="66"/>
      <c r="L28" s="22"/>
      <c r="M28" s="39" t="s">
        <v>210</v>
      </c>
      <c r="N28" s="39" t="s">
        <v>211</v>
      </c>
      <c r="O28" s="24" t="s">
        <v>51</v>
      </c>
      <c r="P28" s="26" t="s">
        <v>52</v>
      </c>
      <c r="Q28" s="55" t="s">
        <v>55</v>
      </c>
      <c r="R28" s="58"/>
      <c r="S28" s="61">
        <v>0.39583333333333331</v>
      </c>
      <c r="T28" s="55" t="s">
        <v>59</v>
      </c>
      <c r="U28" s="53"/>
      <c r="V28" s="53"/>
      <c r="W28" s="55"/>
      <c r="X28" s="55"/>
      <c r="Y28" s="55"/>
      <c r="Z28" s="26"/>
      <c r="AA28" s="53"/>
      <c r="AB28" s="28"/>
      <c r="AC28" s="28"/>
      <c r="AD28" s="28"/>
      <c r="AE28" s="28"/>
      <c r="AF28" s="28"/>
      <c r="AG28" s="28"/>
    </row>
    <row r="29" spans="1:33" ht="15.75" customHeight="1">
      <c r="A29" s="58"/>
      <c r="B29" s="26">
        <f t="shared" ref="B29:B31" si="2">Z29</f>
        <v>190522</v>
      </c>
      <c r="C29" s="28"/>
      <c r="D29" s="57" t="s">
        <v>65</v>
      </c>
      <c r="E29" s="22" t="s">
        <v>67</v>
      </c>
      <c r="F29" s="22" t="s">
        <v>67</v>
      </c>
      <c r="G29" s="65">
        <v>43607</v>
      </c>
      <c r="H29" s="66">
        <v>43593</v>
      </c>
      <c r="I29" s="50"/>
      <c r="J29" s="51"/>
      <c r="K29" s="66">
        <v>43607</v>
      </c>
      <c r="L29" s="22" t="s">
        <v>216</v>
      </c>
      <c r="M29" s="24" t="s">
        <v>217</v>
      </c>
      <c r="N29" s="24" t="s">
        <v>116</v>
      </c>
      <c r="O29" s="24" t="s">
        <v>51</v>
      </c>
      <c r="P29" s="26" t="s">
        <v>52</v>
      </c>
      <c r="Q29" s="26" t="s">
        <v>117</v>
      </c>
      <c r="R29" s="58" t="s">
        <v>218</v>
      </c>
      <c r="S29" s="61">
        <v>0.39583333333333331</v>
      </c>
      <c r="T29" s="55" t="s">
        <v>59</v>
      </c>
      <c r="U29" s="53"/>
      <c r="V29" s="53"/>
      <c r="W29" s="55" t="s">
        <v>59</v>
      </c>
      <c r="X29" s="55" t="s">
        <v>59</v>
      </c>
      <c r="Y29" s="55" t="s">
        <v>59</v>
      </c>
      <c r="Z29" s="26">
        <v>190522</v>
      </c>
      <c r="AA29" s="53"/>
      <c r="AB29" s="28"/>
      <c r="AC29" s="28"/>
      <c r="AD29" s="28"/>
      <c r="AE29" s="28"/>
      <c r="AF29" s="28"/>
      <c r="AG29" s="28"/>
    </row>
    <row r="30" spans="1:33" ht="15.75" customHeight="1">
      <c r="A30" s="58"/>
      <c r="B30" s="26">
        <f t="shared" si="2"/>
        <v>190522</v>
      </c>
      <c r="C30" s="28"/>
      <c r="D30" s="67" t="s">
        <v>54</v>
      </c>
      <c r="E30" s="22"/>
      <c r="F30" s="22"/>
      <c r="G30" s="65">
        <v>43607</v>
      </c>
      <c r="H30" s="66">
        <v>43593</v>
      </c>
      <c r="I30" s="50"/>
      <c r="J30" s="51"/>
      <c r="K30" s="66">
        <v>43607</v>
      </c>
      <c r="L30" s="22" t="s">
        <v>223</v>
      </c>
      <c r="M30" s="24" t="s">
        <v>224</v>
      </c>
      <c r="N30" s="24" t="s">
        <v>116</v>
      </c>
      <c r="O30" s="24" t="s">
        <v>51</v>
      </c>
      <c r="P30" s="26" t="s">
        <v>52</v>
      </c>
      <c r="Q30" s="26" t="s">
        <v>117</v>
      </c>
      <c r="R30" s="58" t="s">
        <v>225</v>
      </c>
      <c r="S30" s="61">
        <v>0.39583333333333331</v>
      </c>
      <c r="T30" s="55" t="s">
        <v>59</v>
      </c>
      <c r="U30" s="53"/>
      <c r="V30" s="53"/>
      <c r="W30" s="55" t="s">
        <v>59</v>
      </c>
      <c r="X30" s="55" t="s">
        <v>59</v>
      </c>
      <c r="Y30" s="55" t="s">
        <v>59</v>
      </c>
      <c r="Z30" s="26">
        <v>190522</v>
      </c>
      <c r="AA30" s="53"/>
      <c r="AB30" s="28"/>
      <c r="AC30" s="28"/>
      <c r="AD30" s="28"/>
      <c r="AE30" s="28"/>
      <c r="AF30" s="28"/>
      <c r="AG30" s="28"/>
    </row>
    <row r="31" spans="1:33" ht="15.75" customHeight="1">
      <c r="A31" s="58"/>
      <c r="B31" s="26">
        <f t="shared" si="2"/>
        <v>190523</v>
      </c>
      <c r="C31" s="28"/>
      <c r="D31" s="57" t="s">
        <v>65</v>
      </c>
      <c r="E31" s="22" t="s">
        <v>67</v>
      </c>
      <c r="F31" s="22" t="s">
        <v>67</v>
      </c>
      <c r="G31" s="65">
        <v>43608</v>
      </c>
      <c r="H31" s="66">
        <v>43594</v>
      </c>
      <c r="I31" s="50"/>
      <c r="J31" s="51"/>
      <c r="K31" s="66">
        <v>43608</v>
      </c>
      <c r="L31" s="22" t="s">
        <v>230</v>
      </c>
      <c r="M31" s="24" t="s">
        <v>231</v>
      </c>
      <c r="N31" s="24" t="s">
        <v>116</v>
      </c>
      <c r="O31" s="24" t="s">
        <v>51</v>
      </c>
      <c r="P31" s="26" t="s">
        <v>52</v>
      </c>
      <c r="Q31" s="26" t="s">
        <v>117</v>
      </c>
      <c r="R31" s="58" t="s">
        <v>232</v>
      </c>
      <c r="S31" s="61">
        <v>0.39583333333333331</v>
      </c>
      <c r="T31" s="55" t="s">
        <v>59</v>
      </c>
      <c r="U31" s="53"/>
      <c r="V31" s="53"/>
      <c r="W31" s="55" t="s">
        <v>59</v>
      </c>
      <c r="X31" s="55" t="s">
        <v>59</v>
      </c>
      <c r="Y31" s="55" t="s">
        <v>59</v>
      </c>
      <c r="Z31" s="26">
        <v>190523</v>
      </c>
      <c r="AA31" s="53"/>
      <c r="AB31" s="28"/>
      <c r="AC31" s="28"/>
      <c r="AD31" s="28"/>
      <c r="AE31" s="28"/>
      <c r="AF31" s="28"/>
      <c r="AG31" s="28"/>
    </row>
    <row r="32" spans="1:33" ht="15.75" customHeight="1">
      <c r="A32" s="58"/>
      <c r="B32" s="26" t="s">
        <v>192</v>
      </c>
      <c r="C32" s="28"/>
      <c r="D32" s="67" t="s">
        <v>194</v>
      </c>
      <c r="E32" s="22"/>
      <c r="F32" s="22"/>
      <c r="G32" s="65"/>
      <c r="H32" s="66">
        <v>43595</v>
      </c>
      <c r="I32" s="50"/>
      <c r="J32" s="51"/>
      <c r="K32" s="66"/>
      <c r="L32" s="22"/>
      <c r="M32" s="39" t="s">
        <v>233</v>
      </c>
      <c r="N32" s="39" t="s">
        <v>197</v>
      </c>
      <c r="O32" s="24" t="s">
        <v>62</v>
      </c>
      <c r="P32" s="55" t="s">
        <v>52</v>
      </c>
      <c r="Q32" s="55" t="s">
        <v>55</v>
      </c>
      <c r="R32" s="58" t="s">
        <v>236</v>
      </c>
      <c r="S32" s="61">
        <v>0.39583333333333331</v>
      </c>
      <c r="T32" s="55"/>
      <c r="U32" s="55" t="s">
        <v>59</v>
      </c>
      <c r="V32" s="55" t="s">
        <v>59</v>
      </c>
      <c r="W32" s="55"/>
      <c r="X32" s="55"/>
      <c r="Y32" s="55"/>
      <c r="Z32" s="26"/>
      <c r="AA32" s="53"/>
      <c r="AB32" s="28"/>
      <c r="AC32" s="28"/>
      <c r="AD32" s="28"/>
      <c r="AE32" s="28"/>
      <c r="AF32" s="28"/>
      <c r="AG32" s="28"/>
    </row>
    <row r="33" spans="1:33" ht="15.75" customHeight="1">
      <c r="A33" s="58"/>
      <c r="B33" s="26" t="s">
        <v>192</v>
      </c>
      <c r="C33" s="28"/>
      <c r="D33" s="67" t="s">
        <v>194</v>
      </c>
      <c r="E33" s="22"/>
      <c r="F33" s="22"/>
      <c r="G33" s="65"/>
      <c r="H33" s="66">
        <v>43595</v>
      </c>
      <c r="I33" s="50"/>
      <c r="J33" s="51"/>
      <c r="K33" s="66"/>
      <c r="L33" s="22"/>
      <c r="M33" s="39" t="s">
        <v>210</v>
      </c>
      <c r="N33" s="39" t="s">
        <v>197</v>
      </c>
      <c r="O33" s="24" t="s">
        <v>51</v>
      </c>
      <c r="P33" s="55" t="s">
        <v>52</v>
      </c>
      <c r="Q33" s="55" t="s">
        <v>55</v>
      </c>
      <c r="R33" s="58" t="s">
        <v>238</v>
      </c>
      <c r="S33" s="61">
        <v>0.39583333333333331</v>
      </c>
      <c r="T33" s="55"/>
      <c r="U33" s="55" t="s">
        <v>59</v>
      </c>
      <c r="V33" s="55" t="s">
        <v>59</v>
      </c>
      <c r="W33" s="55"/>
      <c r="X33" s="55"/>
      <c r="Y33" s="55"/>
      <c r="Z33" s="26"/>
      <c r="AA33" s="53"/>
      <c r="AB33" s="28"/>
      <c r="AC33" s="28"/>
      <c r="AD33" s="28"/>
      <c r="AE33" s="28"/>
      <c r="AF33" s="28"/>
      <c r="AG33" s="28"/>
    </row>
    <row r="34" spans="1:33" ht="15.75" customHeight="1">
      <c r="A34" s="58"/>
      <c r="B34" s="26" t="s">
        <v>192</v>
      </c>
      <c r="C34" s="28"/>
      <c r="D34" s="67" t="s">
        <v>194</v>
      </c>
      <c r="E34" s="22"/>
      <c r="F34" s="22"/>
      <c r="G34" s="65"/>
      <c r="H34" s="66">
        <v>43595</v>
      </c>
      <c r="I34" s="50"/>
      <c r="J34" s="51"/>
      <c r="K34" s="66"/>
      <c r="L34" s="22"/>
      <c r="M34" s="39" t="s">
        <v>159</v>
      </c>
      <c r="N34" s="39" t="s">
        <v>197</v>
      </c>
      <c r="O34" s="24" t="s">
        <v>62</v>
      </c>
      <c r="P34" s="55" t="s">
        <v>52</v>
      </c>
      <c r="Q34" s="55" t="s">
        <v>55</v>
      </c>
      <c r="R34" s="58" t="s">
        <v>242</v>
      </c>
      <c r="S34" s="61">
        <v>0.39583333333333331</v>
      </c>
      <c r="T34" s="55"/>
      <c r="U34" s="55" t="s">
        <v>59</v>
      </c>
      <c r="V34" s="55" t="s">
        <v>59</v>
      </c>
      <c r="W34" s="55"/>
      <c r="X34" s="55"/>
      <c r="Y34" s="55"/>
      <c r="Z34" s="26"/>
      <c r="AA34" s="53"/>
      <c r="AB34" s="28"/>
      <c r="AC34" s="28"/>
      <c r="AD34" s="28"/>
      <c r="AE34" s="28"/>
      <c r="AF34" s="28"/>
      <c r="AG34" s="28"/>
    </row>
    <row r="35" spans="1:33" ht="15.75" customHeight="1">
      <c r="A35" s="58"/>
      <c r="B35" s="26" t="s">
        <v>192</v>
      </c>
      <c r="C35" s="28"/>
      <c r="D35" s="67" t="s">
        <v>194</v>
      </c>
      <c r="E35" s="22"/>
      <c r="F35" s="22"/>
      <c r="G35" s="65"/>
      <c r="H35" s="66">
        <v>43595</v>
      </c>
      <c r="I35" s="50"/>
      <c r="J35" s="51"/>
      <c r="K35" s="66"/>
      <c r="L35" s="22"/>
      <c r="M35" s="39" t="s">
        <v>244</v>
      </c>
      <c r="N35" s="39" t="s">
        <v>197</v>
      </c>
      <c r="O35" s="24" t="s">
        <v>51</v>
      </c>
      <c r="P35" s="55" t="s">
        <v>52</v>
      </c>
      <c r="Q35" s="55" t="s">
        <v>55</v>
      </c>
      <c r="R35" s="58" t="s">
        <v>245</v>
      </c>
      <c r="S35" s="61">
        <v>0.39583333333333331</v>
      </c>
      <c r="T35" s="55"/>
      <c r="U35" s="55" t="s">
        <v>59</v>
      </c>
      <c r="V35" s="55" t="s">
        <v>59</v>
      </c>
      <c r="W35" s="55"/>
      <c r="X35" s="55"/>
      <c r="Y35" s="55"/>
      <c r="Z35" s="26"/>
      <c r="AA35" s="53"/>
      <c r="AB35" s="28"/>
      <c r="AC35" s="28"/>
      <c r="AD35" s="28"/>
      <c r="AE35" s="28"/>
      <c r="AF35" s="28"/>
      <c r="AG35" s="28"/>
    </row>
    <row r="36" spans="1:33" ht="15.75" customHeight="1">
      <c r="A36" s="58"/>
      <c r="B36" s="26"/>
      <c r="C36" s="28"/>
      <c r="D36" s="57" t="s">
        <v>65</v>
      </c>
      <c r="E36" s="22" t="s">
        <v>67</v>
      </c>
      <c r="F36" s="22" t="s">
        <v>67</v>
      </c>
      <c r="G36" s="65">
        <v>43613</v>
      </c>
      <c r="H36" s="66">
        <v>43595</v>
      </c>
      <c r="I36" s="50"/>
      <c r="J36" s="69">
        <v>43613</v>
      </c>
      <c r="K36" s="66"/>
      <c r="L36" s="22"/>
      <c r="M36" s="24" t="s">
        <v>123</v>
      </c>
      <c r="N36" s="39" t="s">
        <v>249</v>
      </c>
      <c r="O36" s="24" t="s">
        <v>51</v>
      </c>
      <c r="P36" s="55" t="s">
        <v>52</v>
      </c>
      <c r="Q36" s="55" t="s">
        <v>55</v>
      </c>
      <c r="R36" s="58"/>
      <c r="S36" s="61">
        <v>0.39583333333333331</v>
      </c>
      <c r="T36" s="55"/>
      <c r="U36" s="53"/>
      <c r="V36" s="55" t="s">
        <v>59</v>
      </c>
      <c r="W36" s="55"/>
      <c r="X36" s="55"/>
      <c r="Y36" s="55"/>
      <c r="Z36" s="26"/>
      <c r="AA36" s="53"/>
      <c r="AB36" s="28"/>
      <c r="AC36" s="28"/>
      <c r="AD36" s="28"/>
      <c r="AE36" s="28"/>
      <c r="AF36" s="28"/>
      <c r="AG36" s="28"/>
    </row>
    <row r="37" spans="1:33" ht="15.75" customHeight="1">
      <c r="A37" s="58"/>
      <c r="B37" s="26"/>
      <c r="C37" s="28"/>
      <c r="D37" s="57" t="s">
        <v>65</v>
      </c>
      <c r="E37" s="22" t="s">
        <v>67</v>
      </c>
      <c r="F37" s="22" t="s">
        <v>67</v>
      </c>
      <c r="G37" s="65">
        <v>43613</v>
      </c>
      <c r="H37" s="66">
        <v>43595</v>
      </c>
      <c r="I37" s="50"/>
      <c r="J37" s="69">
        <v>43613</v>
      </c>
      <c r="K37" s="66"/>
      <c r="L37" s="22"/>
      <c r="M37" s="24" t="s">
        <v>123</v>
      </c>
      <c r="N37" s="39" t="s">
        <v>251</v>
      </c>
      <c r="O37" s="24" t="s">
        <v>51</v>
      </c>
      <c r="P37" s="55" t="s">
        <v>52</v>
      </c>
      <c r="Q37" s="55" t="s">
        <v>55</v>
      </c>
      <c r="R37" s="58" t="s">
        <v>252</v>
      </c>
      <c r="S37" s="61">
        <v>0.39583333333333331</v>
      </c>
      <c r="T37" s="55"/>
      <c r="U37" s="55" t="s">
        <v>59</v>
      </c>
      <c r="V37" s="53"/>
      <c r="W37" s="55"/>
      <c r="X37" s="55"/>
      <c r="Y37" s="55"/>
      <c r="Z37" s="26"/>
      <c r="AA37" s="53"/>
      <c r="AB37" s="28"/>
      <c r="AC37" s="28"/>
      <c r="AD37" s="28"/>
      <c r="AE37" s="28"/>
      <c r="AF37" s="28"/>
      <c r="AG37" s="28"/>
    </row>
    <row r="38" spans="1:33" ht="15.75" customHeight="1">
      <c r="A38" s="58"/>
      <c r="B38" s="26"/>
      <c r="C38" s="28"/>
      <c r="D38" s="67" t="s">
        <v>175</v>
      </c>
      <c r="E38" s="68" t="s">
        <v>151</v>
      </c>
      <c r="F38" s="68" t="s">
        <v>53</v>
      </c>
      <c r="G38" s="65">
        <v>43605</v>
      </c>
      <c r="H38" s="66">
        <v>43595</v>
      </c>
      <c r="I38" s="69">
        <v>43605</v>
      </c>
      <c r="J38" s="51"/>
      <c r="K38" s="66"/>
      <c r="L38" s="68" t="s">
        <v>255</v>
      </c>
      <c r="M38" s="39" t="s">
        <v>256</v>
      </c>
      <c r="N38" s="39" t="s">
        <v>182</v>
      </c>
      <c r="O38" s="24" t="s">
        <v>62</v>
      </c>
      <c r="P38" s="55" t="s">
        <v>52</v>
      </c>
      <c r="Q38" s="55" t="s">
        <v>55</v>
      </c>
      <c r="R38" s="58" t="s">
        <v>258</v>
      </c>
      <c r="S38" s="61">
        <v>0.39583333333333331</v>
      </c>
      <c r="T38" s="55" t="s">
        <v>59</v>
      </c>
      <c r="U38" s="55" t="s">
        <v>59</v>
      </c>
      <c r="V38" s="53"/>
      <c r="W38" s="55"/>
      <c r="X38" s="55"/>
      <c r="Y38" s="55"/>
      <c r="Z38" s="26"/>
      <c r="AA38" s="53"/>
      <c r="AB38" s="28"/>
      <c r="AC38" s="28"/>
      <c r="AD38" s="28"/>
      <c r="AE38" s="28"/>
      <c r="AF38" s="28"/>
      <c r="AG38" s="28"/>
    </row>
    <row r="39" spans="1:33" ht="15.75" customHeight="1">
      <c r="A39" s="58"/>
      <c r="B39" s="26">
        <f t="shared" ref="B39:B53" si="3">Z39</f>
        <v>190524</v>
      </c>
      <c r="C39" s="28"/>
      <c r="D39" s="57" t="s">
        <v>65</v>
      </c>
      <c r="E39" s="22" t="s">
        <v>67</v>
      </c>
      <c r="F39" s="22" t="s">
        <v>67</v>
      </c>
      <c r="G39" s="65">
        <v>43609</v>
      </c>
      <c r="H39" s="66">
        <v>43595</v>
      </c>
      <c r="I39" s="50"/>
      <c r="J39" s="51"/>
      <c r="K39" s="66">
        <v>43609</v>
      </c>
      <c r="L39" s="22" t="s">
        <v>261</v>
      </c>
      <c r="M39" s="24" t="s">
        <v>89</v>
      </c>
      <c r="N39" s="24" t="s">
        <v>116</v>
      </c>
      <c r="O39" s="24" t="s">
        <v>51</v>
      </c>
      <c r="P39" s="26" t="s">
        <v>52</v>
      </c>
      <c r="Q39" s="26" t="s">
        <v>117</v>
      </c>
      <c r="R39" s="58" t="s">
        <v>264</v>
      </c>
      <c r="S39" s="61">
        <v>0.39583333333333331</v>
      </c>
      <c r="T39" s="55" t="s">
        <v>59</v>
      </c>
      <c r="U39" s="53"/>
      <c r="V39" s="53"/>
      <c r="W39" s="55" t="s">
        <v>59</v>
      </c>
      <c r="X39" s="55" t="s">
        <v>59</v>
      </c>
      <c r="Y39" s="55" t="s">
        <v>59</v>
      </c>
      <c r="Z39" s="26">
        <v>190524</v>
      </c>
      <c r="AA39" s="53"/>
      <c r="AB39" s="28"/>
      <c r="AC39" s="28"/>
      <c r="AD39" s="28"/>
      <c r="AE39" s="28"/>
      <c r="AF39" s="28"/>
      <c r="AG39" s="28"/>
    </row>
    <row r="40" spans="1:33" ht="15.75" customHeight="1">
      <c r="A40" s="58"/>
      <c r="B40" s="26">
        <f t="shared" si="3"/>
        <v>190524</v>
      </c>
      <c r="C40" s="28"/>
      <c r="D40" s="57" t="s">
        <v>65</v>
      </c>
      <c r="E40" s="22" t="s">
        <v>67</v>
      </c>
      <c r="F40" s="22" t="s">
        <v>67</v>
      </c>
      <c r="G40" s="65">
        <v>43609</v>
      </c>
      <c r="H40" s="66">
        <v>43595</v>
      </c>
      <c r="I40" s="50"/>
      <c r="J40" s="51"/>
      <c r="K40" s="66">
        <v>43609</v>
      </c>
      <c r="L40" s="22" t="s">
        <v>265</v>
      </c>
      <c r="M40" s="24" t="s">
        <v>266</v>
      </c>
      <c r="N40" s="24" t="s">
        <v>116</v>
      </c>
      <c r="O40" s="24" t="s">
        <v>62</v>
      </c>
      <c r="P40" s="26" t="s">
        <v>52</v>
      </c>
      <c r="Q40" s="26" t="s">
        <v>117</v>
      </c>
      <c r="R40" s="58" t="s">
        <v>267</v>
      </c>
      <c r="S40" s="61">
        <v>0.39583333333333331</v>
      </c>
      <c r="T40" s="55" t="s">
        <v>59</v>
      </c>
      <c r="U40" s="53"/>
      <c r="V40" s="53"/>
      <c r="W40" s="55" t="s">
        <v>59</v>
      </c>
      <c r="X40" s="55" t="s">
        <v>59</v>
      </c>
      <c r="Y40" s="55" t="s">
        <v>59</v>
      </c>
      <c r="Z40" s="26">
        <v>190524</v>
      </c>
      <c r="AA40" s="53"/>
      <c r="AB40" s="28"/>
      <c r="AC40" s="28"/>
      <c r="AD40" s="28"/>
      <c r="AE40" s="28"/>
      <c r="AF40" s="28"/>
      <c r="AG40" s="28"/>
    </row>
    <row r="41" spans="1:33" ht="15.75" customHeight="1">
      <c r="A41" s="58"/>
      <c r="B41" s="26">
        <f t="shared" si="3"/>
        <v>190529</v>
      </c>
      <c r="C41" s="28"/>
      <c r="D41" s="57" t="s">
        <v>65</v>
      </c>
      <c r="E41" s="22" t="s">
        <v>67</v>
      </c>
      <c r="F41" s="22" t="s">
        <v>67</v>
      </c>
      <c r="G41" s="65">
        <v>43617</v>
      </c>
      <c r="H41" s="66">
        <v>43600</v>
      </c>
      <c r="I41" s="50"/>
      <c r="J41" s="51"/>
      <c r="K41" s="66">
        <v>43617</v>
      </c>
      <c r="L41" s="22" t="s">
        <v>86</v>
      </c>
      <c r="M41" s="24" t="s">
        <v>87</v>
      </c>
      <c r="N41" s="24" t="s">
        <v>116</v>
      </c>
      <c r="O41" s="24" t="s">
        <v>51</v>
      </c>
      <c r="P41" s="26" t="s">
        <v>52</v>
      </c>
      <c r="Q41" s="26" t="s">
        <v>117</v>
      </c>
      <c r="R41" s="58" t="s">
        <v>272</v>
      </c>
      <c r="S41" s="61">
        <v>0.39583333333333331</v>
      </c>
      <c r="T41" s="55" t="s">
        <v>59</v>
      </c>
      <c r="U41" s="53"/>
      <c r="V41" s="53"/>
      <c r="W41" s="55" t="s">
        <v>59</v>
      </c>
      <c r="X41" s="26">
        <v>190527</v>
      </c>
      <c r="Y41" s="55" t="s">
        <v>59</v>
      </c>
      <c r="Z41" s="26">
        <v>190529</v>
      </c>
      <c r="AA41" s="53"/>
      <c r="AB41" s="28"/>
      <c r="AC41" s="28"/>
      <c r="AD41" s="28"/>
      <c r="AE41" s="28"/>
      <c r="AF41" s="28"/>
      <c r="AG41" s="28"/>
    </row>
    <row r="42" spans="1:33" ht="15.75" customHeight="1">
      <c r="A42" s="58"/>
      <c r="B42" s="26">
        <f t="shared" si="3"/>
        <v>190610</v>
      </c>
      <c r="C42" s="28"/>
      <c r="D42" s="57" t="s">
        <v>65</v>
      </c>
      <c r="E42" s="22" t="s">
        <v>67</v>
      </c>
      <c r="F42" s="22" t="s">
        <v>67</v>
      </c>
      <c r="G42" s="65">
        <v>43626</v>
      </c>
      <c r="H42" s="66">
        <v>43609</v>
      </c>
      <c r="I42" s="50"/>
      <c r="J42" s="51"/>
      <c r="K42" s="66">
        <v>43626</v>
      </c>
      <c r="L42" s="22" t="s">
        <v>276</v>
      </c>
      <c r="M42" s="24" t="s">
        <v>94</v>
      </c>
      <c r="N42" s="24" t="s">
        <v>116</v>
      </c>
      <c r="O42" s="24" t="s">
        <v>51</v>
      </c>
      <c r="P42" s="26" t="s">
        <v>52</v>
      </c>
      <c r="Q42" s="26" t="s">
        <v>117</v>
      </c>
      <c r="R42" s="58" t="s">
        <v>277</v>
      </c>
      <c r="S42" s="61">
        <v>0.39583333333333331</v>
      </c>
      <c r="T42" s="55" t="s">
        <v>59</v>
      </c>
      <c r="U42" s="53"/>
      <c r="V42" s="53"/>
      <c r="W42" s="55" t="s">
        <v>59</v>
      </c>
      <c r="X42" s="26">
        <v>190527</v>
      </c>
      <c r="Y42" s="55" t="s">
        <v>59</v>
      </c>
      <c r="Z42" s="26">
        <v>190610</v>
      </c>
      <c r="AA42" s="53"/>
      <c r="AB42" s="28"/>
      <c r="AC42" s="28"/>
      <c r="AD42" s="28"/>
      <c r="AE42" s="28"/>
      <c r="AF42" s="28"/>
      <c r="AG42" s="28"/>
    </row>
    <row r="43" spans="1:33" ht="15.75" customHeight="1">
      <c r="A43" s="58"/>
      <c r="B43" s="26" t="str">
        <f t="shared" si="3"/>
        <v>內部免出</v>
      </c>
      <c r="C43" s="28"/>
      <c r="D43" s="57" t="s">
        <v>65</v>
      </c>
      <c r="E43" s="68" t="s">
        <v>163</v>
      </c>
      <c r="F43" s="68" t="s">
        <v>163</v>
      </c>
      <c r="G43" s="65">
        <v>43626</v>
      </c>
      <c r="H43" s="66">
        <v>43609</v>
      </c>
      <c r="I43" s="50"/>
      <c r="J43" s="51"/>
      <c r="K43" s="66">
        <v>43626</v>
      </c>
      <c r="L43" s="22"/>
      <c r="M43" s="39" t="s">
        <v>281</v>
      </c>
      <c r="N43" s="24" t="s">
        <v>116</v>
      </c>
      <c r="O43" s="24" t="s">
        <v>62</v>
      </c>
      <c r="P43" s="26" t="s">
        <v>52</v>
      </c>
      <c r="Q43" s="26" t="s">
        <v>117</v>
      </c>
      <c r="R43" s="58" t="s">
        <v>282</v>
      </c>
      <c r="S43" s="61">
        <v>0.39583333333333331</v>
      </c>
      <c r="T43" s="55" t="s">
        <v>59</v>
      </c>
      <c r="U43" s="53"/>
      <c r="V43" s="53"/>
      <c r="W43" s="55" t="s">
        <v>59</v>
      </c>
      <c r="X43" s="26">
        <v>190603</v>
      </c>
      <c r="Y43" s="70" t="s">
        <v>283</v>
      </c>
      <c r="Z43" s="70" t="s">
        <v>192</v>
      </c>
      <c r="AA43" s="53"/>
      <c r="AB43" s="28"/>
      <c r="AC43" s="28"/>
      <c r="AD43" s="28"/>
      <c r="AE43" s="28"/>
      <c r="AF43" s="28"/>
      <c r="AG43" s="28"/>
    </row>
    <row r="44" spans="1:33" ht="15.75" customHeight="1">
      <c r="A44" s="58"/>
      <c r="B44" s="26" t="str">
        <f t="shared" si="3"/>
        <v>內部免出</v>
      </c>
      <c r="C44" s="28"/>
      <c r="D44" s="57" t="s">
        <v>65</v>
      </c>
      <c r="E44" s="68" t="s">
        <v>163</v>
      </c>
      <c r="F44" s="68" t="s">
        <v>163</v>
      </c>
      <c r="G44" s="65">
        <v>43626</v>
      </c>
      <c r="H44" s="66">
        <v>43609</v>
      </c>
      <c r="I44" s="50"/>
      <c r="J44" s="51"/>
      <c r="K44" s="66">
        <v>43626</v>
      </c>
      <c r="L44" s="22"/>
      <c r="M44" s="39" t="s">
        <v>290</v>
      </c>
      <c r="N44" s="24" t="s">
        <v>116</v>
      </c>
      <c r="O44" s="24" t="s">
        <v>51</v>
      </c>
      <c r="P44" s="26" t="s">
        <v>52</v>
      </c>
      <c r="Q44" s="26" t="s">
        <v>117</v>
      </c>
      <c r="R44" s="58" t="s">
        <v>291</v>
      </c>
      <c r="S44" s="61">
        <v>0.39583333333333331</v>
      </c>
      <c r="T44" s="55" t="s">
        <v>59</v>
      </c>
      <c r="U44" s="53"/>
      <c r="V44" s="53"/>
      <c r="W44" s="55" t="s">
        <v>59</v>
      </c>
      <c r="X44" s="26">
        <v>190603</v>
      </c>
      <c r="Y44" s="70" t="s">
        <v>283</v>
      </c>
      <c r="Z44" s="70" t="s">
        <v>192</v>
      </c>
      <c r="AA44" s="53"/>
      <c r="AB44" s="28"/>
      <c r="AC44" s="28"/>
      <c r="AD44" s="28"/>
      <c r="AE44" s="28"/>
      <c r="AF44" s="28"/>
      <c r="AG44" s="28"/>
    </row>
    <row r="45" spans="1:33" ht="15.75" customHeight="1">
      <c r="A45" s="58" t="s">
        <v>292</v>
      </c>
      <c r="B45" s="26">
        <f t="shared" si="3"/>
        <v>190610</v>
      </c>
      <c r="C45" s="28"/>
      <c r="D45" s="67" t="s">
        <v>54</v>
      </c>
      <c r="E45" s="22"/>
      <c r="F45" s="71" t="s">
        <v>53</v>
      </c>
      <c r="G45" s="65">
        <v>43629</v>
      </c>
      <c r="H45" s="66">
        <v>43612</v>
      </c>
      <c r="I45" s="50"/>
      <c r="J45" s="51"/>
      <c r="K45" s="66">
        <v>43629</v>
      </c>
      <c r="L45" s="22" t="s">
        <v>297</v>
      </c>
      <c r="M45" s="24" t="s">
        <v>298</v>
      </c>
      <c r="N45" s="24" t="s">
        <v>116</v>
      </c>
      <c r="O45" s="24" t="s">
        <v>62</v>
      </c>
      <c r="P45" s="26" t="s">
        <v>52</v>
      </c>
      <c r="Q45" s="26" t="s">
        <v>117</v>
      </c>
      <c r="R45" s="58" t="s">
        <v>300</v>
      </c>
      <c r="S45" s="61">
        <v>0.39583333333333331</v>
      </c>
      <c r="T45" s="55" t="s">
        <v>59</v>
      </c>
      <c r="U45" s="53"/>
      <c r="V45" s="53"/>
      <c r="W45" s="55" t="s">
        <v>59</v>
      </c>
      <c r="X45" s="26">
        <v>190603</v>
      </c>
      <c r="Y45" s="55" t="s">
        <v>59</v>
      </c>
      <c r="Z45" s="26">
        <v>190610</v>
      </c>
      <c r="AA45" s="53"/>
      <c r="AB45" s="28"/>
      <c r="AC45" s="28"/>
      <c r="AD45" s="28"/>
      <c r="AE45" s="28"/>
      <c r="AF45" s="28"/>
      <c r="AG45" s="28"/>
    </row>
    <row r="46" spans="1:33" ht="15.75" customHeight="1">
      <c r="A46" s="58"/>
      <c r="B46" s="26">
        <f t="shared" si="3"/>
        <v>190611</v>
      </c>
      <c r="C46" s="28"/>
      <c r="D46" s="57" t="s">
        <v>65</v>
      </c>
      <c r="E46" s="22" t="s">
        <v>67</v>
      </c>
      <c r="F46" s="22" t="s">
        <v>67</v>
      </c>
      <c r="G46" s="65">
        <v>43629</v>
      </c>
      <c r="H46" s="66">
        <v>43613</v>
      </c>
      <c r="I46" s="50"/>
      <c r="J46" s="51"/>
      <c r="K46" s="66">
        <v>43629</v>
      </c>
      <c r="L46" s="22" t="s">
        <v>303</v>
      </c>
      <c r="M46" s="24" t="s">
        <v>304</v>
      </c>
      <c r="N46" s="24" t="s">
        <v>116</v>
      </c>
      <c r="O46" s="24" t="s">
        <v>51</v>
      </c>
      <c r="P46" s="26" t="s">
        <v>117</v>
      </c>
      <c r="Q46" s="26" t="s">
        <v>117</v>
      </c>
      <c r="R46" s="58" t="s">
        <v>305</v>
      </c>
      <c r="S46" s="26" t="s">
        <v>306</v>
      </c>
      <c r="T46" s="55" t="s">
        <v>59</v>
      </c>
      <c r="U46" s="53"/>
      <c r="V46" s="53"/>
      <c r="W46" s="55" t="s">
        <v>59</v>
      </c>
      <c r="X46" s="26">
        <v>190603</v>
      </c>
      <c r="Y46" s="55" t="s">
        <v>59</v>
      </c>
      <c r="Z46" s="26">
        <v>190611</v>
      </c>
      <c r="AA46" s="53"/>
      <c r="AB46" s="28"/>
      <c r="AC46" s="28"/>
      <c r="AD46" s="28"/>
      <c r="AE46" s="28"/>
      <c r="AF46" s="28"/>
      <c r="AG46" s="28"/>
    </row>
    <row r="47" spans="1:33" ht="15.75" customHeight="1">
      <c r="A47" s="58"/>
      <c r="B47" s="26">
        <f t="shared" si="3"/>
        <v>190611</v>
      </c>
      <c r="C47" s="28"/>
      <c r="D47" s="57" t="s">
        <v>65</v>
      </c>
      <c r="E47" s="22" t="s">
        <v>67</v>
      </c>
      <c r="F47" s="22" t="s">
        <v>67</v>
      </c>
      <c r="G47" s="65">
        <v>43629</v>
      </c>
      <c r="H47" s="66">
        <v>43613</v>
      </c>
      <c r="I47" s="50"/>
      <c r="J47" s="51"/>
      <c r="K47" s="66">
        <v>43629</v>
      </c>
      <c r="L47" s="22" t="s">
        <v>311</v>
      </c>
      <c r="M47" s="24" t="s">
        <v>77</v>
      </c>
      <c r="N47" s="24" t="s">
        <v>116</v>
      </c>
      <c r="O47" s="24" t="s">
        <v>51</v>
      </c>
      <c r="P47" s="26" t="s">
        <v>117</v>
      </c>
      <c r="Q47" s="26" t="s">
        <v>117</v>
      </c>
      <c r="R47" s="58" t="s">
        <v>312</v>
      </c>
      <c r="S47" s="26" t="s">
        <v>306</v>
      </c>
      <c r="T47" s="55" t="s">
        <v>59</v>
      </c>
      <c r="U47" s="53"/>
      <c r="V47" s="53"/>
      <c r="W47" s="55" t="s">
        <v>59</v>
      </c>
      <c r="X47" s="55" t="s">
        <v>59</v>
      </c>
      <c r="Y47" s="55" t="s">
        <v>59</v>
      </c>
      <c r="Z47" s="26">
        <v>190611</v>
      </c>
      <c r="AA47" s="53"/>
      <c r="AB47" s="28"/>
      <c r="AC47" s="28"/>
      <c r="AD47" s="28"/>
      <c r="AE47" s="28"/>
      <c r="AF47" s="28"/>
      <c r="AG47" s="28"/>
    </row>
    <row r="48" spans="1:33" ht="15.75" customHeight="1">
      <c r="A48" s="58"/>
      <c r="B48" s="26" t="str">
        <f t="shared" si="3"/>
        <v>內部免出</v>
      </c>
      <c r="C48" s="28"/>
      <c r="D48" s="57" t="s">
        <v>65</v>
      </c>
      <c r="E48" s="68" t="s">
        <v>163</v>
      </c>
      <c r="F48" s="68" t="s">
        <v>163</v>
      </c>
      <c r="G48" s="65">
        <v>43626</v>
      </c>
      <c r="H48" s="66">
        <v>43613</v>
      </c>
      <c r="I48" s="50"/>
      <c r="J48" s="51"/>
      <c r="K48" s="66">
        <v>43626</v>
      </c>
      <c r="L48" s="22"/>
      <c r="M48" s="39" t="s">
        <v>313</v>
      </c>
      <c r="N48" s="24" t="s">
        <v>116</v>
      </c>
      <c r="O48" s="24" t="s">
        <v>62</v>
      </c>
      <c r="P48" s="26" t="s">
        <v>117</v>
      </c>
      <c r="Q48" s="26" t="s">
        <v>117</v>
      </c>
      <c r="R48" s="58" t="s">
        <v>314</v>
      </c>
      <c r="S48" s="26" t="s">
        <v>306</v>
      </c>
      <c r="T48" s="55" t="s">
        <v>59</v>
      </c>
      <c r="U48" s="53"/>
      <c r="V48" s="53"/>
      <c r="W48" s="55" t="s">
        <v>59</v>
      </c>
      <c r="X48" s="26">
        <v>190603</v>
      </c>
      <c r="Y48" s="70" t="s">
        <v>283</v>
      </c>
      <c r="Z48" s="70" t="s">
        <v>192</v>
      </c>
      <c r="AA48" s="53"/>
      <c r="AB48" s="28"/>
      <c r="AC48" s="28"/>
      <c r="AD48" s="28"/>
      <c r="AE48" s="28"/>
      <c r="AF48" s="28"/>
      <c r="AG48" s="28"/>
    </row>
    <row r="49" spans="1:33" ht="15.75" customHeight="1">
      <c r="A49" s="58"/>
      <c r="B49" s="26" t="str">
        <f t="shared" si="3"/>
        <v>內部免出</v>
      </c>
      <c r="C49" s="28"/>
      <c r="D49" s="57" t="s">
        <v>65</v>
      </c>
      <c r="E49" s="68" t="s">
        <v>163</v>
      </c>
      <c r="F49" s="68" t="s">
        <v>163</v>
      </c>
      <c r="G49" s="65">
        <v>43626</v>
      </c>
      <c r="H49" s="66">
        <v>43614</v>
      </c>
      <c r="I49" s="50"/>
      <c r="J49" s="51"/>
      <c r="K49" s="66">
        <v>43626</v>
      </c>
      <c r="L49" s="22"/>
      <c r="M49" s="39" t="s">
        <v>318</v>
      </c>
      <c r="N49" s="24" t="s">
        <v>116</v>
      </c>
      <c r="O49" s="24" t="s">
        <v>62</v>
      </c>
      <c r="P49" s="26" t="s">
        <v>52</v>
      </c>
      <c r="Q49" s="26" t="s">
        <v>117</v>
      </c>
      <c r="R49" s="58" t="s">
        <v>319</v>
      </c>
      <c r="S49" s="61">
        <v>0.39583333333333331</v>
      </c>
      <c r="T49" s="55" t="s">
        <v>59</v>
      </c>
      <c r="U49" s="53"/>
      <c r="V49" s="53"/>
      <c r="W49" s="55" t="s">
        <v>59</v>
      </c>
      <c r="X49" s="26">
        <v>190603</v>
      </c>
      <c r="Y49" s="70" t="s">
        <v>283</v>
      </c>
      <c r="Z49" s="70" t="s">
        <v>192</v>
      </c>
      <c r="AA49" s="53"/>
      <c r="AB49" s="28"/>
      <c r="AC49" s="28"/>
      <c r="AD49" s="28"/>
      <c r="AE49" s="28"/>
      <c r="AF49" s="28"/>
      <c r="AG49" s="28"/>
    </row>
    <row r="50" spans="1:33" ht="15.75" customHeight="1">
      <c r="A50" s="58"/>
      <c r="B50" s="26" t="str">
        <f t="shared" si="3"/>
        <v>內部免出</v>
      </c>
      <c r="C50" s="28"/>
      <c r="D50" s="57" t="s">
        <v>65</v>
      </c>
      <c r="E50" s="68" t="s">
        <v>163</v>
      </c>
      <c r="F50" s="68" t="s">
        <v>163</v>
      </c>
      <c r="G50" s="65">
        <v>43626</v>
      </c>
      <c r="H50" s="66">
        <v>43614</v>
      </c>
      <c r="I50" s="50"/>
      <c r="J50" s="51"/>
      <c r="K50" s="66">
        <v>43626</v>
      </c>
      <c r="L50" s="22"/>
      <c r="M50" s="39" t="s">
        <v>321</v>
      </c>
      <c r="N50" s="24" t="s">
        <v>116</v>
      </c>
      <c r="O50" s="24" t="s">
        <v>51</v>
      </c>
      <c r="P50" s="26" t="s">
        <v>52</v>
      </c>
      <c r="Q50" s="26" t="s">
        <v>117</v>
      </c>
      <c r="R50" s="58" t="s">
        <v>324</v>
      </c>
      <c r="S50" s="61">
        <v>0.39583333333333331</v>
      </c>
      <c r="T50" s="55" t="s">
        <v>59</v>
      </c>
      <c r="U50" s="53"/>
      <c r="V50" s="53"/>
      <c r="W50" s="55" t="s">
        <v>59</v>
      </c>
      <c r="X50" s="26">
        <v>190603</v>
      </c>
      <c r="Y50" s="70" t="s">
        <v>283</v>
      </c>
      <c r="Z50" s="70" t="s">
        <v>192</v>
      </c>
      <c r="AA50" s="53"/>
      <c r="AB50" s="28"/>
      <c r="AC50" s="28"/>
      <c r="AD50" s="28"/>
      <c r="AE50" s="28"/>
      <c r="AF50" s="28"/>
      <c r="AG50" s="28"/>
    </row>
    <row r="51" spans="1:33" ht="15.75" customHeight="1">
      <c r="A51" s="58"/>
      <c r="B51" s="26" t="str">
        <f t="shared" si="3"/>
        <v>內部免出</v>
      </c>
      <c r="C51" s="28"/>
      <c r="D51" s="57" t="s">
        <v>65</v>
      </c>
      <c r="E51" s="68" t="s">
        <v>163</v>
      </c>
      <c r="F51" s="68" t="s">
        <v>163</v>
      </c>
      <c r="G51" s="65">
        <v>43626</v>
      </c>
      <c r="H51" s="66">
        <v>43614</v>
      </c>
      <c r="I51" s="50"/>
      <c r="J51" s="51"/>
      <c r="K51" s="66">
        <v>43626</v>
      </c>
      <c r="L51" s="22"/>
      <c r="M51" s="39" t="s">
        <v>327</v>
      </c>
      <c r="N51" s="24" t="s">
        <v>116</v>
      </c>
      <c r="O51" s="24" t="s">
        <v>51</v>
      </c>
      <c r="P51" s="26" t="s">
        <v>52</v>
      </c>
      <c r="Q51" s="26" t="s">
        <v>117</v>
      </c>
      <c r="R51" s="58" t="s">
        <v>328</v>
      </c>
      <c r="S51" s="61">
        <v>0.39583333333333331</v>
      </c>
      <c r="T51" s="55" t="s">
        <v>59</v>
      </c>
      <c r="U51" s="53"/>
      <c r="V51" s="53"/>
      <c r="W51" s="55" t="s">
        <v>59</v>
      </c>
      <c r="X51" s="26">
        <v>190603</v>
      </c>
      <c r="Y51" s="70" t="s">
        <v>283</v>
      </c>
      <c r="Z51" s="70" t="s">
        <v>192</v>
      </c>
      <c r="AA51" s="53"/>
      <c r="AB51" s="28"/>
      <c r="AC51" s="28"/>
      <c r="AD51" s="28"/>
      <c r="AE51" s="28"/>
      <c r="AF51" s="28"/>
      <c r="AG51" s="28"/>
    </row>
    <row r="52" spans="1:33" ht="15.75" customHeight="1">
      <c r="A52" s="58" t="s">
        <v>329</v>
      </c>
      <c r="B52" s="73">
        <f t="shared" si="3"/>
        <v>43629</v>
      </c>
      <c r="C52" s="28"/>
      <c r="D52" s="67" t="s">
        <v>54</v>
      </c>
      <c r="E52" s="22"/>
      <c r="F52" s="68" t="s">
        <v>53</v>
      </c>
      <c r="G52" s="65">
        <v>43629</v>
      </c>
      <c r="H52" s="66">
        <v>43615</v>
      </c>
      <c r="I52" s="50"/>
      <c r="J52" s="51"/>
      <c r="K52" s="66">
        <v>43629</v>
      </c>
      <c r="L52" s="22" t="s">
        <v>330</v>
      </c>
      <c r="M52" s="24" t="s">
        <v>331</v>
      </c>
      <c r="N52" s="24" t="s">
        <v>116</v>
      </c>
      <c r="O52" s="24" t="s">
        <v>62</v>
      </c>
      <c r="P52" s="26" t="s">
        <v>52</v>
      </c>
      <c r="Q52" s="26" t="s">
        <v>117</v>
      </c>
      <c r="R52" s="58" t="s">
        <v>334</v>
      </c>
      <c r="S52" s="61">
        <v>0.39583333333333331</v>
      </c>
      <c r="T52" s="55" t="s">
        <v>59</v>
      </c>
      <c r="U52" s="53"/>
      <c r="V52" s="53"/>
      <c r="W52" s="55" t="s">
        <v>59</v>
      </c>
      <c r="X52" s="55" t="s">
        <v>59</v>
      </c>
      <c r="Y52" s="55" t="s">
        <v>59</v>
      </c>
      <c r="Z52" s="73">
        <v>43629</v>
      </c>
      <c r="AA52" s="53"/>
      <c r="AB52" s="28"/>
      <c r="AC52" s="28"/>
      <c r="AD52" s="28"/>
      <c r="AE52" s="28"/>
      <c r="AF52" s="28"/>
      <c r="AG52" s="28"/>
    </row>
    <row r="53" spans="1:33" ht="15.75" customHeight="1">
      <c r="A53" s="58" t="s">
        <v>336</v>
      </c>
      <c r="B53" s="73">
        <f t="shared" si="3"/>
        <v>43633</v>
      </c>
      <c r="C53" s="28"/>
      <c r="D53" s="67" t="s">
        <v>54</v>
      </c>
      <c r="E53" s="68" t="s">
        <v>188</v>
      </c>
      <c r="F53" s="68" t="s">
        <v>188</v>
      </c>
      <c r="G53" s="65">
        <v>43633</v>
      </c>
      <c r="H53" s="66">
        <v>43621</v>
      </c>
      <c r="I53" s="50"/>
      <c r="J53" s="51"/>
      <c r="K53" s="66">
        <v>43635</v>
      </c>
      <c r="L53" s="68" t="s">
        <v>337</v>
      </c>
      <c r="M53" s="39" t="s">
        <v>338</v>
      </c>
      <c r="N53" s="24" t="s">
        <v>116</v>
      </c>
      <c r="O53" s="24" t="s">
        <v>51</v>
      </c>
      <c r="P53" s="26" t="s">
        <v>52</v>
      </c>
      <c r="Q53" s="26" t="s">
        <v>117</v>
      </c>
      <c r="R53" s="58" t="s">
        <v>339</v>
      </c>
      <c r="S53" s="26" t="s">
        <v>306</v>
      </c>
      <c r="T53" s="55" t="s">
        <v>59</v>
      </c>
      <c r="U53" s="55"/>
      <c r="V53" s="53"/>
      <c r="W53" s="55" t="s">
        <v>59</v>
      </c>
      <c r="X53" s="26">
        <v>190614</v>
      </c>
      <c r="Y53" s="55" t="s">
        <v>59</v>
      </c>
      <c r="Z53" s="73">
        <v>43633</v>
      </c>
      <c r="AA53" s="53"/>
      <c r="AB53" s="28"/>
      <c r="AC53" s="28"/>
      <c r="AD53" s="28"/>
      <c r="AE53" s="28"/>
      <c r="AF53" s="28"/>
      <c r="AG53" s="28"/>
    </row>
    <row r="54" spans="1:33" ht="15.75" customHeight="1">
      <c r="A54" s="58"/>
      <c r="B54" s="26"/>
      <c r="C54" s="58"/>
      <c r="D54" s="67" t="s">
        <v>175</v>
      </c>
      <c r="E54" s="68" t="s">
        <v>187</v>
      </c>
      <c r="F54" s="68" t="s">
        <v>188</v>
      </c>
      <c r="G54" s="65">
        <v>43640</v>
      </c>
      <c r="H54" s="66">
        <v>43621</v>
      </c>
      <c r="I54" s="50"/>
      <c r="J54" s="74">
        <v>43640</v>
      </c>
      <c r="K54" s="66"/>
      <c r="L54" s="68" t="s">
        <v>343</v>
      </c>
      <c r="M54" s="39" t="s">
        <v>189</v>
      </c>
      <c r="N54" s="39" t="s">
        <v>344</v>
      </c>
      <c r="O54" s="24" t="s">
        <v>62</v>
      </c>
      <c r="P54" s="26" t="s">
        <v>52</v>
      </c>
      <c r="Q54" s="26" t="s">
        <v>55</v>
      </c>
      <c r="R54" s="58" t="s">
        <v>345</v>
      </c>
      <c r="S54" s="61">
        <v>0.39583333333333331</v>
      </c>
      <c r="T54" s="55"/>
      <c r="U54" s="55" t="s">
        <v>59</v>
      </c>
      <c r="V54" s="55"/>
      <c r="W54" s="55"/>
      <c r="X54" s="26"/>
      <c r="Y54" s="55"/>
      <c r="Z54" s="26"/>
      <c r="AA54" s="53"/>
      <c r="AB54" s="28"/>
      <c r="AC54" s="28"/>
      <c r="AD54" s="28"/>
      <c r="AE54" s="28"/>
      <c r="AF54" s="28"/>
      <c r="AG54" s="28"/>
    </row>
    <row r="55" spans="1:33" ht="15.75" customHeight="1">
      <c r="A55" s="58"/>
      <c r="B55" s="26"/>
      <c r="C55" s="58"/>
      <c r="D55" s="67" t="s">
        <v>175</v>
      </c>
      <c r="E55" s="68" t="s">
        <v>187</v>
      </c>
      <c r="F55" s="68" t="s">
        <v>188</v>
      </c>
      <c r="G55" s="65">
        <v>43640</v>
      </c>
      <c r="H55" s="66">
        <v>43621</v>
      </c>
      <c r="I55" s="50"/>
      <c r="J55" s="74"/>
      <c r="K55" s="66"/>
      <c r="L55" s="68" t="s">
        <v>346</v>
      </c>
      <c r="M55" s="39" t="s">
        <v>189</v>
      </c>
      <c r="N55" s="39" t="s">
        <v>347</v>
      </c>
      <c r="O55" s="24" t="s">
        <v>62</v>
      </c>
      <c r="P55" s="26" t="s">
        <v>52</v>
      </c>
      <c r="Q55" s="26"/>
      <c r="R55" s="58"/>
      <c r="S55" s="61">
        <v>0.39583333333333331</v>
      </c>
      <c r="T55" s="55"/>
      <c r="U55" s="53"/>
      <c r="V55" s="55" t="s">
        <v>59</v>
      </c>
      <c r="W55" s="55"/>
      <c r="X55" s="26"/>
      <c r="Y55" s="55"/>
      <c r="Z55" s="26"/>
      <c r="AA55" s="53"/>
      <c r="AB55" s="28"/>
      <c r="AC55" s="28"/>
      <c r="AD55" s="28"/>
      <c r="AE55" s="28"/>
      <c r="AF55" s="28"/>
      <c r="AG55" s="28"/>
    </row>
    <row r="56" spans="1:33" ht="15.75" customHeight="1">
      <c r="A56" s="58" t="s">
        <v>350</v>
      </c>
      <c r="B56" s="73">
        <f t="shared" ref="B56:B61" si="4">Z56</f>
        <v>43633</v>
      </c>
      <c r="C56" s="58"/>
      <c r="D56" s="58" t="s">
        <v>353</v>
      </c>
      <c r="E56" s="68" t="s">
        <v>53</v>
      </c>
      <c r="F56" s="68" t="s">
        <v>53</v>
      </c>
      <c r="G56" s="65">
        <v>43633</v>
      </c>
      <c r="H56" s="66">
        <v>43622</v>
      </c>
      <c r="I56" s="50"/>
      <c r="J56" s="51"/>
      <c r="K56" s="66">
        <v>43636</v>
      </c>
      <c r="L56" s="68" t="s">
        <v>354</v>
      </c>
      <c r="M56" s="39" t="s">
        <v>355</v>
      </c>
      <c r="N56" s="24" t="s">
        <v>116</v>
      </c>
      <c r="O56" s="24" t="s">
        <v>62</v>
      </c>
      <c r="P56" s="26" t="s">
        <v>52</v>
      </c>
      <c r="Q56" s="26" t="s">
        <v>117</v>
      </c>
      <c r="R56" s="58" t="s">
        <v>356</v>
      </c>
      <c r="S56" s="26" t="s">
        <v>357</v>
      </c>
      <c r="T56" s="55" t="s">
        <v>59</v>
      </c>
      <c r="U56" s="53"/>
      <c r="V56" s="53"/>
      <c r="W56" s="55" t="s">
        <v>59</v>
      </c>
      <c r="X56" s="26">
        <v>190614</v>
      </c>
      <c r="Y56" s="55" t="s">
        <v>59</v>
      </c>
      <c r="Z56" s="73">
        <v>43633</v>
      </c>
      <c r="AA56" s="53"/>
      <c r="AB56" s="28"/>
      <c r="AC56" s="28"/>
      <c r="AD56" s="28"/>
      <c r="AE56" s="28"/>
      <c r="AF56" s="28"/>
      <c r="AG56" s="28"/>
    </row>
    <row r="57" spans="1:33" ht="15.75" customHeight="1">
      <c r="A57" s="58"/>
      <c r="B57" s="26" t="str">
        <f t="shared" si="4"/>
        <v>內部免出</v>
      </c>
      <c r="C57" s="28"/>
      <c r="D57" s="57" t="s">
        <v>65</v>
      </c>
      <c r="E57" s="68" t="s">
        <v>163</v>
      </c>
      <c r="F57" s="68" t="s">
        <v>163</v>
      </c>
      <c r="G57" s="65">
        <v>43630</v>
      </c>
      <c r="H57" s="66">
        <v>43627</v>
      </c>
      <c r="I57" s="50"/>
      <c r="J57" s="51"/>
      <c r="K57" s="66">
        <v>43630</v>
      </c>
      <c r="L57" s="22"/>
      <c r="M57" s="39" t="s">
        <v>358</v>
      </c>
      <c r="N57" s="24" t="s">
        <v>116</v>
      </c>
      <c r="O57" s="24" t="s">
        <v>51</v>
      </c>
      <c r="P57" s="26" t="s">
        <v>52</v>
      </c>
      <c r="Q57" s="26" t="s">
        <v>117</v>
      </c>
      <c r="R57" s="58" t="s">
        <v>361</v>
      </c>
      <c r="S57" s="26" t="s">
        <v>306</v>
      </c>
      <c r="T57" s="55" t="s">
        <v>59</v>
      </c>
      <c r="U57" s="53"/>
      <c r="V57" s="53"/>
      <c r="W57" s="55" t="s">
        <v>59</v>
      </c>
      <c r="X57" s="26">
        <v>190612</v>
      </c>
      <c r="Y57" s="70" t="s">
        <v>283</v>
      </c>
      <c r="Z57" s="70" t="s">
        <v>192</v>
      </c>
      <c r="AA57" s="53"/>
      <c r="AB57" s="28"/>
      <c r="AC57" s="28"/>
      <c r="AD57" s="28"/>
      <c r="AE57" s="28"/>
      <c r="AF57" s="28"/>
      <c r="AG57" s="28"/>
    </row>
    <row r="58" spans="1:33" ht="15.75" customHeight="1">
      <c r="A58" s="58"/>
      <c r="B58" s="26" t="str">
        <f t="shared" si="4"/>
        <v>內部免出</v>
      </c>
      <c r="C58" s="28"/>
      <c r="D58" s="57" t="s">
        <v>65</v>
      </c>
      <c r="E58" s="68" t="s">
        <v>163</v>
      </c>
      <c r="F58" s="68" t="s">
        <v>163</v>
      </c>
      <c r="G58" s="65">
        <v>43630</v>
      </c>
      <c r="H58" s="66">
        <v>43627</v>
      </c>
      <c r="I58" s="50"/>
      <c r="J58" s="51"/>
      <c r="K58" s="66">
        <v>43630</v>
      </c>
      <c r="L58" s="22"/>
      <c r="M58" s="39" t="s">
        <v>363</v>
      </c>
      <c r="N58" s="24" t="s">
        <v>116</v>
      </c>
      <c r="O58" s="24" t="s">
        <v>51</v>
      </c>
      <c r="P58" s="26" t="s">
        <v>52</v>
      </c>
      <c r="Q58" s="26" t="s">
        <v>117</v>
      </c>
      <c r="R58" s="58" t="s">
        <v>364</v>
      </c>
      <c r="S58" s="26" t="s">
        <v>306</v>
      </c>
      <c r="T58" s="55" t="s">
        <v>59</v>
      </c>
      <c r="U58" s="53"/>
      <c r="V58" s="53"/>
      <c r="W58" s="55" t="s">
        <v>59</v>
      </c>
      <c r="X58" s="26">
        <v>190612</v>
      </c>
      <c r="Y58" s="70" t="s">
        <v>283</v>
      </c>
      <c r="Z58" s="70" t="s">
        <v>192</v>
      </c>
      <c r="AA58" s="53"/>
      <c r="AB58" s="28"/>
      <c r="AC58" s="28"/>
      <c r="AD58" s="28"/>
      <c r="AE58" s="28"/>
      <c r="AF58" s="28"/>
      <c r="AG58" s="28"/>
    </row>
    <row r="59" spans="1:33" ht="15.75" customHeight="1">
      <c r="A59" s="28"/>
      <c r="B59" s="26" t="str">
        <f t="shared" si="4"/>
        <v>內部免出</v>
      </c>
      <c r="C59" s="28"/>
      <c r="D59" s="57" t="s">
        <v>65</v>
      </c>
      <c r="E59" s="68" t="s">
        <v>163</v>
      </c>
      <c r="F59" s="68" t="s">
        <v>163</v>
      </c>
      <c r="G59" s="65">
        <v>43630</v>
      </c>
      <c r="H59" s="66">
        <v>43627</v>
      </c>
      <c r="I59" s="50"/>
      <c r="J59" s="51"/>
      <c r="K59" s="66">
        <v>43630</v>
      </c>
      <c r="L59" s="22"/>
      <c r="M59" s="39" t="s">
        <v>365</v>
      </c>
      <c r="N59" s="24" t="s">
        <v>116</v>
      </c>
      <c r="O59" s="24" t="s">
        <v>62</v>
      </c>
      <c r="P59" s="26" t="s">
        <v>52</v>
      </c>
      <c r="Q59" s="26" t="s">
        <v>366</v>
      </c>
      <c r="R59" s="58" t="s">
        <v>367</v>
      </c>
      <c r="S59" s="26" t="s">
        <v>357</v>
      </c>
      <c r="T59" s="55" t="s">
        <v>59</v>
      </c>
      <c r="U59" s="53"/>
      <c r="V59" s="53"/>
      <c r="W59" s="55" t="s">
        <v>59</v>
      </c>
      <c r="X59" s="26">
        <v>190612</v>
      </c>
      <c r="Y59" s="70" t="s">
        <v>283</v>
      </c>
      <c r="Z59" s="70" t="s">
        <v>192</v>
      </c>
      <c r="AA59" s="53"/>
      <c r="AB59" s="28"/>
      <c r="AC59" s="28"/>
      <c r="AD59" s="28"/>
      <c r="AE59" s="28"/>
      <c r="AF59" s="28"/>
      <c r="AG59" s="28"/>
    </row>
    <row r="60" spans="1:33" ht="15.75" customHeight="1">
      <c r="A60" s="28"/>
      <c r="B60" s="26" t="str">
        <f t="shared" si="4"/>
        <v>內部免出</v>
      </c>
      <c r="C60" s="28"/>
      <c r="D60" s="57" t="s">
        <v>65</v>
      </c>
      <c r="E60" s="68" t="s">
        <v>163</v>
      </c>
      <c r="F60" s="68" t="s">
        <v>163</v>
      </c>
      <c r="G60" s="65">
        <v>43630</v>
      </c>
      <c r="H60" s="66">
        <v>43627</v>
      </c>
      <c r="I60" s="50"/>
      <c r="J60" s="51"/>
      <c r="K60" s="66">
        <v>43630</v>
      </c>
      <c r="L60" s="22"/>
      <c r="M60" s="39" t="s">
        <v>369</v>
      </c>
      <c r="N60" s="24" t="s">
        <v>116</v>
      </c>
      <c r="O60" s="24" t="s">
        <v>51</v>
      </c>
      <c r="P60" s="26" t="s">
        <v>52</v>
      </c>
      <c r="Q60" s="26" t="s">
        <v>366</v>
      </c>
      <c r="R60" s="58" t="s">
        <v>370</v>
      </c>
      <c r="S60" s="26" t="s">
        <v>357</v>
      </c>
      <c r="T60" s="55" t="s">
        <v>59</v>
      </c>
      <c r="U60" s="53"/>
      <c r="V60" s="53"/>
      <c r="W60" s="55" t="s">
        <v>59</v>
      </c>
      <c r="X60" s="26">
        <v>190612</v>
      </c>
      <c r="Y60" s="70" t="s">
        <v>283</v>
      </c>
      <c r="Z60" s="70" t="s">
        <v>192</v>
      </c>
      <c r="AA60" s="53"/>
      <c r="AB60" s="28"/>
      <c r="AC60" s="28"/>
      <c r="AD60" s="28"/>
      <c r="AE60" s="28"/>
      <c r="AF60" s="28"/>
      <c r="AG60" s="28"/>
    </row>
    <row r="61" spans="1:33" ht="15.75" customHeight="1">
      <c r="A61" s="58"/>
      <c r="B61" s="26">
        <f t="shared" si="4"/>
        <v>0</v>
      </c>
      <c r="C61" s="58"/>
      <c r="D61" s="67" t="s">
        <v>175</v>
      </c>
      <c r="E61" s="68" t="s">
        <v>151</v>
      </c>
      <c r="F61" s="68" t="s">
        <v>53</v>
      </c>
      <c r="G61" s="65">
        <v>43643</v>
      </c>
      <c r="H61" s="66">
        <v>43628</v>
      </c>
      <c r="I61" s="50"/>
      <c r="J61" s="74">
        <v>43644</v>
      </c>
      <c r="K61" s="66"/>
      <c r="L61" s="68" t="s">
        <v>346</v>
      </c>
      <c r="M61" s="39" t="s">
        <v>371</v>
      </c>
      <c r="N61" s="39" t="s">
        <v>344</v>
      </c>
      <c r="O61" s="39" t="s">
        <v>51</v>
      </c>
      <c r="P61" s="26" t="s">
        <v>52</v>
      </c>
      <c r="Q61" s="26" t="s">
        <v>55</v>
      </c>
      <c r="R61" s="58" t="s">
        <v>372</v>
      </c>
      <c r="S61" s="61">
        <v>0.39583333333333331</v>
      </c>
      <c r="T61" s="55"/>
      <c r="U61" s="55" t="s">
        <v>59</v>
      </c>
      <c r="V61" s="55"/>
      <c r="W61" s="55"/>
      <c r="X61" s="26"/>
      <c r="Y61" s="55"/>
      <c r="Z61" s="26"/>
      <c r="AA61" s="53"/>
      <c r="AB61" s="28"/>
      <c r="AC61" s="28"/>
      <c r="AD61" s="28"/>
      <c r="AE61" s="28"/>
      <c r="AF61" s="28"/>
      <c r="AG61" s="28"/>
    </row>
    <row r="62" spans="1:33" ht="15.75" customHeight="1">
      <c r="A62" s="58"/>
      <c r="B62" s="26"/>
      <c r="C62" s="28"/>
      <c r="D62" s="67" t="s">
        <v>175</v>
      </c>
      <c r="E62" s="68" t="s">
        <v>151</v>
      </c>
      <c r="F62" s="68" t="s">
        <v>53</v>
      </c>
      <c r="G62" s="65">
        <v>43643</v>
      </c>
      <c r="H62" s="66">
        <v>43628</v>
      </c>
      <c r="I62" s="50"/>
      <c r="J62" s="74"/>
      <c r="K62" s="66"/>
      <c r="L62" s="68" t="s">
        <v>346</v>
      </c>
      <c r="M62" s="39" t="s">
        <v>371</v>
      </c>
      <c r="N62" s="39" t="s">
        <v>347</v>
      </c>
      <c r="O62" s="39" t="s">
        <v>51</v>
      </c>
      <c r="P62" s="26" t="s">
        <v>52</v>
      </c>
      <c r="Q62" s="26"/>
      <c r="R62" s="58"/>
      <c r="S62" s="61">
        <v>0.39583333333333331</v>
      </c>
      <c r="T62" s="55"/>
      <c r="U62" s="53"/>
      <c r="V62" s="55" t="s">
        <v>59</v>
      </c>
      <c r="W62" s="55"/>
      <c r="X62" s="26"/>
      <c r="Y62" s="55"/>
      <c r="Z62" s="26"/>
      <c r="AA62" s="53"/>
      <c r="AB62" s="28"/>
      <c r="AC62" s="28"/>
      <c r="AD62" s="28"/>
      <c r="AE62" s="28"/>
      <c r="AF62" s="28"/>
      <c r="AG62" s="28"/>
    </row>
    <row r="63" spans="1:33" ht="15.75" customHeight="1">
      <c r="A63" s="58" t="s">
        <v>373</v>
      </c>
      <c r="B63" s="73">
        <f t="shared" ref="B63:B66" si="5">Z63</f>
        <v>43640</v>
      </c>
      <c r="C63" s="28"/>
      <c r="D63" s="67" t="s">
        <v>54</v>
      </c>
      <c r="E63" s="68" t="s">
        <v>188</v>
      </c>
      <c r="F63" s="68" t="s">
        <v>188</v>
      </c>
      <c r="G63" s="65">
        <v>43640</v>
      </c>
      <c r="H63" s="66">
        <v>43629</v>
      </c>
      <c r="I63" s="50"/>
      <c r="J63" s="51"/>
      <c r="K63" s="66">
        <v>43648</v>
      </c>
      <c r="L63" s="68" t="s">
        <v>378</v>
      </c>
      <c r="M63" s="39" t="s">
        <v>379</v>
      </c>
      <c r="N63" s="24" t="s">
        <v>116</v>
      </c>
      <c r="O63" s="24" t="s">
        <v>51</v>
      </c>
      <c r="P63" s="26" t="s">
        <v>52</v>
      </c>
      <c r="Q63" s="26" t="s">
        <v>117</v>
      </c>
      <c r="R63" s="58" t="s">
        <v>380</v>
      </c>
      <c r="S63" s="61">
        <v>0.39583333333333331</v>
      </c>
      <c r="T63" s="55" t="s">
        <v>59</v>
      </c>
      <c r="U63" s="53"/>
      <c r="V63" s="53"/>
      <c r="W63" s="55" t="s">
        <v>59</v>
      </c>
      <c r="X63" s="26">
        <v>190614</v>
      </c>
      <c r="Y63" s="55" t="s">
        <v>59</v>
      </c>
      <c r="Z63" s="73">
        <v>43640</v>
      </c>
      <c r="AA63" s="53"/>
      <c r="AB63" s="28"/>
      <c r="AC63" s="28"/>
      <c r="AD63" s="28"/>
      <c r="AE63" s="28"/>
      <c r="AF63" s="28"/>
      <c r="AG63" s="28"/>
    </row>
    <row r="64" spans="1:33" ht="15.75" customHeight="1">
      <c r="A64" s="58" t="s">
        <v>373</v>
      </c>
      <c r="B64" s="26">
        <f t="shared" si="5"/>
        <v>0</v>
      </c>
      <c r="C64" s="28"/>
      <c r="D64" s="67" t="s">
        <v>54</v>
      </c>
      <c r="E64" s="68" t="s">
        <v>188</v>
      </c>
      <c r="F64" s="68" t="s">
        <v>188</v>
      </c>
      <c r="G64" s="65">
        <v>43640</v>
      </c>
      <c r="H64" s="66">
        <v>43629</v>
      </c>
      <c r="I64" s="66">
        <v>43648</v>
      </c>
      <c r="J64" s="51"/>
      <c r="K64" s="66"/>
      <c r="L64" s="68" t="s">
        <v>378</v>
      </c>
      <c r="M64" s="39" t="s">
        <v>379</v>
      </c>
      <c r="N64" s="39" t="s">
        <v>249</v>
      </c>
      <c r="O64" s="24" t="s">
        <v>51</v>
      </c>
      <c r="P64" s="26" t="s">
        <v>52</v>
      </c>
      <c r="Q64" s="26"/>
      <c r="R64" s="58"/>
      <c r="S64" s="61">
        <v>0.39583333333333331</v>
      </c>
      <c r="T64" s="55"/>
      <c r="U64" s="53"/>
      <c r="V64" s="55" t="s">
        <v>59</v>
      </c>
      <c r="W64" s="55"/>
      <c r="X64" s="26"/>
      <c r="Y64" s="55"/>
      <c r="Z64" s="26"/>
      <c r="AA64" s="53"/>
      <c r="AB64" s="28"/>
      <c r="AC64" s="28"/>
      <c r="AD64" s="28"/>
      <c r="AE64" s="28"/>
      <c r="AF64" s="28"/>
      <c r="AG64" s="28"/>
    </row>
    <row r="65" spans="1:33" ht="15.75" customHeight="1">
      <c r="A65" s="58" t="s">
        <v>381</v>
      </c>
      <c r="B65" s="73">
        <f t="shared" si="5"/>
        <v>43640</v>
      </c>
      <c r="C65" s="28"/>
      <c r="D65" s="67" t="s">
        <v>54</v>
      </c>
      <c r="E65" s="68" t="s">
        <v>188</v>
      </c>
      <c r="F65" s="68" t="s">
        <v>188</v>
      </c>
      <c r="G65" s="65">
        <v>43640</v>
      </c>
      <c r="H65" s="66">
        <v>43629</v>
      </c>
      <c r="I65" s="50"/>
      <c r="J65" s="51"/>
      <c r="K65" s="66">
        <v>43648</v>
      </c>
      <c r="L65" s="68"/>
      <c r="M65" s="39" t="s">
        <v>386</v>
      </c>
      <c r="N65" s="24" t="s">
        <v>116</v>
      </c>
      <c r="O65" s="24" t="s">
        <v>51</v>
      </c>
      <c r="P65" s="26" t="s">
        <v>52</v>
      </c>
      <c r="Q65" s="26" t="s">
        <v>366</v>
      </c>
      <c r="R65" s="58" t="s">
        <v>387</v>
      </c>
      <c r="S65" s="26" t="s">
        <v>306</v>
      </c>
      <c r="T65" s="55" t="s">
        <v>59</v>
      </c>
      <c r="U65" s="53"/>
      <c r="V65" s="53"/>
      <c r="W65" s="55" t="s">
        <v>59</v>
      </c>
      <c r="X65" s="26">
        <v>190614</v>
      </c>
      <c r="Y65" s="55" t="s">
        <v>59</v>
      </c>
      <c r="Z65" s="73">
        <v>43640</v>
      </c>
      <c r="AA65" s="53"/>
      <c r="AB65" s="28"/>
      <c r="AC65" s="28"/>
      <c r="AD65" s="28"/>
      <c r="AE65" s="28"/>
      <c r="AF65" s="28"/>
      <c r="AG65" s="28"/>
    </row>
    <row r="66" spans="1:33" ht="15.75" customHeight="1">
      <c r="A66" s="28"/>
      <c r="B66" s="73">
        <f t="shared" si="5"/>
        <v>43640</v>
      </c>
      <c r="C66" s="28"/>
      <c r="D66" s="57" t="s">
        <v>65</v>
      </c>
      <c r="E66" s="22" t="s">
        <v>67</v>
      </c>
      <c r="F66" s="22" t="s">
        <v>67</v>
      </c>
      <c r="G66" s="28"/>
      <c r="H66" s="66">
        <v>43630</v>
      </c>
      <c r="I66" s="50"/>
      <c r="J66" s="51"/>
      <c r="K66" s="66">
        <v>43649</v>
      </c>
      <c r="L66" s="22" t="s">
        <v>86</v>
      </c>
      <c r="M66" s="39" t="s">
        <v>87</v>
      </c>
      <c r="N66" s="24" t="s">
        <v>116</v>
      </c>
      <c r="O66" s="24" t="s">
        <v>51</v>
      </c>
      <c r="P66" s="26" t="s">
        <v>52</v>
      </c>
      <c r="Q66" s="26" t="s">
        <v>117</v>
      </c>
      <c r="R66" s="58" t="s">
        <v>388</v>
      </c>
      <c r="S66" s="61">
        <v>0.39583333333333331</v>
      </c>
      <c r="T66" s="55" t="s">
        <v>59</v>
      </c>
      <c r="U66" s="53"/>
      <c r="V66" s="53"/>
      <c r="W66" s="55" t="s">
        <v>59</v>
      </c>
      <c r="X66" s="26">
        <v>190621</v>
      </c>
      <c r="Y66" s="55" t="s">
        <v>59</v>
      </c>
      <c r="Z66" s="73">
        <v>43640</v>
      </c>
      <c r="AA66" s="53"/>
      <c r="AB66" s="28"/>
      <c r="AC66" s="28"/>
      <c r="AD66" s="28"/>
      <c r="AE66" s="28"/>
      <c r="AF66" s="28"/>
      <c r="AG66" s="28"/>
    </row>
    <row r="67" spans="1:33" ht="15.75" customHeight="1">
      <c r="A67" s="28"/>
      <c r="B67" s="26"/>
      <c r="C67" s="28"/>
      <c r="D67" s="57" t="s">
        <v>65</v>
      </c>
      <c r="E67" s="22" t="s">
        <v>67</v>
      </c>
      <c r="F67" s="22" t="s">
        <v>67</v>
      </c>
      <c r="G67" s="65">
        <v>43647</v>
      </c>
      <c r="H67" s="66">
        <v>43630</v>
      </c>
      <c r="I67" s="50"/>
      <c r="J67" s="74">
        <v>43647</v>
      </c>
      <c r="K67" s="51"/>
      <c r="L67" s="22" t="s">
        <v>86</v>
      </c>
      <c r="M67" s="39" t="s">
        <v>87</v>
      </c>
      <c r="N67" s="39" t="s">
        <v>392</v>
      </c>
      <c r="O67" s="24" t="s">
        <v>51</v>
      </c>
      <c r="P67" s="26" t="s">
        <v>52</v>
      </c>
      <c r="Q67" s="26" t="s">
        <v>55</v>
      </c>
      <c r="R67" s="58"/>
      <c r="S67" s="75">
        <v>0.39583333333333331</v>
      </c>
      <c r="T67" s="55"/>
      <c r="U67" s="26" t="s">
        <v>59</v>
      </c>
      <c r="V67" s="55"/>
      <c r="W67" s="26"/>
      <c r="X67" s="53"/>
      <c r="Y67" s="55"/>
      <c r="Z67" s="55"/>
      <c r="AA67" s="53"/>
      <c r="AB67" s="28"/>
      <c r="AC67" s="28"/>
      <c r="AD67" s="28"/>
      <c r="AE67" s="28"/>
      <c r="AF67" s="28"/>
      <c r="AG67" s="28"/>
    </row>
    <row r="68" spans="1:33" ht="15.75" customHeight="1">
      <c r="A68" s="58"/>
      <c r="B68" s="26"/>
      <c r="C68" s="28"/>
      <c r="D68" s="57" t="s">
        <v>65</v>
      </c>
      <c r="E68" s="22" t="s">
        <v>67</v>
      </c>
      <c r="F68" s="22" t="s">
        <v>67</v>
      </c>
      <c r="G68" s="65">
        <v>43647</v>
      </c>
      <c r="H68" s="66">
        <v>43630</v>
      </c>
      <c r="I68" s="50"/>
      <c r="J68" s="74"/>
      <c r="K68" s="51"/>
      <c r="L68" s="22" t="s">
        <v>86</v>
      </c>
      <c r="M68" s="39" t="s">
        <v>87</v>
      </c>
      <c r="N68" s="39" t="s">
        <v>397</v>
      </c>
      <c r="O68" s="24" t="s">
        <v>51</v>
      </c>
      <c r="P68" s="26" t="s">
        <v>52</v>
      </c>
      <c r="Q68" s="26"/>
      <c r="R68" s="58"/>
      <c r="S68" s="75">
        <v>0.39583333333333331</v>
      </c>
      <c r="T68" s="55"/>
      <c r="U68" s="26"/>
      <c r="V68" s="55" t="s">
        <v>59</v>
      </c>
      <c r="W68" s="26"/>
      <c r="X68" s="53"/>
      <c r="Y68" s="55"/>
      <c r="Z68" s="55"/>
      <c r="AA68" s="53"/>
      <c r="AB68" s="28"/>
      <c r="AC68" s="28"/>
      <c r="AD68" s="28"/>
      <c r="AE68" s="28"/>
      <c r="AF68" s="28"/>
      <c r="AG68" s="28"/>
    </row>
    <row r="69" spans="1:33" ht="15.75" customHeight="1">
      <c r="A69" s="58" t="s">
        <v>398</v>
      </c>
      <c r="B69" s="26"/>
      <c r="C69" s="28"/>
      <c r="D69" s="67" t="s">
        <v>175</v>
      </c>
      <c r="E69" s="68" t="s">
        <v>151</v>
      </c>
      <c r="F69" s="68" t="s">
        <v>53</v>
      </c>
      <c r="G69" s="65">
        <v>43650</v>
      </c>
      <c r="H69" s="66">
        <v>43638</v>
      </c>
      <c r="I69" s="50"/>
      <c r="J69" s="51"/>
      <c r="K69" s="51"/>
      <c r="L69" s="68" t="s">
        <v>180</v>
      </c>
      <c r="M69" s="39" t="s">
        <v>181</v>
      </c>
      <c r="N69" s="68" t="s">
        <v>249</v>
      </c>
      <c r="O69" s="24" t="s">
        <v>62</v>
      </c>
      <c r="P69" s="26" t="s">
        <v>52</v>
      </c>
      <c r="Q69" s="26"/>
      <c r="R69" s="58"/>
      <c r="S69" s="61">
        <v>0.39583333333333331</v>
      </c>
      <c r="T69" s="55"/>
      <c r="U69" s="53"/>
      <c r="V69" s="55" t="s">
        <v>59</v>
      </c>
      <c r="W69" s="26"/>
      <c r="X69" s="53"/>
      <c r="Y69" s="55"/>
      <c r="Z69" s="55"/>
      <c r="AA69" s="53"/>
      <c r="AB69" s="28"/>
      <c r="AC69" s="28"/>
      <c r="AD69" s="28"/>
      <c r="AE69" s="28"/>
      <c r="AF69" s="28"/>
      <c r="AG69" s="28"/>
    </row>
    <row r="70" spans="1:33" ht="15.75" customHeight="1">
      <c r="A70" s="58"/>
      <c r="B70" s="26" t="str">
        <f t="shared" ref="B70:B79" si="6">Z70</f>
        <v>內部免出</v>
      </c>
      <c r="C70" s="28"/>
      <c r="D70" s="57" t="s">
        <v>65</v>
      </c>
      <c r="E70" s="68" t="s">
        <v>163</v>
      </c>
      <c r="F70" s="68" t="s">
        <v>163</v>
      </c>
      <c r="G70" s="28"/>
      <c r="H70" s="66">
        <v>43641</v>
      </c>
      <c r="I70" s="50"/>
      <c r="J70" s="51"/>
      <c r="K70" s="66"/>
      <c r="L70" s="22"/>
      <c r="M70" s="39" t="s">
        <v>402</v>
      </c>
      <c r="N70" s="24" t="s">
        <v>116</v>
      </c>
      <c r="O70" s="24" t="s">
        <v>51</v>
      </c>
      <c r="P70" s="26" t="s">
        <v>52</v>
      </c>
      <c r="Q70" s="26" t="s">
        <v>366</v>
      </c>
      <c r="R70" s="58" t="s">
        <v>403</v>
      </c>
      <c r="S70" s="61">
        <v>0.39583333333333331</v>
      </c>
      <c r="T70" s="55" t="s">
        <v>59</v>
      </c>
      <c r="U70" s="53"/>
      <c r="V70" s="53"/>
      <c r="W70" s="26"/>
      <c r="X70" s="26">
        <v>190723</v>
      </c>
      <c r="Y70" s="70" t="s">
        <v>283</v>
      </c>
      <c r="Z70" s="70" t="s">
        <v>192</v>
      </c>
      <c r="AA70" s="53"/>
      <c r="AB70" s="28"/>
      <c r="AC70" s="28"/>
      <c r="AD70" s="28"/>
      <c r="AE70" s="28"/>
      <c r="AF70" s="28"/>
      <c r="AG70" s="28"/>
    </row>
    <row r="71" spans="1:33" ht="15.75" customHeight="1">
      <c r="A71" s="58" t="s">
        <v>404</v>
      </c>
      <c r="B71" s="26">
        <f t="shared" si="6"/>
        <v>0</v>
      </c>
      <c r="C71" s="28"/>
      <c r="D71" s="67" t="s">
        <v>175</v>
      </c>
      <c r="E71" s="68" t="s">
        <v>151</v>
      </c>
      <c r="F71" s="68" t="s">
        <v>188</v>
      </c>
      <c r="G71" s="65">
        <v>43650</v>
      </c>
      <c r="H71" s="66">
        <v>43642</v>
      </c>
      <c r="I71" s="68"/>
      <c r="J71" s="51"/>
      <c r="K71" s="51"/>
      <c r="L71" s="68" t="s">
        <v>405</v>
      </c>
      <c r="M71" s="39" t="s">
        <v>406</v>
      </c>
      <c r="N71" s="68" t="s">
        <v>249</v>
      </c>
      <c r="O71" s="24" t="s">
        <v>62</v>
      </c>
      <c r="P71" s="26" t="s">
        <v>52</v>
      </c>
      <c r="Q71" s="53"/>
      <c r="R71" s="28"/>
      <c r="S71" s="26" t="s">
        <v>407</v>
      </c>
      <c r="T71" s="53"/>
      <c r="U71" s="53"/>
      <c r="V71" s="55" t="s">
        <v>59</v>
      </c>
      <c r="W71" s="53"/>
      <c r="X71" s="53"/>
      <c r="Y71" s="55"/>
      <c r="Z71" s="55"/>
      <c r="AA71" s="53"/>
      <c r="AB71" s="28"/>
      <c r="AC71" s="28"/>
      <c r="AD71" s="28"/>
      <c r="AE71" s="28"/>
      <c r="AF71" s="28"/>
      <c r="AG71" s="28"/>
    </row>
    <row r="72" spans="1:33" ht="15.75" customHeight="1">
      <c r="A72" s="58"/>
      <c r="B72" s="26">
        <f t="shared" si="6"/>
        <v>0</v>
      </c>
      <c r="C72" s="28"/>
      <c r="D72" s="57" t="s">
        <v>65</v>
      </c>
      <c r="E72" s="22" t="s">
        <v>67</v>
      </c>
      <c r="F72" s="22" t="s">
        <v>67</v>
      </c>
      <c r="G72" s="65">
        <v>43658</v>
      </c>
      <c r="H72" s="66">
        <v>43644</v>
      </c>
      <c r="I72" s="50"/>
      <c r="J72" s="51"/>
      <c r="K72" s="51"/>
      <c r="L72" s="68" t="s">
        <v>216</v>
      </c>
      <c r="M72" s="39" t="s">
        <v>217</v>
      </c>
      <c r="N72" s="39" t="s">
        <v>392</v>
      </c>
      <c r="O72" s="24" t="s">
        <v>51</v>
      </c>
      <c r="P72" s="26" t="s">
        <v>52</v>
      </c>
      <c r="Q72" s="26" t="s">
        <v>55</v>
      </c>
      <c r="R72" s="58" t="s">
        <v>411</v>
      </c>
      <c r="S72" s="61">
        <v>0.39583333333333331</v>
      </c>
      <c r="T72" s="53"/>
      <c r="U72" s="26" t="s">
        <v>59</v>
      </c>
      <c r="V72" s="55"/>
      <c r="W72" s="53"/>
      <c r="X72" s="53"/>
      <c r="Y72" s="55"/>
      <c r="Z72" s="55"/>
      <c r="AA72" s="53"/>
      <c r="AB72" s="28"/>
      <c r="AC72" s="28"/>
      <c r="AD72" s="28"/>
      <c r="AE72" s="28"/>
      <c r="AF72" s="28"/>
      <c r="AG72" s="28"/>
    </row>
    <row r="73" spans="1:33" ht="15.75" customHeight="1">
      <c r="A73" s="28"/>
      <c r="B73" s="26">
        <f t="shared" si="6"/>
        <v>0</v>
      </c>
      <c r="C73" s="28"/>
      <c r="D73" s="57" t="s">
        <v>65</v>
      </c>
      <c r="E73" s="22" t="s">
        <v>67</v>
      </c>
      <c r="F73" s="22" t="s">
        <v>67</v>
      </c>
      <c r="G73" s="28"/>
      <c r="H73" s="66">
        <v>43644</v>
      </c>
      <c r="I73" s="50"/>
      <c r="J73" s="51"/>
      <c r="K73" s="51"/>
      <c r="L73" s="68" t="s">
        <v>216</v>
      </c>
      <c r="M73" s="39" t="s">
        <v>217</v>
      </c>
      <c r="N73" s="39" t="s">
        <v>412</v>
      </c>
      <c r="O73" s="24" t="s">
        <v>51</v>
      </c>
      <c r="P73" s="26" t="s">
        <v>52</v>
      </c>
      <c r="Q73" s="26"/>
      <c r="R73" s="28"/>
      <c r="S73" s="61">
        <v>0.39583333333333331</v>
      </c>
      <c r="T73" s="53"/>
      <c r="U73" s="55"/>
      <c r="V73" s="26" t="s">
        <v>59</v>
      </c>
      <c r="W73" s="53"/>
      <c r="X73" s="53"/>
      <c r="Y73" s="55"/>
      <c r="Z73" s="55"/>
      <c r="AA73" s="53"/>
      <c r="AB73" s="28"/>
      <c r="AC73" s="28"/>
      <c r="AD73" s="28"/>
      <c r="AE73" s="28"/>
      <c r="AF73" s="28"/>
      <c r="AG73" s="28"/>
    </row>
    <row r="74" spans="1:33" ht="15.75" customHeight="1">
      <c r="A74" s="28"/>
      <c r="B74" s="26">
        <f t="shared" si="6"/>
        <v>0</v>
      </c>
      <c r="C74" s="28"/>
      <c r="D74" s="57" t="s">
        <v>65</v>
      </c>
      <c r="E74" s="22" t="s">
        <v>67</v>
      </c>
      <c r="F74" s="22" t="s">
        <v>67</v>
      </c>
      <c r="G74" s="65">
        <v>43658</v>
      </c>
      <c r="H74" s="66">
        <v>43644</v>
      </c>
      <c r="I74" s="50"/>
      <c r="J74" s="51"/>
      <c r="K74" s="51"/>
      <c r="L74" s="68" t="s">
        <v>413</v>
      </c>
      <c r="M74" s="39" t="s">
        <v>106</v>
      </c>
      <c r="N74" s="39" t="s">
        <v>414</v>
      </c>
      <c r="O74" s="24" t="s">
        <v>62</v>
      </c>
      <c r="P74" s="26" t="s">
        <v>52</v>
      </c>
      <c r="Q74" s="26" t="s">
        <v>55</v>
      </c>
      <c r="R74" s="58" t="s">
        <v>415</v>
      </c>
      <c r="S74" s="61">
        <v>0.39583333333333331</v>
      </c>
      <c r="T74" s="53"/>
      <c r="U74" s="26" t="s">
        <v>59</v>
      </c>
      <c r="V74" s="53"/>
      <c r="W74" s="53"/>
      <c r="X74" s="53"/>
      <c r="Y74" s="55"/>
      <c r="Z74" s="55"/>
      <c r="AA74" s="53"/>
      <c r="AB74" s="28"/>
      <c r="AC74" s="28"/>
      <c r="AD74" s="28"/>
      <c r="AE74" s="28"/>
      <c r="AF74" s="28"/>
      <c r="AG74" s="28"/>
    </row>
    <row r="75" spans="1:33" ht="15.75" customHeight="1">
      <c r="A75" s="28"/>
      <c r="B75" s="26">
        <f t="shared" si="6"/>
        <v>0</v>
      </c>
      <c r="C75" s="28"/>
      <c r="D75" s="57" t="s">
        <v>65</v>
      </c>
      <c r="E75" s="22" t="s">
        <v>67</v>
      </c>
      <c r="F75" s="22" t="s">
        <v>67</v>
      </c>
      <c r="G75" s="28"/>
      <c r="H75" s="66">
        <v>43644</v>
      </c>
      <c r="I75" s="50"/>
      <c r="J75" s="51"/>
      <c r="K75" s="51"/>
      <c r="L75" s="68" t="s">
        <v>413</v>
      </c>
      <c r="M75" s="39" t="s">
        <v>106</v>
      </c>
      <c r="N75" s="39" t="s">
        <v>416</v>
      </c>
      <c r="O75" s="24" t="s">
        <v>62</v>
      </c>
      <c r="P75" s="26" t="s">
        <v>52</v>
      </c>
      <c r="Q75" s="26"/>
      <c r="R75" s="28"/>
      <c r="S75" s="61">
        <v>0.39583333333333331</v>
      </c>
      <c r="T75" s="53"/>
      <c r="U75" s="53"/>
      <c r="V75" s="26" t="s">
        <v>59</v>
      </c>
      <c r="W75" s="53"/>
      <c r="X75" s="53"/>
      <c r="Y75" s="55"/>
      <c r="Z75" s="55"/>
      <c r="AA75" s="53"/>
      <c r="AB75" s="28"/>
      <c r="AC75" s="28"/>
      <c r="AD75" s="28"/>
      <c r="AE75" s="28"/>
      <c r="AF75" s="28"/>
      <c r="AG75" s="28"/>
    </row>
    <row r="76" spans="1:33" ht="15.75" customHeight="1">
      <c r="A76" s="58" t="s">
        <v>417</v>
      </c>
      <c r="B76" s="26">
        <f t="shared" si="6"/>
        <v>0</v>
      </c>
      <c r="C76" s="28"/>
      <c r="D76" s="67" t="s">
        <v>54</v>
      </c>
      <c r="E76" s="22" t="s">
        <v>53</v>
      </c>
      <c r="F76" s="28"/>
      <c r="G76" s="28"/>
      <c r="H76" s="66">
        <v>43644</v>
      </c>
      <c r="I76" s="50"/>
      <c r="J76" s="51"/>
      <c r="K76" s="66"/>
      <c r="L76" s="68" t="s">
        <v>418</v>
      </c>
      <c r="M76" s="39" t="s">
        <v>419</v>
      </c>
      <c r="N76" s="39" t="s">
        <v>420</v>
      </c>
      <c r="O76" s="24" t="s">
        <v>62</v>
      </c>
      <c r="P76" s="26" t="s">
        <v>52</v>
      </c>
      <c r="Q76" s="26"/>
      <c r="R76" s="58"/>
      <c r="S76" s="26" t="s">
        <v>407</v>
      </c>
      <c r="T76" s="55"/>
      <c r="U76" s="26"/>
      <c r="V76" s="26" t="s">
        <v>59</v>
      </c>
      <c r="W76" s="26"/>
      <c r="X76" s="53"/>
      <c r="Y76" s="55"/>
      <c r="Z76" s="53"/>
      <c r="AA76" s="53"/>
      <c r="AB76" s="28"/>
      <c r="AC76" s="28"/>
      <c r="AD76" s="28"/>
      <c r="AE76" s="28"/>
      <c r="AF76" s="28"/>
      <c r="AG76" s="28"/>
    </row>
    <row r="77" spans="1:33" ht="15.75" customHeight="1">
      <c r="A77" s="58" t="s">
        <v>421</v>
      </c>
      <c r="B77" s="26">
        <f t="shared" si="6"/>
        <v>0</v>
      </c>
      <c r="C77" s="28"/>
      <c r="D77" s="67" t="s">
        <v>175</v>
      </c>
      <c r="E77" s="68"/>
      <c r="F77" s="68" t="s">
        <v>188</v>
      </c>
      <c r="G77" s="28"/>
      <c r="H77" s="66">
        <v>43656</v>
      </c>
      <c r="I77" s="50"/>
      <c r="J77" s="51"/>
      <c r="K77" s="66"/>
      <c r="L77" s="68" t="s">
        <v>422</v>
      </c>
      <c r="M77" s="39" t="s">
        <v>424</v>
      </c>
      <c r="N77" s="39" t="s">
        <v>249</v>
      </c>
      <c r="O77" s="24" t="s">
        <v>62</v>
      </c>
      <c r="P77" s="26" t="s">
        <v>52</v>
      </c>
      <c r="Q77" s="26"/>
      <c r="R77" s="58"/>
      <c r="S77" s="61">
        <v>0.39583333333333331</v>
      </c>
      <c r="T77" s="53"/>
      <c r="U77" s="53"/>
      <c r="V77" s="26" t="s">
        <v>59</v>
      </c>
      <c r="W77" s="26"/>
      <c r="X77" s="53"/>
      <c r="Y77" s="55"/>
      <c r="Z77" s="53"/>
      <c r="AA77" s="53"/>
      <c r="AB77" s="28"/>
      <c r="AC77" s="28"/>
      <c r="AD77" s="28"/>
      <c r="AE77" s="28"/>
      <c r="AF77" s="28"/>
      <c r="AG77" s="28"/>
    </row>
    <row r="78" spans="1:33" ht="15.75" customHeight="1">
      <c r="A78" s="58" t="s">
        <v>427</v>
      </c>
      <c r="B78" s="73">
        <f t="shared" si="6"/>
        <v>43676</v>
      </c>
      <c r="C78" s="28"/>
      <c r="D78" s="76" t="s">
        <v>353</v>
      </c>
      <c r="E78" s="22" t="s">
        <v>53</v>
      </c>
      <c r="F78" s="22" t="s">
        <v>53</v>
      </c>
      <c r="G78" s="65">
        <v>43677</v>
      </c>
      <c r="H78" s="66">
        <v>43659</v>
      </c>
      <c r="I78" s="50"/>
      <c r="J78" s="51"/>
      <c r="K78" s="66">
        <v>43678</v>
      </c>
      <c r="L78" s="68" t="s">
        <v>431</v>
      </c>
      <c r="M78" s="39" t="s">
        <v>432</v>
      </c>
      <c r="N78" s="24" t="s">
        <v>116</v>
      </c>
      <c r="O78" s="24" t="s">
        <v>51</v>
      </c>
      <c r="P78" s="26" t="s">
        <v>52</v>
      </c>
      <c r="Q78" s="26" t="s">
        <v>433</v>
      </c>
      <c r="R78" s="58" t="s">
        <v>435</v>
      </c>
      <c r="S78" s="26" t="s">
        <v>306</v>
      </c>
      <c r="T78" s="55" t="s">
        <v>59</v>
      </c>
      <c r="U78" s="53"/>
      <c r="V78" s="53"/>
      <c r="W78" s="26"/>
      <c r="X78" s="26">
        <v>190723</v>
      </c>
      <c r="Y78" s="55" t="s">
        <v>59</v>
      </c>
      <c r="Z78" s="73">
        <v>43676</v>
      </c>
      <c r="AA78" s="53"/>
      <c r="AB78" s="28"/>
      <c r="AC78" s="28"/>
      <c r="AD78" s="28"/>
      <c r="AE78" s="28"/>
      <c r="AF78" s="28"/>
      <c r="AG78" s="28"/>
    </row>
    <row r="79" spans="1:33" ht="15.75" customHeight="1">
      <c r="A79" s="58" t="s">
        <v>438</v>
      </c>
      <c r="B79" s="73">
        <f t="shared" si="6"/>
        <v>43676</v>
      </c>
      <c r="C79" s="28"/>
      <c r="D79" s="67" t="s">
        <v>54</v>
      </c>
      <c r="E79" s="22" t="s">
        <v>53</v>
      </c>
      <c r="F79" s="22" t="s">
        <v>53</v>
      </c>
      <c r="G79" s="65">
        <v>43677</v>
      </c>
      <c r="H79" s="66">
        <v>43661</v>
      </c>
      <c r="I79" s="50"/>
      <c r="J79" s="51"/>
      <c r="K79" s="66">
        <v>43682</v>
      </c>
      <c r="L79" s="68" t="s">
        <v>439</v>
      </c>
      <c r="M79" s="39" t="s">
        <v>440</v>
      </c>
      <c r="N79" s="24" t="s">
        <v>116</v>
      </c>
      <c r="O79" s="24" t="s">
        <v>62</v>
      </c>
      <c r="P79" s="26" t="s">
        <v>117</v>
      </c>
      <c r="Q79" s="26" t="s">
        <v>366</v>
      </c>
      <c r="R79" s="58" t="s">
        <v>441</v>
      </c>
      <c r="S79" s="61">
        <v>0.39583333333333331</v>
      </c>
      <c r="T79" s="55" t="s">
        <v>59</v>
      </c>
      <c r="U79" s="53"/>
      <c r="V79" s="53"/>
      <c r="W79" s="26"/>
      <c r="X79" s="26">
        <v>190723</v>
      </c>
      <c r="Y79" s="55" t="s">
        <v>59</v>
      </c>
      <c r="Z79" s="73">
        <v>43676</v>
      </c>
      <c r="AA79" s="53"/>
      <c r="AB79" s="28"/>
      <c r="AC79" s="28"/>
      <c r="AD79" s="28"/>
      <c r="AE79" s="28"/>
      <c r="AF79" s="28"/>
      <c r="AG79" s="28"/>
    </row>
    <row r="80" spans="1:33" ht="15.75" customHeight="1">
      <c r="A80" s="28"/>
      <c r="B80" s="26"/>
      <c r="C80" s="28"/>
      <c r="D80" s="57" t="s">
        <v>65</v>
      </c>
      <c r="E80" s="22" t="s">
        <v>67</v>
      </c>
      <c r="F80" s="22" t="s">
        <v>67</v>
      </c>
      <c r="G80" s="65">
        <v>43677</v>
      </c>
      <c r="H80" s="66">
        <v>43662</v>
      </c>
      <c r="I80" s="50"/>
      <c r="J80" s="74">
        <v>43677</v>
      </c>
      <c r="K80" s="51"/>
      <c r="L80" s="22" t="s">
        <v>86</v>
      </c>
      <c r="M80" s="39" t="s">
        <v>87</v>
      </c>
      <c r="N80" s="39" t="s">
        <v>392</v>
      </c>
      <c r="O80" s="24" t="s">
        <v>51</v>
      </c>
      <c r="P80" s="26" t="s">
        <v>52</v>
      </c>
      <c r="Q80" s="26" t="s">
        <v>55</v>
      </c>
      <c r="R80" s="58"/>
      <c r="S80" s="75">
        <v>0.39583333333333331</v>
      </c>
      <c r="T80" s="55"/>
      <c r="U80" s="26" t="s">
        <v>59</v>
      </c>
      <c r="V80" s="55"/>
      <c r="W80" s="26"/>
      <c r="X80" s="53"/>
      <c r="Y80" s="55"/>
      <c r="Z80" s="55"/>
      <c r="AA80" s="53"/>
      <c r="AB80" s="28"/>
      <c r="AC80" s="28"/>
      <c r="AD80" s="28"/>
      <c r="AE80" s="28"/>
      <c r="AF80" s="28"/>
      <c r="AG80" s="28"/>
    </row>
    <row r="81" spans="1:33" ht="15.75" customHeight="1">
      <c r="A81" s="58"/>
      <c r="B81" s="26"/>
      <c r="C81" s="28"/>
      <c r="D81" s="57" t="s">
        <v>65</v>
      </c>
      <c r="E81" s="22" t="s">
        <v>67</v>
      </c>
      <c r="F81" s="22" t="s">
        <v>67</v>
      </c>
      <c r="G81" s="65">
        <v>43677</v>
      </c>
      <c r="H81" s="66">
        <v>43662</v>
      </c>
      <c r="I81" s="50"/>
      <c r="J81" s="74"/>
      <c r="K81" s="51"/>
      <c r="L81" s="22" t="s">
        <v>86</v>
      </c>
      <c r="M81" s="39" t="s">
        <v>87</v>
      </c>
      <c r="N81" s="39" t="s">
        <v>445</v>
      </c>
      <c r="O81" s="24" t="s">
        <v>51</v>
      </c>
      <c r="P81" s="26" t="s">
        <v>52</v>
      </c>
      <c r="Q81" s="26"/>
      <c r="R81" s="58"/>
      <c r="S81" s="75">
        <v>0.39583333333333331</v>
      </c>
      <c r="T81" s="55"/>
      <c r="U81" s="26"/>
      <c r="V81" s="55" t="s">
        <v>59</v>
      </c>
      <c r="W81" s="26"/>
      <c r="X81" s="53"/>
      <c r="Y81" s="55"/>
      <c r="Z81" s="55"/>
      <c r="AA81" s="53"/>
      <c r="AB81" s="28"/>
      <c r="AC81" s="28"/>
      <c r="AD81" s="28"/>
      <c r="AE81" s="28"/>
      <c r="AF81" s="28"/>
      <c r="AG81" s="28"/>
    </row>
    <row r="82" spans="1:33" ht="15.75" customHeight="1">
      <c r="A82" s="28"/>
      <c r="B82" s="26">
        <f t="shared" ref="B82:B83" si="7">Z82</f>
        <v>0</v>
      </c>
      <c r="C82" s="28"/>
      <c r="D82" s="28"/>
      <c r="E82" s="68" t="s">
        <v>163</v>
      </c>
      <c r="F82" s="68" t="s">
        <v>163</v>
      </c>
      <c r="G82" s="28"/>
      <c r="H82" s="66">
        <v>43664</v>
      </c>
      <c r="I82" s="50"/>
      <c r="J82" s="51"/>
      <c r="K82" s="66"/>
      <c r="L82" s="68"/>
      <c r="M82" s="39" t="s">
        <v>447</v>
      </c>
      <c r="N82" s="24" t="s">
        <v>116</v>
      </c>
      <c r="O82" s="24" t="s">
        <v>51</v>
      </c>
      <c r="P82" s="26" t="s">
        <v>52</v>
      </c>
      <c r="Q82" s="26" t="s">
        <v>366</v>
      </c>
      <c r="R82" s="58" t="s">
        <v>448</v>
      </c>
      <c r="S82" s="61">
        <v>0.39583333333333331</v>
      </c>
      <c r="T82" s="53"/>
      <c r="U82" s="53"/>
      <c r="V82" s="53"/>
      <c r="W82" s="26" t="s">
        <v>449</v>
      </c>
      <c r="X82" s="53"/>
      <c r="Y82" s="70" t="s">
        <v>283</v>
      </c>
      <c r="Z82" s="53"/>
      <c r="AA82" s="53"/>
      <c r="AB82" s="28"/>
      <c r="AC82" s="28"/>
      <c r="AD82" s="28"/>
      <c r="AE82" s="28"/>
      <c r="AF82" s="28"/>
      <c r="AG82" s="28"/>
    </row>
    <row r="83" spans="1:33" ht="15.75" customHeight="1">
      <c r="A83" s="58" t="s">
        <v>450</v>
      </c>
      <c r="B83" s="73">
        <f t="shared" si="7"/>
        <v>43676</v>
      </c>
      <c r="C83" s="28"/>
      <c r="D83" s="28" t="s">
        <v>54</v>
      </c>
      <c r="E83" s="22" t="s">
        <v>53</v>
      </c>
      <c r="F83" s="22" t="s">
        <v>53</v>
      </c>
      <c r="G83" s="65">
        <v>43677</v>
      </c>
      <c r="H83" s="66">
        <v>43668</v>
      </c>
      <c r="I83" s="50"/>
      <c r="J83" s="51"/>
      <c r="K83" s="66">
        <v>43686</v>
      </c>
      <c r="L83" s="68" t="s">
        <v>454</v>
      </c>
      <c r="M83" s="39" t="s">
        <v>455</v>
      </c>
      <c r="N83" s="24" t="s">
        <v>116</v>
      </c>
      <c r="O83" s="24" t="s">
        <v>51</v>
      </c>
      <c r="P83" s="26" t="s">
        <v>52</v>
      </c>
      <c r="Q83" s="26" t="s">
        <v>366</v>
      </c>
      <c r="R83" s="58" t="s">
        <v>456</v>
      </c>
      <c r="S83" s="26" t="s">
        <v>306</v>
      </c>
      <c r="T83" s="55" t="s">
        <v>59</v>
      </c>
      <c r="U83" s="53"/>
      <c r="V83" s="26"/>
      <c r="W83" s="26"/>
      <c r="X83" s="26">
        <v>190723</v>
      </c>
      <c r="Y83" s="55" t="s">
        <v>59</v>
      </c>
      <c r="Z83" s="73">
        <v>43676</v>
      </c>
      <c r="AA83" s="53"/>
      <c r="AB83" s="28"/>
      <c r="AC83" s="28"/>
      <c r="AD83" s="28"/>
      <c r="AE83" s="28"/>
      <c r="AF83" s="28"/>
      <c r="AG83" s="28"/>
    </row>
    <row r="84" spans="1:33" ht="15.75" customHeight="1">
      <c r="A84" s="58" t="s">
        <v>457</v>
      </c>
      <c r="B84" s="26"/>
      <c r="C84" s="28"/>
      <c r="D84" s="28" t="s">
        <v>54</v>
      </c>
      <c r="E84" s="22" t="s">
        <v>53</v>
      </c>
      <c r="F84" s="22" t="s">
        <v>53</v>
      </c>
      <c r="G84" s="28"/>
      <c r="H84" s="66">
        <v>43669</v>
      </c>
      <c r="I84" s="50">
        <v>43675</v>
      </c>
      <c r="J84" s="51"/>
      <c r="K84" s="66"/>
      <c r="L84" s="68" t="s">
        <v>458</v>
      </c>
      <c r="M84" s="39" t="s">
        <v>459</v>
      </c>
      <c r="N84" s="68" t="s">
        <v>460</v>
      </c>
      <c r="O84" s="24" t="s">
        <v>62</v>
      </c>
      <c r="P84" s="26" t="s">
        <v>52</v>
      </c>
      <c r="Q84" s="26"/>
      <c r="R84" s="58"/>
      <c r="S84" s="61">
        <v>0.39583333333333331</v>
      </c>
      <c r="T84" s="55"/>
      <c r="U84" s="53"/>
      <c r="V84" s="26" t="s">
        <v>59</v>
      </c>
      <c r="W84" s="26"/>
      <c r="X84" s="26"/>
      <c r="Y84" s="55"/>
      <c r="Z84" s="26"/>
      <c r="AA84" s="53"/>
      <c r="AB84" s="28"/>
      <c r="AC84" s="28"/>
      <c r="AD84" s="28"/>
      <c r="AE84" s="28"/>
      <c r="AF84" s="28"/>
      <c r="AG84" s="28"/>
    </row>
    <row r="85" spans="1:33" ht="15.75" customHeight="1">
      <c r="A85" s="58" t="s">
        <v>464</v>
      </c>
      <c r="B85" s="66">
        <v>43704</v>
      </c>
      <c r="C85" s="58"/>
      <c r="D85" s="28" t="s">
        <v>175</v>
      </c>
      <c r="E85" s="68" t="s">
        <v>187</v>
      </c>
      <c r="F85" s="68" t="s">
        <v>188</v>
      </c>
      <c r="G85" s="66"/>
      <c r="H85" s="66">
        <v>43691</v>
      </c>
      <c r="I85" s="50"/>
      <c r="J85" s="66">
        <v>43704</v>
      </c>
      <c r="K85" s="51"/>
      <c r="L85" s="68" t="s">
        <v>343</v>
      </c>
      <c r="M85" s="39" t="s">
        <v>189</v>
      </c>
      <c r="N85" s="39" t="s">
        <v>465</v>
      </c>
      <c r="O85" s="24" t="s">
        <v>62</v>
      </c>
      <c r="P85" s="26" t="s">
        <v>52</v>
      </c>
      <c r="Q85" s="53"/>
      <c r="R85" s="28"/>
      <c r="S85" s="61">
        <v>0.39583333333333331</v>
      </c>
      <c r="T85" s="53"/>
      <c r="U85" s="26" t="s">
        <v>59</v>
      </c>
      <c r="V85" s="53"/>
      <c r="W85" s="53"/>
      <c r="X85" s="53"/>
      <c r="Y85" s="55"/>
      <c r="Z85" s="53"/>
      <c r="AA85" s="53"/>
      <c r="AB85" s="28"/>
      <c r="AC85" s="28"/>
      <c r="AD85" s="28"/>
      <c r="AE85" s="28"/>
      <c r="AF85" s="28"/>
      <c r="AG85" s="28"/>
    </row>
    <row r="86" spans="1:33" ht="15.75" customHeight="1">
      <c r="A86" s="58" t="s">
        <v>464</v>
      </c>
      <c r="B86" s="66">
        <v>43704</v>
      </c>
      <c r="C86" s="58"/>
      <c r="D86" s="67" t="s">
        <v>175</v>
      </c>
      <c r="E86" s="68" t="s">
        <v>187</v>
      </c>
      <c r="F86" s="68" t="s">
        <v>188</v>
      </c>
      <c r="G86" s="66"/>
      <c r="H86" s="66">
        <v>43691</v>
      </c>
      <c r="I86" s="50"/>
      <c r="J86" s="66">
        <v>43704</v>
      </c>
      <c r="K86" s="51"/>
      <c r="L86" s="68" t="s">
        <v>346</v>
      </c>
      <c r="M86" s="39" t="s">
        <v>189</v>
      </c>
      <c r="N86" s="39" t="s">
        <v>347</v>
      </c>
      <c r="O86" s="24" t="s">
        <v>62</v>
      </c>
      <c r="P86" s="26" t="s">
        <v>52</v>
      </c>
      <c r="Q86" s="53"/>
      <c r="R86" s="28"/>
      <c r="S86" s="61">
        <v>0.39583333333333331</v>
      </c>
      <c r="T86" s="28"/>
      <c r="U86" s="53"/>
      <c r="V86" s="26" t="s">
        <v>59</v>
      </c>
      <c r="W86" s="28"/>
      <c r="X86" s="53"/>
      <c r="Y86" s="22"/>
      <c r="Z86" s="28"/>
      <c r="AA86" s="28"/>
      <c r="AB86" s="28"/>
      <c r="AC86" s="28"/>
      <c r="AD86" s="28"/>
      <c r="AE86" s="28"/>
      <c r="AF86" s="28"/>
      <c r="AG86" s="28"/>
    </row>
    <row r="87" spans="1:33" ht="15.75" customHeight="1">
      <c r="A87" s="58" t="s">
        <v>469</v>
      </c>
      <c r="B87" s="66">
        <v>43706</v>
      </c>
      <c r="C87" s="28"/>
      <c r="D87" s="67" t="s">
        <v>54</v>
      </c>
      <c r="E87" s="22" t="s">
        <v>53</v>
      </c>
      <c r="F87" s="22" t="s">
        <v>53</v>
      </c>
      <c r="G87" s="65"/>
      <c r="H87" s="66">
        <v>43693</v>
      </c>
      <c r="I87" s="66">
        <v>43706</v>
      </c>
      <c r="J87" s="51"/>
      <c r="K87" s="51"/>
      <c r="L87" s="68" t="s">
        <v>470</v>
      </c>
      <c r="M87" s="39" t="s">
        <v>471</v>
      </c>
      <c r="N87" s="39" t="s">
        <v>249</v>
      </c>
      <c r="O87" s="24" t="s">
        <v>62</v>
      </c>
      <c r="P87" s="26" t="s">
        <v>52</v>
      </c>
      <c r="Q87" s="53"/>
      <c r="R87" s="28"/>
      <c r="S87" s="61">
        <v>0.39583333333333331</v>
      </c>
      <c r="T87" s="28"/>
      <c r="U87" s="28"/>
      <c r="V87" s="26" t="s">
        <v>59</v>
      </c>
      <c r="W87" s="28"/>
      <c r="X87" s="53"/>
      <c r="Y87" s="22"/>
      <c r="Z87" s="28"/>
      <c r="AA87" s="28"/>
      <c r="AB87" s="28"/>
      <c r="AC87" s="28"/>
      <c r="AD87" s="28"/>
      <c r="AE87" s="28"/>
      <c r="AF87" s="28"/>
      <c r="AG87" s="28"/>
    </row>
    <row r="88" spans="1:33" ht="15.75" customHeight="1">
      <c r="A88" s="58" t="s">
        <v>472</v>
      </c>
      <c r="B88" s="66">
        <v>43706</v>
      </c>
      <c r="C88" s="28"/>
      <c r="D88" s="67" t="s">
        <v>54</v>
      </c>
      <c r="E88" s="22" t="s">
        <v>53</v>
      </c>
      <c r="F88" s="22" t="s">
        <v>53</v>
      </c>
      <c r="G88" s="65"/>
      <c r="H88" s="66">
        <v>43693</v>
      </c>
      <c r="I88" s="66">
        <v>43706</v>
      </c>
      <c r="J88" s="51"/>
      <c r="K88" s="51"/>
      <c r="L88" s="68" t="s">
        <v>475</v>
      </c>
      <c r="M88" s="39" t="s">
        <v>476</v>
      </c>
      <c r="N88" s="68" t="s">
        <v>460</v>
      </c>
      <c r="O88" s="24" t="s">
        <v>62</v>
      </c>
      <c r="P88" s="26" t="s">
        <v>52</v>
      </c>
      <c r="Q88" s="53"/>
      <c r="R88" s="28"/>
      <c r="S88" s="61">
        <v>0.39583333333333331</v>
      </c>
      <c r="T88" s="28"/>
      <c r="U88" s="28"/>
      <c r="V88" s="26" t="s">
        <v>59</v>
      </c>
      <c r="W88" s="28"/>
      <c r="X88" s="53"/>
      <c r="Y88" s="22"/>
      <c r="Z88" s="28"/>
      <c r="AA88" s="28"/>
      <c r="AB88" s="28"/>
      <c r="AC88" s="28"/>
      <c r="AD88" s="28"/>
      <c r="AE88" s="28"/>
      <c r="AF88" s="28"/>
      <c r="AG88" s="28"/>
    </row>
    <row r="89" spans="1:33" ht="15.75" customHeight="1">
      <c r="A89" s="58" t="s">
        <v>478</v>
      </c>
      <c r="B89" s="66">
        <v>43710</v>
      </c>
      <c r="C89" s="28"/>
      <c r="D89" s="57" t="s">
        <v>65</v>
      </c>
      <c r="E89" s="68" t="s">
        <v>187</v>
      </c>
      <c r="F89" s="68" t="s">
        <v>479</v>
      </c>
      <c r="G89" s="65"/>
      <c r="H89" s="66">
        <v>43693</v>
      </c>
      <c r="I89" s="50"/>
      <c r="J89" s="65">
        <v>43710</v>
      </c>
      <c r="K89" s="51"/>
      <c r="L89" s="68" t="s">
        <v>480</v>
      </c>
      <c r="M89" s="39" t="s">
        <v>481</v>
      </c>
      <c r="N89" s="39" t="s">
        <v>482</v>
      </c>
      <c r="O89" s="24" t="s">
        <v>51</v>
      </c>
      <c r="P89" s="26" t="s">
        <v>52</v>
      </c>
      <c r="Q89" s="53"/>
      <c r="R89" s="28"/>
      <c r="S89" s="61">
        <v>0.39583333333333331</v>
      </c>
      <c r="T89" s="28"/>
      <c r="U89" s="26" t="s">
        <v>59</v>
      </c>
      <c r="V89" s="28"/>
      <c r="W89" s="28"/>
      <c r="X89" s="53"/>
      <c r="Y89" s="22"/>
      <c r="Z89" s="28"/>
      <c r="AA89" s="28"/>
      <c r="AB89" s="28"/>
      <c r="AC89" s="28"/>
      <c r="AD89" s="28"/>
      <c r="AE89" s="28"/>
      <c r="AF89" s="28"/>
      <c r="AG89" s="28"/>
    </row>
    <row r="90" spans="1:33" ht="15.75" customHeight="1">
      <c r="A90" s="58" t="s">
        <v>478</v>
      </c>
      <c r="B90" s="66">
        <v>43710</v>
      </c>
      <c r="C90" s="28"/>
      <c r="D90" s="57" t="s">
        <v>65</v>
      </c>
      <c r="E90" s="68" t="s">
        <v>187</v>
      </c>
      <c r="F90" s="68" t="s">
        <v>479</v>
      </c>
      <c r="G90" s="65"/>
      <c r="H90" s="66">
        <v>43693</v>
      </c>
      <c r="I90" s="50"/>
      <c r="J90" s="65">
        <v>43710</v>
      </c>
      <c r="K90" s="51"/>
      <c r="L90" s="68" t="s">
        <v>486</v>
      </c>
      <c r="M90" s="39" t="s">
        <v>487</v>
      </c>
      <c r="N90" s="39" t="s">
        <v>482</v>
      </c>
      <c r="O90" s="24" t="s">
        <v>62</v>
      </c>
      <c r="P90" s="26" t="s">
        <v>52</v>
      </c>
      <c r="Q90" s="53"/>
      <c r="R90" s="28"/>
      <c r="S90" s="61">
        <v>0.39583333333333331</v>
      </c>
      <c r="T90" s="28"/>
      <c r="U90" s="26" t="s">
        <v>59</v>
      </c>
      <c r="V90" s="28"/>
      <c r="W90" s="28"/>
      <c r="X90" s="53"/>
      <c r="Y90" s="22"/>
      <c r="Z90" s="28"/>
      <c r="AA90" s="28"/>
      <c r="AB90" s="28"/>
      <c r="AC90" s="28"/>
      <c r="AD90" s="28"/>
      <c r="AE90" s="28"/>
      <c r="AF90" s="28"/>
      <c r="AG90" s="28"/>
    </row>
    <row r="91" spans="1:33" ht="15.75" customHeight="1">
      <c r="A91" s="58" t="s">
        <v>488</v>
      </c>
      <c r="B91" s="69">
        <v>43712</v>
      </c>
      <c r="C91" s="28"/>
      <c r="D91" s="67" t="s">
        <v>175</v>
      </c>
      <c r="E91" s="68" t="s">
        <v>188</v>
      </c>
      <c r="F91" s="68" t="s">
        <v>188</v>
      </c>
      <c r="G91" s="28"/>
      <c r="H91" s="66">
        <v>43699</v>
      </c>
      <c r="I91" s="69">
        <v>43712</v>
      </c>
      <c r="J91" s="51"/>
      <c r="K91" s="51"/>
      <c r="L91" s="68" t="s">
        <v>405</v>
      </c>
      <c r="M91" s="39" t="s">
        <v>406</v>
      </c>
      <c r="N91" s="39" t="s">
        <v>249</v>
      </c>
      <c r="O91" s="24" t="s">
        <v>62</v>
      </c>
      <c r="P91" s="26" t="s">
        <v>52</v>
      </c>
      <c r="Q91" s="53"/>
      <c r="R91" s="28"/>
      <c r="S91" s="61">
        <v>0.39583333333333331</v>
      </c>
      <c r="T91" s="28"/>
      <c r="U91" s="28"/>
      <c r="V91" s="26" t="s">
        <v>59</v>
      </c>
      <c r="W91" s="28"/>
      <c r="X91" s="53"/>
      <c r="Y91" s="22"/>
      <c r="Z91" s="28"/>
      <c r="AA91" s="28"/>
      <c r="AB91" s="28"/>
      <c r="AC91" s="28"/>
      <c r="AD91" s="28"/>
      <c r="AE91" s="28"/>
      <c r="AF91" s="28"/>
      <c r="AG91" s="28"/>
    </row>
    <row r="92" spans="1:33" ht="15.75" customHeight="1">
      <c r="A92" s="58" t="s">
        <v>492</v>
      </c>
      <c r="B92" s="69">
        <v>43718</v>
      </c>
      <c r="C92" s="28"/>
      <c r="D92" s="57" t="s">
        <v>65</v>
      </c>
      <c r="E92" s="68" t="s">
        <v>494</v>
      </c>
      <c r="F92" s="28"/>
      <c r="G92" s="28"/>
      <c r="H92" s="66">
        <v>43703</v>
      </c>
      <c r="I92" s="50"/>
      <c r="J92" s="69">
        <v>43718</v>
      </c>
      <c r="K92" s="51"/>
      <c r="L92" s="68" t="s">
        <v>495</v>
      </c>
      <c r="M92" s="39" t="s">
        <v>496</v>
      </c>
      <c r="N92" s="39" t="s">
        <v>482</v>
      </c>
      <c r="O92" s="24" t="s">
        <v>62</v>
      </c>
      <c r="P92" s="26" t="s">
        <v>52</v>
      </c>
      <c r="Q92" s="53"/>
      <c r="R92" s="28"/>
      <c r="S92" s="61">
        <v>0.39583333333333331</v>
      </c>
      <c r="T92" s="28"/>
      <c r="U92" s="26" t="s">
        <v>59</v>
      </c>
      <c r="V92" s="28"/>
      <c r="W92" s="28"/>
      <c r="X92" s="53"/>
      <c r="Y92" s="22"/>
      <c r="Z92" s="28"/>
      <c r="AA92" s="28"/>
      <c r="AB92" s="28"/>
      <c r="AC92" s="28"/>
      <c r="AD92" s="28"/>
      <c r="AE92" s="28"/>
      <c r="AF92" s="28"/>
      <c r="AG92" s="28"/>
    </row>
    <row r="93" spans="1:33" ht="15.75" customHeight="1">
      <c r="A93" s="58" t="s">
        <v>492</v>
      </c>
      <c r="B93" s="69">
        <v>43718</v>
      </c>
      <c r="C93" s="28"/>
      <c r="D93" s="57" t="s">
        <v>65</v>
      </c>
      <c r="E93" s="68" t="s">
        <v>494</v>
      </c>
      <c r="F93" s="28"/>
      <c r="G93" s="28"/>
      <c r="H93" s="66">
        <v>43703</v>
      </c>
      <c r="I93" s="50"/>
      <c r="J93" s="69">
        <v>43718</v>
      </c>
      <c r="K93" s="51"/>
      <c r="L93" s="68" t="s">
        <v>497</v>
      </c>
      <c r="M93" s="39" t="s">
        <v>499</v>
      </c>
      <c r="N93" s="39" t="s">
        <v>482</v>
      </c>
      <c r="O93" s="24" t="s">
        <v>62</v>
      </c>
      <c r="P93" s="26" t="s">
        <v>52</v>
      </c>
      <c r="Q93" s="53"/>
      <c r="R93" s="28"/>
      <c r="S93" s="61">
        <v>0.39583333333333331</v>
      </c>
      <c r="T93" s="28"/>
      <c r="U93" s="26" t="s">
        <v>59</v>
      </c>
      <c r="V93" s="28"/>
      <c r="W93" s="28"/>
      <c r="X93" s="53"/>
      <c r="Y93" s="22"/>
      <c r="Z93" s="28"/>
      <c r="AA93" s="28"/>
      <c r="AB93" s="28"/>
      <c r="AC93" s="28"/>
      <c r="AD93" s="28"/>
      <c r="AE93" s="28"/>
      <c r="AF93" s="28"/>
      <c r="AG93" s="28"/>
    </row>
    <row r="94" spans="1:33" ht="15.75" customHeight="1">
      <c r="A94" s="58" t="s">
        <v>492</v>
      </c>
      <c r="B94" s="69">
        <v>43718</v>
      </c>
      <c r="C94" s="28"/>
      <c r="D94" s="57" t="s">
        <v>65</v>
      </c>
      <c r="E94" s="68" t="s">
        <v>494</v>
      </c>
      <c r="F94" s="28"/>
      <c r="G94" s="28"/>
      <c r="H94" s="66">
        <v>43703</v>
      </c>
      <c r="I94" s="50"/>
      <c r="J94" s="69">
        <v>43718</v>
      </c>
      <c r="K94" s="51"/>
      <c r="L94" s="68" t="s">
        <v>503</v>
      </c>
      <c r="M94" s="39" t="s">
        <v>504</v>
      </c>
      <c r="N94" s="39" t="s">
        <v>482</v>
      </c>
      <c r="O94" s="24" t="s">
        <v>62</v>
      </c>
      <c r="P94" s="26" t="s">
        <v>52</v>
      </c>
      <c r="Q94" s="53"/>
      <c r="R94" s="28"/>
      <c r="S94" s="61">
        <v>0.39583333333333331</v>
      </c>
      <c r="T94" s="28"/>
      <c r="U94" s="26" t="s">
        <v>59</v>
      </c>
      <c r="V94" s="28"/>
      <c r="W94" s="28"/>
      <c r="X94" s="53"/>
      <c r="Y94" s="22"/>
      <c r="Z94" s="28"/>
      <c r="AA94" s="28"/>
      <c r="AB94" s="28"/>
      <c r="AC94" s="28"/>
      <c r="AD94" s="28"/>
      <c r="AE94" s="28"/>
      <c r="AF94" s="28"/>
      <c r="AG94" s="28"/>
    </row>
    <row r="95" spans="1:33" ht="15.75" customHeight="1">
      <c r="A95" s="58" t="s">
        <v>492</v>
      </c>
      <c r="B95" s="69">
        <v>43718</v>
      </c>
      <c r="C95" s="28"/>
      <c r="D95" s="57" t="s">
        <v>65</v>
      </c>
      <c r="E95" s="68" t="s">
        <v>494</v>
      </c>
      <c r="F95" s="28"/>
      <c r="G95" s="28"/>
      <c r="H95" s="66">
        <v>43703</v>
      </c>
      <c r="I95" s="50"/>
      <c r="J95" s="69">
        <v>43718</v>
      </c>
      <c r="K95" s="51"/>
      <c r="L95" s="68" t="s">
        <v>508</v>
      </c>
      <c r="M95" s="39" t="s">
        <v>509</v>
      </c>
      <c r="N95" s="39" t="s">
        <v>482</v>
      </c>
      <c r="O95" s="24" t="s">
        <v>62</v>
      </c>
      <c r="P95" s="26" t="s">
        <v>52</v>
      </c>
      <c r="Q95" s="53"/>
      <c r="R95" s="28"/>
      <c r="S95" s="61">
        <v>0.39583333333333331</v>
      </c>
      <c r="T95" s="28"/>
      <c r="U95" s="26" t="s">
        <v>59</v>
      </c>
      <c r="V95" s="28"/>
      <c r="W95" s="28"/>
      <c r="X95" s="53"/>
      <c r="Y95" s="22"/>
      <c r="Z95" s="28"/>
      <c r="AA95" s="28"/>
      <c r="AB95" s="28"/>
      <c r="AC95" s="28"/>
      <c r="AD95" s="28"/>
      <c r="AE95" s="28"/>
      <c r="AF95" s="28"/>
      <c r="AG95" s="28"/>
    </row>
    <row r="96" spans="1:33" ht="15.75" customHeight="1">
      <c r="A96" s="58" t="s">
        <v>492</v>
      </c>
      <c r="B96" s="69">
        <v>43718</v>
      </c>
      <c r="C96" s="28"/>
      <c r="D96" s="57" t="s">
        <v>65</v>
      </c>
      <c r="E96" s="68" t="s">
        <v>494</v>
      </c>
      <c r="F96" s="28"/>
      <c r="G96" s="28"/>
      <c r="H96" s="66">
        <v>43703</v>
      </c>
      <c r="I96" s="50"/>
      <c r="J96" s="69">
        <v>43718</v>
      </c>
      <c r="K96" s="51"/>
      <c r="L96" s="68" t="s">
        <v>510</v>
      </c>
      <c r="M96" s="39" t="s">
        <v>511</v>
      </c>
      <c r="N96" s="39" t="s">
        <v>482</v>
      </c>
      <c r="O96" s="24" t="s">
        <v>62</v>
      </c>
      <c r="P96" s="26" t="s">
        <v>52</v>
      </c>
      <c r="Q96" s="53"/>
      <c r="R96" s="28"/>
      <c r="S96" s="61">
        <v>0.39583333333333331</v>
      </c>
      <c r="T96" s="28"/>
      <c r="U96" s="26" t="s">
        <v>59</v>
      </c>
      <c r="V96" s="28"/>
      <c r="W96" s="28"/>
      <c r="X96" s="53"/>
      <c r="Y96" s="22"/>
      <c r="Z96" s="28"/>
      <c r="AA96" s="28"/>
      <c r="AB96" s="28"/>
      <c r="AC96" s="28"/>
      <c r="AD96" s="28"/>
      <c r="AE96" s="28"/>
      <c r="AF96" s="28"/>
      <c r="AG96" s="28"/>
    </row>
    <row r="97" spans="1:33" ht="15.75" customHeight="1">
      <c r="A97" s="58" t="s">
        <v>515</v>
      </c>
      <c r="B97" s="69">
        <v>43725</v>
      </c>
      <c r="C97" s="28"/>
      <c r="D97" s="57" t="s">
        <v>65</v>
      </c>
      <c r="E97" s="68" t="s">
        <v>494</v>
      </c>
      <c r="F97" s="28"/>
      <c r="G97" s="28"/>
      <c r="H97" s="66">
        <v>43710</v>
      </c>
      <c r="I97" s="22"/>
      <c r="J97" s="69">
        <v>43725</v>
      </c>
      <c r="K97" s="28"/>
      <c r="L97" s="68" t="s">
        <v>495</v>
      </c>
      <c r="M97" s="39" t="s">
        <v>496</v>
      </c>
      <c r="N97" s="39" t="s">
        <v>482</v>
      </c>
      <c r="O97" s="24" t="s">
        <v>62</v>
      </c>
      <c r="P97" s="26" t="s">
        <v>52</v>
      </c>
      <c r="Q97" s="53"/>
      <c r="R97" s="28"/>
      <c r="S97" s="61">
        <v>0.39583333333333331</v>
      </c>
      <c r="T97" s="28"/>
      <c r="U97" s="26" t="s">
        <v>59</v>
      </c>
      <c r="V97" s="28"/>
      <c r="W97" s="28"/>
      <c r="X97" s="53"/>
      <c r="Y97" s="22"/>
      <c r="Z97" s="28"/>
      <c r="AA97" s="28"/>
      <c r="AB97" s="28"/>
      <c r="AC97" s="28"/>
      <c r="AD97" s="28"/>
      <c r="AE97" s="28"/>
      <c r="AF97" s="28"/>
      <c r="AG97" s="28"/>
    </row>
    <row r="98" spans="1:33" ht="15.75" customHeight="1">
      <c r="A98" s="58" t="s">
        <v>515</v>
      </c>
      <c r="B98" s="69">
        <v>43725</v>
      </c>
      <c r="C98" s="28"/>
      <c r="D98" s="57" t="s">
        <v>65</v>
      </c>
      <c r="E98" s="68" t="s">
        <v>494</v>
      </c>
      <c r="F98" s="28"/>
      <c r="G98" s="28"/>
      <c r="H98" s="66">
        <v>43710</v>
      </c>
      <c r="I98" s="22"/>
      <c r="J98" s="69">
        <v>43725</v>
      </c>
      <c r="K98" s="28"/>
      <c r="L98" s="68" t="s">
        <v>497</v>
      </c>
      <c r="M98" s="39" t="s">
        <v>499</v>
      </c>
      <c r="N98" s="39" t="s">
        <v>482</v>
      </c>
      <c r="O98" s="24" t="s">
        <v>62</v>
      </c>
      <c r="P98" s="26" t="s">
        <v>52</v>
      </c>
      <c r="Q98" s="53"/>
      <c r="R98" s="28"/>
      <c r="S98" s="61">
        <v>0.39583333333333331</v>
      </c>
      <c r="T98" s="28"/>
      <c r="U98" s="26" t="s">
        <v>59</v>
      </c>
      <c r="V98" s="28"/>
      <c r="W98" s="28"/>
      <c r="X98" s="53"/>
      <c r="Y98" s="22"/>
      <c r="Z98" s="28"/>
      <c r="AA98" s="28"/>
      <c r="AB98" s="28"/>
      <c r="AC98" s="28"/>
      <c r="AD98" s="28"/>
      <c r="AE98" s="28"/>
      <c r="AF98" s="28"/>
      <c r="AG98" s="28"/>
    </row>
    <row r="99" spans="1:33" ht="15.75" customHeight="1">
      <c r="A99" s="58" t="s">
        <v>515</v>
      </c>
      <c r="B99" s="69">
        <v>43725</v>
      </c>
      <c r="C99" s="28"/>
      <c r="D99" s="57" t="s">
        <v>65</v>
      </c>
      <c r="E99" s="68" t="s">
        <v>494</v>
      </c>
      <c r="F99" s="28"/>
      <c r="G99" s="28"/>
      <c r="H99" s="66">
        <v>43710</v>
      </c>
      <c r="I99" s="22"/>
      <c r="J99" s="69">
        <v>43725</v>
      </c>
      <c r="K99" s="28"/>
      <c r="L99" s="68" t="s">
        <v>503</v>
      </c>
      <c r="M99" s="39" t="s">
        <v>504</v>
      </c>
      <c r="N99" s="39" t="s">
        <v>482</v>
      </c>
      <c r="O99" s="24" t="s">
        <v>62</v>
      </c>
      <c r="P99" s="26" t="s">
        <v>52</v>
      </c>
      <c r="Q99" s="53"/>
      <c r="R99" s="28"/>
      <c r="S99" s="61">
        <v>0.39583333333333331</v>
      </c>
      <c r="T99" s="28"/>
      <c r="U99" s="26" t="s">
        <v>59</v>
      </c>
      <c r="V99" s="28"/>
      <c r="W99" s="28"/>
      <c r="X99" s="53"/>
      <c r="Y99" s="22"/>
      <c r="Z99" s="28"/>
      <c r="AA99" s="28"/>
      <c r="AB99" s="28"/>
      <c r="AC99" s="28"/>
      <c r="AD99" s="28"/>
      <c r="AE99" s="28"/>
      <c r="AF99" s="28"/>
      <c r="AG99" s="28"/>
    </row>
    <row r="100" spans="1:33" ht="15.75" customHeight="1">
      <c r="A100" s="58" t="s">
        <v>515</v>
      </c>
      <c r="B100" s="69">
        <v>43725</v>
      </c>
      <c r="C100" s="28"/>
      <c r="D100" s="57" t="s">
        <v>65</v>
      </c>
      <c r="E100" s="68" t="s">
        <v>494</v>
      </c>
      <c r="F100" s="28"/>
      <c r="G100" s="28"/>
      <c r="H100" s="66">
        <v>43710</v>
      </c>
      <c r="I100" s="22"/>
      <c r="J100" s="69">
        <v>43725</v>
      </c>
      <c r="K100" s="28"/>
      <c r="L100" s="68" t="s">
        <v>508</v>
      </c>
      <c r="M100" s="39" t="s">
        <v>509</v>
      </c>
      <c r="N100" s="39" t="s">
        <v>482</v>
      </c>
      <c r="O100" s="24" t="s">
        <v>62</v>
      </c>
      <c r="P100" s="26" t="s">
        <v>52</v>
      </c>
      <c r="Q100" s="53"/>
      <c r="R100" s="28"/>
      <c r="S100" s="61">
        <v>0.39583333333333331</v>
      </c>
      <c r="T100" s="28"/>
      <c r="U100" s="26" t="s">
        <v>59</v>
      </c>
      <c r="V100" s="28"/>
      <c r="W100" s="28"/>
      <c r="X100" s="53"/>
      <c r="Y100" s="22"/>
      <c r="Z100" s="28"/>
      <c r="AA100" s="28"/>
      <c r="AB100" s="28"/>
      <c r="AC100" s="28"/>
      <c r="AD100" s="28"/>
      <c r="AE100" s="28"/>
      <c r="AF100" s="28"/>
      <c r="AG100" s="28"/>
    </row>
    <row r="101" spans="1:33" ht="15.75" customHeight="1">
      <c r="A101" s="58" t="s">
        <v>515</v>
      </c>
      <c r="B101" s="69">
        <v>43725</v>
      </c>
      <c r="C101" s="28"/>
      <c r="D101" s="57" t="s">
        <v>65</v>
      </c>
      <c r="E101" s="68" t="s">
        <v>494</v>
      </c>
      <c r="F101" s="28"/>
      <c r="G101" s="28"/>
      <c r="H101" s="66">
        <v>43710</v>
      </c>
      <c r="I101" s="22"/>
      <c r="J101" s="69">
        <v>43725</v>
      </c>
      <c r="K101" s="28"/>
      <c r="L101" s="68" t="s">
        <v>510</v>
      </c>
      <c r="M101" s="39" t="s">
        <v>511</v>
      </c>
      <c r="N101" s="39" t="s">
        <v>482</v>
      </c>
      <c r="O101" s="24" t="s">
        <v>62</v>
      </c>
      <c r="P101" s="26" t="s">
        <v>52</v>
      </c>
      <c r="Q101" s="53"/>
      <c r="R101" s="28"/>
      <c r="S101" s="61">
        <v>0.39583333333333331</v>
      </c>
      <c r="T101" s="28"/>
      <c r="U101" s="26" t="s">
        <v>59</v>
      </c>
      <c r="V101" s="28"/>
      <c r="W101" s="28"/>
      <c r="X101" s="53"/>
      <c r="Y101" s="22"/>
      <c r="Z101" s="28"/>
      <c r="AA101" s="28"/>
      <c r="AB101" s="28"/>
      <c r="AC101" s="28"/>
      <c r="AD101" s="28"/>
      <c r="AE101" s="28"/>
      <c r="AF101" s="28"/>
      <c r="AG101" s="28"/>
    </row>
    <row r="102" spans="1:33" ht="15.75" customHeight="1">
      <c r="A102" s="58" t="s">
        <v>373</v>
      </c>
      <c r="B102" s="69">
        <v>43714</v>
      </c>
      <c r="C102" s="28"/>
      <c r="D102" s="67" t="s">
        <v>175</v>
      </c>
      <c r="E102" s="22" t="s">
        <v>53</v>
      </c>
      <c r="F102" s="22" t="s">
        <v>53</v>
      </c>
      <c r="G102" s="28"/>
      <c r="H102" s="66">
        <v>43705</v>
      </c>
      <c r="I102" s="22"/>
      <c r="J102" s="69">
        <v>43714</v>
      </c>
      <c r="K102" s="28"/>
      <c r="L102" s="68" t="s">
        <v>378</v>
      </c>
      <c r="M102" s="39" t="s">
        <v>379</v>
      </c>
      <c r="N102" s="39" t="s">
        <v>249</v>
      </c>
      <c r="O102" s="24" t="s">
        <v>51</v>
      </c>
      <c r="P102" s="26" t="s">
        <v>52</v>
      </c>
      <c r="Q102" s="53"/>
      <c r="R102" s="28"/>
      <c r="S102" s="61">
        <v>0.39583333333333331</v>
      </c>
      <c r="T102" s="28"/>
      <c r="U102" s="28"/>
      <c r="V102" s="26" t="s">
        <v>59</v>
      </c>
      <c r="W102" s="28"/>
      <c r="X102" s="53"/>
      <c r="Y102" s="22"/>
      <c r="Z102" s="28"/>
      <c r="AA102" s="28"/>
      <c r="AB102" s="28"/>
      <c r="AC102" s="28"/>
      <c r="AD102" s="28"/>
      <c r="AE102" s="28"/>
      <c r="AF102" s="28"/>
      <c r="AG102" s="28"/>
    </row>
    <row r="103" spans="1:33" ht="15.75" customHeight="1">
      <c r="A103" s="58" t="s">
        <v>528</v>
      </c>
      <c r="B103" s="69">
        <v>43727</v>
      </c>
      <c r="C103" s="28"/>
      <c r="D103" s="67" t="s">
        <v>54</v>
      </c>
      <c r="E103" s="22" t="s">
        <v>53</v>
      </c>
      <c r="F103" s="22" t="s">
        <v>53</v>
      </c>
      <c r="G103" s="28"/>
      <c r="H103" s="66">
        <v>43713</v>
      </c>
      <c r="I103" s="22"/>
      <c r="J103" s="69">
        <v>43727</v>
      </c>
      <c r="K103" s="28"/>
      <c r="L103" s="68" t="s">
        <v>458</v>
      </c>
      <c r="M103" s="39" t="s">
        <v>459</v>
      </c>
      <c r="N103" s="39" t="s">
        <v>530</v>
      </c>
      <c r="O103" s="24" t="s">
        <v>62</v>
      </c>
      <c r="P103" s="26" t="s">
        <v>52</v>
      </c>
      <c r="Q103" s="53"/>
      <c r="R103" s="28"/>
      <c r="S103" s="61">
        <v>0.39583333333333331</v>
      </c>
      <c r="T103" s="28"/>
      <c r="U103" s="28"/>
      <c r="V103" s="26" t="s">
        <v>59</v>
      </c>
      <c r="W103" s="28"/>
      <c r="X103" s="53"/>
      <c r="Y103" s="22"/>
      <c r="Z103" s="28"/>
      <c r="AA103" s="28"/>
      <c r="AB103" s="28"/>
      <c r="AC103" s="28"/>
      <c r="AD103" s="28"/>
      <c r="AE103" s="28"/>
      <c r="AF103" s="28"/>
      <c r="AG103" s="28"/>
    </row>
    <row r="104" spans="1:33" ht="15.75" customHeight="1">
      <c r="A104" s="58" t="s">
        <v>532</v>
      </c>
      <c r="B104" s="69">
        <v>43753</v>
      </c>
      <c r="C104" s="28"/>
      <c r="D104" s="67" t="s">
        <v>54</v>
      </c>
      <c r="E104" s="22" t="s">
        <v>53</v>
      </c>
      <c r="F104" s="22" t="s">
        <v>53</v>
      </c>
      <c r="G104" s="28"/>
      <c r="H104" s="69">
        <v>43733</v>
      </c>
      <c r="I104" s="69">
        <v>43747</v>
      </c>
      <c r="J104" s="69"/>
      <c r="K104" s="28"/>
      <c r="L104" s="78" t="s">
        <v>346</v>
      </c>
      <c r="M104" s="79" t="s">
        <v>371</v>
      </c>
      <c r="N104" s="68" t="s">
        <v>460</v>
      </c>
      <c r="O104" s="24" t="s">
        <v>51</v>
      </c>
      <c r="P104" s="26" t="s">
        <v>52</v>
      </c>
      <c r="Q104" s="53"/>
      <c r="R104" s="28"/>
      <c r="S104" s="61">
        <v>0.39583333333333331</v>
      </c>
      <c r="T104" s="28"/>
      <c r="U104" s="26"/>
      <c r="V104" s="26" t="s">
        <v>59</v>
      </c>
      <c r="W104" s="28"/>
      <c r="X104" s="53"/>
      <c r="Y104" s="22"/>
      <c r="Z104" s="28"/>
      <c r="AA104" s="28"/>
      <c r="AB104" s="28"/>
      <c r="AC104" s="28"/>
      <c r="AD104" s="28"/>
      <c r="AE104" s="28"/>
      <c r="AF104" s="28"/>
      <c r="AG104" s="28"/>
    </row>
    <row r="105" spans="1:33" ht="15.75" customHeight="1">
      <c r="A105" s="58" t="s">
        <v>532</v>
      </c>
      <c r="B105" s="69">
        <v>43753</v>
      </c>
      <c r="C105" s="28"/>
      <c r="D105" s="67" t="s">
        <v>54</v>
      </c>
      <c r="E105" s="22" t="s">
        <v>53</v>
      </c>
      <c r="F105" s="22" t="s">
        <v>53</v>
      </c>
      <c r="G105" s="28"/>
      <c r="H105" s="69">
        <v>43733</v>
      </c>
      <c r="I105" s="69"/>
      <c r="J105" s="69">
        <v>43749</v>
      </c>
      <c r="K105" s="28"/>
      <c r="L105" s="78" t="s">
        <v>346</v>
      </c>
      <c r="M105" s="79" t="s">
        <v>371</v>
      </c>
      <c r="N105" s="39" t="s">
        <v>541</v>
      </c>
      <c r="O105" s="24" t="s">
        <v>51</v>
      </c>
      <c r="P105" s="26" t="s">
        <v>52</v>
      </c>
      <c r="Q105" s="53"/>
      <c r="R105" s="28"/>
      <c r="S105" s="61">
        <v>0.39583333333333331</v>
      </c>
      <c r="T105" s="28"/>
      <c r="U105" s="26" t="s">
        <v>59</v>
      </c>
      <c r="V105" s="26"/>
      <c r="W105" s="28"/>
      <c r="X105" s="53"/>
      <c r="Y105" s="22"/>
      <c r="Z105" s="28"/>
      <c r="AA105" s="28"/>
      <c r="AB105" s="28"/>
      <c r="AC105" s="28"/>
      <c r="AD105" s="28"/>
      <c r="AE105" s="28"/>
      <c r="AF105" s="28"/>
      <c r="AG105" s="28"/>
    </row>
    <row r="106" spans="1:33" ht="15.75" customHeight="1">
      <c r="A106" s="58" t="s">
        <v>542</v>
      </c>
      <c r="B106" s="69">
        <v>43745</v>
      </c>
      <c r="C106" s="69">
        <v>43745</v>
      </c>
      <c r="D106" s="67" t="s">
        <v>54</v>
      </c>
      <c r="E106" s="58" t="s">
        <v>543</v>
      </c>
      <c r="F106" s="58" t="s">
        <v>543</v>
      </c>
      <c r="G106" s="28"/>
      <c r="H106" s="69">
        <v>43733</v>
      </c>
      <c r="I106" s="22"/>
      <c r="J106" s="69">
        <v>43749</v>
      </c>
      <c r="K106" s="28"/>
      <c r="L106" s="68" t="s">
        <v>544</v>
      </c>
      <c r="M106" s="39" t="s">
        <v>546</v>
      </c>
      <c r="N106" s="39" t="s">
        <v>548</v>
      </c>
      <c r="O106" s="24" t="s">
        <v>51</v>
      </c>
      <c r="P106" s="26" t="s">
        <v>52</v>
      </c>
      <c r="Q106" s="53"/>
      <c r="R106" s="28"/>
      <c r="S106" s="61">
        <v>0.39583333333333331</v>
      </c>
      <c r="T106" s="28"/>
      <c r="U106" s="26" t="s">
        <v>59</v>
      </c>
      <c r="V106" s="28"/>
      <c r="W106" s="28"/>
      <c r="X106" s="53"/>
      <c r="Y106" s="22"/>
      <c r="Z106" s="28"/>
      <c r="AA106" s="28"/>
      <c r="AB106" s="28"/>
      <c r="AC106" s="28"/>
      <c r="AD106" s="28"/>
      <c r="AE106" s="28"/>
      <c r="AF106" s="28"/>
      <c r="AG106" s="28"/>
    </row>
    <row r="107" spans="1:33" ht="15.75" customHeight="1">
      <c r="A107" s="58" t="s">
        <v>551</v>
      </c>
      <c r="B107" s="28"/>
      <c r="C107" s="28"/>
      <c r="D107" s="57" t="s">
        <v>65</v>
      </c>
      <c r="E107" s="22" t="s">
        <v>67</v>
      </c>
      <c r="F107" s="28"/>
      <c r="G107" s="28"/>
      <c r="H107" s="69">
        <v>43665</v>
      </c>
      <c r="I107" s="22"/>
      <c r="J107" s="28"/>
      <c r="K107" s="28"/>
      <c r="L107" s="22"/>
      <c r="M107" s="39" t="s">
        <v>552</v>
      </c>
      <c r="N107" s="68" t="s">
        <v>460</v>
      </c>
      <c r="O107" s="24" t="s">
        <v>51</v>
      </c>
      <c r="P107" s="26" t="s">
        <v>52</v>
      </c>
      <c r="Q107" s="53"/>
      <c r="R107" s="28"/>
      <c r="S107" s="61">
        <v>0.39583333333333331</v>
      </c>
      <c r="T107" s="28"/>
      <c r="U107" s="28"/>
      <c r="V107" s="26" t="s">
        <v>59</v>
      </c>
      <c r="W107" s="28"/>
      <c r="X107" s="53"/>
      <c r="Y107" s="22"/>
      <c r="Z107" s="28"/>
      <c r="AA107" s="28"/>
      <c r="AB107" s="28"/>
      <c r="AC107" s="28"/>
      <c r="AD107" s="28"/>
      <c r="AE107" s="28"/>
      <c r="AF107" s="28"/>
      <c r="AG107" s="28"/>
    </row>
    <row r="108" spans="1:33" ht="15.75" customHeight="1">
      <c r="A108" s="80" t="s">
        <v>553</v>
      </c>
      <c r="B108" s="28"/>
      <c r="C108" s="28"/>
      <c r="D108" s="57" t="s">
        <v>65</v>
      </c>
      <c r="E108" s="58" t="s">
        <v>479</v>
      </c>
      <c r="F108" s="28"/>
      <c r="G108" s="28"/>
      <c r="H108" s="69">
        <v>43729</v>
      </c>
      <c r="I108" s="22"/>
      <c r="J108" s="69">
        <v>43745</v>
      </c>
      <c r="K108" s="28"/>
      <c r="L108" s="68" t="s">
        <v>480</v>
      </c>
      <c r="M108" s="39" t="s">
        <v>481</v>
      </c>
      <c r="N108" s="39" t="s">
        <v>556</v>
      </c>
      <c r="O108" s="24" t="s">
        <v>51</v>
      </c>
      <c r="P108" s="26" t="s">
        <v>52</v>
      </c>
      <c r="Q108" s="53"/>
      <c r="R108" s="28"/>
      <c r="S108" s="61">
        <v>0.39583333333333331</v>
      </c>
      <c r="T108" s="28"/>
      <c r="U108" s="26" t="s">
        <v>59</v>
      </c>
      <c r="V108" s="28"/>
      <c r="W108" s="28"/>
      <c r="X108" s="53"/>
      <c r="Y108" s="22"/>
      <c r="Z108" s="28"/>
      <c r="AA108" s="28"/>
      <c r="AB108" s="28"/>
      <c r="AC108" s="28"/>
      <c r="AD108" s="28"/>
      <c r="AE108" s="28"/>
      <c r="AF108" s="28"/>
      <c r="AG108" s="28"/>
    </row>
    <row r="109" spans="1:33" ht="15.75" customHeight="1">
      <c r="A109" s="80" t="s">
        <v>553</v>
      </c>
      <c r="B109" s="28"/>
      <c r="C109" s="28"/>
      <c r="D109" s="57" t="s">
        <v>65</v>
      </c>
      <c r="E109" s="58" t="s">
        <v>479</v>
      </c>
      <c r="F109" s="28"/>
      <c r="G109" s="28"/>
      <c r="H109" s="69">
        <v>43729</v>
      </c>
      <c r="I109" s="22"/>
      <c r="J109" s="69">
        <v>43745</v>
      </c>
      <c r="K109" s="28"/>
      <c r="L109" s="68" t="s">
        <v>486</v>
      </c>
      <c r="M109" s="39" t="s">
        <v>487</v>
      </c>
      <c r="N109" s="39" t="s">
        <v>556</v>
      </c>
      <c r="O109" s="24" t="s">
        <v>62</v>
      </c>
      <c r="P109" s="26" t="s">
        <v>52</v>
      </c>
      <c r="Q109" s="53"/>
      <c r="R109" s="28"/>
      <c r="S109" s="61">
        <v>0.39583333333333331</v>
      </c>
      <c r="T109" s="28"/>
      <c r="U109" s="26" t="s">
        <v>59</v>
      </c>
      <c r="V109" s="28"/>
      <c r="W109" s="28"/>
      <c r="X109" s="53"/>
      <c r="Y109" s="22"/>
      <c r="Z109" s="28"/>
      <c r="AA109" s="28"/>
      <c r="AB109" s="28"/>
      <c r="AC109" s="28"/>
      <c r="AD109" s="28"/>
      <c r="AE109" s="28"/>
      <c r="AF109" s="28"/>
      <c r="AG109" s="28"/>
    </row>
    <row r="110" spans="1:33" ht="15.75" customHeight="1">
      <c r="A110" s="82" t="s">
        <v>558</v>
      </c>
      <c r="B110" s="28"/>
      <c r="C110" s="28"/>
      <c r="D110" s="67" t="s">
        <v>54</v>
      </c>
      <c r="E110" s="22" t="s">
        <v>67</v>
      </c>
      <c r="F110" s="28"/>
      <c r="G110" s="28"/>
      <c r="H110" s="69">
        <v>43738</v>
      </c>
      <c r="I110" s="22"/>
      <c r="J110" s="28"/>
      <c r="K110" s="28"/>
      <c r="L110" s="22" t="s">
        <v>86</v>
      </c>
      <c r="M110" s="39" t="s">
        <v>87</v>
      </c>
      <c r="N110" s="39" t="s">
        <v>249</v>
      </c>
      <c r="O110" s="24" t="s">
        <v>51</v>
      </c>
      <c r="P110" s="26" t="s">
        <v>52</v>
      </c>
      <c r="Q110" s="53"/>
      <c r="R110" s="28"/>
      <c r="S110" s="61">
        <v>0.39583333333333331</v>
      </c>
      <c r="T110" s="28"/>
      <c r="U110" s="28"/>
      <c r="V110" s="26" t="s">
        <v>59</v>
      </c>
      <c r="W110" s="28"/>
      <c r="X110" s="53"/>
      <c r="Y110" s="22"/>
      <c r="Z110" s="28"/>
      <c r="AA110" s="28"/>
      <c r="AB110" s="28"/>
      <c r="AC110" s="28"/>
      <c r="AD110" s="28"/>
      <c r="AE110" s="28"/>
      <c r="AF110" s="28"/>
      <c r="AG110" s="28"/>
    </row>
    <row r="111" spans="1:33" ht="15.75" customHeight="1">
      <c r="A111" s="82" t="s">
        <v>558</v>
      </c>
      <c r="B111" s="28"/>
      <c r="C111" s="28"/>
      <c r="D111" s="67" t="s">
        <v>54</v>
      </c>
      <c r="E111" s="22" t="s">
        <v>67</v>
      </c>
      <c r="F111" s="28"/>
      <c r="G111" s="28"/>
      <c r="H111" s="69">
        <v>43738</v>
      </c>
      <c r="I111" s="22"/>
      <c r="J111" s="28"/>
      <c r="K111" s="28"/>
      <c r="L111" s="22" t="s">
        <v>86</v>
      </c>
      <c r="M111" s="39" t="s">
        <v>87</v>
      </c>
      <c r="N111" s="39" t="s">
        <v>566</v>
      </c>
      <c r="O111" s="24" t="s">
        <v>51</v>
      </c>
      <c r="P111" s="26" t="s">
        <v>52</v>
      </c>
      <c r="Q111" s="53"/>
      <c r="R111" s="28"/>
      <c r="S111" s="61">
        <v>0.39583333333333331</v>
      </c>
      <c r="T111" s="28"/>
      <c r="U111" s="28"/>
      <c r="V111" s="26" t="s">
        <v>59</v>
      </c>
      <c r="W111" s="28"/>
      <c r="X111" s="53"/>
      <c r="Y111" s="22"/>
      <c r="Z111" s="28"/>
      <c r="AA111" s="28"/>
      <c r="AB111" s="28"/>
      <c r="AC111" s="28"/>
      <c r="AD111" s="28"/>
      <c r="AE111" s="28"/>
      <c r="AF111" s="28"/>
      <c r="AG111" s="28"/>
    </row>
    <row r="112" spans="1:33" ht="15.75" customHeight="1">
      <c r="A112" s="82" t="s">
        <v>558</v>
      </c>
      <c r="B112" s="28"/>
      <c r="C112" s="28"/>
      <c r="D112" s="67" t="s">
        <v>54</v>
      </c>
      <c r="E112" s="22" t="s">
        <v>67</v>
      </c>
      <c r="F112" s="28"/>
      <c r="G112" s="28"/>
      <c r="H112" s="69">
        <v>43738</v>
      </c>
      <c r="I112" s="22"/>
      <c r="J112" s="28"/>
      <c r="K112" s="28"/>
      <c r="L112" s="22" t="s">
        <v>86</v>
      </c>
      <c r="M112" s="39" t="s">
        <v>87</v>
      </c>
      <c r="N112" s="39" t="s">
        <v>568</v>
      </c>
      <c r="O112" s="24" t="s">
        <v>51</v>
      </c>
      <c r="P112" s="26" t="s">
        <v>52</v>
      </c>
      <c r="Q112" s="53"/>
      <c r="R112" s="28"/>
      <c r="S112" s="61">
        <v>0.39583333333333331</v>
      </c>
      <c r="T112" s="28"/>
      <c r="U112" s="28"/>
      <c r="V112" s="26" t="s">
        <v>59</v>
      </c>
      <c r="W112" s="28"/>
      <c r="X112" s="53"/>
      <c r="Y112" s="22"/>
      <c r="Z112" s="28"/>
      <c r="AA112" s="28"/>
      <c r="AB112" s="28"/>
      <c r="AC112" s="28"/>
      <c r="AD112" s="28"/>
      <c r="AE112" s="28"/>
      <c r="AF112" s="28"/>
      <c r="AG112" s="28"/>
    </row>
    <row r="113" spans="1:33" ht="15.75" customHeight="1">
      <c r="A113" s="82" t="s">
        <v>558</v>
      </c>
      <c r="B113" s="28"/>
      <c r="C113" s="28"/>
      <c r="D113" s="67" t="s">
        <v>54</v>
      </c>
      <c r="E113" s="22" t="s">
        <v>67</v>
      </c>
      <c r="F113" s="28"/>
      <c r="G113" s="28"/>
      <c r="H113" s="69">
        <v>43738</v>
      </c>
      <c r="I113" s="22"/>
      <c r="J113" s="28"/>
      <c r="K113" s="28"/>
      <c r="L113" s="22" t="s">
        <v>86</v>
      </c>
      <c r="M113" s="39" t="s">
        <v>87</v>
      </c>
      <c r="N113" s="39" t="s">
        <v>572</v>
      </c>
      <c r="O113" s="24" t="s">
        <v>51</v>
      </c>
      <c r="P113" s="26" t="s">
        <v>52</v>
      </c>
      <c r="Q113" s="53"/>
      <c r="R113" s="28"/>
      <c r="S113" s="61">
        <v>0.39583333333333331</v>
      </c>
      <c r="T113" s="28"/>
      <c r="U113" s="28"/>
      <c r="V113" s="26" t="s">
        <v>59</v>
      </c>
      <c r="W113" s="28"/>
      <c r="X113" s="53"/>
      <c r="Y113" s="22"/>
      <c r="Z113" s="28"/>
      <c r="AA113" s="28"/>
      <c r="AB113" s="28"/>
      <c r="AC113" s="28"/>
      <c r="AD113" s="28"/>
      <c r="AE113" s="28"/>
      <c r="AF113" s="28"/>
      <c r="AG113" s="28"/>
    </row>
    <row r="114" spans="1:33" ht="15.75" customHeight="1">
      <c r="A114" s="82" t="s">
        <v>558</v>
      </c>
      <c r="B114" s="28"/>
      <c r="C114" s="28"/>
      <c r="D114" s="67" t="s">
        <v>54</v>
      </c>
      <c r="E114" s="22" t="s">
        <v>67</v>
      </c>
      <c r="F114" s="28"/>
      <c r="G114" s="28"/>
      <c r="H114" s="69">
        <v>43738</v>
      </c>
      <c r="I114" s="22"/>
      <c r="J114" s="28"/>
      <c r="K114" s="28"/>
      <c r="L114" s="22" t="s">
        <v>86</v>
      </c>
      <c r="M114" s="39" t="s">
        <v>87</v>
      </c>
      <c r="N114" s="39" t="s">
        <v>573</v>
      </c>
      <c r="O114" s="24" t="s">
        <v>51</v>
      </c>
      <c r="P114" s="26" t="s">
        <v>52</v>
      </c>
      <c r="Q114" s="53"/>
      <c r="R114" s="28"/>
      <c r="S114" s="61">
        <v>0.39583333333333331</v>
      </c>
      <c r="T114" s="28"/>
      <c r="U114" s="28"/>
      <c r="V114" s="26" t="s">
        <v>59</v>
      </c>
      <c r="W114" s="28"/>
      <c r="X114" s="53"/>
      <c r="Y114" s="22"/>
      <c r="Z114" s="28"/>
      <c r="AA114" s="28"/>
      <c r="AB114" s="28"/>
      <c r="AC114" s="28"/>
      <c r="AD114" s="28"/>
      <c r="AE114" s="28"/>
      <c r="AF114" s="28"/>
      <c r="AG114" s="28"/>
    </row>
    <row r="115" spans="1:33" ht="15.75" customHeight="1">
      <c r="A115" s="82" t="s">
        <v>558</v>
      </c>
      <c r="B115" s="28"/>
      <c r="C115" s="28"/>
      <c r="D115" s="67" t="s">
        <v>54</v>
      </c>
      <c r="E115" s="22" t="s">
        <v>67</v>
      </c>
      <c r="F115" s="28"/>
      <c r="G115" s="28"/>
      <c r="H115" s="69">
        <v>43738</v>
      </c>
      <c r="I115" s="22"/>
      <c r="J115" s="28"/>
      <c r="K115" s="28"/>
      <c r="L115" s="22" t="s">
        <v>86</v>
      </c>
      <c r="M115" s="39" t="s">
        <v>87</v>
      </c>
      <c r="N115" s="39" t="s">
        <v>574</v>
      </c>
      <c r="O115" s="24" t="s">
        <v>51</v>
      </c>
      <c r="P115" s="26" t="s">
        <v>52</v>
      </c>
      <c r="Q115" s="53"/>
      <c r="R115" s="28"/>
      <c r="S115" s="61">
        <v>0.39583333333333331</v>
      </c>
      <c r="T115" s="28"/>
      <c r="U115" s="28"/>
      <c r="V115" s="26" t="s">
        <v>59</v>
      </c>
      <c r="W115" s="28"/>
      <c r="X115" s="53"/>
      <c r="Y115" s="22"/>
      <c r="Z115" s="28"/>
      <c r="AA115" s="28"/>
      <c r="AB115" s="28"/>
      <c r="AC115" s="28"/>
      <c r="AD115" s="28"/>
      <c r="AE115" s="28"/>
      <c r="AF115" s="28"/>
      <c r="AG115" s="28"/>
    </row>
    <row r="116" spans="1:33" ht="15.75" customHeight="1">
      <c r="A116" s="82" t="s">
        <v>558</v>
      </c>
      <c r="B116" s="28"/>
      <c r="C116" s="28"/>
      <c r="D116" s="67" t="s">
        <v>54</v>
      </c>
      <c r="E116" s="22" t="s">
        <v>67</v>
      </c>
      <c r="F116" s="28"/>
      <c r="G116" s="28"/>
      <c r="H116" s="69">
        <v>43738</v>
      </c>
      <c r="I116" s="22"/>
      <c r="J116" s="28"/>
      <c r="K116" s="28"/>
      <c r="L116" s="22" t="s">
        <v>86</v>
      </c>
      <c r="M116" s="39" t="s">
        <v>87</v>
      </c>
      <c r="N116" s="39" t="s">
        <v>575</v>
      </c>
      <c r="O116" s="24" t="s">
        <v>51</v>
      </c>
      <c r="P116" s="26" t="s">
        <v>52</v>
      </c>
      <c r="Q116" s="53"/>
      <c r="R116" s="28"/>
      <c r="S116" s="61">
        <v>0.39583333333333331</v>
      </c>
      <c r="T116" s="28"/>
      <c r="U116" s="28"/>
      <c r="V116" s="26" t="s">
        <v>59</v>
      </c>
      <c r="W116" s="28"/>
      <c r="X116" s="53"/>
      <c r="Y116" s="22"/>
      <c r="Z116" s="28"/>
      <c r="AA116" s="28"/>
      <c r="AB116" s="28"/>
      <c r="AC116" s="28"/>
      <c r="AD116" s="28"/>
      <c r="AE116" s="28"/>
      <c r="AF116" s="28"/>
      <c r="AG116" s="28"/>
    </row>
    <row r="117" spans="1:33" ht="15.75" customHeight="1">
      <c r="A117" s="58" t="s">
        <v>558</v>
      </c>
      <c r="B117" s="28"/>
      <c r="C117" s="28"/>
      <c r="D117" s="67" t="s">
        <v>54</v>
      </c>
      <c r="E117" s="22" t="s">
        <v>67</v>
      </c>
      <c r="F117" s="28"/>
      <c r="G117" s="28"/>
      <c r="H117" s="69">
        <v>43738</v>
      </c>
      <c r="I117" s="22"/>
      <c r="J117" s="28"/>
      <c r="K117" s="28"/>
      <c r="L117" s="22" t="s">
        <v>86</v>
      </c>
      <c r="M117" s="39" t="s">
        <v>87</v>
      </c>
      <c r="N117" s="39" t="s">
        <v>577</v>
      </c>
      <c r="O117" s="24" t="s">
        <v>51</v>
      </c>
      <c r="P117" s="26" t="s">
        <v>52</v>
      </c>
      <c r="Q117" s="53"/>
      <c r="R117" s="28"/>
      <c r="S117" s="61">
        <v>0.39583333333333331</v>
      </c>
      <c r="T117" s="28"/>
      <c r="U117" s="28"/>
      <c r="V117" s="26" t="s">
        <v>59</v>
      </c>
      <c r="W117" s="28"/>
      <c r="X117" s="53"/>
      <c r="Y117" s="22"/>
      <c r="Z117" s="28"/>
      <c r="AA117" s="28"/>
      <c r="AB117" s="28"/>
      <c r="AC117" s="28"/>
      <c r="AD117" s="28"/>
      <c r="AE117" s="28"/>
      <c r="AF117" s="28"/>
      <c r="AG117" s="28"/>
    </row>
    <row r="118" spans="1:33" ht="15.75" customHeight="1">
      <c r="A118" s="58" t="s">
        <v>558</v>
      </c>
      <c r="B118" s="28"/>
      <c r="C118" s="28"/>
      <c r="D118" s="67" t="s">
        <v>54</v>
      </c>
      <c r="E118" s="22" t="s">
        <v>67</v>
      </c>
      <c r="F118" s="28"/>
      <c r="G118" s="28"/>
      <c r="H118" s="69">
        <v>43738</v>
      </c>
      <c r="I118" s="22"/>
      <c r="J118" s="28"/>
      <c r="K118" s="28"/>
      <c r="L118" s="22" t="s">
        <v>86</v>
      </c>
      <c r="M118" s="39" t="s">
        <v>87</v>
      </c>
      <c r="N118" s="39" t="s">
        <v>580</v>
      </c>
      <c r="O118" s="24" t="s">
        <v>51</v>
      </c>
      <c r="P118" s="26" t="s">
        <v>52</v>
      </c>
      <c r="Q118" s="53"/>
      <c r="R118" s="28"/>
      <c r="S118" s="61">
        <v>0.39583333333333331</v>
      </c>
      <c r="T118" s="28"/>
      <c r="U118" s="28"/>
      <c r="V118" s="26" t="s">
        <v>59</v>
      </c>
      <c r="W118" s="28"/>
      <c r="X118" s="53"/>
      <c r="Y118" s="22"/>
      <c r="Z118" s="28"/>
      <c r="AA118" s="28"/>
      <c r="AB118" s="28"/>
      <c r="AC118" s="28"/>
      <c r="AD118" s="28"/>
      <c r="AE118" s="28"/>
      <c r="AF118" s="28"/>
      <c r="AG118" s="28"/>
    </row>
    <row r="119" spans="1:33" ht="15.75" customHeight="1">
      <c r="A119" s="58" t="s">
        <v>558</v>
      </c>
      <c r="B119" s="28"/>
      <c r="C119" s="28"/>
      <c r="D119" s="67" t="s">
        <v>54</v>
      </c>
      <c r="E119" s="22" t="s">
        <v>67</v>
      </c>
      <c r="F119" s="28"/>
      <c r="G119" s="28"/>
      <c r="H119" s="69">
        <v>43738</v>
      </c>
      <c r="I119" s="22"/>
      <c r="J119" s="28"/>
      <c r="K119" s="28"/>
      <c r="L119" s="22" t="s">
        <v>86</v>
      </c>
      <c r="M119" s="39" t="s">
        <v>87</v>
      </c>
      <c r="N119" s="39" t="s">
        <v>581</v>
      </c>
      <c r="O119" s="24" t="s">
        <v>51</v>
      </c>
      <c r="P119" s="26" t="s">
        <v>52</v>
      </c>
      <c r="Q119" s="53"/>
      <c r="R119" s="28"/>
      <c r="S119" s="61">
        <v>0.39583333333333331</v>
      </c>
      <c r="T119" s="28"/>
      <c r="U119" s="28"/>
      <c r="V119" s="26" t="s">
        <v>59</v>
      </c>
      <c r="W119" s="28"/>
      <c r="X119" s="53"/>
      <c r="Y119" s="22"/>
      <c r="Z119" s="28"/>
      <c r="AA119" s="28"/>
      <c r="AB119" s="28"/>
      <c r="AC119" s="28"/>
      <c r="AD119" s="28"/>
      <c r="AE119" s="28"/>
      <c r="AF119" s="28"/>
      <c r="AG119" s="28"/>
    </row>
    <row r="120" spans="1:33" ht="15.75" customHeight="1">
      <c r="A120" s="58" t="s">
        <v>558</v>
      </c>
      <c r="B120" s="28"/>
      <c r="C120" s="28"/>
      <c r="D120" s="67" t="s">
        <v>54</v>
      </c>
      <c r="E120" s="22" t="s">
        <v>67</v>
      </c>
      <c r="F120" s="28"/>
      <c r="G120" s="28"/>
      <c r="H120" s="69">
        <v>43738</v>
      </c>
      <c r="I120" s="22"/>
      <c r="J120" s="28"/>
      <c r="K120" s="28"/>
      <c r="L120" s="22" t="s">
        <v>86</v>
      </c>
      <c r="M120" s="39" t="s">
        <v>87</v>
      </c>
      <c r="N120" s="39" t="s">
        <v>583</v>
      </c>
      <c r="O120" s="24" t="s">
        <v>51</v>
      </c>
      <c r="P120" s="26" t="s">
        <v>52</v>
      </c>
      <c r="Q120" s="53"/>
      <c r="R120" s="28"/>
      <c r="S120" s="61">
        <v>0.39583333333333331</v>
      </c>
      <c r="T120" s="28"/>
      <c r="U120" s="28"/>
      <c r="V120" s="26" t="s">
        <v>59</v>
      </c>
      <c r="W120" s="28"/>
      <c r="X120" s="53"/>
      <c r="Y120" s="22"/>
      <c r="Z120" s="28"/>
      <c r="AA120" s="28"/>
      <c r="AB120" s="28"/>
      <c r="AC120" s="28"/>
      <c r="AD120" s="28"/>
      <c r="AE120" s="28"/>
      <c r="AF120" s="28"/>
      <c r="AG120" s="28"/>
    </row>
    <row r="121" spans="1:33" ht="15.75" customHeight="1">
      <c r="A121" s="58" t="s">
        <v>558</v>
      </c>
      <c r="B121" s="28"/>
      <c r="C121" s="28"/>
      <c r="D121" s="67" t="s">
        <v>54</v>
      </c>
      <c r="E121" s="22" t="s">
        <v>67</v>
      </c>
      <c r="F121" s="28"/>
      <c r="G121" s="28"/>
      <c r="H121" s="69">
        <v>43738</v>
      </c>
      <c r="I121" s="22"/>
      <c r="J121" s="28"/>
      <c r="K121" s="28"/>
      <c r="L121" s="22" t="s">
        <v>86</v>
      </c>
      <c r="M121" s="39" t="s">
        <v>87</v>
      </c>
      <c r="N121" s="39" t="s">
        <v>584</v>
      </c>
      <c r="O121" s="24" t="s">
        <v>51</v>
      </c>
      <c r="P121" s="26" t="s">
        <v>52</v>
      </c>
      <c r="Q121" s="53"/>
      <c r="R121" s="28"/>
      <c r="S121" s="61">
        <v>0.39583333333333331</v>
      </c>
      <c r="T121" s="28"/>
      <c r="U121" s="28"/>
      <c r="V121" s="26" t="s">
        <v>59</v>
      </c>
      <c r="W121" s="28"/>
      <c r="X121" s="53"/>
      <c r="Y121" s="22"/>
      <c r="Z121" s="28"/>
      <c r="AA121" s="28"/>
      <c r="AB121" s="28"/>
      <c r="AC121" s="28"/>
      <c r="AD121" s="28"/>
      <c r="AE121" s="28"/>
      <c r="AF121" s="28"/>
      <c r="AG121" s="28"/>
    </row>
    <row r="122" spans="1:33" ht="15.75" customHeight="1">
      <c r="A122" s="58" t="s">
        <v>558</v>
      </c>
      <c r="B122" s="28"/>
      <c r="C122" s="28"/>
      <c r="D122" s="67" t="s">
        <v>54</v>
      </c>
      <c r="E122" s="22" t="s">
        <v>67</v>
      </c>
      <c r="F122" s="28"/>
      <c r="G122" s="28"/>
      <c r="H122" s="69">
        <v>43738</v>
      </c>
      <c r="I122" s="22"/>
      <c r="J122" s="28"/>
      <c r="K122" s="28"/>
      <c r="L122" s="22" t="s">
        <v>86</v>
      </c>
      <c r="M122" s="39" t="s">
        <v>87</v>
      </c>
      <c r="N122" s="39" t="s">
        <v>586</v>
      </c>
      <c r="O122" s="24" t="s">
        <v>51</v>
      </c>
      <c r="P122" s="26" t="s">
        <v>52</v>
      </c>
      <c r="Q122" s="53"/>
      <c r="R122" s="28"/>
      <c r="S122" s="61">
        <v>0.39583333333333331</v>
      </c>
      <c r="T122" s="28"/>
      <c r="U122" s="28"/>
      <c r="V122" s="26" t="s">
        <v>59</v>
      </c>
      <c r="W122" s="28"/>
      <c r="X122" s="53"/>
      <c r="Y122" s="22"/>
      <c r="Z122" s="28"/>
      <c r="AA122" s="28"/>
      <c r="AB122" s="28"/>
      <c r="AC122" s="28"/>
      <c r="AD122" s="28"/>
      <c r="AE122" s="28"/>
      <c r="AF122" s="28"/>
      <c r="AG122" s="28"/>
    </row>
    <row r="123" spans="1:33" ht="15.75" customHeight="1">
      <c r="A123" s="58" t="s">
        <v>558</v>
      </c>
      <c r="B123" s="28"/>
      <c r="C123" s="28"/>
      <c r="D123" s="67" t="s">
        <v>54</v>
      </c>
      <c r="E123" s="22" t="s">
        <v>67</v>
      </c>
      <c r="F123" s="28"/>
      <c r="G123" s="28"/>
      <c r="H123" s="69">
        <v>43738</v>
      </c>
      <c r="I123" s="22"/>
      <c r="J123" s="28"/>
      <c r="K123" s="28"/>
      <c r="L123" s="68" t="s">
        <v>216</v>
      </c>
      <c r="M123" s="39" t="s">
        <v>87</v>
      </c>
      <c r="N123" s="39" t="s">
        <v>590</v>
      </c>
      <c r="O123" s="24" t="s">
        <v>51</v>
      </c>
      <c r="P123" s="26" t="s">
        <v>52</v>
      </c>
      <c r="Q123" s="53"/>
      <c r="R123" s="28"/>
      <c r="S123" s="61">
        <v>0.39583333333333331</v>
      </c>
      <c r="T123" s="28"/>
      <c r="U123" s="28"/>
      <c r="V123" s="26" t="s">
        <v>59</v>
      </c>
      <c r="W123" s="28"/>
      <c r="X123" s="53"/>
      <c r="Y123" s="22"/>
      <c r="Z123" s="28"/>
      <c r="AA123" s="28"/>
      <c r="AB123" s="28"/>
      <c r="AC123" s="28"/>
      <c r="AD123" s="28"/>
      <c r="AE123" s="28"/>
      <c r="AF123" s="28"/>
      <c r="AG123" s="28"/>
    </row>
    <row r="124" spans="1:33" ht="15.75" customHeight="1">
      <c r="A124" s="58" t="s">
        <v>558</v>
      </c>
      <c r="B124" s="28"/>
      <c r="C124" s="28"/>
      <c r="D124" s="67" t="s">
        <v>54</v>
      </c>
      <c r="E124" s="22" t="s">
        <v>67</v>
      </c>
      <c r="F124" s="28"/>
      <c r="G124" s="28"/>
      <c r="H124" s="69">
        <v>43738</v>
      </c>
      <c r="I124" s="22"/>
      <c r="J124" s="28"/>
      <c r="K124" s="28"/>
      <c r="L124" s="68" t="s">
        <v>216</v>
      </c>
      <c r="M124" s="39" t="s">
        <v>217</v>
      </c>
      <c r="N124" s="39" t="s">
        <v>249</v>
      </c>
      <c r="O124" s="24" t="s">
        <v>51</v>
      </c>
      <c r="P124" s="26" t="s">
        <v>52</v>
      </c>
      <c r="Q124" s="53"/>
      <c r="R124" s="28"/>
      <c r="S124" s="61">
        <v>0.39583333333333331</v>
      </c>
      <c r="T124" s="28"/>
      <c r="U124" s="28"/>
      <c r="V124" s="26" t="s">
        <v>59</v>
      </c>
      <c r="W124" s="28"/>
      <c r="X124" s="53"/>
      <c r="Y124" s="22"/>
      <c r="Z124" s="28"/>
      <c r="AA124" s="28"/>
      <c r="AB124" s="28"/>
      <c r="AC124" s="28"/>
      <c r="AD124" s="28"/>
      <c r="AE124" s="28"/>
      <c r="AF124" s="28"/>
      <c r="AG124" s="28"/>
    </row>
    <row r="125" spans="1:33" ht="15.75" customHeight="1">
      <c r="A125" s="58" t="s">
        <v>558</v>
      </c>
      <c r="B125" s="28"/>
      <c r="C125" s="28"/>
      <c r="D125" s="67" t="s">
        <v>54</v>
      </c>
      <c r="E125" s="22" t="s">
        <v>67</v>
      </c>
      <c r="F125" s="28"/>
      <c r="G125" s="28"/>
      <c r="H125" s="69">
        <v>43738</v>
      </c>
      <c r="I125" s="22"/>
      <c r="J125" s="28"/>
      <c r="K125" s="28"/>
      <c r="L125" s="68" t="s">
        <v>216</v>
      </c>
      <c r="M125" s="39" t="s">
        <v>217</v>
      </c>
      <c r="N125" s="39" t="s">
        <v>566</v>
      </c>
      <c r="O125" s="24" t="s">
        <v>51</v>
      </c>
      <c r="P125" s="26" t="s">
        <v>52</v>
      </c>
      <c r="Q125" s="53"/>
      <c r="R125" s="28"/>
      <c r="S125" s="61">
        <v>0.39583333333333331</v>
      </c>
      <c r="T125" s="28"/>
      <c r="U125" s="28"/>
      <c r="V125" s="26" t="s">
        <v>59</v>
      </c>
      <c r="W125" s="28"/>
      <c r="X125" s="53"/>
      <c r="Y125" s="22"/>
      <c r="Z125" s="28"/>
      <c r="AA125" s="28"/>
      <c r="AB125" s="28"/>
      <c r="AC125" s="28"/>
      <c r="AD125" s="28"/>
      <c r="AE125" s="28"/>
      <c r="AF125" s="28"/>
      <c r="AG125" s="28"/>
    </row>
    <row r="126" spans="1:33" ht="15.75" customHeight="1">
      <c r="A126" s="58" t="s">
        <v>421</v>
      </c>
      <c r="B126" s="26">
        <f>Z126</f>
        <v>0</v>
      </c>
      <c r="C126" s="28"/>
      <c r="D126" s="67" t="s">
        <v>175</v>
      </c>
      <c r="E126" s="68" t="s">
        <v>53</v>
      </c>
      <c r="F126" s="68"/>
      <c r="G126" s="28"/>
      <c r="H126" s="66">
        <v>43754</v>
      </c>
      <c r="I126" s="50"/>
      <c r="J126" s="51"/>
      <c r="K126" s="66"/>
      <c r="L126" s="68" t="s">
        <v>422</v>
      </c>
      <c r="M126" s="39" t="s">
        <v>424</v>
      </c>
      <c r="N126" s="39" t="s">
        <v>249</v>
      </c>
      <c r="O126" s="24" t="s">
        <v>62</v>
      </c>
      <c r="P126" s="26" t="s">
        <v>52</v>
      </c>
      <c r="Q126" s="26"/>
      <c r="R126" s="58"/>
      <c r="S126" s="61">
        <v>0.39583333333333331</v>
      </c>
      <c r="T126" s="53"/>
      <c r="U126" s="53"/>
      <c r="V126" s="26" t="s">
        <v>59</v>
      </c>
      <c r="W126" s="26"/>
      <c r="X126" s="53"/>
      <c r="Y126" s="55"/>
      <c r="Z126" s="53"/>
      <c r="AA126" s="53"/>
      <c r="AB126" s="28"/>
      <c r="AC126" s="28"/>
      <c r="AD126" s="28"/>
      <c r="AE126" s="28"/>
      <c r="AF126" s="28"/>
      <c r="AG126" s="28"/>
    </row>
    <row r="127" spans="1:33" ht="15.75" customHeight="1">
      <c r="A127" s="58" t="s">
        <v>404</v>
      </c>
      <c r="B127" s="69"/>
      <c r="C127" s="28"/>
      <c r="D127" s="67" t="s">
        <v>175</v>
      </c>
      <c r="E127" s="68" t="s">
        <v>188</v>
      </c>
      <c r="F127" s="68" t="s">
        <v>188</v>
      </c>
      <c r="G127" s="28"/>
      <c r="H127" s="66">
        <v>43763</v>
      </c>
      <c r="I127" s="69">
        <v>43766</v>
      </c>
      <c r="J127" s="51"/>
      <c r="K127" s="51"/>
      <c r="L127" s="68" t="s">
        <v>405</v>
      </c>
      <c r="M127" s="39" t="s">
        <v>406</v>
      </c>
      <c r="N127" s="39" t="s">
        <v>249</v>
      </c>
      <c r="O127" s="24" t="s">
        <v>62</v>
      </c>
      <c r="P127" s="26" t="s">
        <v>52</v>
      </c>
      <c r="Q127" s="53"/>
      <c r="R127" s="28"/>
      <c r="S127" s="61">
        <v>0.39583333333333331</v>
      </c>
      <c r="T127" s="28"/>
      <c r="U127" s="28"/>
      <c r="V127" s="26" t="s">
        <v>59</v>
      </c>
      <c r="W127" s="28"/>
      <c r="X127" s="53"/>
      <c r="Y127" s="22"/>
      <c r="Z127" s="28"/>
      <c r="AA127" s="28"/>
      <c r="AB127" s="28"/>
      <c r="AC127" s="28"/>
      <c r="AD127" s="28"/>
      <c r="AE127" s="28"/>
      <c r="AF127" s="28"/>
      <c r="AG127" s="28"/>
    </row>
    <row r="128" spans="1:33" ht="15.75" customHeight="1">
      <c r="A128" s="58" t="s">
        <v>598</v>
      </c>
      <c r="B128" s="87">
        <v>43775</v>
      </c>
      <c r="C128" s="28"/>
      <c r="D128" s="67" t="s">
        <v>54</v>
      </c>
      <c r="E128" s="68" t="s">
        <v>53</v>
      </c>
      <c r="F128" s="28"/>
      <c r="G128" s="28"/>
      <c r="H128" s="66">
        <v>43763</v>
      </c>
      <c r="I128" s="22"/>
      <c r="J128" s="28"/>
      <c r="K128" s="28"/>
      <c r="L128" s="78" t="s">
        <v>604</v>
      </c>
      <c r="M128" s="79" t="s">
        <v>605</v>
      </c>
      <c r="N128" s="39" t="s">
        <v>606</v>
      </c>
      <c r="O128" s="24" t="s">
        <v>62</v>
      </c>
      <c r="P128" s="26" t="s">
        <v>52</v>
      </c>
      <c r="Q128" s="53"/>
      <c r="R128" s="28"/>
      <c r="S128" s="75">
        <v>0.60416666666666663</v>
      </c>
      <c r="T128" s="28"/>
      <c r="U128" s="28"/>
      <c r="V128" s="26" t="s">
        <v>59</v>
      </c>
      <c r="W128" s="28"/>
      <c r="X128" s="53"/>
      <c r="Y128" s="22"/>
      <c r="Z128" s="28"/>
      <c r="AA128" s="28"/>
      <c r="AB128" s="28"/>
      <c r="AC128" s="28"/>
      <c r="AD128" s="28"/>
      <c r="AE128" s="28"/>
      <c r="AF128" s="28"/>
      <c r="AG128" s="28"/>
    </row>
    <row r="129" spans="1:33" ht="15.75" customHeight="1">
      <c r="A129" s="58" t="s">
        <v>398</v>
      </c>
      <c r="B129" s="28"/>
      <c r="C129" s="28"/>
      <c r="D129" s="67" t="s">
        <v>175</v>
      </c>
      <c r="E129" s="68" t="s">
        <v>151</v>
      </c>
      <c r="F129" s="68" t="s">
        <v>53</v>
      </c>
      <c r="G129" s="28"/>
      <c r="H129" s="66">
        <v>43769</v>
      </c>
      <c r="I129" s="22"/>
      <c r="J129" s="28"/>
      <c r="K129" s="28"/>
      <c r="L129" s="68" t="s">
        <v>180</v>
      </c>
      <c r="M129" s="39" t="s">
        <v>181</v>
      </c>
      <c r="N129" s="39" t="s">
        <v>249</v>
      </c>
      <c r="O129" s="24" t="s">
        <v>62</v>
      </c>
      <c r="P129" s="26" t="s">
        <v>52</v>
      </c>
      <c r="Q129" s="53"/>
      <c r="R129" s="28"/>
      <c r="S129" s="61">
        <v>0.39583333333333331</v>
      </c>
      <c r="T129" s="28"/>
      <c r="U129" s="28"/>
      <c r="V129" s="26" t="s">
        <v>59</v>
      </c>
      <c r="W129" s="28"/>
      <c r="X129" s="53"/>
      <c r="Y129" s="22"/>
      <c r="Z129" s="28"/>
      <c r="AA129" s="28"/>
      <c r="AB129" s="28"/>
      <c r="AC129" s="28"/>
      <c r="AD129" s="28"/>
      <c r="AE129" s="28"/>
      <c r="AF129" s="28"/>
      <c r="AG129" s="28"/>
    </row>
    <row r="130" spans="1:33" ht="15.75" customHeight="1">
      <c r="A130" s="58" t="s">
        <v>373</v>
      </c>
      <c r="B130" s="69"/>
      <c r="C130" s="28"/>
      <c r="D130" s="67" t="s">
        <v>175</v>
      </c>
      <c r="E130" s="22" t="s">
        <v>53</v>
      </c>
      <c r="F130" s="22" t="s">
        <v>53</v>
      </c>
      <c r="G130" s="28"/>
      <c r="H130" s="66">
        <v>43770</v>
      </c>
      <c r="I130" s="22"/>
      <c r="J130" s="69"/>
      <c r="K130" s="28"/>
      <c r="L130" s="68" t="s">
        <v>378</v>
      </c>
      <c r="M130" s="39" t="s">
        <v>379</v>
      </c>
      <c r="N130" s="39" t="s">
        <v>249</v>
      </c>
      <c r="O130" s="24" t="s">
        <v>51</v>
      </c>
      <c r="P130" s="26" t="s">
        <v>52</v>
      </c>
      <c r="Q130" s="53"/>
      <c r="R130" s="28"/>
      <c r="S130" s="61">
        <v>0.39583333333333331</v>
      </c>
      <c r="T130" s="28"/>
      <c r="U130" s="28"/>
      <c r="V130" s="26" t="s">
        <v>59</v>
      </c>
      <c r="W130" s="28"/>
      <c r="X130" s="53"/>
      <c r="Y130" s="22"/>
      <c r="Z130" s="28"/>
      <c r="AA130" s="28"/>
      <c r="AB130" s="28"/>
      <c r="AC130" s="28"/>
      <c r="AD130" s="28"/>
      <c r="AE130" s="28"/>
      <c r="AF130" s="28"/>
      <c r="AG130" s="28"/>
    </row>
    <row r="131" spans="1:33" ht="15.75" customHeight="1">
      <c r="A131" s="58" t="s">
        <v>609</v>
      </c>
      <c r="B131" s="28"/>
      <c r="C131" s="28"/>
      <c r="D131" s="67" t="s">
        <v>54</v>
      </c>
      <c r="E131" s="22" t="s">
        <v>53</v>
      </c>
      <c r="F131" s="28"/>
      <c r="G131" s="28"/>
      <c r="H131" s="66">
        <v>43771</v>
      </c>
      <c r="I131" s="22"/>
      <c r="J131" s="28"/>
      <c r="K131" s="28"/>
      <c r="L131" s="39" t="s">
        <v>610</v>
      </c>
      <c r="M131" s="39" t="s">
        <v>611</v>
      </c>
      <c r="N131" s="39" t="s">
        <v>606</v>
      </c>
      <c r="O131" s="24" t="s">
        <v>62</v>
      </c>
      <c r="P131" s="26" t="s">
        <v>52</v>
      </c>
      <c r="Q131" s="53"/>
      <c r="R131" s="28"/>
      <c r="S131" s="61">
        <v>0.39583333333333331</v>
      </c>
      <c r="T131" s="28"/>
      <c r="U131" s="28"/>
      <c r="V131" s="26" t="s">
        <v>59</v>
      </c>
      <c r="W131" s="28"/>
      <c r="X131" s="53"/>
      <c r="Y131" s="22"/>
      <c r="Z131" s="28"/>
      <c r="AA131" s="28"/>
      <c r="AB131" s="28"/>
      <c r="AC131" s="28"/>
      <c r="AD131" s="28"/>
      <c r="AE131" s="28"/>
      <c r="AF131" s="28"/>
      <c r="AG131" s="28"/>
    </row>
    <row r="132" spans="1:33" ht="15.75" customHeight="1">
      <c r="A132" s="58" t="s">
        <v>609</v>
      </c>
      <c r="B132" s="28"/>
      <c r="C132" s="28"/>
      <c r="D132" s="67" t="s">
        <v>54</v>
      </c>
      <c r="E132" s="22" t="s">
        <v>53</v>
      </c>
      <c r="F132" s="28"/>
      <c r="G132" s="28"/>
      <c r="H132" s="66">
        <v>43771</v>
      </c>
      <c r="I132" s="22"/>
      <c r="J132" s="28"/>
      <c r="K132" s="28"/>
      <c r="L132" s="39" t="s">
        <v>610</v>
      </c>
      <c r="M132" s="39" t="s">
        <v>611</v>
      </c>
      <c r="N132" s="39" t="s">
        <v>612</v>
      </c>
      <c r="O132" s="24" t="s">
        <v>62</v>
      </c>
      <c r="P132" s="26" t="s">
        <v>52</v>
      </c>
      <c r="Q132" s="53"/>
      <c r="R132" s="28"/>
      <c r="S132" s="61">
        <v>0.39583333333333331</v>
      </c>
      <c r="T132" s="28"/>
      <c r="U132" s="28"/>
      <c r="V132" s="26" t="s">
        <v>59</v>
      </c>
      <c r="W132" s="28"/>
      <c r="X132" s="53"/>
      <c r="Y132" s="22"/>
      <c r="Z132" s="28"/>
      <c r="AA132" s="28"/>
      <c r="AB132" s="28"/>
      <c r="AC132" s="28"/>
      <c r="AD132" s="28"/>
      <c r="AE132" s="28"/>
      <c r="AF132" s="28"/>
      <c r="AG132" s="28"/>
    </row>
    <row r="133" spans="1:33" ht="15.75" customHeight="1">
      <c r="A133" s="58" t="s">
        <v>613</v>
      </c>
      <c r="B133" s="28"/>
      <c r="C133" s="28"/>
      <c r="D133" s="67" t="s">
        <v>54</v>
      </c>
      <c r="E133" s="22" t="s">
        <v>53</v>
      </c>
      <c r="F133" s="28"/>
      <c r="G133" s="28"/>
      <c r="H133" s="66">
        <v>43771</v>
      </c>
      <c r="I133" s="22"/>
      <c r="J133" s="28"/>
      <c r="K133" s="28"/>
      <c r="L133" s="39" t="s">
        <v>617</v>
      </c>
      <c r="M133" s="39" t="s">
        <v>618</v>
      </c>
      <c r="N133" s="39" t="s">
        <v>606</v>
      </c>
      <c r="O133" s="24" t="s">
        <v>51</v>
      </c>
      <c r="P133" s="26" t="s">
        <v>52</v>
      </c>
      <c r="Q133" s="53"/>
      <c r="R133" s="28"/>
      <c r="S133" s="61">
        <v>0.39583333333333331</v>
      </c>
      <c r="T133" s="28"/>
      <c r="U133" s="28"/>
      <c r="V133" s="26" t="s">
        <v>59</v>
      </c>
      <c r="W133" s="28"/>
      <c r="X133" s="53"/>
      <c r="Y133" s="22"/>
      <c r="Z133" s="28"/>
      <c r="AA133" s="28"/>
      <c r="AB133" s="28"/>
      <c r="AC133" s="28"/>
      <c r="AD133" s="28"/>
      <c r="AE133" s="28"/>
      <c r="AF133" s="28"/>
      <c r="AG133" s="28"/>
    </row>
    <row r="134" spans="1:33" ht="15.75" customHeight="1">
      <c r="A134" s="58" t="s">
        <v>613</v>
      </c>
      <c r="B134" s="28"/>
      <c r="C134" s="28"/>
      <c r="D134" s="67" t="s">
        <v>54</v>
      </c>
      <c r="E134" s="22" t="s">
        <v>53</v>
      </c>
      <c r="F134" s="28"/>
      <c r="G134" s="28"/>
      <c r="H134" s="66">
        <v>43771</v>
      </c>
      <c r="I134" s="22"/>
      <c r="J134" s="28"/>
      <c r="K134" s="28"/>
      <c r="L134" s="39" t="s">
        <v>617</v>
      </c>
      <c r="M134" s="39" t="s">
        <v>618</v>
      </c>
      <c r="N134" s="39" t="s">
        <v>619</v>
      </c>
      <c r="O134" s="24" t="s">
        <v>51</v>
      </c>
      <c r="P134" s="26" t="s">
        <v>52</v>
      </c>
      <c r="Q134" s="53"/>
      <c r="R134" s="28"/>
      <c r="S134" s="61">
        <v>0.39583333333333331</v>
      </c>
      <c r="T134" s="28"/>
      <c r="U134" s="28"/>
      <c r="V134" s="26" t="s">
        <v>59</v>
      </c>
      <c r="W134" s="28"/>
      <c r="X134" s="53"/>
      <c r="Y134" s="22"/>
      <c r="Z134" s="28"/>
      <c r="AA134" s="28"/>
      <c r="AB134" s="28"/>
      <c r="AC134" s="28"/>
      <c r="AD134" s="28"/>
      <c r="AE134" s="28"/>
      <c r="AF134" s="28"/>
      <c r="AG134" s="28"/>
    </row>
    <row r="135" spans="1:33" ht="15.75" customHeight="1">
      <c r="A135" s="58" t="s">
        <v>464</v>
      </c>
      <c r="B135" s="66"/>
      <c r="C135" s="58"/>
      <c r="D135" s="28" t="s">
        <v>175</v>
      </c>
      <c r="E135" s="68" t="s">
        <v>187</v>
      </c>
      <c r="F135" s="68" t="s">
        <v>188</v>
      </c>
      <c r="G135" s="66"/>
      <c r="H135" s="66">
        <v>43775</v>
      </c>
      <c r="I135" s="50"/>
      <c r="J135" s="66"/>
      <c r="K135" s="51"/>
      <c r="L135" s="68" t="s">
        <v>343</v>
      </c>
      <c r="M135" s="39" t="s">
        <v>189</v>
      </c>
      <c r="N135" s="39" t="s">
        <v>249</v>
      </c>
      <c r="O135" s="24" t="s">
        <v>62</v>
      </c>
      <c r="P135" s="26" t="s">
        <v>52</v>
      </c>
      <c r="Q135" s="53"/>
      <c r="R135" s="28"/>
      <c r="S135" s="61">
        <v>0.39583333333333331</v>
      </c>
      <c r="T135" s="53"/>
      <c r="U135" s="26" t="s">
        <v>59</v>
      </c>
      <c r="V135" s="53"/>
      <c r="W135" s="53"/>
      <c r="X135" s="53"/>
      <c r="Y135" s="55"/>
      <c r="Z135" s="53"/>
      <c r="AA135" s="53"/>
      <c r="AB135" s="28"/>
      <c r="AC135" s="28"/>
      <c r="AD135" s="28"/>
      <c r="AE135" s="28"/>
      <c r="AF135" s="28"/>
      <c r="AG135" s="28"/>
    </row>
    <row r="136" spans="1:33" ht="15.75" customHeight="1">
      <c r="A136" s="58" t="s">
        <v>464</v>
      </c>
      <c r="B136" s="66"/>
      <c r="C136" s="58"/>
      <c r="D136" s="67" t="s">
        <v>175</v>
      </c>
      <c r="E136" s="68" t="s">
        <v>187</v>
      </c>
      <c r="F136" s="68" t="s">
        <v>188</v>
      </c>
      <c r="G136" s="66"/>
      <c r="H136" s="66">
        <v>43775</v>
      </c>
      <c r="I136" s="50"/>
      <c r="J136" s="66"/>
      <c r="K136" s="51"/>
      <c r="L136" s="68" t="s">
        <v>343</v>
      </c>
      <c r="M136" s="39" t="s">
        <v>189</v>
      </c>
      <c r="N136" s="39" t="s">
        <v>556</v>
      </c>
      <c r="O136" s="24" t="s">
        <v>62</v>
      </c>
      <c r="P136" s="26" t="s">
        <v>52</v>
      </c>
      <c r="Q136" s="53"/>
      <c r="R136" s="28"/>
      <c r="S136" s="61">
        <v>0.39583333333333331</v>
      </c>
      <c r="T136" s="28"/>
      <c r="U136" s="53"/>
      <c r="V136" s="26" t="s">
        <v>59</v>
      </c>
      <c r="W136" s="28"/>
      <c r="X136" s="53"/>
      <c r="Y136" s="22"/>
      <c r="Z136" s="28"/>
      <c r="AA136" s="28"/>
      <c r="AB136" s="28"/>
      <c r="AC136" s="28"/>
      <c r="AD136" s="28"/>
      <c r="AE136" s="28"/>
      <c r="AF136" s="28"/>
      <c r="AG136" s="28"/>
    </row>
    <row r="137" spans="1:33" ht="15.75" customHeight="1">
      <c r="A137" s="58" t="s">
        <v>464</v>
      </c>
      <c r="B137" s="66"/>
      <c r="C137" s="58"/>
      <c r="D137" s="67" t="s">
        <v>175</v>
      </c>
      <c r="E137" s="68" t="s">
        <v>187</v>
      </c>
      <c r="F137" s="68" t="s">
        <v>188</v>
      </c>
      <c r="G137" s="66"/>
      <c r="H137" s="66">
        <v>43775</v>
      </c>
      <c r="I137" s="50"/>
      <c r="J137" s="66"/>
      <c r="K137" s="51"/>
      <c r="L137" s="68" t="s">
        <v>343</v>
      </c>
      <c r="M137" s="39" t="s">
        <v>189</v>
      </c>
      <c r="N137" s="39" t="s">
        <v>626</v>
      </c>
      <c r="O137" s="24" t="s">
        <v>62</v>
      </c>
      <c r="P137" s="26" t="s">
        <v>52</v>
      </c>
      <c r="Q137" s="53"/>
      <c r="R137" s="28"/>
      <c r="S137" s="61">
        <v>0.39583333333333331</v>
      </c>
      <c r="T137" s="28"/>
      <c r="U137" s="53"/>
      <c r="V137" s="26" t="s">
        <v>59</v>
      </c>
      <c r="W137" s="28"/>
      <c r="X137" s="53"/>
      <c r="Y137" s="22"/>
      <c r="Z137" s="28"/>
      <c r="AA137" s="28"/>
      <c r="AB137" s="28"/>
      <c r="AC137" s="28"/>
      <c r="AD137" s="28"/>
      <c r="AE137" s="28"/>
      <c r="AF137" s="28"/>
      <c r="AG137" s="28"/>
    </row>
    <row r="138" spans="1:33" ht="15.75" customHeight="1">
      <c r="A138" s="58" t="s">
        <v>464</v>
      </c>
      <c r="B138" s="66"/>
      <c r="C138" s="58"/>
      <c r="D138" s="67" t="s">
        <v>175</v>
      </c>
      <c r="E138" s="68" t="s">
        <v>187</v>
      </c>
      <c r="F138" s="68" t="s">
        <v>188</v>
      </c>
      <c r="G138" s="66"/>
      <c r="H138" s="66">
        <v>43775</v>
      </c>
      <c r="I138" s="50"/>
      <c r="J138" s="66"/>
      <c r="K138" s="51"/>
      <c r="L138" s="68" t="s">
        <v>343</v>
      </c>
      <c r="M138" s="39" t="s">
        <v>189</v>
      </c>
      <c r="N138" s="39" t="s">
        <v>627</v>
      </c>
      <c r="O138" s="24" t="s">
        <v>62</v>
      </c>
      <c r="P138" s="26" t="s">
        <v>52</v>
      </c>
      <c r="Q138" s="53"/>
      <c r="R138" s="28"/>
      <c r="S138" s="61">
        <v>0.39583333333333331</v>
      </c>
      <c r="T138" s="28"/>
      <c r="U138" s="53"/>
      <c r="V138" s="26" t="s">
        <v>59</v>
      </c>
      <c r="W138" s="28"/>
      <c r="X138" s="53"/>
      <c r="Y138" s="22"/>
      <c r="Z138" s="28"/>
      <c r="AA138" s="28"/>
      <c r="AB138" s="28"/>
      <c r="AC138" s="28"/>
      <c r="AD138" s="28"/>
      <c r="AE138" s="28"/>
      <c r="AF138" s="28"/>
      <c r="AG138" s="28"/>
    </row>
    <row r="139" spans="1:33" ht="15.75" customHeight="1">
      <c r="A139" s="58" t="s">
        <v>629</v>
      </c>
      <c r="B139" s="28"/>
      <c r="C139" s="28"/>
      <c r="D139" s="28"/>
      <c r="E139" s="22" t="s">
        <v>53</v>
      </c>
      <c r="F139" s="28"/>
      <c r="G139" s="28"/>
      <c r="H139" s="28"/>
      <c r="I139" s="22"/>
      <c r="J139" s="28"/>
      <c r="K139" s="28"/>
      <c r="L139" s="22"/>
      <c r="M139" s="22"/>
      <c r="N139" s="28"/>
      <c r="O139" s="24" t="s">
        <v>62</v>
      </c>
      <c r="P139" s="26" t="s">
        <v>52</v>
      </c>
      <c r="Q139" s="53"/>
      <c r="R139" s="28"/>
      <c r="S139" s="61">
        <v>0.39583333333333331</v>
      </c>
      <c r="T139" s="28"/>
      <c r="U139" s="53"/>
      <c r="V139" s="26" t="s">
        <v>59</v>
      </c>
      <c r="W139" s="28"/>
      <c r="X139" s="53"/>
      <c r="Y139" s="22"/>
      <c r="Z139" s="28"/>
      <c r="AA139" s="28"/>
      <c r="AB139" s="28"/>
      <c r="AC139" s="28"/>
      <c r="AD139" s="28"/>
      <c r="AE139" s="28"/>
      <c r="AF139" s="28"/>
      <c r="AG139" s="28"/>
    </row>
    <row r="140" spans="1:33" ht="15.75" customHeight="1">
      <c r="A140" s="58" t="s">
        <v>629</v>
      </c>
      <c r="B140" s="28"/>
      <c r="C140" s="28"/>
      <c r="D140" s="28"/>
      <c r="E140" s="22" t="s">
        <v>53</v>
      </c>
      <c r="F140" s="28"/>
      <c r="G140" s="28"/>
      <c r="H140" s="28"/>
      <c r="I140" s="22"/>
      <c r="J140" s="28"/>
      <c r="K140" s="28"/>
      <c r="L140" s="22"/>
      <c r="M140" s="22"/>
      <c r="N140" s="28"/>
      <c r="O140" s="24" t="s">
        <v>51</v>
      </c>
      <c r="P140" s="26" t="s">
        <v>52</v>
      </c>
      <c r="Q140" s="53"/>
      <c r="R140" s="28"/>
      <c r="S140" s="61">
        <v>0.39583333333333331</v>
      </c>
      <c r="T140" s="28"/>
      <c r="U140" s="53"/>
      <c r="V140" s="26" t="s">
        <v>59</v>
      </c>
      <c r="W140" s="28"/>
      <c r="X140" s="53"/>
      <c r="Y140" s="22"/>
      <c r="Z140" s="28"/>
      <c r="AA140" s="28"/>
      <c r="AB140" s="28"/>
      <c r="AC140" s="28"/>
      <c r="AD140" s="28"/>
      <c r="AE140" s="28"/>
      <c r="AF140" s="28"/>
      <c r="AG140" s="28"/>
    </row>
    <row r="141" spans="1:33" ht="15.75" customHeight="1">
      <c r="A141" s="28"/>
      <c r="B141" s="28"/>
      <c r="C141" s="28"/>
      <c r="D141" s="28"/>
      <c r="E141" s="28"/>
      <c r="F141" s="28"/>
      <c r="G141" s="28"/>
      <c r="H141" s="28"/>
      <c r="I141" s="22"/>
      <c r="J141" s="28"/>
      <c r="K141" s="28"/>
      <c r="L141" s="22"/>
      <c r="M141" s="22"/>
      <c r="N141" s="28"/>
      <c r="O141" s="28"/>
      <c r="P141" s="53"/>
      <c r="Q141" s="53"/>
      <c r="R141" s="28"/>
      <c r="S141" s="53"/>
      <c r="T141" s="28"/>
      <c r="U141" s="28"/>
      <c r="V141" s="28"/>
      <c r="W141" s="28"/>
      <c r="X141" s="53"/>
      <c r="Y141" s="22"/>
      <c r="Z141" s="28"/>
      <c r="AA141" s="28"/>
      <c r="AB141" s="28"/>
      <c r="AC141" s="28"/>
      <c r="AD141" s="28"/>
      <c r="AE141" s="28"/>
      <c r="AF141" s="28"/>
      <c r="AG141" s="28"/>
    </row>
    <row r="142" spans="1:33" ht="15.75" customHeight="1">
      <c r="A142" s="28"/>
      <c r="B142" s="28"/>
      <c r="C142" s="28"/>
      <c r="D142" s="28"/>
      <c r="E142" s="28"/>
      <c r="F142" s="28"/>
      <c r="G142" s="28"/>
      <c r="H142" s="28"/>
      <c r="I142" s="22"/>
      <c r="J142" s="28"/>
      <c r="K142" s="28"/>
      <c r="L142" s="22"/>
      <c r="M142" s="22"/>
      <c r="N142" s="28"/>
      <c r="O142" s="28"/>
      <c r="P142" s="53"/>
      <c r="Q142" s="53"/>
      <c r="R142" s="28"/>
      <c r="S142" s="53"/>
      <c r="T142" s="28"/>
      <c r="U142" s="28"/>
      <c r="V142" s="28"/>
      <c r="W142" s="28"/>
      <c r="X142" s="53"/>
      <c r="Y142" s="22"/>
      <c r="Z142" s="28"/>
      <c r="AA142" s="28"/>
      <c r="AB142" s="28"/>
      <c r="AC142" s="28"/>
      <c r="AD142" s="28"/>
      <c r="AE142" s="28"/>
      <c r="AF142" s="28"/>
      <c r="AG142" s="28"/>
    </row>
    <row r="143" spans="1:33" ht="15.75" customHeight="1">
      <c r="A143" s="28"/>
      <c r="B143" s="28"/>
      <c r="C143" s="28"/>
      <c r="D143" s="28"/>
      <c r="E143" s="28"/>
      <c r="F143" s="28"/>
      <c r="G143" s="28"/>
      <c r="H143" s="28"/>
      <c r="I143" s="22"/>
      <c r="J143" s="28"/>
      <c r="K143" s="28"/>
      <c r="L143" s="22"/>
      <c r="M143" s="22"/>
      <c r="N143" s="28"/>
      <c r="O143" s="28"/>
      <c r="P143" s="53"/>
      <c r="Q143" s="53"/>
      <c r="R143" s="28"/>
      <c r="S143" s="53"/>
      <c r="T143" s="28"/>
      <c r="U143" s="28"/>
      <c r="V143" s="28"/>
      <c r="W143" s="28"/>
      <c r="X143" s="53"/>
      <c r="Y143" s="22"/>
      <c r="Z143" s="28"/>
      <c r="AA143" s="28"/>
      <c r="AB143" s="28"/>
      <c r="AC143" s="28"/>
      <c r="AD143" s="28"/>
      <c r="AE143" s="28"/>
      <c r="AF143" s="28"/>
      <c r="AG143" s="28"/>
    </row>
    <row r="144" spans="1:33" ht="15.75" customHeight="1">
      <c r="A144" s="28"/>
      <c r="B144" s="28"/>
      <c r="C144" s="28"/>
      <c r="D144" s="28"/>
      <c r="E144" s="28"/>
      <c r="F144" s="28"/>
      <c r="G144" s="28"/>
      <c r="H144" s="28"/>
      <c r="I144" s="22"/>
      <c r="J144" s="28"/>
      <c r="K144" s="28"/>
      <c r="L144" s="22"/>
      <c r="M144" s="22"/>
      <c r="N144" s="28"/>
      <c r="O144" s="28"/>
      <c r="P144" s="53"/>
      <c r="Q144" s="53"/>
      <c r="R144" s="28"/>
      <c r="S144" s="53"/>
      <c r="T144" s="28"/>
      <c r="U144" s="28"/>
      <c r="V144" s="28"/>
      <c r="W144" s="28"/>
      <c r="X144" s="53"/>
      <c r="Y144" s="22"/>
      <c r="Z144" s="28"/>
      <c r="AA144" s="28"/>
      <c r="AB144" s="28"/>
      <c r="AC144" s="28"/>
      <c r="AD144" s="28"/>
      <c r="AE144" s="28"/>
      <c r="AF144" s="28"/>
      <c r="AG144" s="28"/>
    </row>
    <row r="145" spans="1:33" ht="15.75" customHeight="1">
      <c r="A145" s="28"/>
      <c r="B145" s="28"/>
      <c r="C145" s="28"/>
      <c r="D145" s="28"/>
      <c r="E145" s="28"/>
      <c r="F145" s="28"/>
      <c r="G145" s="28"/>
      <c r="H145" s="28"/>
      <c r="I145" s="22"/>
      <c r="J145" s="28"/>
      <c r="K145" s="28"/>
      <c r="L145" s="22"/>
      <c r="M145" s="22"/>
      <c r="N145" s="28"/>
      <c r="O145" s="28"/>
      <c r="P145" s="53"/>
      <c r="Q145" s="53"/>
      <c r="R145" s="28"/>
      <c r="S145" s="53"/>
      <c r="T145" s="28"/>
      <c r="U145" s="28"/>
      <c r="V145" s="28"/>
      <c r="W145" s="28"/>
      <c r="X145" s="53"/>
      <c r="Y145" s="22"/>
      <c r="Z145" s="28"/>
      <c r="AA145" s="28"/>
      <c r="AB145" s="28"/>
      <c r="AC145" s="28"/>
      <c r="AD145" s="28"/>
      <c r="AE145" s="28"/>
      <c r="AF145" s="28"/>
      <c r="AG145" s="28"/>
    </row>
    <row r="146" spans="1:33" ht="15.75" customHeight="1">
      <c r="A146" s="28"/>
      <c r="B146" s="28"/>
      <c r="C146" s="28"/>
      <c r="D146" s="28"/>
      <c r="E146" s="28"/>
      <c r="F146" s="28"/>
      <c r="G146" s="28"/>
      <c r="H146" s="28"/>
      <c r="I146" s="22"/>
      <c r="J146" s="28"/>
      <c r="K146" s="28"/>
      <c r="L146" s="22"/>
      <c r="M146" s="22"/>
      <c r="N146" s="28"/>
      <c r="O146" s="28"/>
      <c r="P146" s="53"/>
      <c r="Q146" s="53"/>
      <c r="R146" s="28"/>
      <c r="S146" s="53"/>
      <c r="T146" s="28"/>
      <c r="U146" s="28"/>
      <c r="V146" s="28"/>
      <c r="W146" s="28"/>
      <c r="X146" s="53"/>
      <c r="Y146" s="22"/>
      <c r="Z146" s="28"/>
      <c r="AA146" s="28"/>
      <c r="AB146" s="28"/>
      <c r="AC146" s="28"/>
      <c r="AD146" s="28"/>
      <c r="AE146" s="28"/>
      <c r="AF146" s="28"/>
      <c r="AG146" s="28"/>
    </row>
    <row r="147" spans="1:33" ht="15.75" customHeight="1">
      <c r="A147" s="28"/>
      <c r="B147" s="28"/>
      <c r="C147" s="28"/>
      <c r="D147" s="28"/>
      <c r="E147" s="28"/>
      <c r="F147" s="28"/>
      <c r="G147" s="28"/>
      <c r="H147" s="28"/>
      <c r="I147" s="22"/>
      <c r="J147" s="28"/>
      <c r="K147" s="28"/>
      <c r="L147" s="22"/>
      <c r="M147" s="22"/>
      <c r="N147" s="28"/>
      <c r="O147" s="28"/>
      <c r="P147" s="53"/>
      <c r="Q147" s="53"/>
      <c r="R147" s="28"/>
      <c r="S147" s="53"/>
      <c r="T147" s="28"/>
      <c r="U147" s="28"/>
      <c r="V147" s="28"/>
      <c r="W147" s="28"/>
      <c r="X147" s="53"/>
      <c r="Y147" s="22"/>
      <c r="Z147" s="28"/>
      <c r="AA147" s="28"/>
      <c r="AB147" s="28"/>
      <c r="AC147" s="28"/>
      <c r="AD147" s="28"/>
      <c r="AE147" s="28"/>
      <c r="AF147" s="28"/>
      <c r="AG147" s="28"/>
    </row>
    <row r="148" spans="1:33" ht="15.75" customHeight="1">
      <c r="A148" s="28"/>
      <c r="B148" s="28"/>
      <c r="C148" s="28"/>
      <c r="D148" s="28"/>
      <c r="E148" s="28"/>
      <c r="F148" s="28"/>
      <c r="G148" s="28"/>
      <c r="H148" s="28"/>
      <c r="I148" s="22"/>
      <c r="J148" s="28"/>
      <c r="K148" s="28"/>
      <c r="L148" s="22"/>
      <c r="M148" s="22"/>
      <c r="N148" s="28"/>
      <c r="O148" s="28"/>
      <c r="P148" s="53"/>
      <c r="Q148" s="53"/>
      <c r="R148" s="28"/>
      <c r="S148" s="53"/>
      <c r="T148" s="28"/>
      <c r="U148" s="28"/>
      <c r="V148" s="28"/>
      <c r="W148" s="28"/>
      <c r="X148" s="53"/>
      <c r="Y148" s="22"/>
      <c r="Z148" s="28"/>
      <c r="AA148" s="28"/>
      <c r="AB148" s="28"/>
      <c r="AC148" s="28"/>
      <c r="AD148" s="28"/>
      <c r="AE148" s="28"/>
      <c r="AF148" s="28"/>
      <c r="AG148" s="28"/>
    </row>
    <row r="149" spans="1:33" ht="15.75" customHeight="1">
      <c r="A149" s="28"/>
      <c r="B149" s="28"/>
      <c r="C149" s="28"/>
      <c r="D149" s="28"/>
      <c r="E149" s="28"/>
      <c r="F149" s="28"/>
      <c r="G149" s="28"/>
      <c r="H149" s="28"/>
      <c r="I149" s="22"/>
      <c r="J149" s="28"/>
      <c r="K149" s="28"/>
      <c r="L149" s="22"/>
      <c r="M149" s="22"/>
      <c r="N149" s="28"/>
      <c r="O149" s="28"/>
      <c r="P149" s="53"/>
      <c r="Q149" s="53"/>
      <c r="R149" s="28"/>
      <c r="S149" s="53"/>
      <c r="T149" s="28"/>
      <c r="U149" s="28"/>
      <c r="V149" s="28"/>
      <c r="W149" s="28"/>
      <c r="X149" s="53"/>
      <c r="Y149" s="22"/>
      <c r="Z149" s="28"/>
      <c r="AA149" s="28"/>
      <c r="AB149" s="28"/>
      <c r="AC149" s="28"/>
      <c r="AD149" s="28"/>
      <c r="AE149" s="28"/>
      <c r="AF149" s="28"/>
      <c r="AG149" s="28"/>
    </row>
    <row r="150" spans="1:33" ht="15.75" customHeight="1">
      <c r="A150" s="28"/>
      <c r="B150" s="28"/>
      <c r="C150" s="28"/>
      <c r="D150" s="28"/>
      <c r="E150" s="28"/>
      <c r="F150" s="28"/>
      <c r="G150" s="28"/>
      <c r="H150" s="28"/>
      <c r="I150" s="22"/>
      <c r="J150" s="28"/>
      <c r="K150" s="28"/>
      <c r="L150" s="22"/>
      <c r="M150" s="22"/>
      <c r="N150" s="28"/>
      <c r="O150" s="28"/>
      <c r="P150" s="53"/>
      <c r="Q150" s="53"/>
      <c r="R150" s="28"/>
      <c r="S150" s="53"/>
      <c r="T150" s="28"/>
      <c r="U150" s="28"/>
      <c r="V150" s="28"/>
      <c r="W150" s="28"/>
      <c r="X150" s="53"/>
      <c r="Y150" s="22"/>
      <c r="Z150" s="28"/>
      <c r="AA150" s="28"/>
      <c r="AB150" s="28"/>
      <c r="AC150" s="28"/>
      <c r="AD150" s="28"/>
      <c r="AE150" s="28"/>
      <c r="AF150" s="28"/>
      <c r="AG150" s="28"/>
    </row>
    <row r="151" spans="1:33" ht="15.75" customHeight="1">
      <c r="A151" s="28"/>
      <c r="B151" s="28"/>
      <c r="C151" s="28"/>
      <c r="D151" s="28"/>
      <c r="E151" s="28"/>
      <c r="F151" s="28"/>
      <c r="G151" s="28"/>
      <c r="H151" s="28"/>
      <c r="I151" s="22"/>
      <c r="J151" s="28"/>
      <c r="K151" s="28"/>
      <c r="L151" s="22"/>
      <c r="M151" s="22"/>
      <c r="N151" s="28"/>
      <c r="O151" s="28"/>
      <c r="P151" s="53"/>
      <c r="Q151" s="53"/>
      <c r="R151" s="28"/>
      <c r="S151" s="53"/>
      <c r="T151" s="28"/>
      <c r="U151" s="28"/>
      <c r="V151" s="28"/>
      <c r="W151" s="28"/>
      <c r="X151" s="53"/>
      <c r="Y151" s="22"/>
      <c r="Z151" s="28"/>
      <c r="AA151" s="28"/>
      <c r="AB151" s="28"/>
      <c r="AC151" s="28"/>
      <c r="AD151" s="28"/>
      <c r="AE151" s="28"/>
      <c r="AF151" s="28"/>
      <c r="AG151" s="28"/>
    </row>
    <row r="152" spans="1:33" ht="15.75" customHeight="1">
      <c r="A152" s="28"/>
      <c r="B152" s="28"/>
      <c r="C152" s="28"/>
      <c r="D152" s="28"/>
      <c r="E152" s="28"/>
      <c r="F152" s="28"/>
      <c r="G152" s="28"/>
      <c r="H152" s="28"/>
      <c r="I152" s="22"/>
      <c r="J152" s="28"/>
      <c r="K152" s="28"/>
      <c r="L152" s="22"/>
      <c r="M152" s="22"/>
      <c r="N152" s="28"/>
      <c r="O152" s="28"/>
      <c r="P152" s="53"/>
      <c r="Q152" s="53"/>
      <c r="R152" s="28"/>
      <c r="S152" s="53"/>
      <c r="T152" s="28"/>
      <c r="U152" s="28"/>
      <c r="V152" s="28"/>
      <c r="W152" s="28"/>
      <c r="X152" s="53"/>
      <c r="Y152" s="22"/>
      <c r="Z152" s="28"/>
      <c r="AA152" s="28"/>
      <c r="AB152" s="28"/>
      <c r="AC152" s="28"/>
      <c r="AD152" s="28"/>
      <c r="AE152" s="28"/>
      <c r="AF152" s="28"/>
      <c r="AG152" s="28"/>
    </row>
    <row r="153" spans="1:33" ht="15.75" customHeight="1">
      <c r="A153" s="28"/>
      <c r="B153" s="28"/>
      <c r="C153" s="28"/>
      <c r="D153" s="28"/>
      <c r="E153" s="28"/>
      <c r="F153" s="28"/>
      <c r="G153" s="28"/>
      <c r="H153" s="28"/>
      <c r="I153" s="22"/>
      <c r="J153" s="28"/>
      <c r="K153" s="28"/>
      <c r="L153" s="22"/>
      <c r="M153" s="22"/>
      <c r="N153" s="28"/>
      <c r="O153" s="28"/>
      <c r="P153" s="53"/>
      <c r="Q153" s="53"/>
      <c r="R153" s="28"/>
      <c r="S153" s="53"/>
      <c r="T153" s="28"/>
      <c r="U153" s="28"/>
      <c r="V153" s="28"/>
      <c r="W153" s="28"/>
      <c r="X153" s="53"/>
      <c r="Y153" s="22"/>
      <c r="Z153" s="28"/>
      <c r="AA153" s="28"/>
      <c r="AB153" s="28"/>
      <c r="AC153" s="28"/>
      <c r="AD153" s="28"/>
      <c r="AE153" s="28"/>
      <c r="AF153" s="28"/>
      <c r="AG153" s="28"/>
    </row>
    <row r="154" spans="1:33" ht="15.75" customHeight="1">
      <c r="A154" s="28"/>
      <c r="B154" s="28"/>
      <c r="C154" s="28"/>
      <c r="D154" s="28"/>
      <c r="E154" s="28"/>
      <c r="F154" s="28"/>
      <c r="G154" s="28"/>
      <c r="H154" s="28"/>
      <c r="I154" s="22"/>
      <c r="J154" s="28"/>
      <c r="K154" s="28"/>
      <c r="L154" s="22"/>
      <c r="M154" s="22"/>
      <c r="N154" s="28"/>
      <c r="O154" s="28"/>
      <c r="P154" s="53"/>
      <c r="Q154" s="53"/>
      <c r="R154" s="28"/>
      <c r="S154" s="53"/>
      <c r="T154" s="28"/>
      <c r="U154" s="28"/>
      <c r="V154" s="28"/>
      <c r="W154" s="28"/>
      <c r="X154" s="53"/>
      <c r="Y154" s="22"/>
      <c r="Z154" s="28"/>
      <c r="AA154" s="28"/>
      <c r="AB154" s="28"/>
      <c r="AC154" s="28"/>
      <c r="AD154" s="28"/>
      <c r="AE154" s="28"/>
      <c r="AF154" s="28"/>
      <c r="AG154" s="28"/>
    </row>
    <row r="155" spans="1:33" ht="15.75" customHeight="1">
      <c r="A155" s="28"/>
      <c r="B155" s="28"/>
      <c r="C155" s="28"/>
      <c r="D155" s="28"/>
      <c r="E155" s="28"/>
      <c r="F155" s="28"/>
      <c r="G155" s="28"/>
      <c r="H155" s="28"/>
      <c r="I155" s="22"/>
      <c r="J155" s="28"/>
      <c r="K155" s="28"/>
      <c r="L155" s="22"/>
      <c r="M155" s="22"/>
      <c r="N155" s="28"/>
      <c r="O155" s="28"/>
      <c r="P155" s="53"/>
      <c r="Q155" s="53"/>
      <c r="R155" s="28"/>
      <c r="S155" s="53"/>
      <c r="T155" s="28"/>
      <c r="U155" s="28"/>
      <c r="V155" s="28"/>
      <c r="W155" s="28"/>
      <c r="X155" s="53"/>
      <c r="Y155" s="22"/>
      <c r="Z155" s="28"/>
      <c r="AA155" s="28"/>
      <c r="AB155" s="28"/>
      <c r="AC155" s="28"/>
      <c r="AD155" s="28"/>
      <c r="AE155" s="28"/>
      <c r="AF155" s="28"/>
      <c r="AG155" s="28"/>
    </row>
    <row r="156" spans="1:33" ht="15.75" customHeight="1">
      <c r="A156" s="28"/>
      <c r="B156" s="28"/>
      <c r="C156" s="28"/>
      <c r="D156" s="28"/>
      <c r="E156" s="28"/>
      <c r="F156" s="28"/>
      <c r="G156" s="28"/>
      <c r="H156" s="28"/>
      <c r="I156" s="22"/>
      <c r="J156" s="28"/>
      <c r="K156" s="28"/>
      <c r="L156" s="22"/>
      <c r="M156" s="22"/>
      <c r="N156" s="28"/>
      <c r="O156" s="28"/>
      <c r="P156" s="53"/>
      <c r="Q156" s="53"/>
      <c r="R156" s="28"/>
      <c r="S156" s="53"/>
      <c r="T156" s="28"/>
      <c r="U156" s="28"/>
      <c r="V156" s="28"/>
      <c r="W156" s="28"/>
      <c r="X156" s="53"/>
      <c r="Y156" s="22"/>
      <c r="Z156" s="28"/>
      <c r="AA156" s="28"/>
      <c r="AB156" s="28"/>
      <c r="AC156" s="28"/>
      <c r="AD156" s="28"/>
      <c r="AE156" s="28"/>
      <c r="AF156" s="28"/>
      <c r="AG156" s="28"/>
    </row>
    <row r="157" spans="1:33" ht="15.75" customHeight="1">
      <c r="A157" s="28"/>
      <c r="B157" s="28"/>
      <c r="C157" s="28"/>
      <c r="D157" s="28"/>
      <c r="E157" s="28"/>
      <c r="F157" s="28"/>
      <c r="G157" s="28"/>
      <c r="H157" s="28"/>
      <c r="I157" s="22"/>
      <c r="J157" s="28"/>
      <c r="K157" s="28"/>
      <c r="L157" s="22"/>
      <c r="M157" s="22"/>
      <c r="N157" s="28"/>
      <c r="O157" s="28"/>
      <c r="P157" s="53"/>
      <c r="Q157" s="53"/>
      <c r="R157" s="28"/>
      <c r="S157" s="53"/>
      <c r="T157" s="28"/>
      <c r="U157" s="28"/>
      <c r="V157" s="28"/>
      <c r="W157" s="28"/>
      <c r="X157" s="53"/>
      <c r="Y157" s="22"/>
      <c r="Z157" s="28"/>
      <c r="AA157" s="28"/>
      <c r="AB157" s="28"/>
      <c r="AC157" s="28"/>
      <c r="AD157" s="28"/>
      <c r="AE157" s="28"/>
      <c r="AF157" s="28"/>
      <c r="AG157" s="28"/>
    </row>
    <row r="158" spans="1:33" ht="15.75" customHeight="1">
      <c r="A158" s="28"/>
      <c r="B158" s="28"/>
      <c r="C158" s="28"/>
      <c r="D158" s="28"/>
      <c r="E158" s="28"/>
      <c r="F158" s="28"/>
      <c r="G158" s="28"/>
      <c r="H158" s="28"/>
      <c r="I158" s="22"/>
      <c r="J158" s="28"/>
      <c r="K158" s="28"/>
      <c r="L158" s="22"/>
      <c r="M158" s="22"/>
      <c r="N158" s="28"/>
      <c r="O158" s="28"/>
      <c r="P158" s="53"/>
      <c r="Q158" s="53"/>
      <c r="R158" s="28"/>
      <c r="S158" s="53"/>
      <c r="T158" s="28"/>
      <c r="U158" s="28"/>
      <c r="V158" s="28"/>
      <c r="W158" s="28"/>
      <c r="X158" s="53"/>
      <c r="Y158" s="22"/>
      <c r="Z158" s="28"/>
      <c r="AA158" s="28"/>
      <c r="AB158" s="28"/>
      <c r="AC158" s="28"/>
      <c r="AD158" s="28"/>
      <c r="AE158" s="28"/>
      <c r="AF158" s="28"/>
      <c r="AG158" s="28"/>
    </row>
    <row r="159" spans="1:33" ht="15.75" customHeight="1">
      <c r="A159" s="28"/>
      <c r="B159" s="28"/>
      <c r="C159" s="28"/>
      <c r="D159" s="28"/>
      <c r="E159" s="28"/>
      <c r="F159" s="28"/>
      <c r="G159" s="28"/>
      <c r="H159" s="28"/>
      <c r="I159" s="22"/>
      <c r="J159" s="28"/>
      <c r="K159" s="28"/>
      <c r="L159" s="22"/>
      <c r="M159" s="22"/>
      <c r="N159" s="28"/>
      <c r="O159" s="28"/>
      <c r="P159" s="53"/>
      <c r="Q159" s="53"/>
      <c r="R159" s="28"/>
      <c r="S159" s="53"/>
      <c r="T159" s="28"/>
      <c r="U159" s="28"/>
      <c r="V159" s="28"/>
      <c r="W159" s="28"/>
      <c r="X159" s="53"/>
      <c r="Y159" s="22"/>
      <c r="Z159" s="28"/>
      <c r="AA159" s="28"/>
      <c r="AB159" s="28"/>
      <c r="AC159" s="28"/>
      <c r="AD159" s="28"/>
      <c r="AE159" s="28"/>
      <c r="AF159" s="28"/>
      <c r="AG159" s="28"/>
    </row>
    <row r="160" spans="1:33" ht="15.75" customHeight="1">
      <c r="A160" s="28"/>
      <c r="B160" s="28"/>
      <c r="C160" s="28"/>
      <c r="D160" s="28"/>
      <c r="E160" s="28"/>
      <c r="F160" s="28"/>
      <c r="G160" s="28"/>
      <c r="H160" s="28"/>
      <c r="I160" s="22"/>
      <c r="J160" s="28"/>
      <c r="K160" s="28"/>
      <c r="L160" s="22"/>
      <c r="M160" s="22"/>
      <c r="N160" s="28"/>
      <c r="O160" s="28"/>
      <c r="P160" s="53"/>
      <c r="Q160" s="53"/>
      <c r="R160" s="28"/>
      <c r="S160" s="53"/>
      <c r="T160" s="28"/>
      <c r="U160" s="28"/>
      <c r="V160" s="28"/>
      <c r="W160" s="28"/>
      <c r="X160" s="53"/>
      <c r="Y160" s="22"/>
      <c r="Z160" s="28"/>
      <c r="AA160" s="28"/>
      <c r="AB160" s="28"/>
      <c r="AC160" s="28"/>
      <c r="AD160" s="28"/>
      <c r="AE160" s="28"/>
      <c r="AF160" s="28"/>
      <c r="AG160" s="28"/>
    </row>
    <row r="161" spans="1:33" ht="15.75" customHeight="1">
      <c r="A161" s="28"/>
      <c r="B161" s="28"/>
      <c r="C161" s="28"/>
      <c r="D161" s="28"/>
      <c r="E161" s="28"/>
      <c r="F161" s="28"/>
      <c r="G161" s="28"/>
      <c r="H161" s="28"/>
      <c r="I161" s="22"/>
      <c r="J161" s="28"/>
      <c r="K161" s="28"/>
      <c r="L161" s="22"/>
      <c r="M161" s="22"/>
      <c r="N161" s="28"/>
      <c r="O161" s="28"/>
      <c r="P161" s="53"/>
      <c r="Q161" s="53"/>
      <c r="R161" s="28"/>
      <c r="S161" s="53"/>
      <c r="T161" s="28"/>
      <c r="U161" s="28"/>
      <c r="V161" s="28"/>
      <c r="W161" s="28"/>
      <c r="X161" s="53"/>
      <c r="Y161" s="22"/>
      <c r="Z161" s="28"/>
      <c r="AA161" s="28"/>
      <c r="AB161" s="28"/>
      <c r="AC161" s="28"/>
      <c r="AD161" s="28"/>
      <c r="AE161" s="28"/>
      <c r="AF161" s="28"/>
      <c r="AG161" s="28"/>
    </row>
    <row r="162" spans="1:33" ht="15.75" customHeight="1">
      <c r="A162" s="28"/>
      <c r="B162" s="28"/>
      <c r="C162" s="28"/>
      <c r="D162" s="28"/>
      <c r="E162" s="28"/>
      <c r="F162" s="28"/>
      <c r="G162" s="28"/>
      <c r="H162" s="28"/>
      <c r="I162" s="22"/>
      <c r="J162" s="28"/>
      <c r="K162" s="28"/>
      <c r="L162" s="22"/>
      <c r="M162" s="22"/>
      <c r="N162" s="28"/>
      <c r="O162" s="28"/>
      <c r="P162" s="53"/>
      <c r="Q162" s="53"/>
      <c r="R162" s="28"/>
      <c r="S162" s="53"/>
      <c r="T162" s="28"/>
      <c r="U162" s="28"/>
      <c r="V162" s="28"/>
      <c r="W162" s="28"/>
      <c r="X162" s="53"/>
      <c r="Y162" s="22"/>
      <c r="Z162" s="28"/>
      <c r="AA162" s="28"/>
      <c r="AB162" s="28"/>
      <c r="AC162" s="28"/>
      <c r="AD162" s="28"/>
      <c r="AE162" s="28"/>
      <c r="AF162" s="28"/>
      <c r="AG162" s="28"/>
    </row>
    <row r="163" spans="1:33" ht="15.75" customHeight="1">
      <c r="A163" s="28"/>
      <c r="B163" s="28"/>
      <c r="C163" s="28"/>
      <c r="D163" s="28"/>
      <c r="E163" s="28"/>
      <c r="F163" s="28"/>
      <c r="G163" s="28"/>
      <c r="H163" s="28"/>
      <c r="I163" s="22"/>
      <c r="J163" s="28"/>
      <c r="K163" s="28"/>
      <c r="L163" s="22"/>
      <c r="M163" s="22"/>
      <c r="N163" s="28"/>
      <c r="O163" s="28"/>
      <c r="P163" s="53"/>
      <c r="Q163" s="53"/>
      <c r="R163" s="28"/>
      <c r="S163" s="53"/>
      <c r="T163" s="28"/>
      <c r="U163" s="28"/>
      <c r="V163" s="28"/>
      <c r="W163" s="28"/>
      <c r="X163" s="53"/>
      <c r="Y163" s="22"/>
      <c r="Z163" s="28"/>
      <c r="AA163" s="28"/>
      <c r="AB163" s="28"/>
      <c r="AC163" s="28"/>
      <c r="AD163" s="28"/>
      <c r="AE163" s="28"/>
      <c r="AF163" s="28"/>
      <c r="AG163" s="28"/>
    </row>
    <row r="164" spans="1:33" ht="15.75" customHeight="1">
      <c r="A164" s="28"/>
      <c r="B164" s="28"/>
      <c r="C164" s="28"/>
      <c r="D164" s="28"/>
      <c r="E164" s="28"/>
      <c r="F164" s="28"/>
      <c r="G164" s="28"/>
      <c r="H164" s="28"/>
      <c r="I164" s="22"/>
      <c r="J164" s="28"/>
      <c r="K164" s="28"/>
      <c r="L164" s="22"/>
      <c r="M164" s="22"/>
      <c r="N164" s="28"/>
      <c r="O164" s="28"/>
      <c r="P164" s="53"/>
      <c r="Q164" s="53"/>
      <c r="R164" s="28"/>
      <c r="S164" s="53"/>
      <c r="T164" s="28"/>
      <c r="U164" s="28"/>
      <c r="V164" s="28"/>
      <c r="W164" s="28"/>
      <c r="X164" s="53"/>
      <c r="Y164" s="22"/>
      <c r="Z164" s="28"/>
      <c r="AA164" s="28"/>
      <c r="AB164" s="28"/>
      <c r="AC164" s="28"/>
      <c r="AD164" s="28"/>
      <c r="AE164" s="28"/>
      <c r="AF164" s="28"/>
      <c r="AG164" s="28"/>
    </row>
    <row r="165" spans="1:33" ht="15.75" customHeight="1">
      <c r="A165" s="28"/>
      <c r="B165" s="28"/>
      <c r="C165" s="28"/>
      <c r="D165" s="28"/>
      <c r="E165" s="28"/>
      <c r="F165" s="28"/>
      <c r="G165" s="28"/>
      <c r="H165" s="28"/>
      <c r="I165" s="22"/>
      <c r="J165" s="28"/>
      <c r="K165" s="28"/>
      <c r="L165" s="22"/>
      <c r="M165" s="22"/>
      <c r="N165" s="28"/>
      <c r="O165" s="28"/>
      <c r="P165" s="53"/>
      <c r="Q165" s="53"/>
      <c r="R165" s="28"/>
      <c r="S165" s="53"/>
      <c r="T165" s="28"/>
      <c r="U165" s="28"/>
      <c r="V165" s="28"/>
      <c r="W165" s="28"/>
      <c r="X165" s="53"/>
      <c r="Y165" s="22"/>
      <c r="Z165" s="28"/>
      <c r="AA165" s="28"/>
      <c r="AB165" s="28"/>
      <c r="AC165" s="28"/>
      <c r="AD165" s="28"/>
      <c r="AE165" s="28"/>
      <c r="AF165" s="28"/>
      <c r="AG165" s="28"/>
    </row>
    <row r="166" spans="1:33" ht="15.75" customHeight="1">
      <c r="A166" s="28"/>
      <c r="B166" s="28"/>
      <c r="C166" s="28"/>
      <c r="D166" s="28"/>
      <c r="E166" s="28"/>
      <c r="F166" s="28"/>
      <c r="G166" s="28"/>
      <c r="H166" s="28"/>
      <c r="I166" s="22"/>
      <c r="J166" s="28"/>
      <c r="K166" s="28"/>
      <c r="L166" s="22"/>
      <c r="M166" s="22"/>
      <c r="N166" s="28"/>
      <c r="O166" s="28"/>
      <c r="P166" s="53"/>
      <c r="Q166" s="53"/>
      <c r="R166" s="28"/>
      <c r="S166" s="53"/>
      <c r="T166" s="28"/>
      <c r="U166" s="28"/>
      <c r="V166" s="28"/>
      <c r="W166" s="28"/>
      <c r="X166" s="53"/>
      <c r="Y166" s="22"/>
      <c r="Z166" s="28"/>
      <c r="AA166" s="28"/>
      <c r="AB166" s="28"/>
      <c r="AC166" s="28"/>
      <c r="AD166" s="28"/>
      <c r="AE166" s="28"/>
      <c r="AF166" s="28"/>
      <c r="AG166" s="28"/>
    </row>
    <row r="167" spans="1:33" ht="15.75" customHeight="1">
      <c r="A167" s="28"/>
      <c r="B167" s="28"/>
      <c r="C167" s="28"/>
      <c r="D167" s="28"/>
      <c r="E167" s="28"/>
      <c r="F167" s="28"/>
      <c r="G167" s="28"/>
      <c r="H167" s="28"/>
      <c r="I167" s="22"/>
      <c r="J167" s="28"/>
      <c r="K167" s="28"/>
      <c r="L167" s="22"/>
      <c r="M167" s="22"/>
      <c r="N167" s="28"/>
      <c r="O167" s="28"/>
      <c r="P167" s="53"/>
      <c r="Q167" s="53"/>
      <c r="R167" s="28"/>
      <c r="S167" s="53"/>
      <c r="T167" s="28"/>
      <c r="U167" s="28"/>
      <c r="V167" s="28"/>
      <c r="W167" s="28"/>
      <c r="X167" s="53"/>
      <c r="Y167" s="22"/>
      <c r="Z167" s="28"/>
      <c r="AA167" s="28"/>
      <c r="AB167" s="28"/>
      <c r="AC167" s="28"/>
      <c r="AD167" s="28"/>
      <c r="AE167" s="28"/>
      <c r="AF167" s="28"/>
      <c r="AG167" s="28"/>
    </row>
    <row r="168" spans="1:33" ht="15.75" customHeight="1">
      <c r="A168" s="28"/>
      <c r="B168" s="28"/>
      <c r="C168" s="28"/>
      <c r="D168" s="28"/>
      <c r="E168" s="28"/>
      <c r="F168" s="28"/>
      <c r="G168" s="28"/>
      <c r="H168" s="28"/>
      <c r="I168" s="22"/>
      <c r="J168" s="28"/>
      <c r="K168" s="28"/>
      <c r="L168" s="22"/>
      <c r="M168" s="22"/>
      <c r="N168" s="28"/>
      <c r="O168" s="28"/>
      <c r="P168" s="53"/>
      <c r="Q168" s="53"/>
      <c r="R168" s="28"/>
      <c r="S168" s="53"/>
      <c r="T168" s="28"/>
      <c r="U168" s="28"/>
      <c r="V168" s="28"/>
      <c r="W168" s="28"/>
      <c r="X168" s="53"/>
      <c r="Y168" s="22"/>
      <c r="Z168" s="28"/>
      <c r="AA168" s="28"/>
      <c r="AB168" s="28"/>
      <c r="AC168" s="28"/>
      <c r="AD168" s="28"/>
      <c r="AE168" s="28"/>
      <c r="AF168" s="28"/>
      <c r="AG168" s="28"/>
    </row>
    <row r="169" spans="1:33" ht="15.75" customHeight="1">
      <c r="A169" s="28"/>
      <c r="B169" s="28"/>
      <c r="C169" s="28"/>
      <c r="D169" s="28"/>
      <c r="E169" s="28"/>
      <c r="F169" s="28"/>
      <c r="G169" s="28"/>
      <c r="H169" s="28"/>
      <c r="I169" s="22"/>
      <c r="J169" s="28"/>
      <c r="K169" s="28"/>
      <c r="L169" s="22"/>
      <c r="M169" s="22"/>
      <c r="N169" s="28"/>
      <c r="O169" s="28"/>
      <c r="P169" s="53"/>
      <c r="Q169" s="53"/>
      <c r="R169" s="28"/>
      <c r="S169" s="53"/>
      <c r="T169" s="28"/>
      <c r="U169" s="28"/>
      <c r="V169" s="28"/>
      <c r="W169" s="28"/>
      <c r="X169" s="53"/>
      <c r="Y169" s="22"/>
      <c r="Z169" s="28"/>
      <c r="AA169" s="28"/>
      <c r="AB169" s="28"/>
      <c r="AC169" s="28"/>
      <c r="AD169" s="28"/>
      <c r="AE169" s="28"/>
      <c r="AF169" s="28"/>
      <c r="AG169" s="28"/>
    </row>
    <row r="170" spans="1:33" ht="15.75" customHeight="1">
      <c r="A170" s="28"/>
      <c r="B170" s="28"/>
      <c r="C170" s="28"/>
      <c r="D170" s="28"/>
      <c r="E170" s="28"/>
      <c r="F170" s="28"/>
      <c r="G170" s="28"/>
      <c r="H170" s="28"/>
      <c r="I170" s="22"/>
      <c r="J170" s="28"/>
      <c r="K170" s="28"/>
      <c r="L170" s="22"/>
      <c r="M170" s="22"/>
      <c r="N170" s="28"/>
      <c r="O170" s="28"/>
      <c r="P170" s="53"/>
      <c r="Q170" s="53"/>
      <c r="R170" s="28"/>
      <c r="S170" s="53"/>
      <c r="T170" s="28"/>
      <c r="U170" s="28"/>
      <c r="V170" s="28"/>
      <c r="W170" s="28"/>
      <c r="X170" s="53"/>
      <c r="Y170" s="22"/>
      <c r="Z170" s="28"/>
      <c r="AA170" s="28"/>
      <c r="AB170" s="28"/>
      <c r="AC170" s="28"/>
      <c r="AD170" s="28"/>
      <c r="AE170" s="28"/>
      <c r="AF170" s="28"/>
      <c r="AG170" s="28"/>
    </row>
    <row r="171" spans="1:33" ht="15.75" customHeight="1">
      <c r="A171" s="28"/>
      <c r="B171" s="28"/>
      <c r="C171" s="28"/>
      <c r="D171" s="28"/>
      <c r="E171" s="28"/>
      <c r="F171" s="28"/>
      <c r="G171" s="28"/>
      <c r="H171" s="28"/>
      <c r="I171" s="22"/>
      <c r="J171" s="28"/>
      <c r="K171" s="28"/>
      <c r="L171" s="22"/>
      <c r="M171" s="22"/>
      <c r="N171" s="28"/>
      <c r="O171" s="28"/>
      <c r="P171" s="53"/>
      <c r="Q171" s="53"/>
      <c r="R171" s="28"/>
      <c r="S171" s="53"/>
      <c r="T171" s="28"/>
      <c r="U171" s="28"/>
      <c r="V171" s="28"/>
      <c r="W171" s="28"/>
      <c r="X171" s="53"/>
      <c r="Y171" s="22"/>
      <c r="Z171" s="28"/>
      <c r="AA171" s="28"/>
      <c r="AB171" s="28"/>
      <c r="AC171" s="28"/>
      <c r="AD171" s="28"/>
      <c r="AE171" s="28"/>
      <c r="AF171" s="28"/>
      <c r="AG171" s="28"/>
    </row>
    <row r="172" spans="1:33" ht="15.75" customHeight="1">
      <c r="A172" s="28"/>
      <c r="B172" s="28"/>
      <c r="C172" s="28"/>
      <c r="D172" s="28"/>
      <c r="E172" s="28"/>
      <c r="F172" s="28"/>
      <c r="G172" s="28"/>
      <c r="H172" s="28"/>
      <c r="I172" s="22"/>
      <c r="J172" s="28"/>
      <c r="K172" s="28"/>
      <c r="L172" s="22"/>
      <c r="M172" s="22"/>
      <c r="N172" s="28"/>
      <c r="O172" s="28"/>
      <c r="P172" s="53"/>
      <c r="Q172" s="53"/>
      <c r="R172" s="28"/>
      <c r="S172" s="53"/>
      <c r="T172" s="28"/>
      <c r="U172" s="28"/>
      <c r="V172" s="28"/>
      <c r="W172" s="28"/>
      <c r="X172" s="53"/>
      <c r="Y172" s="22"/>
      <c r="Z172" s="28"/>
      <c r="AA172" s="28"/>
      <c r="AB172" s="28"/>
      <c r="AC172" s="28"/>
      <c r="AD172" s="28"/>
      <c r="AE172" s="28"/>
      <c r="AF172" s="28"/>
      <c r="AG172" s="28"/>
    </row>
    <row r="173" spans="1:33" ht="15.75" customHeight="1">
      <c r="A173" s="28"/>
      <c r="B173" s="28"/>
      <c r="C173" s="28"/>
      <c r="D173" s="28"/>
      <c r="E173" s="28"/>
      <c r="F173" s="28"/>
      <c r="G173" s="28"/>
      <c r="H173" s="28"/>
      <c r="I173" s="22"/>
      <c r="J173" s="28"/>
      <c r="K173" s="28"/>
      <c r="L173" s="22"/>
      <c r="M173" s="22"/>
      <c r="N173" s="28"/>
      <c r="O173" s="28"/>
      <c r="P173" s="53"/>
      <c r="Q173" s="53"/>
      <c r="R173" s="28"/>
      <c r="S173" s="53"/>
      <c r="T173" s="28"/>
      <c r="U173" s="28"/>
      <c r="V173" s="28"/>
      <c r="W173" s="28"/>
      <c r="X173" s="53"/>
      <c r="Y173" s="22"/>
      <c r="Z173" s="28"/>
      <c r="AA173" s="28"/>
      <c r="AB173" s="28"/>
      <c r="AC173" s="28"/>
      <c r="AD173" s="28"/>
      <c r="AE173" s="28"/>
      <c r="AF173" s="28"/>
      <c r="AG173" s="28"/>
    </row>
    <row r="174" spans="1:33" ht="15.75" customHeight="1">
      <c r="A174" s="28"/>
      <c r="B174" s="28"/>
      <c r="C174" s="28"/>
      <c r="D174" s="28"/>
      <c r="E174" s="28"/>
      <c r="F174" s="28"/>
      <c r="G174" s="28"/>
      <c r="H174" s="28"/>
      <c r="I174" s="22"/>
      <c r="J174" s="28"/>
      <c r="K174" s="28"/>
      <c r="L174" s="22"/>
      <c r="M174" s="22"/>
      <c r="N174" s="28"/>
      <c r="O174" s="28"/>
      <c r="P174" s="53"/>
      <c r="Q174" s="53"/>
      <c r="R174" s="28"/>
      <c r="S174" s="53"/>
      <c r="T174" s="28"/>
      <c r="U174" s="28"/>
      <c r="V174" s="28"/>
      <c r="W174" s="28"/>
      <c r="X174" s="53"/>
      <c r="Y174" s="22"/>
      <c r="Z174" s="28"/>
      <c r="AA174" s="28"/>
      <c r="AB174" s="28"/>
      <c r="AC174" s="28"/>
      <c r="AD174" s="28"/>
      <c r="AE174" s="28"/>
      <c r="AF174" s="28"/>
      <c r="AG174" s="28"/>
    </row>
    <row r="175" spans="1:33" ht="15.75" customHeight="1">
      <c r="A175" s="28"/>
      <c r="B175" s="28"/>
      <c r="C175" s="28"/>
      <c r="D175" s="28"/>
      <c r="E175" s="28"/>
      <c r="F175" s="28"/>
      <c r="G175" s="28"/>
      <c r="H175" s="28"/>
      <c r="I175" s="22"/>
      <c r="J175" s="28"/>
      <c r="K175" s="28"/>
      <c r="L175" s="22"/>
      <c r="M175" s="22"/>
      <c r="N175" s="28"/>
      <c r="O175" s="28"/>
      <c r="P175" s="53"/>
      <c r="Q175" s="53"/>
      <c r="R175" s="28"/>
      <c r="S175" s="53"/>
      <c r="T175" s="28"/>
      <c r="U175" s="28"/>
      <c r="V175" s="28"/>
      <c r="W175" s="28"/>
      <c r="X175" s="53"/>
      <c r="Y175" s="22"/>
      <c r="Z175" s="28"/>
      <c r="AA175" s="28"/>
      <c r="AB175" s="28"/>
      <c r="AC175" s="28"/>
      <c r="AD175" s="28"/>
      <c r="AE175" s="28"/>
      <c r="AF175" s="28"/>
      <c r="AG175" s="28"/>
    </row>
    <row r="176" spans="1:33" ht="15.75" customHeight="1">
      <c r="A176" s="28"/>
      <c r="B176" s="28"/>
      <c r="C176" s="28"/>
      <c r="D176" s="28"/>
      <c r="E176" s="28"/>
      <c r="F176" s="28"/>
      <c r="G176" s="28"/>
      <c r="H176" s="28"/>
      <c r="I176" s="22"/>
      <c r="J176" s="28"/>
      <c r="K176" s="28"/>
      <c r="L176" s="22"/>
      <c r="M176" s="22"/>
      <c r="N176" s="28"/>
      <c r="O176" s="28"/>
      <c r="P176" s="53"/>
      <c r="Q176" s="53"/>
      <c r="R176" s="28"/>
      <c r="S176" s="53"/>
      <c r="T176" s="28"/>
      <c r="U176" s="28"/>
      <c r="V176" s="28"/>
      <c r="W176" s="28"/>
      <c r="X176" s="53"/>
      <c r="Y176" s="22"/>
      <c r="Z176" s="28"/>
      <c r="AA176" s="28"/>
      <c r="AB176" s="28"/>
      <c r="AC176" s="28"/>
      <c r="AD176" s="28"/>
      <c r="AE176" s="28"/>
      <c r="AF176" s="28"/>
      <c r="AG176" s="28"/>
    </row>
    <row r="177" spans="1:33" ht="15.75" customHeight="1">
      <c r="A177" s="28"/>
      <c r="B177" s="28"/>
      <c r="C177" s="28"/>
      <c r="D177" s="28"/>
      <c r="E177" s="28"/>
      <c r="F177" s="28"/>
      <c r="G177" s="28"/>
      <c r="H177" s="28"/>
      <c r="I177" s="22"/>
      <c r="J177" s="28"/>
      <c r="K177" s="28"/>
      <c r="L177" s="22"/>
      <c r="M177" s="22"/>
      <c r="N177" s="28"/>
      <c r="O177" s="28"/>
      <c r="P177" s="53"/>
      <c r="Q177" s="53"/>
      <c r="R177" s="28"/>
      <c r="S177" s="53"/>
      <c r="T177" s="28"/>
      <c r="U177" s="28"/>
      <c r="V177" s="28"/>
      <c r="W177" s="28"/>
      <c r="X177" s="53"/>
      <c r="Y177" s="22"/>
      <c r="Z177" s="28"/>
      <c r="AA177" s="28"/>
      <c r="AB177" s="28"/>
      <c r="AC177" s="28"/>
      <c r="AD177" s="28"/>
      <c r="AE177" s="28"/>
      <c r="AF177" s="28"/>
      <c r="AG177" s="28"/>
    </row>
    <row r="178" spans="1:33" ht="15.75" customHeight="1">
      <c r="A178" s="28"/>
      <c r="B178" s="28"/>
      <c r="C178" s="28"/>
      <c r="D178" s="28"/>
      <c r="E178" s="28"/>
      <c r="F178" s="28"/>
      <c r="G178" s="28"/>
      <c r="H178" s="28"/>
      <c r="I178" s="22"/>
      <c r="J178" s="28"/>
      <c r="K178" s="28"/>
      <c r="L178" s="22"/>
      <c r="M178" s="22"/>
      <c r="N178" s="28"/>
      <c r="O178" s="28"/>
      <c r="P178" s="53"/>
      <c r="Q178" s="53"/>
      <c r="R178" s="28"/>
      <c r="S178" s="53"/>
      <c r="T178" s="28"/>
      <c r="U178" s="28"/>
      <c r="V178" s="28"/>
      <c r="W178" s="28"/>
      <c r="X178" s="53"/>
      <c r="Y178" s="22"/>
      <c r="Z178" s="28"/>
      <c r="AA178" s="28"/>
      <c r="AB178" s="28"/>
      <c r="AC178" s="28"/>
      <c r="AD178" s="28"/>
      <c r="AE178" s="28"/>
      <c r="AF178" s="28"/>
      <c r="AG178" s="28"/>
    </row>
    <row r="179" spans="1:33" ht="15.75" customHeight="1">
      <c r="A179" s="28"/>
      <c r="B179" s="28"/>
      <c r="C179" s="28"/>
      <c r="D179" s="28"/>
      <c r="E179" s="28"/>
      <c r="F179" s="28"/>
      <c r="G179" s="28"/>
      <c r="H179" s="28"/>
      <c r="I179" s="22"/>
      <c r="J179" s="28"/>
      <c r="K179" s="28"/>
      <c r="L179" s="22"/>
      <c r="M179" s="22"/>
      <c r="N179" s="28"/>
      <c r="O179" s="28"/>
      <c r="P179" s="53"/>
      <c r="Q179" s="53"/>
      <c r="R179" s="28"/>
      <c r="S179" s="53"/>
      <c r="T179" s="28"/>
      <c r="U179" s="28"/>
      <c r="V179" s="28"/>
      <c r="W179" s="28"/>
      <c r="X179" s="53"/>
      <c r="Y179" s="22"/>
      <c r="Z179" s="28"/>
      <c r="AA179" s="28"/>
      <c r="AB179" s="28"/>
      <c r="AC179" s="28"/>
      <c r="AD179" s="28"/>
      <c r="AE179" s="28"/>
      <c r="AF179" s="28"/>
      <c r="AG179" s="28"/>
    </row>
    <row r="180" spans="1:33" ht="15.75" customHeight="1">
      <c r="A180" s="28"/>
      <c r="B180" s="28"/>
      <c r="C180" s="28"/>
      <c r="D180" s="28"/>
      <c r="E180" s="28"/>
      <c r="F180" s="28"/>
      <c r="G180" s="28"/>
      <c r="H180" s="28"/>
      <c r="I180" s="22"/>
      <c r="J180" s="28"/>
      <c r="K180" s="28"/>
      <c r="L180" s="22"/>
      <c r="M180" s="22"/>
      <c r="N180" s="28"/>
      <c r="O180" s="28"/>
      <c r="P180" s="53"/>
      <c r="Q180" s="53"/>
      <c r="R180" s="28"/>
      <c r="S180" s="53"/>
      <c r="T180" s="28"/>
      <c r="U180" s="28"/>
      <c r="V180" s="28"/>
      <c r="W180" s="28"/>
      <c r="X180" s="53"/>
      <c r="Y180" s="22"/>
      <c r="Z180" s="28"/>
      <c r="AA180" s="28"/>
      <c r="AB180" s="28"/>
      <c r="AC180" s="28"/>
      <c r="AD180" s="28"/>
      <c r="AE180" s="28"/>
      <c r="AF180" s="28"/>
      <c r="AG180" s="28"/>
    </row>
    <row r="181" spans="1:33" ht="15.75" customHeight="1">
      <c r="A181" s="28"/>
      <c r="B181" s="28"/>
      <c r="C181" s="28"/>
      <c r="D181" s="28"/>
      <c r="E181" s="28"/>
      <c r="F181" s="28"/>
      <c r="G181" s="28"/>
      <c r="H181" s="28"/>
      <c r="I181" s="22"/>
      <c r="J181" s="28"/>
      <c r="K181" s="28"/>
      <c r="L181" s="22"/>
      <c r="M181" s="22"/>
      <c r="N181" s="28"/>
      <c r="O181" s="28"/>
      <c r="P181" s="53"/>
      <c r="Q181" s="53"/>
      <c r="R181" s="28"/>
      <c r="S181" s="53"/>
      <c r="T181" s="28"/>
      <c r="U181" s="28"/>
      <c r="V181" s="28"/>
      <c r="W181" s="28"/>
      <c r="X181" s="53"/>
      <c r="Y181" s="22"/>
      <c r="Z181" s="28"/>
      <c r="AA181" s="28"/>
      <c r="AB181" s="28"/>
      <c r="AC181" s="28"/>
      <c r="AD181" s="28"/>
      <c r="AE181" s="28"/>
      <c r="AF181" s="28"/>
      <c r="AG181" s="28"/>
    </row>
    <row r="182" spans="1:33" ht="15.75" customHeight="1">
      <c r="A182" s="28"/>
      <c r="B182" s="28"/>
      <c r="C182" s="28"/>
      <c r="D182" s="28"/>
      <c r="E182" s="28"/>
      <c r="F182" s="28"/>
      <c r="G182" s="28"/>
      <c r="H182" s="28"/>
      <c r="I182" s="22"/>
      <c r="J182" s="28"/>
      <c r="K182" s="28"/>
      <c r="L182" s="22"/>
      <c r="M182" s="22"/>
      <c r="N182" s="28"/>
      <c r="O182" s="28"/>
      <c r="P182" s="53"/>
      <c r="Q182" s="53"/>
      <c r="R182" s="28"/>
      <c r="S182" s="53"/>
      <c r="T182" s="28"/>
      <c r="U182" s="28"/>
      <c r="V182" s="28"/>
      <c r="W182" s="28"/>
      <c r="X182" s="53"/>
      <c r="Y182" s="22"/>
      <c r="Z182" s="28"/>
      <c r="AA182" s="28"/>
      <c r="AB182" s="28"/>
      <c r="AC182" s="28"/>
      <c r="AD182" s="28"/>
      <c r="AE182" s="28"/>
      <c r="AF182" s="28"/>
      <c r="AG182" s="28"/>
    </row>
    <row r="183" spans="1:33" ht="15.75" customHeight="1">
      <c r="A183" s="28"/>
      <c r="B183" s="28"/>
      <c r="C183" s="28"/>
      <c r="D183" s="28"/>
      <c r="E183" s="28"/>
      <c r="F183" s="28"/>
      <c r="G183" s="28"/>
      <c r="H183" s="28"/>
      <c r="I183" s="22"/>
      <c r="J183" s="28"/>
      <c r="K183" s="28"/>
      <c r="L183" s="22"/>
      <c r="M183" s="22"/>
      <c r="N183" s="28"/>
      <c r="O183" s="28"/>
      <c r="P183" s="53"/>
      <c r="Q183" s="53"/>
      <c r="R183" s="28"/>
      <c r="S183" s="53"/>
      <c r="T183" s="28"/>
      <c r="U183" s="28"/>
      <c r="V183" s="28"/>
      <c r="W183" s="28"/>
      <c r="X183" s="53"/>
      <c r="Y183" s="22"/>
      <c r="Z183" s="28"/>
      <c r="AA183" s="28"/>
      <c r="AB183" s="28"/>
      <c r="AC183" s="28"/>
      <c r="AD183" s="28"/>
      <c r="AE183" s="28"/>
      <c r="AF183" s="28"/>
      <c r="AG183" s="28"/>
    </row>
    <row r="184" spans="1:33" ht="15.75" customHeight="1">
      <c r="A184" s="28"/>
      <c r="B184" s="28"/>
      <c r="C184" s="28"/>
      <c r="D184" s="28"/>
      <c r="E184" s="28"/>
      <c r="F184" s="28"/>
      <c r="G184" s="28"/>
      <c r="H184" s="28"/>
      <c r="I184" s="22"/>
      <c r="J184" s="28"/>
      <c r="K184" s="28"/>
      <c r="L184" s="22"/>
      <c r="M184" s="22"/>
      <c r="N184" s="28"/>
      <c r="O184" s="28"/>
      <c r="P184" s="53"/>
      <c r="Q184" s="53"/>
      <c r="R184" s="28"/>
      <c r="S184" s="53"/>
      <c r="T184" s="28"/>
      <c r="U184" s="28"/>
      <c r="V184" s="28"/>
      <c r="W184" s="28"/>
      <c r="X184" s="53"/>
      <c r="Y184" s="22"/>
      <c r="Z184" s="28"/>
      <c r="AA184" s="28"/>
      <c r="AB184" s="28"/>
      <c r="AC184" s="28"/>
      <c r="AD184" s="28"/>
      <c r="AE184" s="28"/>
      <c r="AF184" s="28"/>
      <c r="AG184" s="28"/>
    </row>
    <row r="185" spans="1:33" ht="15.75" customHeight="1">
      <c r="A185" s="28"/>
      <c r="B185" s="28"/>
      <c r="C185" s="28"/>
      <c r="D185" s="28"/>
      <c r="E185" s="28"/>
      <c r="F185" s="28"/>
      <c r="G185" s="28"/>
      <c r="H185" s="28"/>
      <c r="I185" s="22"/>
      <c r="J185" s="28"/>
      <c r="K185" s="28"/>
      <c r="L185" s="22"/>
      <c r="M185" s="22"/>
      <c r="N185" s="28"/>
      <c r="O185" s="28"/>
      <c r="P185" s="53"/>
      <c r="Q185" s="53"/>
      <c r="R185" s="28"/>
      <c r="S185" s="53"/>
      <c r="T185" s="28"/>
      <c r="U185" s="28"/>
      <c r="V185" s="28"/>
      <c r="W185" s="28"/>
      <c r="X185" s="53"/>
      <c r="Y185" s="22"/>
      <c r="Z185" s="28"/>
      <c r="AA185" s="28"/>
      <c r="AB185" s="28"/>
      <c r="AC185" s="28"/>
      <c r="AD185" s="28"/>
      <c r="AE185" s="28"/>
      <c r="AF185" s="28"/>
      <c r="AG185" s="28"/>
    </row>
    <row r="186" spans="1:33" ht="15.75" customHeight="1">
      <c r="A186" s="28"/>
      <c r="B186" s="28"/>
      <c r="C186" s="28"/>
      <c r="D186" s="28"/>
      <c r="E186" s="28"/>
      <c r="F186" s="28"/>
      <c r="G186" s="28"/>
      <c r="H186" s="28"/>
      <c r="I186" s="22"/>
      <c r="J186" s="28"/>
      <c r="K186" s="28"/>
      <c r="L186" s="22"/>
      <c r="M186" s="22"/>
      <c r="N186" s="28"/>
      <c r="O186" s="28"/>
      <c r="P186" s="53"/>
      <c r="Q186" s="53"/>
      <c r="R186" s="28"/>
      <c r="S186" s="53"/>
      <c r="T186" s="28"/>
      <c r="U186" s="28"/>
      <c r="V186" s="28"/>
      <c r="W186" s="28"/>
      <c r="X186" s="53"/>
      <c r="Y186" s="22"/>
      <c r="Z186" s="28"/>
      <c r="AA186" s="28"/>
      <c r="AB186" s="28"/>
      <c r="AC186" s="28"/>
      <c r="AD186" s="28"/>
      <c r="AE186" s="28"/>
      <c r="AF186" s="28"/>
      <c r="AG186" s="28"/>
    </row>
    <row r="187" spans="1:33" ht="15.75" customHeight="1">
      <c r="A187" s="28"/>
      <c r="B187" s="28"/>
      <c r="C187" s="28"/>
      <c r="D187" s="28"/>
      <c r="E187" s="28"/>
      <c r="F187" s="28"/>
      <c r="G187" s="28"/>
      <c r="H187" s="28"/>
      <c r="I187" s="22"/>
      <c r="J187" s="28"/>
      <c r="K187" s="28"/>
      <c r="L187" s="22"/>
      <c r="M187" s="22"/>
      <c r="N187" s="28"/>
      <c r="O187" s="28"/>
      <c r="P187" s="53"/>
      <c r="Q187" s="53"/>
      <c r="R187" s="28"/>
      <c r="S187" s="53"/>
      <c r="T187" s="28"/>
      <c r="U187" s="28"/>
      <c r="V187" s="28"/>
      <c r="W187" s="28"/>
      <c r="X187" s="53"/>
      <c r="Y187" s="22"/>
      <c r="Z187" s="28"/>
      <c r="AA187" s="28"/>
      <c r="AB187" s="28"/>
      <c r="AC187" s="28"/>
      <c r="AD187" s="28"/>
      <c r="AE187" s="28"/>
      <c r="AF187" s="28"/>
      <c r="AG187" s="28"/>
    </row>
    <row r="188" spans="1:33" ht="15.75" customHeight="1">
      <c r="A188" s="28"/>
      <c r="B188" s="28"/>
      <c r="C188" s="28"/>
      <c r="D188" s="28"/>
      <c r="E188" s="28"/>
      <c r="F188" s="28"/>
      <c r="G188" s="28"/>
      <c r="H188" s="28"/>
      <c r="I188" s="22"/>
      <c r="J188" s="28"/>
      <c r="K188" s="28"/>
      <c r="L188" s="22"/>
      <c r="M188" s="22"/>
      <c r="N188" s="28"/>
      <c r="O188" s="28"/>
      <c r="P188" s="53"/>
      <c r="Q188" s="53"/>
      <c r="R188" s="28"/>
      <c r="S188" s="53"/>
      <c r="T188" s="28"/>
      <c r="U188" s="28"/>
      <c r="V188" s="28"/>
      <c r="W188" s="28"/>
      <c r="X188" s="53"/>
      <c r="Y188" s="22"/>
      <c r="Z188" s="28"/>
      <c r="AA188" s="28"/>
      <c r="AB188" s="28"/>
      <c r="AC188" s="28"/>
      <c r="AD188" s="28"/>
      <c r="AE188" s="28"/>
      <c r="AF188" s="28"/>
      <c r="AG188" s="28"/>
    </row>
    <row r="189" spans="1:33" ht="15.75" customHeight="1">
      <c r="A189" s="28"/>
      <c r="B189" s="28"/>
      <c r="C189" s="28"/>
      <c r="D189" s="28"/>
      <c r="E189" s="28"/>
      <c r="F189" s="28"/>
      <c r="G189" s="28"/>
      <c r="H189" s="28"/>
      <c r="I189" s="22"/>
      <c r="J189" s="28"/>
      <c r="K189" s="28"/>
      <c r="L189" s="22"/>
      <c r="M189" s="22"/>
      <c r="N189" s="28"/>
      <c r="O189" s="28"/>
      <c r="P189" s="53"/>
      <c r="Q189" s="53"/>
      <c r="R189" s="28"/>
      <c r="S189" s="53"/>
      <c r="T189" s="28"/>
      <c r="U189" s="28"/>
      <c r="V189" s="28"/>
      <c r="W189" s="28"/>
      <c r="X189" s="53"/>
      <c r="Y189" s="22"/>
      <c r="Z189" s="28"/>
      <c r="AA189" s="28"/>
      <c r="AB189" s="28"/>
      <c r="AC189" s="28"/>
      <c r="AD189" s="28"/>
      <c r="AE189" s="28"/>
      <c r="AF189" s="28"/>
      <c r="AG189" s="28"/>
    </row>
    <row r="190" spans="1:33" ht="15.75" customHeight="1">
      <c r="A190" s="28"/>
      <c r="B190" s="28"/>
      <c r="C190" s="28"/>
      <c r="D190" s="28"/>
      <c r="E190" s="28"/>
      <c r="F190" s="28"/>
      <c r="G190" s="28"/>
      <c r="H190" s="28"/>
      <c r="I190" s="22"/>
      <c r="J190" s="28"/>
      <c r="K190" s="28"/>
      <c r="L190" s="22"/>
      <c r="M190" s="22"/>
      <c r="N190" s="28"/>
      <c r="O190" s="28"/>
      <c r="P190" s="53"/>
      <c r="Q190" s="53"/>
      <c r="R190" s="28"/>
      <c r="S190" s="53"/>
      <c r="T190" s="28"/>
      <c r="U190" s="28"/>
      <c r="V190" s="28"/>
      <c r="W190" s="28"/>
      <c r="X190" s="53"/>
      <c r="Y190" s="22"/>
      <c r="Z190" s="28"/>
      <c r="AA190" s="28"/>
      <c r="AB190" s="28"/>
      <c r="AC190" s="28"/>
      <c r="AD190" s="28"/>
      <c r="AE190" s="28"/>
      <c r="AF190" s="28"/>
      <c r="AG190" s="28"/>
    </row>
    <row r="191" spans="1:33" ht="15.75" customHeight="1">
      <c r="A191" s="28"/>
      <c r="B191" s="28"/>
      <c r="C191" s="28"/>
      <c r="D191" s="28"/>
      <c r="E191" s="28"/>
      <c r="F191" s="28"/>
      <c r="G191" s="28"/>
      <c r="H191" s="28"/>
      <c r="I191" s="22"/>
      <c r="J191" s="28"/>
      <c r="K191" s="28"/>
      <c r="L191" s="22"/>
      <c r="M191" s="22"/>
      <c r="N191" s="28"/>
      <c r="O191" s="28"/>
      <c r="P191" s="53"/>
      <c r="Q191" s="53"/>
      <c r="R191" s="28"/>
      <c r="S191" s="53"/>
      <c r="T191" s="28"/>
      <c r="U191" s="28"/>
      <c r="V191" s="28"/>
      <c r="W191" s="28"/>
      <c r="X191" s="53"/>
      <c r="Y191" s="22"/>
      <c r="Z191" s="28"/>
      <c r="AA191" s="28"/>
      <c r="AB191" s="28"/>
      <c r="AC191" s="28"/>
      <c r="AD191" s="28"/>
      <c r="AE191" s="28"/>
      <c r="AF191" s="28"/>
      <c r="AG191" s="28"/>
    </row>
    <row r="192" spans="1:33" ht="15.75" customHeight="1">
      <c r="A192" s="28"/>
      <c r="B192" s="28"/>
      <c r="C192" s="28"/>
      <c r="D192" s="28"/>
      <c r="E192" s="28"/>
      <c r="F192" s="28"/>
      <c r="G192" s="28"/>
      <c r="H192" s="28"/>
      <c r="I192" s="22"/>
      <c r="J192" s="28"/>
      <c r="K192" s="28"/>
      <c r="L192" s="22"/>
      <c r="M192" s="22"/>
      <c r="N192" s="28"/>
      <c r="O192" s="28"/>
      <c r="P192" s="53"/>
      <c r="Q192" s="53"/>
      <c r="R192" s="28"/>
      <c r="S192" s="53"/>
      <c r="T192" s="28"/>
      <c r="U192" s="28"/>
      <c r="V192" s="28"/>
      <c r="W192" s="28"/>
      <c r="X192" s="53"/>
      <c r="Y192" s="22"/>
      <c r="Z192" s="28"/>
      <c r="AA192" s="28"/>
      <c r="AB192" s="28"/>
      <c r="AC192" s="28"/>
      <c r="AD192" s="28"/>
      <c r="AE192" s="28"/>
      <c r="AF192" s="28"/>
      <c r="AG192" s="28"/>
    </row>
    <row r="193" spans="1:33" ht="15.75" customHeight="1">
      <c r="A193" s="28"/>
      <c r="B193" s="28"/>
      <c r="C193" s="28"/>
      <c r="D193" s="28"/>
      <c r="E193" s="28"/>
      <c r="F193" s="28"/>
      <c r="G193" s="28"/>
      <c r="H193" s="28"/>
      <c r="I193" s="22"/>
      <c r="J193" s="28"/>
      <c r="K193" s="28"/>
      <c r="L193" s="22"/>
      <c r="M193" s="22"/>
      <c r="N193" s="28"/>
      <c r="O193" s="28"/>
      <c r="P193" s="53"/>
      <c r="Q193" s="53"/>
      <c r="R193" s="28"/>
      <c r="S193" s="53"/>
      <c r="T193" s="28"/>
      <c r="U193" s="28"/>
      <c r="V193" s="28"/>
      <c r="W193" s="28"/>
      <c r="X193" s="53"/>
      <c r="Y193" s="22"/>
      <c r="Z193" s="28"/>
      <c r="AA193" s="28"/>
      <c r="AB193" s="28"/>
      <c r="AC193" s="28"/>
      <c r="AD193" s="28"/>
      <c r="AE193" s="28"/>
      <c r="AF193" s="28"/>
      <c r="AG193" s="28"/>
    </row>
    <row r="194" spans="1:33" ht="15.75" customHeight="1">
      <c r="A194" s="28"/>
      <c r="B194" s="28"/>
      <c r="C194" s="28"/>
      <c r="D194" s="28"/>
      <c r="E194" s="28"/>
      <c r="F194" s="28"/>
      <c r="G194" s="28"/>
      <c r="H194" s="28"/>
      <c r="I194" s="22"/>
      <c r="J194" s="28"/>
      <c r="K194" s="28"/>
      <c r="L194" s="22"/>
      <c r="M194" s="22"/>
      <c r="N194" s="28"/>
      <c r="O194" s="28"/>
      <c r="P194" s="53"/>
      <c r="Q194" s="53"/>
      <c r="R194" s="28"/>
      <c r="S194" s="53"/>
      <c r="T194" s="28"/>
      <c r="U194" s="28"/>
      <c r="V194" s="28"/>
      <c r="W194" s="28"/>
      <c r="X194" s="53"/>
      <c r="Y194" s="22"/>
      <c r="Z194" s="28"/>
      <c r="AA194" s="28"/>
      <c r="AB194" s="28"/>
      <c r="AC194" s="28"/>
      <c r="AD194" s="28"/>
      <c r="AE194" s="28"/>
      <c r="AF194" s="28"/>
      <c r="AG194" s="28"/>
    </row>
    <row r="195" spans="1:33" ht="15.75" customHeight="1">
      <c r="A195" s="28"/>
      <c r="B195" s="28"/>
      <c r="C195" s="28"/>
      <c r="D195" s="28"/>
      <c r="E195" s="28"/>
      <c r="F195" s="28"/>
      <c r="G195" s="28"/>
      <c r="H195" s="28"/>
      <c r="I195" s="22"/>
      <c r="J195" s="28"/>
      <c r="K195" s="28"/>
      <c r="L195" s="22"/>
      <c r="M195" s="22"/>
      <c r="N195" s="28"/>
      <c r="O195" s="28"/>
      <c r="P195" s="53"/>
      <c r="Q195" s="53"/>
      <c r="R195" s="28"/>
      <c r="S195" s="53"/>
      <c r="T195" s="28"/>
      <c r="U195" s="28"/>
      <c r="V195" s="28"/>
      <c r="W195" s="28"/>
      <c r="X195" s="53"/>
      <c r="Y195" s="22"/>
      <c r="Z195" s="28"/>
      <c r="AA195" s="28"/>
      <c r="AB195" s="28"/>
      <c r="AC195" s="28"/>
      <c r="AD195" s="28"/>
      <c r="AE195" s="28"/>
      <c r="AF195" s="28"/>
      <c r="AG195" s="28"/>
    </row>
    <row r="196" spans="1:33" ht="15.75" customHeight="1">
      <c r="A196" s="28"/>
      <c r="B196" s="28"/>
      <c r="C196" s="28"/>
      <c r="D196" s="28"/>
      <c r="E196" s="28"/>
      <c r="F196" s="28"/>
      <c r="G196" s="28"/>
      <c r="H196" s="28"/>
      <c r="I196" s="22"/>
      <c r="J196" s="28"/>
      <c r="K196" s="28"/>
      <c r="L196" s="22"/>
      <c r="M196" s="22"/>
      <c r="N196" s="28"/>
      <c r="O196" s="28"/>
      <c r="P196" s="53"/>
      <c r="Q196" s="53"/>
      <c r="R196" s="28"/>
      <c r="S196" s="53"/>
      <c r="T196" s="28"/>
      <c r="U196" s="28"/>
      <c r="V196" s="28"/>
      <c r="W196" s="28"/>
      <c r="X196" s="53"/>
      <c r="Y196" s="22"/>
      <c r="Z196" s="28"/>
      <c r="AA196" s="28"/>
      <c r="AB196" s="28"/>
      <c r="AC196" s="28"/>
      <c r="AD196" s="28"/>
      <c r="AE196" s="28"/>
      <c r="AF196" s="28"/>
      <c r="AG196" s="28"/>
    </row>
    <row r="197" spans="1:33" ht="15.75" customHeight="1">
      <c r="A197" s="28"/>
      <c r="B197" s="28"/>
      <c r="C197" s="28"/>
      <c r="D197" s="28"/>
      <c r="E197" s="28"/>
      <c r="F197" s="28"/>
      <c r="G197" s="28"/>
      <c r="H197" s="28"/>
      <c r="I197" s="22"/>
      <c r="J197" s="28"/>
      <c r="K197" s="28"/>
      <c r="L197" s="22"/>
      <c r="M197" s="22"/>
      <c r="N197" s="28"/>
      <c r="O197" s="28"/>
      <c r="P197" s="53"/>
      <c r="Q197" s="53"/>
      <c r="R197" s="28"/>
      <c r="S197" s="53"/>
      <c r="T197" s="28"/>
      <c r="U197" s="28"/>
      <c r="V197" s="28"/>
      <c r="W197" s="28"/>
      <c r="X197" s="53"/>
      <c r="Y197" s="22"/>
      <c r="Z197" s="28"/>
      <c r="AA197" s="28"/>
      <c r="AB197" s="28"/>
      <c r="AC197" s="28"/>
      <c r="AD197" s="28"/>
      <c r="AE197" s="28"/>
      <c r="AF197" s="28"/>
      <c r="AG197" s="28"/>
    </row>
    <row r="198" spans="1:33" ht="15.75" customHeight="1">
      <c r="A198" s="28"/>
      <c r="B198" s="28"/>
      <c r="C198" s="28"/>
      <c r="D198" s="28"/>
      <c r="E198" s="28"/>
      <c r="F198" s="28"/>
      <c r="G198" s="28"/>
      <c r="H198" s="28"/>
      <c r="I198" s="22"/>
      <c r="J198" s="28"/>
      <c r="K198" s="28"/>
      <c r="L198" s="22"/>
      <c r="M198" s="22"/>
      <c r="N198" s="28"/>
      <c r="O198" s="28"/>
      <c r="P198" s="53"/>
      <c r="Q198" s="53"/>
      <c r="R198" s="28"/>
      <c r="S198" s="53"/>
      <c r="T198" s="28"/>
      <c r="U198" s="28"/>
      <c r="V198" s="28"/>
      <c r="W198" s="28"/>
      <c r="X198" s="53"/>
      <c r="Y198" s="22"/>
      <c r="Z198" s="28"/>
      <c r="AA198" s="28"/>
      <c r="AB198" s="28"/>
      <c r="AC198" s="28"/>
      <c r="AD198" s="28"/>
      <c r="AE198" s="28"/>
      <c r="AF198" s="28"/>
      <c r="AG198" s="28"/>
    </row>
    <row r="199" spans="1:33" ht="15.75" customHeight="1">
      <c r="A199" s="28"/>
      <c r="B199" s="28"/>
      <c r="C199" s="28"/>
      <c r="D199" s="28"/>
      <c r="E199" s="28"/>
      <c r="F199" s="28"/>
      <c r="G199" s="28"/>
      <c r="H199" s="28"/>
      <c r="I199" s="22"/>
      <c r="J199" s="28"/>
      <c r="K199" s="28"/>
      <c r="L199" s="22"/>
      <c r="M199" s="22"/>
      <c r="N199" s="28"/>
      <c r="O199" s="28"/>
      <c r="P199" s="53"/>
      <c r="Q199" s="53"/>
      <c r="R199" s="28"/>
      <c r="S199" s="53"/>
      <c r="T199" s="28"/>
      <c r="U199" s="28"/>
      <c r="V199" s="28"/>
      <c r="W199" s="28"/>
      <c r="X199" s="53"/>
      <c r="Y199" s="22"/>
      <c r="Z199" s="28"/>
      <c r="AA199" s="28"/>
      <c r="AB199" s="28"/>
      <c r="AC199" s="28"/>
      <c r="AD199" s="28"/>
      <c r="AE199" s="28"/>
      <c r="AF199" s="28"/>
      <c r="AG199" s="28"/>
    </row>
    <row r="200" spans="1:33" ht="15.75" customHeight="1">
      <c r="A200" s="28"/>
      <c r="B200" s="28"/>
      <c r="C200" s="28"/>
      <c r="D200" s="28"/>
      <c r="E200" s="28"/>
      <c r="F200" s="28"/>
      <c r="G200" s="28"/>
      <c r="H200" s="28"/>
      <c r="I200" s="22"/>
      <c r="J200" s="28"/>
      <c r="K200" s="28"/>
      <c r="L200" s="22"/>
      <c r="M200" s="22"/>
      <c r="N200" s="28"/>
      <c r="O200" s="28"/>
      <c r="P200" s="53"/>
      <c r="Q200" s="53"/>
      <c r="R200" s="28"/>
      <c r="S200" s="53"/>
      <c r="T200" s="28"/>
      <c r="U200" s="28"/>
      <c r="V200" s="28"/>
      <c r="W200" s="28"/>
      <c r="X200" s="53"/>
      <c r="Y200" s="22"/>
      <c r="Z200" s="28"/>
      <c r="AA200" s="28"/>
      <c r="AB200" s="28"/>
      <c r="AC200" s="28"/>
      <c r="AD200" s="28"/>
      <c r="AE200" s="28"/>
      <c r="AF200" s="28"/>
      <c r="AG200" s="28"/>
    </row>
    <row r="201" spans="1:33" ht="15.75" customHeight="1">
      <c r="A201" s="28"/>
      <c r="B201" s="28"/>
      <c r="C201" s="28"/>
      <c r="D201" s="28"/>
      <c r="E201" s="28"/>
      <c r="F201" s="28"/>
      <c r="G201" s="28"/>
      <c r="H201" s="28"/>
      <c r="I201" s="22"/>
      <c r="J201" s="28"/>
      <c r="K201" s="28"/>
      <c r="L201" s="22"/>
      <c r="M201" s="22"/>
      <c r="N201" s="28"/>
      <c r="O201" s="28"/>
      <c r="P201" s="53"/>
      <c r="Q201" s="53"/>
      <c r="R201" s="28"/>
      <c r="S201" s="53"/>
      <c r="T201" s="28"/>
      <c r="U201" s="28"/>
      <c r="V201" s="28"/>
      <c r="W201" s="28"/>
      <c r="X201" s="53"/>
      <c r="Y201" s="22"/>
      <c r="Z201" s="28"/>
      <c r="AA201" s="28"/>
      <c r="AB201" s="28"/>
      <c r="AC201" s="28"/>
      <c r="AD201" s="28"/>
      <c r="AE201" s="28"/>
      <c r="AF201" s="28"/>
      <c r="AG201" s="28"/>
    </row>
    <row r="202" spans="1:33" ht="15.75" customHeight="1">
      <c r="A202" s="28"/>
      <c r="B202" s="28"/>
      <c r="C202" s="28"/>
      <c r="D202" s="28"/>
      <c r="E202" s="28"/>
      <c r="F202" s="28"/>
      <c r="G202" s="28"/>
      <c r="H202" s="28"/>
      <c r="I202" s="22"/>
      <c r="J202" s="28"/>
      <c r="K202" s="28"/>
      <c r="L202" s="22"/>
      <c r="M202" s="22"/>
      <c r="N202" s="28"/>
      <c r="O202" s="28"/>
      <c r="P202" s="53"/>
      <c r="Q202" s="53"/>
      <c r="R202" s="28"/>
      <c r="S202" s="53"/>
      <c r="T202" s="28"/>
      <c r="U202" s="28"/>
      <c r="V202" s="28"/>
      <c r="W202" s="28"/>
      <c r="X202" s="53"/>
      <c r="Y202" s="22"/>
      <c r="Z202" s="28"/>
      <c r="AA202" s="28"/>
      <c r="AB202" s="28"/>
      <c r="AC202" s="28"/>
      <c r="AD202" s="28"/>
      <c r="AE202" s="28"/>
      <c r="AF202" s="28"/>
      <c r="AG202" s="28"/>
    </row>
    <row r="203" spans="1:33" ht="15.75" customHeight="1">
      <c r="A203" s="28"/>
      <c r="B203" s="28"/>
      <c r="C203" s="28"/>
      <c r="D203" s="28"/>
      <c r="E203" s="28"/>
      <c r="F203" s="28"/>
      <c r="G203" s="28"/>
      <c r="H203" s="28"/>
      <c r="I203" s="22"/>
      <c r="J203" s="28"/>
      <c r="K203" s="28"/>
      <c r="L203" s="22"/>
      <c r="M203" s="22"/>
      <c r="N203" s="28"/>
      <c r="O203" s="28"/>
      <c r="P203" s="53"/>
      <c r="Q203" s="53"/>
      <c r="R203" s="28"/>
      <c r="S203" s="53"/>
      <c r="T203" s="28"/>
      <c r="U203" s="28"/>
      <c r="V203" s="28"/>
      <c r="W203" s="28"/>
      <c r="X203" s="53"/>
      <c r="Y203" s="22"/>
      <c r="Z203" s="28"/>
      <c r="AA203" s="28"/>
      <c r="AB203" s="28"/>
      <c r="AC203" s="28"/>
      <c r="AD203" s="28"/>
      <c r="AE203" s="28"/>
      <c r="AF203" s="28"/>
      <c r="AG203" s="28"/>
    </row>
    <row r="204" spans="1:33" ht="15.75" customHeight="1">
      <c r="A204" s="28"/>
      <c r="B204" s="28"/>
      <c r="C204" s="28"/>
      <c r="D204" s="28"/>
      <c r="E204" s="28"/>
      <c r="F204" s="28"/>
      <c r="G204" s="28"/>
      <c r="H204" s="28"/>
      <c r="I204" s="22"/>
      <c r="J204" s="28"/>
      <c r="K204" s="28"/>
      <c r="L204" s="22"/>
      <c r="M204" s="22"/>
      <c r="N204" s="28"/>
      <c r="O204" s="28"/>
      <c r="P204" s="53"/>
      <c r="Q204" s="53"/>
      <c r="R204" s="28"/>
      <c r="S204" s="53"/>
      <c r="T204" s="28"/>
      <c r="U204" s="28"/>
      <c r="V204" s="28"/>
      <c r="W204" s="28"/>
      <c r="X204" s="53"/>
      <c r="Y204" s="22"/>
      <c r="Z204" s="28"/>
      <c r="AA204" s="28"/>
      <c r="AB204" s="28"/>
      <c r="AC204" s="28"/>
      <c r="AD204" s="28"/>
      <c r="AE204" s="28"/>
      <c r="AF204" s="28"/>
      <c r="AG204" s="28"/>
    </row>
    <row r="205" spans="1:33" ht="15.75" customHeight="1">
      <c r="A205" s="28"/>
      <c r="B205" s="28"/>
      <c r="C205" s="28"/>
      <c r="D205" s="28"/>
      <c r="E205" s="28"/>
      <c r="F205" s="28"/>
      <c r="G205" s="28"/>
      <c r="H205" s="28"/>
      <c r="I205" s="22"/>
      <c r="J205" s="28"/>
      <c r="K205" s="28"/>
      <c r="L205" s="22"/>
      <c r="M205" s="22"/>
      <c r="N205" s="28"/>
      <c r="O205" s="28"/>
      <c r="P205" s="53"/>
      <c r="Q205" s="53"/>
      <c r="R205" s="28"/>
      <c r="S205" s="53"/>
      <c r="T205" s="28"/>
      <c r="U205" s="28"/>
      <c r="V205" s="28"/>
      <c r="W205" s="28"/>
      <c r="X205" s="53"/>
      <c r="Y205" s="22"/>
      <c r="Z205" s="28"/>
      <c r="AA205" s="28"/>
      <c r="AB205" s="28"/>
      <c r="AC205" s="28"/>
      <c r="AD205" s="28"/>
      <c r="AE205" s="28"/>
      <c r="AF205" s="28"/>
      <c r="AG205" s="28"/>
    </row>
    <row r="206" spans="1:33" ht="15.75" customHeight="1">
      <c r="A206" s="28"/>
      <c r="B206" s="28"/>
      <c r="C206" s="28"/>
      <c r="D206" s="28"/>
      <c r="E206" s="28"/>
      <c r="F206" s="28"/>
      <c r="G206" s="28"/>
      <c r="H206" s="28"/>
      <c r="I206" s="22"/>
      <c r="J206" s="28"/>
      <c r="K206" s="28"/>
      <c r="L206" s="22"/>
      <c r="M206" s="22"/>
      <c r="N206" s="28"/>
      <c r="O206" s="28"/>
      <c r="P206" s="53"/>
      <c r="Q206" s="53"/>
      <c r="R206" s="28"/>
      <c r="S206" s="53"/>
      <c r="T206" s="28"/>
      <c r="U206" s="28"/>
      <c r="V206" s="28"/>
      <c r="W206" s="28"/>
      <c r="X206" s="53"/>
      <c r="Y206" s="22"/>
      <c r="Z206" s="28"/>
      <c r="AA206" s="28"/>
      <c r="AB206" s="28"/>
      <c r="AC206" s="28"/>
      <c r="AD206" s="28"/>
      <c r="AE206" s="28"/>
      <c r="AF206" s="28"/>
      <c r="AG206" s="28"/>
    </row>
    <row r="207" spans="1:33" ht="15.75" customHeight="1">
      <c r="A207" s="28"/>
      <c r="B207" s="28"/>
      <c r="C207" s="28"/>
      <c r="D207" s="28"/>
      <c r="E207" s="28"/>
      <c r="F207" s="28"/>
      <c r="G207" s="28"/>
      <c r="H207" s="28"/>
      <c r="I207" s="22"/>
      <c r="J207" s="28"/>
      <c r="K207" s="28"/>
      <c r="L207" s="22"/>
      <c r="M207" s="22"/>
      <c r="N207" s="28"/>
      <c r="O207" s="28"/>
      <c r="P207" s="53"/>
      <c r="Q207" s="53"/>
      <c r="R207" s="28"/>
      <c r="S207" s="53"/>
      <c r="T207" s="28"/>
      <c r="U207" s="28"/>
      <c r="V207" s="28"/>
      <c r="W207" s="28"/>
      <c r="X207" s="53"/>
      <c r="Y207" s="22"/>
      <c r="Z207" s="28"/>
      <c r="AA207" s="28"/>
      <c r="AB207" s="28"/>
      <c r="AC207" s="28"/>
      <c r="AD207" s="28"/>
      <c r="AE207" s="28"/>
      <c r="AF207" s="28"/>
      <c r="AG207" s="28"/>
    </row>
    <row r="208" spans="1:33" ht="15.75" customHeight="1">
      <c r="A208" s="28"/>
      <c r="B208" s="28"/>
      <c r="C208" s="28"/>
      <c r="D208" s="28"/>
      <c r="E208" s="28"/>
      <c r="F208" s="28"/>
      <c r="G208" s="28"/>
      <c r="H208" s="28"/>
      <c r="I208" s="22"/>
      <c r="J208" s="28"/>
      <c r="K208" s="28"/>
      <c r="L208" s="22"/>
      <c r="M208" s="22"/>
      <c r="N208" s="28"/>
      <c r="O208" s="28"/>
      <c r="P208" s="53"/>
      <c r="Q208" s="53"/>
      <c r="R208" s="28"/>
      <c r="S208" s="53"/>
      <c r="T208" s="28"/>
      <c r="U208" s="28"/>
      <c r="V208" s="28"/>
      <c r="W208" s="28"/>
      <c r="X208" s="53"/>
      <c r="Y208" s="22"/>
      <c r="Z208" s="28"/>
      <c r="AA208" s="28"/>
      <c r="AB208" s="28"/>
      <c r="AC208" s="28"/>
      <c r="AD208" s="28"/>
      <c r="AE208" s="28"/>
      <c r="AF208" s="28"/>
      <c r="AG208" s="28"/>
    </row>
    <row r="209" spans="1:33" ht="15.75" customHeight="1">
      <c r="A209" s="28"/>
      <c r="B209" s="28"/>
      <c r="C209" s="28"/>
      <c r="D209" s="28"/>
      <c r="E209" s="28"/>
      <c r="F209" s="28"/>
      <c r="G209" s="28"/>
      <c r="H209" s="28"/>
      <c r="I209" s="22"/>
      <c r="J209" s="28"/>
      <c r="K209" s="28"/>
      <c r="L209" s="22"/>
      <c r="M209" s="22"/>
      <c r="N209" s="28"/>
      <c r="O209" s="28"/>
      <c r="P209" s="53"/>
      <c r="Q209" s="53"/>
      <c r="R209" s="28"/>
      <c r="S209" s="53"/>
      <c r="T209" s="28"/>
      <c r="U209" s="28"/>
      <c r="V209" s="28"/>
      <c r="W209" s="28"/>
      <c r="X209" s="53"/>
      <c r="Y209" s="22"/>
      <c r="Z209" s="28"/>
      <c r="AA209" s="28"/>
      <c r="AB209" s="28"/>
      <c r="AC209" s="28"/>
      <c r="AD209" s="28"/>
      <c r="AE209" s="28"/>
      <c r="AF209" s="28"/>
      <c r="AG209" s="28"/>
    </row>
    <row r="210" spans="1:33" ht="15.75" customHeight="1">
      <c r="A210" s="28"/>
      <c r="B210" s="28"/>
      <c r="C210" s="28"/>
      <c r="D210" s="28"/>
      <c r="E210" s="28"/>
      <c r="F210" s="28"/>
      <c r="G210" s="28"/>
      <c r="H210" s="28"/>
      <c r="I210" s="22"/>
      <c r="J210" s="28"/>
      <c r="K210" s="28"/>
      <c r="L210" s="22"/>
      <c r="M210" s="22"/>
      <c r="N210" s="28"/>
      <c r="O210" s="28"/>
      <c r="P210" s="53"/>
      <c r="Q210" s="53"/>
      <c r="R210" s="28"/>
      <c r="S210" s="53"/>
      <c r="T210" s="28"/>
      <c r="U210" s="28"/>
      <c r="V210" s="28"/>
      <c r="W210" s="28"/>
      <c r="X210" s="53"/>
      <c r="Y210" s="22"/>
      <c r="Z210" s="28"/>
      <c r="AA210" s="28"/>
      <c r="AB210" s="28"/>
      <c r="AC210" s="28"/>
      <c r="AD210" s="28"/>
      <c r="AE210" s="28"/>
      <c r="AF210" s="28"/>
      <c r="AG210" s="28"/>
    </row>
    <row r="211" spans="1:33" ht="15.75" customHeight="1">
      <c r="A211" s="28"/>
      <c r="B211" s="28"/>
      <c r="C211" s="28"/>
      <c r="D211" s="28"/>
      <c r="E211" s="28"/>
      <c r="F211" s="28"/>
      <c r="G211" s="28"/>
      <c r="H211" s="28"/>
      <c r="I211" s="22"/>
      <c r="J211" s="28"/>
      <c r="K211" s="28"/>
      <c r="L211" s="22"/>
      <c r="M211" s="22"/>
      <c r="N211" s="28"/>
      <c r="O211" s="28"/>
      <c r="P211" s="53"/>
      <c r="Q211" s="53"/>
      <c r="R211" s="28"/>
      <c r="S211" s="53"/>
      <c r="T211" s="28"/>
      <c r="U211" s="28"/>
      <c r="V211" s="28"/>
      <c r="W211" s="28"/>
      <c r="X211" s="53"/>
      <c r="Y211" s="22"/>
      <c r="Z211" s="28"/>
      <c r="AA211" s="28"/>
      <c r="AB211" s="28"/>
      <c r="AC211" s="28"/>
      <c r="AD211" s="28"/>
      <c r="AE211" s="28"/>
      <c r="AF211" s="28"/>
      <c r="AG211" s="28"/>
    </row>
    <row r="212" spans="1:33" ht="15.75" customHeight="1">
      <c r="A212" s="28"/>
      <c r="B212" s="28"/>
      <c r="C212" s="28"/>
      <c r="D212" s="28"/>
      <c r="E212" s="28"/>
      <c r="F212" s="28"/>
      <c r="G212" s="28"/>
      <c r="H212" s="28"/>
      <c r="I212" s="22"/>
      <c r="J212" s="28"/>
      <c r="K212" s="28"/>
      <c r="L212" s="22"/>
      <c r="M212" s="22"/>
      <c r="N212" s="28"/>
      <c r="O212" s="28"/>
      <c r="P212" s="53"/>
      <c r="Q212" s="53"/>
      <c r="R212" s="28"/>
      <c r="S212" s="53"/>
      <c r="T212" s="28"/>
      <c r="U212" s="28"/>
      <c r="V212" s="28"/>
      <c r="W212" s="28"/>
      <c r="X212" s="53"/>
      <c r="Y212" s="22"/>
      <c r="Z212" s="28"/>
      <c r="AA212" s="28"/>
      <c r="AB212" s="28"/>
      <c r="AC212" s="28"/>
      <c r="AD212" s="28"/>
      <c r="AE212" s="28"/>
      <c r="AF212" s="28"/>
      <c r="AG212" s="28"/>
    </row>
    <row r="213" spans="1:33" ht="15.75" customHeight="1">
      <c r="A213" s="28"/>
      <c r="B213" s="28"/>
      <c r="C213" s="28"/>
      <c r="D213" s="28"/>
      <c r="E213" s="28"/>
      <c r="F213" s="28"/>
      <c r="G213" s="28"/>
      <c r="H213" s="28"/>
      <c r="I213" s="22"/>
      <c r="J213" s="28"/>
      <c r="K213" s="28"/>
      <c r="L213" s="22"/>
      <c r="M213" s="22"/>
      <c r="N213" s="28"/>
      <c r="O213" s="28"/>
      <c r="P213" s="53"/>
      <c r="Q213" s="53"/>
      <c r="R213" s="28"/>
      <c r="S213" s="53"/>
      <c r="T213" s="28"/>
      <c r="U213" s="28"/>
      <c r="V213" s="28"/>
      <c r="W213" s="28"/>
      <c r="X213" s="53"/>
      <c r="Y213" s="22"/>
      <c r="Z213" s="28"/>
      <c r="AA213" s="28"/>
      <c r="AB213" s="28"/>
      <c r="AC213" s="28"/>
      <c r="AD213" s="28"/>
      <c r="AE213" s="28"/>
      <c r="AF213" s="28"/>
      <c r="AG213" s="28"/>
    </row>
    <row r="214" spans="1:33" ht="15.75" customHeight="1">
      <c r="A214" s="28"/>
      <c r="B214" s="28"/>
      <c r="C214" s="28"/>
      <c r="D214" s="28"/>
      <c r="E214" s="28"/>
      <c r="F214" s="28"/>
      <c r="G214" s="28"/>
      <c r="H214" s="28"/>
      <c r="I214" s="22"/>
      <c r="J214" s="28"/>
      <c r="K214" s="28"/>
      <c r="L214" s="22"/>
      <c r="M214" s="22"/>
      <c r="N214" s="28"/>
      <c r="O214" s="28"/>
      <c r="P214" s="53"/>
      <c r="Q214" s="53"/>
      <c r="R214" s="28"/>
      <c r="S214" s="53"/>
      <c r="T214" s="28"/>
      <c r="U214" s="28"/>
      <c r="V214" s="28"/>
      <c r="W214" s="28"/>
      <c r="X214" s="53"/>
      <c r="Y214" s="22"/>
      <c r="Z214" s="28"/>
      <c r="AA214" s="28"/>
      <c r="AB214" s="28"/>
      <c r="AC214" s="28"/>
      <c r="AD214" s="28"/>
      <c r="AE214" s="28"/>
      <c r="AF214" s="28"/>
      <c r="AG214" s="28"/>
    </row>
    <row r="215" spans="1:33" ht="15.75" customHeight="1">
      <c r="A215" s="28"/>
      <c r="B215" s="28"/>
      <c r="C215" s="28"/>
      <c r="D215" s="28"/>
      <c r="E215" s="28"/>
      <c r="F215" s="28"/>
      <c r="G215" s="28"/>
      <c r="H215" s="28"/>
      <c r="I215" s="22"/>
      <c r="J215" s="28"/>
      <c r="K215" s="28"/>
      <c r="L215" s="22"/>
      <c r="M215" s="22"/>
      <c r="N215" s="28"/>
      <c r="O215" s="28"/>
      <c r="P215" s="53"/>
      <c r="Q215" s="53"/>
      <c r="R215" s="28"/>
      <c r="S215" s="53"/>
      <c r="T215" s="28"/>
      <c r="U215" s="28"/>
      <c r="V215" s="28"/>
      <c r="W215" s="28"/>
      <c r="X215" s="53"/>
      <c r="Y215" s="22"/>
      <c r="Z215" s="28"/>
      <c r="AA215" s="28"/>
      <c r="AB215" s="28"/>
      <c r="AC215" s="28"/>
      <c r="AD215" s="28"/>
      <c r="AE215" s="28"/>
      <c r="AF215" s="28"/>
      <c r="AG215" s="28"/>
    </row>
    <row r="216" spans="1:33" ht="15.75" customHeight="1">
      <c r="A216" s="28"/>
      <c r="B216" s="28"/>
      <c r="C216" s="28"/>
      <c r="D216" s="28"/>
      <c r="E216" s="28"/>
      <c r="F216" s="28"/>
      <c r="G216" s="28"/>
      <c r="H216" s="28"/>
      <c r="I216" s="22"/>
      <c r="J216" s="28"/>
      <c r="K216" s="28"/>
      <c r="L216" s="22"/>
      <c r="M216" s="22"/>
      <c r="N216" s="28"/>
      <c r="O216" s="28"/>
      <c r="P216" s="53"/>
      <c r="Q216" s="53"/>
      <c r="R216" s="28"/>
      <c r="S216" s="53"/>
      <c r="T216" s="28"/>
      <c r="U216" s="28"/>
      <c r="V216" s="28"/>
      <c r="W216" s="28"/>
      <c r="X216" s="53"/>
      <c r="Y216" s="22"/>
      <c r="Z216" s="28"/>
      <c r="AA216" s="28"/>
      <c r="AB216" s="28"/>
      <c r="AC216" s="28"/>
      <c r="AD216" s="28"/>
      <c r="AE216" s="28"/>
      <c r="AF216" s="28"/>
      <c r="AG216" s="28"/>
    </row>
    <row r="217" spans="1:33" ht="15.75" customHeight="1">
      <c r="A217" s="28"/>
      <c r="B217" s="28"/>
      <c r="C217" s="28"/>
      <c r="D217" s="28"/>
      <c r="E217" s="28"/>
      <c r="F217" s="28"/>
      <c r="G217" s="28"/>
      <c r="H217" s="28"/>
      <c r="I217" s="22"/>
      <c r="J217" s="28"/>
      <c r="K217" s="28"/>
      <c r="L217" s="22"/>
      <c r="M217" s="22"/>
      <c r="N217" s="28"/>
      <c r="O217" s="28"/>
      <c r="P217" s="53"/>
      <c r="Q217" s="53"/>
      <c r="R217" s="28"/>
      <c r="S217" s="53"/>
      <c r="T217" s="28"/>
      <c r="U217" s="28"/>
      <c r="V217" s="28"/>
      <c r="W217" s="28"/>
      <c r="X217" s="53"/>
      <c r="Y217" s="22"/>
      <c r="Z217" s="28"/>
      <c r="AA217" s="28"/>
      <c r="AB217" s="28"/>
      <c r="AC217" s="28"/>
      <c r="AD217" s="28"/>
      <c r="AE217" s="28"/>
      <c r="AF217" s="28"/>
      <c r="AG217" s="28"/>
    </row>
    <row r="218" spans="1:33" ht="15.75" customHeight="1">
      <c r="A218" s="28"/>
      <c r="B218" s="28"/>
      <c r="C218" s="28"/>
      <c r="D218" s="28"/>
      <c r="E218" s="28"/>
      <c r="F218" s="28"/>
      <c r="G218" s="28"/>
      <c r="H218" s="28"/>
      <c r="I218" s="22"/>
      <c r="J218" s="28"/>
      <c r="K218" s="28"/>
      <c r="L218" s="22"/>
      <c r="M218" s="22"/>
      <c r="N218" s="28"/>
      <c r="O218" s="28"/>
      <c r="P218" s="53"/>
      <c r="Q218" s="53"/>
      <c r="R218" s="28"/>
      <c r="S218" s="53"/>
      <c r="T218" s="28"/>
      <c r="U218" s="28"/>
      <c r="V218" s="28"/>
      <c r="W218" s="28"/>
      <c r="X218" s="53"/>
      <c r="Y218" s="22"/>
      <c r="Z218" s="28"/>
      <c r="AA218" s="28"/>
      <c r="AB218" s="28"/>
      <c r="AC218" s="28"/>
      <c r="AD218" s="28"/>
      <c r="AE218" s="28"/>
      <c r="AF218" s="28"/>
      <c r="AG218" s="28"/>
    </row>
    <row r="219" spans="1:33" ht="15.75" customHeight="1">
      <c r="A219" s="28"/>
      <c r="B219" s="28"/>
      <c r="C219" s="28"/>
      <c r="D219" s="28"/>
      <c r="E219" s="28"/>
      <c r="F219" s="28"/>
      <c r="G219" s="28"/>
      <c r="H219" s="28"/>
      <c r="I219" s="22"/>
      <c r="J219" s="28"/>
      <c r="K219" s="28"/>
      <c r="L219" s="22"/>
      <c r="M219" s="22"/>
      <c r="N219" s="28"/>
      <c r="O219" s="28"/>
      <c r="P219" s="53"/>
      <c r="Q219" s="53"/>
      <c r="R219" s="28"/>
      <c r="S219" s="53"/>
      <c r="T219" s="28"/>
      <c r="U219" s="28"/>
      <c r="V219" s="28"/>
      <c r="W219" s="28"/>
      <c r="X219" s="53"/>
      <c r="Y219" s="22"/>
      <c r="Z219" s="28"/>
      <c r="AA219" s="28"/>
      <c r="AB219" s="28"/>
      <c r="AC219" s="28"/>
      <c r="AD219" s="28"/>
      <c r="AE219" s="28"/>
      <c r="AF219" s="28"/>
      <c r="AG219" s="28"/>
    </row>
    <row r="220" spans="1:33" ht="15.75" customHeight="1">
      <c r="A220" s="28"/>
      <c r="B220" s="28"/>
      <c r="C220" s="28"/>
      <c r="D220" s="28"/>
      <c r="E220" s="28"/>
      <c r="F220" s="28"/>
      <c r="G220" s="28"/>
      <c r="H220" s="28"/>
      <c r="I220" s="22"/>
      <c r="J220" s="28"/>
      <c r="K220" s="28"/>
      <c r="L220" s="22"/>
      <c r="M220" s="22"/>
      <c r="N220" s="28"/>
      <c r="O220" s="28"/>
      <c r="P220" s="53"/>
      <c r="Q220" s="53"/>
      <c r="R220" s="28"/>
      <c r="S220" s="53"/>
      <c r="T220" s="28"/>
      <c r="U220" s="28"/>
      <c r="V220" s="28"/>
      <c r="W220" s="28"/>
      <c r="X220" s="53"/>
      <c r="Y220" s="22"/>
      <c r="Z220" s="28"/>
      <c r="AA220" s="28"/>
      <c r="AB220" s="28"/>
      <c r="AC220" s="28"/>
      <c r="AD220" s="28"/>
      <c r="AE220" s="28"/>
      <c r="AF220" s="28"/>
      <c r="AG220" s="28"/>
    </row>
    <row r="221" spans="1:33" ht="15.75" customHeight="1">
      <c r="A221" s="28"/>
      <c r="B221" s="28"/>
      <c r="C221" s="28"/>
      <c r="D221" s="28"/>
      <c r="E221" s="28"/>
      <c r="F221" s="28"/>
      <c r="G221" s="28"/>
      <c r="H221" s="28"/>
      <c r="I221" s="22"/>
      <c r="J221" s="28"/>
      <c r="K221" s="28"/>
      <c r="L221" s="22"/>
      <c r="M221" s="22"/>
      <c r="N221" s="28"/>
      <c r="O221" s="28"/>
      <c r="P221" s="53"/>
      <c r="Q221" s="53"/>
      <c r="R221" s="28"/>
      <c r="S221" s="53"/>
      <c r="T221" s="28"/>
      <c r="U221" s="28"/>
      <c r="V221" s="28"/>
      <c r="W221" s="28"/>
      <c r="X221" s="53"/>
      <c r="Y221" s="22"/>
      <c r="Z221" s="28"/>
      <c r="AA221" s="28"/>
      <c r="AB221" s="28"/>
      <c r="AC221" s="28"/>
      <c r="AD221" s="28"/>
      <c r="AE221" s="28"/>
      <c r="AF221" s="28"/>
      <c r="AG221" s="28"/>
    </row>
    <row r="222" spans="1:33" ht="15.75" customHeight="1">
      <c r="A222" s="28"/>
      <c r="B222" s="28"/>
      <c r="C222" s="28"/>
      <c r="D222" s="28"/>
      <c r="E222" s="28"/>
      <c r="F222" s="28"/>
      <c r="G222" s="28"/>
      <c r="H222" s="28"/>
      <c r="I222" s="22"/>
      <c r="J222" s="28"/>
      <c r="K222" s="28"/>
      <c r="L222" s="22"/>
      <c r="M222" s="22"/>
      <c r="N222" s="28"/>
      <c r="O222" s="28"/>
      <c r="P222" s="53"/>
      <c r="Q222" s="53"/>
      <c r="R222" s="28"/>
      <c r="S222" s="53"/>
      <c r="T222" s="28"/>
      <c r="U222" s="28"/>
      <c r="V222" s="28"/>
      <c r="W222" s="28"/>
      <c r="X222" s="53"/>
      <c r="Y222" s="22"/>
      <c r="Z222" s="28"/>
      <c r="AA222" s="28"/>
      <c r="AB222" s="28"/>
      <c r="AC222" s="28"/>
      <c r="AD222" s="28"/>
      <c r="AE222" s="28"/>
      <c r="AF222" s="28"/>
      <c r="AG222" s="28"/>
    </row>
    <row r="223" spans="1:33" ht="15.75" customHeight="1">
      <c r="A223" s="28"/>
      <c r="B223" s="28"/>
      <c r="C223" s="28"/>
      <c r="D223" s="28"/>
      <c r="E223" s="28"/>
      <c r="F223" s="28"/>
      <c r="G223" s="28"/>
      <c r="H223" s="28"/>
      <c r="I223" s="22"/>
      <c r="J223" s="28"/>
      <c r="K223" s="28"/>
      <c r="L223" s="22"/>
      <c r="M223" s="22"/>
      <c r="N223" s="28"/>
      <c r="O223" s="28"/>
      <c r="P223" s="53"/>
      <c r="Q223" s="53"/>
      <c r="R223" s="28"/>
      <c r="S223" s="53"/>
      <c r="T223" s="28"/>
      <c r="U223" s="28"/>
      <c r="V223" s="28"/>
      <c r="W223" s="28"/>
      <c r="X223" s="53"/>
      <c r="Y223" s="22"/>
      <c r="Z223" s="28"/>
      <c r="AA223" s="28"/>
      <c r="AB223" s="28"/>
      <c r="AC223" s="28"/>
      <c r="AD223" s="28"/>
      <c r="AE223" s="28"/>
      <c r="AF223" s="28"/>
      <c r="AG223" s="28"/>
    </row>
    <row r="224" spans="1:33" ht="15.75" customHeight="1">
      <c r="A224" s="28"/>
      <c r="B224" s="28"/>
      <c r="C224" s="28"/>
      <c r="D224" s="28"/>
      <c r="E224" s="28"/>
      <c r="F224" s="28"/>
      <c r="G224" s="28"/>
      <c r="H224" s="28"/>
      <c r="I224" s="22"/>
      <c r="J224" s="28"/>
      <c r="K224" s="28"/>
      <c r="L224" s="22"/>
      <c r="M224" s="22"/>
      <c r="N224" s="28"/>
      <c r="O224" s="28"/>
      <c r="P224" s="53"/>
      <c r="Q224" s="53"/>
      <c r="R224" s="28"/>
      <c r="S224" s="53"/>
      <c r="T224" s="28"/>
      <c r="U224" s="28"/>
      <c r="V224" s="28"/>
      <c r="W224" s="28"/>
      <c r="X224" s="53"/>
      <c r="Y224" s="22"/>
      <c r="Z224" s="28"/>
      <c r="AA224" s="28"/>
      <c r="AB224" s="28"/>
      <c r="AC224" s="28"/>
      <c r="AD224" s="28"/>
      <c r="AE224" s="28"/>
      <c r="AF224" s="28"/>
      <c r="AG224" s="28"/>
    </row>
    <row r="225" spans="1:33" ht="15.75" customHeight="1">
      <c r="A225" s="28"/>
      <c r="B225" s="28"/>
      <c r="C225" s="28"/>
      <c r="D225" s="28"/>
      <c r="E225" s="28"/>
      <c r="F225" s="28"/>
      <c r="G225" s="28"/>
      <c r="H225" s="28"/>
      <c r="I225" s="22"/>
      <c r="J225" s="28"/>
      <c r="K225" s="28"/>
      <c r="L225" s="22"/>
      <c r="M225" s="22"/>
      <c r="N225" s="28"/>
      <c r="O225" s="28"/>
      <c r="P225" s="53"/>
      <c r="Q225" s="53"/>
      <c r="R225" s="28"/>
      <c r="S225" s="53"/>
      <c r="T225" s="28"/>
      <c r="U225" s="28"/>
      <c r="V225" s="28"/>
      <c r="W225" s="28"/>
      <c r="X225" s="53"/>
      <c r="Y225" s="22"/>
      <c r="Z225" s="28"/>
      <c r="AA225" s="28"/>
      <c r="AB225" s="28"/>
      <c r="AC225" s="28"/>
      <c r="AD225" s="28"/>
      <c r="AE225" s="28"/>
      <c r="AF225" s="28"/>
      <c r="AG225" s="28"/>
    </row>
    <row r="226" spans="1:33" ht="15.75" customHeight="1">
      <c r="A226" s="28"/>
      <c r="B226" s="28"/>
      <c r="C226" s="28"/>
      <c r="D226" s="28"/>
      <c r="E226" s="28"/>
      <c r="F226" s="28"/>
      <c r="G226" s="28"/>
      <c r="H226" s="28"/>
      <c r="I226" s="22"/>
      <c r="J226" s="28"/>
      <c r="K226" s="28"/>
      <c r="L226" s="22"/>
      <c r="M226" s="22"/>
      <c r="N226" s="28"/>
      <c r="O226" s="28"/>
      <c r="P226" s="53"/>
      <c r="Q226" s="53"/>
      <c r="R226" s="28"/>
      <c r="S226" s="53"/>
      <c r="T226" s="28"/>
      <c r="U226" s="28"/>
      <c r="V226" s="28"/>
      <c r="W226" s="28"/>
      <c r="X226" s="53"/>
      <c r="Y226" s="22"/>
      <c r="Z226" s="28"/>
      <c r="AA226" s="28"/>
      <c r="AB226" s="28"/>
      <c r="AC226" s="28"/>
      <c r="AD226" s="28"/>
      <c r="AE226" s="28"/>
      <c r="AF226" s="28"/>
      <c r="AG226" s="28"/>
    </row>
    <row r="227" spans="1:33" ht="15.75" customHeight="1">
      <c r="A227" s="28"/>
      <c r="B227" s="28"/>
      <c r="C227" s="28"/>
      <c r="D227" s="28"/>
      <c r="E227" s="28"/>
      <c r="F227" s="28"/>
      <c r="G227" s="28"/>
      <c r="H227" s="28"/>
      <c r="I227" s="22"/>
      <c r="J227" s="28"/>
      <c r="K227" s="28"/>
      <c r="L227" s="22"/>
      <c r="M227" s="22"/>
      <c r="N227" s="28"/>
      <c r="O227" s="28"/>
      <c r="P227" s="53"/>
      <c r="Q227" s="53"/>
      <c r="R227" s="28"/>
      <c r="S227" s="53"/>
      <c r="T227" s="28"/>
      <c r="U227" s="28"/>
      <c r="V227" s="28"/>
      <c r="W227" s="28"/>
      <c r="X227" s="53"/>
      <c r="Y227" s="22"/>
      <c r="Z227" s="28"/>
      <c r="AA227" s="28"/>
      <c r="AB227" s="28"/>
      <c r="AC227" s="28"/>
      <c r="AD227" s="28"/>
      <c r="AE227" s="28"/>
      <c r="AF227" s="28"/>
      <c r="AG227" s="28"/>
    </row>
    <row r="228" spans="1:33" ht="15.75" customHeight="1">
      <c r="A228" s="28"/>
      <c r="B228" s="28"/>
      <c r="C228" s="28"/>
      <c r="D228" s="28"/>
      <c r="E228" s="28"/>
      <c r="F228" s="28"/>
      <c r="G228" s="28"/>
      <c r="H228" s="28"/>
      <c r="I228" s="22"/>
      <c r="J228" s="28"/>
      <c r="K228" s="28"/>
      <c r="L228" s="22"/>
      <c r="M228" s="22"/>
      <c r="N228" s="28"/>
      <c r="O228" s="28"/>
      <c r="P228" s="53"/>
      <c r="Q228" s="53"/>
      <c r="R228" s="28"/>
      <c r="S228" s="53"/>
      <c r="T228" s="28"/>
      <c r="U228" s="28"/>
      <c r="V228" s="28"/>
      <c r="W228" s="28"/>
      <c r="X228" s="53"/>
      <c r="Y228" s="22"/>
      <c r="Z228" s="28"/>
      <c r="AA228" s="28"/>
      <c r="AB228" s="28"/>
      <c r="AC228" s="28"/>
      <c r="AD228" s="28"/>
      <c r="AE228" s="28"/>
      <c r="AF228" s="28"/>
      <c r="AG228" s="28"/>
    </row>
    <row r="229" spans="1:33" ht="15.75" customHeight="1">
      <c r="A229" s="28"/>
      <c r="B229" s="28"/>
      <c r="C229" s="28"/>
      <c r="D229" s="28"/>
      <c r="E229" s="28"/>
      <c r="F229" s="28"/>
      <c r="G229" s="28"/>
      <c r="H229" s="28"/>
      <c r="I229" s="22"/>
      <c r="J229" s="28"/>
      <c r="K229" s="28"/>
      <c r="L229" s="22"/>
      <c r="M229" s="22"/>
      <c r="N229" s="28"/>
      <c r="O229" s="28"/>
      <c r="P229" s="53"/>
      <c r="Q229" s="53"/>
      <c r="R229" s="28"/>
      <c r="S229" s="53"/>
      <c r="T229" s="28"/>
      <c r="U229" s="28"/>
      <c r="V229" s="28"/>
      <c r="W229" s="28"/>
      <c r="X229" s="53"/>
      <c r="Y229" s="22"/>
      <c r="Z229" s="28"/>
      <c r="AA229" s="28"/>
      <c r="AB229" s="28"/>
      <c r="AC229" s="28"/>
      <c r="AD229" s="28"/>
      <c r="AE229" s="28"/>
      <c r="AF229" s="28"/>
      <c r="AG229" s="28"/>
    </row>
    <row r="230" spans="1:33" ht="15.75" customHeight="1">
      <c r="A230" s="28"/>
      <c r="B230" s="28"/>
      <c r="C230" s="28"/>
      <c r="D230" s="28"/>
      <c r="E230" s="28"/>
      <c r="F230" s="28"/>
      <c r="G230" s="28"/>
      <c r="H230" s="28"/>
      <c r="I230" s="22"/>
      <c r="J230" s="28"/>
      <c r="K230" s="28"/>
      <c r="L230" s="22"/>
      <c r="M230" s="22"/>
      <c r="N230" s="28"/>
      <c r="O230" s="28"/>
      <c r="P230" s="53"/>
      <c r="Q230" s="53"/>
      <c r="R230" s="28"/>
      <c r="S230" s="53"/>
      <c r="T230" s="28"/>
      <c r="U230" s="28"/>
      <c r="V230" s="28"/>
      <c r="W230" s="28"/>
      <c r="X230" s="53"/>
      <c r="Y230" s="22"/>
      <c r="Z230" s="28"/>
      <c r="AA230" s="28"/>
      <c r="AB230" s="28"/>
      <c r="AC230" s="28"/>
      <c r="AD230" s="28"/>
      <c r="AE230" s="28"/>
      <c r="AF230" s="28"/>
      <c r="AG230" s="28"/>
    </row>
    <row r="231" spans="1:33" ht="15.75" customHeight="1">
      <c r="A231" s="28"/>
      <c r="B231" s="28"/>
      <c r="C231" s="28"/>
      <c r="D231" s="28"/>
      <c r="E231" s="28"/>
      <c r="F231" s="28"/>
      <c r="G231" s="28"/>
      <c r="H231" s="28"/>
      <c r="I231" s="22"/>
      <c r="J231" s="28"/>
      <c r="K231" s="28"/>
      <c r="L231" s="22"/>
      <c r="M231" s="22"/>
      <c r="N231" s="28"/>
      <c r="O231" s="28"/>
      <c r="P231" s="53"/>
      <c r="Q231" s="53"/>
      <c r="R231" s="28"/>
      <c r="S231" s="53"/>
      <c r="T231" s="28"/>
      <c r="U231" s="28"/>
      <c r="V231" s="28"/>
      <c r="W231" s="28"/>
      <c r="X231" s="53"/>
      <c r="Y231" s="22"/>
      <c r="Z231" s="28"/>
      <c r="AA231" s="28"/>
      <c r="AB231" s="28"/>
      <c r="AC231" s="28"/>
      <c r="AD231" s="28"/>
      <c r="AE231" s="28"/>
      <c r="AF231" s="28"/>
      <c r="AG231" s="28"/>
    </row>
    <row r="232" spans="1:33" ht="15.75" customHeight="1">
      <c r="A232" s="28"/>
      <c r="B232" s="28"/>
      <c r="C232" s="28"/>
      <c r="D232" s="28"/>
      <c r="E232" s="28"/>
      <c r="F232" s="28"/>
      <c r="G232" s="28"/>
      <c r="H232" s="28"/>
      <c r="I232" s="22"/>
      <c r="J232" s="28"/>
      <c r="K232" s="28"/>
      <c r="L232" s="22"/>
      <c r="M232" s="22"/>
      <c r="N232" s="28"/>
      <c r="O232" s="28"/>
      <c r="P232" s="53"/>
      <c r="Q232" s="53"/>
      <c r="R232" s="28"/>
      <c r="S232" s="53"/>
      <c r="T232" s="28"/>
      <c r="U232" s="28"/>
      <c r="V232" s="28"/>
      <c r="W232" s="28"/>
      <c r="X232" s="53"/>
      <c r="Y232" s="22"/>
      <c r="Z232" s="28"/>
      <c r="AA232" s="28"/>
      <c r="AB232" s="28"/>
      <c r="AC232" s="28"/>
      <c r="AD232" s="28"/>
      <c r="AE232" s="28"/>
      <c r="AF232" s="28"/>
      <c r="AG232" s="28"/>
    </row>
    <row r="233" spans="1:33" ht="15.75" customHeight="1">
      <c r="A233" s="28"/>
      <c r="B233" s="28"/>
      <c r="C233" s="28"/>
      <c r="D233" s="28"/>
      <c r="E233" s="28"/>
      <c r="F233" s="28"/>
      <c r="G233" s="28"/>
      <c r="H233" s="28"/>
      <c r="I233" s="22"/>
      <c r="J233" s="28"/>
      <c r="K233" s="28"/>
      <c r="L233" s="22"/>
      <c r="M233" s="22"/>
      <c r="N233" s="28"/>
      <c r="O233" s="28"/>
      <c r="P233" s="53"/>
      <c r="Q233" s="53"/>
      <c r="R233" s="28"/>
      <c r="S233" s="53"/>
      <c r="T233" s="28"/>
      <c r="U233" s="28"/>
      <c r="V233" s="28"/>
      <c r="W233" s="28"/>
      <c r="X233" s="53"/>
      <c r="Y233" s="22"/>
      <c r="Z233" s="28"/>
      <c r="AA233" s="28"/>
      <c r="AB233" s="28"/>
      <c r="AC233" s="28"/>
      <c r="AD233" s="28"/>
      <c r="AE233" s="28"/>
      <c r="AF233" s="28"/>
      <c r="AG233" s="28"/>
    </row>
    <row r="234" spans="1:33" ht="15.75" customHeight="1">
      <c r="A234" s="28"/>
      <c r="B234" s="28"/>
      <c r="C234" s="28"/>
      <c r="D234" s="28"/>
      <c r="E234" s="28"/>
      <c r="F234" s="28"/>
      <c r="G234" s="28"/>
      <c r="H234" s="28"/>
      <c r="I234" s="22"/>
      <c r="J234" s="28"/>
      <c r="K234" s="28"/>
      <c r="L234" s="22"/>
      <c r="M234" s="22"/>
      <c r="N234" s="28"/>
      <c r="O234" s="28"/>
      <c r="P234" s="53"/>
      <c r="Q234" s="53"/>
      <c r="R234" s="28"/>
      <c r="S234" s="53"/>
      <c r="T234" s="28"/>
      <c r="U234" s="28"/>
      <c r="V234" s="28"/>
      <c r="W234" s="28"/>
      <c r="X234" s="53"/>
      <c r="Y234" s="22"/>
      <c r="Z234" s="28"/>
      <c r="AA234" s="28"/>
      <c r="AB234" s="28"/>
      <c r="AC234" s="28"/>
      <c r="AD234" s="28"/>
      <c r="AE234" s="28"/>
      <c r="AF234" s="28"/>
      <c r="AG234" s="28"/>
    </row>
    <row r="235" spans="1:33" ht="15.75" customHeight="1">
      <c r="A235" s="28"/>
      <c r="B235" s="28"/>
      <c r="C235" s="28"/>
      <c r="D235" s="28"/>
      <c r="E235" s="28"/>
      <c r="F235" s="28"/>
      <c r="G235" s="28"/>
      <c r="H235" s="28"/>
      <c r="I235" s="22"/>
      <c r="J235" s="28"/>
      <c r="K235" s="28"/>
      <c r="L235" s="22"/>
      <c r="M235" s="22"/>
      <c r="N235" s="28"/>
      <c r="O235" s="28"/>
      <c r="P235" s="53"/>
      <c r="Q235" s="53"/>
      <c r="R235" s="28"/>
      <c r="S235" s="53"/>
      <c r="T235" s="28"/>
      <c r="U235" s="28"/>
      <c r="V235" s="28"/>
      <c r="W235" s="28"/>
      <c r="X235" s="53"/>
      <c r="Y235" s="22"/>
      <c r="Z235" s="28"/>
      <c r="AA235" s="28"/>
      <c r="AB235" s="28"/>
      <c r="AC235" s="28"/>
      <c r="AD235" s="28"/>
      <c r="AE235" s="28"/>
      <c r="AF235" s="28"/>
      <c r="AG235" s="28"/>
    </row>
    <row r="236" spans="1:33" ht="15.75" customHeight="1">
      <c r="A236" s="28"/>
      <c r="B236" s="28"/>
      <c r="C236" s="28"/>
      <c r="D236" s="28"/>
      <c r="E236" s="28"/>
      <c r="F236" s="28"/>
      <c r="G236" s="28"/>
      <c r="H236" s="28"/>
      <c r="I236" s="22"/>
      <c r="J236" s="28"/>
      <c r="K236" s="28"/>
      <c r="L236" s="22"/>
      <c r="M236" s="22"/>
      <c r="N236" s="28"/>
      <c r="O236" s="28"/>
      <c r="P236" s="53"/>
      <c r="Q236" s="53"/>
      <c r="R236" s="28"/>
      <c r="S236" s="53"/>
      <c r="T236" s="28"/>
      <c r="U236" s="28"/>
      <c r="V236" s="28"/>
      <c r="W236" s="28"/>
      <c r="X236" s="53"/>
      <c r="Y236" s="22"/>
      <c r="Z236" s="28"/>
      <c r="AA236" s="28"/>
      <c r="AB236" s="28"/>
      <c r="AC236" s="28"/>
      <c r="AD236" s="28"/>
      <c r="AE236" s="28"/>
      <c r="AF236" s="28"/>
      <c r="AG236" s="28"/>
    </row>
    <row r="237" spans="1:33" ht="15.75" customHeight="1">
      <c r="A237" s="28"/>
      <c r="B237" s="28"/>
      <c r="C237" s="28"/>
      <c r="D237" s="28"/>
      <c r="E237" s="28"/>
      <c r="F237" s="28"/>
      <c r="G237" s="28"/>
      <c r="H237" s="28"/>
      <c r="I237" s="22"/>
      <c r="J237" s="28"/>
      <c r="K237" s="28"/>
      <c r="L237" s="22"/>
      <c r="M237" s="22"/>
      <c r="N237" s="28"/>
      <c r="O237" s="28"/>
      <c r="P237" s="53"/>
      <c r="Q237" s="53"/>
      <c r="R237" s="28"/>
      <c r="S237" s="53"/>
      <c r="T237" s="28"/>
      <c r="U237" s="28"/>
      <c r="V237" s="28"/>
      <c r="W237" s="28"/>
      <c r="X237" s="53"/>
      <c r="Y237" s="22"/>
      <c r="Z237" s="28"/>
      <c r="AA237" s="28"/>
      <c r="AB237" s="28"/>
      <c r="AC237" s="28"/>
      <c r="AD237" s="28"/>
      <c r="AE237" s="28"/>
      <c r="AF237" s="28"/>
      <c r="AG237" s="28"/>
    </row>
    <row r="238" spans="1:33" ht="15.75" customHeight="1">
      <c r="A238" s="28"/>
      <c r="B238" s="28"/>
      <c r="C238" s="28"/>
      <c r="D238" s="28"/>
      <c r="E238" s="28"/>
      <c r="F238" s="28"/>
      <c r="G238" s="28"/>
      <c r="H238" s="28"/>
      <c r="I238" s="22"/>
      <c r="J238" s="28"/>
      <c r="K238" s="28"/>
      <c r="L238" s="22"/>
      <c r="M238" s="22"/>
      <c r="N238" s="28"/>
      <c r="O238" s="28"/>
      <c r="P238" s="53"/>
      <c r="Q238" s="53"/>
      <c r="R238" s="28"/>
      <c r="S238" s="53"/>
      <c r="T238" s="28"/>
      <c r="U238" s="28"/>
      <c r="V238" s="28"/>
      <c r="W238" s="28"/>
      <c r="X238" s="53"/>
      <c r="Y238" s="22"/>
      <c r="Z238" s="28"/>
      <c r="AA238" s="28"/>
      <c r="AB238" s="28"/>
      <c r="AC238" s="28"/>
      <c r="AD238" s="28"/>
      <c r="AE238" s="28"/>
      <c r="AF238" s="28"/>
      <c r="AG238" s="28"/>
    </row>
    <row r="239" spans="1:33" ht="15.75" customHeight="1">
      <c r="A239" s="28"/>
      <c r="B239" s="28"/>
      <c r="C239" s="28"/>
      <c r="D239" s="28"/>
      <c r="E239" s="28"/>
      <c r="F239" s="28"/>
      <c r="G239" s="28"/>
      <c r="H239" s="28"/>
      <c r="I239" s="22"/>
      <c r="J239" s="28"/>
      <c r="K239" s="28"/>
      <c r="L239" s="22"/>
      <c r="M239" s="22"/>
      <c r="N239" s="28"/>
      <c r="O239" s="28"/>
      <c r="P239" s="53"/>
      <c r="Q239" s="53"/>
      <c r="R239" s="28"/>
      <c r="S239" s="53"/>
      <c r="T239" s="28"/>
      <c r="U239" s="28"/>
      <c r="V239" s="28"/>
      <c r="W239" s="28"/>
      <c r="X239" s="53"/>
      <c r="Y239" s="22"/>
      <c r="Z239" s="28"/>
      <c r="AA239" s="28"/>
      <c r="AB239" s="28"/>
      <c r="AC239" s="28"/>
      <c r="AD239" s="28"/>
      <c r="AE239" s="28"/>
      <c r="AF239" s="28"/>
      <c r="AG239" s="28"/>
    </row>
    <row r="240" spans="1:33" ht="15.75" customHeight="1">
      <c r="A240" s="28"/>
      <c r="B240" s="28"/>
      <c r="C240" s="28"/>
      <c r="D240" s="28"/>
      <c r="E240" s="28"/>
      <c r="F240" s="28"/>
      <c r="G240" s="28"/>
      <c r="H240" s="28"/>
      <c r="I240" s="22"/>
      <c r="J240" s="28"/>
      <c r="K240" s="28"/>
      <c r="L240" s="22"/>
      <c r="M240" s="22"/>
      <c r="N240" s="28"/>
      <c r="O240" s="28"/>
      <c r="P240" s="53"/>
      <c r="Q240" s="53"/>
      <c r="R240" s="28"/>
      <c r="S240" s="53"/>
      <c r="T240" s="28"/>
      <c r="U240" s="28"/>
      <c r="V240" s="28"/>
      <c r="W240" s="28"/>
      <c r="X240" s="53"/>
      <c r="Y240" s="22"/>
      <c r="Z240" s="28"/>
      <c r="AA240" s="28"/>
      <c r="AB240" s="28"/>
      <c r="AC240" s="28"/>
      <c r="AD240" s="28"/>
      <c r="AE240" s="28"/>
      <c r="AF240" s="28"/>
      <c r="AG240" s="28"/>
    </row>
    <row r="241" spans="1:33" ht="15.75" customHeight="1">
      <c r="A241" s="28"/>
      <c r="B241" s="28"/>
      <c r="C241" s="28"/>
      <c r="D241" s="28"/>
      <c r="E241" s="28"/>
      <c r="F241" s="28"/>
      <c r="G241" s="28"/>
      <c r="H241" s="28"/>
      <c r="I241" s="22"/>
      <c r="J241" s="28"/>
      <c r="K241" s="28"/>
      <c r="L241" s="22"/>
      <c r="M241" s="22"/>
      <c r="N241" s="28"/>
      <c r="O241" s="28"/>
      <c r="P241" s="53"/>
      <c r="Q241" s="53"/>
      <c r="R241" s="28"/>
      <c r="S241" s="53"/>
      <c r="T241" s="28"/>
      <c r="U241" s="28"/>
      <c r="V241" s="28"/>
      <c r="W241" s="28"/>
      <c r="X241" s="53"/>
      <c r="Y241" s="22"/>
      <c r="Z241" s="28"/>
      <c r="AA241" s="28"/>
      <c r="AB241" s="28"/>
      <c r="AC241" s="28"/>
      <c r="AD241" s="28"/>
      <c r="AE241" s="28"/>
      <c r="AF241" s="28"/>
      <c r="AG241" s="28"/>
    </row>
    <row r="242" spans="1:33" ht="15.75" customHeight="1">
      <c r="A242" s="28"/>
      <c r="B242" s="28"/>
      <c r="C242" s="28"/>
      <c r="D242" s="28"/>
      <c r="E242" s="28"/>
      <c r="F242" s="28"/>
      <c r="G242" s="28"/>
      <c r="H242" s="28"/>
      <c r="I242" s="22"/>
      <c r="J242" s="28"/>
      <c r="K242" s="28"/>
      <c r="L242" s="22"/>
      <c r="M242" s="22"/>
      <c r="N242" s="28"/>
      <c r="O242" s="28"/>
      <c r="P242" s="53"/>
      <c r="Q242" s="53"/>
      <c r="R242" s="28"/>
      <c r="S242" s="53"/>
      <c r="T242" s="28"/>
      <c r="U242" s="28"/>
      <c r="V242" s="28"/>
      <c r="W242" s="28"/>
      <c r="X242" s="53"/>
      <c r="Y242" s="22"/>
      <c r="Z242" s="28"/>
      <c r="AA242" s="28"/>
      <c r="AB242" s="28"/>
      <c r="AC242" s="28"/>
      <c r="AD242" s="28"/>
      <c r="AE242" s="28"/>
      <c r="AF242" s="28"/>
      <c r="AG242" s="28"/>
    </row>
    <row r="243" spans="1:33" ht="15.75" customHeight="1">
      <c r="A243" s="28"/>
      <c r="B243" s="28"/>
      <c r="C243" s="28"/>
      <c r="D243" s="28"/>
      <c r="E243" s="28"/>
      <c r="F243" s="28"/>
      <c r="G243" s="28"/>
      <c r="H243" s="28"/>
      <c r="I243" s="22"/>
      <c r="J243" s="28"/>
      <c r="K243" s="28"/>
      <c r="L243" s="22"/>
      <c r="M243" s="22"/>
      <c r="N243" s="28"/>
      <c r="O243" s="28"/>
      <c r="P243" s="53"/>
      <c r="Q243" s="53"/>
      <c r="R243" s="28"/>
      <c r="S243" s="53"/>
      <c r="T243" s="28"/>
      <c r="U243" s="28"/>
      <c r="V243" s="28"/>
      <c r="W243" s="28"/>
      <c r="X243" s="53"/>
      <c r="Y243" s="22"/>
      <c r="Z243" s="28"/>
      <c r="AA243" s="28"/>
      <c r="AB243" s="28"/>
      <c r="AC243" s="28"/>
      <c r="AD243" s="28"/>
      <c r="AE243" s="28"/>
      <c r="AF243" s="28"/>
      <c r="AG243" s="28"/>
    </row>
    <row r="244" spans="1:33" ht="15.75" customHeight="1">
      <c r="A244" s="28"/>
      <c r="B244" s="28"/>
      <c r="C244" s="28"/>
      <c r="D244" s="28"/>
      <c r="E244" s="28"/>
      <c r="F244" s="28"/>
      <c r="G244" s="28"/>
      <c r="H244" s="28"/>
      <c r="I244" s="22"/>
      <c r="J244" s="28"/>
      <c r="K244" s="28"/>
      <c r="L244" s="22"/>
      <c r="M244" s="22"/>
      <c r="N244" s="28"/>
      <c r="O244" s="28"/>
      <c r="P244" s="53"/>
      <c r="Q244" s="53"/>
      <c r="R244" s="28"/>
      <c r="S244" s="53"/>
      <c r="T244" s="28"/>
      <c r="U244" s="28"/>
      <c r="V244" s="28"/>
      <c r="W244" s="28"/>
      <c r="X244" s="53"/>
      <c r="Y244" s="22"/>
      <c r="Z244" s="28"/>
      <c r="AA244" s="28"/>
      <c r="AB244" s="28"/>
      <c r="AC244" s="28"/>
      <c r="AD244" s="28"/>
      <c r="AE244" s="28"/>
      <c r="AF244" s="28"/>
      <c r="AG244" s="28"/>
    </row>
    <row r="245" spans="1:33" ht="15.75" customHeight="1">
      <c r="A245" s="28"/>
      <c r="B245" s="28"/>
      <c r="C245" s="28"/>
      <c r="D245" s="28"/>
      <c r="E245" s="28"/>
      <c r="F245" s="28"/>
      <c r="G245" s="28"/>
      <c r="H245" s="28"/>
      <c r="I245" s="22"/>
      <c r="J245" s="28"/>
      <c r="K245" s="28"/>
      <c r="L245" s="22"/>
      <c r="M245" s="22"/>
      <c r="N245" s="28"/>
      <c r="O245" s="28"/>
      <c r="P245" s="53"/>
      <c r="Q245" s="53"/>
      <c r="R245" s="28"/>
      <c r="S245" s="53"/>
      <c r="T245" s="28"/>
      <c r="U245" s="28"/>
      <c r="V245" s="28"/>
      <c r="W245" s="28"/>
      <c r="X245" s="53"/>
      <c r="Y245" s="22"/>
      <c r="Z245" s="28"/>
      <c r="AA245" s="28"/>
      <c r="AB245" s="28"/>
      <c r="AC245" s="28"/>
      <c r="AD245" s="28"/>
      <c r="AE245" s="28"/>
      <c r="AF245" s="28"/>
      <c r="AG245" s="28"/>
    </row>
    <row r="246" spans="1:33" ht="15.75" customHeight="1">
      <c r="A246" s="28"/>
      <c r="B246" s="28"/>
      <c r="C246" s="28"/>
      <c r="D246" s="28"/>
      <c r="E246" s="28"/>
      <c r="F246" s="28"/>
      <c r="G246" s="28"/>
      <c r="H246" s="28"/>
      <c r="I246" s="22"/>
      <c r="J246" s="28"/>
      <c r="K246" s="28"/>
      <c r="L246" s="22"/>
      <c r="M246" s="22"/>
      <c r="N246" s="28"/>
      <c r="O246" s="28"/>
      <c r="P246" s="53"/>
      <c r="Q246" s="53"/>
      <c r="R246" s="28"/>
      <c r="S246" s="53"/>
      <c r="T246" s="28"/>
      <c r="U246" s="28"/>
      <c r="V246" s="28"/>
      <c r="W246" s="28"/>
      <c r="X246" s="53"/>
      <c r="Y246" s="22"/>
      <c r="Z246" s="28"/>
      <c r="AA246" s="28"/>
      <c r="AB246" s="28"/>
      <c r="AC246" s="28"/>
      <c r="AD246" s="28"/>
      <c r="AE246" s="28"/>
      <c r="AF246" s="28"/>
      <c r="AG246" s="28"/>
    </row>
    <row r="247" spans="1:33" ht="15.75" customHeight="1">
      <c r="A247" s="28"/>
      <c r="B247" s="28"/>
      <c r="C247" s="28"/>
      <c r="D247" s="28"/>
      <c r="E247" s="28"/>
      <c r="F247" s="28"/>
      <c r="G247" s="28"/>
      <c r="H247" s="28"/>
      <c r="I247" s="22"/>
      <c r="J247" s="28"/>
      <c r="K247" s="28"/>
      <c r="L247" s="22"/>
      <c r="M247" s="22"/>
      <c r="N247" s="28"/>
      <c r="O247" s="28"/>
      <c r="P247" s="53"/>
      <c r="Q247" s="53"/>
      <c r="R247" s="28"/>
      <c r="S247" s="53"/>
      <c r="T247" s="28"/>
      <c r="U247" s="28"/>
      <c r="V247" s="28"/>
      <c r="W247" s="28"/>
      <c r="X247" s="53"/>
      <c r="Y247" s="22"/>
      <c r="Z247" s="28"/>
      <c r="AA247" s="28"/>
      <c r="AB247" s="28"/>
      <c r="AC247" s="28"/>
      <c r="AD247" s="28"/>
      <c r="AE247" s="28"/>
      <c r="AF247" s="28"/>
      <c r="AG247" s="28"/>
    </row>
    <row r="248" spans="1:33" ht="15.75" customHeight="1">
      <c r="A248" s="28"/>
      <c r="B248" s="28"/>
      <c r="C248" s="28"/>
      <c r="D248" s="28"/>
      <c r="E248" s="28"/>
      <c r="F248" s="28"/>
      <c r="G248" s="28"/>
      <c r="H248" s="28"/>
      <c r="I248" s="22"/>
      <c r="J248" s="28"/>
      <c r="K248" s="28"/>
      <c r="L248" s="22"/>
      <c r="M248" s="22"/>
      <c r="N248" s="28"/>
      <c r="O248" s="28"/>
      <c r="P248" s="53"/>
      <c r="Q248" s="53"/>
      <c r="R248" s="28"/>
      <c r="S248" s="53"/>
      <c r="T248" s="28"/>
      <c r="U248" s="28"/>
      <c r="V248" s="28"/>
      <c r="W248" s="28"/>
      <c r="X248" s="53"/>
      <c r="Y248" s="22"/>
      <c r="Z248" s="28"/>
      <c r="AA248" s="28"/>
      <c r="AB248" s="28"/>
      <c r="AC248" s="28"/>
      <c r="AD248" s="28"/>
      <c r="AE248" s="28"/>
      <c r="AF248" s="28"/>
      <c r="AG248" s="28"/>
    </row>
    <row r="249" spans="1:33" ht="15.75" customHeight="1">
      <c r="A249" s="28"/>
      <c r="B249" s="28"/>
      <c r="C249" s="28"/>
      <c r="D249" s="28"/>
      <c r="E249" s="28"/>
      <c r="F249" s="28"/>
      <c r="G249" s="28"/>
      <c r="H249" s="28"/>
      <c r="I249" s="22"/>
      <c r="J249" s="28"/>
      <c r="K249" s="28"/>
      <c r="L249" s="22"/>
      <c r="M249" s="22"/>
      <c r="N249" s="28"/>
      <c r="O249" s="28"/>
      <c r="P249" s="53"/>
      <c r="Q249" s="53"/>
      <c r="R249" s="28"/>
      <c r="S249" s="53"/>
      <c r="T249" s="28"/>
      <c r="U249" s="28"/>
      <c r="V249" s="28"/>
      <c r="W249" s="28"/>
      <c r="X249" s="53"/>
      <c r="Y249" s="22"/>
      <c r="Z249" s="28"/>
      <c r="AA249" s="28"/>
      <c r="AB249" s="28"/>
      <c r="AC249" s="28"/>
      <c r="AD249" s="28"/>
      <c r="AE249" s="28"/>
      <c r="AF249" s="28"/>
      <c r="AG249" s="28"/>
    </row>
    <row r="250" spans="1:33" ht="15.75" customHeight="1">
      <c r="A250" s="28"/>
      <c r="B250" s="28"/>
      <c r="C250" s="28"/>
      <c r="D250" s="28"/>
      <c r="E250" s="28"/>
      <c r="F250" s="28"/>
      <c r="G250" s="28"/>
      <c r="H250" s="28"/>
      <c r="I250" s="22"/>
      <c r="J250" s="28"/>
      <c r="K250" s="28"/>
      <c r="L250" s="22"/>
      <c r="M250" s="22"/>
      <c r="N250" s="28"/>
      <c r="O250" s="28"/>
      <c r="P250" s="53"/>
      <c r="Q250" s="53"/>
      <c r="R250" s="28"/>
      <c r="S250" s="53"/>
      <c r="T250" s="28"/>
      <c r="U250" s="28"/>
      <c r="V250" s="28"/>
      <c r="W250" s="28"/>
      <c r="X250" s="53"/>
      <c r="Y250" s="22"/>
      <c r="Z250" s="28"/>
      <c r="AA250" s="28"/>
      <c r="AB250" s="28"/>
      <c r="AC250" s="28"/>
      <c r="AD250" s="28"/>
      <c r="AE250" s="28"/>
      <c r="AF250" s="28"/>
      <c r="AG250" s="28"/>
    </row>
    <row r="251" spans="1:33" ht="15.75" customHeight="1">
      <c r="A251" s="28"/>
      <c r="B251" s="28"/>
      <c r="C251" s="28"/>
      <c r="D251" s="28"/>
      <c r="E251" s="28"/>
      <c r="F251" s="28"/>
      <c r="G251" s="28"/>
      <c r="H251" s="28"/>
      <c r="I251" s="22"/>
      <c r="J251" s="28"/>
      <c r="K251" s="28"/>
      <c r="L251" s="22"/>
      <c r="M251" s="22"/>
      <c r="N251" s="28"/>
      <c r="O251" s="28"/>
      <c r="P251" s="53"/>
      <c r="Q251" s="53"/>
      <c r="R251" s="28"/>
      <c r="S251" s="53"/>
      <c r="T251" s="28"/>
      <c r="U251" s="28"/>
      <c r="V251" s="28"/>
      <c r="W251" s="28"/>
      <c r="X251" s="53"/>
      <c r="Y251" s="22"/>
      <c r="Z251" s="28"/>
      <c r="AA251" s="28"/>
      <c r="AB251" s="28"/>
      <c r="AC251" s="28"/>
      <c r="AD251" s="28"/>
      <c r="AE251" s="28"/>
      <c r="AF251" s="28"/>
      <c r="AG251" s="28"/>
    </row>
    <row r="252" spans="1:33" ht="15.75" customHeight="1">
      <c r="A252" s="28"/>
      <c r="B252" s="28"/>
      <c r="C252" s="28"/>
      <c r="D252" s="28"/>
      <c r="E252" s="28"/>
      <c r="F252" s="28"/>
      <c r="G252" s="28"/>
      <c r="H252" s="28"/>
      <c r="I252" s="22"/>
      <c r="J252" s="28"/>
      <c r="K252" s="28"/>
      <c r="L252" s="22"/>
      <c r="M252" s="22"/>
      <c r="N252" s="28"/>
      <c r="O252" s="28"/>
      <c r="P252" s="53"/>
      <c r="Q252" s="53"/>
      <c r="R252" s="28"/>
      <c r="S252" s="53"/>
      <c r="T252" s="28"/>
      <c r="U252" s="28"/>
      <c r="V252" s="28"/>
      <c r="W252" s="28"/>
      <c r="X252" s="53"/>
      <c r="Y252" s="22"/>
      <c r="Z252" s="28"/>
      <c r="AA252" s="28"/>
      <c r="AB252" s="28"/>
      <c r="AC252" s="28"/>
      <c r="AD252" s="28"/>
      <c r="AE252" s="28"/>
      <c r="AF252" s="28"/>
      <c r="AG252" s="28"/>
    </row>
    <row r="253" spans="1:33" ht="15.75" customHeight="1">
      <c r="A253" s="28"/>
      <c r="B253" s="28"/>
      <c r="C253" s="28"/>
      <c r="D253" s="28"/>
      <c r="E253" s="28"/>
      <c r="F253" s="28"/>
      <c r="G253" s="28"/>
      <c r="H253" s="28"/>
      <c r="I253" s="22"/>
      <c r="J253" s="28"/>
      <c r="K253" s="28"/>
      <c r="L253" s="22"/>
      <c r="M253" s="22"/>
      <c r="N253" s="28"/>
      <c r="O253" s="28"/>
      <c r="P253" s="53"/>
      <c r="Q253" s="53"/>
      <c r="R253" s="28"/>
      <c r="S253" s="53"/>
      <c r="T253" s="28"/>
      <c r="U253" s="28"/>
      <c r="V253" s="28"/>
      <c r="W253" s="28"/>
      <c r="X253" s="53"/>
      <c r="Y253" s="22"/>
      <c r="Z253" s="28"/>
      <c r="AA253" s="28"/>
      <c r="AB253" s="28"/>
      <c r="AC253" s="28"/>
      <c r="AD253" s="28"/>
      <c r="AE253" s="28"/>
      <c r="AF253" s="28"/>
      <c r="AG253" s="28"/>
    </row>
    <row r="254" spans="1:33" ht="15.75" customHeight="1">
      <c r="A254" s="28"/>
      <c r="B254" s="28"/>
      <c r="C254" s="28"/>
      <c r="D254" s="28"/>
      <c r="E254" s="28"/>
      <c r="F254" s="28"/>
      <c r="G254" s="28"/>
      <c r="H254" s="28"/>
      <c r="I254" s="22"/>
      <c r="J254" s="28"/>
      <c r="K254" s="28"/>
      <c r="L254" s="22"/>
      <c r="M254" s="22"/>
      <c r="N254" s="28"/>
      <c r="O254" s="28"/>
      <c r="P254" s="53"/>
      <c r="Q254" s="53"/>
      <c r="R254" s="28"/>
      <c r="S254" s="53"/>
      <c r="T254" s="28"/>
      <c r="U254" s="28"/>
      <c r="V254" s="28"/>
      <c r="W254" s="28"/>
      <c r="X254" s="53"/>
      <c r="Y254" s="22"/>
      <c r="Z254" s="28"/>
      <c r="AA254" s="28"/>
      <c r="AB254" s="28"/>
      <c r="AC254" s="28"/>
      <c r="AD254" s="28"/>
      <c r="AE254" s="28"/>
      <c r="AF254" s="28"/>
      <c r="AG254" s="28"/>
    </row>
    <row r="255" spans="1:33" ht="15.75" customHeight="1">
      <c r="A255" s="28"/>
      <c r="B255" s="28"/>
      <c r="C255" s="28"/>
      <c r="D255" s="28"/>
      <c r="E255" s="28"/>
      <c r="F255" s="28"/>
      <c r="G255" s="28"/>
      <c r="H255" s="28"/>
      <c r="I255" s="22"/>
      <c r="J255" s="28"/>
      <c r="K255" s="28"/>
      <c r="L255" s="22"/>
      <c r="M255" s="22"/>
      <c r="N255" s="28"/>
      <c r="O255" s="28"/>
      <c r="P255" s="53"/>
      <c r="Q255" s="53"/>
      <c r="R255" s="28"/>
      <c r="S255" s="53"/>
      <c r="T255" s="28"/>
      <c r="U255" s="28"/>
      <c r="V255" s="28"/>
      <c r="W255" s="28"/>
      <c r="X255" s="53"/>
      <c r="Y255" s="22"/>
      <c r="Z255" s="28"/>
      <c r="AA255" s="28"/>
      <c r="AB255" s="28"/>
      <c r="AC255" s="28"/>
      <c r="AD255" s="28"/>
      <c r="AE255" s="28"/>
      <c r="AF255" s="28"/>
      <c r="AG255" s="28"/>
    </row>
    <row r="256" spans="1:33" ht="15.75" customHeight="1">
      <c r="A256" s="28"/>
      <c r="B256" s="28"/>
      <c r="C256" s="28"/>
      <c r="D256" s="28"/>
      <c r="E256" s="28"/>
      <c r="F256" s="28"/>
      <c r="G256" s="28"/>
      <c r="H256" s="28"/>
      <c r="I256" s="22"/>
      <c r="J256" s="28"/>
      <c r="K256" s="28"/>
      <c r="L256" s="22"/>
      <c r="M256" s="22"/>
      <c r="N256" s="28"/>
      <c r="O256" s="28"/>
      <c r="P256" s="53"/>
      <c r="Q256" s="53"/>
      <c r="R256" s="28"/>
      <c r="S256" s="53"/>
      <c r="T256" s="28"/>
      <c r="U256" s="28"/>
      <c r="V256" s="28"/>
      <c r="W256" s="28"/>
      <c r="X256" s="53"/>
      <c r="Y256" s="22"/>
      <c r="Z256" s="28"/>
      <c r="AA256" s="28"/>
      <c r="AB256" s="28"/>
      <c r="AC256" s="28"/>
      <c r="AD256" s="28"/>
      <c r="AE256" s="28"/>
      <c r="AF256" s="28"/>
      <c r="AG256" s="28"/>
    </row>
    <row r="257" spans="1:33" ht="15.75" customHeight="1">
      <c r="A257" s="28"/>
      <c r="B257" s="28"/>
      <c r="C257" s="28"/>
      <c r="D257" s="28"/>
      <c r="E257" s="28"/>
      <c r="F257" s="28"/>
      <c r="G257" s="28"/>
      <c r="H257" s="28"/>
      <c r="I257" s="22"/>
      <c r="J257" s="28"/>
      <c r="K257" s="28"/>
      <c r="L257" s="22"/>
      <c r="M257" s="22"/>
      <c r="N257" s="28"/>
      <c r="O257" s="28"/>
      <c r="P257" s="53"/>
      <c r="Q257" s="53"/>
      <c r="R257" s="28"/>
      <c r="S257" s="53"/>
      <c r="T257" s="28"/>
      <c r="U257" s="28"/>
      <c r="V257" s="28"/>
      <c r="W257" s="28"/>
      <c r="X257" s="53"/>
      <c r="Y257" s="22"/>
      <c r="Z257" s="28"/>
      <c r="AA257" s="28"/>
      <c r="AB257" s="28"/>
      <c r="AC257" s="28"/>
      <c r="AD257" s="28"/>
      <c r="AE257" s="28"/>
      <c r="AF257" s="28"/>
      <c r="AG257" s="28"/>
    </row>
    <row r="258" spans="1:33" ht="15.75" customHeight="1">
      <c r="A258" s="28"/>
      <c r="B258" s="28"/>
      <c r="C258" s="28"/>
      <c r="D258" s="28"/>
      <c r="E258" s="28"/>
      <c r="F258" s="28"/>
      <c r="G258" s="28"/>
      <c r="H258" s="28"/>
      <c r="I258" s="22"/>
      <c r="J258" s="28"/>
      <c r="K258" s="28"/>
      <c r="L258" s="22"/>
      <c r="M258" s="22"/>
      <c r="N258" s="28"/>
      <c r="O258" s="28"/>
      <c r="P258" s="53"/>
      <c r="Q258" s="53"/>
      <c r="R258" s="28"/>
      <c r="S258" s="53"/>
      <c r="T258" s="28"/>
      <c r="U258" s="28"/>
      <c r="V258" s="28"/>
      <c r="W258" s="28"/>
      <c r="X258" s="53"/>
      <c r="Y258" s="22"/>
      <c r="Z258" s="28"/>
      <c r="AA258" s="28"/>
      <c r="AB258" s="28"/>
      <c r="AC258" s="28"/>
      <c r="AD258" s="28"/>
      <c r="AE258" s="28"/>
      <c r="AF258" s="28"/>
      <c r="AG258" s="28"/>
    </row>
    <row r="259" spans="1:33" ht="15.75" customHeight="1">
      <c r="A259" s="28"/>
      <c r="B259" s="28"/>
      <c r="C259" s="28"/>
      <c r="D259" s="28"/>
      <c r="E259" s="28"/>
      <c r="F259" s="28"/>
      <c r="G259" s="28"/>
      <c r="H259" s="28"/>
      <c r="I259" s="22"/>
      <c r="J259" s="28"/>
      <c r="K259" s="28"/>
      <c r="L259" s="22"/>
      <c r="M259" s="22"/>
      <c r="N259" s="28"/>
      <c r="O259" s="28"/>
      <c r="P259" s="53"/>
      <c r="Q259" s="53"/>
      <c r="R259" s="28"/>
      <c r="S259" s="53"/>
      <c r="T259" s="28"/>
      <c r="U259" s="28"/>
      <c r="V259" s="28"/>
      <c r="W259" s="28"/>
      <c r="X259" s="53"/>
      <c r="Y259" s="22"/>
      <c r="Z259" s="28"/>
      <c r="AA259" s="28"/>
      <c r="AB259" s="28"/>
      <c r="AC259" s="28"/>
      <c r="AD259" s="28"/>
      <c r="AE259" s="28"/>
      <c r="AF259" s="28"/>
      <c r="AG259" s="28"/>
    </row>
    <row r="260" spans="1:33" ht="15.75" customHeight="1">
      <c r="A260" s="28"/>
      <c r="B260" s="28"/>
      <c r="C260" s="28"/>
      <c r="D260" s="28"/>
      <c r="E260" s="28"/>
      <c r="F260" s="28"/>
      <c r="G260" s="28"/>
      <c r="H260" s="28"/>
      <c r="I260" s="22"/>
      <c r="J260" s="28"/>
      <c r="K260" s="28"/>
      <c r="L260" s="22"/>
      <c r="M260" s="22"/>
      <c r="N260" s="28"/>
      <c r="O260" s="28"/>
      <c r="P260" s="53"/>
      <c r="Q260" s="53"/>
      <c r="R260" s="28"/>
      <c r="S260" s="53"/>
      <c r="T260" s="28"/>
      <c r="U260" s="28"/>
      <c r="V260" s="28"/>
      <c r="W260" s="28"/>
      <c r="X260" s="53"/>
      <c r="Y260" s="22"/>
      <c r="Z260" s="28"/>
      <c r="AA260" s="28"/>
      <c r="AB260" s="28"/>
      <c r="AC260" s="28"/>
      <c r="AD260" s="28"/>
      <c r="AE260" s="28"/>
      <c r="AF260" s="28"/>
      <c r="AG260" s="28"/>
    </row>
    <row r="261" spans="1:33" ht="15.75" customHeight="1">
      <c r="A261" s="28"/>
      <c r="B261" s="28"/>
      <c r="C261" s="28"/>
      <c r="D261" s="28"/>
      <c r="E261" s="28"/>
      <c r="F261" s="28"/>
      <c r="G261" s="28"/>
      <c r="H261" s="28"/>
      <c r="I261" s="22"/>
      <c r="J261" s="28"/>
      <c r="K261" s="28"/>
      <c r="L261" s="22"/>
      <c r="M261" s="22"/>
      <c r="N261" s="28"/>
      <c r="O261" s="28"/>
      <c r="P261" s="53"/>
      <c r="Q261" s="53"/>
      <c r="R261" s="28"/>
      <c r="S261" s="53"/>
      <c r="T261" s="28"/>
      <c r="U261" s="28"/>
      <c r="V261" s="28"/>
      <c r="W261" s="28"/>
      <c r="X261" s="53"/>
      <c r="Y261" s="22"/>
      <c r="Z261" s="28"/>
      <c r="AA261" s="28"/>
      <c r="AB261" s="28"/>
      <c r="AC261" s="28"/>
      <c r="AD261" s="28"/>
      <c r="AE261" s="28"/>
      <c r="AF261" s="28"/>
      <c r="AG261" s="28"/>
    </row>
    <row r="262" spans="1:33" ht="15.75" customHeight="1">
      <c r="A262" s="28"/>
      <c r="B262" s="28"/>
      <c r="C262" s="28"/>
      <c r="D262" s="28"/>
      <c r="E262" s="28"/>
      <c r="F262" s="28"/>
      <c r="G262" s="28"/>
      <c r="H262" s="28"/>
      <c r="I262" s="22"/>
      <c r="J262" s="28"/>
      <c r="K262" s="28"/>
      <c r="L262" s="22"/>
      <c r="M262" s="22"/>
      <c r="N262" s="28"/>
      <c r="O262" s="28"/>
      <c r="P262" s="53"/>
      <c r="Q262" s="53"/>
      <c r="R262" s="28"/>
      <c r="S262" s="53"/>
      <c r="T262" s="28"/>
      <c r="U262" s="28"/>
      <c r="V262" s="28"/>
      <c r="W262" s="28"/>
      <c r="X262" s="53"/>
      <c r="Y262" s="22"/>
      <c r="Z262" s="28"/>
      <c r="AA262" s="28"/>
      <c r="AB262" s="28"/>
      <c r="AC262" s="28"/>
      <c r="AD262" s="28"/>
      <c r="AE262" s="28"/>
      <c r="AF262" s="28"/>
      <c r="AG262" s="28"/>
    </row>
    <row r="263" spans="1:33" ht="15.75" customHeight="1">
      <c r="A263" s="28"/>
      <c r="B263" s="28"/>
      <c r="C263" s="28"/>
      <c r="D263" s="28"/>
      <c r="E263" s="28"/>
      <c r="F263" s="28"/>
      <c r="G263" s="28"/>
      <c r="H263" s="28"/>
      <c r="I263" s="22"/>
      <c r="J263" s="28"/>
      <c r="K263" s="28"/>
      <c r="L263" s="22"/>
      <c r="M263" s="22"/>
      <c r="N263" s="28"/>
      <c r="O263" s="28"/>
      <c r="P263" s="53"/>
      <c r="Q263" s="53"/>
      <c r="R263" s="28"/>
      <c r="S263" s="53"/>
      <c r="T263" s="28"/>
      <c r="U263" s="28"/>
      <c r="V263" s="28"/>
      <c r="W263" s="28"/>
      <c r="X263" s="53"/>
      <c r="Y263" s="22"/>
      <c r="Z263" s="28"/>
      <c r="AA263" s="28"/>
      <c r="AB263" s="28"/>
      <c r="AC263" s="28"/>
      <c r="AD263" s="28"/>
      <c r="AE263" s="28"/>
      <c r="AF263" s="28"/>
      <c r="AG263" s="28"/>
    </row>
    <row r="264" spans="1:33" ht="15.75" customHeight="1">
      <c r="A264" s="28"/>
      <c r="B264" s="28"/>
      <c r="C264" s="28"/>
      <c r="D264" s="28"/>
      <c r="E264" s="28"/>
      <c r="F264" s="28"/>
      <c r="G264" s="28"/>
      <c r="H264" s="28"/>
      <c r="I264" s="22"/>
      <c r="J264" s="28"/>
      <c r="K264" s="28"/>
      <c r="L264" s="22"/>
      <c r="M264" s="22"/>
      <c r="N264" s="28"/>
      <c r="O264" s="28"/>
      <c r="P264" s="53"/>
      <c r="Q264" s="53"/>
      <c r="R264" s="28"/>
      <c r="S264" s="53"/>
      <c r="T264" s="28"/>
      <c r="U264" s="28"/>
      <c r="V264" s="28"/>
      <c r="W264" s="28"/>
      <c r="X264" s="53"/>
      <c r="Y264" s="22"/>
      <c r="Z264" s="28"/>
      <c r="AA264" s="28"/>
      <c r="AB264" s="28"/>
      <c r="AC264" s="28"/>
      <c r="AD264" s="28"/>
      <c r="AE264" s="28"/>
      <c r="AF264" s="28"/>
      <c r="AG264" s="28"/>
    </row>
    <row r="265" spans="1:33" ht="15.75" customHeight="1">
      <c r="A265" s="28"/>
      <c r="B265" s="28"/>
      <c r="C265" s="28"/>
      <c r="D265" s="28"/>
      <c r="E265" s="28"/>
      <c r="F265" s="28"/>
      <c r="G265" s="28"/>
      <c r="H265" s="28"/>
      <c r="I265" s="22"/>
      <c r="J265" s="28"/>
      <c r="K265" s="28"/>
      <c r="L265" s="22"/>
      <c r="M265" s="22"/>
      <c r="N265" s="28"/>
      <c r="O265" s="28"/>
      <c r="P265" s="53"/>
      <c r="Q265" s="53"/>
      <c r="R265" s="28"/>
      <c r="S265" s="53"/>
      <c r="T265" s="28"/>
      <c r="U265" s="28"/>
      <c r="V265" s="28"/>
      <c r="W265" s="28"/>
      <c r="X265" s="53"/>
      <c r="Y265" s="22"/>
      <c r="Z265" s="28"/>
      <c r="AA265" s="28"/>
      <c r="AB265" s="28"/>
      <c r="AC265" s="28"/>
      <c r="AD265" s="28"/>
      <c r="AE265" s="28"/>
      <c r="AF265" s="28"/>
      <c r="AG265" s="28"/>
    </row>
    <row r="266" spans="1:33" ht="15.75" customHeight="1">
      <c r="A266" s="28"/>
      <c r="B266" s="28"/>
      <c r="C266" s="28"/>
      <c r="D266" s="28"/>
      <c r="E266" s="28"/>
      <c r="F266" s="28"/>
      <c r="G266" s="28"/>
      <c r="H266" s="28"/>
      <c r="I266" s="22"/>
      <c r="J266" s="28"/>
      <c r="K266" s="28"/>
      <c r="L266" s="22"/>
      <c r="M266" s="22"/>
      <c r="N266" s="28"/>
      <c r="O266" s="28"/>
      <c r="P266" s="53"/>
      <c r="Q266" s="53"/>
      <c r="R266" s="28"/>
      <c r="S266" s="53"/>
      <c r="T266" s="28"/>
      <c r="U266" s="28"/>
      <c r="V266" s="28"/>
      <c r="W266" s="28"/>
      <c r="X266" s="53"/>
      <c r="Y266" s="22"/>
      <c r="Z266" s="28"/>
      <c r="AA266" s="28"/>
      <c r="AB266" s="28"/>
      <c r="AC266" s="28"/>
      <c r="AD266" s="28"/>
      <c r="AE266" s="28"/>
      <c r="AF266" s="28"/>
      <c r="AG266" s="28"/>
    </row>
    <row r="267" spans="1:33" ht="15.75" customHeight="1">
      <c r="A267" s="28"/>
      <c r="B267" s="28"/>
      <c r="C267" s="28"/>
      <c r="D267" s="28"/>
      <c r="E267" s="28"/>
      <c r="F267" s="28"/>
      <c r="G267" s="28"/>
      <c r="H267" s="28"/>
      <c r="I267" s="22"/>
      <c r="J267" s="28"/>
      <c r="K267" s="28"/>
      <c r="L267" s="22"/>
      <c r="M267" s="22"/>
      <c r="N267" s="28"/>
      <c r="O267" s="28"/>
      <c r="P267" s="53"/>
      <c r="Q267" s="53"/>
      <c r="R267" s="28"/>
      <c r="S267" s="53"/>
      <c r="T267" s="28"/>
      <c r="U267" s="28"/>
      <c r="V267" s="28"/>
      <c r="W267" s="28"/>
      <c r="X267" s="53"/>
      <c r="Y267" s="22"/>
      <c r="Z267" s="28"/>
      <c r="AA267" s="28"/>
      <c r="AB267" s="28"/>
      <c r="AC267" s="28"/>
      <c r="AD267" s="28"/>
      <c r="AE267" s="28"/>
      <c r="AF267" s="28"/>
      <c r="AG267" s="28"/>
    </row>
    <row r="268" spans="1:33" ht="15.75" customHeight="1">
      <c r="A268" s="28"/>
      <c r="B268" s="28"/>
      <c r="C268" s="28"/>
      <c r="D268" s="28"/>
      <c r="E268" s="28"/>
      <c r="F268" s="28"/>
      <c r="G268" s="28"/>
      <c r="H268" s="28"/>
      <c r="I268" s="22"/>
      <c r="J268" s="28"/>
      <c r="K268" s="28"/>
      <c r="L268" s="22"/>
      <c r="M268" s="22"/>
      <c r="N268" s="28"/>
      <c r="O268" s="28"/>
      <c r="P268" s="53"/>
      <c r="Q268" s="53"/>
      <c r="R268" s="28"/>
      <c r="S268" s="53"/>
      <c r="T268" s="28"/>
      <c r="U268" s="28"/>
      <c r="V268" s="28"/>
      <c r="W268" s="28"/>
      <c r="X268" s="53"/>
      <c r="Y268" s="22"/>
      <c r="Z268" s="28"/>
      <c r="AA268" s="28"/>
      <c r="AB268" s="28"/>
      <c r="AC268" s="28"/>
      <c r="AD268" s="28"/>
      <c r="AE268" s="28"/>
      <c r="AF268" s="28"/>
      <c r="AG268" s="28"/>
    </row>
    <row r="269" spans="1:33" ht="15.75" customHeight="1">
      <c r="A269" s="28"/>
      <c r="B269" s="28"/>
      <c r="C269" s="28"/>
      <c r="D269" s="28"/>
      <c r="E269" s="28"/>
      <c r="F269" s="28"/>
      <c r="G269" s="28"/>
      <c r="H269" s="28"/>
      <c r="I269" s="22"/>
      <c r="J269" s="28"/>
      <c r="K269" s="28"/>
      <c r="L269" s="22"/>
      <c r="M269" s="22"/>
      <c r="N269" s="28"/>
      <c r="O269" s="28"/>
      <c r="P269" s="53"/>
      <c r="Q269" s="53"/>
      <c r="R269" s="28"/>
      <c r="S269" s="53"/>
      <c r="T269" s="28"/>
      <c r="U269" s="28"/>
      <c r="V269" s="28"/>
      <c r="W269" s="28"/>
      <c r="X269" s="53"/>
      <c r="Y269" s="22"/>
      <c r="Z269" s="28"/>
      <c r="AA269" s="28"/>
      <c r="AB269" s="28"/>
      <c r="AC269" s="28"/>
      <c r="AD269" s="28"/>
      <c r="AE269" s="28"/>
      <c r="AF269" s="28"/>
      <c r="AG269" s="28"/>
    </row>
    <row r="270" spans="1:33" ht="15.75" customHeight="1">
      <c r="A270" s="28"/>
      <c r="B270" s="28"/>
      <c r="C270" s="28"/>
      <c r="D270" s="28"/>
      <c r="E270" s="28"/>
      <c r="F270" s="28"/>
      <c r="G270" s="28"/>
      <c r="H270" s="28"/>
      <c r="I270" s="22"/>
      <c r="J270" s="28"/>
      <c r="K270" s="28"/>
      <c r="L270" s="22"/>
      <c r="M270" s="22"/>
      <c r="N270" s="28"/>
      <c r="O270" s="28"/>
      <c r="P270" s="53"/>
      <c r="Q270" s="53"/>
      <c r="R270" s="28"/>
      <c r="S270" s="53"/>
      <c r="T270" s="28"/>
      <c r="U270" s="28"/>
      <c r="V270" s="28"/>
      <c r="W270" s="28"/>
      <c r="X270" s="53"/>
      <c r="Y270" s="22"/>
      <c r="Z270" s="28"/>
      <c r="AA270" s="28"/>
      <c r="AB270" s="28"/>
      <c r="AC270" s="28"/>
      <c r="AD270" s="28"/>
      <c r="AE270" s="28"/>
      <c r="AF270" s="28"/>
      <c r="AG270" s="28"/>
    </row>
    <row r="271" spans="1:33" ht="15.75" customHeight="1">
      <c r="A271" s="28"/>
      <c r="B271" s="28"/>
      <c r="C271" s="28"/>
      <c r="D271" s="28"/>
      <c r="E271" s="28"/>
      <c r="F271" s="28"/>
      <c r="G271" s="28"/>
      <c r="H271" s="28"/>
      <c r="I271" s="22"/>
      <c r="J271" s="28"/>
      <c r="K271" s="28"/>
      <c r="L271" s="22"/>
      <c r="M271" s="22"/>
      <c r="N271" s="28"/>
      <c r="O271" s="28"/>
      <c r="P271" s="53"/>
      <c r="Q271" s="53"/>
      <c r="R271" s="28"/>
      <c r="S271" s="53"/>
      <c r="T271" s="28"/>
      <c r="U271" s="28"/>
      <c r="V271" s="28"/>
      <c r="W271" s="28"/>
      <c r="X271" s="53"/>
      <c r="Y271" s="22"/>
      <c r="Z271" s="28"/>
      <c r="AA271" s="28"/>
      <c r="AB271" s="28"/>
      <c r="AC271" s="28"/>
      <c r="AD271" s="28"/>
      <c r="AE271" s="28"/>
      <c r="AF271" s="28"/>
      <c r="AG271" s="28"/>
    </row>
    <row r="272" spans="1:33" ht="15.75" customHeight="1">
      <c r="A272" s="28"/>
      <c r="B272" s="28"/>
      <c r="C272" s="28"/>
      <c r="D272" s="28"/>
      <c r="E272" s="28"/>
      <c r="F272" s="28"/>
      <c r="G272" s="28"/>
      <c r="H272" s="28"/>
      <c r="I272" s="22"/>
      <c r="J272" s="28"/>
      <c r="K272" s="28"/>
      <c r="L272" s="22"/>
      <c r="M272" s="22"/>
      <c r="N272" s="28"/>
      <c r="O272" s="28"/>
      <c r="P272" s="53"/>
      <c r="Q272" s="53"/>
      <c r="R272" s="28"/>
      <c r="S272" s="53"/>
      <c r="T272" s="28"/>
      <c r="U272" s="28"/>
      <c r="V272" s="28"/>
      <c r="W272" s="28"/>
      <c r="X272" s="53"/>
      <c r="Y272" s="22"/>
      <c r="Z272" s="28"/>
      <c r="AA272" s="28"/>
      <c r="AB272" s="28"/>
      <c r="AC272" s="28"/>
      <c r="AD272" s="28"/>
      <c r="AE272" s="28"/>
      <c r="AF272" s="28"/>
      <c r="AG272" s="28"/>
    </row>
    <row r="273" spans="1:33" ht="15.75" customHeight="1">
      <c r="A273" s="28"/>
      <c r="B273" s="28"/>
      <c r="C273" s="28"/>
      <c r="D273" s="28"/>
      <c r="E273" s="28"/>
      <c r="F273" s="28"/>
      <c r="G273" s="28"/>
      <c r="H273" s="28"/>
      <c r="I273" s="22"/>
      <c r="J273" s="28"/>
      <c r="K273" s="28"/>
      <c r="L273" s="22"/>
      <c r="M273" s="22"/>
      <c r="N273" s="28"/>
      <c r="O273" s="28"/>
      <c r="P273" s="53"/>
      <c r="Q273" s="53"/>
      <c r="R273" s="28"/>
      <c r="S273" s="53"/>
      <c r="T273" s="28"/>
      <c r="U273" s="28"/>
      <c r="V273" s="28"/>
      <c r="W273" s="28"/>
      <c r="X273" s="53"/>
      <c r="Y273" s="22"/>
      <c r="Z273" s="28"/>
      <c r="AA273" s="28"/>
      <c r="AB273" s="28"/>
      <c r="AC273" s="28"/>
      <c r="AD273" s="28"/>
      <c r="AE273" s="28"/>
      <c r="AF273" s="28"/>
      <c r="AG273" s="28"/>
    </row>
    <row r="274" spans="1:33" ht="15.75" customHeight="1">
      <c r="A274" s="28"/>
      <c r="B274" s="28"/>
      <c r="C274" s="28"/>
      <c r="D274" s="28"/>
      <c r="E274" s="28"/>
      <c r="F274" s="28"/>
      <c r="G274" s="28"/>
      <c r="H274" s="28"/>
      <c r="I274" s="22"/>
      <c r="J274" s="28"/>
      <c r="K274" s="28"/>
      <c r="L274" s="22"/>
      <c r="M274" s="22"/>
      <c r="N274" s="28"/>
      <c r="O274" s="28"/>
      <c r="P274" s="53"/>
      <c r="Q274" s="53"/>
      <c r="R274" s="28"/>
      <c r="S274" s="53"/>
      <c r="T274" s="28"/>
      <c r="U274" s="28"/>
      <c r="V274" s="28"/>
      <c r="W274" s="28"/>
      <c r="X274" s="53"/>
      <c r="Y274" s="22"/>
      <c r="Z274" s="28"/>
      <c r="AA274" s="28"/>
      <c r="AB274" s="28"/>
      <c r="AC274" s="28"/>
      <c r="AD274" s="28"/>
      <c r="AE274" s="28"/>
      <c r="AF274" s="28"/>
      <c r="AG274" s="28"/>
    </row>
    <row r="275" spans="1:33" ht="15.75" customHeight="1">
      <c r="A275" s="28"/>
      <c r="B275" s="28"/>
      <c r="C275" s="28"/>
      <c r="D275" s="28"/>
      <c r="E275" s="28"/>
      <c r="F275" s="28"/>
      <c r="G275" s="28"/>
      <c r="H275" s="28"/>
      <c r="I275" s="22"/>
      <c r="J275" s="28"/>
      <c r="K275" s="28"/>
      <c r="L275" s="22"/>
      <c r="M275" s="22"/>
      <c r="N275" s="28"/>
      <c r="O275" s="28"/>
      <c r="P275" s="53"/>
      <c r="Q275" s="53"/>
      <c r="R275" s="28"/>
      <c r="S275" s="53"/>
      <c r="T275" s="28"/>
      <c r="U275" s="28"/>
      <c r="V275" s="28"/>
      <c r="W275" s="28"/>
      <c r="X275" s="53"/>
      <c r="Y275" s="22"/>
      <c r="Z275" s="28"/>
      <c r="AA275" s="28"/>
      <c r="AB275" s="28"/>
      <c r="AC275" s="28"/>
      <c r="AD275" s="28"/>
      <c r="AE275" s="28"/>
      <c r="AF275" s="28"/>
      <c r="AG275" s="28"/>
    </row>
    <row r="276" spans="1:33" ht="15.75" customHeight="1">
      <c r="A276" s="28"/>
      <c r="B276" s="28"/>
      <c r="C276" s="28"/>
      <c r="D276" s="28"/>
      <c r="E276" s="28"/>
      <c r="F276" s="28"/>
      <c r="G276" s="28"/>
      <c r="H276" s="28"/>
      <c r="I276" s="22"/>
      <c r="J276" s="28"/>
      <c r="K276" s="28"/>
      <c r="L276" s="22"/>
      <c r="M276" s="22"/>
      <c r="N276" s="28"/>
      <c r="O276" s="28"/>
      <c r="P276" s="53"/>
      <c r="Q276" s="53"/>
      <c r="R276" s="28"/>
      <c r="S276" s="53"/>
      <c r="T276" s="28"/>
      <c r="U276" s="28"/>
      <c r="V276" s="28"/>
      <c r="W276" s="28"/>
      <c r="X276" s="53"/>
      <c r="Y276" s="22"/>
      <c r="Z276" s="28"/>
      <c r="AA276" s="28"/>
      <c r="AB276" s="28"/>
      <c r="AC276" s="28"/>
      <c r="AD276" s="28"/>
      <c r="AE276" s="28"/>
      <c r="AF276" s="28"/>
      <c r="AG276" s="28"/>
    </row>
    <row r="277" spans="1:33" ht="15.75" customHeight="1">
      <c r="A277" s="28"/>
      <c r="B277" s="28"/>
      <c r="C277" s="28"/>
      <c r="D277" s="28"/>
      <c r="E277" s="28"/>
      <c r="F277" s="28"/>
      <c r="G277" s="28"/>
      <c r="H277" s="28"/>
      <c r="I277" s="22"/>
      <c r="J277" s="28"/>
      <c r="K277" s="28"/>
      <c r="L277" s="22"/>
      <c r="M277" s="22"/>
      <c r="N277" s="28"/>
      <c r="O277" s="28"/>
      <c r="P277" s="53"/>
      <c r="Q277" s="53"/>
      <c r="R277" s="28"/>
      <c r="S277" s="53"/>
      <c r="T277" s="28"/>
      <c r="U277" s="28"/>
      <c r="V277" s="28"/>
      <c r="W277" s="28"/>
      <c r="X277" s="53"/>
      <c r="Y277" s="22"/>
      <c r="Z277" s="28"/>
      <c r="AA277" s="28"/>
      <c r="AB277" s="28"/>
      <c r="AC277" s="28"/>
      <c r="AD277" s="28"/>
      <c r="AE277" s="28"/>
      <c r="AF277" s="28"/>
      <c r="AG277" s="28"/>
    </row>
    <row r="278" spans="1:33" ht="15.75" customHeight="1">
      <c r="A278" s="28"/>
      <c r="B278" s="28"/>
      <c r="C278" s="28"/>
      <c r="D278" s="28"/>
      <c r="E278" s="28"/>
      <c r="F278" s="28"/>
      <c r="G278" s="28"/>
      <c r="H278" s="28"/>
      <c r="I278" s="22"/>
      <c r="J278" s="28"/>
      <c r="K278" s="28"/>
      <c r="L278" s="22"/>
      <c r="M278" s="22"/>
      <c r="N278" s="28"/>
      <c r="O278" s="28"/>
      <c r="P278" s="53"/>
      <c r="Q278" s="53"/>
      <c r="R278" s="28"/>
      <c r="S278" s="53"/>
      <c r="T278" s="28"/>
      <c r="U278" s="28"/>
      <c r="V278" s="28"/>
      <c r="W278" s="28"/>
      <c r="X278" s="53"/>
      <c r="Y278" s="22"/>
      <c r="Z278" s="28"/>
      <c r="AA278" s="28"/>
      <c r="AB278" s="28"/>
      <c r="AC278" s="28"/>
      <c r="AD278" s="28"/>
      <c r="AE278" s="28"/>
      <c r="AF278" s="28"/>
      <c r="AG278" s="28"/>
    </row>
    <row r="279" spans="1:33" ht="15.75" customHeight="1">
      <c r="A279" s="28"/>
      <c r="B279" s="28"/>
      <c r="C279" s="28"/>
      <c r="D279" s="28"/>
      <c r="E279" s="28"/>
      <c r="F279" s="28"/>
      <c r="G279" s="28"/>
      <c r="H279" s="28"/>
      <c r="I279" s="22"/>
      <c r="J279" s="28"/>
      <c r="K279" s="28"/>
      <c r="L279" s="22"/>
      <c r="M279" s="22"/>
      <c r="N279" s="28"/>
      <c r="O279" s="28"/>
      <c r="P279" s="53"/>
      <c r="Q279" s="53"/>
      <c r="R279" s="28"/>
      <c r="S279" s="53"/>
      <c r="T279" s="28"/>
      <c r="U279" s="28"/>
      <c r="V279" s="28"/>
      <c r="W279" s="28"/>
      <c r="X279" s="53"/>
      <c r="Y279" s="22"/>
      <c r="Z279" s="28"/>
      <c r="AA279" s="28"/>
      <c r="AB279" s="28"/>
      <c r="AC279" s="28"/>
      <c r="AD279" s="28"/>
      <c r="AE279" s="28"/>
      <c r="AF279" s="28"/>
      <c r="AG279" s="28"/>
    </row>
    <row r="280" spans="1:33" ht="15.75" customHeight="1">
      <c r="A280" s="28"/>
      <c r="B280" s="28"/>
      <c r="C280" s="28"/>
      <c r="D280" s="28"/>
      <c r="E280" s="28"/>
      <c r="F280" s="28"/>
      <c r="G280" s="28"/>
      <c r="H280" s="28"/>
      <c r="I280" s="22"/>
      <c r="J280" s="28"/>
      <c r="K280" s="28"/>
      <c r="L280" s="22"/>
      <c r="M280" s="22"/>
      <c r="N280" s="28"/>
      <c r="O280" s="28"/>
      <c r="P280" s="53"/>
      <c r="Q280" s="53"/>
      <c r="R280" s="28"/>
      <c r="S280" s="53"/>
      <c r="T280" s="28"/>
      <c r="U280" s="28"/>
      <c r="V280" s="28"/>
      <c r="W280" s="28"/>
      <c r="X280" s="53"/>
      <c r="Y280" s="22"/>
      <c r="Z280" s="28"/>
      <c r="AA280" s="28"/>
      <c r="AB280" s="28"/>
      <c r="AC280" s="28"/>
      <c r="AD280" s="28"/>
      <c r="AE280" s="28"/>
      <c r="AF280" s="28"/>
      <c r="AG280" s="28"/>
    </row>
    <row r="281" spans="1:33" ht="15.75" customHeight="1">
      <c r="A281" s="28"/>
      <c r="B281" s="28"/>
      <c r="C281" s="28"/>
      <c r="D281" s="28"/>
      <c r="E281" s="28"/>
      <c r="F281" s="28"/>
      <c r="G281" s="28"/>
      <c r="H281" s="28"/>
      <c r="I281" s="22"/>
      <c r="J281" s="28"/>
      <c r="K281" s="28"/>
      <c r="L281" s="22"/>
      <c r="M281" s="22"/>
      <c r="N281" s="28"/>
      <c r="O281" s="28"/>
      <c r="P281" s="53"/>
      <c r="Q281" s="53"/>
      <c r="R281" s="28"/>
      <c r="S281" s="53"/>
      <c r="T281" s="28"/>
      <c r="U281" s="28"/>
      <c r="V281" s="28"/>
      <c r="W281" s="28"/>
      <c r="X281" s="53"/>
      <c r="Y281" s="22"/>
      <c r="Z281" s="28"/>
      <c r="AA281" s="28"/>
      <c r="AB281" s="28"/>
      <c r="AC281" s="28"/>
      <c r="AD281" s="28"/>
      <c r="AE281" s="28"/>
      <c r="AF281" s="28"/>
      <c r="AG281" s="28"/>
    </row>
    <row r="282" spans="1:33" ht="15.75" customHeight="1">
      <c r="A282" s="28"/>
      <c r="B282" s="28"/>
      <c r="C282" s="28"/>
      <c r="D282" s="28"/>
      <c r="E282" s="28"/>
      <c r="F282" s="28"/>
      <c r="G282" s="28"/>
      <c r="H282" s="28"/>
      <c r="I282" s="22"/>
      <c r="J282" s="28"/>
      <c r="K282" s="28"/>
      <c r="L282" s="22"/>
      <c r="M282" s="22"/>
      <c r="N282" s="28"/>
      <c r="O282" s="28"/>
      <c r="P282" s="53"/>
      <c r="Q282" s="53"/>
      <c r="R282" s="28"/>
      <c r="S282" s="53"/>
      <c r="T282" s="28"/>
      <c r="U282" s="28"/>
      <c r="V282" s="28"/>
      <c r="W282" s="28"/>
      <c r="X282" s="53"/>
      <c r="Y282" s="22"/>
      <c r="Z282" s="28"/>
      <c r="AA282" s="28"/>
      <c r="AB282" s="28"/>
      <c r="AC282" s="28"/>
      <c r="AD282" s="28"/>
      <c r="AE282" s="28"/>
      <c r="AF282" s="28"/>
      <c r="AG282" s="28"/>
    </row>
    <row r="283" spans="1:33" ht="15.75" customHeight="1">
      <c r="A283" s="28"/>
      <c r="B283" s="28"/>
      <c r="C283" s="28"/>
      <c r="D283" s="28"/>
      <c r="E283" s="28"/>
      <c r="F283" s="28"/>
      <c r="G283" s="28"/>
      <c r="H283" s="28"/>
      <c r="I283" s="22"/>
      <c r="J283" s="28"/>
      <c r="K283" s="28"/>
      <c r="L283" s="22"/>
      <c r="M283" s="22"/>
      <c r="N283" s="28"/>
      <c r="O283" s="28"/>
      <c r="P283" s="53"/>
      <c r="Q283" s="53"/>
      <c r="R283" s="28"/>
      <c r="S283" s="53"/>
      <c r="T283" s="28"/>
      <c r="U283" s="28"/>
      <c r="V283" s="28"/>
      <c r="W283" s="28"/>
      <c r="X283" s="53"/>
      <c r="Y283" s="22"/>
      <c r="Z283" s="28"/>
      <c r="AA283" s="28"/>
      <c r="AB283" s="28"/>
      <c r="AC283" s="28"/>
      <c r="AD283" s="28"/>
      <c r="AE283" s="28"/>
      <c r="AF283" s="28"/>
      <c r="AG283" s="28"/>
    </row>
    <row r="284" spans="1:33" ht="15.75" customHeight="1">
      <c r="A284" s="28"/>
      <c r="B284" s="28"/>
      <c r="C284" s="28"/>
      <c r="D284" s="28"/>
      <c r="E284" s="28"/>
      <c r="F284" s="28"/>
      <c r="G284" s="28"/>
      <c r="H284" s="28"/>
      <c r="I284" s="22"/>
      <c r="J284" s="28"/>
      <c r="K284" s="28"/>
      <c r="L284" s="22"/>
      <c r="M284" s="22"/>
      <c r="N284" s="28"/>
      <c r="O284" s="28"/>
      <c r="P284" s="53"/>
      <c r="Q284" s="53"/>
      <c r="R284" s="28"/>
      <c r="S284" s="53"/>
      <c r="T284" s="28"/>
      <c r="U284" s="28"/>
      <c r="V284" s="28"/>
      <c r="W284" s="28"/>
      <c r="X284" s="53"/>
      <c r="Y284" s="22"/>
      <c r="Z284" s="28"/>
      <c r="AA284" s="28"/>
      <c r="AB284" s="28"/>
      <c r="AC284" s="28"/>
      <c r="AD284" s="28"/>
      <c r="AE284" s="28"/>
      <c r="AF284" s="28"/>
      <c r="AG284" s="28"/>
    </row>
    <row r="285" spans="1:33" ht="15.75" customHeight="1">
      <c r="A285" s="28"/>
      <c r="B285" s="28"/>
      <c r="C285" s="28"/>
      <c r="D285" s="28"/>
      <c r="E285" s="28"/>
      <c r="F285" s="28"/>
      <c r="G285" s="28"/>
      <c r="H285" s="28"/>
      <c r="I285" s="22"/>
      <c r="J285" s="28"/>
      <c r="K285" s="28"/>
      <c r="L285" s="22"/>
      <c r="M285" s="22"/>
      <c r="N285" s="28"/>
      <c r="O285" s="28"/>
      <c r="P285" s="53"/>
      <c r="Q285" s="53"/>
      <c r="R285" s="28"/>
      <c r="S285" s="53"/>
      <c r="T285" s="28"/>
      <c r="U285" s="28"/>
      <c r="V285" s="28"/>
      <c r="W285" s="28"/>
      <c r="X285" s="53"/>
      <c r="Y285" s="22"/>
      <c r="Z285" s="28"/>
      <c r="AA285" s="28"/>
      <c r="AB285" s="28"/>
      <c r="AC285" s="28"/>
      <c r="AD285" s="28"/>
      <c r="AE285" s="28"/>
      <c r="AF285" s="28"/>
      <c r="AG285" s="28"/>
    </row>
    <row r="286" spans="1:33" ht="15.75" customHeight="1">
      <c r="A286" s="28"/>
      <c r="B286" s="28"/>
      <c r="C286" s="28"/>
      <c r="D286" s="28"/>
      <c r="E286" s="28"/>
      <c r="F286" s="28"/>
      <c r="G286" s="28"/>
      <c r="H286" s="28"/>
      <c r="I286" s="22"/>
      <c r="J286" s="28"/>
      <c r="K286" s="28"/>
      <c r="L286" s="22"/>
      <c r="M286" s="22"/>
      <c r="N286" s="28"/>
      <c r="O286" s="28"/>
      <c r="P286" s="53"/>
      <c r="Q286" s="53"/>
      <c r="R286" s="28"/>
      <c r="S286" s="53"/>
      <c r="T286" s="28"/>
      <c r="U286" s="28"/>
      <c r="V286" s="28"/>
      <c r="W286" s="28"/>
      <c r="X286" s="53"/>
      <c r="Y286" s="22"/>
      <c r="Z286" s="28"/>
      <c r="AA286" s="28"/>
      <c r="AB286" s="28"/>
      <c r="AC286" s="28"/>
      <c r="AD286" s="28"/>
      <c r="AE286" s="28"/>
      <c r="AF286" s="28"/>
      <c r="AG286" s="28"/>
    </row>
    <row r="287" spans="1:33" ht="15.75" customHeight="1">
      <c r="A287" s="28"/>
      <c r="B287" s="28"/>
      <c r="C287" s="28"/>
      <c r="D287" s="28"/>
      <c r="E287" s="28"/>
      <c r="F287" s="28"/>
      <c r="G287" s="28"/>
      <c r="H287" s="28"/>
      <c r="I287" s="22"/>
      <c r="J287" s="28"/>
      <c r="K287" s="28"/>
      <c r="L287" s="22"/>
      <c r="M287" s="22"/>
      <c r="N287" s="28"/>
      <c r="O287" s="28"/>
      <c r="P287" s="53"/>
      <c r="Q287" s="53"/>
      <c r="R287" s="28"/>
      <c r="S287" s="53"/>
      <c r="T287" s="28"/>
      <c r="U287" s="28"/>
      <c r="V287" s="28"/>
      <c r="W287" s="28"/>
      <c r="X287" s="53"/>
      <c r="Y287" s="22"/>
      <c r="Z287" s="28"/>
      <c r="AA287" s="28"/>
      <c r="AB287" s="28"/>
      <c r="AC287" s="28"/>
      <c r="AD287" s="28"/>
      <c r="AE287" s="28"/>
      <c r="AF287" s="28"/>
      <c r="AG287" s="28"/>
    </row>
    <row r="288" spans="1:33" ht="15.75" customHeight="1">
      <c r="A288" s="28"/>
      <c r="B288" s="28"/>
      <c r="C288" s="28"/>
      <c r="D288" s="28"/>
      <c r="E288" s="28"/>
      <c r="F288" s="28"/>
      <c r="G288" s="28"/>
      <c r="H288" s="28"/>
      <c r="I288" s="22"/>
      <c r="J288" s="28"/>
      <c r="K288" s="28"/>
      <c r="L288" s="22"/>
      <c r="M288" s="22"/>
      <c r="N288" s="28"/>
      <c r="O288" s="28"/>
      <c r="P288" s="53"/>
      <c r="Q288" s="53"/>
      <c r="R288" s="28"/>
      <c r="S288" s="53"/>
      <c r="T288" s="28"/>
      <c r="U288" s="28"/>
      <c r="V288" s="28"/>
      <c r="W288" s="28"/>
      <c r="X288" s="53"/>
      <c r="Y288" s="22"/>
      <c r="Z288" s="28"/>
      <c r="AA288" s="28"/>
      <c r="AB288" s="28"/>
      <c r="AC288" s="28"/>
      <c r="AD288" s="28"/>
      <c r="AE288" s="28"/>
      <c r="AF288" s="28"/>
      <c r="AG288" s="28"/>
    </row>
    <row r="289" spans="1:33" ht="15.75" customHeight="1">
      <c r="A289" s="28"/>
      <c r="B289" s="28"/>
      <c r="C289" s="28"/>
      <c r="D289" s="28"/>
      <c r="E289" s="28"/>
      <c r="F289" s="28"/>
      <c r="G289" s="28"/>
      <c r="H289" s="28"/>
      <c r="I289" s="22"/>
      <c r="J289" s="28"/>
      <c r="K289" s="28"/>
      <c r="L289" s="22"/>
      <c r="M289" s="22"/>
      <c r="N289" s="28"/>
      <c r="O289" s="28"/>
      <c r="P289" s="53"/>
      <c r="Q289" s="53"/>
      <c r="R289" s="28"/>
      <c r="S289" s="53"/>
      <c r="T289" s="28"/>
      <c r="U289" s="28"/>
      <c r="V289" s="28"/>
      <c r="W289" s="28"/>
      <c r="X289" s="53"/>
      <c r="Y289" s="22"/>
      <c r="Z289" s="28"/>
      <c r="AA289" s="28"/>
      <c r="AB289" s="28"/>
      <c r="AC289" s="28"/>
      <c r="AD289" s="28"/>
      <c r="AE289" s="28"/>
      <c r="AF289" s="28"/>
      <c r="AG289" s="28"/>
    </row>
    <row r="290" spans="1:33" ht="15.75" customHeight="1">
      <c r="A290" s="28"/>
      <c r="B290" s="28"/>
      <c r="C290" s="28"/>
      <c r="D290" s="28"/>
      <c r="E290" s="28"/>
      <c r="F290" s="28"/>
      <c r="G290" s="28"/>
      <c r="H290" s="28"/>
      <c r="I290" s="22"/>
      <c r="J290" s="28"/>
      <c r="K290" s="28"/>
      <c r="L290" s="22"/>
      <c r="M290" s="22"/>
      <c r="N290" s="28"/>
      <c r="O290" s="28"/>
      <c r="P290" s="53"/>
      <c r="Q290" s="53"/>
      <c r="R290" s="28"/>
      <c r="S290" s="53"/>
      <c r="T290" s="28"/>
      <c r="U290" s="28"/>
      <c r="V290" s="28"/>
      <c r="W290" s="28"/>
      <c r="X290" s="53"/>
      <c r="Y290" s="22"/>
      <c r="Z290" s="28"/>
      <c r="AA290" s="28"/>
      <c r="AB290" s="28"/>
      <c r="AC290" s="28"/>
      <c r="AD290" s="28"/>
      <c r="AE290" s="28"/>
      <c r="AF290" s="28"/>
      <c r="AG290" s="28"/>
    </row>
    <row r="291" spans="1:33" ht="15.75" customHeight="1">
      <c r="A291" s="28"/>
      <c r="B291" s="28"/>
      <c r="C291" s="28"/>
      <c r="D291" s="28"/>
      <c r="E291" s="28"/>
      <c r="F291" s="28"/>
      <c r="G291" s="28"/>
      <c r="H291" s="28"/>
      <c r="I291" s="22"/>
      <c r="J291" s="28"/>
      <c r="K291" s="28"/>
      <c r="L291" s="22"/>
      <c r="M291" s="22"/>
      <c r="N291" s="28"/>
      <c r="O291" s="28"/>
      <c r="P291" s="53"/>
      <c r="Q291" s="53"/>
      <c r="R291" s="28"/>
      <c r="S291" s="53"/>
      <c r="T291" s="28"/>
      <c r="U291" s="28"/>
      <c r="V291" s="28"/>
      <c r="W291" s="28"/>
      <c r="X291" s="53"/>
      <c r="Y291" s="22"/>
      <c r="Z291" s="28"/>
      <c r="AA291" s="28"/>
      <c r="AB291" s="28"/>
      <c r="AC291" s="28"/>
      <c r="AD291" s="28"/>
      <c r="AE291" s="28"/>
      <c r="AF291" s="28"/>
      <c r="AG291" s="28"/>
    </row>
    <row r="292" spans="1:33" ht="15.75" customHeight="1">
      <c r="A292" s="28"/>
      <c r="B292" s="28"/>
      <c r="C292" s="28"/>
      <c r="D292" s="28"/>
      <c r="E292" s="28"/>
      <c r="F292" s="28"/>
      <c r="G292" s="28"/>
      <c r="H292" s="28"/>
      <c r="I292" s="22"/>
      <c r="J292" s="28"/>
      <c r="K292" s="28"/>
      <c r="L292" s="22"/>
      <c r="M292" s="22"/>
      <c r="N292" s="28"/>
      <c r="O292" s="28"/>
      <c r="P292" s="53"/>
      <c r="Q292" s="53"/>
      <c r="R292" s="28"/>
      <c r="S292" s="53"/>
      <c r="T292" s="28"/>
      <c r="U292" s="28"/>
      <c r="V292" s="28"/>
      <c r="W292" s="28"/>
      <c r="X292" s="53"/>
      <c r="Y292" s="22"/>
      <c r="Z292" s="28"/>
      <c r="AA292" s="28"/>
      <c r="AB292" s="28"/>
      <c r="AC292" s="28"/>
      <c r="AD292" s="28"/>
      <c r="AE292" s="28"/>
      <c r="AF292" s="28"/>
      <c r="AG292" s="28"/>
    </row>
    <row r="293" spans="1:33" ht="15.75" customHeight="1">
      <c r="A293" s="28"/>
      <c r="B293" s="28"/>
      <c r="C293" s="28"/>
      <c r="D293" s="28"/>
      <c r="E293" s="28"/>
      <c r="F293" s="28"/>
      <c r="G293" s="28"/>
      <c r="H293" s="28"/>
      <c r="I293" s="22"/>
      <c r="J293" s="28"/>
      <c r="K293" s="28"/>
      <c r="L293" s="22"/>
      <c r="M293" s="22"/>
      <c r="N293" s="28"/>
      <c r="O293" s="28"/>
      <c r="P293" s="53"/>
      <c r="Q293" s="53"/>
      <c r="R293" s="28"/>
      <c r="S293" s="53"/>
      <c r="T293" s="28"/>
      <c r="U293" s="28"/>
      <c r="V293" s="28"/>
      <c r="W293" s="28"/>
      <c r="X293" s="53"/>
      <c r="Y293" s="22"/>
      <c r="Z293" s="28"/>
      <c r="AA293" s="28"/>
      <c r="AB293" s="28"/>
      <c r="AC293" s="28"/>
      <c r="AD293" s="28"/>
      <c r="AE293" s="28"/>
      <c r="AF293" s="28"/>
      <c r="AG293" s="28"/>
    </row>
    <row r="294" spans="1:33" ht="15.75" customHeight="1">
      <c r="A294" s="28"/>
      <c r="B294" s="28"/>
      <c r="C294" s="28"/>
      <c r="D294" s="28"/>
      <c r="E294" s="28"/>
      <c r="F294" s="28"/>
      <c r="G294" s="28"/>
      <c r="H294" s="28"/>
      <c r="I294" s="22"/>
      <c r="J294" s="28"/>
      <c r="K294" s="28"/>
      <c r="L294" s="22"/>
      <c r="M294" s="22"/>
      <c r="N294" s="28"/>
      <c r="O294" s="28"/>
      <c r="P294" s="53"/>
      <c r="Q294" s="53"/>
      <c r="R294" s="28"/>
      <c r="S294" s="53"/>
      <c r="T294" s="28"/>
      <c r="U294" s="28"/>
      <c r="V294" s="28"/>
      <c r="W294" s="28"/>
      <c r="X294" s="53"/>
      <c r="Y294" s="22"/>
      <c r="Z294" s="28"/>
      <c r="AA294" s="28"/>
      <c r="AB294" s="28"/>
      <c r="AC294" s="28"/>
      <c r="AD294" s="28"/>
      <c r="AE294" s="28"/>
      <c r="AF294" s="28"/>
      <c r="AG294" s="28"/>
    </row>
    <row r="295" spans="1:33" ht="15.75" customHeight="1">
      <c r="A295" s="28"/>
      <c r="B295" s="28"/>
      <c r="C295" s="28"/>
      <c r="D295" s="28"/>
      <c r="E295" s="28"/>
      <c r="F295" s="28"/>
      <c r="G295" s="28"/>
      <c r="H295" s="28"/>
      <c r="I295" s="22"/>
      <c r="J295" s="28"/>
      <c r="K295" s="28"/>
      <c r="L295" s="22"/>
      <c r="M295" s="22"/>
      <c r="N295" s="28"/>
      <c r="O295" s="28"/>
      <c r="P295" s="53"/>
      <c r="Q295" s="53"/>
      <c r="R295" s="28"/>
      <c r="S295" s="53"/>
      <c r="T295" s="28"/>
      <c r="U295" s="28"/>
      <c r="V295" s="28"/>
      <c r="W295" s="28"/>
      <c r="X295" s="53"/>
      <c r="Y295" s="22"/>
      <c r="Z295" s="28"/>
      <c r="AA295" s="28"/>
      <c r="AB295" s="28"/>
      <c r="AC295" s="28"/>
      <c r="AD295" s="28"/>
      <c r="AE295" s="28"/>
      <c r="AF295" s="28"/>
      <c r="AG295" s="28"/>
    </row>
    <row r="296" spans="1:33" ht="15.75" customHeight="1">
      <c r="A296" s="28"/>
      <c r="B296" s="28"/>
      <c r="C296" s="28"/>
      <c r="D296" s="28"/>
      <c r="E296" s="28"/>
      <c r="F296" s="28"/>
      <c r="G296" s="28"/>
      <c r="H296" s="28"/>
      <c r="I296" s="22"/>
      <c r="J296" s="28"/>
      <c r="K296" s="28"/>
      <c r="L296" s="22"/>
      <c r="M296" s="22"/>
      <c r="N296" s="28"/>
      <c r="O296" s="28"/>
      <c r="P296" s="53"/>
      <c r="Q296" s="53"/>
      <c r="R296" s="28"/>
      <c r="S296" s="53"/>
      <c r="T296" s="28"/>
      <c r="U296" s="28"/>
      <c r="V296" s="28"/>
      <c r="W296" s="28"/>
      <c r="X296" s="53"/>
      <c r="Y296" s="22"/>
      <c r="Z296" s="28"/>
      <c r="AA296" s="28"/>
      <c r="AB296" s="28"/>
      <c r="AC296" s="28"/>
      <c r="AD296" s="28"/>
      <c r="AE296" s="28"/>
      <c r="AF296" s="28"/>
      <c r="AG296" s="28"/>
    </row>
    <row r="297" spans="1:33" ht="15.75" customHeight="1">
      <c r="A297" s="28"/>
      <c r="B297" s="28"/>
      <c r="C297" s="28"/>
      <c r="D297" s="28"/>
      <c r="E297" s="28"/>
      <c r="F297" s="28"/>
      <c r="G297" s="28"/>
      <c r="H297" s="28"/>
      <c r="I297" s="22"/>
      <c r="J297" s="28"/>
      <c r="K297" s="28"/>
      <c r="L297" s="22"/>
      <c r="M297" s="22"/>
      <c r="N297" s="28"/>
      <c r="O297" s="28"/>
      <c r="P297" s="53"/>
      <c r="Q297" s="53"/>
      <c r="R297" s="28"/>
      <c r="S297" s="53"/>
      <c r="T297" s="28"/>
      <c r="U297" s="28"/>
      <c r="V297" s="28"/>
      <c r="W297" s="28"/>
      <c r="X297" s="53"/>
      <c r="Y297" s="22"/>
      <c r="Z297" s="28"/>
      <c r="AA297" s="28"/>
      <c r="AB297" s="28"/>
      <c r="AC297" s="28"/>
      <c r="AD297" s="28"/>
      <c r="AE297" s="28"/>
      <c r="AF297" s="28"/>
      <c r="AG297" s="28"/>
    </row>
    <row r="298" spans="1:33" ht="15.75" customHeight="1">
      <c r="A298" s="28"/>
      <c r="B298" s="28"/>
      <c r="C298" s="28"/>
      <c r="D298" s="28"/>
      <c r="E298" s="28"/>
      <c r="F298" s="28"/>
      <c r="G298" s="28"/>
      <c r="H298" s="28"/>
      <c r="I298" s="22"/>
      <c r="J298" s="28"/>
      <c r="K298" s="28"/>
      <c r="L298" s="22"/>
      <c r="M298" s="22"/>
      <c r="N298" s="28"/>
      <c r="O298" s="28"/>
      <c r="P298" s="53"/>
      <c r="Q298" s="53"/>
      <c r="R298" s="28"/>
      <c r="S298" s="53"/>
      <c r="T298" s="28"/>
      <c r="U298" s="28"/>
      <c r="V298" s="28"/>
      <c r="W298" s="28"/>
      <c r="X298" s="53"/>
      <c r="Y298" s="22"/>
      <c r="Z298" s="28"/>
      <c r="AA298" s="28"/>
      <c r="AB298" s="28"/>
      <c r="AC298" s="28"/>
      <c r="AD298" s="28"/>
      <c r="AE298" s="28"/>
      <c r="AF298" s="28"/>
      <c r="AG298" s="28"/>
    </row>
    <row r="299" spans="1:33" ht="15.75" customHeight="1">
      <c r="A299" s="28"/>
      <c r="B299" s="28"/>
      <c r="C299" s="28"/>
      <c r="D299" s="28"/>
      <c r="E299" s="28"/>
      <c r="F299" s="28"/>
      <c r="G299" s="28"/>
      <c r="H299" s="28"/>
      <c r="I299" s="22"/>
      <c r="J299" s="28"/>
      <c r="K299" s="28"/>
      <c r="L299" s="22"/>
      <c r="M299" s="22"/>
      <c r="N299" s="28"/>
      <c r="O299" s="28"/>
      <c r="P299" s="53"/>
      <c r="Q299" s="53"/>
      <c r="R299" s="28"/>
      <c r="S299" s="53"/>
      <c r="T299" s="28"/>
      <c r="U299" s="28"/>
      <c r="V299" s="28"/>
      <c r="W299" s="28"/>
      <c r="X299" s="53"/>
      <c r="Y299" s="22"/>
      <c r="Z299" s="28"/>
      <c r="AA299" s="28"/>
      <c r="AB299" s="28"/>
      <c r="AC299" s="28"/>
      <c r="AD299" s="28"/>
      <c r="AE299" s="28"/>
      <c r="AF299" s="28"/>
      <c r="AG299" s="28"/>
    </row>
    <row r="300" spans="1:33" ht="15.75" customHeight="1">
      <c r="A300" s="28"/>
      <c r="B300" s="28"/>
      <c r="C300" s="28"/>
      <c r="D300" s="28"/>
      <c r="E300" s="28"/>
      <c r="F300" s="28"/>
      <c r="G300" s="28"/>
      <c r="H300" s="28"/>
      <c r="I300" s="22"/>
      <c r="J300" s="28"/>
      <c r="K300" s="28"/>
      <c r="L300" s="22"/>
      <c r="M300" s="22"/>
      <c r="N300" s="28"/>
      <c r="O300" s="28"/>
      <c r="P300" s="53"/>
      <c r="Q300" s="53"/>
      <c r="R300" s="28"/>
      <c r="S300" s="53"/>
      <c r="T300" s="28"/>
      <c r="U300" s="28"/>
      <c r="V300" s="28"/>
      <c r="W300" s="28"/>
      <c r="X300" s="53"/>
      <c r="Y300" s="22"/>
      <c r="Z300" s="28"/>
      <c r="AA300" s="28"/>
      <c r="AB300" s="28"/>
      <c r="AC300" s="28"/>
      <c r="AD300" s="28"/>
      <c r="AE300" s="28"/>
      <c r="AF300" s="28"/>
      <c r="AG300" s="28"/>
    </row>
    <row r="301" spans="1:33" ht="15.75" customHeight="1">
      <c r="A301" s="28"/>
      <c r="B301" s="28"/>
      <c r="C301" s="28"/>
      <c r="D301" s="28"/>
      <c r="E301" s="28"/>
      <c r="F301" s="28"/>
      <c r="G301" s="28"/>
      <c r="H301" s="28"/>
      <c r="I301" s="22"/>
      <c r="J301" s="28"/>
      <c r="K301" s="28"/>
      <c r="L301" s="22"/>
      <c r="M301" s="22"/>
      <c r="N301" s="28"/>
      <c r="O301" s="28"/>
      <c r="P301" s="53"/>
      <c r="Q301" s="53"/>
      <c r="R301" s="28"/>
      <c r="S301" s="53"/>
      <c r="T301" s="28"/>
      <c r="U301" s="28"/>
      <c r="V301" s="28"/>
      <c r="W301" s="28"/>
      <c r="X301" s="53"/>
      <c r="Y301" s="22"/>
      <c r="Z301" s="28"/>
      <c r="AA301" s="28"/>
      <c r="AB301" s="28"/>
      <c r="AC301" s="28"/>
      <c r="AD301" s="28"/>
      <c r="AE301" s="28"/>
      <c r="AF301" s="28"/>
      <c r="AG301" s="28"/>
    </row>
    <row r="302" spans="1:33" ht="15.75" customHeight="1">
      <c r="A302" s="28"/>
      <c r="B302" s="28"/>
      <c r="C302" s="28"/>
      <c r="D302" s="28"/>
      <c r="E302" s="28"/>
      <c r="F302" s="28"/>
      <c r="G302" s="28"/>
      <c r="H302" s="28"/>
      <c r="I302" s="22"/>
      <c r="J302" s="28"/>
      <c r="K302" s="28"/>
      <c r="L302" s="22"/>
      <c r="M302" s="22"/>
      <c r="N302" s="28"/>
      <c r="O302" s="28"/>
      <c r="P302" s="53"/>
      <c r="Q302" s="53"/>
      <c r="R302" s="28"/>
      <c r="S302" s="53"/>
      <c r="T302" s="28"/>
      <c r="U302" s="28"/>
      <c r="V302" s="28"/>
      <c r="W302" s="28"/>
      <c r="X302" s="53"/>
      <c r="Y302" s="22"/>
      <c r="Z302" s="28"/>
      <c r="AA302" s="28"/>
      <c r="AB302" s="28"/>
      <c r="AC302" s="28"/>
      <c r="AD302" s="28"/>
      <c r="AE302" s="28"/>
      <c r="AF302" s="28"/>
      <c r="AG302" s="28"/>
    </row>
    <row r="303" spans="1:33" ht="15.75" customHeight="1">
      <c r="A303" s="28"/>
      <c r="B303" s="28"/>
      <c r="C303" s="28"/>
      <c r="D303" s="28"/>
      <c r="E303" s="28"/>
      <c r="F303" s="28"/>
      <c r="G303" s="28"/>
      <c r="H303" s="28"/>
      <c r="I303" s="22"/>
      <c r="J303" s="28"/>
      <c r="K303" s="28"/>
      <c r="L303" s="22"/>
      <c r="M303" s="22"/>
      <c r="N303" s="28"/>
      <c r="O303" s="28"/>
      <c r="P303" s="53"/>
      <c r="Q303" s="53"/>
      <c r="R303" s="28"/>
      <c r="S303" s="53"/>
      <c r="T303" s="28"/>
      <c r="U303" s="28"/>
      <c r="V303" s="28"/>
      <c r="W303" s="28"/>
      <c r="X303" s="53"/>
      <c r="Y303" s="22"/>
      <c r="Z303" s="28"/>
      <c r="AA303" s="28"/>
      <c r="AB303" s="28"/>
      <c r="AC303" s="28"/>
      <c r="AD303" s="28"/>
      <c r="AE303" s="28"/>
      <c r="AF303" s="28"/>
      <c r="AG303" s="28"/>
    </row>
    <row r="304" spans="1:33" ht="15.75" customHeight="1">
      <c r="A304" s="28"/>
      <c r="B304" s="28"/>
      <c r="C304" s="28"/>
      <c r="D304" s="28"/>
      <c r="E304" s="28"/>
      <c r="F304" s="28"/>
      <c r="G304" s="28"/>
      <c r="H304" s="28"/>
      <c r="I304" s="22"/>
      <c r="J304" s="28"/>
      <c r="K304" s="28"/>
      <c r="L304" s="22"/>
      <c r="M304" s="22"/>
      <c r="N304" s="28"/>
      <c r="O304" s="28"/>
      <c r="P304" s="53"/>
      <c r="Q304" s="53"/>
      <c r="R304" s="28"/>
      <c r="S304" s="53"/>
      <c r="T304" s="28"/>
      <c r="U304" s="28"/>
      <c r="V304" s="28"/>
      <c r="W304" s="28"/>
      <c r="X304" s="53"/>
      <c r="Y304" s="22"/>
      <c r="Z304" s="28"/>
      <c r="AA304" s="28"/>
      <c r="AB304" s="28"/>
      <c r="AC304" s="28"/>
      <c r="AD304" s="28"/>
      <c r="AE304" s="28"/>
      <c r="AF304" s="28"/>
      <c r="AG304" s="28"/>
    </row>
    <row r="305" spans="1:33" ht="15.75" customHeight="1">
      <c r="A305" s="28"/>
      <c r="B305" s="28"/>
      <c r="C305" s="28"/>
      <c r="D305" s="28"/>
      <c r="E305" s="28"/>
      <c r="F305" s="28"/>
      <c r="G305" s="28"/>
      <c r="H305" s="28"/>
      <c r="I305" s="22"/>
      <c r="J305" s="28"/>
      <c r="K305" s="28"/>
      <c r="L305" s="22"/>
      <c r="M305" s="22"/>
      <c r="N305" s="28"/>
      <c r="O305" s="28"/>
      <c r="P305" s="53"/>
      <c r="Q305" s="53"/>
      <c r="R305" s="28"/>
      <c r="S305" s="53"/>
      <c r="T305" s="28"/>
      <c r="U305" s="28"/>
      <c r="V305" s="28"/>
      <c r="W305" s="28"/>
      <c r="X305" s="53"/>
      <c r="Y305" s="22"/>
      <c r="Z305" s="28"/>
      <c r="AA305" s="28"/>
      <c r="AB305" s="28"/>
      <c r="AC305" s="28"/>
      <c r="AD305" s="28"/>
      <c r="AE305" s="28"/>
      <c r="AF305" s="28"/>
      <c r="AG305" s="28"/>
    </row>
    <row r="306" spans="1:33" ht="15.75" customHeight="1">
      <c r="A306" s="28"/>
      <c r="B306" s="28"/>
      <c r="C306" s="28"/>
      <c r="D306" s="28"/>
      <c r="E306" s="28"/>
      <c r="F306" s="28"/>
      <c r="G306" s="28"/>
      <c r="H306" s="28"/>
      <c r="I306" s="22"/>
      <c r="J306" s="28"/>
      <c r="K306" s="28"/>
      <c r="L306" s="22"/>
      <c r="M306" s="22"/>
      <c r="N306" s="28"/>
      <c r="O306" s="28"/>
      <c r="P306" s="53"/>
      <c r="Q306" s="53"/>
      <c r="R306" s="28"/>
      <c r="S306" s="53"/>
      <c r="T306" s="28"/>
      <c r="U306" s="28"/>
      <c r="V306" s="28"/>
      <c r="W306" s="28"/>
      <c r="X306" s="53"/>
      <c r="Y306" s="22"/>
      <c r="Z306" s="28"/>
      <c r="AA306" s="28"/>
      <c r="AB306" s="28"/>
      <c r="AC306" s="28"/>
      <c r="AD306" s="28"/>
      <c r="AE306" s="28"/>
      <c r="AF306" s="28"/>
      <c r="AG306" s="28"/>
    </row>
    <row r="307" spans="1:33" ht="15.75" customHeight="1">
      <c r="A307" s="28"/>
      <c r="B307" s="28"/>
      <c r="C307" s="28"/>
      <c r="D307" s="28"/>
      <c r="E307" s="28"/>
      <c r="F307" s="28"/>
      <c r="G307" s="28"/>
      <c r="H307" s="28"/>
      <c r="I307" s="22"/>
      <c r="J307" s="28"/>
      <c r="K307" s="28"/>
      <c r="L307" s="22"/>
      <c r="M307" s="22"/>
      <c r="N307" s="28"/>
      <c r="O307" s="28"/>
      <c r="P307" s="53"/>
      <c r="Q307" s="53"/>
      <c r="R307" s="28"/>
      <c r="S307" s="53"/>
      <c r="T307" s="28"/>
      <c r="U307" s="28"/>
      <c r="V307" s="28"/>
      <c r="W307" s="28"/>
      <c r="X307" s="53"/>
      <c r="Y307" s="22"/>
      <c r="Z307" s="28"/>
      <c r="AA307" s="28"/>
      <c r="AB307" s="28"/>
      <c r="AC307" s="28"/>
      <c r="AD307" s="28"/>
      <c r="AE307" s="28"/>
      <c r="AF307" s="28"/>
      <c r="AG307" s="28"/>
    </row>
    <row r="308" spans="1:33" ht="15.75" customHeight="1">
      <c r="A308" s="28"/>
      <c r="B308" s="28"/>
      <c r="C308" s="28"/>
      <c r="D308" s="28"/>
      <c r="E308" s="28"/>
      <c r="F308" s="28"/>
      <c r="G308" s="28"/>
      <c r="H308" s="28"/>
      <c r="I308" s="22"/>
      <c r="J308" s="28"/>
      <c r="K308" s="28"/>
      <c r="L308" s="22"/>
      <c r="M308" s="22"/>
      <c r="N308" s="28"/>
      <c r="O308" s="28"/>
      <c r="P308" s="53"/>
      <c r="Q308" s="53"/>
      <c r="R308" s="28"/>
      <c r="S308" s="53"/>
      <c r="T308" s="28"/>
      <c r="U308" s="28"/>
      <c r="V308" s="28"/>
      <c r="W308" s="28"/>
      <c r="X308" s="53"/>
      <c r="Y308" s="22"/>
      <c r="Z308" s="28"/>
      <c r="AA308" s="28"/>
      <c r="AB308" s="28"/>
      <c r="AC308" s="28"/>
      <c r="AD308" s="28"/>
      <c r="AE308" s="28"/>
      <c r="AF308" s="28"/>
      <c r="AG308" s="28"/>
    </row>
    <row r="309" spans="1:33" ht="15.75" customHeight="1">
      <c r="A309" s="28"/>
      <c r="B309" s="28"/>
      <c r="C309" s="28"/>
      <c r="D309" s="28"/>
      <c r="E309" s="28"/>
      <c r="F309" s="28"/>
      <c r="G309" s="28"/>
      <c r="H309" s="28"/>
      <c r="I309" s="22"/>
      <c r="J309" s="28"/>
      <c r="K309" s="28"/>
      <c r="L309" s="22"/>
      <c r="M309" s="22"/>
      <c r="N309" s="28"/>
      <c r="O309" s="28"/>
      <c r="P309" s="53"/>
      <c r="Q309" s="53"/>
      <c r="R309" s="28"/>
      <c r="S309" s="53"/>
      <c r="T309" s="28"/>
      <c r="U309" s="28"/>
      <c r="V309" s="28"/>
      <c r="W309" s="28"/>
      <c r="X309" s="53"/>
      <c r="Y309" s="22"/>
      <c r="Z309" s="28"/>
      <c r="AA309" s="28"/>
      <c r="AB309" s="28"/>
      <c r="AC309" s="28"/>
      <c r="AD309" s="28"/>
      <c r="AE309" s="28"/>
      <c r="AF309" s="28"/>
      <c r="AG309" s="28"/>
    </row>
    <row r="310" spans="1:33" ht="15.75" customHeight="1">
      <c r="A310" s="28"/>
      <c r="B310" s="28"/>
      <c r="C310" s="28"/>
      <c r="D310" s="28"/>
      <c r="E310" s="28"/>
      <c r="F310" s="28"/>
      <c r="G310" s="28"/>
      <c r="H310" s="28"/>
      <c r="I310" s="22"/>
      <c r="J310" s="28"/>
      <c r="K310" s="28"/>
      <c r="L310" s="22"/>
      <c r="M310" s="22"/>
      <c r="N310" s="28"/>
      <c r="O310" s="28"/>
      <c r="P310" s="53"/>
      <c r="Q310" s="53"/>
      <c r="R310" s="28"/>
      <c r="S310" s="53"/>
      <c r="T310" s="28"/>
      <c r="U310" s="28"/>
      <c r="V310" s="28"/>
      <c r="W310" s="28"/>
      <c r="X310" s="53"/>
      <c r="Y310" s="22"/>
      <c r="Z310" s="28"/>
      <c r="AA310" s="28"/>
      <c r="AB310" s="28"/>
      <c r="AC310" s="28"/>
      <c r="AD310" s="28"/>
      <c r="AE310" s="28"/>
      <c r="AF310" s="28"/>
      <c r="AG310" s="28"/>
    </row>
    <row r="311" spans="1:33" ht="15.75" customHeight="1">
      <c r="A311" s="28"/>
      <c r="B311" s="28"/>
      <c r="C311" s="28"/>
      <c r="D311" s="28"/>
      <c r="E311" s="28"/>
      <c r="F311" s="28"/>
      <c r="G311" s="28"/>
      <c r="H311" s="28"/>
      <c r="I311" s="22"/>
      <c r="J311" s="28"/>
      <c r="K311" s="28"/>
      <c r="L311" s="22"/>
      <c r="M311" s="22"/>
      <c r="N311" s="28"/>
      <c r="O311" s="28"/>
      <c r="P311" s="53"/>
      <c r="Q311" s="53"/>
      <c r="R311" s="28"/>
      <c r="S311" s="53"/>
      <c r="T311" s="28"/>
      <c r="U311" s="28"/>
      <c r="V311" s="28"/>
      <c r="W311" s="28"/>
      <c r="X311" s="53"/>
      <c r="Y311" s="22"/>
      <c r="Z311" s="28"/>
      <c r="AA311" s="28"/>
      <c r="AB311" s="28"/>
      <c r="AC311" s="28"/>
      <c r="AD311" s="28"/>
      <c r="AE311" s="28"/>
      <c r="AF311" s="28"/>
      <c r="AG311" s="28"/>
    </row>
    <row r="312" spans="1:33" ht="15.75" customHeight="1">
      <c r="A312" s="28"/>
      <c r="B312" s="28"/>
      <c r="C312" s="28"/>
      <c r="D312" s="28"/>
      <c r="E312" s="28"/>
      <c r="F312" s="28"/>
      <c r="G312" s="28"/>
      <c r="H312" s="28"/>
      <c r="I312" s="22"/>
      <c r="J312" s="28"/>
      <c r="K312" s="28"/>
      <c r="L312" s="22"/>
      <c r="M312" s="22"/>
      <c r="N312" s="28"/>
      <c r="O312" s="28"/>
      <c r="P312" s="53"/>
      <c r="Q312" s="53"/>
      <c r="R312" s="28"/>
      <c r="S312" s="53"/>
      <c r="T312" s="28"/>
      <c r="U312" s="28"/>
      <c r="V312" s="28"/>
      <c r="W312" s="28"/>
      <c r="X312" s="53"/>
      <c r="Y312" s="22"/>
      <c r="Z312" s="28"/>
      <c r="AA312" s="28"/>
      <c r="AB312" s="28"/>
      <c r="AC312" s="28"/>
      <c r="AD312" s="28"/>
      <c r="AE312" s="28"/>
      <c r="AF312" s="28"/>
      <c r="AG312" s="28"/>
    </row>
    <row r="313" spans="1:33" ht="15.75" customHeight="1">
      <c r="A313" s="28"/>
      <c r="B313" s="28"/>
      <c r="C313" s="28"/>
      <c r="D313" s="28"/>
      <c r="E313" s="28"/>
      <c r="F313" s="28"/>
      <c r="G313" s="28"/>
      <c r="H313" s="28"/>
      <c r="I313" s="22"/>
      <c r="J313" s="28"/>
      <c r="K313" s="28"/>
      <c r="L313" s="22"/>
      <c r="M313" s="22"/>
      <c r="N313" s="28"/>
      <c r="O313" s="28"/>
      <c r="P313" s="53"/>
      <c r="Q313" s="53"/>
      <c r="R313" s="28"/>
      <c r="S313" s="53"/>
      <c r="T313" s="28"/>
      <c r="U313" s="28"/>
      <c r="V313" s="28"/>
      <c r="W313" s="28"/>
      <c r="X313" s="53"/>
      <c r="Y313" s="22"/>
      <c r="Z313" s="28"/>
      <c r="AA313" s="28"/>
      <c r="AB313" s="28"/>
      <c r="AC313" s="28"/>
      <c r="AD313" s="28"/>
      <c r="AE313" s="28"/>
      <c r="AF313" s="28"/>
      <c r="AG313" s="28"/>
    </row>
    <row r="314" spans="1:33" ht="15.75" customHeight="1">
      <c r="A314" s="28"/>
      <c r="B314" s="28"/>
      <c r="C314" s="28"/>
      <c r="D314" s="28"/>
      <c r="E314" s="28"/>
      <c r="F314" s="28"/>
      <c r="G314" s="28"/>
      <c r="H314" s="28"/>
      <c r="I314" s="22"/>
      <c r="J314" s="28"/>
      <c r="K314" s="28"/>
      <c r="L314" s="22"/>
      <c r="M314" s="22"/>
      <c r="N314" s="28"/>
      <c r="O314" s="28"/>
      <c r="P314" s="53"/>
      <c r="Q314" s="53"/>
      <c r="R314" s="28"/>
      <c r="S314" s="53"/>
      <c r="T314" s="28"/>
      <c r="U314" s="28"/>
      <c r="V314" s="28"/>
      <c r="W314" s="28"/>
      <c r="X314" s="53"/>
      <c r="Y314" s="22"/>
      <c r="Z314" s="28"/>
      <c r="AA314" s="28"/>
      <c r="AB314" s="28"/>
      <c r="AC314" s="28"/>
      <c r="AD314" s="28"/>
      <c r="AE314" s="28"/>
      <c r="AF314" s="28"/>
      <c r="AG314" s="28"/>
    </row>
    <row r="315" spans="1:33" ht="15.75" customHeight="1">
      <c r="A315" s="28"/>
      <c r="B315" s="28"/>
      <c r="C315" s="28"/>
      <c r="D315" s="28"/>
      <c r="E315" s="28"/>
      <c r="F315" s="28"/>
      <c r="G315" s="28"/>
      <c r="H315" s="28"/>
      <c r="I315" s="22"/>
      <c r="J315" s="28"/>
      <c r="K315" s="28"/>
      <c r="L315" s="22"/>
      <c r="M315" s="22"/>
      <c r="N315" s="28"/>
      <c r="O315" s="28"/>
      <c r="P315" s="53"/>
      <c r="Q315" s="53"/>
      <c r="R315" s="28"/>
      <c r="S315" s="53"/>
      <c r="T315" s="28"/>
      <c r="U315" s="28"/>
      <c r="V315" s="28"/>
      <c r="W315" s="28"/>
      <c r="X315" s="53"/>
      <c r="Y315" s="22"/>
      <c r="Z315" s="28"/>
      <c r="AA315" s="28"/>
      <c r="AB315" s="28"/>
      <c r="AC315" s="28"/>
      <c r="AD315" s="28"/>
      <c r="AE315" s="28"/>
      <c r="AF315" s="28"/>
      <c r="AG315" s="28"/>
    </row>
    <row r="316" spans="1:33" ht="15.75" customHeight="1">
      <c r="A316" s="28"/>
      <c r="B316" s="28"/>
      <c r="C316" s="28"/>
      <c r="D316" s="28"/>
      <c r="E316" s="28"/>
      <c r="F316" s="28"/>
      <c r="G316" s="28"/>
      <c r="H316" s="28"/>
      <c r="I316" s="22"/>
      <c r="J316" s="28"/>
      <c r="K316" s="28"/>
      <c r="L316" s="22"/>
      <c r="M316" s="22"/>
      <c r="N316" s="28"/>
      <c r="O316" s="28"/>
      <c r="P316" s="53"/>
      <c r="Q316" s="53"/>
      <c r="R316" s="28"/>
      <c r="S316" s="53"/>
      <c r="T316" s="28"/>
      <c r="U316" s="28"/>
      <c r="V316" s="28"/>
      <c r="W316" s="28"/>
      <c r="X316" s="53"/>
      <c r="Y316" s="22"/>
      <c r="Z316" s="28"/>
      <c r="AA316" s="28"/>
      <c r="AB316" s="28"/>
      <c r="AC316" s="28"/>
      <c r="AD316" s="28"/>
      <c r="AE316" s="28"/>
      <c r="AF316" s="28"/>
      <c r="AG316" s="28"/>
    </row>
    <row r="317" spans="1:33" ht="15.75" customHeight="1">
      <c r="A317" s="28"/>
      <c r="B317" s="28"/>
      <c r="C317" s="28"/>
      <c r="D317" s="28"/>
      <c r="E317" s="28"/>
      <c r="F317" s="28"/>
      <c r="G317" s="28"/>
      <c r="H317" s="28"/>
      <c r="I317" s="22"/>
      <c r="J317" s="28"/>
      <c r="K317" s="28"/>
      <c r="L317" s="22"/>
      <c r="M317" s="22"/>
      <c r="N317" s="28"/>
      <c r="O317" s="28"/>
      <c r="P317" s="53"/>
      <c r="Q317" s="53"/>
      <c r="R317" s="28"/>
      <c r="S317" s="53"/>
      <c r="T317" s="28"/>
      <c r="U317" s="28"/>
      <c r="V317" s="28"/>
      <c r="W317" s="28"/>
      <c r="X317" s="53"/>
      <c r="Y317" s="22"/>
      <c r="Z317" s="28"/>
      <c r="AA317" s="28"/>
      <c r="AB317" s="28"/>
      <c r="AC317" s="28"/>
      <c r="AD317" s="28"/>
      <c r="AE317" s="28"/>
      <c r="AF317" s="28"/>
      <c r="AG317" s="28"/>
    </row>
    <row r="318" spans="1:33" ht="15.75" customHeight="1">
      <c r="A318" s="28"/>
      <c r="B318" s="28"/>
      <c r="C318" s="28"/>
      <c r="D318" s="28"/>
      <c r="E318" s="28"/>
      <c r="F318" s="28"/>
      <c r="G318" s="28"/>
      <c r="H318" s="28"/>
      <c r="I318" s="22"/>
      <c r="J318" s="28"/>
      <c r="K318" s="28"/>
      <c r="L318" s="22"/>
      <c r="M318" s="22"/>
      <c r="N318" s="28"/>
      <c r="O318" s="28"/>
      <c r="P318" s="53"/>
      <c r="Q318" s="53"/>
      <c r="R318" s="28"/>
      <c r="S318" s="53"/>
      <c r="T318" s="28"/>
      <c r="U318" s="28"/>
      <c r="V318" s="28"/>
      <c r="W318" s="28"/>
      <c r="X318" s="53"/>
      <c r="Y318" s="22"/>
      <c r="Z318" s="28"/>
      <c r="AA318" s="28"/>
      <c r="AB318" s="28"/>
      <c r="AC318" s="28"/>
      <c r="AD318" s="28"/>
      <c r="AE318" s="28"/>
      <c r="AF318" s="28"/>
      <c r="AG318" s="28"/>
    </row>
    <row r="319" spans="1:33" ht="15.75" customHeight="1">
      <c r="A319" s="28"/>
      <c r="B319" s="28"/>
      <c r="C319" s="28"/>
      <c r="D319" s="28"/>
      <c r="E319" s="28"/>
      <c r="F319" s="28"/>
      <c r="G319" s="28"/>
      <c r="H319" s="28"/>
      <c r="I319" s="22"/>
      <c r="J319" s="28"/>
      <c r="K319" s="28"/>
      <c r="L319" s="22"/>
      <c r="M319" s="22"/>
      <c r="N319" s="28"/>
      <c r="O319" s="28"/>
      <c r="P319" s="53"/>
      <c r="Q319" s="53"/>
      <c r="R319" s="28"/>
      <c r="S319" s="53"/>
      <c r="T319" s="28"/>
      <c r="U319" s="28"/>
      <c r="V319" s="28"/>
      <c r="W319" s="28"/>
      <c r="X319" s="53"/>
      <c r="Y319" s="22"/>
      <c r="Z319" s="28"/>
      <c r="AA319" s="28"/>
      <c r="AB319" s="28"/>
      <c r="AC319" s="28"/>
      <c r="AD319" s="28"/>
      <c r="AE319" s="28"/>
      <c r="AF319" s="28"/>
      <c r="AG319" s="28"/>
    </row>
    <row r="320" spans="1:33" ht="15.75" customHeight="1">
      <c r="A320" s="28"/>
      <c r="B320" s="28"/>
      <c r="C320" s="28"/>
      <c r="D320" s="28"/>
      <c r="E320" s="28"/>
      <c r="F320" s="28"/>
      <c r="G320" s="28"/>
      <c r="H320" s="28"/>
      <c r="I320" s="22"/>
      <c r="J320" s="28"/>
      <c r="K320" s="28"/>
      <c r="L320" s="22"/>
      <c r="M320" s="22"/>
      <c r="N320" s="28"/>
      <c r="O320" s="28"/>
      <c r="P320" s="53"/>
      <c r="Q320" s="53"/>
      <c r="R320" s="28"/>
      <c r="S320" s="53"/>
      <c r="T320" s="28"/>
      <c r="U320" s="28"/>
      <c r="V320" s="28"/>
      <c r="W320" s="28"/>
      <c r="X320" s="53"/>
      <c r="Y320" s="22"/>
      <c r="Z320" s="28"/>
      <c r="AA320" s="28"/>
      <c r="AB320" s="28"/>
      <c r="AC320" s="28"/>
      <c r="AD320" s="28"/>
      <c r="AE320" s="28"/>
      <c r="AF320" s="28"/>
      <c r="AG320" s="28"/>
    </row>
    <row r="321" spans="1:33" ht="15.75" customHeight="1">
      <c r="A321" s="28"/>
      <c r="B321" s="28"/>
      <c r="C321" s="28"/>
      <c r="D321" s="28"/>
      <c r="E321" s="28"/>
      <c r="F321" s="28"/>
      <c r="G321" s="28"/>
      <c r="H321" s="28"/>
      <c r="I321" s="22"/>
      <c r="J321" s="28"/>
      <c r="K321" s="28"/>
      <c r="L321" s="22"/>
      <c r="M321" s="22"/>
      <c r="N321" s="28"/>
      <c r="O321" s="28"/>
      <c r="P321" s="53"/>
      <c r="Q321" s="53"/>
      <c r="R321" s="28"/>
      <c r="S321" s="53"/>
      <c r="T321" s="28"/>
      <c r="U321" s="28"/>
      <c r="V321" s="28"/>
      <c r="W321" s="28"/>
      <c r="X321" s="53"/>
      <c r="Y321" s="22"/>
      <c r="Z321" s="28"/>
      <c r="AA321" s="28"/>
      <c r="AB321" s="28"/>
      <c r="AC321" s="28"/>
      <c r="AD321" s="28"/>
      <c r="AE321" s="28"/>
      <c r="AF321" s="28"/>
      <c r="AG321" s="28"/>
    </row>
    <row r="322" spans="1:33" ht="15.75" customHeight="1">
      <c r="A322" s="28"/>
      <c r="B322" s="28"/>
      <c r="C322" s="28"/>
      <c r="D322" s="28"/>
      <c r="E322" s="28"/>
      <c r="F322" s="28"/>
      <c r="G322" s="28"/>
      <c r="H322" s="28"/>
      <c r="I322" s="22"/>
      <c r="J322" s="28"/>
      <c r="K322" s="28"/>
      <c r="L322" s="22"/>
      <c r="M322" s="22"/>
      <c r="N322" s="28"/>
      <c r="O322" s="28"/>
      <c r="P322" s="53"/>
      <c r="Q322" s="53"/>
      <c r="R322" s="28"/>
      <c r="S322" s="53"/>
      <c r="T322" s="28"/>
      <c r="U322" s="28"/>
      <c r="V322" s="28"/>
      <c r="W322" s="28"/>
      <c r="X322" s="53"/>
      <c r="Y322" s="22"/>
      <c r="Z322" s="28"/>
      <c r="AA322" s="28"/>
      <c r="AB322" s="28"/>
      <c r="AC322" s="28"/>
      <c r="AD322" s="28"/>
      <c r="AE322" s="28"/>
      <c r="AF322" s="28"/>
      <c r="AG322" s="28"/>
    </row>
    <row r="323" spans="1:33" ht="15.75" customHeight="1">
      <c r="A323" s="28"/>
      <c r="B323" s="28"/>
      <c r="C323" s="28"/>
      <c r="D323" s="28"/>
      <c r="E323" s="28"/>
      <c r="F323" s="28"/>
      <c r="G323" s="28"/>
      <c r="H323" s="28"/>
      <c r="I323" s="22"/>
      <c r="J323" s="28"/>
      <c r="K323" s="28"/>
      <c r="L323" s="22"/>
      <c r="M323" s="22"/>
      <c r="N323" s="28"/>
      <c r="O323" s="28"/>
      <c r="P323" s="53"/>
      <c r="Q323" s="53"/>
      <c r="R323" s="28"/>
      <c r="S323" s="53"/>
      <c r="T323" s="28"/>
      <c r="U323" s="28"/>
      <c r="V323" s="28"/>
      <c r="W323" s="28"/>
      <c r="X323" s="53"/>
      <c r="Y323" s="22"/>
      <c r="Z323" s="28"/>
      <c r="AA323" s="28"/>
      <c r="AB323" s="28"/>
      <c r="AC323" s="28"/>
      <c r="AD323" s="28"/>
      <c r="AE323" s="28"/>
      <c r="AF323" s="28"/>
      <c r="AG323" s="28"/>
    </row>
    <row r="324" spans="1:33" ht="15.75" customHeight="1">
      <c r="A324" s="28"/>
      <c r="B324" s="28"/>
      <c r="C324" s="28"/>
      <c r="D324" s="28"/>
      <c r="E324" s="28"/>
      <c r="F324" s="28"/>
      <c r="G324" s="28"/>
      <c r="H324" s="28"/>
      <c r="I324" s="22"/>
      <c r="J324" s="28"/>
      <c r="K324" s="28"/>
      <c r="L324" s="22"/>
      <c r="M324" s="22"/>
      <c r="N324" s="28"/>
      <c r="O324" s="28"/>
      <c r="P324" s="53"/>
      <c r="Q324" s="53"/>
      <c r="R324" s="28"/>
      <c r="S324" s="53"/>
      <c r="T324" s="28"/>
      <c r="U324" s="28"/>
      <c r="V324" s="28"/>
      <c r="W324" s="28"/>
      <c r="X324" s="53"/>
      <c r="Y324" s="22"/>
      <c r="Z324" s="28"/>
      <c r="AA324" s="28"/>
      <c r="AB324" s="28"/>
      <c r="AC324" s="28"/>
      <c r="AD324" s="28"/>
      <c r="AE324" s="28"/>
      <c r="AF324" s="28"/>
      <c r="AG324" s="28"/>
    </row>
    <row r="325" spans="1:33" ht="15.75" customHeight="1">
      <c r="A325" s="28"/>
      <c r="B325" s="28"/>
      <c r="C325" s="28"/>
      <c r="D325" s="28"/>
      <c r="E325" s="28"/>
      <c r="F325" s="28"/>
      <c r="G325" s="28"/>
      <c r="H325" s="28"/>
      <c r="I325" s="22"/>
      <c r="J325" s="28"/>
      <c r="K325" s="28"/>
      <c r="L325" s="22"/>
      <c r="M325" s="22"/>
      <c r="N325" s="28"/>
      <c r="O325" s="28"/>
      <c r="P325" s="53"/>
      <c r="Q325" s="53"/>
      <c r="R325" s="28"/>
      <c r="S325" s="53"/>
      <c r="T325" s="28"/>
      <c r="U325" s="28"/>
      <c r="V325" s="28"/>
      <c r="W325" s="28"/>
      <c r="X325" s="53"/>
      <c r="Y325" s="22"/>
      <c r="Z325" s="28"/>
      <c r="AA325" s="28"/>
      <c r="AB325" s="28"/>
      <c r="AC325" s="28"/>
      <c r="AD325" s="28"/>
      <c r="AE325" s="28"/>
      <c r="AF325" s="28"/>
      <c r="AG325" s="28"/>
    </row>
    <row r="326" spans="1:33" ht="15.75" customHeight="1">
      <c r="A326" s="28"/>
      <c r="B326" s="28"/>
      <c r="C326" s="28"/>
      <c r="D326" s="28"/>
      <c r="E326" s="28"/>
      <c r="F326" s="28"/>
      <c r="G326" s="28"/>
      <c r="H326" s="28"/>
      <c r="I326" s="22"/>
      <c r="J326" s="28"/>
      <c r="K326" s="28"/>
      <c r="L326" s="22"/>
      <c r="M326" s="22"/>
      <c r="N326" s="28"/>
      <c r="O326" s="28"/>
      <c r="P326" s="53"/>
      <c r="Q326" s="53"/>
      <c r="R326" s="28"/>
      <c r="S326" s="53"/>
      <c r="T326" s="28"/>
      <c r="U326" s="28"/>
      <c r="V326" s="28"/>
      <c r="W326" s="28"/>
      <c r="X326" s="53"/>
      <c r="Y326" s="22"/>
      <c r="Z326" s="28"/>
      <c r="AA326" s="28"/>
      <c r="AB326" s="28"/>
      <c r="AC326" s="28"/>
      <c r="AD326" s="28"/>
      <c r="AE326" s="28"/>
      <c r="AF326" s="28"/>
      <c r="AG326" s="28"/>
    </row>
    <row r="327" spans="1:33" ht="15.75" customHeight="1">
      <c r="A327" s="28"/>
      <c r="B327" s="28"/>
      <c r="C327" s="28"/>
      <c r="D327" s="28"/>
      <c r="E327" s="28"/>
      <c r="F327" s="28"/>
      <c r="G327" s="28"/>
      <c r="H327" s="28"/>
      <c r="I327" s="22"/>
      <c r="J327" s="28"/>
      <c r="K327" s="28"/>
      <c r="L327" s="22"/>
      <c r="M327" s="22"/>
      <c r="N327" s="28"/>
      <c r="O327" s="28"/>
      <c r="P327" s="53"/>
      <c r="Q327" s="53"/>
      <c r="R327" s="28"/>
      <c r="S327" s="53"/>
      <c r="T327" s="28"/>
      <c r="U327" s="28"/>
      <c r="V327" s="28"/>
      <c r="W327" s="28"/>
      <c r="X327" s="53"/>
      <c r="Y327" s="22"/>
      <c r="Z327" s="28"/>
      <c r="AA327" s="28"/>
      <c r="AB327" s="28"/>
      <c r="AC327" s="28"/>
      <c r="AD327" s="28"/>
      <c r="AE327" s="28"/>
      <c r="AF327" s="28"/>
      <c r="AG327" s="28"/>
    </row>
    <row r="328" spans="1:33" ht="15.75" customHeight="1">
      <c r="A328" s="28"/>
      <c r="B328" s="28"/>
      <c r="C328" s="28"/>
      <c r="D328" s="28"/>
      <c r="E328" s="28"/>
      <c r="F328" s="28"/>
      <c r="G328" s="28"/>
      <c r="H328" s="28"/>
      <c r="I328" s="22"/>
      <c r="J328" s="28"/>
      <c r="K328" s="28"/>
      <c r="L328" s="22"/>
      <c r="M328" s="22"/>
      <c r="N328" s="28"/>
      <c r="O328" s="28"/>
      <c r="P328" s="53"/>
      <c r="Q328" s="53"/>
      <c r="R328" s="28"/>
      <c r="S328" s="53"/>
      <c r="T328" s="28"/>
      <c r="U328" s="28"/>
      <c r="V328" s="28"/>
      <c r="W328" s="28"/>
      <c r="X328" s="53"/>
      <c r="Y328" s="22"/>
      <c r="Z328" s="28"/>
      <c r="AA328" s="28"/>
      <c r="AB328" s="28"/>
      <c r="AC328" s="28"/>
      <c r="AD328" s="28"/>
      <c r="AE328" s="28"/>
      <c r="AF328" s="28"/>
      <c r="AG328" s="28"/>
    </row>
    <row r="329" spans="1:33" ht="15.75" customHeight="1">
      <c r="A329" s="28"/>
      <c r="B329" s="28"/>
      <c r="C329" s="28"/>
      <c r="D329" s="28"/>
      <c r="E329" s="28"/>
      <c r="F329" s="28"/>
      <c r="G329" s="28"/>
      <c r="H329" s="28"/>
      <c r="I329" s="22"/>
      <c r="J329" s="28"/>
      <c r="K329" s="28"/>
      <c r="L329" s="22"/>
      <c r="M329" s="22"/>
      <c r="N329" s="28"/>
      <c r="O329" s="28"/>
      <c r="P329" s="53"/>
      <c r="Q329" s="53"/>
      <c r="R329" s="28"/>
      <c r="S329" s="53"/>
      <c r="T329" s="28"/>
      <c r="U329" s="28"/>
      <c r="V329" s="28"/>
      <c r="W329" s="28"/>
      <c r="X329" s="53"/>
      <c r="Y329" s="22"/>
      <c r="Z329" s="28"/>
      <c r="AA329" s="28"/>
      <c r="AB329" s="28"/>
      <c r="AC329" s="28"/>
      <c r="AD329" s="28"/>
      <c r="AE329" s="28"/>
      <c r="AF329" s="28"/>
      <c r="AG329" s="28"/>
    </row>
    <row r="330" spans="1:33" ht="15.75" customHeight="1">
      <c r="A330" s="28"/>
      <c r="B330" s="28"/>
      <c r="C330" s="28"/>
      <c r="D330" s="28"/>
      <c r="E330" s="28"/>
      <c r="F330" s="28"/>
      <c r="G330" s="28"/>
      <c r="H330" s="28"/>
      <c r="I330" s="22"/>
      <c r="J330" s="28"/>
      <c r="K330" s="28"/>
      <c r="L330" s="22"/>
      <c r="M330" s="22"/>
      <c r="N330" s="28"/>
      <c r="O330" s="28"/>
      <c r="P330" s="53"/>
      <c r="Q330" s="53"/>
      <c r="R330" s="28"/>
      <c r="S330" s="53"/>
      <c r="T330" s="28"/>
      <c r="U330" s="28"/>
      <c r="V330" s="28"/>
      <c r="W330" s="28"/>
      <c r="X330" s="53"/>
      <c r="Y330" s="22"/>
      <c r="Z330" s="28"/>
      <c r="AA330" s="28"/>
      <c r="AB330" s="28"/>
      <c r="AC330" s="28"/>
      <c r="AD330" s="28"/>
      <c r="AE330" s="28"/>
      <c r="AF330" s="28"/>
      <c r="AG330" s="28"/>
    </row>
    <row r="331" spans="1:33" ht="15.75" customHeight="1">
      <c r="A331" s="28"/>
      <c r="B331" s="28"/>
      <c r="C331" s="28"/>
      <c r="D331" s="28"/>
      <c r="E331" s="28"/>
      <c r="F331" s="28"/>
      <c r="G331" s="28"/>
      <c r="H331" s="28"/>
      <c r="I331" s="22"/>
      <c r="J331" s="28"/>
      <c r="K331" s="28"/>
      <c r="L331" s="22"/>
      <c r="M331" s="22"/>
      <c r="N331" s="28"/>
      <c r="O331" s="28"/>
      <c r="P331" s="53"/>
      <c r="Q331" s="53"/>
      <c r="R331" s="28"/>
      <c r="S331" s="53"/>
      <c r="T331" s="28"/>
      <c r="U331" s="28"/>
      <c r="V331" s="28"/>
      <c r="W331" s="28"/>
      <c r="X331" s="53"/>
      <c r="Y331" s="22"/>
      <c r="Z331" s="28"/>
      <c r="AA331" s="28"/>
      <c r="AB331" s="28"/>
      <c r="AC331" s="28"/>
      <c r="AD331" s="28"/>
      <c r="AE331" s="28"/>
      <c r="AF331" s="28"/>
      <c r="AG331" s="28"/>
    </row>
    <row r="332" spans="1:33" ht="15.75" customHeight="1">
      <c r="A332" s="28"/>
      <c r="B332" s="28"/>
      <c r="C332" s="28"/>
      <c r="D332" s="28"/>
      <c r="E332" s="28"/>
      <c r="F332" s="28"/>
      <c r="G332" s="28"/>
      <c r="H332" s="28"/>
      <c r="I332" s="22"/>
      <c r="J332" s="28"/>
      <c r="K332" s="28"/>
      <c r="L332" s="22"/>
      <c r="M332" s="22"/>
      <c r="N332" s="28"/>
      <c r="O332" s="28"/>
      <c r="P332" s="53"/>
      <c r="Q332" s="53"/>
      <c r="R332" s="28"/>
      <c r="S332" s="53"/>
      <c r="T332" s="28"/>
      <c r="U332" s="28"/>
      <c r="V332" s="28"/>
      <c r="W332" s="28"/>
      <c r="X332" s="53"/>
      <c r="Y332" s="22"/>
      <c r="Z332" s="28"/>
      <c r="AA332" s="28"/>
      <c r="AB332" s="28"/>
      <c r="AC332" s="28"/>
      <c r="AD332" s="28"/>
      <c r="AE332" s="28"/>
      <c r="AF332" s="28"/>
      <c r="AG332" s="28"/>
    </row>
    <row r="333" spans="1:33" ht="15.75" customHeight="1">
      <c r="A333" s="28"/>
      <c r="B333" s="28"/>
      <c r="C333" s="28"/>
      <c r="D333" s="28"/>
      <c r="E333" s="28"/>
      <c r="F333" s="28"/>
      <c r="G333" s="28"/>
      <c r="H333" s="28"/>
      <c r="I333" s="22"/>
      <c r="J333" s="28"/>
      <c r="K333" s="28"/>
      <c r="L333" s="22"/>
      <c r="M333" s="22"/>
      <c r="N333" s="28"/>
      <c r="O333" s="28"/>
      <c r="P333" s="53"/>
      <c r="Q333" s="53"/>
      <c r="R333" s="28"/>
      <c r="S333" s="53"/>
      <c r="T333" s="28"/>
      <c r="U333" s="28"/>
      <c r="V333" s="28"/>
      <c r="W333" s="28"/>
      <c r="X333" s="53"/>
      <c r="Y333" s="22"/>
      <c r="Z333" s="28"/>
      <c r="AA333" s="28"/>
      <c r="AB333" s="28"/>
      <c r="AC333" s="28"/>
      <c r="AD333" s="28"/>
      <c r="AE333" s="28"/>
      <c r="AF333" s="28"/>
      <c r="AG333" s="28"/>
    </row>
    <row r="334" spans="1:33" ht="15.75" customHeight="1">
      <c r="A334" s="28"/>
      <c r="B334" s="28"/>
      <c r="C334" s="28"/>
      <c r="D334" s="28"/>
      <c r="E334" s="28"/>
      <c r="F334" s="28"/>
      <c r="G334" s="28"/>
      <c r="H334" s="28"/>
      <c r="I334" s="22"/>
      <c r="J334" s="28"/>
      <c r="K334" s="28"/>
      <c r="L334" s="22"/>
      <c r="M334" s="22"/>
      <c r="N334" s="28"/>
      <c r="O334" s="28"/>
      <c r="P334" s="53"/>
      <c r="Q334" s="53"/>
      <c r="R334" s="28"/>
      <c r="S334" s="53"/>
      <c r="T334" s="28"/>
      <c r="U334" s="28"/>
      <c r="V334" s="28"/>
      <c r="W334" s="28"/>
      <c r="X334" s="53"/>
      <c r="Y334" s="22"/>
      <c r="Z334" s="28"/>
      <c r="AA334" s="28"/>
      <c r="AB334" s="28"/>
      <c r="AC334" s="28"/>
      <c r="AD334" s="28"/>
      <c r="AE334" s="28"/>
      <c r="AF334" s="28"/>
      <c r="AG334" s="28"/>
    </row>
    <row r="335" spans="1:33" ht="15.75" customHeight="1">
      <c r="A335" s="28"/>
      <c r="B335" s="28"/>
      <c r="C335" s="28"/>
      <c r="D335" s="28"/>
      <c r="E335" s="28"/>
      <c r="F335" s="28"/>
      <c r="G335" s="28"/>
      <c r="H335" s="28"/>
      <c r="I335" s="22"/>
      <c r="J335" s="28"/>
      <c r="K335" s="28"/>
      <c r="L335" s="22"/>
      <c r="M335" s="22"/>
      <c r="N335" s="28"/>
      <c r="O335" s="28"/>
      <c r="P335" s="53"/>
      <c r="Q335" s="53"/>
      <c r="R335" s="28"/>
      <c r="S335" s="53"/>
      <c r="T335" s="28"/>
      <c r="U335" s="28"/>
      <c r="V335" s="28"/>
      <c r="W335" s="28"/>
      <c r="X335" s="53"/>
      <c r="Y335" s="22"/>
      <c r="Z335" s="28"/>
      <c r="AA335" s="28"/>
      <c r="AB335" s="28"/>
      <c r="AC335" s="28"/>
      <c r="AD335" s="28"/>
      <c r="AE335" s="28"/>
      <c r="AF335" s="28"/>
      <c r="AG335" s="28"/>
    </row>
    <row r="336" spans="1:33" ht="15.75" customHeight="1">
      <c r="A336" s="28"/>
      <c r="B336" s="28"/>
      <c r="C336" s="28"/>
      <c r="D336" s="28"/>
      <c r="E336" s="28"/>
      <c r="F336" s="28"/>
      <c r="G336" s="28"/>
      <c r="H336" s="28"/>
      <c r="I336" s="22"/>
      <c r="J336" s="28"/>
      <c r="K336" s="28"/>
      <c r="L336" s="22"/>
      <c r="M336" s="22"/>
      <c r="N336" s="28"/>
      <c r="O336" s="28"/>
      <c r="P336" s="53"/>
      <c r="Q336" s="53"/>
      <c r="R336" s="28"/>
      <c r="S336" s="53"/>
      <c r="T336" s="28"/>
      <c r="U336" s="28"/>
      <c r="V336" s="28"/>
      <c r="W336" s="28"/>
      <c r="X336" s="53"/>
      <c r="Y336" s="22"/>
      <c r="Z336" s="28"/>
      <c r="AA336" s="28"/>
      <c r="AB336" s="28"/>
      <c r="AC336" s="28"/>
      <c r="AD336" s="28"/>
      <c r="AE336" s="28"/>
      <c r="AF336" s="28"/>
      <c r="AG336" s="28"/>
    </row>
    <row r="337" spans="1:33" ht="15.75" customHeight="1">
      <c r="A337" s="28"/>
      <c r="B337" s="28"/>
      <c r="C337" s="28"/>
      <c r="D337" s="28"/>
      <c r="E337" s="28"/>
      <c r="F337" s="28"/>
      <c r="G337" s="28"/>
      <c r="H337" s="28"/>
      <c r="I337" s="22"/>
      <c r="J337" s="28"/>
      <c r="K337" s="28"/>
      <c r="L337" s="22"/>
      <c r="M337" s="22"/>
      <c r="N337" s="28"/>
      <c r="O337" s="28"/>
      <c r="P337" s="53"/>
      <c r="Q337" s="53"/>
      <c r="R337" s="28"/>
      <c r="S337" s="53"/>
      <c r="T337" s="28"/>
      <c r="U337" s="28"/>
      <c r="V337" s="28"/>
      <c r="W337" s="28"/>
      <c r="X337" s="53"/>
      <c r="Y337" s="22"/>
      <c r="Z337" s="28"/>
      <c r="AA337" s="28"/>
      <c r="AB337" s="28"/>
      <c r="AC337" s="28"/>
      <c r="AD337" s="28"/>
      <c r="AE337" s="28"/>
      <c r="AF337" s="28"/>
      <c r="AG337" s="28"/>
    </row>
    <row r="338" spans="1:33" ht="15.75" customHeight="1">
      <c r="A338" s="28"/>
      <c r="B338" s="28"/>
      <c r="C338" s="28"/>
      <c r="D338" s="28"/>
      <c r="E338" s="28"/>
      <c r="F338" s="28"/>
      <c r="G338" s="28"/>
      <c r="H338" s="28"/>
      <c r="I338" s="22"/>
      <c r="J338" s="28"/>
      <c r="K338" s="28"/>
      <c r="L338" s="22"/>
      <c r="M338" s="22"/>
      <c r="N338" s="28"/>
      <c r="O338" s="28"/>
      <c r="P338" s="53"/>
      <c r="Q338" s="53"/>
      <c r="R338" s="28"/>
      <c r="S338" s="53"/>
      <c r="T338" s="28"/>
      <c r="U338" s="28"/>
      <c r="V338" s="28"/>
      <c r="W338" s="28"/>
      <c r="X338" s="53"/>
      <c r="Y338" s="22"/>
      <c r="Z338" s="28"/>
      <c r="AA338" s="28"/>
      <c r="AB338" s="28"/>
      <c r="AC338" s="28"/>
      <c r="AD338" s="28"/>
      <c r="AE338" s="28"/>
      <c r="AF338" s="28"/>
      <c r="AG338" s="28"/>
    </row>
    <row r="339" spans="1:33" ht="15.75" customHeight="1">
      <c r="A339" s="28"/>
      <c r="B339" s="28"/>
      <c r="C339" s="28"/>
      <c r="D339" s="28"/>
      <c r="E339" s="28"/>
      <c r="F339" s="28"/>
      <c r="G339" s="28"/>
      <c r="H339" s="28"/>
      <c r="I339" s="22"/>
      <c r="J339" s="28"/>
      <c r="K339" s="28"/>
      <c r="L339" s="22"/>
      <c r="M339" s="22"/>
      <c r="N339" s="28"/>
      <c r="O339" s="28"/>
      <c r="P339" s="53"/>
      <c r="Q339" s="53"/>
      <c r="R339" s="28"/>
      <c r="S339" s="53"/>
      <c r="T339" s="28"/>
      <c r="U339" s="28"/>
      <c r="V339" s="28"/>
      <c r="W339" s="28"/>
      <c r="X339" s="53"/>
      <c r="Y339" s="22"/>
      <c r="Z339" s="28"/>
      <c r="AA339" s="28"/>
      <c r="AB339" s="28"/>
      <c r="AC339" s="28"/>
      <c r="AD339" s="28"/>
      <c r="AE339" s="28"/>
      <c r="AF339" s="28"/>
      <c r="AG339" s="28"/>
    </row>
    <row r="340" spans="1:33" ht="15.75" customHeight="1">
      <c r="A340" s="28"/>
      <c r="B340" s="28"/>
      <c r="C340" s="28"/>
      <c r="D340" s="28"/>
      <c r="E340" s="28"/>
      <c r="F340" s="28"/>
      <c r="G340" s="28"/>
      <c r="H340" s="28"/>
      <c r="I340" s="22"/>
      <c r="J340" s="28"/>
      <c r="K340" s="28"/>
      <c r="L340" s="22"/>
      <c r="M340" s="22"/>
      <c r="N340" s="28"/>
      <c r="O340" s="28"/>
      <c r="P340" s="53"/>
      <c r="Q340" s="53"/>
      <c r="R340" s="28"/>
      <c r="S340" s="53"/>
      <c r="T340" s="28"/>
      <c r="U340" s="28"/>
      <c r="V340" s="28"/>
      <c r="W340" s="28"/>
      <c r="X340" s="53"/>
      <c r="Y340" s="22"/>
      <c r="Z340" s="28"/>
      <c r="AA340" s="28"/>
      <c r="AB340" s="28"/>
      <c r="AC340" s="28"/>
      <c r="AD340" s="28"/>
      <c r="AE340" s="28"/>
      <c r="AF340" s="28"/>
      <c r="AG340" s="28"/>
    </row>
    <row r="341" spans="1:33" ht="15.75" customHeight="1">
      <c r="A341" s="28"/>
      <c r="B341" s="28"/>
      <c r="C341" s="28"/>
      <c r="D341" s="28"/>
      <c r="E341" s="28"/>
      <c r="F341" s="28"/>
      <c r="G341" s="28"/>
      <c r="H341" s="28"/>
      <c r="I341" s="22"/>
      <c r="J341" s="28"/>
      <c r="K341" s="28"/>
      <c r="L341" s="22"/>
      <c r="M341" s="22"/>
      <c r="N341" s="28"/>
      <c r="O341" s="28"/>
      <c r="P341" s="53"/>
      <c r="Q341" s="53"/>
      <c r="R341" s="28"/>
      <c r="S341" s="53"/>
      <c r="T341" s="28"/>
      <c r="U341" s="28"/>
      <c r="V341" s="28"/>
      <c r="W341" s="28"/>
      <c r="X341" s="53"/>
      <c r="Y341" s="22"/>
      <c r="Z341" s="28"/>
      <c r="AA341" s="28"/>
      <c r="AB341" s="28"/>
      <c r="AC341" s="28"/>
      <c r="AD341" s="28"/>
      <c r="AE341" s="28"/>
      <c r="AF341" s="28"/>
      <c r="AG341" s="28"/>
    </row>
    <row r="342" spans="1:33" ht="15.75" customHeight="1">
      <c r="A342" s="28"/>
      <c r="B342" s="28"/>
      <c r="C342" s="28"/>
      <c r="D342" s="28"/>
      <c r="E342" s="28"/>
      <c r="F342" s="28"/>
      <c r="G342" s="28"/>
      <c r="H342" s="28"/>
      <c r="I342" s="22"/>
      <c r="J342" s="28"/>
      <c r="K342" s="28"/>
      <c r="L342" s="22"/>
      <c r="M342" s="22"/>
      <c r="N342" s="28"/>
      <c r="O342" s="28"/>
      <c r="P342" s="53"/>
      <c r="Q342" s="53"/>
      <c r="R342" s="28"/>
      <c r="S342" s="53"/>
      <c r="T342" s="28"/>
      <c r="U342" s="28"/>
      <c r="V342" s="28"/>
      <c r="W342" s="28"/>
      <c r="X342" s="53"/>
      <c r="Y342" s="22"/>
      <c r="Z342" s="28"/>
      <c r="AA342" s="28"/>
      <c r="AB342" s="28"/>
      <c r="AC342" s="28"/>
      <c r="AD342" s="28"/>
      <c r="AE342" s="28"/>
      <c r="AF342" s="28"/>
      <c r="AG342" s="28"/>
    </row>
    <row r="343" spans="1:33" ht="15.75" customHeight="1">
      <c r="A343" s="28"/>
      <c r="B343" s="28"/>
      <c r="C343" s="28"/>
      <c r="D343" s="28"/>
      <c r="E343" s="28"/>
      <c r="F343" s="28"/>
      <c r="G343" s="28"/>
      <c r="H343" s="28"/>
      <c r="I343" s="22"/>
      <c r="J343" s="28"/>
      <c r="K343" s="28"/>
      <c r="L343" s="22"/>
      <c r="M343" s="22"/>
      <c r="N343" s="28"/>
      <c r="O343" s="28"/>
      <c r="P343" s="53"/>
      <c r="Q343" s="53"/>
      <c r="R343" s="28"/>
      <c r="S343" s="53"/>
      <c r="T343" s="28"/>
      <c r="U343" s="28"/>
      <c r="V343" s="28"/>
      <c r="W343" s="28"/>
      <c r="X343" s="53"/>
      <c r="Y343" s="22"/>
      <c r="Z343" s="28"/>
      <c r="AA343" s="28"/>
      <c r="AB343" s="28"/>
      <c r="AC343" s="28"/>
      <c r="AD343" s="28"/>
      <c r="AE343" s="28"/>
      <c r="AF343" s="28"/>
      <c r="AG343" s="28"/>
    </row>
    <row r="344" spans="1:33" ht="15.75" customHeight="1">
      <c r="A344" s="28"/>
      <c r="B344" s="28"/>
      <c r="C344" s="28"/>
      <c r="D344" s="28"/>
      <c r="E344" s="28"/>
      <c r="F344" s="28"/>
      <c r="G344" s="28"/>
      <c r="H344" s="28"/>
      <c r="I344" s="22"/>
      <c r="J344" s="28"/>
      <c r="K344" s="28"/>
      <c r="L344" s="22"/>
      <c r="M344" s="22"/>
      <c r="N344" s="28"/>
      <c r="O344" s="28"/>
      <c r="P344" s="53"/>
      <c r="Q344" s="53"/>
      <c r="R344" s="28"/>
      <c r="S344" s="53"/>
      <c r="T344" s="28"/>
      <c r="U344" s="28"/>
      <c r="V344" s="28"/>
      <c r="W344" s="28"/>
      <c r="X344" s="53"/>
      <c r="Y344" s="22"/>
      <c r="Z344" s="28"/>
      <c r="AA344" s="28"/>
      <c r="AB344" s="28"/>
      <c r="AC344" s="28"/>
      <c r="AD344" s="28"/>
      <c r="AE344" s="28"/>
      <c r="AF344" s="28"/>
      <c r="AG344" s="28"/>
    </row>
    <row r="345" spans="1:33" ht="15.75" customHeight="1">
      <c r="A345" s="28"/>
      <c r="B345" s="28"/>
      <c r="C345" s="28"/>
      <c r="D345" s="28"/>
      <c r="E345" s="28"/>
      <c r="F345" s="28"/>
      <c r="G345" s="28"/>
      <c r="H345" s="28"/>
      <c r="I345" s="22"/>
      <c r="J345" s="28"/>
      <c r="K345" s="28"/>
      <c r="L345" s="22"/>
      <c r="M345" s="22"/>
      <c r="N345" s="28"/>
      <c r="O345" s="28"/>
      <c r="P345" s="53"/>
      <c r="Q345" s="53"/>
      <c r="R345" s="28"/>
      <c r="S345" s="53"/>
      <c r="T345" s="28"/>
      <c r="U345" s="28"/>
      <c r="V345" s="28"/>
      <c r="W345" s="28"/>
      <c r="X345" s="53"/>
      <c r="Y345" s="22"/>
      <c r="Z345" s="28"/>
      <c r="AA345" s="28"/>
      <c r="AB345" s="28"/>
      <c r="AC345" s="28"/>
      <c r="AD345" s="28"/>
      <c r="AE345" s="28"/>
      <c r="AF345" s="28"/>
      <c r="AG345" s="28"/>
    </row>
    <row r="346" spans="1:33" ht="15.75" customHeight="1">
      <c r="A346" s="28"/>
      <c r="B346" s="28"/>
      <c r="C346" s="28"/>
      <c r="D346" s="28"/>
      <c r="E346" s="28"/>
      <c r="F346" s="28"/>
      <c r="G346" s="28"/>
      <c r="H346" s="28"/>
      <c r="I346" s="22"/>
      <c r="J346" s="28"/>
      <c r="K346" s="28"/>
      <c r="L346" s="22"/>
      <c r="M346" s="22"/>
      <c r="N346" s="28"/>
      <c r="O346" s="28"/>
      <c r="P346" s="53"/>
      <c r="Q346" s="53"/>
      <c r="R346" s="28"/>
      <c r="S346" s="53"/>
      <c r="T346" s="28"/>
      <c r="U346" s="28"/>
      <c r="V346" s="28"/>
      <c r="W346" s="28"/>
      <c r="X346" s="53"/>
      <c r="Y346" s="22"/>
      <c r="Z346" s="28"/>
      <c r="AA346" s="28"/>
      <c r="AB346" s="28"/>
      <c r="AC346" s="28"/>
      <c r="AD346" s="28"/>
      <c r="AE346" s="28"/>
      <c r="AF346" s="28"/>
      <c r="AG346" s="28"/>
    </row>
    <row r="347" spans="1:33" ht="15.75" customHeight="1">
      <c r="A347" s="28"/>
      <c r="B347" s="28"/>
      <c r="C347" s="28"/>
      <c r="D347" s="28"/>
      <c r="E347" s="28"/>
      <c r="F347" s="28"/>
      <c r="G347" s="28"/>
      <c r="H347" s="28"/>
      <c r="I347" s="22"/>
      <c r="J347" s="28"/>
      <c r="K347" s="28"/>
      <c r="L347" s="22"/>
      <c r="M347" s="22"/>
      <c r="N347" s="28"/>
      <c r="O347" s="28"/>
      <c r="P347" s="53"/>
      <c r="Q347" s="53"/>
      <c r="R347" s="28"/>
      <c r="S347" s="53"/>
      <c r="T347" s="28"/>
      <c r="U347" s="28"/>
      <c r="V347" s="28"/>
      <c r="W347" s="28"/>
      <c r="X347" s="53"/>
      <c r="Y347" s="22"/>
      <c r="Z347" s="28"/>
      <c r="AA347" s="28"/>
      <c r="AB347" s="28"/>
      <c r="AC347" s="28"/>
      <c r="AD347" s="28"/>
      <c r="AE347" s="28"/>
      <c r="AF347" s="28"/>
      <c r="AG347" s="28"/>
    </row>
    <row r="348" spans="1:33" ht="15.75" customHeight="1">
      <c r="A348" s="28"/>
      <c r="B348" s="28"/>
      <c r="C348" s="28"/>
      <c r="D348" s="28"/>
      <c r="E348" s="28"/>
      <c r="F348" s="28"/>
      <c r="G348" s="28"/>
      <c r="H348" s="28"/>
      <c r="I348" s="22"/>
      <c r="J348" s="28"/>
      <c r="K348" s="28"/>
      <c r="L348" s="22"/>
      <c r="M348" s="22"/>
      <c r="N348" s="28"/>
      <c r="O348" s="28"/>
      <c r="P348" s="53"/>
      <c r="Q348" s="53"/>
      <c r="R348" s="28"/>
      <c r="S348" s="53"/>
      <c r="T348" s="28"/>
      <c r="U348" s="28"/>
      <c r="V348" s="28"/>
      <c r="W348" s="28"/>
      <c r="X348" s="53"/>
      <c r="Y348" s="22"/>
      <c r="Z348" s="28"/>
      <c r="AA348" s="28"/>
      <c r="AB348" s="28"/>
      <c r="AC348" s="28"/>
      <c r="AD348" s="28"/>
      <c r="AE348" s="28"/>
      <c r="AF348" s="28"/>
      <c r="AG348" s="28"/>
    </row>
    <row r="349" spans="1:33" ht="15.75" customHeight="1">
      <c r="A349" s="28"/>
      <c r="B349" s="28"/>
      <c r="C349" s="28"/>
      <c r="D349" s="28"/>
      <c r="E349" s="28"/>
      <c r="F349" s="28"/>
      <c r="G349" s="28"/>
      <c r="H349" s="28"/>
      <c r="I349" s="22"/>
      <c r="J349" s="28"/>
      <c r="K349" s="28"/>
      <c r="L349" s="22"/>
      <c r="M349" s="22"/>
      <c r="N349" s="28"/>
      <c r="O349" s="28"/>
      <c r="P349" s="53"/>
      <c r="Q349" s="53"/>
      <c r="R349" s="28"/>
      <c r="S349" s="53"/>
      <c r="T349" s="28"/>
      <c r="U349" s="28"/>
      <c r="V349" s="28"/>
      <c r="W349" s="28"/>
      <c r="X349" s="53"/>
      <c r="Y349" s="22"/>
      <c r="Z349" s="28"/>
      <c r="AA349" s="28"/>
      <c r="AB349" s="28"/>
      <c r="AC349" s="28"/>
      <c r="AD349" s="28"/>
      <c r="AE349" s="28"/>
      <c r="AF349" s="28"/>
      <c r="AG349" s="28"/>
    </row>
    <row r="350" spans="1:33" ht="15.75" customHeight="1">
      <c r="A350" s="28"/>
      <c r="B350" s="28"/>
      <c r="C350" s="28"/>
      <c r="D350" s="28"/>
      <c r="E350" s="28"/>
      <c r="F350" s="28"/>
      <c r="G350" s="28"/>
      <c r="H350" s="28"/>
      <c r="I350" s="22"/>
      <c r="J350" s="28"/>
      <c r="K350" s="28"/>
      <c r="L350" s="22"/>
      <c r="M350" s="22"/>
      <c r="N350" s="28"/>
      <c r="O350" s="28"/>
      <c r="P350" s="53"/>
      <c r="Q350" s="53"/>
      <c r="R350" s="28"/>
      <c r="S350" s="53"/>
      <c r="T350" s="28"/>
      <c r="U350" s="28"/>
      <c r="V350" s="28"/>
      <c r="W350" s="28"/>
      <c r="X350" s="53"/>
      <c r="Y350" s="22"/>
      <c r="Z350" s="28"/>
      <c r="AA350" s="28"/>
      <c r="AB350" s="28"/>
      <c r="AC350" s="28"/>
      <c r="AD350" s="28"/>
      <c r="AE350" s="28"/>
      <c r="AF350" s="28"/>
      <c r="AG350" s="28"/>
    </row>
    <row r="351" spans="1:33" ht="15.75" customHeight="1">
      <c r="A351" s="28"/>
      <c r="B351" s="28"/>
      <c r="C351" s="28"/>
      <c r="D351" s="28"/>
      <c r="E351" s="28"/>
      <c r="F351" s="28"/>
      <c r="G351" s="28"/>
      <c r="H351" s="28"/>
      <c r="I351" s="22"/>
      <c r="J351" s="28"/>
      <c r="K351" s="28"/>
      <c r="L351" s="22"/>
      <c r="M351" s="22"/>
      <c r="N351" s="28"/>
      <c r="O351" s="28"/>
      <c r="P351" s="53"/>
      <c r="Q351" s="53"/>
      <c r="R351" s="28"/>
      <c r="S351" s="53"/>
      <c r="T351" s="28"/>
      <c r="U351" s="28"/>
      <c r="V351" s="28"/>
      <c r="W351" s="28"/>
      <c r="X351" s="53"/>
      <c r="Y351" s="22"/>
      <c r="Z351" s="28"/>
      <c r="AA351" s="28"/>
      <c r="AB351" s="28"/>
      <c r="AC351" s="28"/>
      <c r="AD351" s="28"/>
      <c r="AE351" s="28"/>
      <c r="AF351" s="28"/>
      <c r="AG351" s="28"/>
    </row>
    <row r="352" spans="1:33" ht="15.75" customHeight="1">
      <c r="A352" s="28"/>
      <c r="B352" s="28"/>
      <c r="C352" s="28"/>
      <c r="D352" s="28"/>
      <c r="E352" s="28"/>
      <c r="F352" s="28"/>
      <c r="G352" s="28"/>
      <c r="H352" s="28"/>
      <c r="I352" s="22"/>
      <c r="J352" s="28"/>
      <c r="K352" s="28"/>
      <c r="L352" s="22"/>
      <c r="M352" s="22"/>
      <c r="N352" s="28"/>
      <c r="O352" s="28"/>
      <c r="P352" s="53"/>
      <c r="Q352" s="53"/>
      <c r="R352" s="28"/>
      <c r="S352" s="53"/>
      <c r="T352" s="28"/>
      <c r="U352" s="28"/>
      <c r="V352" s="28"/>
      <c r="W352" s="28"/>
      <c r="X352" s="53"/>
      <c r="Y352" s="22"/>
      <c r="Z352" s="28"/>
      <c r="AA352" s="28"/>
      <c r="AB352" s="28"/>
      <c r="AC352" s="28"/>
      <c r="AD352" s="28"/>
      <c r="AE352" s="28"/>
      <c r="AF352" s="28"/>
      <c r="AG352" s="28"/>
    </row>
    <row r="353" spans="1:33" ht="15.75" customHeight="1">
      <c r="A353" s="28"/>
      <c r="B353" s="28"/>
      <c r="C353" s="28"/>
      <c r="D353" s="28"/>
      <c r="E353" s="28"/>
      <c r="F353" s="28"/>
      <c r="G353" s="28"/>
      <c r="H353" s="28"/>
      <c r="I353" s="22"/>
      <c r="J353" s="28"/>
      <c r="K353" s="28"/>
      <c r="L353" s="22"/>
      <c r="M353" s="22"/>
      <c r="N353" s="28"/>
      <c r="O353" s="28"/>
      <c r="P353" s="53"/>
      <c r="Q353" s="53"/>
      <c r="R353" s="28"/>
      <c r="S353" s="53"/>
      <c r="T353" s="28"/>
      <c r="U353" s="28"/>
      <c r="V353" s="28"/>
      <c r="W353" s="28"/>
      <c r="X353" s="53"/>
      <c r="Y353" s="22"/>
      <c r="Z353" s="28"/>
      <c r="AA353" s="28"/>
      <c r="AB353" s="28"/>
      <c r="AC353" s="28"/>
      <c r="AD353" s="28"/>
      <c r="AE353" s="28"/>
      <c r="AF353" s="28"/>
      <c r="AG353" s="28"/>
    </row>
    <row r="354" spans="1:33" ht="15.75" customHeight="1">
      <c r="A354" s="28"/>
      <c r="B354" s="28"/>
      <c r="C354" s="28"/>
      <c r="D354" s="28"/>
      <c r="E354" s="28"/>
      <c r="F354" s="28"/>
      <c r="G354" s="28"/>
      <c r="H354" s="28"/>
      <c r="I354" s="22"/>
      <c r="J354" s="28"/>
      <c r="K354" s="28"/>
      <c r="L354" s="22"/>
      <c r="M354" s="22"/>
      <c r="N354" s="28"/>
      <c r="O354" s="28"/>
      <c r="P354" s="53"/>
      <c r="Q354" s="53"/>
      <c r="R354" s="28"/>
      <c r="S354" s="53"/>
      <c r="T354" s="28"/>
      <c r="U354" s="28"/>
      <c r="V354" s="28"/>
      <c r="W354" s="28"/>
      <c r="X354" s="53"/>
      <c r="Y354" s="22"/>
      <c r="Z354" s="28"/>
      <c r="AA354" s="28"/>
      <c r="AB354" s="28"/>
      <c r="AC354" s="28"/>
      <c r="AD354" s="28"/>
      <c r="AE354" s="28"/>
      <c r="AF354" s="28"/>
      <c r="AG354" s="28"/>
    </row>
    <row r="355" spans="1:33" ht="15.75" customHeight="1">
      <c r="A355" s="28"/>
      <c r="B355" s="28"/>
      <c r="C355" s="28"/>
      <c r="D355" s="28"/>
      <c r="E355" s="28"/>
      <c r="F355" s="28"/>
      <c r="G355" s="28"/>
      <c r="H355" s="28"/>
      <c r="I355" s="22"/>
      <c r="J355" s="28"/>
      <c r="K355" s="28"/>
      <c r="L355" s="22"/>
      <c r="M355" s="22"/>
      <c r="N355" s="28"/>
      <c r="O355" s="28"/>
      <c r="P355" s="53"/>
      <c r="Q355" s="53"/>
      <c r="R355" s="28"/>
      <c r="S355" s="53"/>
      <c r="T355" s="28"/>
      <c r="U355" s="28"/>
      <c r="V355" s="28"/>
      <c r="W355" s="28"/>
      <c r="X355" s="53"/>
      <c r="Y355" s="22"/>
      <c r="Z355" s="28"/>
      <c r="AA355" s="28"/>
      <c r="AB355" s="28"/>
      <c r="AC355" s="28"/>
      <c r="AD355" s="28"/>
      <c r="AE355" s="28"/>
      <c r="AF355" s="28"/>
      <c r="AG355" s="28"/>
    </row>
    <row r="356" spans="1:33" ht="15.75" customHeight="1">
      <c r="A356" s="28"/>
      <c r="B356" s="28"/>
      <c r="C356" s="28"/>
      <c r="D356" s="28"/>
      <c r="E356" s="28"/>
      <c r="F356" s="28"/>
      <c r="G356" s="28"/>
      <c r="H356" s="28"/>
      <c r="I356" s="22"/>
      <c r="J356" s="28"/>
      <c r="K356" s="28"/>
      <c r="L356" s="22"/>
      <c r="M356" s="22"/>
      <c r="N356" s="28"/>
      <c r="O356" s="28"/>
      <c r="P356" s="53"/>
      <c r="Q356" s="53"/>
      <c r="R356" s="28"/>
      <c r="S356" s="53"/>
      <c r="T356" s="28"/>
      <c r="U356" s="28"/>
      <c r="V356" s="28"/>
      <c r="W356" s="28"/>
      <c r="X356" s="53"/>
      <c r="Y356" s="22"/>
      <c r="Z356" s="28"/>
      <c r="AA356" s="28"/>
      <c r="AB356" s="28"/>
      <c r="AC356" s="28"/>
      <c r="AD356" s="28"/>
      <c r="AE356" s="28"/>
      <c r="AF356" s="28"/>
      <c r="AG356" s="28"/>
    </row>
    <row r="357" spans="1:33" ht="15.75" customHeight="1">
      <c r="A357" s="28"/>
      <c r="B357" s="28"/>
      <c r="C357" s="28"/>
      <c r="D357" s="28"/>
      <c r="E357" s="28"/>
      <c r="F357" s="28"/>
      <c r="G357" s="28"/>
      <c r="H357" s="28"/>
      <c r="I357" s="22"/>
      <c r="J357" s="28"/>
      <c r="K357" s="28"/>
      <c r="L357" s="22"/>
      <c r="M357" s="22"/>
      <c r="N357" s="28"/>
      <c r="O357" s="28"/>
      <c r="P357" s="53"/>
      <c r="Q357" s="53"/>
      <c r="R357" s="28"/>
      <c r="S357" s="53"/>
      <c r="T357" s="28"/>
      <c r="U357" s="28"/>
      <c r="V357" s="28"/>
      <c r="W357" s="28"/>
      <c r="X357" s="53"/>
      <c r="Y357" s="22"/>
      <c r="Z357" s="28"/>
      <c r="AA357" s="28"/>
      <c r="AB357" s="28"/>
      <c r="AC357" s="28"/>
      <c r="AD357" s="28"/>
      <c r="AE357" s="28"/>
      <c r="AF357" s="28"/>
      <c r="AG357" s="28"/>
    </row>
    <row r="358" spans="1:33" ht="15.75" customHeight="1">
      <c r="A358" s="28"/>
      <c r="B358" s="28"/>
      <c r="C358" s="28"/>
      <c r="D358" s="28"/>
      <c r="E358" s="28"/>
      <c r="F358" s="28"/>
      <c r="G358" s="28"/>
      <c r="H358" s="28"/>
      <c r="I358" s="22"/>
      <c r="J358" s="28"/>
      <c r="K358" s="28"/>
      <c r="L358" s="22"/>
      <c r="M358" s="22"/>
      <c r="N358" s="28"/>
      <c r="O358" s="28"/>
      <c r="P358" s="53"/>
      <c r="Q358" s="53"/>
      <c r="R358" s="28"/>
      <c r="S358" s="53"/>
      <c r="T358" s="28"/>
      <c r="U358" s="28"/>
      <c r="V358" s="28"/>
      <c r="W358" s="28"/>
      <c r="X358" s="53"/>
      <c r="Y358" s="22"/>
      <c r="Z358" s="28"/>
      <c r="AA358" s="28"/>
      <c r="AB358" s="28"/>
      <c r="AC358" s="28"/>
      <c r="AD358" s="28"/>
      <c r="AE358" s="28"/>
      <c r="AF358" s="28"/>
      <c r="AG358" s="28"/>
    </row>
    <row r="359" spans="1:33" ht="15.75" customHeight="1">
      <c r="A359" s="28"/>
      <c r="B359" s="28"/>
      <c r="C359" s="28"/>
      <c r="D359" s="28"/>
      <c r="E359" s="28"/>
      <c r="F359" s="28"/>
      <c r="G359" s="28"/>
      <c r="H359" s="28"/>
      <c r="I359" s="22"/>
      <c r="J359" s="28"/>
      <c r="K359" s="28"/>
      <c r="L359" s="22"/>
      <c r="M359" s="22"/>
      <c r="N359" s="28"/>
      <c r="O359" s="28"/>
      <c r="P359" s="53"/>
      <c r="Q359" s="53"/>
      <c r="R359" s="28"/>
      <c r="S359" s="53"/>
      <c r="T359" s="28"/>
      <c r="U359" s="28"/>
      <c r="V359" s="28"/>
      <c r="W359" s="28"/>
      <c r="X359" s="53"/>
      <c r="Y359" s="22"/>
      <c r="Z359" s="28"/>
      <c r="AA359" s="28"/>
      <c r="AB359" s="28"/>
      <c r="AC359" s="28"/>
      <c r="AD359" s="28"/>
      <c r="AE359" s="28"/>
      <c r="AF359" s="28"/>
      <c r="AG359" s="28"/>
    </row>
    <row r="360" spans="1:33" ht="15.75" customHeight="1">
      <c r="A360" s="28"/>
      <c r="B360" s="28"/>
      <c r="C360" s="28"/>
      <c r="D360" s="28"/>
      <c r="E360" s="28"/>
      <c r="F360" s="28"/>
      <c r="G360" s="28"/>
      <c r="H360" s="28"/>
      <c r="I360" s="22"/>
      <c r="J360" s="28"/>
      <c r="K360" s="28"/>
      <c r="L360" s="22"/>
      <c r="M360" s="22"/>
      <c r="N360" s="28"/>
      <c r="O360" s="28"/>
      <c r="P360" s="53"/>
      <c r="Q360" s="53"/>
      <c r="R360" s="28"/>
      <c r="S360" s="53"/>
      <c r="T360" s="28"/>
      <c r="U360" s="28"/>
      <c r="V360" s="28"/>
      <c r="W360" s="28"/>
      <c r="X360" s="53"/>
      <c r="Y360" s="22"/>
      <c r="Z360" s="28"/>
      <c r="AA360" s="28"/>
      <c r="AB360" s="28"/>
      <c r="AC360" s="28"/>
      <c r="AD360" s="28"/>
      <c r="AE360" s="28"/>
      <c r="AF360" s="28"/>
      <c r="AG360" s="28"/>
    </row>
    <row r="361" spans="1:33" ht="15.75" customHeight="1">
      <c r="A361" s="28"/>
      <c r="B361" s="28"/>
      <c r="C361" s="28"/>
      <c r="D361" s="28"/>
      <c r="E361" s="28"/>
      <c r="F361" s="28"/>
      <c r="G361" s="28"/>
      <c r="H361" s="28"/>
      <c r="I361" s="22"/>
      <c r="J361" s="28"/>
      <c r="K361" s="28"/>
      <c r="L361" s="22"/>
      <c r="M361" s="22"/>
      <c r="N361" s="28"/>
      <c r="O361" s="28"/>
      <c r="P361" s="53"/>
      <c r="Q361" s="53"/>
      <c r="R361" s="28"/>
      <c r="S361" s="53"/>
      <c r="T361" s="28"/>
      <c r="U361" s="28"/>
      <c r="V361" s="28"/>
      <c r="W361" s="28"/>
      <c r="X361" s="53"/>
      <c r="Y361" s="22"/>
      <c r="Z361" s="28"/>
      <c r="AA361" s="28"/>
      <c r="AB361" s="28"/>
      <c r="AC361" s="28"/>
      <c r="AD361" s="28"/>
      <c r="AE361" s="28"/>
      <c r="AF361" s="28"/>
      <c r="AG361" s="28"/>
    </row>
    <row r="362" spans="1:33" ht="15.75" customHeight="1">
      <c r="A362" s="28"/>
      <c r="B362" s="28"/>
      <c r="C362" s="28"/>
      <c r="D362" s="28"/>
      <c r="E362" s="28"/>
      <c r="F362" s="28"/>
      <c r="G362" s="28"/>
      <c r="H362" s="28"/>
      <c r="I362" s="22"/>
      <c r="J362" s="28"/>
      <c r="K362" s="28"/>
      <c r="L362" s="22"/>
      <c r="M362" s="22"/>
      <c r="N362" s="28"/>
      <c r="O362" s="28"/>
      <c r="P362" s="53"/>
      <c r="Q362" s="53"/>
      <c r="R362" s="28"/>
      <c r="S362" s="53"/>
      <c r="T362" s="28"/>
      <c r="U362" s="28"/>
      <c r="V362" s="28"/>
      <c r="W362" s="28"/>
      <c r="X362" s="53"/>
      <c r="Y362" s="22"/>
      <c r="Z362" s="28"/>
      <c r="AA362" s="28"/>
      <c r="AB362" s="28"/>
      <c r="AC362" s="28"/>
      <c r="AD362" s="28"/>
      <c r="AE362" s="28"/>
      <c r="AF362" s="28"/>
      <c r="AG362" s="28"/>
    </row>
    <row r="363" spans="1:33" ht="15.75" customHeight="1">
      <c r="A363" s="28"/>
      <c r="B363" s="28"/>
      <c r="C363" s="28"/>
      <c r="D363" s="28"/>
      <c r="E363" s="28"/>
      <c r="F363" s="28"/>
      <c r="G363" s="28"/>
      <c r="H363" s="28"/>
      <c r="I363" s="22"/>
      <c r="J363" s="28"/>
      <c r="K363" s="28"/>
      <c r="L363" s="22"/>
      <c r="M363" s="22"/>
      <c r="N363" s="28"/>
      <c r="O363" s="28"/>
      <c r="P363" s="53"/>
      <c r="Q363" s="53"/>
      <c r="R363" s="28"/>
      <c r="S363" s="53"/>
      <c r="T363" s="28"/>
      <c r="U363" s="28"/>
      <c r="V363" s="28"/>
      <c r="W363" s="28"/>
      <c r="X363" s="53"/>
      <c r="Y363" s="22"/>
      <c r="Z363" s="28"/>
      <c r="AA363" s="28"/>
      <c r="AB363" s="28"/>
      <c r="AC363" s="28"/>
      <c r="AD363" s="28"/>
      <c r="AE363" s="28"/>
      <c r="AF363" s="28"/>
      <c r="AG363" s="28"/>
    </row>
    <row r="364" spans="1:33" ht="15.75" customHeight="1">
      <c r="A364" s="28"/>
      <c r="B364" s="28"/>
      <c r="C364" s="28"/>
      <c r="D364" s="28"/>
      <c r="E364" s="28"/>
      <c r="F364" s="28"/>
      <c r="G364" s="28"/>
      <c r="H364" s="28"/>
      <c r="I364" s="22"/>
      <c r="J364" s="28"/>
      <c r="K364" s="28"/>
      <c r="L364" s="22"/>
      <c r="M364" s="22"/>
      <c r="N364" s="28"/>
      <c r="O364" s="28"/>
      <c r="P364" s="53"/>
      <c r="Q364" s="53"/>
      <c r="R364" s="28"/>
      <c r="S364" s="53"/>
      <c r="T364" s="28"/>
      <c r="U364" s="28"/>
      <c r="V364" s="28"/>
      <c r="W364" s="28"/>
      <c r="X364" s="53"/>
      <c r="Y364" s="22"/>
      <c r="Z364" s="28"/>
      <c r="AA364" s="28"/>
      <c r="AB364" s="28"/>
      <c r="AC364" s="28"/>
      <c r="AD364" s="28"/>
      <c r="AE364" s="28"/>
      <c r="AF364" s="28"/>
      <c r="AG364" s="28"/>
    </row>
    <row r="365" spans="1:33" ht="15.75" customHeight="1">
      <c r="A365" s="28"/>
      <c r="B365" s="28"/>
      <c r="C365" s="28"/>
      <c r="D365" s="28"/>
      <c r="E365" s="28"/>
      <c r="F365" s="28"/>
      <c r="G365" s="28"/>
      <c r="H365" s="28"/>
      <c r="I365" s="22"/>
      <c r="J365" s="28"/>
      <c r="K365" s="28"/>
      <c r="L365" s="22"/>
      <c r="M365" s="22"/>
      <c r="N365" s="28"/>
      <c r="O365" s="28"/>
      <c r="P365" s="53"/>
      <c r="Q365" s="53"/>
      <c r="R365" s="28"/>
      <c r="S365" s="53"/>
      <c r="T365" s="28"/>
      <c r="U365" s="28"/>
      <c r="V365" s="28"/>
      <c r="W365" s="28"/>
      <c r="X365" s="53"/>
      <c r="Y365" s="22"/>
      <c r="Z365" s="28"/>
      <c r="AA365" s="28"/>
      <c r="AB365" s="28"/>
      <c r="AC365" s="28"/>
      <c r="AD365" s="28"/>
      <c r="AE365" s="28"/>
      <c r="AF365" s="28"/>
      <c r="AG365" s="28"/>
    </row>
    <row r="366" spans="1:33" ht="15.75" customHeight="1">
      <c r="A366" s="28"/>
      <c r="B366" s="28"/>
      <c r="C366" s="28"/>
      <c r="D366" s="28"/>
      <c r="E366" s="28"/>
      <c r="F366" s="28"/>
      <c r="G366" s="28"/>
      <c r="H366" s="28"/>
      <c r="I366" s="22"/>
      <c r="J366" s="28"/>
      <c r="K366" s="28"/>
      <c r="L366" s="22"/>
      <c r="M366" s="22"/>
      <c r="N366" s="28"/>
      <c r="O366" s="28"/>
      <c r="P366" s="53"/>
      <c r="Q366" s="53"/>
      <c r="R366" s="28"/>
      <c r="S366" s="53"/>
      <c r="T366" s="28"/>
      <c r="U366" s="28"/>
      <c r="V366" s="28"/>
      <c r="W366" s="28"/>
      <c r="X366" s="53"/>
      <c r="Y366" s="22"/>
      <c r="Z366" s="28"/>
      <c r="AA366" s="28"/>
      <c r="AB366" s="28"/>
      <c r="AC366" s="28"/>
      <c r="AD366" s="28"/>
      <c r="AE366" s="28"/>
      <c r="AF366" s="28"/>
      <c r="AG366" s="28"/>
    </row>
    <row r="367" spans="1:33" ht="15.75" customHeight="1">
      <c r="A367" s="28"/>
      <c r="B367" s="28"/>
      <c r="C367" s="28"/>
      <c r="D367" s="28"/>
      <c r="E367" s="28"/>
      <c r="F367" s="28"/>
      <c r="G367" s="28"/>
      <c r="H367" s="28"/>
      <c r="I367" s="22"/>
      <c r="J367" s="28"/>
      <c r="K367" s="28"/>
      <c r="L367" s="22"/>
      <c r="M367" s="22"/>
      <c r="N367" s="28"/>
      <c r="O367" s="28"/>
      <c r="P367" s="53"/>
      <c r="Q367" s="53"/>
      <c r="R367" s="28"/>
      <c r="S367" s="53"/>
      <c r="T367" s="28"/>
      <c r="U367" s="28"/>
      <c r="V367" s="28"/>
      <c r="W367" s="28"/>
      <c r="X367" s="53"/>
      <c r="Y367" s="22"/>
      <c r="Z367" s="28"/>
      <c r="AA367" s="28"/>
      <c r="AB367" s="28"/>
      <c r="AC367" s="28"/>
      <c r="AD367" s="28"/>
      <c r="AE367" s="28"/>
      <c r="AF367" s="28"/>
      <c r="AG367" s="28"/>
    </row>
    <row r="368" spans="1:33" ht="15.75" customHeight="1">
      <c r="A368" s="28"/>
      <c r="B368" s="28"/>
      <c r="C368" s="28"/>
      <c r="D368" s="28"/>
      <c r="E368" s="28"/>
      <c r="F368" s="28"/>
      <c r="G368" s="28"/>
      <c r="H368" s="28"/>
      <c r="I368" s="22"/>
      <c r="J368" s="28"/>
      <c r="K368" s="28"/>
      <c r="L368" s="22"/>
      <c r="M368" s="22"/>
      <c r="N368" s="28"/>
      <c r="O368" s="28"/>
      <c r="P368" s="53"/>
      <c r="Q368" s="53"/>
      <c r="R368" s="28"/>
      <c r="S368" s="53"/>
      <c r="T368" s="28"/>
      <c r="U368" s="28"/>
      <c r="V368" s="28"/>
      <c r="W368" s="28"/>
      <c r="X368" s="53"/>
      <c r="Y368" s="22"/>
      <c r="Z368" s="28"/>
      <c r="AA368" s="28"/>
      <c r="AB368" s="28"/>
      <c r="AC368" s="28"/>
      <c r="AD368" s="28"/>
      <c r="AE368" s="28"/>
      <c r="AF368" s="28"/>
      <c r="AG368" s="28"/>
    </row>
    <row r="369" spans="1:33" ht="15.75" customHeight="1">
      <c r="A369" s="28"/>
      <c r="B369" s="28"/>
      <c r="C369" s="28"/>
      <c r="D369" s="28"/>
      <c r="E369" s="28"/>
      <c r="F369" s="28"/>
      <c r="G369" s="28"/>
      <c r="H369" s="28"/>
      <c r="I369" s="22"/>
      <c r="J369" s="28"/>
      <c r="K369" s="28"/>
      <c r="L369" s="22"/>
      <c r="M369" s="22"/>
      <c r="N369" s="28"/>
      <c r="O369" s="28"/>
      <c r="P369" s="53"/>
      <c r="Q369" s="53"/>
      <c r="R369" s="28"/>
      <c r="S369" s="53"/>
      <c r="T369" s="28"/>
      <c r="U369" s="28"/>
      <c r="V369" s="28"/>
      <c r="W369" s="28"/>
      <c r="X369" s="53"/>
      <c r="Y369" s="22"/>
      <c r="Z369" s="28"/>
      <c r="AA369" s="28"/>
      <c r="AB369" s="28"/>
      <c r="AC369" s="28"/>
      <c r="AD369" s="28"/>
      <c r="AE369" s="28"/>
      <c r="AF369" s="28"/>
      <c r="AG369" s="28"/>
    </row>
    <row r="370" spans="1:33" ht="15.75" customHeight="1">
      <c r="A370" s="28"/>
      <c r="B370" s="28"/>
      <c r="C370" s="28"/>
      <c r="D370" s="28"/>
      <c r="E370" s="28"/>
      <c r="F370" s="28"/>
      <c r="G370" s="28"/>
      <c r="H370" s="28"/>
      <c r="I370" s="22"/>
      <c r="J370" s="28"/>
      <c r="K370" s="28"/>
      <c r="L370" s="22"/>
      <c r="M370" s="22"/>
      <c r="N370" s="28"/>
      <c r="O370" s="28"/>
      <c r="P370" s="53"/>
      <c r="Q370" s="53"/>
      <c r="R370" s="28"/>
      <c r="S370" s="53"/>
      <c r="T370" s="28"/>
      <c r="U370" s="28"/>
      <c r="V370" s="28"/>
      <c r="W370" s="28"/>
      <c r="X370" s="53"/>
      <c r="Y370" s="22"/>
      <c r="Z370" s="28"/>
      <c r="AA370" s="28"/>
      <c r="AB370" s="28"/>
      <c r="AC370" s="28"/>
      <c r="AD370" s="28"/>
      <c r="AE370" s="28"/>
      <c r="AF370" s="28"/>
      <c r="AG370" s="28"/>
    </row>
    <row r="371" spans="1:33" ht="15.75" customHeight="1">
      <c r="A371" s="28"/>
      <c r="B371" s="28"/>
      <c r="C371" s="28"/>
      <c r="D371" s="28"/>
      <c r="E371" s="28"/>
      <c r="F371" s="28"/>
      <c r="G371" s="28"/>
      <c r="H371" s="28"/>
      <c r="I371" s="22"/>
      <c r="J371" s="28"/>
      <c r="K371" s="28"/>
      <c r="L371" s="22"/>
      <c r="M371" s="22"/>
      <c r="N371" s="28"/>
      <c r="O371" s="28"/>
      <c r="P371" s="53"/>
      <c r="Q371" s="53"/>
      <c r="R371" s="28"/>
      <c r="S371" s="53"/>
      <c r="T371" s="28"/>
      <c r="U371" s="28"/>
      <c r="V371" s="28"/>
      <c r="W371" s="28"/>
      <c r="X371" s="53"/>
      <c r="Y371" s="22"/>
      <c r="Z371" s="28"/>
      <c r="AA371" s="28"/>
      <c r="AB371" s="28"/>
      <c r="AC371" s="28"/>
      <c r="AD371" s="28"/>
      <c r="AE371" s="28"/>
      <c r="AF371" s="28"/>
      <c r="AG371" s="28"/>
    </row>
    <row r="372" spans="1:33" ht="15.75" customHeight="1">
      <c r="A372" s="28"/>
      <c r="B372" s="28"/>
      <c r="C372" s="28"/>
      <c r="D372" s="28"/>
      <c r="E372" s="28"/>
      <c r="F372" s="28"/>
      <c r="G372" s="28"/>
      <c r="H372" s="28"/>
      <c r="I372" s="22"/>
      <c r="J372" s="28"/>
      <c r="K372" s="28"/>
      <c r="L372" s="22"/>
      <c r="M372" s="22"/>
      <c r="N372" s="28"/>
      <c r="O372" s="28"/>
      <c r="P372" s="53"/>
      <c r="Q372" s="53"/>
      <c r="R372" s="28"/>
      <c r="S372" s="53"/>
      <c r="T372" s="28"/>
      <c r="U372" s="28"/>
      <c r="V372" s="28"/>
      <c r="W372" s="28"/>
      <c r="X372" s="53"/>
      <c r="Y372" s="22"/>
      <c r="Z372" s="28"/>
      <c r="AA372" s="28"/>
      <c r="AB372" s="28"/>
      <c r="AC372" s="28"/>
      <c r="AD372" s="28"/>
      <c r="AE372" s="28"/>
      <c r="AF372" s="28"/>
      <c r="AG372" s="28"/>
    </row>
    <row r="373" spans="1:33" ht="15.75" customHeight="1">
      <c r="A373" s="28"/>
      <c r="B373" s="28"/>
      <c r="C373" s="28"/>
      <c r="D373" s="28"/>
      <c r="E373" s="28"/>
      <c r="F373" s="28"/>
      <c r="G373" s="28"/>
      <c r="H373" s="28"/>
      <c r="I373" s="22"/>
      <c r="J373" s="28"/>
      <c r="K373" s="28"/>
      <c r="L373" s="22"/>
      <c r="M373" s="22"/>
      <c r="N373" s="28"/>
      <c r="O373" s="28"/>
      <c r="P373" s="53"/>
      <c r="Q373" s="53"/>
      <c r="R373" s="28"/>
      <c r="S373" s="53"/>
      <c r="T373" s="28"/>
      <c r="U373" s="28"/>
      <c r="V373" s="28"/>
      <c r="W373" s="28"/>
      <c r="X373" s="53"/>
      <c r="Y373" s="22"/>
      <c r="Z373" s="28"/>
      <c r="AA373" s="28"/>
      <c r="AB373" s="28"/>
      <c r="AC373" s="28"/>
      <c r="AD373" s="28"/>
      <c r="AE373" s="28"/>
      <c r="AF373" s="28"/>
      <c r="AG373" s="28"/>
    </row>
    <row r="374" spans="1:33" ht="15.75" customHeight="1">
      <c r="A374" s="28"/>
      <c r="B374" s="28"/>
      <c r="C374" s="28"/>
      <c r="D374" s="28"/>
      <c r="E374" s="28"/>
      <c r="F374" s="28"/>
      <c r="G374" s="28"/>
      <c r="H374" s="28"/>
      <c r="I374" s="22"/>
      <c r="J374" s="28"/>
      <c r="K374" s="28"/>
      <c r="L374" s="22"/>
      <c r="M374" s="22"/>
      <c r="N374" s="28"/>
      <c r="O374" s="28"/>
      <c r="P374" s="53"/>
      <c r="Q374" s="53"/>
      <c r="R374" s="28"/>
      <c r="S374" s="53"/>
      <c r="T374" s="28"/>
      <c r="U374" s="28"/>
      <c r="V374" s="28"/>
      <c r="W374" s="28"/>
      <c r="X374" s="53"/>
      <c r="Y374" s="22"/>
      <c r="Z374" s="28"/>
      <c r="AA374" s="28"/>
      <c r="AB374" s="28"/>
      <c r="AC374" s="28"/>
      <c r="AD374" s="28"/>
      <c r="AE374" s="28"/>
      <c r="AF374" s="28"/>
      <c r="AG374" s="28"/>
    </row>
    <row r="375" spans="1:33" ht="15.75" customHeight="1">
      <c r="A375" s="28"/>
      <c r="B375" s="28"/>
      <c r="C375" s="28"/>
      <c r="D375" s="28"/>
      <c r="E375" s="28"/>
      <c r="F375" s="28"/>
      <c r="G375" s="28"/>
      <c r="H375" s="28"/>
      <c r="I375" s="22"/>
      <c r="J375" s="28"/>
      <c r="K375" s="28"/>
      <c r="L375" s="22"/>
      <c r="M375" s="22"/>
      <c r="N375" s="28"/>
      <c r="O375" s="28"/>
      <c r="P375" s="53"/>
      <c r="Q375" s="53"/>
      <c r="R375" s="28"/>
      <c r="S375" s="53"/>
      <c r="T375" s="28"/>
      <c r="U375" s="28"/>
      <c r="V375" s="28"/>
      <c r="W375" s="28"/>
      <c r="X375" s="53"/>
      <c r="Y375" s="22"/>
      <c r="Z375" s="28"/>
      <c r="AA375" s="28"/>
      <c r="AB375" s="28"/>
      <c r="AC375" s="28"/>
      <c r="AD375" s="28"/>
      <c r="AE375" s="28"/>
      <c r="AF375" s="28"/>
      <c r="AG375" s="28"/>
    </row>
    <row r="376" spans="1:33" ht="15.75" customHeight="1">
      <c r="A376" s="28"/>
      <c r="B376" s="28"/>
      <c r="C376" s="28"/>
      <c r="D376" s="28"/>
      <c r="E376" s="28"/>
      <c r="F376" s="28"/>
      <c r="G376" s="28"/>
      <c r="H376" s="28"/>
      <c r="I376" s="22"/>
      <c r="J376" s="28"/>
      <c r="K376" s="28"/>
      <c r="L376" s="22"/>
      <c r="M376" s="22"/>
      <c r="N376" s="28"/>
      <c r="O376" s="28"/>
      <c r="P376" s="53"/>
      <c r="Q376" s="53"/>
      <c r="R376" s="28"/>
      <c r="S376" s="53"/>
      <c r="T376" s="28"/>
      <c r="U376" s="28"/>
      <c r="V376" s="28"/>
      <c r="W376" s="28"/>
      <c r="X376" s="53"/>
      <c r="Y376" s="22"/>
      <c r="Z376" s="28"/>
      <c r="AA376" s="28"/>
      <c r="AB376" s="28"/>
      <c r="AC376" s="28"/>
      <c r="AD376" s="28"/>
      <c r="AE376" s="28"/>
      <c r="AF376" s="28"/>
      <c r="AG376" s="28"/>
    </row>
    <row r="377" spans="1:33" ht="15.75" customHeight="1">
      <c r="A377" s="28"/>
      <c r="B377" s="28"/>
      <c r="C377" s="28"/>
      <c r="D377" s="28"/>
      <c r="E377" s="28"/>
      <c r="F377" s="28"/>
      <c r="G377" s="28"/>
      <c r="H377" s="28"/>
      <c r="I377" s="22"/>
      <c r="J377" s="28"/>
      <c r="K377" s="28"/>
      <c r="L377" s="22"/>
      <c r="M377" s="22"/>
      <c r="N377" s="28"/>
      <c r="O377" s="28"/>
      <c r="P377" s="53"/>
      <c r="Q377" s="53"/>
      <c r="R377" s="28"/>
      <c r="S377" s="53"/>
      <c r="T377" s="28"/>
      <c r="U377" s="28"/>
      <c r="V377" s="28"/>
      <c r="W377" s="28"/>
      <c r="X377" s="53"/>
      <c r="Y377" s="22"/>
      <c r="Z377" s="28"/>
      <c r="AA377" s="28"/>
      <c r="AB377" s="28"/>
      <c r="AC377" s="28"/>
      <c r="AD377" s="28"/>
      <c r="AE377" s="28"/>
      <c r="AF377" s="28"/>
      <c r="AG377" s="28"/>
    </row>
    <row r="378" spans="1:33" ht="15.75" customHeight="1">
      <c r="A378" s="28"/>
      <c r="B378" s="28"/>
      <c r="C378" s="28"/>
      <c r="D378" s="28"/>
      <c r="E378" s="28"/>
      <c r="F378" s="28"/>
      <c r="G378" s="28"/>
      <c r="H378" s="28"/>
      <c r="I378" s="22"/>
      <c r="J378" s="28"/>
      <c r="K378" s="28"/>
      <c r="L378" s="22"/>
      <c r="M378" s="22"/>
      <c r="N378" s="28"/>
      <c r="O378" s="28"/>
      <c r="P378" s="53"/>
      <c r="Q378" s="53"/>
      <c r="R378" s="28"/>
      <c r="S378" s="53"/>
      <c r="T378" s="28"/>
      <c r="U378" s="28"/>
      <c r="V378" s="28"/>
      <c r="W378" s="28"/>
      <c r="X378" s="53"/>
      <c r="Y378" s="22"/>
      <c r="Z378" s="28"/>
      <c r="AA378" s="28"/>
      <c r="AB378" s="28"/>
      <c r="AC378" s="28"/>
      <c r="AD378" s="28"/>
      <c r="AE378" s="28"/>
      <c r="AF378" s="28"/>
      <c r="AG378" s="28"/>
    </row>
    <row r="379" spans="1:33" ht="15.75" customHeight="1">
      <c r="A379" s="28"/>
      <c r="B379" s="28"/>
      <c r="C379" s="28"/>
      <c r="D379" s="28"/>
      <c r="E379" s="28"/>
      <c r="F379" s="28"/>
      <c r="G379" s="28"/>
      <c r="H379" s="28"/>
      <c r="I379" s="22"/>
      <c r="J379" s="28"/>
      <c r="K379" s="28"/>
      <c r="L379" s="22"/>
      <c r="M379" s="22"/>
      <c r="N379" s="28"/>
      <c r="O379" s="28"/>
      <c r="P379" s="53"/>
      <c r="Q379" s="53"/>
      <c r="R379" s="28"/>
      <c r="S379" s="53"/>
      <c r="T379" s="28"/>
      <c r="U379" s="28"/>
      <c r="V379" s="28"/>
      <c r="W379" s="28"/>
      <c r="X379" s="53"/>
      <c r="Y379" s="22"/>
      <c r="Z379" s="28"/>
      <c r="AA379" s="28"/>
      <c r="AB379" s="28"/>
      <c r="AC379" s="28"/>
      <c r="AD379" s="28"/>
      <c r="AE379" s="28"/>
      <c r="AF379" s="28"/>
      <c r="AG379" s="28"/>
    </row>
    <row r="380" spans="1:33" ht="15.75" customHeight="1">
      <c r="A380" s="28"/>
      <c r="B380" s="28"/>
      <c r="C380" s="28"/>
      <c r="D380" s="28"/>
      <c r="E380" s="28"/>
      <c r="F380" s="28"/>
      <c r="G380" s="28"/>
      <c r="H380" s="28"/>
      <c r="I380" s="22"/>
      <c r="J380" s="28"/>
      <c r="K380" s="28"/>
      <c r="L380" s="22"/>
      <c r="M380" s="22"/>
      <c r="N380" s="28"/>
      <c r="O380" s="28"/>
      <c r="P380" s="53"/>
      <c r="Q380" s="53"/>
      <c r="R380" s="28"/>
      <c r="S380" s="53"/>
      <c r="T380" s="28"/>
      <c r="U380" s="28"/>
      <c r="V380" s="28"/>
      <c r="W380" s="28"/>
      <c r="X380" s="53"/>
      <c r="Y380" s="22"/>
      <c r="Z380" s="28"/>
      <c r="AA380" s="28"/>
      <c r="AB380" s="28"/>
      <c r="AC380" s="28"/>
      <c r="AD380" s="28"/>
      <c r="AE380" s="28"/>
      <c r="AF380" s="28"/>
      <c r="AG380" s="28"/>
    </row>
    <row r="381" spans="1:33" ht="15.75" customHeight="1">
      <c r="A381" s="28"/>
      <c r="B381" s="28"/>
      <c r="C381" s="28"/>
      <c r="D381" s="28"/>
      <c r="E381" s="28"/>
      <c r="F381" s="28"/>
      <c r="G381" s="28"/>
      <c r="H381" s="28"/>
      <c r="I381" s="22"/>
      <c r="J381" s="28"/>
      <c r="K381" s="28"/>
      <c r="L381" s="22"/>
      <c r="M381" s="22"/>
      <c r="N381" s="28"/>
      <c r="O381" s="28"/>
      <c r="P381" s="53"/>
      <c r="Q381" s="53"/>
      <c r="R381" s="28"/>
      <c r="S381" s="53"/>
      <c r="T381" s="28"/>
      <c r="U381" s="28"/>
      <c r="V381" s="28"/>
      <c r="W381" s="28"/>
      <c r="X381" s="53"/>
      <c r="Y381" s="22"/>
      <c r="Z381" s="28"/>
      <c r="AA381" s="28"/>
      <c r="AB381" s="28"/>
      <c r="AC381" s="28"/>
      <c r="AD381" s="28"/>
      <c r="AE381" s="28"/>
      <c r="AF381" s="28"/>
      <c r="AG381" s="28"/>
    </row>
    <row r="382" spans="1:33" ht="15.75" customHeight="1">
      <c r="A382" s="28"/>
      <c r="B382" s="28"/>
      <c r="C382" s="28"/>
      <c r="D382" s="28"/>
      <c r="E382" s="28"/>
      <c r="F382" s="28"/>
      <c r="G382" s="28"/>
      <c r="H382" s="28"/>
      <c r="I382" s="22"/>
      <c r="J382" s="28"/>
      <c r="K382" s="28"/>
      <c r="L382" s="22"/>
      <c r="M382" s="22"/>
      <c r="N382" s="28"/>
      <c r="O382" s="28"/>
      <c r="P382" s="53"/>
      <c r="Q382" s="53"/>
      <c r="R382" s="28"/>
      <c r="S382" s="53"/>
      <c r="T382" s="28"/>
      <c r="U382" s="28"/>
      <c r="V382" s="28"/>
      <c r="W382" s="28"/>
      <c r="X382" s="53"/>
      <c r="Y382" s="22"/>
      <c r="Z382" s="28"/>
      <c r="AA382" s="28"/>
      <c r="AB382" s="28"/>
      <c r="AC382" s="28"/>
      <c r="AD382" s="28"/>
      <c r="AE382" s="28"/>
      <c r="AF382" s="28"/>
      <c r="AG382" s="28"/>
    </row>
    <row r="383" spans="1:33" ht="15.75" customHeight="1">
      <c r="A383" s="28"/>
      <c r="B383" s="28"/>
      <c r="C383" s="28"/>
      <c r="D383" s="28"/>
      <c r="E383" s="28"/>
      <c r="F383" s="28"/>
      <c r="G383" s="28"/>
      <c r="H383" s="28"/>
      <c r="I383" s="22"/>
      <c r="J383" s="28"/>
      <c r="K383" s="28"/>
      <c r="L383" s="22"/>
      <c r="M383" s="22"/>
      <c r="N383" s="28"/>
      <c r="O383" s="28"/>
      <c r="P383" s="53"/>
      <c r="Q383" s="53"/>
      <c r="R383" s="28"/>
      <c r="S383" s="53"/>
      <c r="T383" s="28"/>
      <c r="U383" s="28"/>
      <c r="V383" s="28"/>
      <c r="W383" s="28"/>
      <c r="X383" s="53"/>
      <c r="Y383" s="22"/>
      <c r="Z383" s="28"/>
      <c r="AA383" s="28"/>
      <c r="AB383" s="28"/>
      <c r="AC383" s="28"/>
      <c r="AD383" s="28"/>
      <c r="AE383" s="28"/>
      <c r="AF383" s="28"/>
      <c r="AG383" s="28"/>
    </row>
    <row r="384" spans="1:33" ht="15.75" customHeight="1">
      <c r="A384" s="28"/>
      <c r="B384" s="28"/>
      <c r="C384" s="28"/>
      <c r="D384" s="28"/>
      <c r="E384" s="28"/>
      <c r="F384" s="28"/>
      <c r="G384" s="28"/>
      <c r="H384" s="28"/>
      <c r="I384" s="22"/>
      <c r="J384" s="28"/>
      <c r="K384" s="28"/>
      <c r="L384" s="22"/>
      <c r="M384" s="22"/>
      <c r="N384" s="28"/>
      <c r="O384" s="28"/>
      <c r="P384" s="53"/>
      <c r="Q384" s="53"/>
      <c r="R384" s="28"/>
      <c r="S384" s="53"/>
      <c r="T384" s="28"/>
      <c r="U384" s="28"/>
      <c r="V384" s="28"/>
      <c r="W384" s="28"/>
      <c r="X384" s="53"/>
      <c r="Y384" s="22"/>
      <c r="Z384" s="28"/>
      <c r="AA384" s="28"/>
      <c r="AB384" s="28"/>
      <c r="AC384" s="28"/>
      <c r="AD384" s="28"/>
      <c r="AE384" s="28"/>
      <c r="AF384" s="28"/>
      <c r="AG384" s="28"/>
    </row>
    <row r="385" spans="1:33" ht="15.75" customHeight="1">
      <c r="A385" s="28"/>
      <c r="B385" s="28"/>
      <c r="C385" s="28"/>
      <c r="D385" s="28"/>
      <c r="E385" s="28"/>
      <c r="F385" s="28"/>
      <c r="G385" s="28"/>
      <c r="H385" s="28"/>
      <c r="I385" s="22"/>
      <c r="J385" s="28"/>
      <c r="K385" s="28"/>
      <c r="L385" s="22"/>
      <c r="M385" s="22"/>
      <c r="N385" s="28"/>
      <c r="O385" s="28"/>
      <c r="P385" s="53"/>
      <c r="Q385" s="53"/>
      <c r="R385" s="28"/>
      <c r="S385" s="53"/>
      <c r="T385" s="28"/>
      <c r="U385" s="28"/>
      <c r="V385" s="28"/>
      <c r="W385" s="28"/>
      <c r="X385" s="53"/>
      <c r="Y385" s="22"/>
      <c r="Z385" s="28"/>
      <c r="AA385" s="28"/>
      <c r="AB385" s="28"/>
      <c r="AC385" s="28"/>
      <c r="AD385" s="28"/>
      <c r="AE385" s="28"/>
      <c r="AF385" s="28"/>
      <c r="AG385" s="28"/>
    </row>
    <row r="386" spans="1:33" ht="15.75" customHeight="1">
      <c r="A386" s="28"/>
      <c r="B386" s="28"/>
      <c r="C386" s="28"/>
      <c r="D386" s="28"/>
      <c r="E386" s="28"/>
      <c r="F386" s="28"/>
      <c r="G386" s="28"/>
      <c r="H386" s="28"/>
      <c r="I386" s="22"/>
      <c r="J386" s="28"/>
      <c r="K386" s="28"/>
      <c r="L386" s="22"/>
      <c r="M386" s="22"/>
      <c r="N386" s="28"/>
      <c r="O386" s="28"/>
      <c r="P386" s="53"/>
      <c r="Q386" s="53"/>
      <c r="R386" s="28"/>
      <c r="S386" s="53"/>
      <c r="T386" s="28"/>
      <c r="U386" s="28"/>
      <c r="V386" s="28"/>
      <c r="W386" s="28"/>
      <c r="X386" s="53"/>
      <c r="Y386" s="22"/>
      <c r="Z386" s="28"/>
      <c r="AA386" s="28"/>
      <c r="AB386" s="28"/>
      <c r="AC386" s="28"/>
      <c r="AD386" s="28"/>
      <c r="AE386" s="28"/>
      <c r="AF386" s="28"/>
      <c r="AG386" s="28"/>
    </row>
    <row r="387" spans="1:33" ht="15.75" customHeight="1">
      <c r="A387" s="28"/>
      <c r="B387" s="28"/>
      <c r="C387" s="28"/>
      <c r="D387" s="28"/>
      <c r="E387" s="28"/>
      <c r="F387" s="28"/>
      <c r="G387" s="28"/>
      <c r="H387" s="28"/>
      <c r="I387" s="22"/>
      <c r="J387" s="28"/>
      <c r="K387" s="28"/>
      <c r="L387" s="22"/>
      <c r="M387" s="22"/>
      <c r="N387" s="28"/>
      <c r="O387" s="28"/>
      <c r="P387" s="53"/>
      <c r="Q387" s="53"/>
      <c r="R387" s="28"/>
      <c r="S387" s="53"/>
      <c r="T387" s="28"/>
      <c r="U387" s="28"/>
      <c r="V387" s="28"/>
      <c r="W387" s="28"/>
      <c r="X387" s="53"/>
      <c r="Y387" s="22"/>
      <c r="Z387" s="28"/>
      <c r="AA387" s="28"/>
      <c r="AB387" s="28"/>
      <c r="AC387" s="28"/>
      <c r="AD387" s="28"/>
      <c r="AE387" s="28"/>
      <c r="AF387" s="28"/>
      <c r="AG387" s="28"/>
    </row>
    <row r="388" spans="1:33" ht="15.75" customHeight="1">
      <c r="A388" s="28"/>
      <c r="B388" s="28"/>
      <c r="C388" s="28"/>
      <c r="D388" s="28"/>
      <c r="E388" s="28"/>
      <c r="F388" s="28"/>
      <c r="G388" s="28"/>
      <c r="H388" s="28"/>
      <c r="I388" s="22"/>
      <c r="J388" s="28"/>
      <c r="K388" s="28"/>
      <c r="L388" s="22"/>
      <c r="M388" s="22"/>
      <c r="N388" s="28"/>
      <c r="O388" s="28"/>
      <c r="P388" s="53"/>
      <c r="Q388" s="53"/>
      <c r="R388" s="28"/>
      <c r="S388" s="53"/>
      <c r="T388" s="28"/>
      <c r="U388" s="28"/>
      <c r="V388" s="28"/>
      <c r="W388" s="28"/>
      <c r="X388" s="53"/>
      <c r="Y388" s="22"/>
      <c r="Z388" s="28"/>
      <c r="AA388" s="28"/>
      <c r="AB388" s="28"/>
      <c r="AC388" s="28"/>
      <c r="AD388" s="28"/>
      <c r="AE388" s="28"/>
      <c r="AF388" s="28"/>
      <c r="AG388" s="28"/>
    </row>
    <row r="389" spans="1:33" ht="15.75" customHeight="1">
      <c r="A389" s="28"/>
      <c r="B389" s="28"/>
      <c r="C389" s="28"/>
      <c r="D389" s="28"/>
      <c r="E389" s="28"/>
      <c r="F389" s="28"/>
      <c r="G389" s="28"/>
      <c r="H389" s="28"/>
      <c r="I389" s="22"/>
      <c r="J389" s="28"/>
      <c r="K389" s="28"/>
      <c r="L389" s="22"/>
      <c r="M389" s="22"/>
      <c r="N389" s="28"/>
      <c r="O389" s="28"/>
      <c r="P389" s="53"/>
      <c r="Q389" s="53"/>
      <c r="R389" s="28"/>
      <c r="S389" s="53"/>
      <c r="T389" s="28"/>
      <c r="U389" s="28"/>
      <c r="V389" s="28"/>
      <c r="W389" s="28"/>
      <c r="X389" s="53"/>
      <c r="Y389" s="22"/>
      <c r="Z389" s="28"/>
      <c r="AA389" s="28"/>
      <c r="AB389" s="28"/>
      <c r="AC389" s="28"/>
      <c r="AD389" s="28"/>
      <c r="AE389" s="28"/>
      <c r="AF389" s="28"/>
      <c r="AG389" s="28"/>
    </row>
    <row r="390" spans="1:33" ht="15.75" customHeight="1">
      <c r="A390" s="28"/>
      <c r="B390" s="28"/>
      <c r="C390" s="28"/>
      <c r="D390" s="28"/>
      <c r="E390" s="28"/>
      <c r="F390" s="28"/>
      <c r="G390" s="28"/>
      <c r="H390" s="28"/>
      <c r="I390" s="22"/>
      <c r="J390" s="28"/>
      <c r="K390" s="28"/>
      <c r="L390" s="22"/>
      <c r="M390" s="22"/>
      <c r="N390" s="28"/>
      <c r="O390" s="28"/>
      <c r="P390" s="53"/>
      <c r="Q390" s="53"/>
      <c r="R390" s="28"/>
      <c r="S390" s="53"/>
      <c r="T390" s="28"/>
      <c r="U390" s="28"/>
      <c r="V390" s="28"/>
      <c r="W390" s="28"/>
      <c r="X390" s="53"/>
      <c r="Y390" s="22"/>
      <c r="Z390" s="28"/>
      <c r="AA390" s="28"/>
      <c r="AB390" s="28"/>
      <c r="AC390" s="28"/>
      <c r="AD390" s="28"/>
      <c r="AE390" s="28"/>
      <c r="AF390" s="28"/>
      <c r="AG390" s="28"/>
    </row>
    <row r="391" spans="1:33" ht="15.75" customHeight="1">
      <c r="A391" s="28"/>
      <c r="B391" s="28"/>
      <c r="C391" s="28"/>
      <c r="D391" s="28"/>
      <c r="E391" s="28"/>
      <c r="F391" s="28"/>
      <c r="G391" s="28"/>
      <c r="H391" s="28"/>
      <c r="I391" s="22"/>
      <c r="J391" s="28"/>
      <c r="K391" s="28"/>
      <c r="L391" s="22"/>
      <c r="M391" s="22"/>
      <c r="N391" s="28"/>
      <c r="O391" s="28"/>
      <c r="P391" s="53"/>
      <c r="Q391" s="53"/>
      <c r="R391" s="28"/>
      <c r="S391" s="53"/>
      <c r="T391" s="28"/>
      <c r="U391" s="28"/>
      <c r="V391" s="28"/>
      <c r="W391" s="28"/>
      <c r="X391" s="53"/>
      <c r="Y391" s="22"/>
      <c r="Z391" s="28"/>
      <c r="AA391" s="28"/>
      <c r="AB391" s="28"/>
      <c r="AC391" s="28"/>
      <c r="AD391" s="28"/>
      <c r="AE391" s="28"/>
      <c r="AF391" s="28"/>
      <c r="AG391" s="28"/>
    </row>
    <row r="392" spans="1:33" ht="15.75" customHeight="1">
      <c r="A392" s="28"/>
      <c r="B392" s="28"/>
      <c r="C392" s="28"/>
      <c r="D392" s="28"/>
      <c r="E392" s="28"/>
      <c r="F392" s="28"/>
      <c r="G392" s="28"/>
      <c r="H392" s="28"/>
      <c r="I392" s="22"/>
      <c r="J392" s="28"/>
      <c r="K392" s="28"/>
      <c r="L392" s="22"/>
      <c r="M392" s="22"/>
      <c r="N392" s="28"/>
      <c r="O392" s="28"/>
      <c r="P392" s="53"/>
      <c r="Q392" s="53"/>
      <c r="R392" s="28"/>
      <c r="S392" s="53"/>
      <c r="T392" s="28"/>
      <c r="U392" s="28"/>
      <c r="V392" s="28"/>
      <c r="W392" s="28"/>
      <c r="X392" s="53"/>
      <c r="Y392" s="22"/>
      <c r="Z392" s="28"/>
      <c r="AA392" s="28"/>
      <c r="AB392" s="28"/>
      <c r="AC392" s="28"/>
      <c r="AD392" s="28"/>
      <c r="AE392" s="28"/>
      <c r="AF392" s="28"/>
      <c r="AG392" s="28"/>
    </row>
    <row r="393" spans="1:33" ht="15.75" customHeight="1">
      <c r="A393" s="28"/>
      <c r="B393" s="28"/>
      <c r="C393" s="28"/>
      <c r="D393" s="28"/>
      <c r="E393" s="28"/>
      <c r="F393" s="28"/>
      <c r="G393" s="28"/>
      <c r="H393" s="28"/>
      <c r="I393" s="22"/>
      <c r="J393" s="28"/>
      <c r="K393" s="28"/>
      <c r="L393" s="22"/>
      <c r="M393" s="22"/>
      <c r="N393" s="28"/>
      <c r="O393" s="28"/>
      <c r="P393" s="53"/>
      <c r="Q393" s="53"/>
      <c r="R393" s="28"/>
      <c r="S393" s="53"/>
      <c r="T393" s="28"/>
      <c r="U393" s="28"/>
      <c r="V393" s="28"/>
      <c r="W393" s="28"/>
      <c r="X393" s="53"/>
      <c r="Y393" s="22"/>
      <c r="Z393" s="28"/>
      <c r="AA393" s="28"/>
      <c r="AB393" s="28"/>
      <c r="AC393" s="28"/>
      <c r="AD393" s="28"/>
      <c r="AE393" s="28"/>
      <c r="AF393" s="28"/>
      <c r="AG393" s="28"/>
    </row>
    <row r="394" spans="1:33" ht="15.75" customHeight="1">
      <c r="A394" s="28"/>
      <c r="B394" s="28"/>
      <c r="C394" s="28"/>
      <c r="D394" s="28"/>
      <c r="E394" s="28"/>
      <c r="F394" s="28"/>
      <c r="G394" s="28"/>
      <c r="H394" s="28"/>
      <c r="I394" s="22"/>
      <c r="J394" s="28"/>
      <c r="K394" s="28"/>
      <c r="L394" s="22"/>
      <c r="M394" s="22"/>
      <c r="N394" s="28"/>
      <c r="O394" s="28"/>
      <c r="P394" s="53"/>
      <c r="Q394" s="53"/>
      <c r="R394" s="28"/>
      <c r="S394" s="53"/>
      <c r="T394" s="28"/>
      <c r="U394" s="28"/>
      <c r="V394" s="28"/>
      <c r="W394" s="28"/>
      <c r="X394" s="53"/>
      <c r="Y394" s="22"/>
      <c r="Z394" s="28"/>
      <c r="AA394" s="28"/>
      <c r="AB394" s="28"/>
      <c r="AC394" s="28"/>
      <c r="AD394" s="28"/>
      <c r="AE394" s="28"/>
      <c r="AF394" s="28"/>
      <c r="AG394" s="28"/>
    </row>
    <row r="395" spans="1:33" ht="15.75" customHeight="1">
      <c r="A395" s="28"/>
      <c r="B395" s="28"/>
      <c r="C395" s="28"/>
      <c r="D395" s="28"/>
      <c r="E395" s="28"/>
      <c r="F395" s="28"/>
      <c r="G395" s="28"/>
      <c r="H395" s="28"/>
      <c r="I395" s="22"/>
      <c r="J395" s="28"/>
      <c r="K395" s="28"/>
      <c r="L395" s="22"/>
      <c r="M395" s="22"/>
      <c r="N395" s="28"/>
      <c r="O395" s="28"/>
      <c r="P395" s="53"/>
      <c r="Q395" s="53"/>
      <c r="R395" s="28"/>
      <c r="S395" s="53"/>
      <c r="T395" s="28"/>
      <c r="U395" s="28"/>
      <c r="V395" s="28"/>
      <c r="W395" s="28"/>
      <c r="X395" s="53"/>
      <c r="Y395" s="22"/>
      <c r="Z395" s="28"/>
      <c r="AA395" s="28"/>
      <c r="AB395" s="28"/>
      <c r="AC395" s="28"/>
      <c r="AD395" s="28"/>
      <c r="AE395" s="28"/>
      <c r="AF395" s="28"/>
      <c r="AG395" s="28"/>
    </row>
    <row r="396" spans="1:33" ht="15.75" customHeight="1">
      <c r="A396" s="28"/>
      <c r="B396" s="28"/>
      <c r="C396" s="28"/>
      <c r="D396" s="28"/>
      <c r="E396" s="28"/>
      <c r="F396" s="28"/>
      <c r="G396" s="28"/>
      <c r="H396" s="28"/>
      <c r="I396" s="22"/>
      <c r="J396" s="28"/>
      <c r="K396" s="28"/>
      <c r="L396" s="22"/>
      <c r="M396" s="22"/>
      <c r="N396" s="28"/>
      <c r="O396" s="28"/>
      <c r="P396" s="53"/>
      <c r="Q396" s="53"/>
      <c r="R396" s="28"/>
      <c r="S396" s="53"/>
      <c r="T396" s="28"/>
      <c r="U396" s="28"/>
      <c r="V396" s="28"/>
      <c r="W396" s="28"/>
      <c r="X396" s="53"/>
      <c r="Y396" s="22"/>
      <c r="Z396" s="28"/>
      <c r="AA396" s="28"/>
      <c r="AB396" s="28"/>
      <c r="AC396" s="28"/>
      <c r="AD396" s="28"/>
      <c r="AE396" s="28"/>
      <c r="AF396" s="28"/>
      <c r="AG396" s="28"/>
    </row>
    <row r="397" spans="1:33" ht="15.75" customHeight="1">
      <c r="A397" s="28"/>
      <c r="B397" s="28"/>
      <c r="C397" s="28"/>
      <c r="D397" s="28"/>
      <c r="E397" s="28"/>
      <c r="F397" s="28"/>
      <c r="G397" s="28"/>
      <c r="H397" s="28"/>
      <c r="I397" s="22"/>
      <c r="J397" s="28"/>
      <c r="K397" s="28"/>
      <c r="L397" s="22"/>
      <c r="M397" s="22"/>
      <c r="N397" s="28"/>
      <c r="O397" s="28"/>
      <c r="P397" s="53"/>
      <c r="Q397" s="53"/>
      <c r="R397" s="28"/>
      <c r="S397" s="53"/>
      <c r="T397" s="28"/>
      <c r="U397" s="28"/>
      <c r="V397" s="28"/>
      <c r="W397" s="28"/>
      <c r="X397" s="53"/>
      <c r="Y397" s="22"/>
      <c r="Z397" s="28"/>
      <c r="AA397" s="28"/>
      <c r="AB397" s="28"/>
      <c r="AC397" s="28"/>
      <c r="AD397" s="28"/>
      <c r="AE397" s="28"/>
      <c r="AF397" s="28"/>
      <c r="AG397" s="28"/>
    </row>
    <row r="398" spans="1:33" ht="15.75" customHeight="1">
      <c r="A398" s="28"/>
      <c r="B398" s="28"/>
      <c r="C398" s="28"/>
      <c r="D398" s="28"/>
      <c r="E398" s="28"/>
      <c r="F398" s="28"/>
      <c r="G398" s="28"/>
      <c r="H398" s="28"/>
      <c r="I398" s="22"/>
      <c r="J398" s="28"/>
      <c r="K398" s="28"/>
      <c r="L398" s="22"/>
      <c r="M398" s="22"/>
      <c r="N398" s="28"/>
      <c r="O398" s="28"/>
      <c r="P398" s="53"/>
      <c r="Q398" s="53"/>
      <c r="R398" s="28"/>
      <c r="S398" s="53"/>
      <c r="T398" s="28"/>
      <c r="U398" s="28"/>
      <c r="V398" s="28"/>
      <c r="W398" s="28"/>
      <c r="X398" s="53"/>
      <c r="Y398" s="22"/>
      <c r="Z398" s="28"/>
      <c r="AA398" s="28"/>
      <c r="AB398" s="28"/>
      <c r="AC398" s="28"/>
      <c r="AD398" s="28"/>
      <c r="AE398" s="28"/>
      <c r="AF398" s="28"/>
      <c r="AG398" s="28"/>
    </row>
    <row r="399" spans="1:33" ht="15.75" customHeight="1">
      <c r="A399" s="28"/>
      <c r="B399" s="28"/>
      <c r="C399" s="28"/>
      <c r="D399" s="28"/>
      <c r="E399" s="28"/>
      <c r="F399" s="28"/>
      <c r="G399" s="28"/>
      <c r="H399" s="28"/>
      <c r="I399" s="22"/>
      <c r="J399" s="28"/>
      <c r="K399" s="28"/>
      <c r="L399" s="22"/>
      <c r="M399" s="22"/>
      <c r="N399" s="28"/>
      <c r="O399" s="28"/>
      <c r="P399" s="53"/>
      <c r="Q399" s="53"/>
      <c r="R399" s="28"/>
      <c r="S399" s="53"/>
      <c r="T399" s="28"/>
      <c r="U399" s="28"/>
      <c r="V399" s="28"/>
      <c r="W399" s="28"/>
      <c r="X399" s="53"/>
      <c r="Y399" s="22"/>
      <c r="Z399" s="28"/>
      <c r="AA399" s="28"/>
      <c r="AB399" s="28"/>
      <c r="AC399" s="28"/>
      <c r="AD399" s="28"/>
      <c r="AE399" s="28"/>
      <c r="AF399" s="28"/>
      <c r="AG399" s="28"/>
    </row>
    <row r="400" spans="1:33" ht="15.75" customHeight="1">
      <c r="A400" s="28"/>
      <c r="B400" s="28"/>
      <c r="C400" s="28"/>
      <c r="D400" s="28"/>
      <c r="E400" s="28"/>
      <c r="F400" s="28"/>
      <c r="G400" s="28"/>
      <c r="H400" s="28"/>
      <c r="I400" s="22"/>
      <c r="J400" s="28"/>
      <c r="K400" s="28"/>
      <c r="L400" s="22"/>
      <c r="M400" s="22"/>
      <c r="N400" s="28"/>
      <c r="O400" s="28"/>
      <c r="P400" s="53"/>
      <c r="Q400" s="53"/>
      <c r="R400" s="28"/>
      <c r="S400" s="53"/>
      <c r="T400" s="28"/>
      <c r="U400" s="28"/>
      <c r="V400" s="28"/>
      <c r="W400" s="28"/>
      <c r="X400" s="53"/>
      <c r="Y400" s="22"/>
      <c r="Z400" s="28"/>
      <c r="AA400" s="28"/>
      <c r="AB400" s="28"/>
      <c r="AC400" s="28"/>
      <c r="AD400" s="28"/>
      <c r="AE400" s="28"/>
      <c r="AF400" s="28"/>
      <c r="AG400" s="28"/>
    </row>
    <row r="401" spans="1:33" ht="15.75" customHeight="1">
      <c r="A401" s="28"/>
      <c r="B401" s="28"/>
      <c r="C401" s="28"/>
      <c r="D401" s="28"/>
      <c r="E401" s="28"/>
      <c r="F401" s="28"/>
      <c r="G401" s="28"/>
      <c r="H401" s="28"/>
      <c r="I401" s="22"/>
      <c r="J401" s="28"/>
      <c r="K401" s="28"/>
      <c r="L401" s="22"/>
      <c r="M401" s="22"/>
      <c r="N401" s="28"/>
      <c r="O401" s="28"/>
      <c r="P401" s="53"/>
      <c r="Q401" s="53"/>
      <c r="R401" s="28"/>
      <c r="S401" s="53"/>
      <c r="T401" s="28"/>
      <c r="U401" s="28"/>
      <c r="V401" s="28"/>
      <c r="W401" s="28"/>
      <c r="X401" s="53"/>
      <c r="Y401" s="22"/>
      <c r="Z401" s="28"/>
      <c r="AA401" s="28"/>
      <c r="AB401" s="28"/>
      <c r="AC401" s="28"/>
      <c r="AD401" s="28"/>
      <c r="AE401" s="28"/>
      <c r="AF401" s="28"/>
      <c r="AG401" s="28"/>
    </row>
    <row r="402" spans="1:33" ht="15.75" customHeight="1">
      <c r="A402" s="28"/>
      <c r="B402" s="28"/>
      <c r="C402" s="28"/>
      <c r="D402" s="28"/>
      <c r="E402" s="28"/>
      <c r="F402" s="28"/>
      <c r="G402" s="28"/>
      <c r="H402" s="28"/>
      <c r="I402" s="22"/>
      <c r="J402" s="28"/>
      <c r="K402" s="28"/>
      <c r="L402" s="22"/>
      <c r="M402" s="22"/>
      <c r="N402" s="28"/>
      <c r="O402" s="28"/>
      <c r="P402" s="53"/>
      <c r="Q402" s="53"/>
      <c r="R402" s="28"/>
      <c r="S402" s="53"/>
      <c r="T402" s="28"/>
      <c r="U402" s="28"/>
      <c r="V402" s="28"/>
      <c r="W402" s="28"/>
      <c r="X402" s="53"/>
      <c r="Y402" s="22"/>
      <c r="Z402" s="28"/>
      <c r="AA402" s="28"/>
      <c r="AB402" s="28"/>
      <c r="AC402" s="28"/>
      <c r="AD402" s="28"/>
      <c r="AE402" s="28"/>
      <c r="AF402" s="28"/>
      <c r="AG402" s="28"/>
    </row>
    <row r="403" spans="1:33" ht="15.75" customHeight="1">
      <c r="A403" s="28"/>
      <c r="B403" s="28"/>
      <c r="C403" s="28"/>
      <c r="D403" s="28"/>
      <c r="E403" s="28"/>
      <c r="F403" s="28"/>
      <c r="G403" s="28"/>
      <c r="H403" s="28"/>
      <c r="I403" s="22"/>
      <c r="J403" s="28"/>
      <c r="K403" s="28"/>
      <c r="L403" s="22"/>
      <c r="M403" s="22"/>
      <c r="N403" s="28"/>
      <c r="O403" s="28"/>
      <c r="P403" s="53"/>
      <c r="Q403" s="53"/>
      <c r="R403" s="28"/>
      <c r="S403" s="53"/>
      <c r="T403" s="28"/>
      <c r="U403" s="28"/>
      <c r="V403" s="28"/>
      <c r="W403" s="28"/>
      <c r="X403" s="53"/>
      <c r="Y403" s="22"/>
      <c r="Z403" s="28"/>
      <c r="AA403" s="28"/>
      <c r="AB403" s="28"/>
      <c r="AC403" s="28"/>
      <c r="AD403" s="28"/>
      <c r="AE403" s="28"/>
      <c r="AF403" s="28"/>
      <c r="AG403" s="28"/>
    </row>
    <row r="404" spans="1:33" ht="15.75" customHeight="1">
      <c r="A404" s="28"/>
      <c r="B404" s="28"/>
      <c r="C404" s="28"/>
      <c r="D404" s="28"/>
      <c r="E404" s="28"/>
      <c r="F404" s="28"/>
      <c r="G404" s="28"/>
      <c r="H404" s="28"/>
      <c r="I404" s="22"/>
      <c r="J404" s="28"/>
      <c r="K404" s="28"/>
      <c r="L404" s="22"/>
      <c r="M404" s="22"/>
      <c r="N404" s="28"/>
      <c r="O404" s="28"/>
      <c r="P404" s="53"/>
      <c r="Q404" s="53"/>
      <c r="R404" s="28"/>
      <c r="S404" s="53"/>
      <c r="T404" s="28"/>
      <c r="U404" s="28"/>
      <c r="V404" s="28"/>
      <c r="W404" s="28"/>
      <c r="X404" s="53"/>
      <c r="Y404" s="22"/>
      <c r="Z404" s="28"/>
      <c r="AA404" s="28"/>
      <c r="AB404" s="28"/>
      <c r="AC404" s="28"/>
      <c r="AD404" s="28"/>
      <c r="AE404" s="28"/>
      <c r="AF404" s="28"/>
      <c r="AG404" s="28"/>
    </row>
    <row r="405" spans="1:33" ht="15.75" customHeight="1">
      <c r="A405" s="28"/>
      <c r="B405" s="28"/>
      <c r="C405" s="28"/>
      <c r="D405" s="28"/>
      <c r="E405" s="28"/>
      <c r="F405" s="28"/>
      <c r="G405" s="28"/>
      <c r="H405" s="28"/>
      <c r="I405" s="22"/>
      <c r="J405" s="28"/>
      <c r="K405" s="28"/>
      <c r="L405" s="22"/>
      <c r="M405" s="22"/>
      <c r="N405" s="28"/>
      <c r="O405" s="28"/>
      <c r="P405" s="53"/>
      <c r="Q405" s="53"/>
      <c r="R405" s="28"/>
      <c r="S405" s="53"/>
      <c r="T405" s="28"/>
      <c r="U405" s="28"/>
      <c r="V405" s="28"/>
      <c r="W405" s="28"/>
      <c r="X405" s="53"/>
      <c r="Y405" s="22"/>
      <c r="Z405" s="28"/>
      <c r="AA405" s="28"/>
      <c r="AB405" s="28"/>
      <c r="AC405" s="28"/>
      <c r="AD405" s="28"/>
      <c r="AE405" s="28"/>
      <c r="AF405" s="28"/>
      <c r="AG405" s="28"/>
    </row>
    <row r="406" spans="1:33" ht="15.75" customHeight="1">
      <c r="A406" s="28"/>
      <c r="B406" s="28"/>
      <c r="C406" s="28"/>
      <c r="D406" s="28"/>
      <c r="E406" s="28"/>
      <c r="F406" s="28"/>
      <c r="G406" s="28"/>
      <c r="H406" s="28"/>
      <c r="I406" s="22"/>
      <c r="J406" s="28"/>
      <c r="K406" s="28"/>
      <c r="L406" s="22"/>
      <c r="M406" s="22"/>
      <c r="N406" s="28"/>
      <c r="O406" s="28"/>
      <c r="P406" s="53"/>
      <c r="Q406" s="53"/>
      <c r="R406" s="28"/>
      <c r="S406" s="53"/>
      <c r="T406" s="28"/>
      <c r="U406" s="28"/>
      <c r="V406" s="28"/>
      <c r="W406" s="28"/>
      <c r="X406" s="53"/>
      <c r="Y406" s="22"/>
      <c r="Z406" s="28"/>
      <c r="AA406" s="28"/>
      <c r="AB406" s="28"/>
      <c r="AC406" s="28"/>
      <c r="AD406" s="28"/>
      <c r="AE406" s="28"/>
      <c r="AF406" s="28"/>
      <c r="AG406" s="28"/>
    </row>
    <row r="407" spans="1:33" ht="15.75" customHeight="1">
      <c r="A407" s="28"/>
      <c r="B407" s="28"/>
      <c r="C407" s="28"/>
      <c r="D407" s="28"/>
      <c r="E407" s="28"/>
      <c r="F407" s="28"/>
      <c r="G407" s="28"/>
      <c r="H407" s="28"/>
      <c r="I407" s="22"/>
      <c r="J407" s="28"/>
      <c r="K407" s="28"/>
      <c r="L407" s="22"/>
      <c r="M407" s="22"/>
      <c r="N407" s="28"/>
      <c r="O407" s="28"/>
      <c r="P407" s="53"/>
      <c r="Q407" s="53"/>
      <c r="R407" s="28"/>
      <c r="S407" s="53"/>
      <c r="T407" s="28"/>
      <c r="U407" s="28"/>
      <c r="V407" s="28"/>
      <c r="W407" s="28"/>
      <c r="X407" s="53"/>
      <c r="Y407" s="22"/>
      <c r="Z407" s="28"/>
      <c r="AA407" s="28"/>
      <c r="AB407" s="28"/>
      <c r="AC407" s="28"/>
      <c r="AD407" s="28"/>
      <c r="AE407" s="28"/>
      <c r="AF407" s="28"/>
      <c r="AG407" s="28"/>
    </row>
    <row r="408" spans="1:33" ht="15.75" customHeight="1">
      <c r="A408" s="28"/>
      <c r="B408" s="28"/>
      <c r="C408" s="28"/>
      <c r="D408" s="28"/>
      <c r="E408" s="28"/>
      <c r="F408" s="28"/>
      <c r="G408" s="28"/>
      <c r="H408" s="28"/>
      <c r="I408" s="22"/>
      <c r="J408" s="28"/>
      <c r="K408" s="28"/>
      <c r="L408" s="22"/>
      <c r="M408" s="22"/>
      <c r="N408" s="28"/>
      <c r="O408" s="28"/>
      <c r="P408" s="53"/>
      <c r="Q408" s="53"/>
      <c r="R408" s="28"/>
      <c r="S408" s="53"/>
      <c r="T408" s="28"/>
      <c r="U408" s="28"/>
      <c r="V408" s="28"/>
      <c r="W408" s="28"/>
      <c r="X408" s="53"/>
      <c r="Y408" s="22"/>
      <c r="Z408" s="28"/>
      <c r="AA408" s="28"/>
      <c r="AB408" s="28"/>
      <c r="AC408" s="28"/>
      <c r="AD408" s="28"/>
      <c r="AE408" s="28"/>
      <c r="AF408" s="28"/>
      <c r="AG408" s="28"/>
    </row>
    <row r="409" spans="1:33" ht="15.75" customHeight="1">
      <c r="A409" s="28"/>
      <c r="B409" s="28"/>
      <c r="C409" s="28"/>
      <c r="D409" s="28"/>
      <c r="E409" s="28"/>
      <c r="F409" s="28"/>
      <c r="G409" s="28"/>
      <c r="H409" s="28"/>
      <c r="I409" s="22"/>
      <c r="J409" s="28"/>
      <c r="K409" s="28"/>
      <c r="L409" s="22"/>
      <c r="M409" s="22"/>
      <c r="N409" s="28"/>
      <c r="O409" s="28"/>
      <c r="P409" s="53"/>
      <c r="Q409" s="53"/>
      <c r="R409" s="28"/>
      <c r="S409" s="53"/>
      <c r="T409" s="28"/>
      <c r="U409" s="28"/>
      <c r="V409" s="28"/>
      <c r="W409" s="28"/>
      <c r="X409" s="53"/>
      <c r="Y409" s="22"/>
      <c r="Z409" s="28"/>
      <c r="AA409" s="28"/>
      <c r="AB409" s="28"/>
      <c r="AC409" s="28"/>
      <c r="AD409" s="28"/>
      <c r="AE409" s="28"/>
      <c r="AF409" s="28"/>
      <c r="AG409" s="28"/>
    </row>
    <row r="410" spans="1:33" ht="15.75" customHeight="1">
      <c r="A410" s="28"/>
      <c r="B410" s="28"/>
      <c r="C410" s="28"/>
      <c r="D410" s="28"/>
      <c r="E410" s="28"/>
      <c r="F410" s="28"/>
      <c r="G410" s="28"/>
      <c r="H410" s="28"/>
      <c r="I410" s="22"/>
      <c r="J410" s="28"/>
      <c r="K410" s="28"/>
      <c r="L410" s="22"/>
      <c r="M410" s="22"/>
      <c r="N410" s="28"/>
      <c r="O410" s="28"/>
      <c r="P410" s="53"/>
      <c r="Q410" s="53"/>
      <c r="R410" s="28"/>
      <c r="S410" s="53"/>
      <c r="T410" s="28"/>
      <c r="U410" s="28"/>
      <c r="V410" s="28"/>
      <c r="W410" s="28"/>
      <c r="X410" s="53"/>
      <c r="Y410" s="22"/>
      <c r="Z410" s="28"/>
      <c r="AA410" s="28"/>
      <c r="AB410" s="28"/>
      <c r="AC410" s="28"/>
      <c r="AD410" s="28"/>
      <c r="AE410" s="28"/>
      <c r="AF410" s="28"/>
      <c r="AG410" s="28"/>
    </row>
    <row r="411" spans="1:33" ht="15.75" customHeight="1">
      <c r="A411" s="28"/>
      <c r="B411" s="28"/>
      <c r="C411" s="28"/>
      <c r="D411" s="28"/>
      <c r="E411" s="28"/>
      <c r="F411" s="28"/>
      <c r="G411" s="28"/>
      <c r="H411" s="28"/>
      <c r="I411" s="22"/>
      <c r="J411" s="28"/>
      <c r="K411" s="28"/>
      <c r="L411" s="22"/>
      <c r="M411" s="22"/>
      <c r="N411" s="28"/>
      <c r="O411" s="28"/>
      <c r="P411" s="53"/>
      <c r="Q411" s="53"/>
      <c r="R411" s="28"/>
      <c r="S411" s="53"/>
      <c r="T411" s="28"/>
      <c r="U411" s="28"/>
      <c r="V411" s="28"/>
      <c r="W411" s="28"/>
      <c r="X411" s="53"/>
      <c r="Y411" s="22"/>
      <c r="Z411" s="28"/>
      <c r="AA411" s="28"/>
      <c r="AB411" s="28"/>
      <c r="AC411" s="28"/>
      <c r="AD411" s="28"/>
      <c r="AE411" s="28"/>
      <c r="AF411" s="28"/>
      <c r="AG411" s="28"/>
    </row>
    <row r="412" spans="1:33" ht="15.75" customHeight="1">
      <c r="A412" s="28"/>
      <c r="B412" s="28"/>
      <c r="C412" s="28"/>
      <c r="D412" s="28"/>
      <c r="E412" s="28"/>
      <c r="F412" s="28"/>
      <c r="G412" s="28"/>
      <c r="H412" s="28"/>
      <c r="I412" s="22"/>
      <c r="J412" s="28"/>
      <c r="K412" s="28"/>
      <c r="L412" s="22"/>
      <c r="M412" s="22"/>
      <c r="N412" s="28"/>
      <c r="O412" s="28"/>
      <c r="P412" s="53"/>
      <c r="Q412" s="53"/>
      <c r="R412" s="28"/>
      <c r="S412" s="53"/>
      <c r="T412" s="28"/>
      <c r="U412" s="28"/>
      <c r="V412" s="28"/>
      <c r="W412" s="28"/>
      <c r="X412" s="53"/>
      <c r="Y412" s="22"/>
      <c r="Z412" s="28"/>
      <c r="AA412" s="28"/>
      <c r="AB412" s="28"/>
      <c r="AC412" s="28"/>
      <c r="AD412" s="28"/>
      <c r="AE412" s="28"/>
      <c r="AF412" s="28"/>
      <c r="AG412" s="28"/>
    </row>
    <row r="413" spans="1:33" ht="15.75" customHeight="1">
      <c r="A413" s="28"/>
      <c r="B413" s="28"/>
      <c r="C413" s="28"/>
      <c r="D413" s="28"/>
      <c r="E413" s="28"/>
      <c r="F413" s="28"/>
      <c r="G413" s="28"/>
      <c r="H413" s="28"/>
      <c r="I413" s="22"/>
      <c r="J413" s="28"/>
      <c r="K413" s="28"/>
      <c r="L413" s="22"/>
      <c r="M413" s="22"/>
      <c r="N413" s="28"/>
      <c r="O413" s="28"/>
      <c r="P413" s="53"/>
      <c r="Q413" s="53"/>
      <c r="R413" s="28"/>
      <c r="S413" s="53"/>
      <c r="T413" s="28"/>
      <c r="U413" s="28"/>
      <c r="V413" s="28"/>
      <c r="W413" s="28"/>
      <c r="X413" s="53"/>
      <c r="Y413" s="22"/>
      <c r="Z413" s="28"/>
      <c r="AA413" s="28"/>
      <c r="AB413" s="28"/>
      <c r="AC413" s="28"/>
      <c r="AD413" s="28"/>
      <c r="AE413" s="28"/>
      <c r="AF413" s="28"/>
      <c r="AG413" s="28"/>
    </row>
    <row r="414" spans="1:33" ht="15.75" customHeight="1">
      <c r="A414" s="28"/>
      <c r="B414" s="28"/>
      <c r="C414" s="28"/>
      <c r="D414" s="28"/>
      <c r="E414" s="28"/>
      <c r="F414" s="28"/>
      <c r="G414" s="28"/>
      <c r="H414" s="28"/>
      <c r="I414" s="22"/>
      <c r="J414" s="28"/>
      <c r="K414" s="28"/>
      <c r="L414" s="22"/>
      <c r="M414" s="22"/>
      <c r="N414" s="28"/>
      <c r="O414" s="28"/>
      <c r="P414" s="53"/>
      <c r="Q414" s="53"/>
      <c r="R414" s="28"/>
      <c r="S414" s="53"/>
      <c r="T414" s="28"/>
      <c r="U414" s="28"/>
      <c r="V414" s="28"/>
      <c r="W414" s="28"/>
      <c r="X414" s="53"/>
      <c r="Y414" s="22"/>
      <c r="Z414" s="28"/>
      <c r="AA414" s="28"/>
      <c r="AB414" s="28"/>
      <c r="AC414" s="28"/>
      <c r="AD414" s="28"/>
      <c r="AE414" s="28"/>
      <c r="AF414" s="28"/>
      <c r="AG414" s="28"/>
    </row>
    <row r="415" spans="1:33" ht="15.75" customHeight="1">
      <c r="A415" s="28"/>
      <c r="B415" s="28"/>
      <c r="C415" s="28"/>
      <c r="D415" s="28"/>
      <c r="E415" s="28"/>
      <c r="F415" s="28"/>
      <c r="G415" s="28"/>
      <c r="H415" s="28"/>
      <c r="I415" s="22"/>
      <c r="J415" s="28"/>
      <c r="K415" s="28"/>
      <c r="L415" s="22"/>
      <c r="M415" s="22"/>
      <c r="N415" s="28"/>
      <c r="O415" s="28"/>
      <c r="P415" s="53"/>
      <c r="Q415" s="53"/>
      <c r="R415" s="28"/>
      <c r="S415" s="53"/>
      <c r="T415" s="28"/>
      <c r="U415" s="28"/>
      <c r="V415" s="28"/>
      <c r="W415" s="28"/>
      <c r="X415" s="53"/>
      <c r="Y415" s="22"/>
      <c r="Z415" s="28"/>
      <c r="AA415" s="28"/>
      <c r="AB415" s="28"/>
      <c r="AC415" s="28"/>
      <c r="AD415" s="28"/>
      <c r="AE415" s="28"/>
      <c r="AF415" s="28"/>
      <c r="AG415" s="28"/>
    </row>
    <row r="416" spans="1:33" ht="15.75" customHeight="1">
      <c r="A416" s="28"/>
      <c r="B416" s="28"/>
      <c r="C416" s="28"/>
      <c r="D416" s="28"/>
      <c r="E416" s="28"/>
      <c r="F416" s="28"/>
      <c r="G416" s="28"/>
      <c r="H416" s="28"/>
      <c r="I416" s="22"/>
      <c r="J416" s="28"/>
      <c r="K416" s="28"/>
      <c r="L416" s="22"/>
      <c r="M416" s="22"/>
      <c r="N416" s="28"/>
      <c r="O416" s="28"/>
      <c r="P416" s="53"/>
      <c r="Q416" s="53"/>
      <c r="R416" s="28"/>
      <c r="S416" s="53"/>
      <c r="T416" s="28"/>
      <c r="U416" s="28"/>
      <c r="V416" s="28"/>
      <c r="W416" s="28"/>
      <c r="X416" s="53"/>
      <c r="Y416" s="22"/>
      <c r="Z416" s="28"/>
      <c r="AA416" s="28"/>
      <c r="AB416" s="28"/>
      <c r="AC416" s="28"/>
      <c r="AD416" s="28"/>
      <c r="AE416" s="28"/>
      <c r="AF416" s="28"/>
      <c r="AG416" s="28"/>
    </row>
    <row r="417" spans="1:33" ht="15.75" customHeight="1">
      <c r="A417" s="28"/>
      <c r="B417" s="28"/>
      <c r="C417" s="28"/>
      <c r="D417" s="28"/>
      <c r="E417" s="28"/>
      <c r="F417" s="28"/>
      <c r="G417" s="28"/>
      <c r="H417" s="28"/>
      <c r="I417" s="22"/>
      <c r="J417" s="28"/>
      <c r="K417" s="28"/>
      <c r="L417" s="22"/>
      <c r="M417" s="22"/>
      <c r="N417" s="28"/>
      <c r="O417" s="28"/>
      <c r="P417" s="53"/>
      <c r="Q417" s="53"/>
      <c r="R417" s="28"/>
      <c r="S417" s="53"/>
      <c r="T417" s="28"/>
      <c r="U417" s="28"/>
      <c r="V417" s="28"/>
      <c r="W417" s="28"/>
      <c r="X417" s="53"/>
      <c r="Y417" s="22"/>
      <c r="Z417" s="28"/>
      <c r="AA417" s="28"/>
      <c r="AB417" s="28"/>
      <c r="AC417" s="28"/>
      <c r="AD417" s="28"/>
      <c r="AE417" s="28"/>
      <c r="AF417" s="28"/>
      <c r="AG417" s="28"/>
    </row>
    <row r="418" spans="1:33" ht="15.75" customHeight="1">
      <c r="A418" s="28"/>
      <c r="B418" s="28"/>
      <c r="C418" s="28"/>
      <c r="D418" s="28"/>
      <c r="E418" s="28"/>
      <c r="F418" s="28"/>
      <c r="G418" s="28"/>
      <c r="H418" s="28"/>
      <c r="I418" s="22"/>
      <c r="J418" s="28"/>
      <c r="K418" s="28"/>
      <c r="L418" s="22"/>
      <c r="M418" s="22"/>
      <c r="N418" s="28"/>
      <c r="O418" s="28"/>
      <c r="P418" s="53"/>
      <c r="Q418" s="53"/>
      <c r="R418" s="28"/>
      <c r="S418" s="53"/>
      <c r="T418" s="28"/>
      <c r="U418" s="28"/>
      <c r="V418" s="28"/>
      <c r="W418" s="28"/>
      <c r="X418" s="53"/>
      <c r="Y418" s="22"/>
      <c r="Z418" s="28"/>
      <c r="AA418" s="28"/>
      <c r="AB418" s="28"/>
      <c r="AC418" s="28"/>
      <c r="AD418" s="28"/>
      <c r="AE418" s="28"/>
      <c r="AF418" s="28"/>
      <c r="AG418" s="28"/>
    </row>
    <row r="419" spans="1:33" ht="15.75" customHeight="1">
      <c r="A419" s="28"/>
      <c r="B419" s="28"/>
      <c r="C419" s="28"/>
      <c r="D419" s="28"/>
      <c r="E419" s="28"/>
      <c r="F419" s="28"/>
      <c r="G419" s="28"/>
      <c r="H419" s="28"/>
      <c r="I419" s="22"/>
      <c r="J419" s="28"/>
      <c r="K419" s="28"/>
      <c r="L419" s="22"/>
      <c r="M419" s="22"/>
      <c r="N419" s="28"/>
      <c r="O419" s="28"/>
      <c r="P419" s="53"/>
      <c r="Q419" s="53"/>
      <c r="R419" s="28"/>
      <c r="S419" s="53"/>
      <c r="T419" s="28"/>
      <c r="U419" s="28"/>
      <c r="V419" s="28"/>
      <c r="W419" s="28"/>
      <c r="X419" s="53"/>
      <c r="Y419" s="22"/>
      <c r="Z419" s="28"/>
      <c r="AA419" s="28"/>
      <c r="AB419" s="28"/>
      <c r="AC419" s="28"/>
      <c r="AD419" s="28"/>
      <c r="AE419" s="28"/>
      <c r="AF419" s="28"/>
      <c r="AG419" s="28"/>
    </row>
    <row r="420" spans="1:33" ht="15.75" customHeight="1">
      <c r="A420" s="28"/>
      <c r="B420" s="28"/>
      <c r="C420" s="28"/>
      <c r="D420" s="28"/>
      <c r="E420" s="28"/>
      <c r="F420" s="28"/>
      <c r="G420" s="28"/>
      <c r="H420" s="28"/>
      <c r="I420" s="22"/>
      <c r="J420" s="28"/>
      <c r="K420" s="28"/>
      <c r="L420" s="22"/>
      <c r="M420" s="22"/>
      <c r="N420" s="28"/>
      <c r="O420" s="28"/>
      <c r="P420" s="53"/>
      <c r="Q420" s="53"/>
      <c r="R420" s="28"/>
      <c r="S420" s="53"/>
      <c r="T420" s="28"/>
      <c r="U420" s="28"/>
      <c r="V420" s="28"/>
      <c r="W420" s="28"/>
      <c r="X420" s="53"/>
      <c r="Y420" s="22"/>
      <c r="Z420" s="28"/>
      <c r="AA420" s="28"/>
      <c r="AB420" s="28"/>
      <c r="AC420" s="28"/>
      <c r="AD420" s="28"/>
      <c r="AE420" s="28"/>
      <c r="AF420" s="28"/>
      <c r="AG420" s="28"/>
    </row>
    <row r="421" spans="1:33" ht="15.75" customHeight="1">
      <c r="A421" s="28"/>
      <c r="B421" s="28"/>
      <c r="C421" s="28"/>
      <c r="D421" s="28"/>
      <c r="E421" s="28"/>
      <c r="F421" s="28"/>
      <c r="G421" s="28"/>
      <c r="H421" s="28"/>
      <c r="I421" s="22"/>
      <c r="J421" s="28"/>
      <c r="K421" s="28"/>
      <c r="L421" s="22"/>
      <c r="M421" s="22"/>
      <c r="N421" s="28"/>
      <c r="O421" s="28"/>
      <c r="P421" s="53"/>
      <c r="Q421" s="53"/>
      <c r="R421" s="28"/>
      <c r="S421" s="53"/>
      <c r="T421" s="28"/>
      <c r="U421" s="28"/>
      <c r="V421" s="28"/>
      <c r="W421" s="28"/>
      <c r="X421" s="53"/>
      <c r="Y421" s="22"/>
      <c r="Z421" s="28"/>
      <c r="AA421" s="28"/>
      <c r="AB421" s="28"/>
      <c r="AC421" s="28"/>
      <c r="AD421" s="28"/>
      <c r="AE421" s="28"/>
      <c r="AF421" s="28"/>
      <c r="AG421" s="28"/>
    </row>
    <row r="422" spans="1:33" ht="15.75" customHeight="1">
      <c r="A422" s="28"/>
      <c r="B422" s="28"/>
      <c r="C422" s="28"/>
      <c r="D422" s="28"/>
      <c r="E422" s="28"/>
      <c r="F422" s="28"/>
      <c r="G422" s="28"/>
      <c r="H422" s="28"/>
      <c r="I422" s="22"/>
      <c r="J422" s="28"/>
      <c r="K422" s="28"/>
      <c r="L422" s="22"/>
      <c r="M422" s="22"/>
      <c r="N422" s="28"/>
      <c r="O422" s="28"/>
      <c r="P422" s="53"/>
      <c r="Q422" s="53"/>
      <c r="R422" s="28"/>
      <c r="S422" s="53"/>
      <c r="T422" s="28"/>
      <c r="U422" s="28"/>
      <c r="V422" s="28"/>
      <c r="W422" s="28"/>
      <c r="X422" s="53"/>
      <c r="Y422" s="22"/>
      <c r="Z422" s="28"/>
      <c r="AA422" s="28"/>
      <c r="AB422" s="28"/>
      <c r="AC422" s="28"/>
      <c r="AD422" s="28"/>
      <c r="AE422" s="28"/>
      <c r="AF422" s="28"/>
      <c r="AG422" s="28"/>
    </row>
    <row r="423" spans="1:33" ht="15.75" customHeight="1">
      <c r="A423" s="28"/>
      <c r="B423" s="28"/>
      <c r="C423" s="28"/>
      <c r="D423" s="28"/>
      <c r="E423" s="28"/>
      <c r="F423" s="28"/>
      <c r="G423" s="28"/>
      <c r="H423" s="28"/>
      <c r="I423" s="22"/>
      <c r="J423" s="28"/>
      <c r="K423" s="28"/>
      <c r="L423" s="22"/>
      <c r="M423" s="22"/>
      <c r="N423" s="28"/>
      <c r="O423" s="28"/>
      <c r="P423" s="53"/>
      <c r="Q423" s="53"/>
      <c r="R423" s="28"/>
      <c r="S423" s="53"/>
      <c r="T423" s="28"/>
      <c r="U423" s="28"/>
      <c r="V423" s="28"/>
      <c r="W423" s="28"/>
      <c r="X423" s="53"/>
      <c r="Y423" s="22"/>
      <c r="Z423" s="28"/>
      <c r="AA423" s="28"/>
      <c r="AB423" s="28"/>
      <c r="AC423" s="28"/>
      <c r="AD423" s="28"/>
      <c r="AE423" s="28"/>
      <c r="AF423" s="28"/>
      <c r="AG423" s="28"/>
    </row>
    <row r="424" spans="1:33" ht="15.75" customHeight="1">
      <c r="A424" s="28"/>
      <c r="B424" s="28"/>
      <c r="C424" s="28"/>
      <c r="D424" s="28"/>
      <c r="E424" s="28"/>
      <c r="F424" s="28"/>
      <c r="G424" s="28"/>
      <c r="H424" s="28"/>
      <c r="I424" s="22"/>
      <c r="J424" s="28"/>
      <c r="K424" s="28"/>
      <c r="L424" s="22"/>
      <c r="M424" s="22"/>
      <c r="N424" s="28"/>
      <c r="O424" s="28"/>
      <c r="P424" s="53"/>
      <c r="Q424" s="53"/>
      <c r="R424" s="28"/>
      <c r="S424" s="53"/>
      <c r="T424" s="28"/>
      <c r="U424" s="28"/>
      <c r="V424" s="28"/>
      <c r="W424" s="28"/>
      <c r="X424" s="53"/>
      <c r="Y424" s="22"/>
      <c r="Z424" s="28"/>
      <c r="AA424" s="28"/>
      <c r="AB424" s="28"/>
      <c r="AC424" s="28"/>
      <c r="AD424" s="28"/>
      <c r="AE424" s="28"/>
      <c r="AF424" s="28"/>
      <c r="AG424" s="28"/>
    </row>
    <row r="425" spans="1:33" ht="15.75" customHeight="1">
      <c r="A425" s="28"/>
      <c r="B425" s="28"/>
      <c r="C425" s="28"/>
      <c r="D425" s="28"/>
      <c r="E425" s="28"/>
      <c r="F425" s="28"/>
      <c r="G425" s="28"/>
      <c r="H425" s="28"/>
      <c r="I425" s="22"/>
      <c r="J425" s="28"/>
      <c r="K425" s="28"/>
      <c r="L425" s="22"/>
      <c r="M425" s="22"/>
      <c r="N425" s="28"/>
      <c r="O425" s="28"/>
      <c r="P425" s="53"/>
      <c r="Q425" s="53"/>
      <c r="R425" s="28"/>
      <c r="S425" s="53"/>
      <c r="T425" s="28"/>
      <c r="U425" s="28"/>
      <c r="V425" s="28"/>
      <c r="W425" s="28"/>
      <c r="X425" s="53"/>
      <c r="Y425" s="22"/>
      <c r="Z425" s="28"/>
      <c r="AA425" s="28"/>
      <c r="AB425" s="28"/>
      <c r="AC425" s="28"/>
      <c r="AD425" s="28"/>
      <c r="AE425" s="28"/>
      <c r="AF425" s="28"/>
      <c r="AG425" s="28"/>
    </row>
    <row r="426" spans="1:33" ht="15.75" customHeight="1">
      <c r="A426" s="28"/>
      <c r="B426" s="28"/>
      <c r="C426" s="28"/>
      <c r="D426" s="28"/>
      <c r="E426" s="28"/>
      <c r="F426" s="28"/>
      <c r="G426" s="28"/>
      <c r="H426" s="28"/>
      <c r="I426" s="22"/>
      <c r="J426" s="28"/>
      <c r="K426" s="28"/>
      <c r="L426" s="22"/>
      <c r="M426" s="22"/>
      <c r="N426" s="28"/>
      <c r="O426" s="28"/>
      <c r="P426" s="53"/>
      <c r="Q426" s="53"/>
      <c r="R426" s="28"/>
      <c r="S426" s="53"/>
      <c r="T426" s="28"/>
      <c r="U426" s="28"/>
      <c r="V426" s="28"/>
      <c r="W426" s="28"/>
      <c r="X426" s="53"/>
      <c r="Y426" s="22"/>
      <c r="Z426" s="28"/>
      <c r="AA426" s="28"/>
      <c r="AB426" s="28"/>
      <c r="AC426" s="28"/>
      <c r="AD426" s="28"/>
      <c r="AE426" s="28"/>
      <c r="AF426" s="28"/>
      <c r="AG426" s="28"/>
    </row>
    <row r="427" spans="1:33" ht="15.75" customHeight="1">
      <c r="A427" s="28"/>
      <c r="B427" s="28"/>
      <c r="C427" s="28"/>
      <c r="D427" s="28"/>
      <c r="E427" s="28"/>
      <c r="F427" s="28"/>
      <c r="G427" s="28"/>
      <c r="H427" s="28"/>
      <c r="I427" s="22"/>
      <c r="J427" s="28"/>
      <c r="K427" s="28"/>
      <c r="L427" s="22"/>
      <c r="M427" s="22"/>
      <c r="N427" s="28"/>
      <c r="O427" s="28"/>
      <c r="P427" s="53"/>
      <c r="Q427" s="53"/>
      <c r="R427" s="28"/>
      <c r="S427" s="53"/>
      <c r="T427" s="28"/>
      <c r="U427" s="28"/>
      <c r="V427" s="28"/>
      <c r="W427" s="28"/>
      <c r="X427" s="53"/>
      <c r="Y427" s="22"/>
      <c r="Z427" s="28"/>
      <c r="AA427" s="28"/>
      <c r="AB427" s="28"/>
      <c r="AC427" s="28"/>
      <c r="AD427" s="28"/>
      <c r="AE427" s="28"/>
      <c r="AF427" s="28"/>
      <c r="AG427" s="28"/>
    </row>
    <row r="428" spans="1:33" ht="15.75" customHeight="1">
      <c r="A428" s="28"/>
      <c r="B428" s="28"/>
      <c r="C428" s="28"/>
      <c r="D428" s="28"/>
      <c r="E428" s="28"/>
      <c r="F428" s="28"/>
      <c r="G428" s="28"/>
      <c r="H428" s="28"/>
      <c r="I428" s="22"/>
      <c r="J428" s="28"/>
      <c r="K428" s="28"/>
      <c r="L428" s="22"/>
      <c r="M428" s="22"/>
      <c r="N428" s="28"/>
      <c r="O428" s="28"/>
      <c r="P428" s="53"/>
      <c r="Q428" s="53"/>
      <c r="R428" s="28"/>
      <c r="S428" s="53"/>
      <c r="T428" s="28"/>
      <c r="U428" s="28"/>
      <c r="V428" s="28"/>
      <c r="W428" s="28"/>
      <c r="X428" s="53"/>
      <c r="Y428" s="22"/>
      <c r="Z428" s="28"/>
      <c r="AA428" s="28"/>
      <c r="AB428" s="28"/>
      <c r="AC428" s="28"/>
      <c r="AD428" s="28"/>
      <c r="AE428" s="28"/>
      <c r="AF428" s="28"/>
      <c r="AG428" s="28"/>
    </row>
    <row r="429" spans="1:33" ht="15.75" customHeight="1">
      <c r="A429" s="28"/>
      <c r="B429" s="28"/>
      <c r="C429" s="28"/>
      <c r="D429" s="28"/>
      <c r="E429" s="28"/>
      <c r="F429" s="28"/>
      <c r="G429" s="28"/>
      <c r="H429" s="28"/>
      <c r="I429" s="22"/>
      <c r="J429" s="28"/>
      <c r="K429" s="28"/>
      <c r="L429" s="22"/>
      <c r="M429" s="22"/>
      <c r="N429" s="28"/>
      <c r="O429" s="28"/>
      <c r="P429" s="53"/>
      <c r="Q429" s="53"/>
      <c r="R429" s="28"/>
      <c r="S429" s="53"/>
      <c r="T429" s="28"/>
      <c r="U429" s="28"/>
      <c r="V429" s="28"/>
      <c r="W429" s="28"/>
      <c r="X429" s="53"/>
      <c r="Y429" s="22"/>
      <c r="Z429" s="28"/>
      <c r="AA429" s="28"/>
      <c r="AB429" s="28"/>
      <c r="AC429" s="28"/>
      <c r="AD429" s="28"/>
      <c r="AE429" s="28"/>
      <c r="AF429" s="28"/>
      <c r="AG429" s="28"/>
    </row>
    <row r="430" spans="1:33" ht="15.75" customHeight="1">
      <c r="A430" s="28"/>
      <c r="B430" s="28"/>
      <c r="C430" s="28"/>
      <c r="D430" s="28"/>
      <c r="E430" s="28"/>
      <c r="F430" s="28"/>
      <c r="G430" s="28"/>
      <c r="H430" s="28"/>
      <c r="I430" s="22"/>
      <c r="J430" s="28"/>
      <c r="K430" s="28"/>
      <c r="L430" s="22"/>
      <c r="M430" s="22"/>
      <c r="N430" s="28"/>
      <c r="O430" s="28"/>
      <c r="P430" s="53"/>
      <c r="Q430" s="53"/>
      <c r="R430" s="28"/>
      <c r="S430" s="53"/>
      <c r="T430" s="28"/>
      <c r="U430" s="28"/>
      <c r="V430" s="28"/>
      <c r="W430" s="28"/>
      <c r="X430" s="53"/>
      <c r="Y430" s="22"/>
      <c r="Z430" s="28"/>
      <c r="AA430" s="28"/>
      <c r="AB430" s="28"/>
      <c r="AC430" s="28"/>
      <c r="AD430" s="28"/>
      <c r="AE430" s="28"/>
      <c r="AF430" s="28"/>
      <c r="AG430" s="28"/>
    </row>
    <row r="431" spans="1:33" ht="15.75" customHeight="1">
      <c r="A431" s="28"/>
      <c r="B431" s="28"/>
      <c r="C431" s="28"/>
      <c r="D431" s="28"/>
      <c r="E431" s="28"/>
      <c r="F431" s="28"/>
      <c r="G431" s="28"/>
      <c r="H431" s="28"/>
      <c r="I431" s="22"/>
      <c r="J431" s="28"/>
      <c r="K431" s="28"/>
      <c r="L431" s="22"/>
      <c r="M431" s="22"/>
      <c r="N431" s="28"/>
      <c r="O431" s="28"/>
      <c r="P431" s="53"/>
      <c r="Q431" s="53"/>
      <c r="R431" s="28"/>
      <c r="S431" s="53"/>
      <c r="T431" s="28"/>
      <c r="U431" s="28"/>
      <c r="V431" s="28"/>
      <c r="W431" s="28"/>
      <c r="X431" s="53"/>
      <c r="Y431" s="22"/>
      <c r="Z431" s="28"/>
      <c r="AA431" s="28"/>
      <c r="AB431" s="28"/>
      <c r="AC431" s="28"/>
      <c r="AD431" s="28"/>
      <c r="AE431" s="28"/>
      <c r="AF431" s="28"/>
      <c r="AG431" s="28"/>
    </row>
    <row r="432" spans="1:33" ht="15.75" customHeight="1">
      <c r="A432" s="28"/>
      <c r="B432" s="28"/>
      <c r="C432" s="28"/>
      <c r="D432" s="28"/>
      <c r="E432" s="28"/>
      <c r="F432" s="28"/>
      <c r="G432" s="28"/>
      <c r="H432" s="28"/>
      <c r="I432" s="22"/>
      <c r="J432" s="28"/>
      <c r="K432" s="28"/>
      <c r="L432" s="22"/>
      <c r="M432" s="22"/>
      <c r="N432" s="28"/>
      <c r="O432" s="28"/>
      <c r="P432" s="53"/>
      <c r="Q432" s="53"/>
      <c r="R432" s="28"/>
      <c r="S432" s="53"/>
      <c r="T432" s="28"/>
      <c r="U432" s="28"/>
      <c r="V432" s="28"/>
      <c r="W432" s="28"/>
      <c r="X432" s="53"/>
      <c r="Y432" s="22"/>
      <c r="Z432" s="28"/>
      <c r="AA432" s="28"/>
      <c r="AB432" s="28"/>
      <c r="AC432" s="28"/>
      <c r="AD432" s="28"/>
      <c r="AE432" s="28"/>
      <c r="AF432" s="28"/>
      <c r="AG432" s="28"/>
    </row>
    <row r="433" spans="1:33" ht="15.75" customHeight="1">
      <c r="A433" s="28"/>
      <c r="B433" s="28"/>
      <c r="C433" s="28"/>
      <c r="D433" s="28"/>
      <c r="E433" s="28"/>
      <c r="F433" s="28"/>
      <c r="G433" s="28"/>
      <c r="H433" s="28"/>
      <c r="I433" s="22"/>
      <c r="J433" s="28"/>
      <c r="K433" s="28"/>
      <c r="L433" s="22"/>
      <c r="M433" s="22"/>
      <c r="N433" s="28"/>
      <c r="O433" s="28"/>
      <c r="P433" s="53"/>
      <c r="Q433" s="53"/>
      <c r="R433" s="28"/>
      <c r="S433" s="53"/>
      <c r="T433" s="28"/>
      <c r="U433" s="28"/>
      <c r="V433" s="28"/>
      <c r="W433" s="28"/>
      <c r="X433" s="53"/>
      <c r="Y433" s="22"/>
      <c r="Z433" s="28"/>
      <c r="AA433" s="28"/>
      <c r="AB433" s="28"/>
      <c r="AC433" s="28"/>
      <c r="AD433" s="28"/>
      <c r="AE433" s="28"/>
      <c r="AF433" s="28"/>
      <c r="AG433" s="28"/>
    </row>
    <row r="434" spans="1:33" ht="15.75" customHeight="1">
      <c r="A434" s="28"/>
      <c r="B434" s="28"/>
      <c r="C434" s="28"/>
      <c r="D434" s="28"/>
      <c r="E434" s="28"/>
      <c r="F434" s="28"/>
      <c r="G434" s="28"/>
      <c r="H434" s="28"/>
      <c r="I434" s="22"/>
      <c r="J434" s="28"/>
      <c r="K434" s="28"/>
      <c r="L434" s="22"/>
      <c r="M434" s="22"/>
      <c r="N434" s="28"/>
      <c r="O434" s="28"/>
      <c r="P434" s="53"/>
      <c r="Q434" s="53"/>
      <c r="R434" s="28"/>
      <c r="S434" s="53"/>
      <c r="T434" s="28"/>
      <c r="U434" s="28"/>
      <c r="V434" s="28"/>
      <c r="W434" s="28"/>
      <c r="X434" s="53"/>
      <c r="Y434" s="22"/>
      <c r="Z434" s="28"/>
      <c r="AA434" s="28"/>
      <c r="AB434" s="28"/>
      <c r="AC434" s="28"/>
      <c r="AD434" s="28"/>
      <c r="AE434" s="28"/>
      <c r="AF434" s="28"/>
      <c r="AG434" s="28"/>
    </row>
    <row r="435" spans="1:33" ht="15.75" customHeight="1">
      <c r="A435" s="28"/>
      <c r="B435" s="28"/>
      <c r="C435" s="28"/>
      <c r="D435" s="28"/>
      <c r="E435" s="28"/>
      <c r="F435" s="28"/>
      <c r="G435" s="28"/>
      <c r="H435" s="28"/>
      <c r="I435" s="22"/>
      <c r="J435" s="28"/>
      <c r="K435" s="28"/>
      <c r="L435" s="22"/>
      <c r="M435" s="22"/>
      <c r="N435" s="28"/>
      <c r="O435" s="28"/>
      <c r="P435" s="53"/>
      <c r="Q435" s="53"/>
      <c r="R435" s="28"/>
      <c r="S435" s="53"/>
      <c r="T435" s="28"/>
      <c r="U435" s="28"/>
      <c r="V435" s="28"/>
      <c r="W435" s="28"/>
      <c r="X435" s="53"/>
      <c r="Y435" s="22"/>
      <c r="Z435" s="28"/>
      <c r="AA435" s="28"/>
      <c r="AB435" s="28"/>
      <c r="AC435" s="28"/>
      <c r="AD435" s="28"/>
      <c r="AE435" s="28"/>
      <c r="AF435" s="28"/>
      <c r="AG435" s="28"/>
    </row>
    <row r="436" spans="1:33" ht="15.75" customHeight="1">
      <c r="A436" s="28"/>
      <c r="B436" s="28"/>
      <c r="C436" s="28"/>
      <c r="D436" s="28"/>
      <c r="E436" s="28"/>
      <c r="F436" s="28"/>
      <c r="G436" s="28"/>
      <c r="H436" s="28"/>
      <c r="I436" s="22"/>
      <c r="J436" s="28"/>
      <c r="K436" s="28"/>
      <c r="L436" s="22"/>
      <c r="M436" s="22"/>
      <c r="N436" s="28"/>
      <c r="O436" s="28"/>
      <c r="P436" s="53"/>
      <c r="Q436" s="53"/>
      <c r="R436" s="28"/>
      <c r="S436" s="53"/>
      <c r="T436" s="28"/>
      <c r="U436" s="28"/>
      <c r="V436" s="28"/>
      <c r="W436" s="28"/>
      <c r="X436" s="53"/>
      <c r="Y436" s="22"/>
      <c r="Z436" s="28"/>
      <c r="AA436" s="28"/>
      <c r="AB436" s="28"/>
      <c r="AC436" s="28"/>
      <c r="AD436" s="28"/>
      <c r="AE436" s="28"/>
      <c r="AF436" s="28"/>
      <c r="AG436" s="28"/>
    </row>
    <row r="437" spans="1:33" ht="15.75" customHeight="1">
      <c r="A437" s="28"/>
      <c r="B437" s="28"/>
      <c r="C437" s="28"/>
      <c r="D437" s="28"/>
      <c r="E437" s="28"/>
      <c r="F437" s="28"/>
      <c r="G437" s="28"/>
      <c r="H437" s="28"/>
      <c r="I437" s="22"/>
      <c r="J437" s="28"/>
      <c r="K437" s="28"/>
      <c r="L437" s="22"/>
      <c r="M437" s="22"/>
      <c r="N437" s="28"/>
      <c r="O437" s="28"/>
      <c r="P437" s="53"/>
      <c r="Q437" s="53"/>
      <c r="R437" s="28"/>
      <c r="S437" s="53"/>
      <c r="T437" s="28"/>
      <c r="U437" s="28"/>
      <c r="V437" s="28"/>
      <c r="W437" s="28"/>
      <c r="X437" s="53"/>
      <c r="Y437" s="22"/>
      <c r="Z437" s="28"/>
      <c r="AA437" s="28"/>
      <c r="AB437" s="28"/>
      <c r="AC437" s="28"/>
      <c r="AD437" s="28"/>
      <c r="AE437" s="28"/>
      <c r="AF437" s="28"/>
      <c r="AG437" s="28"/>
    </row>
    <row r="438" spans="1:33" ht="15.75" customHeight="1">
      <c r="A438" s="28"/>
      <c r="B438" s="28"/>
      <c r="C438" s="28"/>
      <c r="D438" s="28"/>
      <c r="E438" s="28"/>
      <c r="F438" s="28"/>
      <c r="G438" s="28"/>
      <c r="H438" s="28"/>
      <c r="I438" s="22"/>
      <c r="J438" s="28"/>
      <c r="K438" s="28"/>
      <c r="L438" s="22"/>
      <c r="M438" s="22"/>
      <c r="N438" s="28"/>
      <c r="O438" s="28"/>
      <c r="P438" s="53"/>
      <c r="Q438" s="53"/>
      <c r="R438" s="28"/>
      <c r="S438" s="53"/>
      <c r="T438" s="28"/>
      <c r="U438" s="28"/>
      <c r="V438" s="28"/>
      <c r="W438" s="28"/>
      <c r="X438" s="53"/>
      <c r="Y438" s="22"/>
      <c r="Z438" s="28"/>
      <c r="AA438" s="28"/>
      <c r="AB438" s="28"/>
      <c r="AC438" s="28"/>
      <c r="AD438" s="28"/>
      <c r="AE438" s="28"/>
      <c r="AF438" s="28"/>
      <c r="AG438" s="28"/>
    </row>
    <row r="439" spans="1:33" ht="15.75" customHeight="1">
      <c r="A439" s="28"/>
      <c r="B439" s="28"/>
      <c r="C439" s="28"/>
      <c r="D439" s="28"/>
      <c r="E439" s="28"/>
      <c r="F439" s="28"/>
      <c r="G439" s="28"/>
      <c r="H439" s="28"/>
      <c r="I439" s="22"/>
      <c r="J439" s="28"/>
      <c r="K439" s="28"/>
      <c r="L439" s="22"/>
      <c r="M439" s="22"/>
      <c r="N439" s="28"/>
      <c r="O439" s="28"/>
      <c r="P439" s="53"/>
      <c r="Q439" s="53"/>
      <c r="R439" s="28"/>
      <c r="S439" s="53"/>
      <c r="T439" s="28"/>
      <c r="U439" s="28"/>
      <c r="V439" s="28"/>
      <c r="W439" s="28"/>
      <c r="X439" s="53"/>
      <c r="Y439" s="22"/>
      <c r="Z439" s="28"/>
      <c r="AA439" s="28"/>
      <c r="AB439" s="28"/>
      <c r="AC439" s="28"/>
      <c r="AD439" s="28"/>
      <c r="AE439" s="28"/>
      <c r="AF439" s="28"/>
      <c r="AG439" s="28"/>
    </row>
    <row r="440" spans="1:33" ht="15.75" customHeight="1">
      <c r="A440" s="28"/>
      <c r="B440" s="28"/>
      <c r="C440" s="28"/>
      <c r="D440" s="28"/>
      <c r="E440" s="28"/>
      <c r="F440" s="28"/>
      <c r="G440" s="28"/>
      <c r="H440" s="28"/>
      <c r="I440" s="22"/>
      <c r="J440" s="28"/>
      <c r="K440" s="28"/>
      <c r="L440" s="22"/>
      <c r="M440" s="22"/>
      <c r="N440" s="28"/>
      <c r="O440" s="28"/>
      <c r="P440" s="53"/>
      <c r="Q440" s="53"/>
      <c r="R440" s="28"/>
      <c r="S440" s="53"/>
      <c r="T440" s="28"/>
      <c r="U440" s="28"/>
      <c r="V440" s="28"/>
      <c r="W440" s="28"/>
      <c r="X440" s="53"/>
      <c r="Y440" s="22"/>
      <c r="Z440" s="28"/>
      <c r="AA440" s="28"/>
      <c r="AB440" s="28"/>
      <c r="AC440" s="28"/>
      <c r="AD440" s="28"/>
      <c r="AE440" s="28"/>
      <c r="AF440" s="28"/>
      <c r="AG440" s="28"/>
    </row>
    <row r="441" spans="1:33" ht="15.75" customHeight="1">
      <c r="A441" s="28"/>
      <c r="B441" s="28"/>
      <c r="C441" s="28"/>
      <c r="D441" s="28"/>
      <c r="E441" s="28"/>
      <c r="F441" s="28"/>
      <c r="G441" s="28"/>
      <c r="H441" s="28"/>
      <c r="I441" s="22"/>
      <c r="J441" s="28"/>
      <c r="K441" s="28"/>
      <c r="L441" s="22"/>
      <c r="M441" s="22"/>
      <c r="N441" s="28"/>
      <c r="O441" s="28"/>
      <c r="P441" s="53"/>
      <c r="Q441" s="53"/>
      <c r="R441" s="28"/>
      <c r="S441" s="53"/>
      <c r="T441" s="28"/>
      <c r="U441" s="28"/>
      <c r="V441" s="28"/>
      <c r="W441" s="28"/>
      <c r="X441" s="53"/>
      <c r="Y441" s="22"/>
      <c r="Z441" s="28"/>
      <c r="AA441" s="28"/>
      <c r="AB441" s="28"/>
      <c r="AC441" s="28"/>
      <c r="AD441" s="28"/>
      <c r="AE441" s="28"/>
      <c r="AF441" s="28"/>
      <c r="AG441" s="28"/>
    </row>
    <row r="442" spans="1:33" ht="15.75" customHeight="1">
      <c r="A442" s="28"/>
      <c r="B442" s="28"/>
      <c r="C442" s="28"/>
      <c r="D442" s="28"/>
      <c r="E442" s="28"/>
      <c r="F442" s="28"/>
      <c r="G442" s="28"/>
      <c r="H442" s="28"/>
      <c r="I442" s="22"/>
      <c r="J442" s="28"/>
      <c r="K442" s="28"/>
      <c r="L442" s="22"/>
      <c r="M442" s="22"/>
      <c r="N442" s="28"/>
      <c r="O442" s="28"/>
      <c r="P442" s="53"/>
      <c r="Q442" s="53"/>
      <c r="R442" s="28"/>
      <c r="S442" s="53"/>
      <c r="T442" s="28"/>
      <c r="U442" s="28"/>
      <c r="V442" s="28"/>
      <c r="W442" s="28"/>
      <c r="X442" s="53"/>
      <c r="Y442" s="22"/>
      <c r="Z442" s="28"/>
      <c r="AA442" s="28"/>
      <c r="AB442" s="28"/>
      <c r="AC442" s="28"/>
      <c r="AD442" s="28"/>
      <c r="AE442" s="28"/>
      <c r="AF442" s="28"/>
      <c r="AG442" s="28"/>
    </row>
    <row r="443" spans="1:33" ht="15.75" customHeight="1">
      <c r="A443" s="28"/>
      <c r="B443" s="28"/>
      <c r="C443" s="28"/>
      <c r="D443" s="28"/>
      <c r="E443" s="28"/>
      <c r="F443" s="28"/>
      <c r="G443" s="28"/>
      <c r="H443" s="28"/>
      <c r="I443" s="22"/>
      <c r="J443" s="28"/>
      <c r="K443" s="28"/>
      <c r="L443" s="22"/>
      <c r="M443" s="22"/>
      <c r="N443" s="28"/>
      <c r="O443" s="28"/>
      <c r="P443" s="53"/>
      <c r="Q443" s="53"/>
      <c r="R443" s="28"/>
      <c r="S443" s="53"/>
      <c r="T443" s="28"/>
      <c r="U443" s="28"/>
      <c r="V443" s="28"/>
      <c r="W443" s="28"/>
      <c r="X443" s="53"/>
      <c r="Y443" s="22"/>
      <c r="Z443" s="28"/>
      <c r="AA443" s="28"/>
      <c r="AB443" s="28"/>
      <c r="AC443" s="28"/>
      <c r="AD443" s="28"/>
      <c r="AE443" s="28"/>
      <c r="AF443" s="28"/>
      <c r="AG443" s="28"/>
    </row>
    <row r="444" spans="1:33" ht="15.75" customHeight="1">
      <c r="A444" s="28"/>
      <c r="B444" s="28"/>
      <c r="C444" s="28"/>
      <c r="D444" s="28"/>
      <c r="E444" s="28"/>
      <c r="F444" s="28"/>
      <c r="G444" s="28"/>
      <c r="H444" s="28"/>
      <c r="I444" s="22"/>
      <c r="J444" s="28"/>
      <c r="K444" s="28"/>
      <c r="L444" s="22"/>
      <c r="M444" s="22"/>
      <c r="N444" s="28"/>
      <c r="O444" s="28"/>
      <c r="P444" s="53"/>
      <c r="Q444" s="53"/>
      <c r="R444" s="28"/>
      <c r="S444" s="53"/>
      <c r="T444" s="28"/>
      <c r="U444" s="28"/>
      <c r="V444" s="28"/>
      <c r="W444" s="28"/>
      <c r="X444" s="53"/>
      <c r="Y444" s="22"/>
      <c r="Z444" s="28"/>
      <c r="AA444" s="28"/>
      <c r="AB444" s="28"/>
      <c r="AC444" s="28"/>
      <c r="AD444" s="28"/>
      <c r="AE444" s="28"/>
      <c r="AF444" s="28"/>
      <c r="AG444" s="28"/>
    </row>
    <row r="445" spans="1:33" ht="15.75" customHeight="1">
      <c r="A445" s="28"/>
      <c r="B445" s="28"/>
      <c r="C445" s="28"/>
      <c r="D445" s="28"/>
      <c r="E445" s="28"/>
      <c r="F445" s="28"/>
      <c r="G445" s="28"/>
      <c r="H445" s="28"/>
      <c r="I445" s="22"/>
      <c r="J445" s="28"/>
      <c r="K445" s="28"/>
      <c r="L445" s="22"/>
      <c r="M445" s="22"/>
      <c r="N445" s="28"/>
      <c r="O445" s="28"/>
      <c r="P445" s="53"/>
      <c r="Q445" s="53"/>
      <c r="R445" s="28"/>
      <c r="S445" s="53"/>
      <c r="T445" s="28"/>
      <c r="U445" s="28"/>
      <c r="V445" s="28"/>
      <c r="W445" s="28"/>
      <c r="X445" s="53"/>
      <c r="Y445" s="22"/>
      <c r="Z445" s="28"/>
      <c r="AA445" s="28"/>
      <c r="AB445" s="28"/>
      <c r="AC445" s="28"/>
      <c r="AD445" s="28"/>
      <c r="AE445" s="28"/>
      <c r="AF445" s="28"/>
      <c r="AG445" s="28"/>
    </row>
    <row r="446" spans="1:33" ht="15.75" customHeight="1">
      <c r="A446" s="28"/>
      <c r="B446" s="28"/>
      <c r="C446" s="28"/>
      <c r="D446" s="28"/>
      <c r="E446" s="28"/>
      <c r="F446" s="28"/>
      <c r="G446" s="28"/>
      <c r="H446" s="28"/>
      <c r="I446" s="22"/>
      <c r="J446" s="28"/>
      <c r="K446" s="28"/>
      <c r="L446" s="22"/>
      <c r="M446" s="22"/>
      <c r="N446" s="28"/>
      <c r="O446" s="28"/>
      <c r="P446" s="53"/>
      <c r="Q446" s="53"/>
      <c r="R446" s="28"/>
      <c r="S446" s="53"/>
      <c r="T446" s="28"/>
      <c r="U446" s="28"/>
      <c r="V446" s="28"/>
      <c r="W446" s="28"/>
      <c r="X446" s="53"/>
      <c r="Y446" s="22"/>
      <c r="Z446" s="28"/>
      <c r="AA446" s="28"/>
      <c r="AB446" s="28"/>
      <c r="AC446" s="28"/>
      <c r="AD446" s="28"/>
      <c r="AE446" s="28"/>
      <c r="AF446" s="28"/>
      <c r="AG446" s="28"/>
    </row>
    <row r="447" spans="1:33" ht="15.75" customHeight="1">
      <c r="A447" s="28"/>
      <c r="B447" s="28"/>
      <c r="C447" s="28"/>
      <c r="D447" s="28"/>
      <c r="E447" s="28"/>
      <c r="F447" s="28"/>
      <c r="G447" s="28"/>
      <c r="H447" s="28"/>
      <c r="I447" s="22"/>
      <c r="J447" s="28"/>
      <c r="K447" s="28"/>
      <c r="L447" s="22"/>
      <c r="M447" s="22"/>
      <c r="N447" s="28"/>
      <c r="O447" s="28"/>
      <c r="P447" s="53"/>
      <c r="Q447" s="53"/>
      <c r="R447" s="28"/>
      <c r="S447" s="53"/>
      <c r="T447" s="28"/>
      <c r="U447" s="28"/>
      <c r="V447" s="28"/>
      <c r="W447" s="28"/>
      <c r="X447" s="53"/>
      <c r="Y447" s="22"/>
      <c r="Z447" s="28"/>
      <c r="AA447" s="28"/>
      <c r="AB447" s="28"/>
      <c r="AC447" s="28"/>
      <c r="AD447" s="28"/>
      <c r="AE447" s="28"/>
      <c r="AF447" s="28"/>
      <c r="AG447" s="28"/>
    </row>
    <row r="448" spans="1:33" ht="15.75" customHeight="1">
      <c r="A448" s="28"/>
      <c r="B448" s="28"/>
      <c r="C448" s="28"/>
      <c r="D448" s="28"/>
      <c r="E448" s="28"/>
      <c r="F448" s="28"/>
      <c r="G448" s="28"/>
      <c r="H448" s="28"/>
      <c r="I448" s="22"/>
      <c r="J448" s="28"/>
      <c r="K448" s="28"/>
      <c r="L448" s="22"/>
      <c r="M448" s="22"/>
      <c r="N448" s="28"/>
      <c r="O448" s="28"/>
      <c r="P448" s="53"/>
      <c r="Q448" s="53"/>
      <c r="R448" s="28"/>
      <c r="S448" s="53"/>
      <c r="T448" s="28"/>
      <c r="U448" s="28"/>
      <c r="V448" s="28"/>
      <c r="W448" s="28"/>
      <c r="X448" s="53"/>
      <c r="Y448" s="22"/>
      <c r="Z448" s="28"/>
      <c r="AA448" s="28"/>
      <c r="AB448" s="28"/>
      <c r="AC448" s="28"/>
      <c r="AD448" s="28"/>
      <c r="AE448" s="28"/>
      <c r="AF448" s="28"/>
      <c r="AG448" s="28"/>
    </row>
    <row r="449" spans="1:33" ht="15.75" customHeight="1">
      <c r="A449" s="28"/>
      <c r="B449" s="28"/>
      <c r="C449" s="28"/>
      <c r="D449" s="28"/>
      <c r="E449" s="28"/>
      <c r="F449" s="28"/>
      <c r="G449" s="28"/>
      <c r="H449" s="28"/>
      <c r="I449" s="22"/>
      <c r="J449" s="28"/>
      <c r="K449" s="28"/>
      <c r="L449" s="22"/>
      <c r="M449" s="22"/>
      <c r="N449" s="28"/>
      <c r="O449" s="28"/>
      <c r="P449" s="53"/>
      <c r="Q449" s="53"/>
      <c r="R449" s="28"/>
      <c r="S449" s="53"/>
      <c r="T449" s="28"/>
      <c r="U449" s="28"/>
      <c r="V449" s="28"/>
      <c r="W449" s="28"/>
      <c r="X449" s="53"/>
      <c r="Y449" s="22"/>
      <c r="Z449" s="28"/>
      <c r="AA449" s="28"/>
      <c r="AB449" s="28"/>
      <c r="AC449" s="28"/>
      <c r="AD449" s="28"/>
      <c r="AE449" s="28"/>
      <c r="AF449" s="28"/>
      <c r="AG449" s="28"/>
    </row>
    <row r="450" spans="1:33" ht="15.75" customHeight="1">
      <c r="A450" s="28"/>
      <c r="B450" s="28"/>
      <c r="C450" s="28"/>
      <c r="D450" s="28"/>
      <c r="E450" s="28"/>
      <c r="F450" s="28"/>
      <c r="G450" s="28"/>
      <c r="H450" s="28"/>
      <c r="I450" s="22"/>
      <c r="J450" s="28"/>
      <c r="K450" s="28"/>
      <c r="L450" s="22"/>
      <c r="M450" s="22"/>
      <c r="N450" s="28"/>
      <c r="O450" s="28"/>
      <c r="P450" s="53"/>
      <c r="Q450" s="53"/>
      <c r="R450" s="28"/>
      <c r="S450" s="53"/>
      <c r="T450" s="28"/>
      <c r="U450" s="28"/>
      <c r="V450" s="28"/>
      <c r="W450" s="28"/>
      <c r="X450" s="53"/>
      <c r="Y450" s="22"/>
      <c r="Z450" s="28"/>
      <c r="AA450" s="28"/>
      <c r="AB450" s="28"/>
      <c r="AC450" s="28"/>
      <c r="AD450" s="28"/>
      <c r="AE450" s="28"/>
      <c r="AF450" s="28"/>
      <c r="AG450" s="28"/>
    </row>
    <row r="451" spans="1:33" ht="15.75" customHeight="1">
      <c r="A451" s="28"/>
      <c r="B451" s="28"/>
      <c r="C451" s="28"/>
      <c r="D451" s="28"/>
      <c r="E451" s="28"/>
      <c r="F451" s="28"/>
      <c r="G451" s="28"/>
      <c r="H451" s="28"/>
      <c r="I451" s="22"/>
      <c r="J451" s="28"/>
      <c r="K451" s="28"/>
      <c r="L451" s="22"/>
      <c r="M451" s="22"/>
      <c r="N451" s="28"/>
      <c r="O451" s="28"/>
      <c r="P451" s="53"/>
      <c r="Q451" s="53"/>
      <c r="R451" s="28"/>
      <c r="S451" s="53"/>
      <c r="T451" s="28"/>
      <c r="U451" s="28"/>
      <c r="V451" s="28"/>
      <c r="W451" s="28"/>
      <c r="X451" s="53"/>
      <c r="Y451" s="22"/>
      <c r="Z451" s="28"/>
      <c r="AA451" s="28"/>
      <c r="AB451" s="28"/>
      <c r="AC451" s="28"/>
      <c r="AD451" s="28"/>
      <c r="AE451" s="28"/>
      <c r="AF451" s="28"/>
      <c r="AG451" s="28"/>
    </row>
    <row r="452" spans="1:33" ht="15.75" customHeight="1">
      <c r="A452" s="28"/>
      <c r="B452" s="28"/>
      <c r="C452" s="28"/>
      <c r="D452" s="28"/>
      <c r="E452" s="28"/>
      <c r="F452" s="28"/>
      <c r="G452" s="28"/>
      <c r="H452" s="28"/>
      <c r="I452" s="22"/>
      <c r="J452" s="28"/>
      <c r="K452" s="28"/>
      <c r="L452" s="22"/>
      <c r="M452" s="22"/>
      <c r="N452" s="28"/>
      <c r="O452" s="28"/>
      <c r="P452" s="53"/>
      <c r="Q452" s="53"/>
      <c r="R452" s="28"/>
      <c r="S452" s="53"/>
      <c r="T452" s="28"/>
      <c r="U452" s="28"/>
      <c r="V452" s="28"/>
      <c r="W452" s="28"/>
      <c r="X452" s="53"/>
      <c r="Y452" s="22"/>
      <c r="Z452" s="28"/>
      <c r="AA452" s="28"/>
      <c r="AB452" s="28"/>
      <c r="AC452" s="28"/>
      <c r="AD452" s="28"/>
      <c r="AE452" s="28"/>
      <c r="AF452" s="28"/>
      <c r="AG452" s="28"/>
    </row>
    <row r="453" spans="1:33" ht="15.75" customHeight="1">
      <c r="A453" s="28"/>
      <c r="B453" s="28"/>
      <c r="C453" s="28"/>
      <c r="D453" s="28"/>
      <c r="E453" s="28"/>
      <c r="F453" s="28"/>
      <c r="G453" s="28"/>
      <c r="H453" s="28"/>
      <c r="I453" s="22"/>
      <c r="J453" s="28"/>
      <c r="K453" s="28"/>
      <c r="L453" s="22"/>
      <c r="M453" s="22"/>
      <c r="N453" s="28"/>
      <c r="O453" s="28"/>
      <c r="P453" s="53"/>
      <c r="Q453" s="53"/>
      <c r="R453" s="28"/>
      <c r="S453" s="53"/>
      <c r="T453" s="28"/>
      <c r="U453" s="28"/>
      <c r="V453" s="28"/>
      <c r="W453" s="28"/>
      <c r="X453" s="53"/>
      <c r="Y453" s="22"/>
      <c r="Z453" s="28"/>
      <c r="AA453" s="28"/>
      <c r="AB453" s="28"/>
      <c r="AC453" s="28"/>
      <c r="AD453" s="28"/>
      <c r="AE453" s="28"/>
      <c r="AF453" s="28"/>
      <c r="AG453" s="28"/>
    </row>
    <row r="454" spans="1:33" ht="15.75" customHeight="1">
      <c r="A454" s="28"/>
      <c r="B454" s="28"/>
      <c r="C454" s="28"/>
      <c r="D454" s="28"/>
      <c r="E454" s="28"/>
      <c r="F454" s="28"/>
      <c r="G454" s="28"/>
      <c r="H454" s="28"/>
      <c r="I454" s="22"/>
      <c r="J454" s="28"/>
      <c r="K454" s="28"/>
      <c r="L454" s="22"/>
      <c r="M454" s="22"/>
      <c r="N454" s="28"/>
      <c r="O454" s="28"/>
      <c r="P454" s="53"/>
      <c r="Q454" s="53"/>
      <c r="R454" s="28"/>
      <c r="S454" s="53"/>
      <c r="T454" s="28"/>
      <c r="U454" s="28"/>
      <c r="V454" s="28"/>
      <c r="W454" s="28"/>
      <c r="X454" s="53"/>
      <c r="Y454" s="22"/>
      <c r="Z454" s="28"/>
      <c r="AA454" s="28"/>
      <c r="AB454" s="28"/>
      <c r="AC454" s="28"/>
      <c r="AD454" s="28"/>
      <c r="AE454" s="28"/>
      <c r="AF454" s="28"/>
      <c r="AG454" s="28"/>
    </row>
    <row r="455" spans="1:33" ht="15.75" customHeight="1">
      <c r="A455" s="28"/>
      <c r="B455" s="28"/>
      <c r="C455" s="28"/>
      <c r="D455" s="28"/>
      <c r="E455" s="28"/>
      <c r="F455" s="28"/>
      <c r="G455" s="28"/>
      <c r="H455" s="28"/>
      <c r="I455" s="22"/>
      <c r="J455" s="28"/>
      <c r="K455" s="28"/>
      <c r="L455" s="22"/>
      <c r="M455" s="22"/>
      <c r="N455" s="28"/>
      <c r="O455" s="28"/>
      <c r="P455" s="53"/>
      <c r="Q455" s="53"/>
      <c r="R455" s="28"/>
      <c r="S455" s="53"/>
      <c r="T455" s="28"/>
      <c r="U455" s="28"/>
      <c r="V455" s="28"/>
      <c r="W455" s="28"/>
      <c r="X455" s="53"/>
      <c r="Y455" s="22"/>
      <c r="Z455" s="28"/>
      <c r="AA455" s="28"/>
      <c r="AB455" s="28"/>
      <c r="AC455" s="28"/>
      <c r="AD455" s="28"/>
      <c r="AE455" s="28"/>
      <c r="AF455" s="28"/>
      <c r="AG455" s="28"/>
    </row>
    <row r="456" spans="1:33" ht="15.75" customHeight="1">
      <c r="A456" s="28"/>
      <c r="B456" s="28"/>
      <c r="C456" s="28"/>
      <c r="D456" s="28"/>
      <c r="E456" s="28"/>
      <c r="F456" s="28"/>
      <c r="G456" s="28"/>
      <c r="H456" s="28"/>
      <c r="I456" s="22"/>
      <c r="J456" s="28"/>
      <c r="K456" s="28"/>
      <c r="L456" s="22"/>
      <c r="M456" s="22"/>
      <c r="N456" s="28"/>
      <c r="O456" s="28"/>
      <c r="P456" s="53"/>
      <c r="Q456" s="53"/>
      <c r="R456" s="28"/>
      <c r="S456" s="53"/>
      <c r="T456" s="28"/>
      <c r="U456" s="28"/>
      <c r="V456" s="28"/>
      <c r="W456" s="28"/>
      <c r="X456" s="53"/>
      <c r="Y456" s="22"/>
      <c r="Z456" s="28"/>
      <c r="AA456" s="28"/>
      <c r="AB456" s="28"/>
      <c r="AC456" s="28"/>
      <c r="AD456" s="28"/>
      <c r="AE456" s="28"/>
      <c r="AF456" s="28"/>
      <c r="AG456" s="28"/>
    </row>
    <row r="457" spans="1:33" ht="15.75" customHeight="1">
      <c r="A457" s="28"/>
      <c r="B457" s="28"/>
      <c r="C457" s="28"/>
      <c r="D457" s="28"/>
      <c r="E457" s="28"/>
      <c r="F457" s="28"/>
      <c r="G457" s="28"/>
      <c r="H457" s="28"/>
      <c r="I457" s="22"/>
      <c r="J457" s="28"/>
      <c r="K457" s="28"/>
      <c r="L457" s="22"/>
      <c r="M457" s="22"/>
      <c r="N457" s="28"/>
      <c r="O457" s="28"/>
      <c r="P457" s="53"/>
      <c r="Q457" s="53"/>
      <c r="R457" s="28"/>
      <c r="S457" s="53"/>
      <c r="T457" s="28"/>
      <c r="U457" s="28"/>
      <c r="V457" s="28"/>
      <c r="W457" s="28"/>
      <c r="X457" s="53"/>
      <c r="Y457" s="22"/>
      <c r="Z457" s="28"/>
      <c r="AA457" s="28"/>
      <c r="AB457" s="28"/>
      <c r="AC457" s="28"/>
      <c r="AD457" s="28"/>
      <c r="AE457" s="28"/>
      <c r="AF457" s="28"/>
      <c r="AG457" s="28"/>
    </row>
    <row r="458" spans="1:33" ht="15.75" customHeight="1">
      <c r="A458" s="28"/>
      <c r="B458" s="28"/>
      <c r="C458" s="28"/>
      <c r="D458" s="28"/>
      <c r="E458" s="28"/>
      <c r="F458" s="28"/>
      <c r="G458" s="28"/>
      <c r="H458" s="28"/>
      <c r="I458" s="22"/>
      <c r="J458" s="28"/>
      <c r="K458" s="28"/>
      <c r="L458" s="22"/>
      <c r="M458" s="22"/>
      <c r="N458" s="28"/>
      <c r="O458" s="28"/>
      <c r="P458" s="53"/>
      <c r="Q458" s="53"/>
      <c r="R458" s="28"/>
      <c r="S458" s="53"/>
      <c r="T458" s="28"/>
      <c r="U458" s="28"/>
      <c r="V458" s="28"/>
      <c r="W458" s="28"/>
      <c r="X458" s="53"/>
      <c r="Y458" s="22"/>
      <c r="Z458" s="28"/>
      <c r="AA458" s="28"/>
      <c r="AB458" s="28"/>
      <c r="AC458" s="28"/>
      <c r="AD458" s="28"/>
      <c r="AE458" s="28"/>
      <c r="AF458" s="28"/>
      <c r="AG458" s="28"/>
    </row>
    <row r="459" spans="1:33" ht="15.75" customHeight="1">
      <c r="A459" s="28"/>
      <c r="B459" s="28"/>
      <c r="C459" s="28"/>
      <c r="D459" s="28"/>
      <c r="E459" s="28"/>
      <c r="F459" s="28"/>
      <c r="G459" s="28"/>
      <c r="H459" s="28"/>
      <c r="I459" s="22"/>
      <c r="J459" s="28"/>
      <c r="K459" s="28"/>
      <c r="L459" s="22"/>
      <c r="M459" s="22"/>
      <c r="N459" s="28"/>
      <c r="O459" s="28"/>
      <c r="P459" s="53"/>
      <c r="Q459" s="53"/>
      <c r="R459" s="28"/>
      <c r="S459" s="53"/>
      <c r="T459" s="28"/>
      <c r="U459" s="28"/>
      <c r="V459" s="28"/>
      <c r="W459" s="28"/>
      <c r="X459" s="53"/>
      <c r="Y459" s="22"/>
      <c r="Z459" s="28"/>
      <c r="AA459" s="28"/>
      <c r="AB459" s="28"/>
      <c r="AC459" s="28"/>
      <c r="AD459" s="28"/>
      <c r="AE459" s="28"/>
      <c r="AF459" s="28"/>
      <c r="AG459" s="28"/>
    </row>
    <row r="460" spans="1:33" ht="15.75" customHeight="1">
      <c r="A460" s="28"/>
      <c r="B460" s="28"/>
      <c r="C460" s="28"/>
      <c r="D460" s="28"/>
      <c r="E460" s="28"/>
      <c r="F460" s="28"/>
      <c r="G460" s="28"/>
      <c r="H460" s="28"/>
      <c r="I460" s="22"/>
      <c r="J460" s="28"/>
      <c r="K460" s="28"/>
      <c r="L460" s="22"/>
      <c r="M460" s="22"/>
      <c r="N460" s="28"/>
      <c r="O460" s="28"/>
      <c r="P460" s="53"/>
      <c r="Q460" s="53"/>
      <c r="R460" s="28"/>
      <c r="S460" s="53"/>
      <c r="T460" s="28"/>
      <c r="U460" s="28"/>
      <c r="V460" s="28"/>
      <c r="W460" s="28"/>
      <c r="X460" s="53"/>
      <c r="Y460" s="22"/>
      <c r="Z460" s="28"/>
      <c r="AA460" s="28"/>
      <c r="AB460" s="28"/>
      <c r="AC460" s="28"/>
      <c r="AD460" s="28"/>
      <c r="AE460" s="28"/>
      <c r="AF460" s="28"/>
      <c r="AG460" s="28"/>
    </row>
    <row r="461" spans="1:33" ht="15.75" customHeight="1">
      <c r="A461" s="28"/>
      <c r="B461" s="28"/>
      <c r="C461" s="28"/>
      <c r="D461" s="28"/>
      <c r="E461" s="28"/>
      <c r="F461" s="28"/>
      <c r="G461" s="28"/>
      <c r="H461" s="28"/>
      <c r="I461" s="22"/>
      <c r="J461" s="28"/>
      <c r="K461" s="28"/>
      <c r="L461" s="22"/>
      <c r="M461" s="22"/>
      <c r="N461" s="28"/>
      <c r="O461" s="28"/>
      <c r="P461" s="53"/>
      <c r="Q461" s="53"/>
      <c r="R461" s="28"/>
      <c r="S461" s="53"/>
      <c r="T461" s="28"/>
      <c r="U461" s="28"/>
      <c r="V461" s="28"/>
      <c r="W461" s="28"/>
      <c r="X461" s="53"/>
      <c r="Y461" s="22"/>
      <c r="Z461" s="28"/>
      <c r="AA461" s="28"/>
      <c r="AB461" s="28"/>
      <c r="AC461" s="28"/>
      <c r="AD461" s="28"/>
      <c r="AE461" s="28"/>
      <c r="AF461" s="28"/>
      <c r="AG461" s="28"/>
    </row>
    <row r="462" spans="1:33" ht="15.75" customHeight="1">
      <c r="A462" s="28"/>
      <c r="B462" s="28"/>
      <c r="C462" s="28"/>
      <c r="D462" s="28"/>
      <c r="E462" s="28"/>
      <c r="F462" s="28"/>
      <c r="G462" s="28"/>
      <c r="H462" s="28"/>
      <c r="I462" s="22"/>
      <c r="J462" s="28"/>
      <c r="K462" s="28"/>
      <c r="L462" s="22"/>
      <c r="M462" s="22"/>
      <c r="N462" s="28"/>
      <c r="O462" s="28"/>
      <c r="P462" s="53"/>
      <c r="Q462" s="53"/>
      <c r="R462" s="28"/>
      <c r="S462" s="53"/>
      <c r="T462" s="28"/>
      <c r="U462" s="28"/>
      <c r="V462" s="28"/>
      <c r="W462" s="28"/>
      <c r="X462" s="53"/>
      <c r="Y462" s="22"/>
      <c r="Z462" s="28"/>
      <c r="AA462" s="28"/>
      <c r="AB462" s="28"/>
      <c r="AC462" s="28"/>
      <c r="AD462" s="28"/>
      <c r="AE462" s="28"/>
      <c r="AF462" s="28"/>
      <c r="AG462" s="28"/>
    </row>
    <row r="463" spans="1:33" ht="15.75" customHeight="1">
      <c r="A463" s="28"/>
      <c r="B463" s="28"/>
      <c r="C463" s="28"/>
      <c r="D463" s="28"/>
      <c r="E463" s="28"/>
      <c r="F463" s="28"/>
      <c r="G463" s="28"/>
      <c r="H463" s="28"/>
      <c r="I463" s="22"/>
      <c r="J463" s="28"/>
      <c r="K463" s="28"/>
      <c r="L463" s="22"/>
      <c r="M463" s="22"/>
      <c r="N463" s="28"/>
      <c r="O463" s="28"/>
      <c r="P463" s="53"/>
      <c r="Q463" s="53"/>
      <c r="R463" s="28"/>
      <c r="S463" s="53"/>
      <c r="T463" s="28"/>
      <c r="U463" s="28"/>
      <c r="V463" s="28"/>
      <c r="W463" s="28"/>
      <c r="X463" s="53"/>
      <c r="Y463" s="22"/>
      <c r="Z463" s="28"/>
      <c r="AA463" s="28"/>
      <c r="AB463" s="28"/>
      <c r="AC463" s="28"/>
      <c r="AD463" s="28"/>
      <c r="AE463" s="28"/>
      <c r="AF463" s="28"/>
      <c r="AG463" s="28"/>
    </row>
    <row r="464" spans="1:33" ht="15.75" customHeight="1">
      <c r="A464" s="28"/>
      <c r="B464" s="28"/>
      <c r="C464" s="28"/>
      <c r="D464" s="28"/>
      <c r="E464" s="28"/>
      <c r="F464" s="28"/>
      <c r="G464" s="28"/>
      <c r="H464" s="28"/>
      <c r="I464" s="22"/>
      <c r="J464" s="28"/>
      <c r="K464" s="28"/>
      <c r="L464" s="22"/>
      <c r="M464" s="22"/>
      <c r="N464" s="28"/>
      <c r="O464" s="28"/>
      <c r="P464" s="53"/>
      <c r="Q464" s="53"/>
      <c r="R464" s="28"/>
      <c r="S464" s="53"/>
      <c r="T464" s="28"/>
      <c r="U464" s="28"/>
      <c r="V464" s="28"/>
      <c r="W464" s="28"/>
      <c r="X464" s="53"/>
      <c r="Y464" s="22"/>
      <c r="Z464" s="28"/>
      <c r="AA464" s="28"/>
      <c r="AB464" s="28"/>
      <c r="AC464" s="28"/>
      <c r="AD464" s="28"/>
      <c r="AE464" s="28"/>
      <c r="AF464" s="28"/>
      <c r="AG464" s="28"/>
    </row>
    <row r="465" spans="1:33" ht="15.75" customHeight="1">
      <c r="A465" s="28"/>
      <c r="B465" s="28"/>
      <c r="C465" s="28"/>
      <c r="D465" s="28"/>
      <c r="E465" s="28"/>
      <c r="F465" s="28"/>
      <c r="G465" s="28"/>
      <c r="H465" s="28"/>
      <c r="I465" s="22"/>
      <c r="J465" s="28"/>
      <c r="K465" s="28"/>
      <c r="L465" s="22"/>
      <c r="M465" s="22"/>
      <c r="N465" s="28"/>
      <c r="O465" s="28"/>
      <c r="P465" s="53"/>
      <c r="Q465" s="53"/>
      <c r="R465" s="28"/>
      <c r="S465" s="53"/>
      <c r="T465" s="28"/>
      <c r="U465" s="28"/>
      <c r="V465" s="28"/>
      <c r="W465" s="28"/>
      <c r="X465" s="53"/>
      <c r="Y465" s="22"/>
      <c r="Z465" s="28"/>
      <c r="AA465" s="28"/>
      <c r="AB465" s="28"/>
      <c r="AC465" s="28"/>
      <c r="AD465" s="28"/>
      <c r="AE465" s="28"/>
      <c r="AF465" s="28"/>
      <c r="AG465" s="28"/>
    </row>
    <row r="466" spans="1:33" ht="15.75" customHeight="1">
      <c r="A466" s="28"/>
      <c r="B466" s="28"/>
      <c r="C466" s="28"/>
      <c r="D466" s="28"/>
      <c r="E466" s="28"/>
      <c r="F466" s="28"/>
      <c r="G466" s="28"/>
      <c r="H466" s="28"/>
      <c r="I466" s="22"/>
      <c r="J466" s="28"/>
      <c r="K466" s="28"/>
      <c r="L466" s="22"/>
      <c r="M466" s="22"/>
      <c r="N466" s="28"/>
      <c r="O466" s="28"/>
      <c r="P466" s="53"/>
      <c r="Q466" s="53"/>
      <c r="R466" s="28"/>
      <c r="S466" s="53"/>
      <c r="T466" s="28"/>
      <c r="U466" s="28"/>
      <c r="V466" s="28"/>
      <c r="W466" s="28"/>
      <c r="X466" s="53"/>
      <c r="Y466" s="22"/>
      <c r="Z466" s="28"/>
      <c r="AA466" s="28"/>
      <c r="AB466" s="28"/>
      <c r="AC466" s="28"/>
      <c r="AD466" s="28"/>
      <c r="AE466" s="28"/>
      <c r="AF466" s="28"/>
      <c r="AG466" s="28"/>
    </row>
    <row r="467" spans="1:33" ht="15.75" customHeight="1">
      <c r="A467" s="28"/>
      <c r="B467" s="28"/>
      <c r="C467" s="28"/>
      <c r="D467" s="28"/>
      <c r="E467" s="28"/>
      <c r="F467" s="28"/>
      <c r="G467" s="28"/>
      <c r="H467" s="28"/>
      <c r="I467" s="22"/>
      <c r="J467" s="28"/>
      <c r="K467" s="28"/>
      <c r="L467" s="22"/>
      <c r="M467" s="22"/>
      <c r="N467" s="28"/>
      <c r="O467" s="28"/>
      <c r="P467" s="53"/>
      <c r="Q467" s="53"/>
      <c r="R467" s="28"/>
      <c r="S467" s="53"/>
      <c r="T467" s="28"/>
      <c r="U467" s="28"/>
      <c r="V467" s="28"/>
      <c r="W467" s="28"/>
      <c r="X467" s="53"/>
      <c r="Y467" s="22"/>
      <c r="Z467" s="28"/>
      <c r="AA467" s="28"/>
      <c r="AB467" s="28"/>
      <c r="AC467" s="28"/>
      <c r="AD467" s="28"/>
      <c r="AE467" s="28"/>
      <c r="AF467" s="28"/>
      <c r="AG467" s="28"/>
    </row>
    <row r="468" spans="1:33" ht="15.75" customHeight="1">
      <c r="A468" s="28"/>
      <c r="B468" s="28"/>
      <c r="C468" s="28"/>
      <c r="D468" s="28"/>
      <c r="E468" s="28"/>
      <c r="F468" s="28"/>
      <c r="G468" s="28"/>
      <c r="H468" s="28"/>
      <c r="I468" s="22"/>
      <c r="J468" s="28"/>
      <c r="K468" s="28"/>
      <c r="L468" s="22"/>
      <c r="M468" s="22"/>
      <c r="N468" s="28"/>
      <c r="O468" s="28"/>
      <c r="P468" s="53"/>
      <c r="Q468" s="53"/>
      <c r="R468" s="28"/>
      <c r="S468" s="53"/>
      <c r="T468" s="28"/>
      <c r="U468" s="28"/>
      <c r="V468" s="28"/>
      <c r="W468" s="28"/>
      <c r="X468" s="53"/>
      <c r="Y468" s="22"/>
      <c r="Z468" s="28"/>
      <c r="AA468" s="28"/>
      <c r="AB468" s="28"/>
      <c r="AC468" s="28"/>
      <c r="AD468" s="28"/>
      <c r="AE468" s="28"/>
      <c r="AF468" s="28"/>
      <c r="AG468" s="28"/>
    </row>
    <row r="469" spans="1:33" ht="15.75" customHeight="1">
      <c r="A469" s="28"/>
      <c r="B469" s="28"/>
      <c r="C469" s="28"/>
      <c r="D469" s="28"/>
      <c r="E469" s="28"/>
      <c r="F469" s="28"/>
      <c r="G469" s="28"/>
      <c r="H469" s="28"/>
      <c r="I469" s="22"/>
      <c r="J469" s="28"/>
      <c r="K469" s="28"/>
      <c r="L469" s="22"/>
      <c r="M469" s="22"/>
      <c r="N469" s="28"/>
      <c r="O469" s="28"/>
      <c r="P469" s="53"/>
      <c r="Q469" s="53"/>
      <c r="R469" s="28"/>
      <c r="S469" s="53"/>
      <c r="T469" s="28"/>
      <c r="U469" s="28"/>
      <c r="V469" s="28"/>
      <c r="W469" s="28"/>
      <c r="X469" s="53"/>
      <c r="Y469" s="22"/>
      <c r="Z469" s="28"/>
      <c r="AA469" s="28"/>
      <c r="AB469" s="28"/>
      <c r="AC469" s="28"/>
      <c r="AD469" s="28"/>
      <c r="AE469" s="28"/>
      <c r="AF469" s="28"/>
      <c r="AG469" s="28"/>
    </row>
    <row r="470" spans="1:33" ht="15.75" customHeight="1">
      <c r="A470" s="28"/>
      <c r="B470" s="28"/>
      <c r="C470" s="28"/>
      <c r="D470" s="28"/>
      <c r="E470" s="28"/>
      <c r="F470" s="28"/>
      <c r="G470" s="28"/>
      <c r="H470" s="28"/>
      <c r="I470" s="22"/>
      <c r="J470" s="28"/>
      <c r="K470" s="28"/>
      <c r="L470" s="22"/>
      <c r="M470" s="22"/>
      <c r="N470" s="28"/>
      <c r="O470" s="28"/>
      <c r="P470" s="53"/>
      <c r="Q470" s="53"/>
      <c r="R470" s="28"/>
      <c r="S470" s="53"/>
      <c r="T470" s="28"/>
      <c r="U470" s="28"/>
      <c r="V470" s="28"/>
      <c r="W470" s="28"/>
      <c r="X470" s="53"/>
      <c r="Y470" s="22"/>
      <c r="Z470" s="28"/>
      <c r="AA470" s="28"/>
      <c r="AB470" s="28"/>
      <c r="AC470" s="28"/>
      <c r="AD470" s="28"/>
      <c r="AE470" s="28"/>
      <c r="AF470" s="28"/>
      <c r="AG470" s="28"/>
    </row>
    <row r="471" spans="1:33" ht="15.75" customHeight="1">
      <c r="A471" s="28"/>
      <c r="B471" s="28"/>
      <c r="C471" s="28"/>
      <c r="D471" s="28"/>
      <c r="E471" s="28"/>
      <c r="F471" s="28"/>
      <c r="G471" s="28"/>
      <c r="H471" s="28"/>
      <c r="I471" s="22"/>
      <c r="J471" s="28"/>
      <c r="K471" s="28"/>
      <c r="L471" s="22"/>
      <c r="M471" s="22"/>
      <c r="N471" s="28"/>
      <c r="O471" s="28"/>
      <c r="P471" s="53"/>
      <c r="Q471" s="53"/>
      <c r="R471" s="28"/>
      <c r="S471" s="53"/>
      <c r="T471" s="28"/>
      <c r="U471" s="28"/>
      <c r="V471" s="28"/>
      <c r="W471" s="28"/>
      <c r="X471" s="53"/>
      <c r="Y471" s="22"/>
      <c r="Z471" s="28"/>
      <c r="AA471" s="28"/>
      <c r="AB471" s="28"/>
      <c r="AC471" s="28"/>
      <c r="AD471" s="28"/>
      <c r="AE471" s="28"/>
      <c r="AF471" s="28"/>
      <c r="AG471" s="28"/>
    </row>
    <row r="472" spans="1:33" ht="15.75" customHeight="1">
      <c r="A472" s="28"/>
      <c r="B472" s="28"/>
      <c r="C472" s="28"/>
      <c r="D472" s="28"/>
      <c r="E472" s="28"/>
      <c r="F472" s="28"/>
      <c r="G472" s="28"/>
      <c r="H472" s="28"/>
      <c r="I472" s="22"/>
      <c r="J472" s="28"/>
      <c r="K472" s="28"/>
      <c r="L472" s="22"/>
      <c r="M472" s="22"/>
      <c r="N472" s="28"/>
      <c r="O472" s="28"/>
      <c r="P472" s="53"/>
      <c r="Q472" s="53"/>
      <c r="R472" s="28"/>
      <c r="S472" s="53"/>
      <c r="T472" s="28"/>
      <c r="U472" s="28"/>
      <c r="V472" s="28"/>
      <c r="W472" s="28"/>
      <c r="X472" s="53"/>
      <c r="Y472" s="22"/>
      <c r="Z472" s="28"/>
      <c r="AA472" s="28"/>
      <c r="AB472" s="28"/>
      <c r="AC472" s="28"/>
      <c r="AD472" s="28"/>
      <c r="AE472" s="28"/>
      <c r="AF472" s="28"/>
      <c r="AG472" s="28"/>
    </row>
    <row r="473" spans="1:33" ht="15.75" customHeight="1">
      <c r="A473" s="28"/>
      <c r="B473" s="28"/>
      <c r="C473" s="28"/>
      <c r="D473" s="28"/>
      <c r="E473" s="28"/>
      <c r="F473" s="28"/>
      <c r="G473" s="28"/>
      <c r="H473" s="28"/>
      <c r="I473" s="22"/>
      <c r="J473" s="28"/>
      <c r="K473" s="28"/>
      <c r="L473" s="22"/>
      <c r="M473" s="22"/>
      <c r="N473" s="28"/>
      <c r="O473" s="28"/>
      <c r="P473" s="53"/>
      <c r="Q473" s="53"/>
      <c r="R473" s="28"/>
      <c r="S473" s="53"/>
      <c r="T473" s="28"/>
      <c r="U473" s="28"/>
      <c r="V473" s="28"/>
      <c r="W473" s="28"/>
      <c r="X473" s="53"/>
      <c r="Y473" s="22"/>
      <c r="Z473" s="28"/>
      <c r="AA473" s="28"/>
      <c r="AB473" s="28"/>
      <c r="AC473" s="28"/>
      <c r="AD473" s="28"/>
      <c r="AE473" s="28"/>
      <c r="AF473" s="28"/>
      <c r="AG473" s="28"/>
    </row>
    <row r="474" spans="1:33" ht="15.75" customHeight="1">
      <c r="A474" s="28"/>
      <c r="B474" s="28"/>
      <c r="C474" s="28"/>
      <c r="D474" s="28"/>
      <c r="E474" s="28"/>
      <c r="F474" s="28"/>
      <c r="G474" s="28"/>
      <c r="H474" s="28"/>
      <c r="I474" s="22"/>
      <c r="J474" s="28"/>
      <c r="K474" s="28"/>
      <c r="L474" s="22"/>
      <c r="M474" s="22"/>
      <c r="N474" s="28"/>
      <c r="O474" s="28"/>
      <c r="P474" s="53"/>
      <c r="Q474" s="53"/>
      <c r="R474" s="28"/>
      <c r="S474" s="53"/>
      <c r="T474" s="28"/>
      <c r="U474" s="28"/>
      <c r="V474" s="28"/>
      <c r="W474" s="28"/>
      <c r="X474" s="53"/>
      <c r="Y474" s="22"/>
      <c r="Z474" s="28"/>
      <c r="AA474" s="28"/>
      <c r="AB474" s="28"/>
      <c r="AC474" s="28"/>
      <c r="AD474" s="28"/>
      <c r="AE474" s="28"/>
      <c r="AF474" s="28"/>
      <c r="AG474" s="28"/>
    </row>
    <row r="475" spans="1:33" ht="15.75" customHeight="1">
      <c r="A475" s="28"/>
      <c r="B475" s="28"/>
      <c r="C475" s="28"/>
      <c r="D475" s="28"/>
      <c r="E475" s="28"/>
      <c r="F475" s="28"/>
      <c r="G475" s="28"/>
      <c r="H475" s="28"/>
      <c r="I475" s="22"/>
      <c r="J475" s="28"/>
      <c r="K475" s="28"/>
      <c r="L475" s="22"/>
      <c r="M475" s="22"/>
      <c r="N475" s="28"/>
      <c r="O475" s="28"/>
      <c r="P475" s="53"/>
      <c r="Q475" s="53"/>
      <c r="R475" s="28"/>
      <c r="S475" s="53"/>
      <c r="T475" s="28"/>
      <c r="U475" s="28"/>
      <c r="V475" s="28"/>
      <c r="W475" s="28"/>
      <c r="X475" s="53"/>
      <c r="Y475" s="22"/>
      <c r="Z475" s="28"/>
      <c r="AA475" s="28"/>
      <c r="AB475" s="28"/>
      <c r="AC475" s="28"/>
      <c r="AD475" s="28"/>
      <c r="AE475" s="28"/>
      <c r="AF475" s="28"/>
      <c r="AG475" s="28"/>
    </row>
    <row r="476" spans="1:33" ht="15.75" customHeight="1">
      <c r="A476" s="28"/>
      <c r="B476" s="28"/>
      <c r="C476" s="28"/>
      <c r="D476" s="28"/>
      <c r="E476" s="28"/>
      <c r="F476" s="28"/>
      <c r="G476" s="28"/>
      <c r="H476" s="28"/>
      <c r="I476" s="22"/>
      <c r="J476" s="28"/>
      <c r="K476" s="28"/>
      <c r="L476" s="22"/>
      <c r="M476" s="22"/>
      <c r="N476" s="28"/>
      <c r="O476" s="28"/>
      <c r="P476" s="53"/>
      <c r="Q476" s="53"/>
      <c r="R476" s="28"/>
      <c r="S476" s="53"/>
      <c r="T476" s="28"/>
      <c r="U476" s="28"/>
      <c r="V476" s="28"/>
      <c r="W476" s="28"/>
      <c r="X476" s="53"/>
      <c r="Y476" s="22"/>
      <c r="Z476" s="28"/>
      <c r="AA476" s="28"/>
      <c r="AB476" s="28"/>
      <c r="AC476" s="28"/>
      <c r="AD476" s="28"/>
      <c r="AE476" s="28"/>
      <c r="AF476" s="28"/>
      <c r="AG476" s="28"/>
    </row>
    <row r="477" spans="1:33" ht="15.75" customHeight="1">
      <c r="A477" s="28"/>
      <c r="B477" s="28"/>
      <c r="C477" s="28"/>
      <c r="D477" s="28"/>
      <c r="E477" s="28"/>
      <c r="F477" s="28"/>
      <c r="G477" s="28"/>
      <c r="H477" s="28"/>
      <c r="I477" s="22"/>
      <c r="J477" s="28"/>
      <c r="K477" s="28"/>
      <c r="L477" s="22"/>
      <c r="M477" s="22"/>
      <c r="N477" s="28"/>
      <c r="O477" s="28"/>
      <c r="P477" s="53"/>
      <c r="Q477" s="53"/>
      <c r="R477" s="28"/>
      <c r="S477" s="53"/>
      <c r="T477" s="28"/>
      <c r="U477" s="28"/>
      <c r="V477" s="28"/>
      <c r="W477" s="28"/>
      <c r="X477" s="53"/>
      <c r="Y477" s="22"/>
      <c r="Z477" s="28"/>
      <c r="AA477" s="28"/>
      <c r="AB477" s="28"/>
      <c r="AC477" s="28"/>
      <c r="AD477" s="28"/>
      <c r="AE477" s="28"/>
      <c r="AF477" s="28"/>
      <c r="AG477" s="28"/>
    </row>
    <row r="478" spans="1:33" ht="15.75" customHeight="1">
      <c r="A478" s="28"/>
      <c r="B478" s="28"/>
      <c r="C478" s="28"/>
      <c r="D478" s="28"/>
      <c r="E478" s="28"/>
      <c r="F478" s="28"/>
      <c r="G478" s="28"/>
      <c r="H478" s="28"/>
      <c r="I478" s="22"/>
      <c r="J478" s="28"/>
      <c r="K478" s="28"/>
      <c r="L478" s="22"/>
      <c r="M478" s="22"/>
      <c r="N478" s="28"/>
      <c r="O478" s="28"/>
      <c r="P478" s="53"/>
      <c r="Q478" s="53"/>
      <c r="R478" s="28"/>
      <c r="S478" s="53"/>
      <c r="T478" s="28"/>
      <c r="U478" s="28"/>
      <c r="V478" s="28"/>
      <c r="W478" s="28"/>
      <c r="X478" s="53"/>
      <c r="Y478" s="22"/>
      <c r="Z478" s="28"/>
      <c r="AA478" s="28"/>
      <c r="AB478" s="28"/>
      <c r="AC478" s="28"/>
      <c r="AD478" s="28"/>
      <c r="AE478" s="28"/>
      <c r="AF478" s="28"/>
      <c r="AG478" s="28"/>
    </row>
    <row r="479" spans="1:33" ht="15.75" customHeight="1">
      <c r="A479" s="28"/>
      <c r="B479" s="28"/>
      <c r="C479" s="28"/>
      <c r="D479" s="28"/>
      <c r="E479" s="28"/>
      <c r="F479" s="28"/>
      <c r="G479" s="28"/>
      <c r="H479" s="28"/>
      <c r="I479" s="22"/>
      <c r="J479" s="28"/>
      <c r="K479" s="28"/>
      <c r="L479" s="22"/>
      <c r="M479" s="22"/>
      <c r="N479" s="28"/>
      <c r="O479" s="28"/>
      <c r="P479" s="53"/>
      <c r="Q479" s="53"/>
      <c r="R479" s="28"/>
      <c r="S479" s="53"/>
      <c r="T479" s="28"/>
      <c r="U479" s="28"/>
      <c r="V479" s="28"/>
      <c r="W479" s="28"/>
      <c r="X479" s="53"/>
      <c r="Y479" s="22"/>
      <c r="Z479" s="28"/>
      <c r="AA479" s="28"/>
      <c r="AB479" s="28"/>
      <c r="AC479" s="28"/>
      <c r="AD479" s="28"/>
      <c r="AE479" s="28"/>
      <c r="AF479" s="28"/>
      <c r="AG479" s="28"/>
    </row>
    <row r="480" spans="1:33" ht="15.75" customHeight="1">
      <c r="A480" s="28"/>
      <c r="B480" s="28"/>
      <c r="C480" s="28"/>
      <c r="D480" s="28"/>
      <c r="E480" s="28"/>
      <c r="F480" s="28"/>
      <c r="G480" s="28"/>
      <c r="H480" s="28"/>
      <c r="I480" s="22"/>
      <c r="J480" s="28"/>
      <c r="K480" s="28"/>
      <c r="L480" s="22"/>
      <c r="M480" s="22"/>
      <c r="N480" s="28"/>
      <c r="O480" s="28"/>
      <c r="P480" s="53"/>
      <c r="Q480" s="53"/>
      <c r="R480" s="28"/>
      <c r="S480" s="53"/>
      <c r="T480" s="28"/>
      <c r="U480" s="28"/>
      <c r="V480" s="28"/>
      <c r="W480" s="28"/>
      <c r="X480" s="53"/>
      <c r="Y480" s="22"/>
      <c r="Z480" s="28"/>
      <c r="AA480" s="28"/>
      <c r="AB480" s="28"/>
      <c r="AC480" s="28"/>
      <c r="AD480" s="28"/>
      <c r="AE480" s="28"/>
      <c r="AF480" s="28"/>
      <c r="AG480" s="28"/>
    </row>
    <row r="481" spans="1:33" ht="15.75" customHeight="1">
      <c r="A481" s="28"/>
      <c r="B481" s="28"/>
      <c r="C481" s="28"/>
      <c r="D481" s="28"/>
      <c r="E481" s="28"/>
      <c r="F481" s="28"/>
      <c r="G481" s="28"/>
      <c r="H481" s="28"/>
      <c r="I481" s="22"/>
      <c r="J481" s="28"/>
      <c r="K481" s="28"/>
      <c r="L481" s="22"/>
      <c r="M481" s="22"/>
      <c r="N481" s="28"/>
      <c r="O481" s="28"/>
      <c r="P481" s="53"/>
      <c r="Q481" s="53"/>
      <c r="R481" s="28"/>
      <c r="S481" s="53"/>
      <c r="T481" s="28"/>
      <c r="U481" s="28"/>
      <c r="V481" s="28"/>
      <c r="W481" s="28"/>
      <c r="X481" s="53"/>
      <c r="Y481" s="22"/>
      <c r="Z481" s="28"/>
      <c r="AA481" s="28"/>
      <c r="AB481" s="28"/>
      <c r="AC481" s="28"/>
      <c r="AD481" s="28"/>
      <c r="AE481" s="28"/>
      <c r="AF481" s="28"/>
      <c r="AG481" s="28"/>
    </row>
    <row r="482" spans="1:33" ht="15.75" customHeight="1">
      <c r="A482" s="28"/>
      <c r="B482" s="28"/>
      <c r="C482" s="28"/>
      <c r="D482" s="28"/>
      <c r="E482" s="28"/>
      <c r="F482" s="28"/>
      <c r="G482" s="28"/>
      <c r="H482" s="28"/>
      <c r="I482" s="22"/>
      <c r="J482" s="28"/>
      <c r="K482" s="28"/>
      <c r="L482" s="22"/>
      <c r="M482" s="22"/>
      <c r="N482" s="28"/>
      <c r="O482" s="28"/>
      <c r="P482" s="53"/>
      <c r="Q482" s="53"/>
      <c r="R482" s="28"/>
      <c r="S482" s="53"/>
      <c r="T482" s="28"/>
      <c r="U482" s="28"/>
      <c r="V482" s="28"/>
      <c r="W482" s="28"/>
      <c r="X482" s="53"/>
      <c r="Y482" s="22"/>
      <c r="Z482" s="28"/>
      <c r="AA482" s="28"/>
      <c r="AB482" s="28"/>
      <c r="AC482" s="28"/>
      <c r="AD482" s="28"/>
      <c r="AE482" s="28"/>
      <c r="AF482" s="28"/>
      <c r="AG482" s="28"/>
    </row>
    <row r="483" spans="1:33" ht="15.75" customHeight="1">
      <c r="A483" s="28"/>
      <c r="B483" s="28"/>
      <c r="C483" s="28"/>
      <c r="D483" s="28"/>
      <c r="E483" s="28"/>
      <c r="F483" s="28"/>
      <c r="G483" s="28"/>
      <c r="H483" s="28"/>
      <c r="I483" s="22"/>
      <c r="J483" s="28"/>
      <c r="K483" s="28"/>
      <c r="L483" s="22"/>
      <c r="M483" s="22"/>
      <c r="N483" s="28"/>
      <c r="O483" s="28"/>
      <c r="P483" s="53"/>
      <c r="Q483" s="53"/>
      <c r="R483" s="28"/>
      <c r="S483" s="53"/>
      <c r="T483" s="28"/>
      <c r="U483" s="28"/>
      <c r="V483" s="28"/>
      <c r="W483" s="28"/>
      <c r="X483" s="53"/>
      <c r="Y483" s="22"/>
      <c r="Z483" s="28"/>
      <c r="AA483" s="28"/>
      <c r="AB483" s="28"/>
      <c r="AC483" s="28"/>
      <c r="AD483" s="28"/>
      <c r="AE483" s="28"/>
      <c r="AF483" s="28"/>
      <c r="AG483" s="28"/>
    </row>
    <row r="484" spans="1:33" ht="15.75" customHeight="1">
      <c r="A484" s="28"/>
      <c r="B484" s="28"/>
      <c r="C484" s="28"/>
      <c r="D484" s="28"/>
      <c r="E484" s="28"/>
      <c r="F484" s="28"/>
      <c r="G484" s="28"/>
      <c r="H484" s="28"/>
      <c r="I484" s="22"/>
      <c r="J484" s="28"/>
      <c r="K484" s="28"/>
      <c r="L484" s="22"/>
      <c r="M484" s="22"/>
      <c r="N484" s="28"/>
      <c r="O484" s="28"/>
      <c r="P484" s="53"/>
      <c r="Q484" s="53"/>
      <c r="R484" s="28"/>
      <c r="S484" s="53"/>
      <c r="T484" s="28"/>
      <c r="U484" s="28"/>
      <c r="V484" s="28"/>
      <c r="W484" s="28"/>
      <c r="X484" s="53"/>
      <c r="Y484" s="22"/>
      <c r="Z484" s="28"/>
      <c r="AA484" s="28"/>
      <c r="AB484" s="28"/>
      <c r="AC484" s="28"/>
      <c r="AD484" s="28"/>
      <c r="AE484" s="28"/>
      <c r="AF484" s="28"/>
      <c r="AG484" s="28"/>
    </row>
    <row r="485" spans="1:33" ht="15.75" customHeight="1">
      <c r="A485" s="28"/>
      <c r="B485" s="28"/>
      <c r="C485" s="28"/>
      <c r="D485" s="28"/>
      <c r="E485" s="28"/>
      <c r="F485" s="28"/>
      <c r="G485" s="28"/>
      <c r="H485" s="28"/>
      <c r="I485" s="22"/>
      <c r="J485" s="28"/>
      <c r="K485" s="28"/>
      <c r="L485" s="22"/>
      <c r="M485" s="22"/>
      <c r="N485" s="28"/>
      <c r="O485" s="28"/>
      <c r="P485" s="53"/>
      <c r="Q485" s="53"/>
      <c r="R485" s="28"/>
      <c r="S485" s="53"/>
      <c r="T485" s="28"/>
      <c r="U485" s="28"/>
      <c r="V485" s="28"/>
      <c r="W485" s="28"/>
      <c r="X485" s="53"/>
      <c r="Y485" s="22"/>
      <c r="Z485" s="28"/>
      <c r="AA485" s="28"/>
      <c r="AB485" s="28"/>
      <c r="AC485" s="28"/>
      <c r="AD485" s="28"/>
      <c r="AE485" s="28"/>
      <c r="AF485" s="28"/>
      <c r="AG485" s="28"/>
    </row>
    <row r="486" spans="1:33" ht="15.75" customHeight="1">
      <c r="A486" s="28"/>
      <c r="B486" s="28"/>
      <c r="C486" s="28"/>
      <c r="D486" s="28"/>
      <c r="E486" s="28"/>
      <c r="F486" s="28"/>
      <c r="G486" s="28"/>
      <c r="H486" s="28"/>
      <c r="I486" s="22"/>
      <c r="J486" s="28"/>
      <c r="K486" s="28"/>
      <c r="L486" s="22"/>
      <c r="M486" s="22"/>
      <c r="N486" s="28"/>
      <c r="O486" s="28"/>
      <c r="P486" s="53"/>
      <c r="Q486" s="53"/>
      <c r="R486" s="28"/>
      <c r="S486" s="53"/>
      <c r="T486" s="28"/>
      <c r="U486" s="28"/>
      <c r="V486" s="28"/>
      <c r="W486" s="28"/>
      <c r="X486" s="53"/>
      <c r="Y486" s="22"/>
      <c r="Z486" s="28"/>
      <c r="AA486" s="28"/>
      <c r="AB486" s="28"/>
      <c r="AC486" s="28"/>
      <c r="AD486" s="28"/>
      <c r="AE486" s="28"/>
      <c r="AF486" s="28"/>
      <c r="AG486" s="28"/>
    </row>
    <row r="487" spans="1:33" ht="15.75" customHeight="1">
      <c r="A487" s="28"/>
      <c r="B487" s="28"/>
      <c r="C487" s="28"/>
      <c r="D487" s="28"/>
      <c r="E487" s="28"/>
      <c r="F487" s="28"/>
      <c r="G487" s="28"/>
      <c r="H487" s="28"/>
      <c r="I487" s="22"/>
      <c r="J487" s="28"/>
      <c r="K487" s="28"/>
      <c r="L487" s="22"/>
      <c r="M487" s="22"/>
      <c r="N487" s="28"/>
      <c r="O487" s="28"/>
      <c r="P487" s="53"/>
      <c r="Q487" s="53"/>
      <c r="R487" s="28"/>
      <c r="S487" s="53"/>
      <c r="T487" s="28"/>
      <c r="U487" s="28"/>
      <c r="V487" s="28"/>
      <c r="W487" s="28"/>
      <c r="X487" s="53"/>
      <c r="Y487" s="22"/>
      <c r="Z487" s="28"/>
      <c r="AA487" s="28"/>
      <c r="AB487" s="28"/>
      <c r="AC487" s="28"/>
      <c r="AD487" s="28"/>
      <c r="AE487" s="28"/>
      <c r="AF487" s="28"/>
      <c r="AG487" s="28"/>
    </row>
    <row r="488" spans="1:33" ht="15.75" customHeight="1">
      <c r="A488" s="28"/>
      <c r="B488" s="28"/>
      <c r="C488" s="28"/>
      <c r="D488" s="28"/>
      <c r="E488" s="28"/>
      <c r="F488" s="28"/>
      <c r="G488" s="28"/>
      <c r="H488" s="28"/>
      <c r="I488" s="22"/>
      <c r="J488" s="28"/>
      <c r="K488" s="28"/>
      <c r="L488" s="22"/>
      <c r="M488" s="22"/>
      <c r="N488" s="28"/>
      <c r="O488" s="28"/>
      <c r="P488" s="53"/>
      <c r="Q488" s="53"/>
      <c r="R488" s="28"/>
      <c r="S488" s="53"/>
      <c r="T488" s="28"/>
      <c r="U488" s="28"/>
      <c r="V488" s="28"/>
      <c r="W488" s="28"/>
      <c r="X488" s="53"/>
      <c r="Y488" s="22"/>
      <c r="Z488" s="28"/>
      <c r="AA488" s="28"/>
      <c r="AB488" s="28"/>
      <c r="AC488" s="28"/>
      <c r="AD488" s="28"/>
      <c r="AE488" s="28"/>
      <c r="AF488" s="28"/>
      <c r="AG488" s="28"/>
    </row>
    <row r="489" spans="1:33" ht="15.75" customHeight="1">
      <c r="A489" s="28"/>
      <c r="B489" s="28"/>
      <c r="C489" s="28"/>
      <c r="D489" s="28"/>
      <c r="E489" s="28"/>
      <c r="F489" s="28"/>
      <c r="G489" s="28"/>
      <c r="H489" s="28"/>
      <c r="I489" s="22"/>
      <c r="J489" s="28"/>
      <c r="K489" s="28"/>
      <c r="L489" s="22"/>
      <c r="M489" s="22"/>
      <c r="N489" s="28"/>
      <c r="O489" s="28"/>
      <c r="P489" s="53"/>
      <c r="Q489" s="53"/>
      <c r="R489" s="28"/>
      <c r="S489" s="53"/>
      <c r="T489" s="28"/>
      <c r="U489" s="28"/>
      <c r="V489" s="28"/>
      <c r="W489" s="28"/>
      <c r="X489" s="53"/>
      <c r="Y489" s="22"/>
      <c r="Z489" s="28"/>
      <c r="AA489" s="28"/>
      <c r="AB489" s="28"/>
      <c r="AC489" s="28"/>
      <c r="AD489" s="28"/>
      <c r="AE489" s="28"/>
      <c r="AF489" s="28"/>
      <c r="AG489" s="28"/>
    </row>
    <row r="490" spans="1:33" ht="15.75" customHeight="1">
      <c r="A490" s="28"/>
      <c r="B490" s="28"/>
      <c r="C490" s="28"/>
      <c r="D490" s="28"/>
      <c r="E490" s="28"/>
      <c r="F490" s="28"/>
      <c r="G490" s="28"/>
      <c r="H490" s="28"/>
      <c r="I490" s="22"/>
      <c r="J490" s="28"/>
      <c r="K490" s="28"/>
      <c r="L490" s="22"/>
      <c r="M490" s="22"/>
      <c r="N490" s="28"/>
      <c r="O490" s="28"/>
      <c r="P490" s="53"/>
      <c r="Q490" s="53"/>
      <c r="R490" s="28"/>
      <c r="S490" s="53"/>
      <c r="T490" s="28"/>
      <c r="U490" s="28"/>
      <c r="V490" s="28"/>
      <c r="W490" s="28"/>
      <c r="X490" s="53"/>
      <c r="Y490" s="22"/>
      <c r="Z490" s="28"/>
      <c r="AA490" s="28"/>
      <c r="AB490" s="28"/>
      <c r="AC490" s="28"/>
      <c r="AD490" s="28"/>
      <c r="AE490" s="28"/>
      <c r="AF490" s="28"/>
      <c r="AG490" s="28"/>
    </row>
    <row r="491" spans="1:33" ht="15.75" customHeight="1">
      <c r="A491" s="28"/>
      <c r="B491" s="28"/>
      <c r="C491" s="28"/>
      <c r="D491" s="28"/>
      <c r="E491" s="28"/>
      <c r="F491" s="28"/>
      <c r="G491" s="28"/>
      <c r="H491" s="28"/>
      <c r="I491" s="22"/>
      <c r="J491" s="28"/>
      <c r="K491" s="28"/>
      <c r="L491" s="22"/>
      <c r="M491" s="22"/>
      <c r="N491" s="28"/>
      <c r="O491" s="28"/>
      <c r="P491" s="53"/>
      <c r="Q491" s="53"/>
      <c r="R491" s="28"/>
      <c r="S491" s="53"/>
      <c r="T491" s="28"/>
      <c r="U491" s="28"/>
      <c r="V491" s="28"/>
      <c r="W491" s="28"/>
      <c r="X491" s="53"/>
      <c r="Y491" s="22"/>
      <c r="Z491" s="28"/>
      <c r="AA491" s="28"/>
      <c r="AB491" s="28"/>
      <c r="AC491" s="28"/>
      <c r="AD491" s="28"/>
      <c r="AE491" s="28"/>
      <c r="AF491" s="28"/>
      <c r="AG491" s="28"/>
    </row>
    <row r="492" spans="1:33" ht="15.75" customHeight="1">
      <c r="A492" s="28"/>
      <c r="B492" s="28"/>
      <c r="C492" s="28"/>
      <c r="D492" s="28"/>
      <c r="E492" s="28"/>
      <c r="F492" s="28"/>
      <c r="G492" s="28"/>
      <c r="H492" s="28"/>
      <c r="I492" s="22"/>
      <c r="J492" s="28"/>
      <c r="K492" s="28"/>
      <c r="L492" s="22"/>
      <c r="M492" s="22"/>
      <c r="N492" s="28"/>
      <c r="O492" s="28"/>
      <c r="P492" s="53"/>
      <c r="Q492" s="53"/>
      <c r="R492" s="28"/>
      <c r="S492" s="53"/>
      <c r="T492" s="28"/>
      <c r="U492" s="28"/>
      <c r="V492" s="28"/>
      <c r="W492" s="28"/>
      <c r="X492" s="53"/>
      <c r="Y492" s="22"/>
      <c r="Z492" s="28"/>
      <c r="AA492" s="28"/>
      <c r="AB492" s="28"/>
      <c r="AC492" s="28"/>
      <c r="AD492" s="28"/>
      <c r="AE492" s="28"/>
      <c r="AF492" s="28"/>
      <c r="AG492" s="28"/>
    </row>
    <row r="493" spans="1:33" ht="15.75" customHeight="1">
      <c r="A493" s="28"/>
      <c r="B493" s="28"/>
      <c r="C493" s="28"/>
      <c r="D493" s="28"/>
      <c r="E493" s="28"/>
      <c r="F493" s="28"/>
      <c r="G493" s="28"/>
      <c r="H493" s="28"/>
      <c r="I493" s="22"/>
      <c r="J493" s="28"/>
      <c r="K493" s="28"/>
      <c r="L493" s="22"/>
      <c r="M493" s="22"/>
      <c r="N493" s="28"/>
      <c r="O493" s="28"/>
      <c r="P493" s="53"/>
      <c r="Q493" s="53"/>
      <c r="R493" s="28"/>
      <c r="S493" s="53"/>
      <c r="T493" s="28"/>
      <c r="U493" s="28"/>
      <c r="V493" s="28"/>
      <c r="W493" s="28"/>
      <c r="X493" s="53"/>
      <c r="Y493" s="22"/>
      <c r="Z493" s="28"/>
      <c r="AA493" s="28"/>
      <c r="AB493" s="28"/>
      <c r="AC493" s="28"/>
      <c r="AD493" s="28"/>
      <c r="AE493" s="28"/>
      <c r="AF493" s="28"/>
      <c r="AG493" s="28"/>
    </row>
    <row r="494" spans="1:33" ht="15.75" customHeight="1">
      <c r="A494" s="28"/>
      <c r="B494" s="28"/>
      <c r="C494" s="28"/>
      <c r="D494" s="28"/>
      <c r="E494" s="28"/>
      <c r="F494" s="28"/>
      <c r="G494" s="28"/>
      <c r="H494" s="28"/>
      <c r="I494" s="22"/>
      <c r="J494" s="28"/>
      <c r="K494" s="28"/>
      <c r="L494" s="22"/>
      <c r="M494" s="22"/>
      <c r="N494" s="28"/>
      <c r="O494" s="28"/>
      <c r="P494" s="53"/>
      <c r="Q494" s="53"/>
      <c r="R494" s="28"/>
      <c r="S494" s="53"/>
      <c r="T494" s="28"/>
      <c r="U494" s="28"/>
      <c r="V494" s="28"/>
      <c r="W494" s="28"/>
      <c r="X494" s="53"/>
      <c r="Y494" s="22"/>
      <c r="Z494" s="28"/>
      <c r="AA494" s="28"/>
      <c r="AB494" s="28"/>
      <c r="AC494" s="28"/>
      <c r="AD494" s="28"/>
      <c r="AE494" s="28"/>
      <c r="AF494" s="28"/>
      <c r="AG494" s="28"/>
    </row>
    <row r="495" spans="1:33" ht="15.75" customHeight="1">
      <c r="A495" s="28"/>
      <c r="B495" s="28"/>
      <c r="C495" s="28"/>
      <c r="D495" s="28"/>
      <c r="E495" s="28"/>
      <c r="F495" s="28"/>
      <c r="G495" s="28"/>
      <c r="H495" s="28"/>
      <c r="I495" s="22"/>
      <c r="J495" s="28"/>
      <c r="K495" s="28"/>
      <c r="L495" s="22"/>
      <c r="M495" s="22"/>
      <c r="N495" s="28"/>
      <c r="O495" s="28"/>
      <c r="P495" s="53"/>
      <c r="Q495" s="53"/>
      <c r="R495" s="28"/>
      <c r="S495" s="53"/>
      <c r="T495" s="28"/>
      <c r="U495" s="28"/>
      <c r="V495" s="28"/>
      <c r="W495" s="28"/>
      <c r="X495" s="53"/>
      <c r="Y495" s="22"/>
      <c r="Z495" s="28"/>
      <c r="AA495" s="28"/>
      <c r="AB495" s="28"/>
      <c r="AC495" s="28"/>
      <c r="AD495" s="28"/>
      <c r="AE495" s="28"/>
      <c r="AF495" s="28"/>
      <c r="AG495" s="28"/>
    </row>
    <row r="496" spans="1:33" ht="15.75" customHeight="1">
      <c r="A496" s="28"/>
      <c r="B496" s="28"/>
      <c r="C496" s="28"/>
      <c r="D496" s="28"/>
      <c r="E496" s="28"/>
      <c r="F496" s="28"/>
      <c r="G496" s="28"/>
      <c r="H496" s="28"/>
      <c r="I496" s="22"/>
      <c r="J496" s="28"/>
      <c r="K496" s="28"/>
      <c r="L496" s="22"/>
      <c r="M496" s="22"/>
      <c r="N496" s="28"/>
      <c r="O496" s="28"/>
      <c r="P496" s="53"/>
      <c r="Q496" s="53"/>
      <c r="R496" s="28"/>
      <c r="S496" s="53"/>
      <c r="T496" s="28"/>
      <c r="U496" s="28"/>
      <c r="V496" s="28"/>
      <c r="W496" s="28"/>
      <c r="X496" s="53"/>
      <c r="Y496" s="22"/>
      <c r="Z496" s="28"/>
      <c r="AA496" s="28"/>
      <c r="AB496" s="28"/>
      <c r="AC496" s="28"/>
      <c r="AD496" s="28"/>
      <c r="AE496" s="28"/>
      <c r="AF496" s="28"/>
      <c r="AG496" s="28"/>
    </row>
    <row r="497" spans="1:33" ht="15.75" customHeight="1">
      <c r="A497" s="28"/>
      <c r="B497" s="28"/>
      <c r="C497" s="28"/>
      <c r="D497" s="28"/>
      <c r="E497" s="28"/>
      <c r="F497" s="28"/>
      <c r="G497" s="28"/>
      <c r="H497" s="28"/>
      <c r="I497" s="22"/>
      <c r="J497" s="28"/>
      <c r="K497" s="28"/>
      <c r="L497" s="22"/>
      <c r="M497" s="22"/>
      <c r="N497" s="28"/>
      <c r="O497" s="28"/>
      <c r="P497" s="53"/>
      <c r="Q497" s="53"/>
      <c r="R497" s="28"/>
      <c r="S497" s="53"/>
      <c r="T497" s="28"/>
      <c r="U497" s="28"/>
      <c r="V497" s="28"/>
      <c r="W497" s="28"/>
      <c r="X497" s="53"/>
      <c r="Y497" s="22"/>
      <c r="Z497" s="28"/>
      <c r="AA497" s="28"/>
      <c r="AB497" s="28"/>
      <c r="AC497" s="28"/>
      <c r="AD497" s="28"/>
      <c r="AE497" s="28"/>
      <c r="AF497" s="28"/>
      <c r="AG497" s="28"/>
    </row>
    <row r="498" spans="1:33" ht="15.75" customHeight="1">
      <c r="A498" s="28"/>
      <c r="B498" s="28"/>
      <c r="C498" s="28"/>
      <c r="D498" s="28"/>
      <c r="E498" s="28"/>
      <c r="F498" s="28"/>
      <c r="G498" s="28"/>
      <c r="H498" s="28"/>
      <c r="I498" s="22"/>
      <c r="J498" s="28"/>
      <c r="K498" s="28"/>
      <c r="L498" s="22"/>
      <c r="M498" s="22"/>
      <c r="N498" s="28"/>
      <c r="O498" s="28"/>
      <c r="P498" s="53"/>
      <c r="Q498" s="53"/>
      <c r="R498" s="28"/>
      <c r="S498" s="53"/>
      <c r="T498" s="28"/>
      <c r="U498" s="28"/>
      <c r="V498" s="28"/>
      <c r="W498" s="28"/>
      <c r="X498" s="53"/>
      <c r="Y498" s="22"/>
      <c r="Z498" s="28"/>
      <c r="AA498" s="28"/>
      <c r="AB498" s="28"/>
      <c r="AC498" s="28"/>
      <c r="AD498" s="28"/>
      <c r="AE498" s="28"/>
      <c r="AF498" s="28"/>
      <c r="AG498" s="28"/>
    </row>
    <row r="499" spans="1:33" ht="15.75" customHeight="1">
      <c r="A499" s="28"/>
      <c r="B499" s="28"/>
      <c r="C499" s="28"/>
      <c r="D499" s="28"/>
      <c r="E499" s="28"/>
      <c r="F499" s="28"/>
      <c r="G499" s="28"/>
      <c r="H499" s="28"/>
      <c r="I499" s="22"/>
      <c r="J499" s="28"/>
      <c r="K499" s="28"/>
      <c r="L499" s="22"/>
      <c r="M499" s="22"/>
      <c r="N499" s="28"/>
      <c r="O499" s="28"/>
      <c r="P499" s="53"/>
      <c r="Q499" s="53"/>
      <c r="R499" s="28"/>
      <c r="S499" s="53"/>
      <c r="T499" s="28"/>
      <c r="U499" s="28"/>
      <c r="V499" s="28"/>
      <c r="W499" s="28"/>
      <c r="X499" s="53"/>
      <c r="Y499" s="22"/>
      <c r="Z499" s="28"/>
      <c r="AA499" s="28"/>
      <c r="AB499" s="28"/>
      <c r="AC499" s="28"/>
      <c r="AD499" s="28"/>
      <c r="AE499" s="28"/>
      <c r="AF499" s="28"/>
      <c r="AG499" s="28"/>
    </row>
    <row r="500" spans="1:33" ht="15.75" customHeight="1">
      <c r="A500" s="28"/>
      <c r="B500" s="28"/>
      <c r="C500" s="28"/>
      <c r="D500" s="28"/>
      <c r="E500" s="28"/>
      <c r="F500" s="28"/>
      <c r="G500" s="28"/>
      <c r="H500" s="28"/>
      <c r="I500" s="22"/>
      <c r="J500" s="28"/>
      <c r="K500" s="28"/>
      <c r="L500" s="22"/>
      <c r="M500" s="22"/>
      <c r="N500" s="28"/>
      <c r="O500" s="28"/>
      <c r="P500" s="53"/>
      <c r="Q500" s="53"/>
      <c r="R500" s="28"/>
      <c r="S500" s="53"/>
      <c r="T500" s="28"/>
      <c r="U500" s="28"/>
      <c r="V500" s="28"/>
      <c r="W500" s="28"/>
      <c r="X500" s="53"/>
      <c r="Y500" s="22"/>
      <c r="Z500" s="28"/>
      <c r="AA500" s="28"/>
      <c r="AB500" s="28"/>
      <c r="AC500" s="28"/>
      <c r="AD500" s="28"/>
      <c r="AE500" s="28"/>
      <c r="AF500" s="28"/>
      <c r="AG500" s="28"/>
    </row>
    <row r="501" spans="1:33" ht="15.75" customHeight="1">
      <c r="A501" s="28"/>
      <c r="B501" s="28"/>
      <c r="C501" s="28"/>
      <c r="D501" s="28"/>
      <c r="E501" s="28"/>
      <c r="F501" s="28"/>
      <c r="G501" s="28"/>
      <c r="H501" s="28"/>
      <c r="I501" s="22"/>
      <c r="J501" s="28"/>
      <c r="K501" s="28"/>
      <c r="L501" s="22"/>
      <c r="M501" s="22"/>
      <c r="N501" s="28"/>
      <c r="O501" s="28"/>
      <c r="P501" s="53"/>
      <c r="Q501" s="53"/>
      <c r="R501" s="28"/>
      <c r="S501" s="53"/>
      <c r="T501" s="28"/>
      <c r="U501" s="28"/>
      <c r="V501" s="28"/>
      <c r="W501" s="28"/>
      <c r="X501" s="53"/>
      <c r="Y501" s="22"/>
      <c r="Z501" s="28"/>
      <c r="AA501" s="28"/>
      <c r="AB501" s="28"/>
      <c r="AC501" s="28"/>
      <c r="AD501" s="28"/>
      <c r="AE501" s="28"/>
      <c r="AF501" s="28"/>
      <c r="AG501" s="28"/>
    </row>
    <row r="502" spans="1:33" ht="15.75" customHeight="1">
      <c r="A502" s="28"/>
      <c r="B502" s="28"/>
      <c r="C502" s="28"/>
      <c r="D502" s="28"/>
      <c r="E502" s="28"/>
      <c r="F502" s="28"/>
      <c r="G502" s="28"/>
      <c r="H502" s="28"/>
      <c r="I502" s="22"/>
      <c r="J502" s="28"/>
      <c r="K502" s="28"/>
      <c r="L502" s="22"/>
      <c r="M502" s="22"/>
      <c r="N502" s="28"/>
      <c r="O502" s="28"/>
      <c r="P502" s="53"/>
      <c r="Q502" s="53"/>
      <c r="R502" s="28"/>
      <c r="S502" s="53"/>
      <c r="T502" s="28"/>
      <c r="U502" s="28"/>
      <c r="V502" s="28"/>
      <c r="W502" s="28"/>
      <c r="X502" s="53"/>
      <c r="Y502" s="22"/>
      <c r="Z502" s="28"/>
      <c r="AA502" s="28"/>
      <c r="AB502" s="28"/>
      <c r="AC502" s="28"/>
      <c r="AD502" s="28"/>
      <c r="AE502" s="28"/>
      <c r="AF502" s="28"/>
      <c r="AG502" s="28"/>
    </row>
    <row r="503" spans="1:33" ht="15.75" customHeight="1">
      <c r="A503" s="28"/>
      <c r="B503" s="28"/>
      <c r="C503" s="28"/>
      <c r="D503" s="28"/>
      <c r="E503" s="28"/>
      <c r="F503" s="28"/>
      <c r="G503" s="28"/>
      <c r="H503" s="28"/>
      <c r="I503" s="22"/>
      <c r="J503" s="28"/>
      <c r="K503" s="28"/>
      <c r="L503" s="22"/>
      <c r="M503" s="22"/>
      <c r="N503" s="28"/>
      <c r="O503" s="28"/>
      <c r="P503" s="53"/>
      <c r="Q503" s="53"/>
      <c r="R503" s="28"/>
      <c r="S503" s="53"/>
      <c r="T503" s="28"/>
      <c r="U503" s="28"/>
      <c r="V503" s="28"/>
      <c r="W503" s="28"/>
      <c r="X503" s="53"/>
      <c r="Y503" s="22"/>
      <c r="Z503" s="28"/>
      <c r="AA503" s="28"/>
      <c r="AB503" s="28"/>
      <c r="AC503" s="28"/>
      <c r="AD503" s="28"/>
      <c r="AE503" s="28"/>
      <c r="AF503" s="28"/>
      <c r="AG503" s="28"/>
    </row>
    <row r="504" spans="1:33" ht="15.75" customHeight="1">
      <c r="A504" s="28"/>
      <c r="B504" s="28"/>
      <c r="C504" s="28"/>
      <c r="D504" s="28"/>
      <c r="E504" s="28"/>
      <c r="F504" s="28"/>
      <c r="G504" s="28"/>
      <c r="H504" s="28"/>
      <c r="I504" s="22"/>
      <c r="J504" s="28"/>
      <c r="K504" s="28"/>
      <c r="L504" s="22"/>
      <c r="M504" s="22"/>
      <c r="N504" s="28"/>
      <c r="O504" s="28"/>
      <c r="P504" s="53"/>
      <c r="Q504" s="53"/>
      <c r="R504" s="28"/>
      <c r="S504" s="53"/>
      <c r="T504" s="28"/>
      <c r="U504" s="28"/>
      <c r="V504" s="28"/>
      <c r="W504" s="28"/>
      <c r="X504" s="53"/>
      <c r="Y504" s="22"/>
      <c r="Z504" s="28"/>
      <c r="AA504" s="28"/>
      <c r="AB504" s="28"/>
      <c r="AC504" s="28"/>
      <c r="AD504" s="28"/>
      <c r="AE504" s="28"/>
      <c r="AF504" s="28"/>
      <c r="AG504" s="28"/>
    </row>
    <row r="505" spans="1:33" ht="15.75" customHeight="1">
      <c r="A505" s="28"/>
      <c r="B505" s="28"/>
      <c r="C505" s="28"/>
      <c r="D505" s="28"/>
      <c r="E505" s="28"/>
      <c r="F505" s="28"/>
      <c r="G505" s="28"/>
      <c r="H505" s="28"/>
      <c r="I505" s="22"/>
      <c r="J505" s="28"/>
      <c r="K505" s="28"/>
      <c r="L505" s="22"/>
      <c r="M505" s="22"/>
      <c r="N505" s="28"/>
      <c r="O505" s="28"/>
      <c r="P505" s="53"/>
      <c r="Q505" s="53"/>
      <c r="R505" s="28"/>
      <c r="S505" s="53"/>
      <c r="T505" s="28"/>
      <c r="U505" s="28"/>
      <c r="V505" s="28"/>
      <c r="W505" s="28"/>
      <c r="X505" s="53"/>
      <c r="Y505" s="22"/>
      <c r="Z505" s="28"/>
      <c r="AA505" s="28"/>
      <c r="AB505" s="28"/>
      <c r="AC505" s="28"/>
      <c r="AD505" s="28"/>
      <c r="AE505" s="28"/>
      <c r="AF505" s="28"/>
      <c r="AG505" s="28"/>
    </row>
    <row r="506" spans="1:33" ht="15.75" customHeight="1">
      <c r="A506" s="28"/>
      <c r="B506" s="28"/>
      <c r="C506" s="28"/>
      <c r="D506" s="28"/>
      <c r="E506" s="28"/>
      <c r="F506" s="28"/>
      <c r="G506" s="28"/>
      <c r="H506" s="28"/>
      <c r="I506" s="22"/>
      <c r="J506" s="28"/>
      <c r="K506" s="28"/>
      <c r="L506" s="22"/>
      <c r="M506" s="22"/>
      <c r="N506" s="28"/>
      <c r="O506" s="28"/>
      <c r="P506" s="53"/>
      <c r="Q506" s="53"/>
      <c r="R506" s="28"/>
      <c r="S506" s="53"/>
      <c r="T506" s="28"/>
      <c r="U506" s="28"/>
      <c r="V506" s="28"/>
      <c r="W506" s="28"/>
      <c r="X506" s="53"/>
      <c r="Y506" s="22"/>
      <c r="Z506" s="28"/>
      <c r="AA506" s="28"/>
      <c r="AB506" s="28"/>
      <c r="AC506" s="28"/>
      <c r="AD506" s="28"/>
      <c r="AE506" s="28"/>
      <c r="AF506" s="28"/>
      <c r="AG506" s="28"/>
    </row>
    <row r="507" spans="1:33" ht="15.75" customHeight="1">
      <c r="A507" s="28"/>
      <c r="B507" s="28"/>
      <c r="C507" s="28"/>
      <c r="D507" s="28"/>
      <c r="E507" s="28"/>
      <c r="F507" s="28"/>
      <c r="G507" s="28"/>
      <c r="H507" s="28"/>
      <c r="I507" s="22"/>
      <c r="J507" s="28"/>
      <c r="K507" s="28"/>
      <c r="L507" s="22"/>
      <c r="M507" s="22"/>
      <c r="N507" s="28"/>
      <c r="O507" s="28"/>
      <c r="P507" s="53"/>
      <c r="Q507" s="53"/>
      <c r="R507" s="28"/>
      <c r="S507" s="53"/>
      <c r="T507" s="28"/>
      <c r="U507" s="28"/>
      <c r="V507" s="28"/>
      <c r="W507" s="28"/>
      <c r="X507" s="53"/>
      <c r="Y507" s="22"/>
      <c r="Z507" s="28"/>
      <c r="AA507" s="28"/>
      <c r="AB507" s="28"/>
      <c r="AC507" s="28"/>
      <c r="AD507" s="28"/>
      <c r="AE507" s="28"/>
      <c r="AF507" s="28"/>
      <c r="AG507" s="28"/>
    </row>
    <row r="508" spans="1:33" ht="15.75" customHeight="1">
      <c r="A508" s="28"/>
      <c r="B508" s="28"/>
      <c r="C508" s="28"/>
      <c r="D508" s="28"/>
      <c r="E508" s="28"/>
      <c r="F508" s="28"/>
      <c r="G508" s="28"/>
      <c r="H508" s="28"/>
      <c r="I508" s="22"/>
      <c r="J508" s="28"/>
      <c r="K508" s="28"/>
      <c r="L508" s="22"/>
      <c r="M508" s="22"/>
      <c r="N508" s="28"/>
      <c r="O508" s="28"/>
      <c r="P508" s="53"/>
      <c r="Q508" s="53"/>
      <c r="R508" s="28"/>
      <c r="S508" s="53"/>
      <c r="T508" s="28"/>
      <c r="U508" s="28"/>
      <c r="V508" s="28"/>
      <c r="W508" s="28"/>
      <c r="X508" s="53"/>
      <c r="Y508" s="22"/>
      <c r="Z508" s="28"/>
      <c r="AA508" s="28"/>
      <c r="AB508" s="28"/>
      <c r="AC508" s="28"/>
      <c r="AD508" s="28"/>
      <c r="AE508" s="28"/>
      <c r="AF508" s="28"/>
      <c r="AG508" s="28"/>
    </row>
    <row r="509" spans="1:33" ht="15.75" customHeight="1">
      <c r="A509" s="28"/>
      <c r="B509" s="28"/>
      <c r="C509" s="28"/>
      <c r="D509" s="28"/>
      <c r="E509" s="28"/>
      <c r="F509" s="28"/>
      <c r="G509" s="28"/>
      <c r="H509" s="28"/>
      <c r="I509" s="22"/>
      <c r="J509" s="28"/>
      <c r="K509" s="28"/>
      <c r="L509" s="22"/>
      <c r="M509" s="22"/>
      <c r="N509" s="28"/>
      <c r="O509" s="28"/>
      <c r="P509" s="53"/>
      <c r="Q509" s="53"/>
      <c r="R509" s="28"/>
      <c r="S509" s="53"/>
      <c r="T509" s="28"/>
      <c r="U509" s="28"/>
      <c r="V509" s="28"/>
      <c r="W509" s="28"/>
      <c r="X509" s="53"/>
      <c r="Y509" s="22"/>
      <c r="Z509" s="28"/>
      <c r="AA509" s="28"/>
      <c r="AB509" s="28"/>
      <c r="AC509" s="28"/>
      <c r="AD509" s="28"/>
      <c r="AE509" s="28"/>
      <c r="AF509" s="28"/>
      <c r="AG509" s="28"/>
    </row>
    <row r="510" spans="1:33" ht="15.75" customHeight="1">
      <c r="A510" s="28"/>
      <c r="B510" s="28"/>
      <c r="C510" s="28"/>
      <c r="D510" s="28"/>
      <c r="E510" s="28"/>
      <c r="F510" s="28"/>
      <c r="G510" s="28"/>
      <c r="H510" s="28"/>
      <c r="I510" s="22"/>
      <c r="J510" s="28"/>
      <c r="K510" s="28"/>
      <c r="L510" s="22"/>
      <c r="M510" s="22"/>
      <c r="N510" s="28"/>
      <c r="O510" s="28"/>
      <c r="P510" s="53"/>
      <c r="Q510" s="53"/>
      <c r="R510" s="28"/>
      <c r="S510" s="53"/>
      <c r="T510" s="28"/>
      <c r="U510" s="28"/>
      <c r="V510" s="28"/>
      <c r="W510" s="28"/>
      <c r="X510" s="53"/>
      <c r="Y510" s="22"/>
      <c r="Z510" s="28"/>
      <c r="AA510" s="28"/>
      <c r="AB510" s="28"/>
      <c r="AC510" s="28"/>
      <c r="AD510" s="28"/>
      <c r="AE510" s="28"/>
      <c r="AF510" s="28"/>
      <c r="AG510" s="28"/>
    </row>
    <row r="511" spans="1:33" ht="15.75" customHeight="1">
      <c r="A511" s="28"/>
      <c r="B511" s="28"/>
      <c r="C511" s="28"/>
      <c r="D511" s="28"/>
      <c r="E511" s="28"/>
      <c r="F511" s="28"/>
      <c r="G511" s="28"/>
      <c r="H511" s="28"/>
      <c r="I511" s="22"/>
      <c r="J511" s="28"/>
      <c r="K511" s="28"/>
      <c r="L511" s="22"/>
      <c r="M511" s="22"/>
      <c r="N511" s="28"/>
      <c r="O511" s="28"/>
      <c r="P511" s="53"/>
      <c r="Q511" s="53"/>
      <c r="R511" s="28"/>
      <c r="S511" s="53"/>
      <c r="T511" s="28"/>
      <c r="U511" s="28"/>
      <c r="V511" s="28"/>
      <c r="W511" s="28"/>
      <c r="X511" s="53"/>
      <c r="Y511" s="22"/>
      <c r="Z511" s="28"/>
      <c r="AA511" s="28"/>
      <c r="AB511" s="28"/>
      <c r="AC511" s="28"/>
      <c r="AD511" s="28"/>
      <c r="AE511" s="28"/>
      <c r="AF511" s="28"/>
      <c r="AG511" s="28"/>
    </row>
    <row r="512" spans="1:33" ht="15.75" customHeight="1">
      <c r="A512" s="28"/>
      <c r="B512" s="28"/>
      <c r="C512" s="28"/>
      <c r="D512" s="28"/>
      <c r="E512" s="28"/>
      <c r="F512" s="28"/>
      <c r="G512" s="28"/>
      <c r="H512" s="28"/>
      <c r="I512" s="22"/>
      <c r="J512" s="28"/>
      <c r="K512" s="28"/>
      <c r="L512" s="22"/>
      <c r="M512" s="22"/>
      <c r="N512" s="28"/>
      <c r="O512" s="28"/>
      <c r="P512" s="53"/>
      <c r="Q512" s="53"/>
      <c r="R512" s="28"/>
      <c r="S512" s="53"/>
      <c r="T512" s="28"/>
      <c r="U512" s="28"/>
      <c r="V512" s="28"/>
      <c r="W512" s="28"/>
      <c r="X512" s="53"/>
      <c r="Y512" s="22"/>
      <c r="Z512" s="28"/>
      <c r="AA512" s="28"/>
      <c r="AB512" s="28"/>
      <c r="AC512" s="28"/>
      <c r="AD512" s="28"/>
      <c r="AE512" s="28"/>
      <c r="AF512" s="28"/>
      <c r="AG512" s="28"/>
    </row>
    <row r="513" spans="1:33" ht="15.75" customHeight="1">
      <c r="A513" s="28"/>
      <c r="B513" s="28"/>
      <c r="C513" s="28"/>
      <c r="D513" s="28"/>
      <c r="E513" s="28"/>
      <c r="F513" s="28"/>
      <c r="G513" s="28"/>
      <c r="H513" s="28"/>
      <c r="I513" s="22"/>
      <c r="J513" s="28"/>
      <c r="K513" s="28"/>
      <c r="L513" s="22"/>
      <c r="M513" s="22"/>
      <c r="N513" s="28"/>
      <c r="O513" s="28"/>
      <c r="P513" s="53"/>
      <c r="Q513" s="53"/>
      <c r="R513" s="28"/>
      <c r="S513" s="53"/>
      <c r="T513" s="28"/>
      <c r="U513" s="28"/>
      <c r="V513" s="28"/>
      <c r="W513" s="28"/>
      <c r="X513" s="53"/>
      <c r="Y513" s="22"/>
      <c r="Z513" s="28"/>
      <c r="AA513" s="28"/>
      <c r="AB513" s="28"/>
      <c r="AC513" s="28"/>
      <c r="AD513" s="28"/>
      <c r="AE513" s="28"/>
      <c r="AF513" s="28"/>
      <c r="AG513" s="28"/>
    </row>
    <row r="514" spans="1:33" ht="15.75" customHeight="1">
      <c r="A514" s="28"/>
      <c r="B514" s="28"/>
      <c r="C514" s="28"/>
      <c r="D514" s="28"/>
      <c r="E514" s="28"/>
      <c r="F514" s="28"/>
      <c r="G514" s="28"/>
      <c r="H514" s="28"/>
      <c r="I514" s="22"/>
      <c r="J514" s="28"/>
      <c r="K514" s="28"/>
      <c r="L514" s="22"/>
      <c r="M514" s="22"/>
      <c r="N514" s="28"/>
      <c r="O514" s="28"/>
      <c r="P514" s="53"/>
      <c r="Q514" s="53"/>
      <c r="R514" s="28"/>
      <c r="S514" s="53"/>
      <c r="T514" s="28"/>
      <c r="U514" s="28"/>
      <c r="V514" s="28"/>
      <c r="W514" s="28"/>
      <c r="X514" s="53"/>
      <c r="Y514" s="22"/>
      <c r="Z514" s="28"/>
      <c r="AA514" s="28"/>
      <c r="AB514" s="28"/>
      <c r="AC514" s="28"/>
      <c r="AD514" s="28"/>
      <c r="AE514" s="28"/>
      <c r="AF514" s="28"/>
      <c r="AG514" s="28"/>
    </row>
    <row r="515" spans="1:33" ht="15.75" customHeight="1">
      <c r="A515" s="28"/>
      <c r="B515" s="28"/>
      <c r="C515" s="28"/>
      <c r="D515" s="28"/>
      <c r="E515" s="28"/>
      <c r="F515" s="28"/>
      <c r="G515" s="28"/>
      <c r="H515" s="28"/>
      <c r="I515" s="22"/>
      <c r="J515" s="28"/>
      <c r="K515" s="28"/>
      <c r="L515" s="22"/>
      <c r="M515" s="22"/>
      <c r="N515" s="28"/>
      <c r="O515" s="28"/>
      <c r="P515" s="53"/>
      <c r="Q515" s="53"/>
      <c r="R515" s="28"/>
      <c r="S515" s="53"/>
      <c r="T515" s="28"/>
      <c r="U515" s="28"/>
      <c r="V515" s="28"/>
      <c r="W515" s="28"/>
      <c r="X515" s="53"/>
      <c r="Y515" s="22"/>
      <c r="Z515" s="28"/>
      <c r="AA515" s="28"/>
      <c r="AB515" s="28"/>
      <c r="AC515" s="28"/>
      <c r="AD515" s="28"/>
      <c r="AE515" s="28"/>
      <c r="AF515" s="28"/>
      <c r="AG515" s="28"/>
    </row>
    <row r="516" spans="1:33" ht="15.75" customHeight="1">
      <c r="A516" s="28"/>
      <c r="B516" s="28"/>
      <c r="C516" s="28"/>
      <c r="D516" s="28"/>
      <c r="E516" s="28"/>
      <c r="F516" s="28"/>
      <c r="G516" s="28"/>
      <c r="H516" s="28"/>
      <c r="I516" s="22"/>
      <c r="J516" s="28"/>
      <c r="K516" s="28"/>
      <c r="L516" s="22"/>
      <c r="M516" s="22"/>
      <c r="N516" s="28"/>
      <c r="O516" s="28"/>
      <c r="P516" s="53"/>
      <c r="Q516" s="53"/>
      <c r="R516" s="28"/>
      <c r="S516" s="53"/>
      <c r="T516" s="28"/>
      <c r="U516" s="28"/>
      <c r="V516" s="28"/>
      <c r="W516" s="28"/>
      <c r="X516" s="53"/>
      <c r="Y516" s="22"/>
      <c r="Z516" s="28"/>
      <c r="AA516" s="28"/>
      <c r="AB516" s="28"/>
      <c r="AC516" s="28"/>
      <c r="AD516" s="28"/>
      <c r="AE516" s="28"/>
      <c r="AF516" s="28"/>
      <c r="AG516" s="28"/>
    </row>
    <row r="517" spans="1:33" ht="15.75" customHeight="1">
      <c r="A517" s="28"/>
      <c r="B517" s="28"/>
      <c r="C517" s="28"/>
      <c r="D517" s="28"/>
      <c r="E517" s="28"/>
      <c r="F517" s="28"/>
      <c r="G517" s="28"/>
      <c r="H517" s="28"/>
      <c r="I517" s="22"/>
      <c r="J517" s="28"/>
      <c r="K517" s="28"/>
      <c r="L517" s="22"/>
      <c r="M517" s="22"/>
      <c r="N517" s="28"/>
      <c r="O517" s="28"/>
      <c r="P517" s="53"/>
      <c r="Q517" s="53"/>
      <c r="R517" s="28"/>
      <c r="S517" s="53"/>
      <c r="T517" s="28"/>
      <c r="U517" s="28"/>
      <c r="V517" s="28"/>
      <c r="W517" s="28"/>
      <c r="X517" s="53"/>
      <c r="Y517" s="22"/>
      <c r="Z517" s="28"/>
      <c r="AA517" s="28"/>
      <c r="AB517" s="28"/>
      <c r="AC517" s="28"/>
      <c r="AD517" s="28"/>
      <c r="AE517" s="28"/>
      <c r="AF517" s="28"/>
      <c r="AG517" s="28"/>
    </row>
    <row r="518" spans="1:33" ht="15.75" customHeight="1">
      <c r="A518" s="28"/>
      <c r="B518" s="28"/>
      <c r="C518" s="28"/>
      <c r="D518" s="28"/>
      <c r="E518" s="28"/>
      <c r="F518" s="28"/>
      <c r="G518" s="28"/>
      <c r="H518" s="28"/>
      <c r="I518" s="22"/>
      <c r="J518" s="28"/>
      <c r="K518" s="28"/>
      <c r="L518" s="22"/>
      <c r="M518" s="22"/>
      <c r="N518" s="28"/>
      <c r="O518" s="28"/>
      <c r="P518" s="53"/>
      <c r="Q518" s="53"/>
      <c r="R518" s="28"/>
      <c r="S518" s="53"/>
      <c r="T518" s="28"/>
      <c r="U518" s="28"/>
      <c r="V518" s="28"/>
      <c r="W518" s="28"/>
      <c r="X518" s="53"/>
      <c r="Y518" s="22"/>
      <c r="Z518" s="28"/>
      <c r="AA518" s="28"/>
      <c r="AB518" s="28"/>
      <c r="AC518" s="28"/>
      <c r="AD518" s="28"/>
      <c r="AE518" s="28"/>
      <c r="AF518" s="28"/>
      <c r="AG518" s="28"/>
    </row>
    <row r="519" spans="1:33" ht="15.75" customHeight="1">
      <c r="A519" s="28"/>
      <c r="B519" s="28"/>
      <c r="C519" s="28"/>
      <c r="D519" s="28"/>
      <c r="E519" s="28"/>
      <c r="F519" s="28"/>
      <c r="G519" s="28"/>
      <c r="H519" s="28"/>
      <c r="I519" s="22"/>
      <c r="J519" s="28"/>
      <c r="K519" s="28"/>
      <c r="L519" s="22"/>
      <c r="M519" s="22"/>
      <c r="N519" s="28"/>
      <c r="O519" s="28"/>
      <c r="P519" s="53"/>
      <c r="Q519" s="53"/>
      <c r="R519" s="28"/>
      <c r="S519" s="53"/>
      <c r="T519" s="28"/>
      <c r="U519" s="28"/>
      <c r="V519" s="28"/>
      <c r="W519" s="28"/>
      <c r="X519" s="53"/>
      <c r="Y519" s="22"/>
      <c r="Z519" s="28"/>
      <c r="AA519" s="28"/>
      <c r="AB519" s="28"/>
      <c r="AC519" s="28"/>
      <c r="AD519" s="28"/>
      <c r="AE519" s="28"/>
      <c r="AF519" s="28"/>
      <c r="AG519" s="28"/>
    </row>
    <row r="520" spans="1:33" ht="15.75" customHeight="1">
      <c r="A520" s="28"/>
      <c r="B520" s="28"/>
      <c r="C520" s="28"/>
      <c r="D520" s="28"/>
      <c r="E520" s="28"/>
      <c r="F520" s="28"/>
      <c r="G520" s="28"/>
      <c r="H520" s="28"/>
      <c r="I520" s="22"/>
      <c r="J520" s="28"/>
      <c r="K520" s="28"/>
      <c r="L520" s="22"/>
      <c r="M520" s="22"/>
      <c r="N520" s="28"/>
      <c r="O520" s="28"/>
      <c r="P520" s="53"/>
      <c r="Q520" s="53"/>
      <c r="R520" s="28"/>
      <c r="S520" s="53"/>
      <c r="T520" s="28"/>
      <c r="U520" s="28"/>
      <c r="V520" s="28"/>
      <c r="W520" s="28"/>
      <c r="X520" s="53"/>
      <c r="Y520" s="22"/>
      <c r="Z520" s="28"/>
      <c r="AA520" s="28"/>
      <c r="AB520" s="28"/>
      <c r="AC520" s="28"/>
      <c r="AD520" s="28"/>
      <c r="AE520" s="28"/>
      <c r="AF520" s="28"/>
      <c r="AG520" s="28"/>
    </row>
    <row r="521" spans="1:33" ht="15.75" customHeight="1">
      <c r="A521" s="28"/>
      <c r="B521" s="28"/>
      <c r="C521" s="28"/>
      <c r="D521" s="28"/>
      <c r="E521" s="28"/>
      <c r="F521" s="28"/>
      <c r="G521" s="28"/>
      <c r="H521" s="28"/>
      <c r="I521" s="22"/>
      <c r="J521" s="28"/>
      <c r="K521" s="28"/>
      <c r="L521" s="22"/>
      <c r="M521" s="22"/>
      <c r="N521" s="28"/>
      <c r="O521" s="28"/>
      <c r="P521" s="53"/>
      <c r="Q521" s="53"/>
      <c r="R521" s="28"/>
      <c r="S521" s="53"/>
      <c r="T521" s="28"/>
      <c r="U521" s="28"/>
      <c r="V521" s="28"/>
      <c r="W521" s="28"/>
      <c r="X521" s="53"/>
      <c r="Y521" s="22"/>
      <c r="Z521" s="28"/>
      <c r="AA521" s="28"/>
      <c r="AB521" s="28"/>
      <c r="AC521" s="28"/>
      <c r="AD521" s="28"/>
      <c r="AE521" s="28"/>
      <c r="AF521" s="28"/>
      <c r="AG521" s="28"/>
    </row>
    <row r="522" spans="1:33" ht="15.75" customHeight="1">
      <c r="A522" s="28"/>
      <c r="B522" s="28"/>
      <c r="C522" s="28"/>
      <c r="D522" s="28"/>
      <c r="E522" s="28"/>
      <c r="F522" s="28"/>
      <c r="G522" s="28"/>
      <c r="H522" s="28"/>
      <c r="I522" s="22"/>
      <c r="J522" s="28"/>
      <c r="K522" s="28"/>
      <c r="L522" s="22"/>
      <c r="M522" s="22"/>
      <c r="N522" s="28"/>
      <c r="O522" s="28"/>
      <c r="P522" s="53"/>
      <c r="Q522" s="53"/>
      <c r="R522" s="28"/>
      <c r="S522" s="53"/>
      <c r="T522" s="28"/>
      <c r="U522" s="28"/>
      <c r="V522" s="28"/>
      <c r="W522" s="28"/>
      <c r="X522" s="53"/>
      <c r="Y522" s="22"/>
      <c r="Z522" s="28"/>
      <c r="AA522" s="28"/>
      <c r="AB522" s="28"/>
      <c r="AC522" s="28"/>
      <c r="AD522" s="28"/>
      <c r="AE522" s="28"/>
      <c r="AF522" s="28"/>
      <c r="AG522" s="28"/>
    </row>
    <row r="523" spans="1:33" ht="15.75" customHeight="1">
      <c r="A523" s="28"/>
      <c r="B523" s="28"/>
      <c r="C523" s="28"/>
      <c r="D523" s="28"/>
      <c r="E523" s="28"/>
      <c r="F523" s="28"/>
      <c r="G523" s="28"/>
      <c r="H523" s="28"/>
      <c r="I523" s="22"/>
      <c r="J523" s="28"/>
      <c r="K523" s="28"/>
      <c r="L523" s="22"/>
      <c r="M523" s="22"/>
      <c r="N523" s="28"/>
      <c r="O523" s="28"/>
      <c r="P523" s="53"/>
      <c r="Q523" s="53"/>
      <c r="R523" s="28"/>
      <c r="S523" s="53"/>
      <c r="T523" s="28"/>
      <c r="U523" s="28"/>
      <c r="V523" s="28"/>
      <c r="W523" s="28"/>
      <c r="X523" s="53"/>
      <c r="Y523" s="22"/>
      <c r="Z523" s="28"/>
      <c r="AA523" s="28"/>
      <c r="AB523" s="28"/>
      <c r="AC523" s="28"/>
      <c r="AD523" s="28"/>
      <c r="AE523" s="28"/>
      <c r="AF523" s="28"/>
      <c r="AG523" s="28"/>
    </row>
    <row r="524" spans="1:33" ht="15.75" customHeight="1">
      <c r="A524" s="28"/>
      <c r="B524" s="28"/>
      <c r="C524" s="28"/>
      <c r="D524" s="28"/>
      <c r="E524" s="28"/>
      <c r="F524" s="28"/>
      <c r="G524" s="28"/>
      <c r="H524" s="28"/>
      <c r="I524" s="22"/>
      <c r="J524" s="28"/>
      <c r="K524" s="28"/>
      <c r="L524" s="22"/>
      <c r="M524" s="22"/>
      <c r="N524" s="28"/>
      <c r="O524" s="28"/>
      <c r="P524" s="53"/>
      <c r="Q524" s="53"/>
      <c r="R524" s="28"/>
      <c r="S524" s="53"/>
      <c r="T524" s="28"/>
      <c r="U524" s="28"/>
      <c r="V524" s="28"/>
      <c r="W524" s="28"/>
      <c r="X524" s="53"/>
      <c r="Y524" s="22"/>
      <c r="Z524" s="28"/>
      <c r="AA524" s="28"/>
      <c r="AB524" s="28"/>
      <c r="AC524" s="28"/>
      <c r="AD524" s="28"/>
      <c r="AE524" s="28"/>
      <c r="AF524" s="28"/>
      <c r="AG524" s="28"/>
    </row>
    <row r="525" spans="1:33" ht="15.75" customHeight="1">
      <c r="A525" s="28"/>
      <c r="B525" s="28"/>
      <c r="C525" s="28"/>
      <c r="D525" s="28"/>
      <c r="E525" s="28"/>
      <c r="F525" s="28"/>
      <c r="G525" s="28"/>
      <c r="H525" s="28"/>
      <c r="I525" s="22"/>
      <c r="J525" s="28"/>
      <c r="K525" s="28"/>
      <c r="L525" s="22"/>
      <c r="M525" s="22"/>
      <c r="N525" s="28"/>
      <c r="O525" s="28"/>
      <c r="P525" s="53"/>
      <c r="Q525" s="53"/>
      <c r="R525" s="28"/>
      <c r="S525" s="53"/>
      <c r="T525" s="28"/>
      <c r="U525" s="28"/>
      <c r="V525" s="28"/>
      <c r="W525" s="28"/>
      <c r="X525" s="53"/>
      <c r="Y525" s="22"/>
      <c r="Z525" s="28"/>
      <c r="AA525" s="28"/>
      <c r="AB525" s="28"/>
      <c r="AC525" s="28"/>
      <c r="AD525" s="28"/>
      <c r="AE525" s="28"/>
      <c r="AF525" s="28"/>
      <c r="AG525" s="28"/>
    </row>
    <row r="526" spans="1:33" ht="15.75" customHeight="1">
      <c r="A526" s="28"/>
      <c r="B526" s="28"/>
      <c r="C526" s="28"/>
      <c r="D526" s="28"/>
      <c r="E526" s="28"/>
      <c r="F526" s="28"/>
      <c r="G526" s="28"/>
      <c r="H526" s="28"/>
      <c r="I526" s="22"/>
      <c r="J526" s="28"/>
      <c r="K526" s="28"/>
      <c r="L526" s="22"/>
      <c r="M526" s="22"/>
      <c r="N526" s="28"/>
      <c r="O526" s="28"/>
      <c r="P526" s="53"/>
      <c r="Q526" s="53"/>
      <c r="R526" s="28"/>
      <c r="S526" s="53"/>
      <c r="T526" s="28"/>
      <c r="U526" s="28"/>
      <c r="V526" s="28"/>
      <c r="W526" s="28"/>
      <c r="X526" s="53"/>
      <c r="Y526" s="22"/>
      <c r="Z526" s="28"/>
      <c r="AA526" s="28"/>
      <c r="AB526" s="28"/>
      <c r="AC526" s="28"/>
      <c r="AD526" s="28"/>
      <c r="AE526" s="28"/>
      <c r="AF526" s="28"/>
      <c r="AG526" s="28"/>
    </row>
    <row r="527" spans="1:33" ht="15.75" customHeight="1">
      <c r="A527" s="28"/>
      <c r="B527" s="28"/>
      <c r="C527" s="28"/>
      <c r="D527" s="28"/>
      <c r="E527" s="28"/>
      <c r="F527" s="28"/>
      <c r="G527" s="28"/>
      <c r="H527" s="28"/>
      <c r="I527" s="22"/>
      <c r="J527" s="28"/>
      <c r="K527" s="28"/>
      <c r="L527" s="22"/>
      <c r="M527" s="22"/>
      <c r="N527" s="28"/>
      <c r="O527" s="28"/>
      <c r="P527" s="53"/>
      <c r="Q527" s="53"/>
      <c r="R527" s="28"/>
      <c r="S527" s="53"/>
      <c r="T527" s="28"/>
      <c r="U527" s="28"/>
      <c r="V527" s="28"/>
      <c r="W527" s="28"/>
      <c r="X527" s="53"/>
      <c r="Y527" s="22"/>
      <c r="Z527" s="28"/>
      <c r="AA527" s="28"/>
      <c r="AB527" s="28"/>
      <c r="AC527" s="28"/>
      <c r="AD527" s="28"/>
      <c r="AE527" s="28"/>
      <c r="AF527" s="28"/>
      <c r="AG527" s="28"/>
    </row>
    <row r="528" spans="1:33" ht="15.75" customHeight="1">
      <c r="A528" s="28"/>
      <c r="B528" s="28"/>
      <c r="C528" s="28"/>
      <c r="D528" s="28"/>
      <c r="E528" s="28"/>
      <c r="F528" s="28"/>
      <c r="G528" s="28"/>
      <c r="H528" s="28"/>
      <c r="I528" s="22"/>
      <c r="J528" s="28"/>
      <c r="K528" s="28"/>
      <c r="L528" s="22"/>
      <c r="M528" s="22"/>
      <c r="N528" s="28"/>
      <c r="O528" s="28"/>
      <c r="P528" s="53"/>
      <c r="Q528" s="53"/>
      <c r="R528" s="28"/>
      <c r="S528" s="53"/>
      <c r="T528" s="28"/>
      <c r="U528" s="28"/>
      <c r="V528" s="28"/>
      <c r="W528" s="28"/>
      <c r="X528" s="53"/>
      <c r="Y528" s="22"/>
      <c r="Z528" s="28"/>
      <c r="AA528" s="28"/>
      <c r="AB528" s="28"/>
      <c r="AC528" s="28"/>
      <c r="AD528" s="28"/>
      <c r="AE528" s="28"/>
      <c r="AF528" s="28"/>
      <c r="AG528" s="28"/>
    </row>
    <row r="529" spans="1:33" ht="15.75" customHeight="1">
      <c r="A529" s="28"/>
      <c r="B529" s="28"/>
      <c r="C529" s="28"/>
      <c r="D529" s="28"/>
      <c r="E529" s="28"/>
      <c r="F529" s="28"/>
      <c r="G529" s="28"/>
      <c r="H529" s="28"/>
      <c r="I529" s="22"/>
      <c r="J529" s="28"/>
      <c r="K529" s="28"/>
      <c r="L529" s="22"/>
      <c r="M529" s="22"/>
      <c r="N529" s="28"/>
      <c r="O529" s="28"/>
      <c r="P529" s="53"/>
      <c r="Q529" s="53"/>
      <c r="R529" s="28"/>
      <c r="S529" s="53"/>
      <c r="T529" s="28"/>
      <c r="U529" s="28"/>
      <c r="V529" s="28"/>
      <c r="W529" s="28"/>
      <c r="X529" s="53"/>
      <c r="Y529" s="22"/>
      <c r="Z529" s="28"/>
      <c r="AA529" s="28"/>
      <c r="AB529" s="28"/>
      <c r="AC529" s="28"/>
      <c r="AD529" s="28"/>
      <c r="AE529" s="28"/>
      <c r="AF529" s="28"/>
      <c r="AG529" s="28"/>
    </row>
    <row r="530" spans="1:33" ht="15.75" customHeight="1">
      <c r="A530" s="28"/>
      <c r="B530" s="28"/>
      <c r="C530" s="28"/>
      <c r="D530" s="28"/>
      <c r="E530" s="28"/>
      <c r="F530" s="28"/>
      <c r="G530" s="28"/>
      <c r="H530" s="28"/>
      <c r="I530" s="22"/>
      <c r="J530" s="28"/>
      <c r="K530" s="28"/>
      <c r="L530" s="22"/>
      <c r="M530" s="22"/>
      <c r="N530" s="28"/>
      <c r="O530" s="28"/>
      <c r="P530" s="53"/>
      <c r="Q530" s="53"/>
      <c r="R530" s="28"/>
      <c r="S530" s="53"/>
      <c r="T530" s="28"/>
      <c r="U530" s="28"/>
      <c r="V530" s="28"/>
      <c r="W530" s="28"/>
      <c r="X530" s="53"/>
      <c r="Y530" s="22"/>
      <c r="Z530" s="28"/>
      <c r="AA530" s="28"/>
      <c r="AB530" s="28"/>
      <c r="AC530" s="28"/>
      <c r="AD530" s="28"/>
      <c r="AE530" s="28"/>
      <c r="AF530" s="28"/>
      <c r="AG530" s="28"/>
    </row>
    <row r="531" spans="1:33" ht="15.75" customHeight="1">
      <c r="A531" s="28"/>
      <c r="B531" s="28"/>
      <c r="C531" s="28"/>
      <c r="D531" s="28"/>
      <c r="E531" s="28"/>
      <c r="F531" s="28"/>
      <c r="G531" s="28"/>
      <c r="H531" s="28"/>
      <c r="I531" s="22"/>
      <c r="J531" s="28"/>
      <c r="K531" s="28"/>
      <c r="L531" s="22"/>
      <c r="M531" s="22"/>
      <c r="N531" s="28"/>
      <c r="O531" s="28"/>
      <c r="P531" s="53"/>
      <c r="Q531" s="53"/>
      <c r="R531" s="28"/>
      <c r="S531" s="53"/>
      <c r="T531" s="28"/>
      <c r="U531" s="28"/>
      <c r="V531" s="28"/>
      <c r="W531" s="28"/>
      <c r="X531" s="53"/>
      <c r="Y531" s="22"/>
      <c r="Z531" s="28"/>
      <c r="AA531" s="28"/>
      <c r="AB531" s="28"/>
      <c r="AC531" s="28"/>
      <c r="AD531" s="28"/>
      <c r="AE531" s="28"/>
      <c r="AF531" s="28"/>
      <c r="AG531" s="28"/>
    </row>
    <row r="532" spans="1:33" ht="15.75" customHeight="1">
      <c r="A532" s="28"/>
      <c r="B532" s="28"/>
      <c r="C532" s="28"/>
      <c r="D532" s="28"/>
      <c r="E532" s="28"/>
      <c r="F532" s="28"/>
      <c r="G532" s="28"/>
      <c r="H532" s="28"/>
      <c r="I532" s="22"/>
      <c r="J532" s="28"/>
      <c r="K532" s="28"/>
      <c r="L532" s="22"/>
      <c r="M532" s="22"/>
      <c r="N532" s="28"/>
      <c r="O532" s="28"/>
      <c r="P532" s="53"/>
      <c r="Q532" s="53"/>
      <c r="R532" s="28"/>
      <c r="S532" s="53"/>
      <c r="T532" s="28"/>
      <c r="U532" s="28"/>
      <c r="V532" s="28"/>
      <c r="W532" s="28"/>
      <c r="X532" s="53"/>
      <c r="Y532" s="22"/>
      <c r="Z532" s="28"/>
      <c r="AA532" s="28"/>
      <c r="AB532" s="28"/>
      <c r="AC532" s="28"/>
      <c r="AD532" s="28"/>
      <c r="AE532" s="28"/>
      <c r="AF532" s="28"/>
      <c r="AG532" s="28"/>
    </row>
    <row r="533" spans="1:33" ht="15.75" customHeight="1">
      <c r="A533" s="28"/>
      <c r="B533" s="28"/>
      <c r="C533" s="28"/>
      <c r="D533" s="28"/>
      <c r="E533" s="28"/>
      <c r="F533" s="28"/>
      <c r="G533" s="28"/>
      <c r="H533" s="28"/>
      <c r="I533" s="22"/>
      <c r="J533" s="28"/>
      <c r="K533" s="28"/>
      <c r="L533" s="22"/>
      <c r="M533" s="22"/>
      <c r="N533" s="28"/>
      <c r="O533" s="28"/>
      <c r="P533" s="53"/>
      <c r="Q533" s="53"/>
      <c r="R533" s="28"/>
      <c r="S533" s="53"/>
      <c r="T533" s="28"/>
      <c r="U533" s="28"/>
      <c r="V533" s="28"/>
      <c r="W533" s="28"/>
      <c r="X533" s="53"/>
      <c r="Y533" s="22"/>
      <c r="Z533" s="28"/>
      <c r="AA533" s="28"/>
      <c r="AB533" s="28"/>
      <c r="AC533" s="28"/>
      <c r="AD533" s="28"/>
      <c r="AE533" s="28"/>
      <c r="AF533" s="28"/>
      <c r="AG533" s="28"/>
    </row>
    <row r="534" spans="1:33" ht="15.75" customHeight="1">
      <c r="A534" s="28"/>
      <c r="B534" s="28"/>
      <c r="C534" s="28"/>
      <c r="D534" s="28"/>
      <c r="E534" s="28"/>
      <c r="F534" s="28"/>
      <c r="G534" s="28"/>
      <c r="H534" s="28"/>
      <c r="I534" s="22"/>
      <c r="J534" s="28"/>
      <c r="K534" s="28"/>
      <c r="L534" s="22"/>
      <c r="M534" s="22"/>
      <c r="N534" s="28"/>
      <c r="O534" s="28"/>
      <c r="P534" s="53"/>
      <c r="Q534" s="53"/>
      <c r="R534" s="28"/>
      <c r="S534" s="53"/>
      <c r="T534" s="28"/>
      <c r="U534" s="28"/>
      <c r="V534" s="28"/>
      <c r="W534" s="28"/>
      <c r="X534" s="53"/>
      <c r="Y534" s="22"/>
      <c r="Z534" s="28"/>
      <c r="AA534" s="28"/>
      <c r="AB534" s="28"/>
      <c r="AC534" s="28"/>
      <c r="AD534" s="28"/>
      <c r="AE534" s="28"/>
      <c r="AF534" s="28"/>
      <c r="AG534" s="28"/>
    </row>
    <row r="535" spans="1:33" ht="15.75" customHeight="1">
      <c r="A535" s="28"/>
      <c r="B535" s="28"/>
      <c r="C535" s="28"/>
      <c r="D535" s="28"/>
      <c r="E535" s="28"/>
      <c r="F535" s="28"/>
      <c r="G535" s="28"/>
      <c r="H535" s="28"/>
      <c r="I535" s="22"/>
      <c r="J535" s="28"/>
      <c r="K535" s="28"/>
      <c r="L535" s="22"/>
      <c r="M535" s="22"/>
      <c r="N535" s="28"/>
      <c r="O535" s="28"/>
      <c r="P535" s="53"/>
      <c r="Q535" s="53"/>
      <c r="R535" s="28"/>
      <c r="S535" s="53"/>
      <c r="T535" s="28"/>
      <c r="U535" s="28"/>
      <c r="V535" s="28"/>
      <c r="W535" s="28"/>
      <c r="X535" s="53"/>
      <c r="Y535" s="22"/>
      <c r="Z535" s="28"/>
      <c r="AA535" s="28"/>
      <c r="AB535" s="28"/>
      <c r="AC535" s="28"/>
      <c r="AD535" s="28"/>
      <c r="AE535" s="28"/>
      <c r="AF535" s="28"/>
      <c r="AG535" s="28"/>
    </row>
    <row r="536" spans="1:33" ht="15.75" customHeight="1">
      <c r="A536" s="28"/>
      <c r="B536" s="28"/>
      <c r="C536" s="28"/>
      <c r="D536" s="28"/>
      <c r="E536" s="28"/>
      <c r="F536" s="28"/>
      <c r="G536" s="28"/>
      <c r="H536" s="28"/>
      <c r="I536" s="22"/>
      <c r="J536" s="28"/>
      <c r="K536" s="28"/>
      <c r="L536" s="22"/>
      <c r="M536" s="22"/>
      <c r="N536" s="28"/>
      <c r="O536" s="28"/>
      <c r="P536" s="53"/>
      <c r="Q536" s="53"/>
      <c r="R536" s="28"/>
      <c r="S536" s="53"/>
      <c r="T536" s="28"/>
      <c r="U536" s="28"/>
      <c r="V536" s="28"/>
      <c r="W536" s="28"/>
      <c r="X536" s="53"/>
      <c r="Y536" s="22"/>
      <c r="Z536" s="28"/>
      <c r="AA536" s="28"/>
      <c r="AB536" s="28"/>
      <c r="AC536" s="28"/>
      <c r="AD536" s="28"/>
      <c r="AE536" s="28"/>
      <c r="AF536" s="28"/>
      <c r="AG536" s="28"/>
    </row>
    <row r="537" spans="1:33" ht="15.75" customHeight="1">
      <c r="A537" s="28"/>
      <c r="B537" s="28"/>
      <c r="C537" s="28"/>
      <c r="D537" s="28"/>
      <c r="E537" s="28"/>
      <c r="F537" s="28"/>
      <c r="G537" s="28"/>
      <c r="H537" s="28"/>
      <c r="I537" s="22"/>
      <c r="J537" s="28"/>
      <c r="K537" s="28"/>
      <c r="L537" s="22"/>
      <c r="M537" s="22"/>
      <c r="N537" s="28"/>
      <c r="O537" s="28"/>
      <c r="P537" s="53"/>
      <c r="Q537" s="53"/>
      <c r="R537" s="28"/>
      <c r="S537" s="53"/>
      <c r="T537" s="28"/>
      <c r="U537" s="28"/>
      <c r="V537" s="28"/>
      <c r="W537" s="28"/>
      <c r="X537" s="53"/>
      <c r="Y537" s="22"/>
      <c r="Z537" s="28"/>
      <c r="AA537" s="28"/>
      <c r="AB537" s="28"/>
      <c r="AC537" s="28"/>
      <c r="AD537" s="28"/>
      <c r="AE537" s="28"/>
      <c r="AF537" s="28"/>
      <c r="AG537" s="28"/>
    </row>
    <row r="538" spans="1:33" ht="15.75" customHeight="1">
      <c r="A538" s="28"/>
      <c r="B538" s="28"/>
      <c r="C538" s="28"/>
      <c r="D538" s="28"/>
      <c r="E538" s="28"/>
      <c r="F538" s="28"/>
      <c r="G538" s="28"/>
      <c r="H538" s="28"/>
      <c r="I538" s="22"/>
      <c r="J538" s="28"/>
      <c r="K538" s="28"/>
      <c r="L538" s="22"/>
      <c r="M538" s="22"/>
      <c r="N538" s="28"/>
      <c r="O538" s="28"/>
      <c r="P538" s="53"/>
      <c r="Q538" s="53"/>
      <c r="R538" s="28"/>
      <c r="S538" s="53"/>
      <c r="T538" s="28"/>
      <c r="U538" s="28"/>
      <c r="V538" s="28"/>
      <c r="W538" s="28"/>
      <c r="X538" s="53"/>
      <c r="Y538" s="22"/>
      <c r="Z538" s="28"/>
      <c r="AA538" s="28"/>
      <c r="AB538" s="28"/>
      <c r="AC538" s="28"/>
      <c r="AD538" s="28"/>
      <c r="AE538" s="28"/>
      <c r="AF538" s="28"/>
      <c r="AG538" s="28"/>
    </row>
    <row r="539" spans="1:33" ht="15.75" customHeight="1">
      <c r="A539" s="28"/>
      <c r="B539" s="28"/>
      <c r="C539" s="28"/>
      <c r="D539" s="28"/>
      <c r="E539" s="28"/>
      <c r="F539" s="28"/>
      <c r="G539" s="28"/>
      <c r="H539" s="28"/>
      <c r="I539" s="22"/>
      <c r="J539" s="28"/>
      <c r="K539" s="28"/>
      <c r="L539" s="22"/>
      <c r="M539" s="22"/>
      <c r="N539" s="28"/>
      <c r="O539" s="28"/>
      <c r="P539" s="53"/>
      <c r="Q539" s="53"/>
      <c r="R539" s="28"/>
      <c r="S539" s="53"/>
      <c r="T539" s="28"/>
      <c r="U539" s="28"/>
      <c r="V539" s="28"/>
      <c r="W539" s="28"/>
      <c r="X539" s="53"/>
      <c r="Y539" s="22"/>
      <c r="Z539" s="28"/>
      <c r="AA539" s="28"/>
      <c r="AB539" s="28"/>
      <c r="AC539" s="28"/>
      <c r="AD539" s="28"/>
      <c r="AE539" s="28"/>
      <c r="AF539" s="28"/>
      <c r="AG539" s="28"/>
    </row>
    <row r="540" spans="1:33" ht="15.75" customHeight="1">
      <c r="A540" s="28"/>
      <c r="B540" s="28"/>
      <c r="C540" s="28"/>
      <c r="D540" s="28"/>
      <c r="E540" s="28"/>
      <c r="F540" s="28"/>
      <c r="G540" s="28"/>
      <c r="H540" s="28"/>
      <c r="I540" s="22"/>
      <c r="J540" s="28"/>
      <c r="K540" s="28"/>
      <c r="L540" s="22"/>
      <c r="M540" s="22"/>
      <c r="N540" s="28"/>
      <c r="O540" s="28"/>
      <c r="P540" s="53"/>
      <c r="Q540" s="53"/>
      <c r="R540" s="28"/>
      <c r="S540" s="53"/>
      <c r="T540" s="28"/>
      <c r="U540" s="28"/>
      <c r="V540" s="28"/>
      <c r="W540" s="28"/>
      <c r="X540" s="53"/>
      <c r="Y540" s="22"/>
      <c r="Z540" s="28"/>
      <c r="AA540" s="28"/>
      <c r="AB540" s="28"/>
      <c r="AC540" s="28"/>
      <c r="AD540" s="28"/>
      <c r="AE540" s="28"/>
      <c r="AF540" s="28"/>
      <c r="AG540" s="28"/>
    </row>
    <row r="541" spans="1:33" ht="15.75" customHeight="1">
      <c r="A541" s="28"/>
      <c r="B541" s="28"/>
      <c r="C541" s="28"/>
      <c r="D541" s="28"/>
      <c r="E541" s="28"/>
      <c r="F541" s="28"/>
      <c r="G541" s="28"/>
      <c r="H541" s="28"/>
      <c r="I541" s="22"/>
      <c r="J541" s="28"/>
      <c r="K541" s="28"/>
      <c r="L541" s="22"/>
      <c r="M541" s="22"/>
      <c r="N541" s="28"/>
      <c r="O541" s="28"/>
      <c r="P541" s="53"/>
      <c r="Q541" s="53"/>
      <c r="R541" s="28"/>
      <c r="S541" s="53"/>
      <c r="T541" s="28"/>
      <c r="U541" s="28"/>
      <c r="V541" s="28"/>
      <c r="W541" s="28"/>
      <c r="X541" s="53"/>
      <c r="Y541" s="22"/>
      <c r="Z541" s="28"/>
      <c r="AA541" s="28"/>
      <c r="AB541" s="28"/>
      <c r="AC541" s="28"/>
      <c r="AD541" s="28"/>
      <c r="AE541" s="28"/>
      <c r="AF541" s="28"/>
      <c r="AG541" s="28"/>
    </row>
    <row r="542" spans="1:33" ht="15.75" customHeight="1">
      <c r="A542" s="28"/>
      <c r="B542" s="28"/>
      <c r="C542" s="28"/>
      <c r="D542" s="28"/>
      <c r="E542" s="28"/>
      <c r="F542" s="28"/>
      <c r="G542" s="28"/>
      <c r="H542" s="28"/>
      <c r="I542" s="22"/>
      <c r="J542" s="28"/>
      <c r="K542" s="28"/>
      <c r="L542" s="22"/>
      <c r="M542" s="22"/>
      <c r="N542" s="28"/>
      <c r="O542" s="28"/>
      <c r="P542" s="53"/>
      <c r="Q542" s="53"/>
      <c r="R542" s="28"/>
      <c r="S542" s="53"/>
      <c r="T542" s="28"/>
      <c r="U542" s="28"/>
      <c r="V542" s="28"/>
      <c r="W542" s="28"/>
      <c r="X542" s="53"/>
      <c r="Y542" s="22"/>
      <c r="Z542" s="28"/>
      <c r="AA542" s="28"/>
      <c r="AB542" s="28"/>
      <c r="AC542" s="28"/>
      <c r="AD542" s="28"/>
      <c r="AE542" s="28"/>
      <c r="AF542" s="28"/>
      <c r="AG542" s="28"/>
    </row>
    <row r="543" spans="1:33" ht="15.75" customHeight="1">
      <c r="A543" s="28"/>
      <c r="B543" s="28"/>
      <c r="C543" s="28"/>
      <c r="D543" s="28"/>
      <c r="E543" s="28"/>
      <c r="F543" s="28"/>
      <c r="G543" s="28"/>
      <c r="H543" s="28"/>
      <c r="I543" s="22"/>
      <c r="J543" s="28"/>
      <c r="K543" s="28"/>
      <c r="L543" s="22"/>
      <c r="M543" s="22"/>
      <c r="N543" s="28"/>
      <c r="O543" s="28"/>
      <c r="P543" s="53"/>
      <c r="Q543" s="53"/>
      <c r="R543" s="28"/>
      <c r="S543" s="53"/>
      <c r="T543" s="28"/>
      <c r="U543" s="28"/>
      <c r="V543" s="28"/>
      <c r="W543" s="28"/>
      <c r="X543" s="53"/>
      <c r="Y543" s="22"/>
      <c r="Z543" s="28"/>
      <c r="AA543" s="28"/>
      <c r="AB543" s="28"/>
      <c r="AC543" s="28"/>
      <c r="AD543" s="28"/>
      <c r="AE543" s="28"/>
      <c r="AF543" s="28"/>
      <c r="AG543" s="28"/>
    </row>
    <row r="544" spans="1:33" ht="15.75" customHeight="1">
      <c r="A544" s="28"/>
      <c r="B544" s="28"/>
      <c r="C544" s="28"/>
      <c r="D544" s="28"/>
      <c r="E544" s="28"/>
      <c r="F544" s="28"/>
      <c r="G544" s="28"/>
      <c r="H544" s="28"/>
      <c r="I544" s="22"/>
      <c r="J544" s="28"/>
      <c r="K544" s="28"/>
      <c r="L544" s="22"/>
      <c r="M544" s="22"/>
      <c r="N544" s="28"/>
      <c r="O544" s="28"/>
      <c r="P544" s="53"/>
      <c r="Q544" s="53"/>
      <c r="R544" s="28"/>
      <c r="S544" s="53"/>
      <c r="T544" s="28"/>
      <c r="U544" s="28"/>
      <c r="V544" s="28"/>
      <c r="W544" s="28"/>
      <c r="X544" s="53"/>
      <c r="Y544" s="22"/>
      <c r="Z544" s="28"/>
      <c r="AA544" s="28"/>
      <c r="AB544" s="28"/>
      <c r="AC544" s="28"/>
      <c r="AD544" s="28"/>
      <c r="AE544" s="28"/>
      <c r="AF544" s="28"/>
      <c r="AG544" s="28"/>
    </row>
    <row r="545" spans="1:33" ht="15.75" customHeight="1">
      <c r="A545" s="28"/>
      <c r="B545" s="28"/>
      <c r="C545" s="28"/>
      <c r="D545" s="28"/>
      <c r="E545" s="28"/>
      <c r="F545" s="28"/>
      <c r="G545" s="28"/>
      <c r="H545" s="28"/>
      <c r="I545" s="22"/>
      <c r="J545" s="28"/>
      <c r="K545" s="28"/>
      <c r="L545" s="22"/>
      <c r="M545" s="22"/>
      <c r="N545" s="28"/>
      <c r="O545" s="28"/>
      <c r="P545" s="53"/>
      <c r="Q545" s="53"/>
      <c r="R545" s="28"/>
      <c r="S545" s="53"/>
      <c r="T545" s="28"/>
      <c r="U545" s="28"/>
      <c r="V545" s="28"/>
      <c r="W545" s="28"/>
      <c r="X545" s="53"/>
      <c r="Y545" s="22"/>
      <c r="Z545" s="28"/>
      <c r="AA545" s="28"/>
      <c r="AB545" s="28"/>
      <c r="AC545" s="28"/>
      <c r="AD545" s="28"/>
      <c r="AE545" s="28"/>
      <c r="AF545" s="28"/>
      <c r="AG545" s="28"/>
    </row>
    <row r="546" spans="1:33" ht="15.75" customHeight="1">
      <c r="A546" s="28"/>
      <c r="B546" s="28"/>
      <c r="C546" s="28"/>
      <c r="D546" s="28"/>
      <c r="E546" s="28"/>
      <c r="F546" s="28"/>
      <c r="G546" s="28"/>
      <c r="H546" s="28"/>
      <c r="I546" s="22"/>
      <c r="J546" s="28"/>
      <c r="K546" s="28"/>
      <c r="L546" s="22"/>
      <c r="M546" s="22"/>
      <c r="N546" s="28"/>
      <c r="O546" s="28"/>
      <c r="P546" s="53"/>
      <c r="Q546" s="53"/>
      <c r="R546" s="28"/>
      <c r="S546" s="53"/>
      <c r="T546" s="28"/>
      <c r="U546" s="28"/>
      <c r="V546" s="28"/>
      <c r="W546" s="28"/>
      <c r="X546" s="53"/>
      <c r="Y546" s="22"/>
      <c r="Z546" s="28"/>
      <c r="AA546" s="28"/>
      <c r="AB546" s="28"/>
      <c r="AC546" s="28"/>
      <c r="AD546" s="28"/>
      <c r="AE546" s="28"/>
      <c r="AF546" s="28"/>
      <c r="AG546" s="28"/>
    </row>
    <row r="547" spans="1:33" ht="15.75" customHeight="1">
      <c r="A547" s="28"/>
      <c r="B547" s="28"/>
      <c r="C547" s="28"/>
      <c r="D547" s="28"/>
      <c r="E547" s="28"/>
      <c r="F547" s="28"/>
      <c r="G547" s="28"/>
      <c r="H547" s="28"/>
      <c r="I547" s="22"/>
      <c r="J547" s="28"/>
      <c r="K547" s="28"/>
      <c r="L547" s="22"/>
      <c r="M547" s="22"/>
      <c r="N547" s="28"/>
      <c r="O547" s="28"/>
      <c r="P547" s="53"/>
      <c r="Q547" s="53"/>
      <c r="R547" s="28"/>
      <c r="S547" s="53"/>
      <c r="T547" s="28"/>
      <c r="U547" s="28"/>
      <c r="V547" s="28"/>
      <c r="W547" s="28"/>
      <c r="X547" s="53"/>
      <c r="Y547" s="22"/>
      <c r="Z547" s="28"/>
      <c r="AA547" s="28"/>
      <c r="AB547" s="28"/>
      <c r="AC547" s="28"/>
      <c r="AD547" s="28"/>
      <c r="AE547" s="28"/>
      <c r="AF547" s="28"/>
      <c r="AG547" s="28"/>
    </row>
    <row r="548" spans="1:33" ht="15.75" customHeight="1">
      <c r="A548" s="28"/>
      <c r="B548" s="28"/>
      <c r="C548" s="28"/>
      <c r="D548" s="28"/>
      <c r="E548" s="28"/>
      <c r="F548" s="28"/>
      <c r="G548" s="28"/>
      <c r="H548" s="28"/>
      <c r="I548" s="22"/>
      <c r="J548" s="28"/>
      <c r="K548" s="28"/>
      <c r="L548" s="22"/>
      <c r="M548" s="22"/>
      <c r="N548" s="28"/>
      <c r="O548" s="28"/>
      <c r="P548" s="53"/>
      <c r="Q548" s="53"/>
      <c r="R548" s="28"/>
      <c r="S548" s="53"/>
      <c r="T548" s="28"/>
      <c r="U548" s="28"/>
      <c r="V548" s="28"/>
      <c r="W548" s="28"/>
      <c r="X548" s="53"/>
      <c r="Y548" s="22"/>
      <c r="Z548" s="28"/>
      <c r="AA548" s="28"/>
      <c r="AB548" s="28"/>
      <c r="AC548" s="28"/>
      <c r="AD548" s="28"/>
      <c r="AE548" s="28"/>
      <c r="AF548" s="28"/>
      <c r="AG548" s="28"/>
    </row>
    <row r="549" spans="1:33" ht="15.75" customHeight="1">
      <c r="A549" s="28"/>
      <c r="B549" s="28"/>
      <c r="C549" s="28"/>
      <c r="D549" s="28"/>
      <c r="E549" s="28"/>
      <c r="F549" s="28"/>
      <c r="G549" s="28"/>
      <c r="H549" s="28"/>
      <c r="I549" s="22"/>
      <c r="J549" s="28"/>
      <c r="K549" s="28"/>
      <c r="L549" s="22"/>
      <c r="M549" s="22"/>
      <c r="N549" s="28"/>
      <c r="O549" s="28"/>
      <c r="P549" s="53"/>
      <c r="Q549" s="53"/>
      <c r="R549" s="28"/>
      <c r="S549" s="53"/>
      <c r="T549" s="28"/>
      <c r="U549" s="28"/>
      <c r="V549" s="28"/>
      <c r="W549" s="28"/>
      <c r="X549" s="53"/>
      <c r="Y549" s="22"/>
      <c r="Z549" s="28"/>
      <c r="AA549" s="28"/>
      <c r="AB549" s="28"/>
      <c r="AC549" s="28"/>
      <c r="AD549" s="28"/>
      <c r="AE549" s="28"/>
      <c r="AF549" s="28"/>
      <c r="AG549" s="28"/>
    </row>
    <row r="550" spans="1:33" ht="15.75" customHeight="1">
      <c r="A550" s="28"/>
      <c r="B550" s="28"/>
      <c r="C550" s="28"/>
      <c r="D550" s="28"/>
      <c r="E550" s="28"/>
      <c r="F550" s="28"/>
      <c r="G550" s="28"/>
      <c r="H550" s="28"/>
      <c r="I550" s="22"/>
      <c r="J550" s="28"/>
      <c r="K550" s="28"/>
      <c r="L550" s="22"/>
      <c r="M550" s="22"/>
      <c r="N550" s="28"/>
      <c r="O550" s="28"/>
      <c r="P550" s="53"/>
      <c r="Q550" s="53"/>
      <c r="R550" s="28"/>
      <c r="S550" s="53"/>
      <c r="T550" s="28"/>
      <c r="U550" s="28"/>
      <c r="V550" s="28"/>
      <c r="W550" s="28"/>
      <c r="X550" s="53"/>
      <c r="Y550" s="22"/>
      <c r="Z550" s="28"/>
      <c r="AA550" s="28"/>
      <c r="AB550" s="28"/>
      <c r="AC550" s="28"/>
      <c r="AD550" s="28"/>
      <c r="AE550" s="28"/>
      <c r="AF550" s="28"/>
      <c r="AG550" s="28"/>
    </row>
    <row r="551" spans="1:33" ht="15.75" customHeight="1">
      <c r="A551" s="28"/>
      <c r="B551" s="28"/>
      <c r="C551" s="28"/>
      <c r="D551" s="28"/>
      <c r="E551" s="28"/>
      <c r="F551" s="28"/>
      <c r="G551" s="28"/>
      <c r="H551" s="28"/>
      <c r="I551" s="22"/>
      <c r="J551" s="28"/>
      <c r="K551" s="28"/>
      <c r="L551" s="22"/>
      <c r="M551" s="22"/>
      <c r="N551" s="28"/>
      <c r="O551" s="28"/>
      <c r="P551" s="53"/>
      <c r="Q551" s="53"/>
      <c r="R551" s="28"/>
      <c r="S551" s="53"/>
      <c r="T551" s="28"/>
      <c r="U551" s="28"/>
      <c r="V551" s="28"/>
      <c r="W551" s="28"/>
      <c r="X551" s="53"/>
      <c r="Y551" s="22"/>
      <c r="Z551" s="28"/>
      <c r="AA551" s="28"/>
      <c r="AB551" s="28"/>
      <c r="AC551" s="28"/>
      <c r="AD551" s="28"/>
      <c r="AE551" s="28"/>
      <c r="AF551" s="28"/>
      <c r="AG551" s="28"/>
    </row>
    <row r="552" spans="1:33" ht="15.75" customHeight="1">
      <c r="A552" s="28"/>
      <c r="B552" s="28"/>
      <c r="C552" s="28"/>
      <c r="D552" s="28"/>
      <c r="E552" s="28"/>
      <c r="F552" s="28"/>
      <c r="G552" s="28"/>
      <c r="H552" s="28"/>
      <c r="I552" s="22"/>
      <c r="J552" s="28"/>
      <c r="K552" s="28"/>
      <c r="L552" s="22"/>
      <c r="M552" s="22"/>
      <c r="N552" s="28"/>
      <c r="O552" s="28"/>
      <c r="P552" s="53"/>
      <c r="Q552" s="53"/>
      <c r="R552" s="28"/>
      <c r="S552" s="53"/>
      <c r="T552" s="28"/>
      <c r="U552" s="28"/>
      <c r="V552" s="28"/>
      <c r="W552" s="28"/>
      <c r="X552" s="53"/>
      <c r="Y552" s="22"/>
      <c r="Z552" s="28"/>
      <c r="AA552" s="28"/>
      <c r="AB552" s="28"/>
      <c r="AC552" s="28"/>
      <c r="AD552" s="28"/>
      <c r="AE552" s="28"/>
      <c r="AF552" s="28"/>
      <c r="AG552" s="28"/>
    </row>
    <row r="553" spans="1:33" ht="15.75" customHeight="1">
      <c r="A553" s="28"/>
      <c r="B553" s="28"/>
      <c r="C553" s="28"/>
      <c r="D553" s="28"/>
      <c r="E553" s="28"/>
      <c r="F553" s="28"/>
      <c r="G553" s="28"/>
      <c r="H553" s="28"/>
      <c r="I553" s="22"/>
      <c r="J553" s="28"/>
      <c r="K553" s="28"/>
      <c r="L553" s="22"/>
      <c r="M553" s="22"/>
      <c r="N553" s="28"/>
      <c r="O553" s="28"/>
      <c r="P553" s="53"/>
      <c r="Q553" s="53"/>
      <c r="R553" s="28"/>
      <c r="S553" s="53"/>
      <c r="T553" s="28"/>
      <c r="U553" s="28"/>
      <c r="V553" s="28"/>
      <c r="W553" s="28"/>
      <c r="X553" s="53"/>
      <c r="Y553" s="22"/>
      <c r="Z553" s="28"/>
      <c r="AA553" s="28"/>
      <c r="AB553" s="28"/>
      <c r="AC553" s="28"/>
      <c r="AD553" s="28"/>
      <c r="AE553" s="28"/>
      <c r="AF553" s="28"/>
      <c r="AG553" s="28"/>
    </row>
    <row r="554" spans="1:33" ht="15.75" customHeight="1">
      <c r="A554" s="28"/>
      <c r="B554" s="28"/>
      <c r="C554" s="28"/>
      <c r="D554" s="28"/>
      <c r="E554" s="28"/>
      <c r="F554" s="28"/>
      <c r="G554" s="28"/>
      <c r="H554" s="28"/>
      <c r="I554" s="22"/>
      <c r="J554" s="28"/>
      <c r="K554" s="28"/>
      <c r="L554" s="22"/>
      <c r="M554" s="22"/>
      <c r="N554" s="28"/>
      <c r="O554" s="28"/>
      <c r="P554" s="53"/>
      <c r="Q554" s="53"/>
      <c r="R554" s="28"/>
      <c r="S554" s="53"/>
      <c r="T554" s="28"/>
      <c r="U554" s="28"/>
      <c r="V554" s="28"/>
      <c r="W554" s="28"/>
      <c r="X554" s="53"/>
      <c r="Y554" s="22"/>
      <c r="Z554" s="28"/>
      <c r="AA554" s="28"/>
      <c r="AB554" s="28"/>
      <c r="AC554" s="28"/>
      <c r="AD554" s="28"/>
      <c r="AE554" s="28"/>
      <c r="AF554" s="28"/>
      <c r="AG554" s="28"/>
    </row>
    <row r="555" spans="1:33" ht="15.75" customHeight="1">
      <c r="A555" s="28"/>
      <c r="B555" s="28"/>
      <c r="C555" s="28"/>
      <c r="D555" s="28"/>
      <c r="E555" s="28"/>
      <c r="F555" s="28"/>
      <c r="G555" s="28"/>
      <c r="H555" s="28"/>
      <c r="I555" s="22"/>
      <c r="J555" s="28"/>
      <c r="K555" s="28"/>
      <c r="L555" s="22"/>
      <c r="M555" s="22"/>
      <c r="N555" s="28"/>
      <c r="O555" s="28"/>
      <c r="P555" s="53"/>
      <c r="Q555" s="53"/>
      <c r="R555" s="28"/>
      <c r="S555" s="53"/>
      <c r="T555" s="28"/>
      <c r="U555" s="28"/>
      <c r="V555" s="28"/>
      <c r="W555" s="28"/>
      <c r="X555" s="53"/>
      <c r="Y555" s="22"/>
      <c r="Z555" s="28"/>
      <c r="AA555" s="28"/>
      <c r="AB555" s="28"/>
      <c r="AC555" s="28"/>
      <c r="AD555" s="28"/>
      <c r="AE555" s="28"/>
      <c r="AF555" s="28"/>
      <c r="AG555" s="28"/>
    </row>
    <row r="556" spans="1:33" ht="15.75" customHeight="1">
      <c r="A556" s="28"/>
      <c r="B556" s="28"/>
      <c r="C556" s="28"/>
      <c r="D556" s="28"/>
      <c r="E556" s="28"/>
      <c r="F556" s="28"/>
      <c r="G556" s="28"/>
      <c r="H556" s="28"/>
      <c r="I556" s="22"/>
      <c r="J556" s="28"/>
      <c r="K556" s="28"/>
      <c r="L556" s="22"/>
      <c r="M556" s="22"/>
      <c r="N556" s="28"/>
      <c r="O556" s="28"/>
      <c r="P556" s="53"/>
      <c r="Q556" s="53"/>
      <c r="R556" s="28"/>
      <c r="S556" s="53"/>
      <c r="T556" s="28"/>
      <c r="U556" s="28"/>
      <c r="V556" s="28"/>
      <c r="W556" s="28"/>
      <c r="X556" s="53"/>
      <c r="Y556" s="22"/>
      <c r="Z556" s="28"/>
      <c r="AA556" s="28"/>
      <c r="AB556" s="28"/>
      <c r="AC556" s="28"/>
      <c r="AD556" s="28"/>
      <c r="AE556" s="28"/>
      <c r="AF556" s="28"/>
      <c r="AG556" s="28"/>
    </row>
    <row r="557" spans="1:33" ht="15.75" customHeight="1">
      <c r="A557" s="28"/>
      <c r="B557" s="28"/>
      <c r="C557" s="28"/>
      <c r="D557" s="28"/>
      <c r="E557" s="28"/>
      <c r="F557" s="28"/>
      <c r="G557" s="28"/>
      <c r="H557" s="28"/>
      <c r="I557" s="22"/>
      <c r="J557" s="28"/>
      <c r="K557" s="28"/>
      <c r="L557" s="22"/>
      <c r="M557" s="22"/>
      <c r="N557" s="28"/>
      <c r="O557" s="28"/>
      <c r="P557" s="53"/>
      <c r="Q557" s="53"/>
      <c r="R557" s="28"/>
      <c r="S557" s="53"/>
      <c r="T557" s="28"/>
      <c r="U557" s="28"/>
      <c r="V557" s="28"/>
      <c r="W557" s="28"/>
      <c r="X557" s="53"/>
      <c r="Y557" s="22"/>
      <c r="Z557" s="28"/>
      <c r="AA557" s="28"/>
      <c r="AB557" s="28"/>
      <c r="AC557" s="28"/>
      <c r="AD557" s="28"/>
      <c r="AE557" s="28"/>
      <c r="AF557" s="28"/>
      <c r="AG557" s="28"/>
    </row>
    <row r="558" spans="1:33" ht="15.75" customHeight="1">
      <c r="A558" s="28"/>
      <c r="B558" s="28"/>
      <c r="C558" s="28"/>
      <c r="D558" s="28"/>
      <c r="E558" s="28"/>
      <c r="F558" s="28"/>
      <c r="G558" s="28"/>
      <c r="H558" s="28"/>
      <c r="I558" s="22"/>
      <c r="J558" s="28"/>
      <c r="K558" s="28"/>
      <c r="L558" s="22"/>
      <c r="M558" s="22"/>
      <c r="N558" s="28"/>
      <c r="O558" s="28"/>
      <c r="P558" s="53"/>
      <c r="Q558" s="53"/>
      <c r="R558" s="28"/>
      <c r="S558" s="53"/>
      <c r="T558" s="28"/>
      <c r="U558" s="28"/>
      <c r="V558" s="28"/>
      <c r="W558" s="28"/>
      <c r="X558" s="53"/>
      <c r="Y558" s="22"/>
      <c r="Z558" s="28"/>
      <c r="AA558" s="28"/>
      <c r="AB558" s="28"/>
      <c r="AC558" s="28"/>
      <c r="AD558" s="28"/>
      <c r="AE558" s="28"/>
      <c r="AF558" s="28"/>
      <c r="AG558" s="28"/>
    </row>
    <row r="559" spans="1:33" ht="15.75" customHeight="1">
      <c r="A559" s="28"/>
      <c r="B559" s="28"/>
      <c r="C559" s="28"/>
      <c r="D559" s="28"/>
      <c r="E559" s="28"/>
      <c r="F559" s="28"/>
      <c r="G559" s="28"/>
      <c r="H559" s="28"/>
      <c r="I559" s="22"/>
      <c r="J559" s="28"/>
      <c r="K559" s="28"/>
      <c r="L559" s="22"/>
      <c r="M559" s="22"/>
      <c r="N559" s="28"/>
      <c r="O559" s="28"/>
      <c r="P559" s="53"/>
      <c r="Q559" s="53"/>
      <c r="R559" s="28"/>
      <c r="S559" s="53"/>
      <c r="T559" s="28"/>
      <c r="U559" s="28"/>
      <c r="V559" s="28"/>
      <c r="W559" s="28"/>
      <c r="X559" s="53"/>
      <c r="Y559" s="22"/>
      <c r="Z559" s="28"/>
      <c r="AA559" s="28"/>
      <c r="AB559" s="28"/>
      <c r="AC559" s="28"/>
      <c r="AD559" s="28"/>
      <c r="AE559" s="28"/>
      <c r="AF559" s="28"/>
      <c r="AG559" s="28"/>
    </row>
    <row r="560" spans="1:33" ht="15.75" customHeight="1">
      <c r="A560" s="28"/>
      <c r="B560" s="28"/>
      <c r="C560" s="28"/>
      <c r="D560" s="28"/>
      <c r="E560" s="28"/>
      <c r="F560" s="28"/>
      <c r="G560" s="28"/>
      <c r="H560" s="28"/>
      <c r="I560" s="22"/>
      <c r="J560" s="28"/>
      <c r="K560" s="28"/>
      <c r="L560" s="22"/>
      <c r="M560" s="22"/>
      <c r="N560" s="28"/>
      <c r="O560" s="28"/>
      <c r="P560" s="53"/>
      <c r="Q560" s="53"/>
      <c r="R560" s="28"/>
      <c r="S560" s="53"/>
      <c r="T560" s="28"/>
      <c r="U560" s="28"/>
      <c r="V560" s="28"/>
      <c r="W560" s="28"/>
      <c r="X560" s="53"/>
      <c r="Y560" s="22"/>
      <c r="Z560" s="28"/>
      <c r="AA560" s="28"/>
      <c r="AB560" s="28"/>
      <c r="AC560" s="28"/>
      <c r="AD560" s="28"/>
      <c r="AE560" s="28"/>
      <c r="AF560" s="28"/>
      <c r="AG560" s="28"/>
    </row>
    <row r="561" spans="1:33" ht="15.75" customHeight="1">
      <c r="A561" s="28"/>
      <c r="B561" s="28"/>
      <c r="C561" s="28"/>
      <c r="D561" s="28"/>
      <c r="E561" s="28"/>
      <c r="F561" s="28"/>
      <c r="G561" s="28"/>
      <c r="H561" s="28"/>
      <c r="I561" s="22"/>
      <c r="J561" s="28"/>
      <c r="K561" s="28"/>
      <c r="L561" s="22"/>
      <c r="M561" s="22"/>
      <c r="N561" s="28"/>
      <c r="O561" s="28"/>
      <c r="P561" s="53"/>
      <c r="Q561" s="53"/>
      <c r="R561" s="28"/>
      <c r="S561" s="53"/>
      <c r="T561" s="28"/>
      <c r="U561" s="28"/>
      <c r="V561" s="28"/>
      <c r="W561" s="28"/>
      <c r="X561" s="53"/>
      <c r="Y561" s="22"/>
      <c r="Z561" s="28"/>
      <c r="AA561" s="28"/>
      <c r="AB561" s="28"/>
      <c r="AC561" s="28"/>
      <c r="AD561" s="28"/>
      <c r="AE561" s="28"/>
      <c r="AF561" s="28"/>
      <c r="AG561" s="28"/>
    </row>
    <row r="562" spans="1:33" ht="15.75" customHeight="1">
      <c r="A562" s="28"/>
      <c r="B562" s="28"/>
      <c r="C562" s="28"/>
      <c r="D562" s="28"/>
      <c r="E562" s="28"/>
      <c r="F562" s="28"/>
      <c r="G562" s="28"/>
      <c r="H562" s="28"/>
      <c r="I562" s="22"/>
      <c r="J562" s="28"/>
      <c r="K562" s="28"/>
      <c r="L562" s="22"/>
      <c r="M562" s="22"/>
      <c r="N562" s="28"/>
      <c r="O562" s="28"/>
      <c r="P562" s="53"/>
      <c r="Q562" s="53"/>
      <c r="R562" s="28"/>
      <c r="S562" s="53"/>
      <c r="T562" s="28"/>
      <c r="U562" s="28"/>
      <c r="V562" s="28"/>
      <c r="W562" s="28"/>
      <c r="X562" s="53"/>
      <c r="Y562" s="22"/>
      <c r="Z562" s="28"/>
      <c r="AA562" s="28"/>
      <c r="AB562" s="28"/>
      <c r="AC562" s="28"/>
      <c r="AD562" s="28"/>
      <c r="AE562" s="28"/>
      <c r="AF562" s="28"/>
      <c r="AG562" s="28"/>
    </row>
    <row r="563" spans="1:33" ht="15.75" customHeight="1">
      <c r="A563" s="28"/>
      <c r="B563" s="28"/>
      <c r="C563" s="28"/>
      <c r="D563" s="28"/>
      <c r="E563" s="28"/>
      <c r="F563" s="28"/>
      <c r="G563" s="28"/>
      <c r="H563" s="28"/>
      <c r="I563" s="22"/>
      <c r="J563" s="28"/>
      <c r="K563" s="28"/>
      <c r="L563" s="22"/>
      <c r="M563" s="22"/>
      <c r="N563" s="28"/>
      <c r="O563" s="28"/>
      <c r="P563" s="53"/>
      <c r="Q563" s="53"/>
      <c r="R563" s="28"/>
      <c r="S563" s="53"/>
      <c r="T563" s="28"/>
      <c r="U563" s="28"/>
      <c r="V563" s="28"/>
      <c r="W563" s="28"/>
      <c r="X563" s="53"/>
      <c r="Y563" s="22"/>
      <c r="Z563" s="28"/>
      <c r="AA563" s="28"/>
      <c r="AB563" s="28"/>
      <c r="AC563" s="28"/>
      <c r="AD563" s="28"/>
      <c r="AE563" s="28"/>
      <c r="AF563" s="28"/>
      <c r="AG563" s="28"/>
    </row>
    <row r="564" spans="1:33" ht="15.75" customHeight="1">
      <c r="A564" s="28"/>
      <c r="B564" s="28"/>
      <c r="C564" s="28"/>
      <c r="D564" s="28"/>
      <c r="E564" s="28"/>
      <c r="F564" s="28"/>
      <c r="G564" s="28"/>
      <c r="H564" s="28"/>
      <c r="I564" s="22"/>
      <c r="J564" s="28"/>
      <c r="K564" s="28"/>
      <c r="L564" s="22"/>
      <c r="M564" s="22"/>
      <c r="N564" s="28"/>
      <c r="O564" s="28"/>
      <c r="P564" s="53"/>
      <c r="Q564" s="53"/>
      <c r="R564" s="28"/>
      <c r="S564" s="53"/>
      <c r="T564" s="28"/>
      <c r="U564" s="28"/>
      <c r="V564" s="28"/>
      <c r="W564" s="28"/>
      <c r="X564" s="53"/>
      <c r="Y564" s="22"/>
      <c r="Z564" s="28"/>
      <c r="AA564" s="28"/>
      <c r="AB564" s="28"/>
      <c r="AC564" s="28"/>
      <c r="AD564" s="28"/>
      <c r="AE564" s="28"/>
      <c r="AF564" s="28"/>
      <c r="AG564" s="28"/>
    </row>
    <row r="565" spans="1:33" ht="15.75" customHeight="1">
      <c r="A565" s="28"/>
      <c r="B565" s="28"/>
      <c r="C565" s="28"/>
      <c r="D565" s="28"/>
      <c r="E565" s="28"/>
      <c r="F565" s="28"/>
      <c r="G565" s="28"/>
      <c r="H565" s="28"/>
      <c r="I565" s="22"/>
      <c r="J565" s="28"/>
      <c r="K565" s="28"/>
      <c r="L565" s="22"/>
      <c r="M565" s="22"/>
      <c r="N565" s="28"/>
      <c r="O565" s="28"/>
      <c r="P565" s="53"/>
      <c r="Q565" s="53"/>
      <c r="R565" s="28"/>
      <c r="S565" s="53"/>
      <c r="T565" s="28"/>
      <c r="U565" s="28"/>
      <c r="V565" s="28"/>
      <c r="W565" s="28"/>
      <c r="X565" s="53"/>
      <c r="Y565" s="22"/>
      <c r="Z565" s="28"/>
      <c r="AA565" s="28"/>
      <c r="AB565" s="28"/>
      <c r="AC565" s="28"/>
      <c r="AD565" s="28"/>
      <c r="AE565" s="28"/>
      <c r="AF565" s="28"/>
      <c r="AG565" s="28"/>
    </row>
    <row r="566" spans="1:33" ht="15.75" customHeight="1">
      <c r="A566" s="28"/>
      <c r="B566" s="28"/>
      <c r="C566" s="28"/>
      <c r="D566" s="28"/>
      <c r="E566" s="28"/>
      <c r="F566" s="28"/>
      <c r="G566" s="28"/>
      <c r="H566" s="28"/>
      <c r="I566" s="22"/>
      <c r="J566" s="28"/>
      <c r="K566" s="28"/>
      <c r="L566" s="22"/>
      <c r="M566" s="22"/>
      <c r="N566" s="28"/>
      <c r="O566" s="28"/>
      <c r="P566" s="53"/>
      <c r="Q566" s="53"/>
      <c r="R566" s="28"/>
      <c r="S566" s="53"/>
      <c r="T566" s="28"/>
      <c r="U566" s="28"/>
      <c r="V566" s="28"/>
      <c r="W566" s="28"/>
      <c r="X566" s="53"/>
      <c r="Y566" s="22"/>
      <c r="Z566" s="28"/>
      <c r="AA566" s="28"/>
      <c r="AB566" s="28"/>
      <c r="AC566" s="28"/>
      <c r="AD566" s="28"/>
      <c r="AE566" s="28"/>
      <c r="AF566" s="28"/>
      <c r="AG566" s="28"/>
    </row>
    <row r="567" spans="1:33" ht="15.75" customHeight="1">
      <c r="A567" s="28"/>
      <c r="B567" s="28"/>
      <c r="C567" s="28"/>
      <c r="D567" s="28"/>
      <c r="E567" s="28"/>
      <c r="F567" s="28"/>
      <c r="G567" s="28"/>
      <c r="H567" s="28"/>
      <c r="I567" s="22"/>
      <c r="J567" s="28"/>
      <c r="K567" s="28"/>
      <c r="L567" s="22"/>
      <c r="M567" s="22"/>
      <c r="N567" s="28"/>
      <c r="O567" s="28"/>
      <c r="P567" s="53"/>
      <c r="Q567" s="53"/>
      <c r="R567" s="28"/>
      <c r="S567" s="53"/>
      <c r="T567" s="28"/>
      <c r="U567" s="28"/>
      <c r="V567" s="28"/>
      <c r="W567" s="28"/>
      <c r="X567" s="53"/>
      <c r="Y567" s="22"/>
      <c r="Z567" s="28"/>
      <c r="AA567" s="28"/>
      <c r="AB567" s="28"/>
      <c r="AC567" s="28"/>
      <c r="AD567" s="28"/>
      <c r="AE567" s="28"/>
      <c r="AF567" s="28"/>
      <c r="AG567" s="28"/>
    </row>
    <row r="568" spans="1:33" ht="15.75" customHeight="1">
      <c r="A568" s="28"/>
      <c r="B568" s="28"/>
      <c r="C568" s="28"/>
      <c r="D568" s="28"/>
      <c r="E568" s="28"/>
      <c r="F568" s="28"/>
      <c r="G568" s="28"/>
      <c r="H568" s="28"/>
      <c r="I568" s="22"/>
      <c r="J568" s="28"/>
      <c r="K568" s="28"/>
      <c r="L568" s="22"/>
      <c r="M568" s="22"/>
      <c r="N568" s="28"/>
      <c r="O568" s="28"/>
      <c r="P568" s="53"/>
      <c r="Q568" s="53"/>
      <c r="R568" s="28"/>
      <c r="S568" s="53"/>
      <c r="T568" s="28"/>
      <c r="U568" s="28"/>
      <c r="V568" s="28"/>
      <c r="W568" s="28"/>
      <c r="X568" s="53"/>
      <c r="Y568" s="22"/>
      <c r="Z568" s="28"/>
      <c r="AA568" s="28"/>
      <c r="AB568" s="28"/>
      <c r="AC568" s="28"/>
      <c r="AD568" s="28"/>
      <c r="AE568" s="28"/>
      <c r="AF568" s="28"/>
      <c r="AG568" s="28"/>
    </row>
    <row r="569" spans="1:33" ht="15.75" customHeight="1">
      <c r="A569" s="28"/>
      <c r="B569" s="28"/>
      <c r="C569" s="28"/>
      <c r="D569" s="28"/>
      <c r="E569" s="28"/>
      <c r="F569" s="28"/>
      <c r="G569" s="28"/>
      <c r="H569" s="28"/>
      <c r="I569" s="22"/>
      <c r="J569" s="28"/>
      <c r="K569" s="28"/>
      <c r="L569" s="22"/>
      <c r="M569" s="22"/>
      <c r="N569" s="28"/>
      <c r="O569" s="28"/>
      <c r="P569" s="53"/>
      <c r="Q569" s="53"/>
      <c r="R569" s="28"/>
      <c r="S569" s="53"/>
      <c r="T569" s="28"/>
      <c r="U569" s="28"/>
      <c r="V569" s="28"/>
      <c r="W569" s="28"/>
      <c r="X569" s="53"/>
      <c r="Y569" s="22"/>
      <c r="Z569" s="28"/>
      <c r="AA569" s="28"/>
      <c r="AB569" s="28"/>
      <c r="AC569" s="28"/>
      <c r="AD569" s="28"/>
      <c r="AE569" s="28"/>
      <c r="AF569" s="28"/>
      <c r="AG569" s="28"/>
    </row>
    <row r="570" spans="1:33" ht="15.75" customHeight="1">
      <c r="A570" s="28"/>
      <c r="B570" s="28"/>
      <c r="C570" s="28"/>
      <c r="D570" s="28"/>
      <c r="E570" s="28"/>
      <c r="F570" s="28"/>
      <c r="G570" s="28"/>
      <c r="H570" s="28"/>
      <c r="I570" s="22"/>
      <c r="J570" s="28"/>
      <c r="K570" s="28"/>
      <c r="L570" s="22"/>
      <c r="M570" s="22"/>
      <c r="N570" s="28"/>
      <c r="O570" s="28"/>
      <c r="P570" s="53"/>
      <c r="Q570" s="53"/>
      <c r="R570" s="28"/>
      <c r="S570" s="53"/>
      <c r="T570" s="28"/>
      <c r="U570" s="28"/>
      <c r="V570" s="28"/>
      <c r="W570" s="28"/>
      <c r="X570" s="53"/>
      <c r="Y570" s="22"/>
      <c r="Z570" s="28"/>
      <c r="AA570" s="28"/>
      <c r="AB570" s="28"/>
      <c r="AC570" s="28"/>
      <c r="AD570" s="28"/>
      <c r="AE570" s="28"/>
      <c r="AF570" s="28"/>
      <c r="AG570" s="28"/>
    </row>
    <row r="571" spans="1:33" ht="15.75" customHeight="1">
      <c r="A571" s="28"/>
      <c r="B571" s="28"/>
      <c r="C571" s="28"/>
      <c r="D571" s="28"/>
      <c r="E571" s="28"/>
      <c r="F571" s="28"/>
      <c r="G571" s="28"/>
      <c r="H571" s="28"/>
      <c r="I571" s="22"/>
      <c r="J571" s="28"/>
      <c r="K571" s="28"/>
      <c r="L571" s="22"/>
      <c r="M571" s="22"/>
      <c r="N571" s="28"/>
      <c r="O571" s="28"/>
      <c r="P571" s="53"/>
      <c r="Q571" s="53"/>
      <c r="R571" s="28"/>
      <c r="S571" s="53"/>
      <c r="T571" s="28"/>
      <c r="U571" s="28"/>
      <c r="V571" s="28"/>
      <c r="W571" s="28"/>
      <c r="X571" s="53"/>
      <c r="Y571" s="22"/>
      <c r="Z571" s="28"/>
      <c r="AA571" s="28"/>
      <c r="AB571" s="28"/>
      <c r="AC571" s="28"/>
      <c r="AD571" s="28"/>
      <c r="AE571" s="28"/>
      <c r="AF571" s="28"/>
      <c r="AG571" s="28"/>
    </row>
    <row r="572" spans="1:33" ht="15.75" customHeight="1">
      <c r="A572" s="28"/>
      <c r="B572" s="28"/>
      <c r="C572" s="28"/>
      <c r="D572" s="28"/>
      <c r="E572" s="28"/>
      <c r="F572" s="28"/>
      <c r="G572" s="28"/>
      <c r="H572" s="28"/>
      <c r="I572" s="22"/>
      <c r="J572" s="28"/>
      <c r="K572" s="28"/>
      <c r="L572" s="22"/>
      <c r="M572" s="22"/>
      <c r="N572" s="28"/>
      <c r="O572" s="28"/>
      <c r="P572" s="53"/>
      <c r="Q572" s="53"/>
      <c r="R572" s="28"/>
      <c r="S572" s="53"/>
      <c r="T572" s="28"/>
      <c r="U572" s="28"/>
      <c r="V572" s="28"/>
      <c r="W572" s="28"/>
      <c r="X572" s="53"/>
      <c r="Y572" s="22"/>
      <c r="Z572" s="28"/>
      <c r="AA572" s="28"/>
      <c r="AB572" s="28"/>
      <c r="AC572" s="28"/>
      <c r="AD572" s="28"/>
      <c r="AE572" s="28"/>
      <c r="AF572" s="28"/>
      <c r="AG572" s="28"/>
    </row>
    <row r="573" spans="1:33" ht="15.75" customHeight="1">
      <c r="A573" s="28"/>
      <c r="B573" s="28"/>
      <c r="C573" s="28"/>
      <c r="D573" s="28"/>
      <c r="E573" s="28"/>
      <c r="F573" s="28"/>
      <c r="G573" s="28"/>
      <c r="H573" s="28"/>
      <c r="I573" s="22"/>
      <c r="J573" s="28"/>
      <c r="K573" s="28"/>
      <c r="L573" s="22"/>
      <c r="M573" s="22"/>
      <c r="N573" s="28"/>
      <c r="O573" s="28"/>
      <c r="P573" s="53"/>
      <c r="Q573" s="53"/>
      <c r="R573" s="28"/>
      <c r="S573" s="53"/>
      <c r="T573" s="28"/>
      <c r="U573" s="28"/>
      <c r="V573" s="28"/>
      <c r="W573" s="28"/>
      <c r="X573" s="53"/>
      <c r="Y573" s="22"/>
      <c r="Z573" s="28"/>
      <c r="AA573" s="28"/>
      <c r="AB573" s="28"/>
      <c r="AC573" s="28"/>
      <c r="AD573" s="28"/>
      <c r="AE573" s="28"/>
      <c r="AF573" s="28"/>
      <c r="AG573" s="28"/>
    </row>
    <row r="574" spans="1:33" ht="15.75" customHeight="1">
      <c r="A574" s="28"/>
      <c r="B574" s="28"/>
      <c r="C574" s="28"/>
      <c r="D574" s="28"/>
      <c r="E574" s="28"/>
      <c r="F574" s="28"/>
      <c r="G574" s="28"/>
      <c r="H574" s="28"/>
      <c r="I574" s="22"/>
      <c r="J574" s="28"/>
      <c r="K574" s="28"/>
      <c r="L574" s="22"/>
      <c r="M574" s="22"/>
      <c r="N574" s="28"/>
      <c r="O574" s="28"/>
      <c r="P574" s="53"/>
      <c r="Q574" s="53"/>
      <c r="R574" s="28"/>
      <c r="S574" s="53"/>
      <c r="T574" s="28"/>
      <c r="U574" s="28"/>
      <c r="V574" s="28"/>
      <c r="W574" s="28"/>
      <c r="X574" s="53"/>
      <c r="Y574" s="22"/>
      <c r="Z574" s="28"/>
      <c r="AA574" s="28"/>
      <c r="AB574" s="28"/>
      <c r="AC574" s="28"/>
      <c r="AD574" s="28"/>
      <c r="AE574" s="28"/>
      <c r="AF574" s="28"/>
      <c r="AG574" s="28"/>
    </row>
    <row r="575" spans="1:33" ht="15.75" customHeight="1">
      <c r="A575" s="28"/>
      <c r="B575" s="28"/>
      <c r="C575" s="28"/>
      <c r="D575" s="28"/>
      <c r="E575" s="28"/>
      <c r="F575" s="28"/>
      <c r="G575" s="28"/>
      <c r="H575" s="28"/>
      <c r="I575" s="22"/>
      <c r="J575" s="28"/>
      <c r="K575" s="28"/>
      <c r="L575" s="22"/>
      <c r="M575" s="22"/>
      <c r="N575" s="28"/>
      <c r="O575" s="28"/>
      <c r="P575" s="53"/>
      <c r="Q575" s="53"/>
      <c r="R575" s="28"/>
      <c r="S575" s="53"/>
      <c r="T575" s="28"/>
      <c r="U575" s="28"/>
      <c r="V575" s="28"/>
      <c r="W575" s="28"/>
      <c r="X575" s="53"/>
      <c r="Y575" s="22"/>
      <c r="Z575" s="28"/>
      <c r="AA575" s="28"/>
      <c r="AB575" s="28"/>
      <c r="AC575" s="28"/>
      <c r="AD575" s="28"/>
      <c r="AE575" s="28"/>
      <c r="AF575" s="28"/>
      <c r="AG575" s="28"/>
    </row>
    <row r="576" spans="1:33" ht="15.75" customHeight="1">
      <c r="A576" s="28"/>
      <c r="B576" s="28"/>
      <c r="C576" s="28"/>
      <c r="D576" s="28"/>
      <c r="E576" s="28"/>
      <c r="F576" s="28"/>
      <c r="G576" s="28"/>
      <c r="H576" s="28"/>
      <c r="I576" s="22"/>
      <c r="J576" s="28"/>
      <c r="K576" s="28"/>
      <c r="L576" s="22"/>
      <c r="M576" s="22"/>
      <c r="N576" s="28"/>
      <c r="O576" s="28"/>
      <c r="P576" s="53"/>
      <c r="Q576" s="53"/>
      <c r="R576" s="28"/>
      <c r="S576" s="53"/>
      <c r="T576" s="28"/>
      <c r="U576" s="28"/>
      <c r="V576" s="28"/>
      <c r="W576" s="28"/>
      <c r="X576" s="53"/>
      <c r="Y576" s="22"/>
      <c r="Z576" s="28"/>
      <c r="AA576" s="28"/>
      <c r="AB576" s="28"/>
      <c r="AC576" s="28"/>
      <c r="AD576" s="28"/>
      <c r="AE576" s="28"/>
      <c r="AF576" s="28"/>
      <c r="AG576" s="28"/>
    </row>
    <row r="577" spans="1:33" ht="15.75" customHeight="1">
      <c r="A577" s="28"/>
      <c r="B577" s="28"/>
      <c r="C577" s="28"/>
      <c r="D577" s="28"/>
      <c r="E577" s="28"/>
      <c r="F577" s="28"/>
      <c r="G577" s="28"/>
      <c r="H577" s="28"/>
      <c r="I577" s="22"/>
      <c r="J577" s="28"/>
      <c r="K577" s="28"/>
      <c r="L577" s="22"/>
      <c r="M577" s="22"/>
      <c r="N577" s="28"/>
      <c r="O577" s="28"/>
      <c r="P577" s="53"/>
      <c r="Q577" s="53"/>
      <c r="R577" s="28"/>
      <c r="S577" s="53"/>
      <c r="T577" s="28"/>
      <c r="U577" s="28"/>
      <c r="V577" s="28"/>
      <c r="W577" s="28"/>
      <c r="X577" s="53"/>
      <c r="Y577" s="22"/>
      <c r="Z577" s="28"/>
      <c r="AA577" s="28"/>
      <c r="AB577" s="28"/>
      <c r="AC577" s="28"/>
      <c r="AD577" s="28"/>
      <c r="AE577" s="28"/>
      <c r="AF577" s="28"/>
      <c r="AG577" s="28"/>
    </row>
    <row r="578" spans="1:33" ht="15.75" customHeight="1">
      <c r="A578" s="28"/>
      <c r="B578" s="28"/>
      <c r="C578" s="28"/>
      <c r="D578" s="28"/>
      <c r="E578" s="28"/>
      <c r="F578" s="28"/>
      <c r="G578" s="28"/>
      <c r="H578" s="28"/>
      <c r="I578" s="22"/>
      <c r="J578" s="28"/>
      <c r="K578" s="28"/>
      <c r="L578" s="22"/>
      <c r="M578" s="22"/>
      <c r="N578" s="28"/>
      <c r="O578" s="28"/>
      <c r="P578" s="53"/>
      <c r="Q578" s="53"/>
      <c r="R578" s="28"/>
      <c r="S578" s="53"/>
      <c r="T578" s="28"/>
      <c r="U578" s="28"/>
      <c r="V578" s="28"/>
      <c r="W578" s="28"/>
      <c r="X578" s="53"/>
      <c r="Y578" s="22"/>
      <c r="Z578" s="28"/>
      <c r="AA578" s="28"/>
      <c r="AB578" s="28"/>
      <c r="AC578" s="28"/>
      <c r="AD578" s="28"/>
      <c r="AE578" s="28"/>
      <c r="AF578" s="28"/>
      <c r="AG578" s="28"/>
    </row>
    <row r="579" spans="1:33" ht="15.75" customHeight="1">
      <c r="A579" s="28"/>
      <c r="B579" s="28"/>
      <c r="C579" s="28"/>
      <c r="D579" s="28"/>
      <c r="E579" s="28"/>
      <c r="F579" s="28"/>
      <c r="G579" s="28"/>
      <c r="H579" s="28"/>
      <c r="I579" s="22"/>
      <c r="J579" s="28"/>
      <c r="K579" s="28"/>
      <c r="L579" s="22"/>
      <c r="M579" s="22"/>
      <c r="N579" s="28"/>
      <c r="O579" s="28"/>
      <c r="P579" s="53"/>
      <c r="Q579" s="53"/>
      <c r="R579" s="28"/>
      <c r="S579" s="53"/>
      <c r="T579" s="28"/>
      <c r="U579" s="28"/>
      <c r="V579" s="28"/>
      <c r="W579" s="28"/>
      <c r="X579" s="53"/>
      <c r="Y579" s="22"/>
      <c r="Z579" s="28"/>
      <c r="AA579" s="28"/>
      <c r="AB579" s="28"/>
      <c r="AC579" s="28"/>
      <c r="AD579" s="28"/>
      <c r="AE579" s="28"/>
      <c r="AF579" s="28"/>
      <c r="AG579" s="28"/>
    </row>
    <row r="580" spans="1:33" ht="15.75" customHeight="1">
      <c r="A580" s="28"/>
      <c r="B580" s="28"/>
      <c r="C580" s="28"/>
      <c r="D580" s="28"/>
      <c r="E580" s="28"/>
      <c r="F580" s="28"/>
      <c r="G580" s="28"/>
      <c r="H580" s="28"/>
      <c r="I580" s="22"/>
      <c r="J580" s="28"/>
      <c r="K580" s="28"/>
      <c r="L580" s="22"/>
      <c r="M580" s="22"/>
      <c r="N580" s="28"/>
      <c r="O580" s="28"/>
      <c r="P580" s="53"/>
      <c r="Q580" s="53"/>
      <c r="R580" s="28"/>
      <c r="S580" s="53"/>
      <c r="T580" s="28"/>
      <c r="U580" s="28"/>
      <c r="V580" s="28"/>
      <c r="W580" s="28"/>
      <c r="X580" s="53"/>
      <c r="Y580" s="22"/>
      <c r="Z580" s="28"/>
      <c r="AA580" s="28"/>
      <c r="AB580" s="28"/>
      <c r="AC580" s="28"/>
      <c r="AD580" s="28"/>
      <c r="AE580" s="28"/>
      <c r="AF580" s="28"/>
      <c r="AG580" s="28"/>
    </row>
    <row r="581" spans="1:33" ht="15.75" customHeight="1">
      <c r="A581" s="28"/>
      <c r="B581" s="28"/>
      <c r="C581" s="28"/>
      <c r="D581" s="28"/>
      <c r="E581" s="28"/>
      <c r="F581" s="28"/>
      <c r="G581" s="28"/>
      <c r="H581" s="28"/>
      <c r="I581" s="22"/>
      <c r="J581" s="28"/>
      <c r="K581" s="28"/>
      <c r="L581" s="22"/>
      <c r="M581" s="22"/>
      <c r="N581" s="28"/>
      <c r="O581" s="28"/>
      <c r="P581" s="53"/>
      <c r="Q581" s="53"/>
      <c r="R581" s="28"/>
      <c r="S581" s="53"/>
      <c r="T581" s="28"/>
      <c r="U581" s="28"/>
      <c r="V581" s="28"/>
      <c r="W581" s="28"/>
      <c r="X581" s="53"/>
      <c r="Y581" s="22"/>
      <c r="Z581" s="28"/>
      <c r="AA581" s="28"/>
      <c r="AB581" s="28"/>
      <c r="AC581" s="28"/>
      <c r="AD581" s="28"/>
      <c r="AE581" s="28"/>
      <c r="AF581" s="28"/>
      <c r="AG581" s="28"/>
    </row>
    <row r="582" spans="1:33" ht="15.75" customHeight="1">
      <c r="A582" s="28"/>
      <c r="B582" s="28"/>
      <c r="C582" s="28"/>
      <c r="D582" s="28"/>
      <c r="E582" s="28"/>
      <c r="F582" s="28"/>
      <c r="G582" s="28"/>
      <c r="H582" s="28"/>
      <c r="I582" s="22"/>
      <c r="J582" s="28"/>
      <c r="K582" s="28"/>
      <c r="L582" s="22"/>
      <c r="M582" s="22"/>
      <c r="N582" s="28"/>
      <c r="O582" s="28"/>
      <c r="P582" s="53"/>
      <c r="Q582" s="53"/>
      <c r="R582" s="28"/>
      <c r="S582" s="53"/>
      <c r="T582" s="28"/>
      <c r="U582" s="28"/>
      <c r="V582" s="28"/>
      <c r="W582" s="28"/>
      <c r="X582" s="53"/>
      <c r="Y582" s="22"/>
      <c r="Z582" s="28"/>
      <c r="AA582" s="28"/>
      <c r="AB582" s="28"/>
      <c r="AC582" s="28"/>
      <c r="AD582" s="28"/>
      <c r="AE582" s="28"/>
      <c r="AF582" s="28"/>
      <c r="AG582" s="28"/>
    </row>
    <row r="583" spans="1:33" ht="15.75" customHeight="1">
      <c r="A583" s="28"/>
      <c r="B583" s="28"/>
      <c r="C583" s="28"/>
      <c r="D583" s="28"/>
      <c r="E583" s="28"/>
      <c r="F583" s="28"/>
      <c r="G583" s="28"/>
      <c r="H583" s="28"/>
      <c r="I583" s="22"/>
      <c r="J583" s="28"/>
      <c r="K583" s="28"/>
      <c r="L583" s="22"/>
      <c r="M583" s="22"/>
      <c r="N583" s="28"/>
      <c r="O583" s="28"/>
      <c r="P583" s="53"/>
      <c r="Q583" s="53"/>
      <c r="R583" s="28"/>
      <c r="S583" s="53"/>
      <c r="T583" s="28"/>
      <c r="U583" s="28"/>
      <c r="V583" s="28"/>
      <c r="W583" s="28"/>
      <c r="X583" s="53"/>
      <c r="Y583" s="22"/>
      <c r="Z583" s="28"/>
      <c r="AA583" s="28"/>
      <c r="AB583" s="28"/>
      <c r="AC583" s="28"/>
      <c r="AD583" s="28"/>
      <c r="AE583" s="28"/>
      <c r="AF583" s="28"/>
      <c r="AG583" s="28"/>
    </row>
    <row r="584" spans="1:33" ht="15.75" customHeight="1">
      <c r="A584" s="28"/>
      <c r="B584" s="28"/>
      <c r="C584" s="28"/>
      <c r="D584" s="28"/>
      <c r="E584" s="28"/>
      <c r="F584" s="28"/>
      <c r="G584" s="28"/>
      <c r="H584" s="28"/>
      <c r="I584" s="22"/>
      <c r="J584" s="28"/>
      <c r="K584" s="28"/>
      <c r="L584" s="22"/>
      <c r="M584" s="22"/>
      <c r="N584" s="28"/>
      <c r="O584" s="28"/>
      <c r="P584" s="53"/>
      <c r="Q584" s="53"/>
      <c r="R584" s="28"/>
      <c r="S584" s="53"/>
      <c r="T584" s="28"/>
      <c r="U584" s="28"/>
      <c r="V584" s="28"/>
      <c r="W584" s="28"/>
      <c r="X584" s="53"/>
      <c r="Y584" s="22"/>
      <c r="Z584" s="28"/>
      <c r="AA584" s="28"/>
      <c r="AB584" s="28"/>
      <c r="AC584" s="28"/>
      <c r="AD584" s="28"/>
      <c r="AE584" s="28"/>
      <c r="AF584" s="28"/>
      <c r="AG584" s="28"/>
    </row>
    <row r="585" spans="1:33" ht="15.75" customHeight="1">
      <c r="A585" s="28"/>
      <c r="B585" s="28"/>
      <c r="C585" s="28"/>
      <c r="D585" s="28"/>
      <c r="E585" s="28"/>
      <c r="F585" s="28"/>
      <c r="G585" s="28"/>
      <c r="H585" s="28"/>
      <c r="I585" s="22"/>
      <c r="J585" s="28"/>
      <c r="K585" s="28"/>
      <c r="L585" s="22"/>
      <c r="M585" s="22"/>
      <c r="N585" s="28"/>
      <c r="O585" s="28"/>
      <c r="P585" s="53"/>
      <c r="Q585" s="53"/>
      <c r="R585" s="28"/>
      <c r="S585" s="53"/>
      <c r="T585" s="28"/>
      <c r="U585" s="28"/>
      <c r="V585" s="28"/>
      <c r="W585" s="28"/>
      <c r="X585" s="53"/>
      <c r="Y585" s="22"/>
      <c r="Z585" s="28"/>
      <c r="AA585" s="28"/>
      <c r="AB585" s="28"/>
      <c r="AC585" s="28"/>
      <c r="AD585" s="28"/>
      <c r="AE585" s="28"/>
      <c r="AF585" s="28"/>
      <c r="AG585" s="28"/>
    </row>
    <row r="586" spans="1:33" ht="15.75" customHeight="1">
      <c r="A586" s="28"/>
      <c r="B586" s="28"/>
      <c r="C586" s="28"/>
      <c r="D586" s="28"/>
      <c r="E586" s="28"/>
      <c r="F586" s="28"/>
      <c r="G586" s="28"/>
      <c r="H586" s="28"/>
      <c r="I586" s="22"/>
      <c r="J586" s="28"/>
      <c r="K586" s="28"/>
      <c r="L586" s="22"/>
      <c r="M586" s="22"/>
      <c r="N586" s="28"/>
      <c r="O586" s="28"/>
      <c r="P586" s="53"/>
      <c r="Q586" s="53"/>
      <c r="R586" s="28"/>
      <c r="S586" s="53"/>
      <c r="T586" s="28"/>
      <c r="U586" s="28"/>
      <c r="V586" s="28"/>
      <c r="W586" s="28"/>
      <c r="X586" s="53"/>
      <c r="Y586" s="22"/>
      <c r="Z586" s="28"/>
      <c r="AA586" s="28"/>
      <c r="AB586" s="28"/>
      <c r="AC586" s="28"/>
      <c r="AD586" s="28"/>
      <c r="AE586" s="28"/>
      <c r="AF586" s="28"/>
      <c r="AG586" s="28"/>
    </row>
    <row r="587" spans="1:33" ht="15.75" customHeight="1">
      <c r="A587" s="28"/>
      <c r="B587" s="28"/>
      <c r="C587" s="28"/>
      <c r="D587" s="28"/>
      <c r="E587" s="28"/>
      <c r="F587" s="28"/>
      <c r="G587" s="28"/>
      <c r="H587" s="28"/>
      <c r="I587" s="22"/>
      <c r="J587" s="28"/>
      <c r="K587" s="28"/>
      <c r="L587" s="22"/>
      <c r="M587" s="22"/>
      <c r="N587" s="28"/>
      <c r="O587" s="28"/>
      <c r="P587" s="53"/>
      <c r="Q587" s="53"/>
      <c r="R587" s="28"/>
      <c r="S587" s="53"/>
      <c r="T587" s="28"/>
      <c r="U587" s="28"/>
      <c r="V587" s="28"/>
      <c r="W587" s="28"/>
      <c r="X587" s="53"/>
      <c r="Y587" s="22"/>
      <c r="Z587" s="28"/>
      <c r="AA587" s="28"/>
      <c r="AB587" s="28"/>
      <c r="AC587" s="28"/>
      <c r="AD587" s="28"/>
      <c r="AE587" s="28"/>
      <c r="AF587" s="28"/>
      <c r="AG587" s="28"/>
    </row>
    <row r="588" spans="1:33" ht="15.75" customHeight="1">
      <c r="A588" s="28"/>
      <c r="B588" s="28"/>
      <c r="C588" s="28"/>
      <c r="D588" s="28"/>
      <c r="E588" s="28"/>
      <c r="F588" s="28"/>
      <c r="G588" s="28"/>
      <c r="H588" s="28"/>
      <c r="I588" s="22"/>
      <c r="J588" s="28"/>
      <c r="K588" s="28"/>
      <c r="L588" s="22"/>
      <c r="M588" s="22"/>
      <c r="N588" s="28"/>
      <c r="O588" s="28"/>
      <c r="P588" s="53"/>
      <c r="Q588" s="53"/>
      <c r="R588" s="28"/>
      <c r="S588" s="53"/>
      <c r="T588" s="28"/>
      <c r="U588" s="28"/>
      <c r="V588" s="28"/>
      <c r="W588" s="28"/>
      <c r="X588" s="53"/>
      <c r="Y588" s="22"/>
      <c r="Z588" s="28"/>
      <c r="AA588" s="28"/>
      <c r="AB588" s="28"/>
      <c r="AC588" s="28"/>
      <c r="AD588" s="28"/>
      <c r="AE588" s="28"/>
      <c r="AF588" s="28"/>
      <c r="AG588" s="28"/>
    </row>
    <row r="589" spans="1:33" ht="15.75" customHeight="1">
      <c r="A589" s="28"/>
      <c r="B589" s="28"/>
      <c r="C589" s="28"/>
      <c r="D589" s="28"/>
      <c r="E589" s="28"/>
      <c r="F589" s="28"/>
      <c r="G589" s="28"/>
      <c r="H589" s="28"/>
      <c r="I589" s="22"/>
      <c r="J589" s="28"/>
      <c r="K589" s="28"/>
      <c r="L589" s="22"/>
      <c r="M589" s="22"/>
      <c r="N589" s="28"/>
      <c r="O589" s="28"/>
      <c r="P589" s="53"/>
      <c r="Q589" s="53"/>
      <c r="R589" s="28"/>
      <c r="S589" s="53"/>
      <c r="T589" s="28"/>
      <c r="U589" s="28"/>
      <c r="V589" s="28"/>
      <c r="W589" s="28"/>
      <c r="X589" s="53"/>
      <c r="Y589" s="22"/>
      <c r="Z589" s="28"/>
      <c r="AA589" s="28"/>
      <c r="AB589" s="28"/>
      <c r="AC589" s="28"/>
      <c r="AD589" s="28"/>
      <c r="AE589" s="28"/>
      <c r="AF589" s="28"/>
      <c r="AG589" s="28"/>
    </row>
    <row r="590" spans="1:33" ht="15.75" customHeight="1">
      <c r="A590" s="28"/>
      <c r="B590" s="28"/>
      <c r="C590" s="28"/>
      <c r="D590" s="28"/>
      <c r="E590" s="28"/>
      <c r="F590" s="28"/>
      <c r="G590" s="28"/>
      <c r="H590" s="28"/>
      <c r="I590" s="22"/>
      <c r="J590" s="28"/>
      <c r="K590" s="28"/>
      <c r="L590" s="22"/>
      <c r="M590" s="22"/>
      <c r="N590" s="28"/>
      <c r="O590" s="28"/>
      <c r="P590" s="53"/>
      <c r="Q590" s="53"/>
      <c r="R590" s="28"/>
      <c r="S590" s="53"/>
      <c r="T590" s="28"/>
      <c r="U590" s="28"/>
      <c r="V590" s="28"/>
      <c r="W590" s="28"/>
      <c r="X590" s="53"/>
      <c r="Y590" s="22"/>
      <c r="Z590" s="28"/>
      <c r="AA590" s="28"/>
      <c r="AB590" s="28"/>
      <c r="AC590" s="28"/>
      <c r="AD590" s="28"/>
      <c r="AE590" s="28"/>
      <c r="AF590" s="28"/>
      <c r="AG590" s="28"/>
    </row>
    <row r="591" spans="1:33" ht="15.75" customHeight="1">
      <c r="A591" s="28"/>
      <c r="B591" s="28"/>
      <c r="C591" s="28"/>
      <c r="D591" s="28"/>
      <c r="E591" s="28"/>
      <c r="F591" s="28"/>
      <c r="G591" s="28"/>
      <c r="H591" s="28"/>
      <c r="I591" s="22"/>
      <c r="J591" s="28"/>
      <c r="K591" s="28"/>
      <c r="L591" s="22"/>
      <c r="M591" s="22"/>
      <c r="N591" s="28"/>
      <c r="O591" s="28"/>
      <c r="P591" s="53"/>
      <c r="Q591" s="53"/>
      <c r="R591" s="28"/>
      <c r="S591" s="53"/>
      <c r="T591" s="28"/>
      <c r="U591" s="28"/>
      <c r="V591" s="28"/>
      <c r="W591" s="28"/>
      <c r="X591" s="53"/>
      <c r="Y591" s="22"/>
      <c r="Z591" s="28"/>
      <c r="AA591" s="28"/>
      <c r="AB591" s="28"/>
      <c r="AC591" s="28"/>
      <c r="AD591" s="28"/>
      <c r="AE591" s="28"/>
      <c r="AF591" s="28"/>
      <c r="AG591" s="28"/>
    </row>
    <row r="592" spans="1:33" ht="15.75" customHeight="1">
      <c r="A592" s="28"/>
      <c r="B592" s="28"/>
      <c r="C592" s="28"/>
      <c r="D592" s="28"/>
      <c r="E592" s="28"/>
      <c r="F592" s="28"/>
      <c r="G592" s="28"/>
      <c r="H592" s="28"/>
      <c r="I592" s="22"/>
      <c r="J592" s="28"/>
      <c r="K592" s="28"/>
      <c r="L592" s="22"/>
      <c r="M592" s="22"/>
      <c r="N592" s="28"/>
      <c r="O592" s="28"/>
      <c r="P592" s="53"/>
      <c r="Q592" s="53"/>
      <c r="R592" s="28"/>
      <c r="S592" s="53"/>
      <c r="T592" s="28"/>
      <c r="U592" s="28"/>
      <c r="V592" s="28"/>
      <c r="W592" s="28"/>
      <c r="X592" s="53"/>
      <c r="Y592" s="22"/>
      <c r="Z592" s="28"/>
      <c r="AA592" s="28"/>
      <c r="AB592" s="28"/>
      <c r="AC592" s="28"/>
      <c r="AD592" s="28"/>
      <c r="AE592" s="28"/>
      <c r="AF592" s="28"/>
      <c r="AG592" s="28"/>
    </row>
    <row r="593" spans="1:33" ht="15.75" customHeight="1">
      <c r="A593" s="28"/>
      <c r="B593" s="28"/>
      <c r="C593" s="28"/>
      <c r="D593" s="28"/>
      <c r="E593" s="28"/>
      <c r="F593" s="28"/>
      <c r="G593" s="28"/>
      <c r="H593" s="28"/>
      <c r="I593" s="22"/>
      <c r="J593" s="28"/>
      <c r="K593" s="28"/>
      <c r="L593" s="22"/>
      <c r="M593" s="22"/>
      <c r="N593" s="28"/>
      <c r="O593" s="28"/>
      <c r="P593" s="53"/>
      <c r="Q593" s="53"/>
      <c r="R593" s="28"/>
      <c r="S593" s="53"/>
      <c r="T593" s="28"/>
      <c r="U593" s="28"/>
      <c r="V593" s="28"/>
      <c r="W593" s="28"/>
      <c r="X593" s="53"/>
      <c r="Y593" s="22"/>
      <c r="Z593" s="28"/>
      <c r="AA593" s="28"/>
      <c r="AB593" s="28"/>
      <c r="AC593" s="28"/>
      <c r="AD593" s="28"/>
      <c r="AE593" s="28"/>
      <c r="AF593" s="28"/>
      <c r="AG593" s="28"/>
    </row>
    <row r="594" spans="1:33" ht="15.75" customHeight="1">
      <c r="A594" s="28"/>
      <c r="B594" s="28"/>
      <c r="C594" s="28"/>
      <c r="D594" s="28"/>
      <c r="E594" s="28"/>
      <c r="F594" s="28"/>
      <c r="G594" s="28"/>
      <c r="H594" s="28"/>
      <c r="I594" s="22"/>
      <c r="J594" s="28"/>
      <c r="K594" s="28"/>
      <c r="L594" s="22"/>
      <c r="M594" s="22"/>
      <c r="N594" s="28"/>
      <c r="O594" s="28"/>
      <c r="P594" s="53"/>
      <c r="Q594" s="53"/>
      <c r="R594" s="28"/>
      <c r="S594" s="53"/>
      <c r="T594" s="28"/>
      <c r="U594" s="28"/>
      <c r="V594" s="28"/>
      <c r="W594" s="28"/>
      <c r="X594" s="53"/>
      <c r="Y594" s="22"/>
      <c r="Z594" s="28"/>
      <c r="AA594" s="28"/>
      <c r="AB594" s="28"/>
      <c r="AC594" s="28"/>
      <c r="AD594" s="28"/>
      <c r="AE594" s="28"/>
      <c r="AF594" s="28"/>
      <c r="AG594" s="28"/>
    </row>
    <row r="595" spans="1:33" ht="15.75" customHeight="1">
      <c r="A595" s="28"/>
      <c r="B595" s="28"/>
      <c r="C595" s="28"/>
      <c r="D595" s="28"/>
      <c r="E595" s="28"/>
      <c r="F595" s="28"/>
      <c r="G595" s="28"/>
      <c r="H595" s="28"/>
      <c r="I595" s="22"/>
      <c r="J595" s="28"/>
      <c r="K595" s="28"/>
      <c r="L595" s="22"/>
      <c r="M595" s="22"/>
      <c r="N595" s="28"/>
      <c r="O595" s="28"/>
      <c r="P595" s="53"/>
      <c r="Q595" s="53"/>
      <c r="R595" s="28"/>
      <c r="S595" s="53"/>
      <c r="T595" s="28"/>
      <c r="U595" s="28"/>
      <c r="V595" s="28"/>
      <c r="W595" s="28"/>
      <c r="X595" s="53"/>
      <c r="Y595" s="22"/>
      <c r="Z595" s="28"/>
      <c r="AA595" s="28"/>
      <c r="AB595" s="28"/>
      <c r="AC595" s="28"/>
      <c r="AD595" s="28"/>
      <c r="AE595" s="28"/>
      <c r="AF595" s="28"/>
      <c r="AG595" s="28"/>
    </row>
    <row r="596" spans="1:33" ht="15.75" customHeight="1">
      <c r="A596" s="28"/>
      <c r="B596" s="28"/>
      <c r="C596" s="28"/>
      <c r="D596" s="28"/>
      <c r="E596" s="28"/>
      <c r="F596" s="28"/>
      <c r="G596" s="28"/>
      <c r="H596" s="28"/>
      <c r="I596" s="22"/>
      <c r="J596" s="28"/>
      <c r="K596" s="28"/>
      <c r="L596" s="22"/>
      <c r="M596" s="22"/>
      <c r="N596" s="28"/>
      <c r="O596" s="28"/>
      <c r="P596" s="53"/>
      <c r="Q596" s="53"/>
      <c r="R596" s="28"/>
      <c r="S596" s="53"/>
      <c r="T596" s="28"/>
      <c r="U596" s="28"/>
      <c r="V596" s="28"/>
      <c r="W596" s="28"/>
      <c r="X596" s="53"/>
      <c r="Y596" s="22"/>
      <c r="Z596" s="28"/>
      <c r="AA596" s="28"/>
      <c r="AB596" s="28"/>
      <c r="AC596" s="28"/>
      <c r="AD596" s="28"/>
      <c r="AE596" s="28"/>
      <c r="AF596" s="28"/>
      <c r="AG596" s="28"/>
    </row>
    <row r="597" spans="1:33" ht="15.75" customHeight="1">
      <c r="A597" s="28"/>
      <c r="B597" s="28"/>
      <c r="C597" s="28"/>
      <c r="D597" s="28"/>
      <c r="E597" s="28"/>
      <c r="F597" s="28"/>
      <c r="G597" s="28"/>
      <c r="H597" s="28"/>
      <c r="I597" s="22"/>
      <c r="J597" s="28"/>
      <c r="K597" s="28"/>
      <c r="L597" s="22"/>
      <c r="M597" s="22"/>
      <c r="N597" s="28"/>
      <c r="O597" s="28"/>
      <c r="P597" s="53"/>
      <c r="Q597" s="53"/>
      <c r="R597" s="28"/>
      <c r="S597" s="53"/>
      <c r="T597" s="28"/>
      <c r="U597" s="28"/>
      <c r="V597" s="28"/>
      <c r="W597" s="28"/>
      <c r="X597" s="53"/>
      <c r="Y597" s="22"/>
      <c r="Z597" s="28"/>
      <c r="AA597" s="28"/>
      <c r="AB597" s="28"/>
      <c r="AC597" s="28"/>
      <c r="AD597" s="28"/>
      <c r="AE597" s="28"/>
      <c r="AF597" s="28"/>
      <c r="AG597" s="28"/>
    </row>
    <row r="598" spans="1:33" ht="15.75" customHeight="1">
      <c r="A598" s="28"/>
      <c r="B598" s="28"/>
      <c r="C598" s="28"/>
      <c r="D598" s="28"/>
      <c r="E598" s="28"/>
      <c r="F598" s="28"/>
      <c r="G598" s="28"/>
      <c r="H598" s="28"/>
      <c r="I598" s="22"/>
      <c r="J598" s="28"/>
      <c r="K598" s="28"/>
      <c r="L598" s="22"/>
      <c r="M598" s="22"/>
      <c r="N598" s="28"/>
      <c r="O598" s="28"/>
      <c r="P598" s="53"/>
      <c r="Q598" s="53"/>
      <c r="R598" s="28"/>
      <c r="S598" s="53"/>
      <c r="T598" s="28"/>
      <c r="U598" s="28"/>
      <c r="V598" s="28"/>
      <c r="W598" s="28"/>
      <c r="X598" s="53"/>
      <c r="Y598" s="22"/>
      <c r="Z598" s="28"/>
      <c r="AA598" s="28"/>
      <c r="AB598" s="28"/>
      <c r="AC598" s="28"/>
      <c r="AD598" s="28"/>
      <c r="AE598" s="28"/>
      <c r="AF598" s="28"/>
      <c r="AG598" s="28"/>
    </row>
    <row r="599" spans="1:33" ht="15.75" customHeight="1">
      <c r="A599" s="28"/>
      <c r="B599" s="28"/>
      <c r="C599" s="28"/>
      <c r="D599" s="28"/>
      <c r="E599" s="28"/>
      <c r="F599" s="28"/>
      <c r="G599" s="28"/>
      <c r="H599" s="28"/>
      <c r="I599" s="22"/>
      <c r="J599" s="28"/>
      <c r="K599" s="28"/>
      <c r="L599" s="22"/>
      <c r="M599" s="22"/>
      <c r="N599" s="28"/>
      <c r="O599" s="28"/>
      <c r="P599" s="53"/>
      <c r="Q599" s="53"/>
      <c r="R599" s="28"/>
      <c r="S599" s="53"/>
      <c r="T599" s="28"/>
      <c r="U599" s="28"/>
      <c r="V599" s="28"/>
      <c r="W599" s="28"/>
      <c r="X599" s="53"/>
      <c r="Y599" s="22"/>
      <c r="Z599" s="28"/>
      <c r="AA599" s="28"/>
      <c r="AB599" s="28"/>
      <c r="AC599" s="28"/>
      <c r="AD599" s="28"/>
      <c r="AE599" s="28"/>
      <c r="AF599" s="28"/>
      <c r="AG599" s="28"/>
    </row>
    <row r="600" spans="1:33" ht="15.75" customHeight="1">
      <c r="A600" s="28"/>
      <c r="B600" s="28"/>
      <c r="C600" s="28"/>
      <c r="D600" s="28"/>
      <c r="E600" s="28"/>
      <c r="F600" s="28"/>
      <c r="G600" s="28"/>
      <c r="H600" s="28"/>
      <c r="I600" s="22"/>
      <c r="J600" s="28"/>
      <c r="K600" s="28"/>
      <c r="L600" s="22"/>
      <c r="M600" s="22"/>
      <c r="N600" s="28"/>
      <c r="O600" s="28"/>
      <c r="P600" s="53"/>
      <c r="Q600" s="53"/>
      <c r="R600" s="28"/>
      <c r="S600" s="53"/>
      <c r="T600" s="28"/>
      <c r="U600" s="28"/>
      <c r="V600" s="28"/>
      <c r="W600" s="28"/>
      <c r="X600" s="53"/>
      <c r="Y600" s="22"/>
      <c r="Z600" s="28"/>
      <c r="AA600" s="28"/>
      <c r="AB600" s="28"/>
      <c r="AC600" s="28"/>
      <c r="AD600" s="28"/>
      <c r="AE600" s="28"/>
      <c r="AF600" s="28"/>
      <c r="AG600" s="28"/>
    </row>
    <row r="601" spans="1:33" ht="15.75" customHeight="1">
      <c r="A601" s="28"/>
      <c r="B601" s="28"/>
      <c r="C601" s="28"/>
      <c r="D601" s="28"/>
      <c r="E601" s="28"/>
      <c r="F601" s="28"/>
      <c r="G601" s="28"/>
      <c r="H601" s="28"/>
      <c r="I601" s="22"/>
      <c r="J601" s="28"/>
      <c r="K601" s="28"/>
      <c r="L601" s="22"/>
      <c r="M601" s="22"/>
      <c r="N601" s="28"/>
      <c r="O601" s="28"/>
      <c r="P601" s="53"/>
      <c r="Q601" s="53"/>
      <c r="R601" s="28"/>
      <c r="S601" s="53"/>
      <c r="T601" s="28"/>
      <c r="U601" s="28"/>
      <c r="V601" s="28"/>
      <c r="W601" s="28"/>
      <c r="X601" s="53"/>
      <c r="Y601" s="22"/>
      <c r="Z601" s="28"/>
      <c r="AA601" s="28"/>
      <c r="AB601" s="28"/>
      <c r="AC601" s="28"/>
      <c r="AD601" s="28"/>
      <c r="AE601" s="28"/>
      <c r="AF601" s="28"/>
      <c r="AG601" s="28"/>
    </row>
    <row r="602" spans="1:33" ht="15.75" customHeight="1">
      <c r="A602" s="28"/>
      <c r="B602" s="28"/>
      <c r="C602" s="28"/>
      <c r="D602" s="28"/>
      <c r="E602" s="28"/>
      <c r="F602" s="28"/>
      <c r="G602" s="28"/>
      <c r="H602" s="28"/>
      <c r="I602" s="22"/>
      <c r="J602" s="28"/>
      <c r="K602" s="28"/>
      <c r="L602" s="22"/>
      <c r="M602" s="22"/>
      <c r="N602" s="28"/>
      <c r="O602" s="28"/>
      <c r="P602" s="53"/>
      <c r="Q602" s="53"/>
      <c r="R602" s="28"/>
      <c r="S602" s="53"/>
      <c r="T602" s="28"/>
      <c r="U602" s="28"/>
      <c r="V602" s="28"/>
      <c r="W602" s="28"/>
      <c r="X602" s="53"/>
      <c r="Y602" s="22"/>
      <c r="Z602" s="28"/>
      <c r="AA602" s="28"/>
      <c r="AB602" s="28"/>
      <c r="AC602" s="28"/>
      <c r="AD602" s="28"/>
      <c r="AE602" s="28"/>
      <c r="AF602" s="28"/>
      <c r="AG602" s="28"/>
    </row>
    <row r="603" spans="1:33" ht="15.75" customHeight="1">
      <c r="A603" s="28"/>
      <c r="B603" s="28"/>
      <c r="C603" s="28"/>
      <c r="D603" s="28"/>
      <c r="E603" s="28"/>
      <c r="F603" s="28"/>
      <c r="G603" s="28"/>
      <c r="H603" s="28"/>
      <c r="I603" s="22"/>
      <c r="J603" s="28"/>
      <c r="K603" s="28"/>
      <c r="L603" s="22"/>
      <c r="M603" s="22"/>
      <c r="N603" s="28"/>
      <c r="O603" s="28"/>
      <c r="P603" s="53"/>
      <c r="Q603" s="53"/>
      <c r="R603" s="28"/>
      <c r="S603" s="53"/>
      <c r="T603" s="28"/>
      <c r="U603" s="28"/>
      <c r="V603" s="28"/>
      <c r="W603" s="28"/>
      <c r="X603" s="53"/>
      <c r="Y603" s="22"/>
      <c r="Z603" s="28"/>
      <c r="AA603" s="28"/>
      <c r="AB603" s="28"/>
      <c r="AC603" s="28"/>
      <c r="AD603" s="28"/>
      <c r="AE603" s="28"/>
      <c r="AF603" s="28"/>
      <c r="AG603" s="28"/>
    </row>
    <row r="604" spans="1:33" ht="15.75" customHeight="1">
      <c r="A604" s="28"/>
      <c r="B604" s="28"/>
      <c r="C604" s="28"/>
      <c r="D604" s="28"/>
      <c r="E604" s="28"/>
      <c r="F604" s="28"/>
      <c r="G604" s="28"/>
      <c r="H604" s="28"/>
      <c r="I604" s="22"/>
      <c r="J604" s="28"/>
      <c r="K604" s="28"/>
      <c r="L604" s="22"/>
      <c r="M604" s="22"/>
      <c r="N604" s="28"/>
      <c r="O604" s="28"/>
      <c r="P604" s="53"/>
      <c r="Q604" s="53"/>
      <c r="R604" s="28"/>
      <c r="S604" s="53"/>
      <c r="T604" s="28"/>
      <c r="U604" s="28"/>
      <c r="V604" s="28"/>
      <c r="W604" s="28"/>
      <c r="X604" s="53"/>
      <c r="Y604" s="22"/>
      <c r="Z604" s="28"/>
      <c r="AA604" s="28"/>
      <c r="AB604" s="28"/>
      <c r="AC604" s="28"/>
      <c r="AD604" s="28"/>
      <c r="AE604" s="28"/>
      <c r="AF604" s="28"/>
      <c r="AG604" s="28"/>
    </row>
    <row r="605" spans="1:33" ht="15.75" customHeight="1">
      <c r="A605" s="28"/>
      <c r="B605" s="28"/>
      <c r="C605" s="28"/>
      <c r="D605" s="28"/>
      <c r="E605" s="28"/>
      <c r="F605" s="28"/>
      <c r="G605" s="28"/>
      <c r="H605" s="28"/>
      <c r="I605" s="22"/>
      <c r="J605" s="28"/>
      <c r="K605" s="28"/>
      <c r="L605" s="22"/>
      <c r="M605" s="22"/>
      <c r="N605" s="28"/>
      <c r="O605" s="28"/>
      <c r="P605" s="53"/>
      <c r="Q605" s="53"/>
      <c r="R605" s="28"/>
      <c r="S605" s="53"/>
      <c r="T605" s="28"/>
      <c r="U605" s="28"/>
      <c r="V605" s="28"/>
      <c r="W605" s="28"/>
      <c r="X605" s="53"/>
      <c r="Y605" s="22"/>
      <c r="Z605" s="28"/>
      <c r="AA605" s="28"/>
      <c r="AB605" s="28"/>
      <c r="AC605" s="28"/>
      <c r="AD605" s="28"/>
      <c r="AE605" s="28"/>
      <c r="AF605" s="28"/>
      <c r="AG605" s="28"/>
    </row>
    <row r="606" spans="1:33" ht="15.75" customHeight="1">
      <c r="A606" s="28"/>
      <c r="B606" s="28"/>
      <c r="C606" s="28"/>
      <c r="D606" s="28"/>
      <c r="E606" s="28"/>
      <c r="F606" s="28"/>
      <c r="G606" s="28"/>
      <c r="H606" s="28"/>
      <c r="I606" s="22"/>
      <c r="J606" s="28"/>
      <c r="K606" s="28"/>
      <c r="L606" s="22"/>
      <c r="M606" s="22"/>
      <c r="N606" s="28"/>
      <c r="O606" s="28"/>
      <c r="P606" s="53"/>
      <c r="Q606" s="53"/>
      <c r="R606" s="28"/>
      <c r="S606" s="53"/>
      <c r="T606" s="28"/>
      <c r="U606" s="28"/>
      <c r="V606" s="28"/>
      <c r="W606" s="28"/>
      <c r="X606" s="53"/>
      <c r="Y606" s="22"/>
      <c r="Z606" s="28"/>
      <c r="AA606" s="28"/>
      <c r="AB606" s="28"/>
      <c r="AC606" s="28"/>
      <c r="AD606" s="28"/>
      <c r="AE606" s="28"/>
      <c r="AF606" s="28"/>
      <c r="AG606" s="28"/>
    </row>
    <row r="607" spans="1:33" ht="15.75" customHeight="1">
      <c r="A607" s="28"/>
      <c r="B607" s="28"/>
      <c r="C607" s="28"/>
      <c r="D607" s="28"/>
      <c r="E607" s="28"/>
      <c r="F607" s="28"/>
      <c r="G607" s="28"/>
      <c r="H607" s="28"/>
      <c r="I607" s="22"/>
      <c r="J607" s="28"/>
      <c r="K607" s="28"/>
      <c r="L607" s="22"/>
      <c r="M607" s="22"/>
      <c r="N607" s="28"/>
      <c r="O607" s="28"/>
      <c r="P607" s="53"/>
      <c r="Q607" s="53"/>
      <c r="R607" s="28"/>
      <c r="S607" s="53"/>
      <c r="T607" s="28"/>
      <c r="U607" s="28"/>
      <c r="V607" s="28"/>
      <c r="W607" s="28"/>
      <c r="X607" s="53"/>
      <c r="Y607" s="22"/>
      <c r="Z607" s="28"/>
      <c r="AA607" s="28"/>
      <c r="AB607" s="28"/>
      <c r="AC607" s="28"/>
      <c r="AD607" s="28"/>
      <c r="AE607" s="28"/>
      <c r="AF607" s="28"/>
      <c r="AG607" s="28"/>
    </row>
    <row r="608" spans="1:33" ht="15.75" customHeight="1">
      <c r="A608" s="28"/>
      <c r="B608" s="28"/>
      <c r="C608" s="28"/>
      <c r="D608" s="28"/>
      <c r="E608" s="28"/>
      <c r="F608" s="28"/>
      <c r="G608" s="28"/>
      <c r="H608" s="28"/>
      <c r="I608" s="22"/>
      <c r="J608" s="28"/>
      <c r="K608" s="28"/>
      <c r="L608" s="22"/>
      <c r="M608" s="22"/>
      <c r="N608" s="28"/>
      <c r="O608" s="28"/>
      <c r="P608" s="53"/>
      <c r="Q608" s="53"/>
      <c r="R608" s="28"/>
      <c r="S608" s="53"/>
      <c r="T608" s="28"/>
      <c r="U608" s="28"/>
      <c r="V608" s="28"/>
      <c r="W608" s="28"/>
      <c r="X608" s="53"/>
      <c r="Y608" s="22"/>
      <c r="Z608" s="28"/>
      <c r="AA608" s="28"/>
      <c r="AB608" s="28"/>
      <c r="AC608" s="28"/>
      <c r="AD608" s="28"/>
      <c r="AE608" s="28"/>
      <c r="AF608" s="28"/>
      <c r="AG608" s="28"/>
    </row>
    <row r="609" spans="1:33" ht="15.75" customHeight="1">
      <c r="A609" s="28"/>
      <c r="B609" s="28"/>
      <c r="C609" s="28"/>
      <c r="D609" s="28"/>
      <c r="E609" s="28"/>
      <c r="F609" s="28"/>
      <c r="G609" s="28"/>
      <c r="H609" s="28"/>
      <c r="I609" s="22"/>
      <c r="J609" s="28"/>
      <c r="K609" s="28"/>
      <c r="L609" s="22"/>
      <c r="M609" s="22"/>
      <c r="N609" s="28"/>
      <c r="O609" s="28"/>
      <c r="P609" s="53"/>
      <c r="Q609" s="53"/>
      <c r="R609" s="28"/>
      <c r="S609" s="53"/>
      <c r="T609" s="28"/>
      <c r="U609" s="28"/>
      <c r="V609" s="28"/>
      <c r="W609" s="28"/>
      <c r="X609" s="53"/>
      <c r="Y609" s="22"/>
      <c r="Z609" s="28"/>
      <c r="AA609" s="28"/>
      <c r="AB609" s="28"/>
      <c r="AC609" s="28"/>
      <c r="AD609" s="28"/>
      <c r="AE609" s="28"/>
      <c r="AF609" s="28"/>
      <c r="AG609" s="28"/>
    </row>
    <row r="610" spans="1:33" ht="15.75" customHeight="1">
      <c r="A610" s="28"/>
      <c r="B610" s="28"/>
      <c r="C610" s="28"/>
      <c r="D610" s="28"/>
      <c r="E610" s="28"/>
      <c r="F610" s="28"/>
      <c r="G610" s="28"/>
      <c r="H610" s="28"/>
      <c r="I610" s="22"/>
      <c r="J610" s="28"/>
      <c r="K610" s="28"/>
      <c r="L610" s="22"/>
      <c r="M610" s="22"/>
      <c r="N610" s="28"/>
      <c r="O610" s="28"/>
      <c r="P610" s="53"/>
      <c r="Q610" s="53"/>
      <c r="R610" s="28"/>
      <c r="S610" s="53"/>
      <c r="T610" s="28"/>
      <c r="U610" s="28"/>
      <c r="V610" s="28"/>
      <c r="W610" s="28"/>
      <c r="X610" s="53"/>
      <c r="Y610" s="22"/>
      <c r="Z610" s="28"/>
      <c r="AA610" s="28"/>
      <c r="AB610" s="28"/>
      <c r="AC610" s="28"/>
      <c r="AD610" s="28"/>
      <c r="AE610" s="28"/>
      <c r="AF610" s="28"/>
      <c r="AG610" s="28"/>
    </row>
    <row r="611" spans="1:33" ht="15.75" customHeight="1">
      <c r="A611" s="28"/>
      <c r="B611" s="28"/>
      <c r="C611" s="28"/>
      <c r="D611" s="28"/>
      <c r="E611" s="28"/>
      <c r="F611" s="28"/>
      <c r="G611" s="28"/>
      <c r="H611" s="28"/>
      <c r="I611" s="22"/>
      <c r="J611" s="28"/>
      <c r="K611" s="28"/>
      <c r="L611" s="22"/>
      <c r="M611" s="22"/>
      <c r="N611" s="28"/>
      <c r="O611" s="28"/>
      <c r="P611" s="53"/>
      <c r="Q611" s="53"/>
      <c r="R611" s="28"/>
      <c r="S611" s="53"/>
      <c r="T611" s="28"/>
      <c r="U611" s="28"/>
      <c r="V611" s="28"/>
      <c r="W611" s="28"/>
      <c r="X611" s="53"/>
      <c r="Y611" s="22"/>
      <c r="Z611" s="28"/>
      <c r="AA611" s="28"/>
      <c r="AB611" s="28"/>
      <c r="AC611" s="28"/>
      <c r="AD611" s="28"/>
      <c r="AE611" s="28"/>
      <c r="AF611" s="28"/>
      <c r="AG611" s="28"/>
    </row>
    <row r="612" spans="1:33" ht="15.75" customHeight="1">
      <c r="A612" s="28"/>
      <c r="B612" s="28"/>
      <c r="C612" s="28"/>
      <c r="D612" s="28"/>
      <c r="E612" s="28"/>
      <c r="F612" s="28"/>
      <c r="G612" s="28"/>
      <c r="H612" s="28"/>
      <c r="I612" s="22"/>
      <c r="J612" s="28"/>
      <c r="K612" s="28"/>
      <c r="L612" s="22"/>
      <c r="M612" s="22"/>
      <c r="N612" s="28"/>
      <c r="O612" s="28"/>
      <c r="P612" s="53"/>
      <c r="Q612" s="53"/>
      <c r="R612" s="28"/>
      <c r="S612" s="53"/>
      <c r="T612" s="28"/>
      <c r="U612" s="28"/>
      <c r="V612" s="28"/>
      <c r="W612" s="28"/>
      <c r="X612" s="53"/>
      <c r="Y612" s="22"/>
      <c r="Z612" s="28"/>
      <c r="AA612" s="28"/>
      <c r="AB612" s="28"/>
      <c r="AC612" s="28"/>
      <c r="AD612" s="28"/>
      <c r="AE612" s="28"/>
      <c r="AF612" s="28"/>
      <c r="AG612" s="28"/>
    </row>
    <row r="613" spans="1:33" ht="15.75" customHeight="1">
      <c r="A613" s="28"/>
      <c r="B613" s="28"/>
      <c r="C613" s="28"/>
      <c r="D613" s="28"/>
      <c r="E613" s="28"/>
      <c r="F613" s="28"/>
      <c r="G613" s="28"/>
      <c r="H613" s="28"/>
      <c r="I613" s="22"/>
      <c r="J613" s="28"/>
      <c r="K613" s="28"/>
      <c r="L613" s="22"/>
      <c r="M613" s="22"/>
      <c r="N613" s="28"/>
      <c r="O613" s="28"/>
      <c r="P613" s="53"/>
      <c r="Q613" s="53"/>
      <c r="R613" s="28"/>
      <c r="S613" s="53"/>
      <c r="T613" s="28"/>
      <c r="U613" s="28"/>
      <c r="V613" s="28"/>
      <c r="W613" s="28"/>
      <c r="X613" s="53"/>
      <c r="Y613" s="22"/>
      <c r="Z613" s="28"/>
      <c r="AA613" s="28"/>
      <c r="AB613" s="28"/>
      <c r="AC613" s="28"/>
      <c r="AD613" s="28"/>
      <c r="AE613" s="28"/>
      <c r="AF613" s="28"/>
      <c r="AG613" s="28"/>
    </row>
    <row r="614" spans="1:33" ht="15.75" customHeight="1">
      <c r="A614" s="28"/>
      <c r="B614" s="28"/>
      <c r="C614" s="28"/>
      <c r="D614" s="28"/>
      <c r="E614" s="28"/>
      <c r="F614" s="28"/>
      <c r="G614" s="28"/>
      <c r="H614" s="28"/>
      <c r="I614" s="22"/>
      <c r="J614" s="28"/>
      <c r="K614" s="28"/>
      <c r="L614" s="22"/>
      <c r="M614" s="22"/>
      <c r="N614" s="28"/>
      <c r="O614" s="28"/>
      <c r="P614" s="53"/>
      <c r="Q614" s="53"/>
      <c r="R614" s="28"/>
      <c r="S614" s="53"/>
      <c r="T614" s="28"/>
      <c r="U614" s="28"/>
      <c r="V614" s="28"/>
      <c r="W614" s="28"/>
      <c r="X614" s="53"/>
      <c r="Y614" s="22"/>
      <c r="Z614" s="28"/>
      <c r="AA614" s="28"/>
      <c r="AB614" s="28"/>
      <c r="AC614" s="28"/>
      <c r="AD614" s="28"/>
      <c r="AE614" s="28"/>
      <c r="AF614" s="28"/>
      <c r="AG614" s="28"/>
    </row>
    <row r="615" spans="1:33" ht="15.75" customHeight="1">
      <c r="A615" s="28"/>
      <c r="B615" s="28"/>
      <c r="C615" s="28"/>
      <c r="D615" s="28"/>
      <c r="E615" s="28"/>
      <c r="F615" s="28"/>
      <c r="G615" s="28"/>
      <c r="H615" s="28"/>
      <c r="I615" s="22"/>
      <c r="J615" s="28"/>
      <c r="K615" s="28"/>
      <c r="L615" s="22"/>
      <c r="M615" s="22"/>
      <c r="N615" s="28"/>
      <c r="O615" s="28"/>
      <c r="P615" s="53"/>
      <c r="Q615" s="53"/>
      <c r="R615" s="28"/>
      <c r="S615" s="53"/>
      <c r="T615" s="28"/>
      <c r="U615" s="28"/>
      <c r="V615" s="28"/>
      <c r="W615" s="28"/>
      <c r="X615" s="53"/>
      <c r="Y615" s="22"/>
      <c r="Z615" s="28"/>
      <c r="AA615" s="28"/>
      <c r="AB615" s="28"/>
      <c r="AC615" s="28"/>
      <c r="AD615" s="28"/>
      <c r="AE615" s="28"/>
      <c r="AF615" s="28"/>
      <c r="AG615" s="28"/>
    </row>
    <row r="616" spans="1:33" ht="15.75" customHeight="1">
      <c r="A616" s="28"/>
      <c r="B616" s="28"/>
      <c r="C616" s="28"/>
      <c r="D616" s="28"/>
      <c r="E616" s="28"/>
      <c r="F616" s="28"/>
      <c r="G616" s="28"/>
      <c r="H616" s="28"/>
      <c r="I616" s="22"/>
      <c r="J616" s="28"/>
      <c r="K616" s="28"/>
      <c r="L616" s="22"/>
      <c r="M616" s="22"/>
      <c r="N616" s="28"/>
      <c r="O616" s="28"/>
      <c r="P616" s="53"/>
      <c r="Q616" s="53"/>
      <c r="R616" s="28"/>
      <c r="S616" s="53"/>
      <c r="T616" s="28"/>
      <c r="U616" s="28"/>
      <c r="V616" s="28"/>
      <c r="W616" s="28"/>
      <c r="X616" s="53"/>
      <c r="Y616" s="22"/>
      <c r="Z616" s="28"/>
      <c r="AA616" s="28"/>
      <c r="AB616" s="28"/>
      <c r="AC616" s="28"/>
      <c r="AD616" s="28"/>
      <c r="AE616" s="28"/>
      <c r="AF616" s="28"/>
      <c r="AG616" s="28"/>
    </row>
    <row r="617" spans="1:33" ht="15.75" customHeight="1">
      <c r="A617" s="28"/>
      <c r="B617" s="28"/>
      <c r="C617" s="28"/>
      <c r="D617" s="28"/>
      <c r="E617" s="28"/>
      <c r="F617" s="28"/>
      <c r="G617" s="28"/>
      <c r="H617" s="28"/>
      <c r="I617" s="22"/>
      <c r="J617" s="28"/>
      <c r="K617" s="28"/>
      <c r="L617" s="22"/>
      <c r="M617" s="22"/>
      <c r="N617" s="28"/>
      <c r="O617" s="28"/>
      <c r="P617" s="53"/>
      <c r="Q617" s="53"/>
      <c r="R617" s="28"/>
      <c r="S617" s="53"/>
      <c r="T617" s="28"/>
      <c r="U617" s="28"/>
      <c r="V617" s="28"/>
      <c r="W617" s="28"/>
      <c r="X617" s="53"/>
      <c r="Y617" s="22"/>
      <c r="Z617" s="28"/>
      <c r="AA617" s="28"/>
      <c r="AB617" s="28"/>
      <c r="AC617" s="28"/>
      <c r="AD617" s="28"/>
      <c r="AE617" s="28"/>
      <c r="AF617" s="28"/>
      <c r="AG617" s="28"/>
    </row>
    <row r="618" spans="1:33" ht="15.75" customHeight="1">
      <c r="A618" s="28"/>
      <c r="B618" s="28"/>
      <c r="C618" s="28"/>
      <c r="D618" s="28"/>
      <c r="E618" s="28"/>
      <c r="F618" s="28"/>
      <c r="G618" s="28"/>
      <c r="H618" s="28"/>
      <c r="I618" s="22"/>
      <c r="J618" s="28"/>
      <c r="K618" s="28"/>
      <c r="L618" s="22"/>
      <c r="M618" s="22"/>
      <c r="N618" s="28"/>
      <c r="O618" s="28"/>
      <c r="P618" s="53"/>
      <c r="Q618" s="53"/>
      <c r="R618" s="28"/>
      <c r="S618" s="53"/>
      <c r="T618" s="28"/>
      <c r="U618" s="28"/>
      <c r="V618" s="28"/>
      <c r="W618" s="28"/>
      <c r="X618" s="53"/>
      <c r="Y618" s="22"/>
      <c r="Z618" s="28"/>
      <c r="AA618" s="28"/>
      <c r="AB618" s="28"/>
      <c r="AC618" s="28"/>
      <c r="AD618" s="28"/>
      <c r="AE618" s="28"/>
      <c r="AF618" s="28"/>
      <c r="AG618" s="28"/>
    </row>
    <row r="619" spans="1:33" ht="15.75" customHeight="1">
      <c r="A619" s="28"/>
      <c r="B619" s="28"/>
      <c r="C619" s="28"/>
      <c r="D619" s="28"/>
      <c r="E619" s="28"/>
      <c r="F619" s="28"/>
      <c r="G619" s="28"/>
      <c r="H619" s="28"/>
      <c r="I619" s="22"/>
      <c r="J619" s="28"/>
      <c r="K619" s="28"/>
      <c r="L619" s="22"/>
      <c r="M619" s="22"/>
      <c r="N619" s="28"/>
      <c r="O619" s="28"/>
      <c r="P619" s="53"/>
      <c r="Q619" s="53"/>
      <c r="R619" s="28"/>
      <c r="S619" s="53"/>
      <c r="T619" s="28"/>
      <c r="U619" s="28"/>
      <c r="V619" s="28"/>
      <c r="W619" s="28"/>
      <c r="X619" s="53"/>
      <c r="Y619" s="22"/>
      <c r="Z619" s="28"/>
      <c r="AA619" s="28"/>
      <c r="AB619" s="28"/>
      <c r="AC619" s="28"/>
      <c r="AD619" s="28"/>
      <c r="AE619" s="28"/>
      <c r="AF619" s="28"/>
      <c r="AG619" s="28"/>
    </row>
    <row r="620" spans="1:33" ht="15.75" customHeight="1">
      <c r="A620" s="28"/>
      <c r="B620" s="28"/>
      <c r="C620" s="28"/>
      <c r="D620" s="28"/>
      <c r="E620" s="28"/>
      <c r="F620" s="28"/>
      <c r="G620" s="28"/>
      <c r="H620" s="28"/>
      <c r="I620" s="22"/>
      <c r="J620" s="28"/>
      <c r="K620" s="28"/>
      <c r="L620" s="22"/>
      <c r="M620" s="22"/>
      <c r="N620" s="28"/>
      <c r="O620" s="28"/>
      <c r="P620" s="53"/>
      <c r="Q620" s="53"/>
      <c r="R620" s="28"/>
      <c r="S620" s="53"/>
      <c r="T620" s="28"/>
      <c r="U620" s="28"/>
      <c r="V620" s="28"/>
      <c r="W620" s="28"/>
      <c r="X620" s="53"/>
      <c r="Y620" s="22"/>
      <c r="Z620" s="28"/>
      <c r="AA620" s="28"/>
      <c r="AB620" s="28"/>
      <c r="AC620" s="28"/>
      <c r="AD620" s="28"/>
      <c r="AE620" s="28"/>
      <c r="AF620" s="28"/>
      <c r="AG620" s="28"/>
    </row>
    <row r="621" spans="1:33" ht="15.75" customHeight="1">
      <c r="A621" s="28"/>
      <c r="B621" s="28"/>
      <c r="C621" s="28"/>
      <c r="D621" s="28"/>
      <c r="E621" s="28"/>
      <c r="F621" s="28"/>
      <c r="G621" s="28"/>
      <c r="H621" s="28"/>
      <c r="I621" s="22"/>
      <c r="J621" s="28"/>
      <c r="K621" s="28"/>
      <c r="L621" s="22"/>
      <c r="M621" s="22"/>
      <c r="N621" s="28"/>
      <c r="O621" s="28"/>
      <c r="P621" s="53"/>
      <c r="Q621" s="53"/>
      <c r="R621" s="28"/>
      <c r="S621" s="53"/>
      <c r="T621" s="28"/>
      <c r="U621" s="28"/>
      <c r="V621" s="28"/>
      <c r="W621" s="28"/>
      <c r="X621" s="53"/>
      <c r="Y621" s="22"/>
      <c r="Z621" s="28"/>
      <c r="AA621" s="28"/>
      <c r="AB621" s="28"/>
      <c r="AC621" s="28"/>
      <c r="AD621" s="28"/>
      <c r="AE621" s="28"/>
      <c r="AF621" s="28"/>
      <c r="AG621" s="28"/>
    </row>
    <row r="622" spans="1:33" ht="15.75" customHeight="1">
      <c r="A622" s="28"/>
      <c r="B622" s="28"/>
      <c r="C622" s="28"/>
      <c r="D622" s="28"/>
      <c r="E622" s="28"/>
      <c r="F622" s="28"/>
      <c r="G622" s="28"/>
      <c r="H622" s="28"/>
      <c r="I622" s="22"/>
      <c r="J622" s="28"/>
      <c r="K622" s="28"/>
      <c r="L622" s="22"/>
      <c r="M622" s="22"/>
      <c r="N622" s="28"/>
      <c r="O622" s="28"/>
      <c r="P622" s="53"/>
      <c r="Q622" s="53"/>
      <c r="R622" s="28"/>
      <c r="S622" s="53"/>
      <c r="T622" s="28"/>
      <c r="U622" s="28"/>
      <c r="V622" s="28"/>
      <c r="W622" s="28"/>
      <c r="X622" s="53"/>
      <c r="Y622" s="22"/>
      <c r="Z622" s="28"/>
      <c r="AA622" s="28"/>
      <c r="AB622" s="28"/>
      <c r="AC622" s="28"/>
      <c r="AD622" s="28"/>
      <c r="AE622" s="28"/>
      <c r="AF622" s="28"/>
      <c r="AG622" s="28"/>
    </row>
    <row r="623" spans="1:33" ht="15.75" customHeight="1">
      <c r="A623" s="28"/>
      <c r="B623" s="28"/>
      <c r="C623" s="28"/>
      <c r="D623" s="28"/>
      <c r="E623" s="28"/>
      <c r="F623" s="28"/>
      <c r="G623" s="28"/>
      <c r="H623" s="28"/>
      <c r="I623" s="22"/>
      <c r="J623" s="28"/>
      <c r="K623" s="28"/>
      <c r="L623" s="22"/>
      <c r="M623" s="22"/>
      <c r="N623" s="28"/>
      <c r="O623" s="28"/>
      <c r="P623" s="53"/>
      <c r="Q623" s="53"/>
      <c r="R623" s="28"/>
      <c r="S623" s="53"/>
      <c r="T623" s="28"/>
      <c r="U623" s="28"/>
      <c r="V623" s="28"/>
      <c r="W623" s="28"/>
      <c r="X623" s="53"/>
      <c r="Y623" s="22"/>
      <c r="Z623" s="28"/>
      <c r="AA623" s="28"/>
      <c r="AB623" s="28"/>
      <c r="AC623" s="28"/>
      <c r="AD623" s="28"/>
      <c r="AE623" s="28"/>
      <c r="AF623" s="28"/>
      <c r="AG623" s="28"/>
    </row>
    <row r="624" spans="1:33" ht="15.75" customHeight="1">
      <c r="A624" s="28"/>
      <c r="B624" s="28"/>
      <c r="C624" s="28"/>
      <c r="D624" s="28"/>
      <c r="E624" s="28"/>
      <c r="F624" s="28"/>
      <c r="G624" s="28"/>
      <c r="H624" s="28"/>
      <c r="I624" s="22"/>
      <c r="J624" s="28"/>
      <c r="K624" s="28"/>
      <c r="L624" s="22"/>
      <c r="M624" s="22"/>
      <c r="N624" s="28"/>
      <c r="O624" s="28"/>
      <c r="P624" s="53"/>
      <c r="Q624" s="53"/>
      <c r="R624" s="28"/>
      <c r="S624" s="53"/>
      <c r="T624" s="28"/>
      <c r="U624" s="28"/>
      <c r="V624" s="28"/>
      <c r="W624" s="28"/>
      <c r="X624" s="53"/>
      <c r="Y624" s="22"/>
      <c r="Z624" s="28"/>
      <c r="AA624" s="28"/>
      <c r="AB624" s="28"/>
      <c r="AC624" s="28"/>
      <c r="AD624" s="28"/>
      <c r="AE624" s="28"/>
      <c r="AF624" s="28"/>
      <c r="AG624" s="28"/>
    </row>
    <row r="625" spans="1:33" ht="15.75" customHeight="1">
      <c r="A625" s="28"/>
      <c r="B625" s="28"/>
      <c r="C625" s="28"/>
      <c r="D625" s="28"/>
      <c r="E625" s="28"/>
      <c r="F625" s="28"/>
      <c r="G625" s="28"/>
      <c r="H625" s="28"/>
      <c r="I625" s="22"/>
      <c r="J625" s="28"/>
      <c r="K625" s="28"/>
      <c r="L625" s="22"/>
      <c r="M625" s="22"/>
      <c r="N625" s="28"/>
      <c r="O625" s="28"/>
      <c r="P625" s="53"/>
      <c r="Q625" s="53"/>
      <c r="R625" s="28"/>
      <c r="S625" s="53"/>
      <c r="T625" s="28"/>
      <c r="U625" s="28"/>
      <c r="V625" s="28"/>
      <c r="W625" s="28"/>
      <c r="X625" s="53"/>
      <c r="Y625" s="22"/>
      <c r="Z625" s="28"/>
      <c r="AA625" s="28"/>
      <c r="AB625" s="28"/>
      <c r="AC625" s="28"/>
      <c r="AD625" s="28"/>
      <c r="AE625" s="28"/>
      <c r="AF625" s="28"/>
      <c r="AG625" s="28"/>
    </row>
    <row r="626" spans="1:33" ht="15.75" customHeight="1">
      <c r="A626" s="28"/>
      <c r="B626" s="28"/>
      <c r="C626" s="28"/>
      <c r="D626" s="28"/>
      <c r="E626" s="28"/>
      <c r="F626" s="28"/>
      <c r="G626" s="28"/>
      <c r="H626" s="28"/>
      <c r="I626" s="22"/>
      <c r="J626" s="28"/>
      <c r="K626" s="28"/>
      <c r="L626" s="22"/>
      <c r="M626" s="22"/>
      <c r="N626" s="28"/>
      <c r="O626" s="28"/>
      <c r="P626" s="53"/>
      <c r="Q626" s="53"/>
      <c r="R626" s="28"/>
      <c r="S626" s="53"/>
      <c r="T626" s="28"/>
      <c r="U626" s="28"/>
      <c r="V626" s="28"/>
      <c r="W626" s="28"/>
      <c r="X626" s="53"/>
      <c r="Y626" s="22"/>
      <c r="Z626" s="28"/>
      <c r="AA626" s="28"/>
      <c r="AB626" s="28"/>
      <c r="AC626" s="28"/>
      <c r="AD626" s="28"/>
      <c r="AE626" s="28"/>
      <c r="AF626" s="28"/>
      <c r="AG626" s="28"/>
    </row>
    <row r="627" spans="1:33" ht="15.75" customHeight="1">
      <c r="A627" s="28"/>
      <c r="B627" s="28"/>
      <c r="C627" s="28"/>
      <c r="D627" s="28"/>
      <c r="E627" s="28"/>
      <c r="F627" s="28"/>
      <c r="G627" s="28"/>
      <c r="H627" s="28"/>
      <c r="I627" s="22"/>
      <c r="J627" s="28"/>
      <c r="K627" s="28"/>
      <c r="L627" s="22"/>
      <c r="M627" s="22"/>
      <c r="N627" s="28"/>
      <c r="O627" s="28"/>
      <c r="P627" s="53"/>
      <c r="Q627" s="53"/>
      <c r="R627" s="28"/>
      <c r="S627" s="53"/>
      <c r="T627" s="28"/>
      <c r="U627" s="28"/>
      <c r="V627" s="28"/>
      <c r="W627" s="28"/>
      <c r="X627" s="53"/>
      <c r="Y627" s="22"/>
      <c r="Z627" s="28"/>
      <c r="AA627" s="28"/>
      <c r="AB627" s="28"/>
      <c r="AC627" s="28"/>
      <c r="AD627" s="28"/>
      <c r="AE627" s="28"/>
      <c r="AF627" s="28"/>
      <c r="AG627" s="28"/>
    </row>
    <row r="628" spans="1:33" ht="15.75" customHeight="1">
      <c r="A628" s="28"/>
      <c r="B628" s="28"/>
      <c r="C628" s="28"/>
      <c r="D628" s="28"/>
      <c r="E628" s="28"/>
      <c r="F628" s="28"/>
      <c r="G628" s="28"/>
      <c r="H628" s="28"/>
      <c r="I628" s="22"/>
      <c r="J628" s="28"/>
      <c r="K628" s="28"/>
      <c r="L628" s="22"/>
      <c r="M628" s="22"/>
      <c r="N628" s="28"/>
      <c r="O628" s="28"/>
      <c r="P628" s="53"/>
      <c r="Q628" s="53"/>
      <c r="R628" s="28"/>
      <c r="S628" s="53"/>
      <c r="T628" s="28"/>
      <c r="U628" s="28"/>
      <c r="V628" s="28"/>
      <c r="W628" s="28"/>
      <c r="X628" s="53"/>
      <c r="Y628" s="22"/>
      <c r="Z628" s="28"/>
      <c r="AA628" s="28"/>
      <c r="AB628" s="28"/>
      <c r="AC628" s="28"/>
      <c r="AD628" s="28"/>
      <c r="AE628" s="28"/>
      <c r="AF628" s="28"/>
      <c r="AG628" s="28"/>
    </row>
    <row r="629" spans="1:33" ht="15.75" customHeight="1">
      <c r="A629" s="28"/>
      <c r="B629" s="28"/>
      <c r="C629" s="28"/>
      <c r="D629" s="28"/>
      <c r="E629" s="28"/>
      <c r="F629" s="28"/>
      <c r="G629" s="28"/>
      <c r="H629" s="28"/>
      <c r="I629" s="22"/>
      <c r="J629" s="28"/>
      <c r="K629" s="28"/>
      <c r="L629" s="22"/>
      <c r="M629" s="22"/>
      <c r="N629" s="28"/>
      <c r="O629" s="28"/>
      <c r="P629" s="53"/>
      <c r="Q629" s="53"/>
      <c r="R629" s="28"/>
      <c r="S629" s="53"/>
      <c r="T629" s="28"/>
      <c r="U629" s="28"/>
      <c r="V629" s="28"/>
      <c r="W629" s="28"/>
      <c r="X629" s="53"/>
      <c r="Y629" s="22"/>
      <c r="Z629" s="28"/>
      <c r="AA629" s="28"/>
      <c r="AB629" s="28"/>
      <c r="AC629" s="28"/>
      <c r="AD629" s="28"/>
      <c r="AE629" s="28"/>
      <c r="AF629" s="28"/>
      <c r="AG629" s="28"/>
    </row>
    <row r="630" spans="1:33" ht="15.75" customHeight="1">
      <c r="A630" s="28"/>
      <c r="B630" s="28"/>
      <c r="C630" s="28"/>
      <c r="D630" s="28"/>
      <c r="E630" s="28"/>
      <c r="F630" s="28"/>
      <c r="G630" s="28"/>
      <c r="H630" s="28"/>
      <c r="I630" s="22"/>
      <c r="J630" s="28"/>
      <c r="K630" s="28"/>
      <c r="L630" s="22"/>
      <c r="M630" s="22"/>
      <c r="N630" s="28"/>
      <c r="O630" s="28"/>
      <c r="P630" s="53"/>
      <c r="Q630" s="53"/>
      <c r="R630" s="28"/>
      <c r="S630" s="53"/>
      <c r="T630" s="28"/>
      <c r="U630" s="28"/>
      <c r="V630" s="28"/>
      <c r="W630" s="28"/>
      <c r="X630" s="53"/>
      <c r="Y630" s="22"/>
      <c r="Z630" s="28"/>
      <c r="AA630" s="28"/>
      <c r="AB630" s="28"/>
      <c r="AC630" s="28"/>
      <c r="AD630" s="28"/>
      <c r="AE630" s="28"/>
      <c r="AF630" s="28"/>
      <c r="AG630" s="28"/>
    </row>
    <row r="631" spans="1:33" ht="15.75" customHeight="1">
      <c r="A631" s="28"/>
      <c r="B631" s="28"/>
      <c r="C631" s="28"/>
      <c r="D631" s="28"/>
      <c r="E631" s="28"/>
      <c r="F631" s="28"/>
      <c r="G631" s="28"/>
      <c r="H631" s="28"/>
      <c r="I631" s="22"/>
      <c r="J631" s="28"/>
      <c r="K631" s="28"/>
      <c r="L631" s="22"/>
      <c r="M631" s="22"/>
      <c r="N631" s="28"/>
      <c r="O631" s="28"/>
      <c r="P631" s="53"/>
      <c r="Q631" s="53"/>
      <c r="R631" s="28"/>
      <c r="S631" s="53"/>
      <c r="T631" s="28"/>
      <c r="U631" s="28"/>
      <c r="V631" s="28"/>
      <c r="W631" s="28"/>
      <c r="X631" s="53"/>
      <c r="Y631" s="22"/>
      <c r="Z631" s="28"/>
      <c r="AA631" s="28"/>
      <c r="AB631" s="28"/>
      <c r="AC631" s="28"/>
      <c r="AD631" s="28"/>
      <c r="AE631" s="28"/>
      <c r="AF631" s="28"/>
      <c r="AG631" s="28"/>
    </row>
    <row r="632" spans="1:33" ht="15.75" customHeight="1">
      <c r="A632" s="28"/>
      <c r="B632" s="28"/>
      <c r="C632" s="28"/>
      <c r="D632" s="28"/>
      <c r="E632" s="28"/>
      <c r="F632" s="28"/>
      <c r="G632" s="28"/>
      <c r="H632" s="28"/>
      <c r="I632" s="22"/>
      <c r="J632" s="28"/>
      <c r="K632" s="28"/>
      <c r="L632" s="22"/>
      <c r="M632" s="22"/>
      <c r="N632" s="28"/>
      <c r="O632" s="28"/>
      <c r="P632" s="53"/>
      <c r="Q632" s="53"/>
      <c r="R632" s="28"/>
      <c r="S632" s="53"/>
      <c r="T632" s="28"/>
      <c r="U632" s="28"/>
      <c r="V632" s="28"/>
      <c r="W632" s="28"/>
      <c r="X632" s="53"/>
      <c r="Y632" s="22"/>
      <c r="Z632" s="28"/>
      <c r="AA632" s="28"/>
      <c r="AB632" s="28"/>
      <c r="AC632" s="28"/>
      <c r="AD632" s="28"/>
      <c r="AE632" s="28"/>
      <c r="AF632" s="28"/>
      <c r="AG632" s="28"/>
    </row>
    <row r="633" spans="1:33" ht="15.75" customHeight="1">
      <c r="A633" s="28"/>
      <c r="B633" s="28"/>
      <c r="C633" s="28"/>
      <c r="D633" s="28"/>
      <c r="E633" s="28"/>
      <c r="F633" s="28"/>
      <c r="G633" s="28"/>
      <c r="H633" s="28"/>
      <c r="I633" s="22"/>
      <c r="J633" s="28"/>
      <c r="K633" s="28"/>
      <c r="L633" s="22"/>
      <c r="M633" s="22"/>
      <c r="N633" s="28"/>
      <c r="O633" s="28"/>
      <c r="P633" s="53"/>
      <c r="Q633" s="53"/>
      <c r="R633" s="28"/>
      <c r="S633" s="53"/>
      <c r="T633" s="28"/>
      <c r="U633" s="28"/>
      <c r="V633" s="28"/>
      <c r="W633" s="28"/>
      <c r="X633" s="53"/>
      <c r="Y633" s="22"/>
      <c r="Z633" s="28"/>
      <c r="AA633" s="28"/>
      <c r="AB633" s="28"/>
      <c r="AC633" s="28"/>
      <c r="AD633" s="28"/>
      <c r="AE633" s="28"/>
      <c r="AF633" s="28"/>
      <c r="AG633" s="28"/>
    </row>
    <row r="634" spans="1:33" ht="15.75" customHeight="1">
      <c r="A634" s="28"/>
      <c r="B634" s="28"/>
      <c r="C634" s="28"/>
      <c r="D634" s="28"/>
      <c r="E634" s="28"/>
      <c r="F634" s="28"/>
      <c r="G634" s="28"/>
      <c r="H634" s="28"/>
      <c r="I634" s="22"/>
      <c r="J634" s="28"/>
      <c r="K634" s="28"/>
      <c r="L634" s="22"/>
      <c r="M634" s="22"/>
      <c r="N634" s="28"/>
      <c r="O634" s="28"/>
      <c r="P634" s="53"/>
      <c r="Q634" s="53"/>
      <c r="R634" s="28"/>
      <c r="S634" s="53"/>
      <c r="T634" s="28"/>
      <c r="U634" s="28"/>
      <c r="V634" s="28"/>
      <c r="W634" s="28"/>
      <c r="X634" s="53"/>
      <c r="Y634" s="22"/>
      <c r="Z634" s="28"/>
      <c r="AA634" s="28"/>
      <c r="AB634" s="28"/>
      <c r="AC634" s="28"/>
      <c r="AD634" s="28"/>
      <c r="AE634" s="28"/>
      <c r="AF634" s="28"/>
      <c r="AG634" s="28"/>
    </row>
    <row r="635" spans="1:33" ht="15.75" customHeight="1">
      <c r="A635" s="28"/>
      <c r="B635" s="28"/>
      <c r="C635" s="28"/>
      <c r="D635" s="28"/>
      <c r="E635" s="28"/>
      <c r="F635" s="28"/>
      <c r="G635" s="28"/>
      <c r="H635" s="28"/>
      <c r="I635" s="22"/>
      <c r="J635" s="28"/>
      <c r="K635" s="28"/>
      <c r="L635" s="22"/>
      <c r="M635" s="22"/>
      <c r="N635" s="28"/>
      <c r="O635" s="28"/>
      <c r="P635" s="53"/>
      <c r="Q635" s="53"/>
      <c r="R635" s="28"/>
      <c r="S635" s="53"/>
      <c r="T635" s="28"/>
      <c r="U635" s="28"/>
      <c r="V635" s="28"/>
      <c r="W635" s="28"/>
      <c r="X635" s="53"/>
      <c r="Y635" s="22"/>
      <c r="Z635" s="28"/>
      <c r="AA635" s="28"/>
      <c r="AB635" s="28"/>
      <c r="AC635" s="28"/>
      <c r="AD635" s="28"/>
      <c r="AE635" s="28"/>
      <c r="AF635" s="28"/>
      <c r="AG635" s="28"/>
    </row>
    <row r="636" spans="1:33" ht="15.75" customHeight="1">
      <c r="A636" s="28"/>
      <c r="B636" s="28"/>
      <c r="C636" s="28"/>
      <c r="D636" s="28"/>
      <c r="E636" s="28"/>
      <c r="F636" s="28"/>
      <c r="G636" s="28"/>
      <c r="H636" s="28"/>
      <c r="I636" s="22"/>
      <c r="J636" s="28"/>
      <c r="K636" s="28"/>
      <c r="L636" s="22"/>
      <c r="M636" s="22"/>
      <c r="N636" s="28"/>
      <c r="O636" s="28"/>
      <c r="P636" s="53"/>
      <c r="Q636" s="53"/>
      <c r="R636" s="28"/>
      <c r="S636" s="53"/>
      <c r="T636" s="28"/>
      <c r="U636" s="28"/>
      <c r="V636" s="28"/>
      <c r="W636" s="28"/>
      <c r="X636" s="53"/>
      <c r="Y636" s="22"/>
      <c r="Z636" s="28"/>
      <c r="AA636" s="28"/>
      <c r="AB636" s="28"/>
      <c r="AC636" s="28"/>
      <c r="AD636" s="28"/>
      <c r="AE636" s="28"/>
      <c r="AF636" s="28"/>
      <c r="AG636" s="28"/>
    </row>
    <row r="637" spans="1:33" ht="15.75" customHeight="1">
      <c r="A637" s="28"/>
      <c r="B637" s="28"/>
      <c r="C637" s="28"/>
      <c r="D637" s="28"/>
      <c r="E637" s="28"/>
      <c r="F637" s="28"/>
      <c r="G637" s="28"/>
      <c r="H637" s="28"/>
      <c r="I637" s="22"/>
      <c r="J637" s="28"/>
      <c r="K637" s="28"/>
      <c r="L637" s="22"/>
      <c r="M637" s="22"/>
      <c r="N637" s="28"/>
      <c r="O637" s="28"/>
      <c r="P637" s="53"/>
      <c r="Q637" s="53"/>
      <c r="R637" s="28"/>
      <c r="S637" s="53"/>
      <c r="T637" s="28"/>
      <c r="U637" s="28"/>
      <c r="V637" s="28"/>
      <c r="W637" s="28"/>
      <c r="X637" s="53"/>
      <c r="Y637" s="22"/>
      <c r="Z637" s="28"/>
      <c r="AA637" s="28"/>
      <c r="AB637" s="28"/>
      <c r="AC637" s="28"/>
      <c r="AD637" s="28"/>
      <c r="AE637" s="28"/>
      <c r="AF637" s="28"/>
      <c r="AG637" s="28"/>
    </row>
    <row r="638" spans="1:33" ht="15.75" customHeight="1">
      <c r="A638" s="28"/>
      <c r="B638" s="28"/>
      <c r="C638" s="28"/>
      <c r="D638" s="28"/>
      <c r="E638" s="28"/>
      <c r="F638" s="28"/>
      <c r="G638" s="28"/>
      <c r="H638" s="28"/>
      <c r="I638" s="22"/>
      <c r="J638" s="28"/>
      <c r="K638" s="28"/>
      <c r="L638" s="22"/>
      <c r="M638" s="22"/>
      <c r="N638" s="28"/>
      <c r="O638" s="28"/>
      <c r="P638" s="53"/>
      <c r="Q638" s="53"/>
      <c r="R638" s="28"/>
      <c r="S638" s="53"/>
      <c r="T638" s="28"/>
      <c r="U638" s="28"/>
      <c r="V638" s="28"/>
      <c r="W638" s="28"/>
      <c r="X638" s="53"/>
      <c r="Y638" s="22"/>
      <c r="Z638" s="28"/>
      <c r="AA638" s="28"/>
      <c r="AB638" s="28"/>
      <c r="AC638" s="28"/>
      <c r="AD638" s="28"/>
      <c r="AE638" s="28"/>
      <c r="AF638" s="28"/>
      <c r="AG638" s="28"/>
    </row>
    <row r="639" spans="1:33" ht="15.75" customHeight="1">
      <c r="A639" s="28"/>
      <c r="B639" s="28"/>
      <c r="C639" s="28"/>
      <c r="D639" s="28"/>
      <c r="E639" s="28"/>
      <c r="F639" s="28"/>
      <c r="G639" s="28"/>
      <c r="H639" s="28"/>
      <c r="I639" s="22"/>
      <c r="J639" s="28"/>
      <c r="K639" s="28"/>
      <c r="L639" s="22"/>
      <c r="M639" s="22"/>
      <c r="N639" s="28"/>
      <c r="O639" s="28"/>
      <c r="P639" s="53"/>
      <c r="Q639" s="53"/>
      <c r="R639" s="28"/>
      <c r="S639" s="53"/>
      <c r="T639" s="28"/>
      <c r="U639" s="28"/>
      <c r="V639" s="28"/>
      <c r="W639" s="28"/>
      <c r="X639" s="53"/>
      <c r="Y639" s="22"/>
      <c r="Z639" s="28"/>
      <c r="AA639" s="28"/>
      <c r="AB639" s="28"/>
      <c r="AC639" s="28"/>
      <c r="AD639" s="28"/>
      <c r="AE639" s="28"/>
      <c r="AF639" s="28"/>
      <c r="AG639" s="28"/>
    </row>
    <row r="640" spans="1:33" ht="15.75" customHeight="1">
      <c r="A640" s="28"/>
      <c r="B640" s="28"/>
      <c r="C640" s="28"/>
      <c r="D640" s="28"/>
      <c r="E640" s="28"/>
      <c r="F640" s="28"/>
      <c r="G640" s="28"/>
      <c r="H640" s="28"/>
      <c r="I640" s="22"/>
      <c r="J640" s="28"/>
      <c r="K640" s="28"/>
      <c r="L640" s="22"/>
      <c r="M640" s="22"/>
      <c r="N640" s="28"/>
      <c r="O640" s="28"/>
      <c r="P640" s="53"/>
      <c r="Q640" s="53"/>
      <c r="R640" s="28"/>
      <c r="S640" s="53"/>
      <c r="T640" s="28"/>
      <c r="U640" s="28"/>
      <c r="V640" s="28"/>
      <c r="W640" s="28"/>
      <c r="X640" s="53"/>
      <c r="Y640" s="22"/>
      <c r="Z640" s="28"/>
      <c r="AA640" s="28"/>
      <c r="AB640" s="28"/>
      <c r="AC640" s="28"/>
      <c r="AD640" s="28"/>
      <c r="AE640" s="28"/>
      <c r="AF640" s="28"/>
      <c r="AG640" s="28"/>
    </row>
    <row r="641" spans="1:33" ht="15.75" customHeight="1">
      <c r="A641" s="28"/>
      <c r="B641" s="28"/>
      <c r="C641" s="28"/>
      <c r="D641" s="28"/>
      <c r="E641" s="28"/>
      <c r="F641" s="28"/>
      <c r="G641" s="28"/>
      <c r="H641" s="28"/>
      <c r="I641" s="22"/>
      <c r="J641" s="28"/>
      <c r="K641" s="28"/>
      <c r="L641" s="22"/>
      <c r="M641" s="22"/>
      <c r="N641" s="28"/>
      <c r="O641" s="28"/>
      <c r="P641" s="53"/>
      <c r="Q641" s="53"/>
      <c r="R641" s="28"/>
      <c r="S641" s="53"/>
      <c r="T641" s="28"/>
      <c r="U641" s="28"/>
      <c r="V641" s="28"/>
      <c r="W641" s="28"/>
      <c r="X641" s="53"/>
      <c r="Y641" s="22"/>
      <c r="Z641" s="28"/>
      <c r="AA641" s="28"/>
      <c r="AB641" s="28"/>
      <c r="AC641" s="28"/>
      <c r="AD641" s="28"/>
      <c r="AE641" s="28"/>
      <c r="AF641" s="28"/>
      <c r="AG641" s="28"/>
    </row>
    <row r="642" spans="1:33" ht="15.75" customHeight="1">
      <c r="A642" s="28"/>
      <c r="B642" s="28"/>
      <c r="C642" s="28"/>
      <c r="D642" s="28"/>
      <c r="E642" s="28"/>
      <c r="F642" s="28"/>
      <c r="G642" s="28"/>
      <c r="H642" s="28"/>
      <c r="I642" s="22"/>
      <c r="J642" s="28"/>
      <c r="K642" s="28"/>
      <c r="L642" s="22"/>
      <c r="M642" s="22"/>
      <c r="N642" s="28"/>
      <c r="O642" s="28"/>
      <c r="P642" s="53"/>
      <c r="Q642" s="53"/>
      <c r="R642" s="28"/>
      <c r="S642" s="53"/>
      <c r="T642" s="28"/>
      <c r="U642" s="28"/>
      <c r="V642" s="28"/>
      <c r="W642" s="28"/>
      <c r="X642" s="53"/>
      <c r="Y642" s="22"/>
      <c r="Z642" s="28"/>
      <c r="AA642" s="28"/>
      <c r="AB642" s="28"/>
      <c r="AC642" s="28"/>
      <c r="AD642" s="28"/>
      <c r="AE642" s="28"/>
      <c r="AF642" s="28"/>
      <c r="AG642" s="28"/>
    </row>
    <row r="643" spans="1:33" ht="15.75" customHeight="1">
      <c r="A643" s="28"/>
      <c r="B643" s="28"/>
      <c r="C643" s="28"/>
      <c r="D643" s="28"/>
      <c r="E643" s="28"/>
      <c r="F643" s="28"/>
      <c r="G643" s="28"/>
      <c r="H643" s="28"/>
      <c r="I643" s="22"/>
      <c r="J643" s="28"/>
      <c r="K643" s="28"/>
      <c r="L643" s="22"/>
      <c r="M643" s="22"/>
      <c r="N643" s="28"/>
      <c r="O643" s="28"/>
      <c r="P643" s="53"/>
      <c r="Q643" s="53"/>
      <c r="R643" s="28"/>
      <c r="S643" s="53"/>
      <c r="T643" s="28"/>
      <c r="U643" s="28"/>
      <c r="V643" s="28"/>
      <c r="W643" s="28"/>
      <c r="X643" s="53"/>
      <c r="Y643" s="22"/>
      <c r="Z643" s="28"/>
      <c r="AA643" s="28"/>
      <c r="AB643" s="28"/>
      <c r="AC643" s="28"/>
      <c r="AD643" s="28"/>
      <c r="AE643" s="28"/>
      <c r="AF643" s="28"/>
      <c r="AG643" s="28"/>
    </row>
    <row r="644" spans="1:33" ht="15.75" customHeight="1">
      <c r="A644" s="28"/>
      <c r="B644" s="28"/>
      <c r="C644" s="28"/>
      <c r="D644" s="28"/>
      <c r="E644" s="28"/>
      <c r="F644" s="28"/>
      <c r="G644" s="28"/>
      <c r="H644" s="28"/>
      <c r="I644" s="22"/>
      <c r="J644" s="28"/>
      <c r="K644" s="28"/>
      <c r="L644" s="22"/>
      <c r="M644" s="22"/>
      <c r="N644" s="28"/>
      <c r="O644" s="28"/>
      <c r="P644" s="53"/>
      <c r="Q644" s="53"/>
      <c r="R644" s="28"/>
      <c r="S644" s="53"/>
      <c r="T644" s="28"/>
      <c r="U644" s="28"/>
      <c r="V644" s="28"/>
      <c r="W644" s="28"/>
      <c r="X644" s="53"/>
      <c r="Y644" s="22"/>
      <c r="Z644" s="28"/>
      <c r="AA644" s="28"/>
      <c r="AB644" s="28"/>
      <c r="AC644" s="28"/>
      <c r="AD644" s="28"/>
      <c r="AE644" s="28"/>
      <c r="AF644" s="28"/>
      <c r="AG644" s="28"/>
    </row>
    <row r="645" spans="1:33" ht="15.75" customHeight="1">
      <c r="A645" s="28"/>
      <c r="B645" s="28"/>
      <c r="C645" s="28"/>
      <c r="D645" s="28"/>
      <c r="E645" s="28"/>
      <c r="F645" s="28"/>
      <c r="G645" s="28"/>
      <c r="H645" s="28"/>
      <c r="I645" s="22"/>
      <c r="J645" s="28"/>
      <c r="K645" s="28"/>
      <c r="L645" s="22"/>
      <c r="M645" s="22"/>
      <c r="N645" s="28"/>
      <c r="O645" s="28"/>
      <c r="P645" s="53"/>
      <c r="Q645" s="53"/>
      <c r="R645" s="28"/>
      <c r="S645" s="53"/>
      <c r="T645" s="28"/>
      <c r="U645" s="28"/>
      <c r="V645" s="28"/>
      <c r="W645" s="28"/>
      <c r="X645" s="53"/>
      <c r="Y645" s="22"/>
      <c r="Z645" s="28"/>
      <c r="AA645" s="28"/>
      <c r="AB645" s="28"/>
      <c r="AC645" s="28"/>
      <c r="AD645" s="28"/>
      <c r="AE645" s="28"/>
      <c r="AF645" s="28"/>
      <c r="AG645" s="28"/>
    </row>
    <row r="646" spans="1:33" ht="15.75" customHeight="1">
      <c r="A646" s="28"/>
      <c r="B646" s="28"/>
      <c r="C646" s="28"/>
      <c r="D646" s="28"/>
      <c r="E646" s="28"/>
      <c r="F646" s="28"/>
      <c r="G646" s="28"/>
      <c r="H646" s="28"/>
      <c r="I646" s="22"/>
      <c r="J646" s="28"/>
      <c r="K646" s="28"/>
      <c r="L646" s="22"/>
      <c r="M646" s="22"/>
      <c r="N646" s="28"/>
      <c r="O646" s="28"/>
      <c r="P646" s="53"/>
      <c r="Q646" s="53"/>
      <c r="R646" s="28"/>
      <c r="S646" s="53"/>
      <c r="T646" s="28"/>
      <c r="U646" s="28"/>
      <c r="V646" s="28"/>
      <c r="W646" s="28"/>
      <c r="X646" s="53"/>
      <c r="Y646" s="22"/>
      <c r="Z646" s="28"/>
      <c r="AA646" s="28"/>
      <c r="AB646" s="28"/>
      <c r="AC646" s="28"/>
      <c r="AD646" s="28"/>
      <c r="AE646" s="28"/>
      <c r="AF646" s="28"/>
      <c r="AG646" s="28"/>
    </row>
    <row r="647" spans="1:33" ht="15.75" customHeight="1">
      <c r="A647" s="28"/>
      <c r="B647" s="28"/>
      <c r="C647" s="28"/>
      <c r="D647" s="28"/>
      <c r="E647" s="28"/>
      <c r="F647" s="28"/>
      <c r="G647" s="28"/>
      <c r="H647" s="28"/>
      <c r="I647" s="22"/>
      <c r="J647" s="28"/>
      <c r="K647" s="28"/>
      <c r="L647" s="22"/>
      <c r="M647" s="22"/>
      <c r="N647" s="28"/>
      <c r="O647" s="28"/>
      <c r="P647" s="53"/>
      <c r="Q647" s="53"/>
      <c r="R647" s="28"/>
      <c r="S647" s="53"/>
      <c r="T647" s="28"/>
      <c r="U647" s="28"/>
      <c r="V647" s="28"/>
      <c r="W647" s="28"/>
      <c r="X647" s="53"/>
      <c r="Y647" s="22"/>
      <c r="Z647" s="28"/>
      <c r="AA647" s="28"/>
      <c r="AB647" s="28"/>
      <c r="AC647" s="28"/>
      <c r="AD647" s="28"/>
      <c r="AE647" s="28"/>
      <c r="AF647" s="28"/>
      <c r="AG647" s="28"/>
    </row>
    <row r="648" spans="1:33" ht="15.75" customHeight="1">
      <c r="A648" s="28"/>
      <c r="B648" s="28"/>
      <c r="C648" s="28"/>
      <c r="D648" s="28"/>
      <c r="E648" s="28"/>
      <c r="F648" s="28"/>
      <c r="G648" s="28"/>
      <c r="H648" s="28"/>
      <c r="I648" s="22"/>
      <c r="J648" s="28"/>
      <c r="K648" s="28"/>
      <c r="L648" s="22"/>
      <c r="M648" s="22"/>
      <c r="N648" s="28"/>
      <c r="O648" s="28"/>
      <c r="P648" s="53"/>
      <c r="Q648" s="53"/>
      <c r="R648" s="28"/>
      <c r="S648" s="53"/>
      <c r="T648" s="28"/>
      <c r="U648" s="28"/>
      <c r="V648" s="28"/>
      <c r="W648" s="28"/>
      <c r="X648" s="53"/>
      <c r="Y648" s="22"/>
      <c r="Z648" s="28"/>
      <c r="AA648" s="28"/>
      <c r="AB648" s="28"/>
      <c r="AC648" s="28"/>
      <c r="AD648" s="28"/>
      <c r="AE648" s="28"/>
      <c r="AF648" s="28"/>
      <c r="AG648" s="28"/>
    </row>
    <row r="649" spans="1:33" ht="15.75" customHeight="1">
      <c r="A649" s="28"/>
      <c r="B649" s="28"/>
      <c r="C649" s="28"/>
      <c r="D649" s="28"/>
      <c r="E649" s="28"/>
      <c r="F649" s="28"/>
      <c r="G649" s="28"/>
      <c r="H649" s="28"/>
      <c r="I649" s="22"/>
      <c r="J649" s="28"/>
      <c r="K649" s="28"/>
      <c r="L649" s="22"/>
      <c r="M649" s="22"/>
      <c r="N649" s="28"/>
      <c r="O649" s="28"/>
      <c r="P649" s="53"/>
      <c r="Q649" s="53"/>
      <c r="R649" s="28"/>
      <c r="S649" s="53"/>
      <c r="T649" s="28"/>
      <c r="U649" s="28"/>
      <c r="V649" s="28"/>
      <c r="W649" s="28"/>
      <c r="X649" s="53"/>
      <c r="Y649" s="22"/>
      <c r="Z649" s="28"/>
      <c r="AA649" s="28"/>
      <c r="AB649" s="28"/>
      <c r="AC649" s="28"/>
      <c r="AD649" s="28"/>
      <c r="AE649" s="28"/>
      <c r="AF649" s="28"/>
      <c r="AG649" s="28"/>
    </row>
    <row r="650" spans="1:33" ht="15.75" customHeight="1">
      <c r="A650" s="28"/>
      <c r="B650" s="28"/>
      <c r="C650" s="28"/>
      <c r="D650" s="28"/>
      <c r="E650" s="28"/>
      <c r="F650" s="28"/>
      <c r="G650" s="28"/>
      <c r="H650" s="28"/>
      <c r="I650" s="22"/>
      <c r="J650" s="28"/>
      <c r="K650" s="28"/>
      <c r="L650" s="22"/>
      <c r="M650" s="22"/>
      <c r="N650" s="28"/>
      <c r="O650" s="28"/>
      <c r="P650" s="53"/>
      <c r="Q650" s="53"/>
      <c r="R650" s="28"/>
      <c r="S650" s="53"/>
      <c r="T650" s="28"/>
      <c r="U650" s="28"/>
      <c r="V650" s="28"/>
      <c r="W650" s="28"/>
      <c r="X650" s="53"/>
      <c r="Y650" s="22"/>
      <c r="Z650" s="28"/>
      <c r="AA650" s="28"/>
      <c r="AB650" s="28"/>
      <c r="AC650" s="28"/>
      <c r="AD650" s="28"/>
      <c r="AE650" s="28"/>
      <c r="AF650" s="28"/>
      <c r="AG650" s="28"/>
    </row>
    <row r="651" spans="1:33" ht="15.75" customHeight="1">
      <c r="A651" s="28"/>
      <c r="B651" s="28"/>
      <c r="C651" s="28"/>
      <c r="D651" s="28"/>
      <c r="E651" s="28"/>
      <c r="F651" s="28"/>
      <c r="G651" s="28"/>
      <c r="H651" s="28"/>
      <c r="I651" s="22"/>
      <c r="J651" s="28"/>
      <c r="K651" s="28"/>
      <c r="L651" s="22"/>
      <c r="M651" s="22"/>
      <c r="N651" s="28"/>
      <c r="O651" s="28"/>
      <c r="P651" s="53"/>
      <c r="Q651" s="53"/>
      <c r="R651" s="28"/>
      <c r="S651" s="53"/>
      <c r="T651" s="28"/>
      <c r="U651" s="28"/>
      <c r="V651" s="28"/>
      <c r="W651" s="28"/>
      <c r="X651" s="53"/>
      <c r="Y651" s="22"/>
      <c r="Z651" s="28"/>
      <c r="AA651" s="28"/>
      <c r="AB651" s="28"/>
      <c r="AC651" s="28"/>
      <c r="AD651" s="28"/>
      <c r="AE651" s="28"/>
      <c r="AF651" s="28"/>
      <c r="AG651" s="28"/>
    </row>
    <row r="652" spans="1:33" ht="15.75" customHeight="1">
      <c r="A652" s="28"/>
      <c r="B652" s="28"/>
      <c r="C652" s="28"/>
      <c r="D652" s="28"/>
      <c r="E652" s="28"/>
      <c r="F652" s="28"/>
      <c r="G652" s="28"/>
      <c r="H652" s="28"/>
      <c r="I652" s="22"/>
      <c r="J652" s="28"/>
      <c r="K652" s="28"/>
      <c r="L652" s="22"/>
      <c r="M652" s="22"/>
      <c r="N652" s="28"/>
      <c r="O652" s="28"/>
      <c r="P652" s="53"/>
      <c r="Q652" s="53"/>
      <c r="R652" s="28"/>
      <c r="S652" s="53"/>
      <c r="T652" s="28"/>
      <c r="U652" s="28"/>
      <c r="V652" s="28"/>
      <c r="W652" s="28"/>
      <c r="X652" s="53"/>
      <c r="Y652" s="22"/>
      <c r="Z652" s="28"/>
      <c r="AA652" s="28"/>
      <c r="AB652" s="28"/>
      <c r="AC652" s="28"/>
      <c r="AD652" s="28"/>
      <c r="AE652" s="28"/>
      <c r="AF652" s="28"/>
      <c r="AG652" s="28"/>
    </row>
    <row r="653" spans="1:33" ht="15.75" customHeight="1">
      <c r="A653" s="28"/>
      <c r="B653" s="28"/>
      <c r="C653" s="28"/>
      <c r="D653" s="28"/>
      <c r="E653" s="28"/>
      <c r="F653" s="28"/>
      <c r="G653" s="28"/>
      <c r="H653" s="28"/>
      <c r="I653" s="22"/>
      <c r="J653" s="28"/>
      <c r="K653" s="28"/>
      <c r="L653" s="22"/>
      <c r="M653" s="22"/>
      <c r="N653" s="28"/>
      <c r="O653" s="28"/>
      <c r="P653" s="53"/>
      <c r="Q653" s="53"/>
      <c r="R653" s="28"/>
      <c r="S653" s="53"/>
      <c r="T653" s="28"/>
      <c r="U653" s="28"/>
      <c r="V653" s="28"/>
      <c r="W653" s="28"/>
      <c r="X653" s="53"/>
      <c r="Y653" s="22"/>
      <c r="Z653" s="28"/>
      <c r="AA653" s="28"/>
      <c r="AB653" s="28"/>
      <c r="AC653" s="28"/>
      <c r="AD653" s="28"/>
      <c r="AE653" s="28"/>
      <c r="AF653" s="28"/>
      <c r="AG653" s="28"/>
    </row>
    <row r="654" spans="1:33" ht="15.75" customHeight="1">
      <c r="A654" s="28"/>
      <c r="B654" s="28"/>
      <c r="C654" s="28"/>
      <c r="D654" s="28"/>
      <c r="E654" s="28"/>
      <c r="F654" s="28"/>
      <c r="G654" s="28"/>
      <c r="H654" s="28"/>
      <c r="I654" s="22"/>
      <c r="J654" s="28"/>
      <c r="K654" s="28"/>
      <c r="L654" s="22"/>
      <c r="M654" s="22"/>
      <c r="N654" s="28"/>
      <c r="O654" s="28"/>
      <c r="P654" s="53"/>
      <c r="Q654" s="53"/>
      <c r="R654" s="28"/>
      <c r="S654" s="53"/>
      <c r="T654" s="28"/>
      <c r="U654" s="28"/>
      <c r="V654" s="28"/>
      <c r="W654" s="28"/>
      <c r="X654" s="53"/>
      <c r="Y654" s="22"/>
      <c r="Z654" s="28"/>
      <c r="AA654" s="28"/>
      <c r="AB654" s="28"/>
      <c r="AC654" s="28"/>
      <c r="AD654" s="28"/>
      <c r="AE654" s="28"/>
      <c r="AF654" s="28"/>
      <c r="AG654" s="28"/>
    </row>
    <row r="655" spans="1:33" ht="15.75" customHeight="1">
      <c r="A655" s="28"/>
      <c r="B655" s="28"/>
      <c r="C655" s="28"/>
      <c r="D655" s="28"/>
      <c r="E655" s="28"/>
      <c r="F655" s="28"/>
      <c r="G655" s="28"/>
      <c r="H655" s="28"/>
      <c r="I655" s="22"/>
      <c r="J655" s="28"/>
      <c r="K655" s="28"/>
      <c r="L655" s="22"/>
      <c r="M655" s="22"/>
      <c r="N655" s="28"/>
      <c r="O655" s="28"/>
      <c r="P655" s="53"/>
      <c r="Q655" s="53"/>
      <c r="R655" s="28"/>
      <c r="S655" s="53"/>
      <c r="T655" s="28"/>
      <c r="U655" s="28"/>
      <c r="V655" s="28"/>
      <c r="W655" s="28"/>
      <c r="X655" s="53"/>
      <c r="Y655" s="22"/>
      <c r="Z655" s="28"/>
      <c r="AA655" s="28"/>
      <c r="AB655" s="28"/>
      <c r="AC655" s="28"/>
      <c r="AD655" s="28"/>
      <c r="AE655" s="28"/>
      <c r="AF655" s="28"/>
      <c r="AG655" s="28"/>
    </row>
    <row r="656" spans="1:33" ht="15.75" customHeight="1">
      <c r="A656" s="28"/>
      <c r="B656" s="28"/>
      <c r="C656" s="28"/>
      <c r="D656" s="28"/>
      <c r="E656" s="28"/>
      <c r="F656" s="28"/>
      <c r="G656" s="28"/>
      <c r="H656" s="28"/>
      <c r="I656" s="22"/>
      <c r="J656" s="28"/>
      <c r="K656" s="28"/>
      <c r="L656" s="22"/>
      <c r="M656" s="22"/>
      <c r="N656" s="28"/>
      <c r="O656" s="28"/>
      <c r="P656" s="53"/>
      <c r="Q656" s="53"/>
      <c r="R656" s="28"/>
      <c r="S656" s="53"/>
      <c r="T656" s="28"/>
      <c r="U656" s="28"/>
      <c r="V656" s="28"/>
      <c r="W656" s="28"/>
      <c r="X656" s="53"/>
      <c r="Y656" s="22"/>
      <c r="Z656" s="28"/>
      <c r="AA656" s="28"/>
      <c r="AB656" s="28"/>
      <c r="AC656" s="28"/>
      <c r="AD656" s="28"/>
      <c r="AE656" s="28"/>
      <c r="AF656" s="28"/>
      <c r="AG656" s="28"/>
    </row>
    <row r="657" spans="1:33" ht="15.75" customHeight="1">
      <c r="A657" s="28"/>
      <c r="B657" s="28"/>
      <c r="C657" s="28"/>
      <c r="D657" s="28"/>
      <c r="E657" s="28"/>
      <c r="F657" s="28"/>
      <c r="G657" s="28"/>
      <c r="H657" s="28"/>
      <c r="I657" s="22"/>
      <c r="J657" s="28"/>
      <c r="K657" s="28"/>
      <c r="L657" s="22"/>
      <c r="M657" s="22"/>
      <c r="N657" s="28"/>
      <c r="O657" s="28"/>
      <c r="P657" s="53"/>
      <c r="Q657" s="53"/>
      <c r="R657" s="28"/>
      <c r="S657" s="53"/>
      <c r="T657" s="28"/>
      <c r="U657" s="28"/>
      <c r="V657" s="28"/>
      <c r="W657" s="28"/>
      <c r="X657" s="53"/>
      <c r="Y657" s="22"/>
      <c r="Z657" s="28"/>
      <c r="AA657" s="28"/>
      <c r="AB657" s="28"/>
      <c r="AC657" s="28"/>
      <c r="AD657" s="28"/>
      <c r="AE657" s="28"/>
      <c r="AF657" s="28"/>
      <c r="AG657" s="28"/>
    </row>
    <row r="658" spans="1:33" ht="15.75" customHeight="1">
      <c r="A658" s="28"/>
      <c r="B658" s="28"/>
      <c r="C658" s="28"/>
      <c r="D658" s="28"/>
      <c r="E658" s="28"/>
      <c r="F658" s="28"/>
      <c r="G658" s="28"/>
      <c r="H658" s="28"/>
      <c r="I658" s="22"/>
      <c r="J658" s="28"/>
      <c r="K658" s="28"/>
      <c r="L658" s="22"/>
      <c r="M658" s="22"/>
      <c r="N658" s="28"/>
      <c r="O658" s="28"/>
      <c r="P658" s="53"/>
      <c r="Q658" s="53"/>
      <c r="R658" s="28"/>
      <c r="S658" s="53"/>
      <c r="T658" s="28"/>
      <c r="U658" s="28"/>
      <c r="V658" s="28"/>
      <c r="W658" s="28"/>
      <c r="X658" s="53"/>
      <c r="Y658" s="22"/>
      <c r="Z658" s="28"/>
      <c r="AA658" s="28"/>
      <c r="AB658" s="28"/>
      <c r="AC658" s="28"/>
      <c r="AD658" s="28"/>
      <c r="AE658" s="28"/>
      <c r="AF658" s="28"/>
      <c r="AG658" s="28"/>
    </row>
    <row r="659" spans="1:33" ht="15.75" customHeight="1">
      <c r="A659" s="28"/>
      <c r="B659" s="28"/>
      <c r="C659" s="28"/>
      <c r="D659" s="28"/>
      <c r="E659" s="28"/>
      <c r="F659" s="28"/>
      <c r="G659" s="28"/>
      <c r="H659" s="28"/>
      <c r="I659" s="22"/>
      <c r="J659" s="28"/>
      <c r="K659" s="28"/>
      <c r="L659" s="22"/>
      <c r="M659" s="22"/>
      <c r="N659" s="28"/>
      <c r="O659" s="28"/>
      <c r="P659" s="53"/>
      <c r="Q659" s="53"/>
      <c r="R659" s="28"/>
      <c r="S659" s="53"/>
      <c r="T659" s="28"/>
      <c r="U659" s="28"/>
      <c r="V659" s="28"/>
      <c r="W659" s="28"/>
      <c r="X659" s="53"/>
      <c r="Y659" s="22"/>
      <c r="Z659" s="28"/>
      <c r="AA659" s="28"/>
      <c r="AB659" s="28"/>
      <c r="AC659" s="28"/>
      <c r="AD659" s="28"/>
      <c r="AE659" s="28"/>
      <c r="AF659" s="28"/>
      <c r="AG659" s="28"/>
    </row>
    <row r="660" spans="1:33" ht="15.75" customHeight="1">
      <c r="A660" s="28"/>
      <c r="B660" s="28"/>
      <c r="C660" s="28"/>
      <c r="D660" s="28"/>
      <c r="E660" s="28"/>
      <c r="F660" s="28"/>
      <c r="G660" s="28"/>
      <c r="H660" s="28"/>
      <c r="I660" s="22"/>
      <c r="J660" s="28"/>
      <c r="K660" s="28"/>
      <c r="L660" s="22"/>
      <c r="M660" s="22"/>
      <c r="N660" s="28"/>
      <c r="O660" s="28"/>
      <c r="P660" s="53"/>
      <c r="Q660" s="53"/>
      <c r="R660" s="28"/>
      <c r="S660" s="53"/>
      <c r="T660" s="28"/>
      <c r="U660" s="28"/>
      <c r="V660" s="28"/>
      <c r="W660" s="28"/>
      <c r="X660" s="53"/>
      <c r="Y660" s="22"/>
      <c r="Z660" s="28"/>
      <c r="AA660" s="28"/>
      <c r="AB660" s="28"/>
      <c r="AC660" s="28"/>
      <c r="AD660" s="28"/>
      <c r="AE660" s="28"/>
      <c r="AF660" s="28"/>
      <c r="AG660" s="28"/>
    </row>
    <row r="661" spans="1:33" ht="15.75" customHeight="1">
      <c r="A661" s="28"/>
      <c r="B661" s="28"/>
      <c r="C661" s="28"/>
      <c r="D661" s="28"/>
      <c r="E661" s="28"/>
      <c r="F661" s="28"/>
      <c r="G661" s="28"/>
      <c r="H661" s="28"/>
      <c r="I661" s="22"/>
      <c r="J661" s="28"/>
      <c r="K661" s="28"/>
      <c r="L661" s="22"/>
      <c r="M661" s="22"/>
      <c r="N661" s="28"/>
      <c r="O661" s="28"/>
      <c r="P661" s="53"/>
      <c r="Q661" s="53"/>
      <c r="R661" s="28"/>
      <c r="S661" s="53"/>
      <c r="T661" s="28"/>
      <c r="U661" s="28"/>
      <c r="V661" s="28"/>
      <c r="W661" s="28"/>
      <c r="X661" s="53"/>
      <c r="Y661" s="22"/>
      <c r="Z661" s="28"/>
      <c r="AA661" s="28"/>
      <c r="AB661" s="28"/>
      <c r="AC661" s="28"/>
      <c r="AD661" s="28"/>
      <c r="AE661" s="28"/>
      <c r="AF661" s="28"/>
      <c r="AG661" s="28"/>
    </row>
    <row r="662" spans="1:33" ht="15.75" customHeight="1">
      <c r="A662" s="28"/>
      <c r="B662" s="28"/>
      <c r="C662" s="28"/>
      <c r="D662" s="28"/>
      <c r="E662" s="28"/>
      <c r="F662" s="28"/>
      <c r="G662" s="28"/>
      <c r="H662" s="28"/>
      <c r="I662" s="22"/>
      <c r="J662" s="28"/>
      <c r="K662" s="28"/>
      <c r="L662" s="22"/>
      <c r="M662" s="22"/>
      <c r="N662" s="28"/>
      <c r="O662" s="28"/>
      <c r="P662" s="53"/>
      <c r="Q662" s="53"/>
      <c r="R662" s="28"/>
      <c r="S662" s="53"/>
      <c r="T662" s="28"/>
      <c r="U662" s="28"/>
      <c r="V662" s="28"/>
      <c r="W662" s="28"/>
      <c r="X662" s="53"/>
      <c r="Y662" s="22"/>
      <c r="Z662" s="28"/>
      <c r="AA662" s="28"/>
      <c r="AB662" s="28"/>
      <c r="AC662" s="28"/>
      <c r="AD662" s="28"/>
      <c r="AE662" s="28"/>
      <c r="AF662" s="28"/>
      <c r="AG662" s="28"/>
    </row>
    <row r="663" spans="1:33" ht="15.75" customHeight="1">
      <c r="A663" s="28"/>
      <c r="B663" s="28"/>
      <c r="C663" s="28"/>
      <c r="D663" s="28"/>
      <c r="E663" s="28"/>
      <c r="F663" s="28"/>
      <c r="G663" s="28"/>
      <c r="H663" s="28"/>
      <c r="I663" s="22"/>
      <c r="J663" s="28"/>
      <c r="K663" s="28"/>
      <c r="L663" s="22"/>
      <c r="M663" s="22"/>
      <c r="N663" s="28"/>
      <c r="O663" s="28"/>
      <c r="P663" s="53"/>
      <c r="Q663" s="53"/>
      <c r="R663" s="28"/>
      <c r="S663" s="53"/>
      <c r="T663" s="28"/>
      <c r="U663" s="28"/>
      <c r="V663" s="28"/>
      <c r="W663" s="28"/>
      <c r="X663" s="53"/>
      <c r="Y663" s="22"/>
      <c r="Z663" s="28"/>
      <c r="AA663" s="28"/>
      <c r="AB663" s="28"/>
      <c r="AC663" s="28"/>
      <c r="AD663" s="28"/>
      <c r="AE663" s="28"/>
      <c r="AF663" s="28"/>
      <c r="AG663" s="28"/>
    </row>
    <row r="664" spans="1:33" ht="15.75" customHeight="1">
      <c r="A664" s="28"/>
      <c r="B664" s="28"/>
      <c r="C664" s="28"/>
      <c r="D664" s="28"/>
      <c r="E664" s="28"/>
      <c r="F664" s="28"/>
      <c r="G664" s="28"/>
      <c r="H664" s="28"/>
      <c r="I664" s="22"/>
      <c r="J664" s="28"/>
      <c r="K664" s="28"/>
      <c r="L664" s="22"/>
      <c r="M664" s="22"/>
      <c r="N664" s="28"/>
      <c r="O664" s="28"/>
      <c r="P664" s="53"/>
      <c r="Q664" s="53"/>
      <c r="R664" s="28"/>
      <c r="S664" s="53"/>
      <c r="T664" s="28"/>
      <c r="U664" s="28"/>
      <c r="V664" s="28"/>
      <c r="W664" s="28"/>
      <c r="X664" s="53"/>
      <c r="Y664" s="22"/>
      <c r="Z664" s="28"/>
      <c r="AA664" s="28"/>
      <c r="AB664" s="28"/>
      <c r="AC664" s="28"/>
      <c r="AD664" s="28"/>
      <c r="AE664" s="28"/>
      <c r="AF664" s="28"/>
      <c r="AG664" s="28"/>
    </row>
    <row r="665" spans="1:33" ht="15.75" customHeight="1">
      <c r="A665" s="28"/>
      <c r="B665" s="28"/>
      <c r="C665" s="28"/>
      <c r="D665" s="28"/>
      <c r="E665" s="28"/>
      <c r="F665" s="28"/>
      <c r="G665" s="28"/>
      <c r="H665" s="28"/>
      <c r="I665" s="22"/>
      <c r="J665" s="28"/>
      <c r="K665" s="28"/>
      <c r="L665" s="22"/>
      <c r="M665" s="22"/>
      <c r="N665" s="28"/>
      <c r="O665" s="28"/>
      <c r="P665" s="53"/>
      <c r="Q665" s="53"/>
      <c r="R665" s="28"/>
      <c r="S665" s="53"/>
      <c r="T665" s="28"/>
      <c r="U665" s="28"/>
      <c r="V665" s="28"/>
      <c r="W665" s="28"/>
      <c r="X665" s="53"/>
      <c r="Y665" s="22"/>
      <c r="Z665" s="28"/>
      <c r="AA665" s="28"/>
      <c r="AB665" s="28"/>
      <c r="AC665" s="28"/>
      <c r="AD665" s="28"/>
      <c r="AE665" s="28"/>
      <c r="AF665" s="28"/>
      <c r="AG665" s="28"/>
    </row>
    <row r="666" spans="1:33" ht="15.75" customHeight="1">
      <c r="A666" s="28"/>
      <c r="B666" s="28"/>
      <c r="C666" s="28"/>
      <c r="D666" s="28"/>
      <c r="E666" s="28"/>
      <c r="F666" s="28"/>
      <c r="G666" s="28"/>
      <c r="H666" s="28"/>
      <c r="I666" s="22"/>
      <c r="J666" s="28"/>
      <c r="K666" s="28"/>
      <c r="L666" s="22"/>
      <c r="M666" s="22"/>
      <c r="N666" s="28"/>
      <c r="O666" s="28"/>
      <c r="P666" s="53"/>
      <c r="Q666" s="53"/>
      <c r="R666" s="28"/>
      <c r="S666" s="53"/>
      <c r="T666" s="28"/>
      <c r="U666" s="28"/>
      <c r="V666" s="28"/>
      <c r="W666" s="28"/>
      <c r="X666" s="53"/>
      <c r="Y666" s="22"/>
      <c r="Z666" s="28"/>
      <c r="AA666" s="28"/>
      <c r="AB666" s="28"/>
      <c r="AC666" s="28"/>
      <c r="AD666" s="28"/>
      <c r="AE666" s="28"/>
      <c r="AF666" s="28"/>
      <c r="AG666" s="28"/>
    </row>
    <row r="667" spans="1:33" ht="15.75" customHeight="1">
      <c r="A667" s="28"/>
      <c r="B667" s="28"/>
      <c r="C667" s="28"/>
      <c r="D667" s="28"/>
      <c r="E667" s="28"/>
      <c r="F667" s="28"/>
      <c r="G667" s="28"/>
      <c r="H667" s="28"/>
      <c r="I667" s="22"/>
      <c r="J667" s="28"/>
      <c r="K667" s="28"/>
      <c r="L667" s="22"/>
      <c r="M667" s="22"/>
      <c r="N667" s="28"/>
      <c r="O667" s="28"/>
      <c r="P667" s="53"/>
      <c r="Q667" s="53"/>
      <c r="R667" s="28"/>
      <c r="S667" s="53"/>
      <c r="T667" s="28"/>
      <c r="U667" s="28"/>
      <c r="V667" s="28"/>
      <c r="W667" s="28"/>
      <c r="X667" s="53"/>
      <c r="Y667" s="22"/>
      <c r="Z667" s="28"/>
      <c r="AA667" s="28"/>
      <c r="AB667" s="28"/>
      <c r="AC667" s="28"/>
      <c r="AD667" s="28"/>
      <c r="AE667" s="28"/>
      <c r="AF667" s="28"/>
      <c r="AG667" s="28"/>
    </row>
    <row r="668" spans="1:33" ht="15.75" customHeight="1">
      <c r="A668" s="28"/>
      <c r="B668" s="28"/>
      <c r="C668" s="28"/>
      <c r="D668" s="28"/>
      <c r="E668" s="28"/>
      <c r="F668" s="28"/>
      <c r="G668" s="28"/>
      <c r="H668" s="28"/>
      <c r="I668" s="22"/>
      <c r="J668" s="28"/>
      <c r="K668" s="28"/>
      <c r="L668" s="22"/>
      <c r="M668" s="22"/>
      <c r="N668" s="28"/>
      <c r="O668" s="28"/>
      <c r="P668" s="53"/>
      <c r="Q668" s="53"/>
      <c r="R668" s="28"/>
      <c r="S668" s="53"/>
      <c r="T668" s="28"/>
      <c r="U668" s="28"/>
      <c r="V668" s="28"/>
      <c r="W668" s="28"/>
      <c r="X668" s="53"/>
      <c r="Y668" s="22"/>
      <c r="Z668" s="28"/>
      <c r="AA668" s="28"/>
      <c r="AB668" s="28"/>
      <c r="AC668" s="28"/>
      <c r="AD668" s="28"/>
      <c r="AE668" s="28"/>
      <c r="AF668" s="28"/>
      <c r="AG668" s="28"/>
    </row>
    <row r="669" spans="1:33" ht="15.75" customHeight="1">
      <c r="A669" s="28"/>
      <c r="B669" s="28"/>
      <c r="C669" s="28"/>
      <c r="D669" s="28"/>
      <c r="E669" s="28"/>
      <c r="F669" s="28"/>
      <c r="G669" s="28"/>
      <c r="H669" s="28"/>
      <c r="I669" s="22"/>
      <c r="J669" s="28"/>
      <c r="K669" s="28"/>
      <c r="L669" s="22"/>
      <c r="M669" s="22"/>
      <c r="N669" s="28"/>
      <c r="O669" s="28"/>
      <c r="P669" s="53"/>
      <c r="Q669" s="53"/>
      <c r="R669" s="28"/>
      <c r="S669" s="53"/>
      <c r="T669" s="28"/>
      <c r="U669" s="28"/>
      <c r="V669" s="28"/>
      <c r="W669" s="28"/>
      <c r="X669" s="53"/>
      <c r="Y669" s="22"/>
      <c r="Z669" s="28"/>
      <c r="AA669" s="28"/>
      <c r="AB669" s="28"/>
      <c r="AC669" s="28"/>
      <c r="AD669" s="28"/>
      <c r="AE669" s="28"/>
      <c r="AF669" s="28"/>
      <c r="AG669" s="28"/>
    </row>
    <row r="670" spans="1:33" ht="15.75" customHeight="1">
      <c r="A670" s="28"/>
      <c r="B670" s="28"/>
      <c r="C670" s="28"/>
      <c r="D670" s="28"/>
      <c r="E670" s="28"/>
      <c r="F670" s="28"/>
      <c r="G670" s="28"/>
      <c r="H670" s="28"/>
      <c r="I670" s="22"/>
      <c r="J670" s="28"/>
      <c r="K670" s="28"/>
      <c r="L670" s="22"/>
      <c r="M670" s="22"/>
      <c r="N670" s="28"/>
      <c r="O670" s="28"/>
      <c r="P670" s="53"/>
      <c r="Q670" s="53"/>
      <c r="R670" s="28"/>
      <c r="S670" s="53"/>
      <c r="T670" s="28"/>
      <c r="U670" s="28"/>
      <c r="V670" s="28"/>
      <c r="W670" s="28"/>
      <c r="X670" s="53"/>
      <c r="Y670" s="22"/>
      <c r="Z670" s="28"/>
      <c r="AA670" s="28"/>
      <c r="AB670" s="28"/>
      <c r="AC670" s="28"/>
      <c r="AD670" s="28"/>
      <c r="AE670" s="28"/>
      <c r="AF670" s="28"/>
      <c r="AG670" s="28"/>
    </row>
    <row r="671" spans="1:33" ht="15.75" customHeight="1">
      <c r="A671" s="28"/>
      <c r="B671" s="28"/>
      <c r="C671" s="28"/>
      <c r="D671" s="28"/>
      <c r="E671" s="28"/>
      <c r="F671" s="28"/>
      <c r="G671" s="28"/>
      <c r="H671" s="28"/>
      <c r="I671" s="22"/>
      <c r="J671" s="28"/>
      <c r="K671" s="28"/>
      <c r="L671" s="22"/>
      <c r="M671" s="22"/>
      <c r="N671" s="28"/>
      <c r="O671" s="28"/>
      <c r="P671" s="53"/>
      <c r="Q671" s="53"/>
      <c r="R671" s="28"/>
      <c r="S671" s="53"/>
      <c r="T671" s="28"/>
      <c r="U671" s="28"/>
      <c r="V671" s="28"/>
      <c r="W671" s="28"/>
      <c r="X671" s="53"/>
      <c r="Y671" s="22"/>
      <c r="Z671" s="28"/>
      <c r="AA671" s="28"/>
      <c r="AB671" s="28"/>
      <c r="AC671" s="28"/>
      <c r="AD671" s="28"/>
      <c r="AE671" s="28"/>
      <c r="AF671" s="28"/>
      <c r="AG671" s="28"/>
    </row>
    <row r="672" spans="1:33" ht="15.75" customHeight="1">
      <c r="A672" s="28"/>
      <c r="B672" s="28"/>
      <c r="C672" s="28"/>
      <c r="D672" s="28"/>
      <c r="E672" s="28"/>
      <c r="F672" s="28"/>
      <c r="G672" s="28"/>
      <c r="H672" s="28"/>
      <c r="I672" s="22"/>
      <c r="J672" s="28"/>
      <c r="K672" s="28"/>
      <c r="L672" s="22"/>
      <c r="M672" s="22"/>
      <c r="N672" s="28"/>
      <c r="O672" s="28"/>
      <c r="P672" s="53"/>
      <c r="Q672" s="53"/>
      <c r="R672" s="28"/>
      <c r="S672" s="53"/>
      <c r="T672" s="28"/>
      <c r="U672" s="28"/>
      <c r="V672" s="28"/>
      <c r="W672" s="28"/>
      <c r="X672" s="53"/>
      <c r="Y672" s="22"/>
      <c r="Z672" s="28"/>
      <c r="AA672" s="28"/>
      <c r="AB672" s="28"/>
      <c r="AC672" s="28"/>
      <c r="AD672" s="28"/>
      <c r="AE672" s="28"/>
      <c r="AF672" s="28"/>
      <c r="AG672" s="28"/>
    </row>
    <row r="673" spans="1:33" ht="15.75" customHeight="1">
      <c r="A673" s="28"/>
      <c r="B673" s="28"/>
      <c r="C673" s="28"/>
      <c r="D673" s="28"/>
      <c r="E673" s="28"/>
      <c r="F673" s="28"/>
      <c r="G673" s="28"/>
      <c r="H673" s="28"/>
      <c r="I673" s="22"/>
      <c r="J673" s="28"/>
      <c r="K673" s="28"/>
      <c r="L673" s="22"/>
      <c r="M673" s="22"/>
      <c r="N673" s="28"/>
      <c r="O673" s="28"/>
      <c r="P673" s="53"/>
      <c r="Q673" s="53"/>
      <c r="R673" s="28"/>
      <c r="S673" s="53"/>
      <c r="T673" s="28"/>
      <c r="U673" s="28"/>
      <c r="V673" s="28"/>
      <c r="W673" s="28"/>
      <c r="X673" s="53"/>
      <c r="Y673" s="22"/>
      <c r="Z673" s="28"/>
      <c r="AA673" s="28"/>
      <c r="AB673" s="28"/>
      <c r="AC673" s="28"/>
      <c r="AD673" s="28"/>
      <c r="AE673" s="28"/>
      <c r="AF673" s="28"/>
      <c r="AG673" s="28"/>
    </row>
    <row r="674" spans="1:33" ht="15.75" customHeight="1">
      <c r="A674" s="28"/>
      <c r="B674" s="28"/>
      <c r="C674" s="28"/>
      <c r="D674" s="28"/>
      <c r="E674" s="28"/>
      <c r="F674" s="28"/>
      <c r="G674" s="28"/>
      <c r="H674" s="28"/>
      <c r="I674" s="22"/>
      <c r="J674" s="28"/>
      <c r="K674" s="28"/>
      <c r="L674" s="22"/>
      <c r="M674" s="22"/>
      <c r="N674" s="28"/>
      <c r="O674" s="28"/>
      <c r="P674" s="53"/>
      <c r="Q674" s="53"/>
      <c r="R674" s="28"/>
      <c r="S674" s="53"/>
      <c r="T674" s="28"/>
      <c r="U674" s="28"/>
      <c r="V674" s="28"/>
      <c r="W674" s="28"/>
      <c r="X674" s="53"/>
      <c r="Y674" s="22"/>
      <c r="Z674" s="28"/>
      <c r="AA674" s="28"/>
      <c r="AB674" s="28"/>
      <c r="AC674" s="28"/>
      <c r="AD674" s="28"/>
      <c r="AE674" s="28"/>
      <c r="AF674" s="28"/>
      <c r="AG674" s="28"/>
    </row>
    <row r="675" spans="1:33" ht="15.75" customHeight="1">
      <c r="A675" s="28"/>
      <c r="B675" s="28"/>
      <c r="C675" s="28"/>
      <c r="D675" s="28"/>
      <c r="E675" s="28"/>
      <c r="F675" s="28"/>
      <c r="G675" s="28"/>
      <c r="H675" s="28"/>
      <c r="I675" s="22"/>
      <c r="J675" s="28"/>
      <c r="K675" s="28"/>
      <c r="L675" s="22"/>
      <c r="M675" s="22"/>
      <c r="N675" s="28"/>
      <c r="O675" s="28"/>
      <c r="P675" s="53"/>
      <c r="Q675" s="53"/>
      <c r="R675" s="28"/>
      <c r="S675" s="53"/>
      <c r="T675" s="28"/>
      <c r="U675" s="28"/>
      <c r="V675" s="28"/>
      <c r="W675" s="28"/>
      <c r="X675" s="53"/>
      <c r="Y675" s="22"/>
      <c r="Z675" s="28"/>
      <c r="AA675" s="28"/>
      <c r="AB675" s="28"/>
      <c r="AC675" s="28"/>
      <c r="AD675" s="28"/>
      <c r="AE675" s="28"/>
      <c r="AF675" s="28"/>
      <c r="AG675" s="28"/>
    </row>
    <row r="676" spans="1:33" ht="15.75" customHeight="1">
      <c r="A676" s="28"/>
      <c r="B676" s="28"/>
      <c r="C676" s="28"/>
      <c r="D676" s="28"/>
      <c r="E676" s="28"/>
      <c r="F676" s="28"/>
      <c r="G676" s="28"/>
      <c r="H676" s="28"/>
      <c r="I676" s="22"/>
      <c r="J676" s="28"/>
      <c r="K676" s="28"/>
      <c r="L676" s="22"/>
      <c r="M676" s="22"/>
      <c r="N676" s="28"/>
      <c r="O676" s="28"/>
      <c r="P676" s="53"/>
      <c r="Q676" s="53"/>
      <c r="R676" s="28"/>
      <c r="S676" s="53"/>
      <c r="T676" s="28"/>
      <c r="U676" s="28"/>
      <c r="V676" s="28"/>
      <c r="W676" s="28"/>
      <c r="X676" s="53"/>
      <c r="Y676" s="22"/>
      <c r="Z676" s="28"/>
      <c r="AA676" s="28"/>
      <c r="AB676" s="28"/>
      <c r="AC676" s="28"/>
      <c r="AD676" s="28"/>
      <c r="AE676" s="28"/>
      <c r="AF676" s="28"/>
      <c r="AG676" s="28"/>
    </row>
    <row r="677" spans="1:33" ht="15.75" customHeight="1">
      <c r="A677" s="28"/>
      <c r="B677" s="28"/>
      <c r="C677" s="28"/>
      <c r="D677" s="28"/>
      <c r="E677" s="28"/>
      <c r="F677" s="28"/>
      <c r="G677" s="28"/>
      <c r="H677" s="28"/>
      <c r="I677" s="22"/>
      <c r="J677" s="28"/>
      <c r="K677" s="28"/>
      <c r="L677" s="22"/>
      <c r="M677" s="22"/>
      <c r="N677" s="28"/>
      <c r="O677" s="28"/>
      <c r="P677" s="53"/>
      <c r="Q677" s="53"/>
      <c r="R677" s="28"/>
      <c r="S677" s="53"/>
      <c r="T677" s="28"/>
      <c r="U677" s="28"/>
      <c r="V677" s="28"/>
      <c r="W677" s="28"/>
      <c r="X677" s="53"/>
      <c r="Y677" s="22"/>
      <c r="Z677" s="28"/>
      <c r="AA677" s="28"/>
      <c r="AB677" s="28"/>
      <c r="AC677" s="28"/>
      <c r="AD677" s="28"/>
      <c r="AE677" s="28"/>
      <c r="AF677" s="28"/>
      <c r="AG677" s="28"/>
    </row>
    <row r="678" spans="1:33" ht="15.75" customHeight="1">
      <c r="A678" s="28"/>
      <c r="B678" s="28"/>
      <c r="C678" s="28"/>
      <c r="D678" s="28"/>
      <c r="E678" s="28"/>
      <c r="F678" s="28"/>
      <c r="G678" s="28"/>
      <c r="H678" s="28"/>
      <c r="I678" s="22"/>
      <c r="J678" s="28"/>
      <c r="K678" s="28"/>
      <c r="L678" s="22"/>
      <c r="M678" s="22"/>
      <c r="N678" s="28"/>
      <c r="O678" s="28"/>
      <c r="P678" s="53"/>
      <c r="Q678" s="53"/>
      <c r="R678" s="28"/>
      <c r="S678" s="53"/>
      <c r="T678" s="28"/>
      <c r="U678" s="28"/>
      <c r="V678" s="28"/>
      <c r="W678" s="28"/>
      <c r="X678" s="53"/>
      <c r="Y678" s="22"/>
      <c r="Z678" s="28"/>
      <c r="AA678" s="28"/>
      <c r="AB678" s="28"/>
      <c r="AC678" s="28"/>
      <c r="AD678" s="28"/>
      <c r="AE678" s="28"/>
      <c r="AF678" s="28"/>
      <c r="AG678" s="28"/>
    </row>
    <row r="679" spans="1:33" ht="15.75" customHeight="1">
      <c r="A679" s="28"/>
      <c r="B679" s="28"/>
      <c r="C679" s="28"/>
      <c r="D679" s="28"/>
      <c r="E679" s="28"/>
      <c r="F679" s="28"/>
      <c r="G679" s="28"/>
      <c r="H679" s="28"/>
      <c r="I679" s="22"/>
      <c r="J679" s="28"/>
      <c r="K679" s="28"/>
      <c r="L679" s="22"/>
      <c r="M679" s="22"/>
      <c r="N679" s="28"/>
      <c r="O679" s="28"/>
      <c r="P679" s="53"/>
      <c r="Q679" s="53"/>
      <c r="R679" s="28"/>
      <c r="S679" s="53"/>
      <c r="T679" s="28"/>
      <c r="U679" s="28"/>
      <c r="V679" s="28"/>
      <c r="W679" s="28"/>
      <c r="X679" s="53"/>
      <c r="Y679" s="22"/>
      <c r="Z679" s="28"/>
      <c r="AA679" s="28"/>
      <c r="AB679" s="28"/>
      <c r="AC679" s="28"/>
      <c r="AD679" s="28"/>
      <c r="AE679" s="28"/>
      <c r="AF679" s="28"/>
      <c r="AG679" s="28"/>
    </row>
    <row r="680" spans="1:33" ht="15.75" customHeight="1">
      <c r="A680" s="28"/>
      <c r="B680" s="28"/>
      <c r="C680" s="28"/>
      <c r="D680" s="28"/>
      <c r="E680" s="28"/>
      <c r="F680" s="28"/>
      <c r="G680" s="28"/>
      <c r="H680" s="28"/>
      <c r="I680" s="22"/>
      <c r="J680" s="28"/>
      <c r="K680" s="28"/>
      <c r="L680" s="22"/>
      <c r="M680" s="22"/>
      <c r="N680" s="28"/>
      <c r="O680" s="28"/>
      <c r="P680" s="53"/>
      <c r="Q680" s="53"/>
      <c r="R680" s="28"/>
      <c r="S680" s="53"/>
      <c r="T680" s="28"/>
      <c r="U680" s="28"/>
      <c r="V680" s="28"/>
      <c r="W680" s="28"/>
      <c r="X680" s="53"/>
      <c r="Y680" s="22"/>
      <c r="Z680" s="28"/>
      <c r="AA680" s="28"/>
      <c r="AB680" s="28"/>
      <c r="AC680" s="28"/>
      <c r="AD680" s="28"/>
      <c r="AE680" s="28"/>
      <c r="AF680" s="28"/>
      <c r="AG680" s="28"/>
    </row>
    <row r="681" spans="1:33" ht="15.75" customHeight="1">
      <c r="A681" s="28"/>
      <c r="B681" s="28"/>
      <c r="C681" s="28"/>
      <c r="D681" s="28"/>
      <c r="E681" s="28"/>
      <c r="F681" s="28"/>
      <c r="G681" s="28"/>
      <c r="H681" s="28"/>
      <c r="I681" s="22"/>
      <c r="J681" s="28"/>
      <c r="K681" s="28"/>
      <c r="L681" s="22"/>
      <c r="M681" s="22"/>
      <c r="N681" s="28"/>
      <c r="O681" s="28"/>
      <c r="P681" s="53"/>
      <c r="Q681" s="53"/>
      <c r="R681" s="28"/>
      <c r="S681" s="53"/>
      <c r="T681" s="28"/>
      <c r="U681" s="28"/>
      <c r="V681" s="28"/>
      <c r="W681" s="28"/>
      <c r="X681" s="53"/>
      <c r="Y681" s="22"/>
      <c r="Z681" s="28"/>
      <c r="AA681" s="28"/>
      <c r="AB681" s="28"/>
      <c r="AC681" s="28"/>
      <c r="AD681" s="28"/>
      <c r="AE681" s="28"/>
      <c r="AF681" s="28"/>
      <c r="AG681" s="28"/>
    </row>
    <row r="682" spans="1:33" ht="15.75" customHeight="1">
      <c r="A682" s="28"/>
      <c r="B682" s="28"/>
      <c r="C682" s="28"/>
      <c r="D682" s="28"/>
      <c r="E682" s="28"/>
      <c r="F682" s="28"/>
      <c r="G682" s="28"/>
      <c r="H682" s="28"/>
      <c r="I682" s="22"/>
      <c r="J682" s="28"/>
      <c r="K682" s="28"/>
      <c r="L682" s="22"/>
      <c r="M682" s="22"/>
      <c r="N682" s="28"/>
      <c r="O682" s="28"/>
      <c r="P682" s="53"/>
      <c r="Q682" s="53"/>
      <c r="R682" s="28"/>
      <c r="S682" s="53"/>
      <c r="T682" s="28"/>
      <c r="U682" s="28"/>
      <c r="V682" s="28"/>
      <c r="W682" s="28"/>
      <c r="X682" s="53"/>
      <c r="Y682" s="22"/>
      <c r="Z682" s="28"/>
      <c r="AA682" s="28"/>
      <c r="AB682" s="28"/>
      <c r="AC682" s="28"/>
      <c r="AD682" s="28"/>
      <c r="AE682" s="28"/>
      <c r="AF682" s="28"/>
      <c r="AG682" s="28"/>
    </row>
    <row r="683" spans="1:33" ht="15.75" customHeight="1">
      <c r="A683" s="28"/>
      <c r="B683" s="28"/>
      <c r="C683" s="28"/>
      <c r="D683" s="28"/>
      <c r="E683" s="28"/>
      <c r="F683" s="28"/>
      <c r="G683" s="28"/>
      <c r="H683" s="28"/>
      <c r="I683" s="22"/>
      <c r="J683" s="28"/>
      <c r="K683" s="28"/>
      <c r="L683" s="22"/>
      <c r="M683" s="22"/>
      <c r="N683" s="28"/>
      <c r="O683" s="28"/>
      <c r="P683" s="53"/>
      <c r="Q683" s="53"/>
      <c r="R683" s="28"/>
      <c r="S683" s="53"/>
      <c r="T683" s="28"/>
      <c r="U683" s="28"/>
      <c r="V683" s="28"/>
      <c r="W683" s="28"/>
      <c r="X683" s="53"/>
      <c r="Y683" s="22"/>
      <c r="Z683" s="28"/>
      <c r="AA683" s="28"/>
      <c r="AB683" s="28"/>
      <c r="AC683" s="28"/>
      <c r="AD683" s="28"/>
      <c r="AE683" s="28"/>
      <c r="AF683" s="28"/>
      <c r="AG683" s="28"/>
    </row>
    <row r="684" spans="1:33" ht="15.75" customHeight="1">
      <c r="A684" s="28"/>
      <c r="B684" s="28"/>
      <c r="C684" s="28"/>
      <c r="D684" s="28"/>
      <c r="E684" s="28"/>
      <c r="F684" s="28"/>
      <c r="G684" s="28"/>
      <c r="H684" s="28"/>
      <c r="I684" s="22"/>
      <c r="J684" s="28"/>
      <c r="K684" s="28"/>
      <c r="L684" s="22"/>
      <c r="M684" s="22"/>
      <c r="N684" s="28"/>
      <c r="O684" s="28"/>
      <c r="P684" s="53"/>
      <c r="Q684" s="53"/>
      <c r="R684" s="28"/>
      <c r="S684" s="53"/>
      <c r="T684" s="28"/>
      <c r="U684" s="28"/>
      <c r="V684" s="28"/>
      <c r="W684" s="28"/>
      <c r="X684" s="53"/>
      <c r="Y684" s="22"/>
      <c r="Z684" s="28"/>
      <c r="AA684" s="28"/>
      <c r="AB684" s="28"/>
      <c r="AC684" s="28"/>
      <c r="AD684" s="28"/>
      <c r="AE684" s="28"/>
      <c r="AF684" s="28"/>
      <c r="AG684" s="28"/>
    </row>
    <row r="685" spans="1:33" ht="15.75" customHeight="1">
      <c r="A685" s="28"/>
      <c r="B685" s="28"/>
      <c r="C685" s="28"/>
      <c r="D685" s="28"/>
      <c r="E685" s="28"/>
      <c r="F685" s="28"/>
      <c r="G685" s="28"/>
      <c r="H685" s="28"/>
      <c r="I685" s="22"/>
      <c r="J685" s="28"/>
      <c r="K685" s="28"/>
      <c r="L685" s="22"/>
      <c r="M685" s="22"/>
      <c r="N685" s="28"/>
      <c r="O685" s="28"/>
      <c r="P685" s="53"/>
      <c r="Q685" s="53"/>
      <c r="R685" s="28"/>
      <c r="S685" s="53"/>
      <c r="T685" s="28"/>
      <c r="U685" s="28"/>
      <c r="V685" s="28"/>
      <c r="W685" s="28"/>
      <c r="X685" s="53"/>
      <c r="Y685" s="22"/>
      <c r="Z685" s="28"/>
      <c r="AA685" s="28"/>
      <c r="AB685" s="28"/>
      <c r="AC685" s="28"/>
      <c r="AD685" s="28"/>
      <c r="AE685" s="28"/>
      <c r="AF685" s="28"/>
      <c r="AG685" s="28"/>
    </row>
    <row r="686" spans="1:33" ht="15.75" customHeight="1">
      <c r="A686" s="28"/>
      <c r="B686" s="28"/>
      <c r="C686" s="28"/>
      <c r="D686" s="28"/>
      <c r="E686" s="28"/>
      <c r="F686" s="28"/>
      <c r="G686" s="28"/>
      <c r="H686" s="28"/>
      <c r="I686" s="22"/>
      <c r="J686" s="28"/>
      <c r="K686" s="28"/>
      <c r="L686" s="22"/>
      <c r="M686" s="22"/>
      <c r="N686" s="28"/>
      <c r="O686" s="28"/>
      <c r="P686" s="53"/>
      <c r="Q686" s="53"/>
      <c r="R686" s="28"/>
      <c r="S686" s="53"/>
      <c r="T686" s="28"/>
      <c r="U686" s="28"/>
      <c r="V686" s="28"/>
      <c r="W686" s="28"/>
      <c r="X686" s="53"/>
      <c r="Y686" s="22"/>
      <c r="Z686" s="28"/>
      <c r="AA686" s="28"/>
      <c r="AB686" s="28"/>
      <c r="AC686" s="28"/>
      <c r="AD686" s="28"/>
      <c r="AE686" s="28"/>
      <c r="AF686" s="28"/>
      <c r="AG686" s="28"/>
    </row>
    <row r="687" spans="1:33" ht="15.75" customHeight="1">
      <c r="A687" s="28"/>
      <c r="B687" s="28"/>
      <c r="C687" s="28"/>
      <c r="D687" s="28"/>
      <c r="E687" s="28"/>
      <c r="F687" s="28"/>
      <c r="G687" s="28"/>
      <c r="H687" s="28"/>
      <c r="I687" s="22"/>
      <c r="J687" s="28"/>
      <c r="K687" s="28"/>
      <c r="L687" s="22"/>
      <c r="M687" s="22"/>
      <c r="N687" s="28"/>
      <c r="O687" s="28"/>
      <c r="P687" s="53"/>
      <c r="Q687" s="53"/>
      <c r="R687" s="28"/>
      <c r="S687" s="53"/>
      <c r="T687" s="28"/>
      <c r="U687" s="28"/>
      <c r="V687" s="28"/>
      <c r="W687" s="28"/>
      <c r="X687" s="53"/>
      <c r="Y687" s="22"/>
      <c r="Z687" s="28"/>
      <c r="AA687" s="28"/>
      <c r="AB687" s="28"/>
      <c r="AC687" s="28"/>
      <c r="AD687" s="28"/>
      <c r="AE687" s="28"/>
      <c r="AF687" s="28"/>
      <c r="AG687" s="28"/>
    </row>
    <row r="688" spans="1:33" ht="15.75" customHeight="1">
      <c r="A688" s="28"/>
      <c r="B688" s="28"/>
      <c r="C688" s="28"/>
      <c r="D688" s="28"/>
      <c r="E688" s="28"/>
      <c r="F688" s="28"/>
      <c r="G688" s="28"/>
      <c r="H688" s="28"/>
      <c r="I688" s="22"/>
      <c r="J688" s="28"/>
      <c r="K688" s="28"/>
      <c r="L688" s="22"/>
      <c r="M688" s="22"/>
      <c r="N688" s="28"/>
      <c r="O688" s="28"/>
      <c r="P688" s="53"/>
      <c r="Q688" s="53"/>
      <c r="R688" s="28"/>
      <c r="S688" s="53"/>
      <c r="T688" s="28"/>
      <c r="U688" s="28"/>
      <c r="V688" s="28"/>
      <c r="W688" s="28"/>
      <c r="X688" s="53"/>
      <c r="Y688" s="22"/>
      <c r="Z688" s="28"/>
      <c r="AA688" s="28"/>
      <c r="AB688" s="28"/>
      <c r="AC688" s="28"/>
      <c r="AD688" s="28"/>
      <c r="AE688" s="28"/>
      <c r="AF688" s="28"/>
      <c r="AG688" s="28"/>
    </row>
    <row r="689" spans="1:33" ht="15.75" customHeight="1">
      <c r="A689" s="28"/>
      <c r="B689" s="28"/>
      <c r="C689" s="28"/>
      <c r="D689" s="28"/>
      <c r="E689" s="28"/>
      <c r="F689" s="28"/>
      <c r="G689" s="28"/>
      <c r="H689" s="28"/>
      <c r="I689" s="22"/>
      <c r="J689" s="28"/>
      <c r="K689" s="28"/>
      <c r="L689" s="22"/>
      <c r="M689" s="22"/>
      <c r="N689" s="28"/>
      <c r="O689" s="28"/>
      <c r="P689" s="53"/>
      <c r="Q689" s="53"/>
      <c r="R689" s="28"/>
      <c r="S689" s="53"/>
      <c r="T689" s="28"/>
      <c r="U689" s="28"/>
      <c r="V689" s="28"/>
      <c r="W689" s="28"/>
      <c r="X689" s="53"/>
      <c r="Y689" s="22"/>
      <c r="Z689" s="28"/>
      <c r="AA689" s="28"/>
      <c r="AB689" s="28"/>
      <c r="AC689" s="28"/>
      <c r="AD689" s="28"/>
      <c r="AE689" s="28"/>
      <c r="AF689" s="28"/>
      <c r="AG689" s="28"/>
    </row>
    <row r="690" spans="1:33" ht="15.75" customHeight="1">
      <c r="A690" s="28"/>
      <c r="B690" s="28"/>
      <c r="C690" s="28"/>
      <c r="D690" s="28"/>
      <c r="E690" s="28"/>
      <c r="F690" s="28"/>
      <c r="G690" s="28"/>
      <c r="H690" s="28"/>
      <c r="I690" s="22"/>
      <c r="J690" s="28"/>
      <c r="K690" s="28"/>
      <c r="L690" s="22"/>
      <c r="M690" s="22"/>
      <c r="N690" s="28"/>
      <c r="O690" s="28"/>
      <c r="P690" s="53"/>
      <c r="Q690" s="53"/>
      <c r="R690" s="28"/>
      <c r="S690" s="53"/>
      <c r="T690" s="28"/>
      <c r="U690" s="28"/>
      <c r="V690" s="28"/>
      <c r="W690" s="28"/>
      <c r="X690" s="53"/>
      <c r="Y690" s="22"/>
      <c r="Z690" s="28"/>
      <c r="AA690" s="28"/>
      <c r="AB690" s="28"/>
      <c r="AC690" s="28"/>
      <c r="AD690" s="28"/>
      <c r="AE690" s="28"/>
      <c r="AF690" s="28"/>
      <c r="AG690" s="28"/>
    </row>
    <row r="691" spans="1:33" ht="15.75" customHeight="1">
      <c r="A691" s="28"/>
      <c r="B691" s="28"/>
      <c r="C691" s="28"/>
      <c r="D691" s="28"/>
      <c r="E691" s="28"/>
      <c r="F691" s="28"/>
      <c r="G691" s="28"/>
      <c r="H691" s="28"/>
      <c r="I691" s="22"/>
      <c r="J691" s="28"/>
      <c r="K691" s="28"/>
      <c r="L691" s="22"/>
      <c r="M691" s="22"/>
      <c r="N691" s="28"/>
      <c r="O691" s="28"/>
      <c r="P691" s="53"/>
      <c r="Q691" s="53"/>
      <c r="R691" s="28"/>
      <c r="S691" s="53"/>
      <c r="T691" s="28"/>
      <c r="U691" s="28"/>
      <c r="V691" s="28"/>
      <c r="W691" s="28"/>
      <c r="X691" s="53"/>
      <c r="Y691" s="22"/>
      <c r="Z691" s="28"/>
      <c r="AA691" s="28"/>
      <c r="AB691" s="28"/>
      <c r="AC691" s="28"/>
      <c r="AD691" s="28"/>
      <c r="AE691" s="28"/>
      <c r="AF691" s="28"/>
      <c r="AG691" s="28"/>
    </row>
    <row r="692" spans="1:33" ht="15.75" customHeight="1">
      <c r="A692" s="28"/>
      <c r="B692" s="28"/>
      <c r="C692" s="28"/>
      <c r="D692" s="28"/>
      <c r="E692" s="28"/>
      <c r="F692" s="28"/>
      <c r="G692" s="28"/>
      <c r="H692" s="28"/>
      <c r="I692" s="22"/>
      <c r="J692" s="28"/>
      <c r="K692" s="28"/>
      <c r="L692" s="22"/>
      <c r="M692" s="22"/>
      <c r="N692" s="28"/>
      <c r="O692" s="28"/>
      <c r="P692" s="53"/>
      <c r="Q692" s="53"/>
      <c r="R692" s="28"/>
      <c r="S692" s="53"/>
      <c r="T692" s="28"/>
      <c r="U692" s="28"/>
      <c r="V692" s="28"/>
      <c r="W692" s="28"/>
      <c r="X692" s="53"/>
      <c r="Y692" s="22"/>
      <c r="Z692" s="28"/>
      <c r="AA692" s="28"/>
      <c r="AB692" s="28"/>
      <c r="AC692" s="28"/>
      <c r="AD692" s="28"/>
      <c r="AE692" s="28"/>
      <c r="AF692" s="28"/>
      <c r="AG692" s="28"/>
    </row>
    <row r="693" spans="1:33" ht="15.75" customHeight="1">
      <c r="A693" s="28"/>
      <c r="B693" s="28"/>
      <c r="C693" s="28"/>
      <c r="D693" s="28"/>
      <c r="E693" s="28"/>
      <c r="F693" s="28"/>
      <c r="G693" s="28"/>
      <c r="H693" s="28"/>
      <c r="I693" s="22"/>
      <c r="J693" s="28"/>
      <c r="K693" s="28"/>
      <c r="L693" s="22"/>
      <c r="M693" s="22"/>
      <c r="N693" s="28"/>
      <c r="O693" s="28"/>
      <c r="P693" s="53"/>
      <c r="Q693" s="53"/>
      <c r="R693" s="28"/>
      <c r="S693" s="53"/>
      <c r="T693" s="28"/>
      <c r="U693" s="28"/>
      <c r="V693" s="28"/>
      <c r="W693" s="28"/>
      <c r="X693" s="53"/>
      <c r="Y693" s="22"/>
      <c r="Z693" s="28"/>
      <c r="AA693" s="28"/>
      <c r="AB693" s="28"/>
      <c r="AC693" s="28"/>
      <c r="AD693" s="28"/>
      <c r="AE693" s="28"/>
      <c r="AF693" s="28"/>
      <c r="AG693" s="28"/>
    </row>
    <row r="694" spans="1:33" ht="15.75" customHeight="1">
      <c r="A694" s="28"/>
      <c r="B694" s="28"/>
      <c r="C694" s="28"/>
      <c r="D694" s="28"/>
      <c r="E694" s="28"/>
      <c r="F694" s="28"/>
      <c r="G694" s="28"/>
      <c r="H694" s="28"/>
      <c r="I694" s="22"/>
      <c r="J694" s="28"/>
      <c r="K694" s="28"/>
      <c r="L694" s="22"/>
      <c r="M694" s="22"/>
      <c r="N694" s="28"/>
      <c r="O694" s="28"/>
      <c r="P694" s="53"/>
      <c r="Q694" s="53"/>
      <c r="R694" s="28"/>
      <c r="S694" s="53"/>
      <c r="T694" s="28"/>
      <c r="U694" s="28"/>
      <c r="V694" s="28"/>
      <c r="W694" s="28"/>
      <c r="X694" s="53"/>
      <c r="Y694" s="22"/>
      <c r="Z694" s="28"/>
      <c r="AA694" s="28"/>
      <c r="AB694" s="28"/>
      <c r="AC694" s="28"/>
      <c r="AD694" s="28"/>
      <c r="AE694" s="28"/>
      <c r="AF694" s="28"/>
      <c r="AG694" s="28"/>
    </row>
    <row r="695" spans="1:33" ht="15.75" customHeight="1">
      <c r="A695" s="28"/>
      <c r="B695" s="28"/>
      <c r="C695" s="28"/>
      <c r="D695" s="28"/>
      <c r="E695" s="28"/>
      <c r="F695" s="28"/>
      <c r="G695" s="28"/>
      <c r="H695" s="28"/>
      <c r="I695" s="22"/>
      <c r="J695" s="28"/>
      <c r="K695" s="28"/>
      <c r="L695" s="22"/>
      <c r="M695" s="22"/>
      <c r="N695" s="28"/>
      <c r="O695" s="28"/>
      <c r="P695" s="53"/>
      <c r="Q695" s="53"/>
      <c r="R695" s="28"/>
      <c r="S695" s="53"/>
      <c r="T695" s="28"/>
      <c r="U695" s="28"/>
      <c r="V695" s="28"/>
      <c r="W695" s="28"/>
      <c r="X695" s="53"/>
      <c r="Y695" s="22"/>
      <c r="Z695" s="28"/>
      <c r="AA695" s="28"/>
      <c r="AB695" s="28"/>
      <c r="AC695" s="28"/>
      <c r="AD695" s="28"/>
      <c r="AE695" s="28"/>
      <c r="AF695" s="28"/>
      <c r="AG695" s="28"/>
    </row>
    <row r="696" spans="1:33" ht="15.75" customHeight="1">
      <c r="A696" s="28"/>
      <c r="B696" s="28"/>
      <c r="C696" s="28"/>
      <c r="D696" s="28"/>
      <c r="E696" s="28"/>
      <c r="F696" s="28"/>
      <c r="G696" s="28"/>
      <c r="H696" s="28"/>
      <c r="I696" s="22"/>
      <c r="J696" s="28"/>
      <c r="K696" s="28"/>
      <c r="L696" s="22"/>
      <c r="M696" s="22"/>
      <c r="N696" s="28"/>
      <c r="O696" s="28"/>
      <c r="P696" s="53"/>
      <c r="Q696" s="53"/>
      <c r="R696" s="28"/>
      <c r="S696" s="53"/>
      <c r="T696" s="28"/>
      <c r="U696" s="28"/>
      <c r="V696" s="28"/>
      <c r="W696" s="28"/>
      <c r="X696" s="53"/>
      <c r="Y696" s="22"/>
      <c r="Z696" s="28"/>
      <c r="AA696" s="28"/>
      <c r="AB696" s="28"/>
      <c r="AC696" s="28"/>
      <c r="AD696" s="28"/>
      <c r="AE696" s="28"/>
      <c r="AF696" s="28"/>
      <c r="AG696" s="28"/>
    </row>
    <row r="697" spans="1:33" ht="15.75" customHeight="1">
      <c r="A697" s="28"/>
      <c r="B697" s="28"/>
      <c r="C697" s="28"/>
      <c r="D697" s="28"/>
      <c r="E697" s="28"/>
      <c r="F697" s="28"/>
      <c r="G697" s="28"/>
      <c r="H697" s="28"/>
      <c r="I697" s="22"/>
      <c r="J697" s="28"/>
      <c r="K697" s="28"/>
      <c r="L697" s="22"/>
      <c r="M697" s="22"/>
      <c r="N697" s="28"/>
      <c r="O697" s="28"/>
      <c r="P697" s="53"/>
      <c r="Q697" s="53"/>
      <c r="R697" s="28"/>
      <c r="S697" s="53"/>
      <c r="T697" s="28"/>
      <c r="U697" s="28"/>
      <c r="V697" s="28"/>
      <c r="W697" s="28"/>
      <c r="X697" s="53"/>
      <c r="Y697" s="22"/>
      <c r="Z697" s="28"/>
      <c r="AA697" s="28"/>
      <c r="AB697" s="28"/>
      <c r="AC697" s="28"/>
      <c r="AD697" s="28"/>
      <c r="AE697" s="28"/>
      <c r="AF697" s="28"/>
      <c r="AG697" s="28"/>
    </row>
    <row r="698" spans="1:33" ht="15.75" customHeight="1">
      <c r="A698" s="28"/>
      <c r="B698" s="28"/>
      <c r="C698" s="28"/>
      <c r="D698" s="28"/>
      <c r="E698" s="28"/>
      <c r="F698" s="28"/>
      <c r="G698" s="28"/>
      <c r="H698" s="28"/>
      <c r="I698" s="22"/>
      <c r="J698" s="28"/>
      <c r="K698" s="28"/>
      <c r="L698" s="22"/>
      <c r="M698" s="22"/>
      <c r="N698" s="28"/>
      <c r="O698" s="28"/>
      <c r="P698" s="53"/>
      <c r="Q698" s="53"/>
      <c r="R698" s="28"/>
      <c r="S698" s="53"/>
      <c r="T698" s="28"/>
      <c r="U698" s="28"/>
      <c r="V698" s="28"/>
      <c r="W698" s="28"/>
      <c r="X698" s="53"/>
      <c r="Y698" s="22"/>
      <c r="Z698" s="28"/>
      <c r="AA698" s="28"/>
      <c r="AB698" s="28"/>
      <c r="AC698" s="28"/>
      <c r="AD698" s="28"/>
      <c r="AE698" s="28"/>
      <c r="AF698" s="28"/>
      <c r="AG698" s="28"/>
    </row>
    <row r="699" spans="1:33" ht="15.75" customHeight="1">
      <c r="A699" s="28"/>
      <c r="B699" s="28"/>
      <c r="C699" s="28"/>
      <c r="D699" s="28"/>
      <c r="E699" s="28"/>
      <c r="F699" s="28"/>
      <c r="G699" s="28"/>
      <c r="H699" s="28"/>
      <c r="I699" s="22"/>
      <c r="J699" s="28"/>
      <c r="K699" s="28"/>
      <c r="L699" s="22"/>
      <c r="M699" s="22"/>
      <c r="N699" s="28"/>
      <c r="O699" s="28"/>
      <c r="P699" s="53"/>
      <c r="Q699" s="53"/>
      <c r="R699" s="28"/>
      <c r="S699" s="53"/>
      <c r="T699" s="28"/>
      <c r="U699" s="28"/>
      <c r="V699" s="28"/>
      <c r="W699" s="28"/>
      <c r="X699" s="53"/>
      <c r="Y699" s="22"/>
      <c r="Z699" s="28"/>
      <c r="AA699" s="28"/>
      <c r="AB699" s="28"/>
      <c r="AC699" s="28"/>
      <c r="AD699" s="28"/>
      <c r="AE699" s="28"/>
      <c r="AF699" s="28"/>
      <c r="AG699" s="28"/>
    </row>
    <row r="700" spans="1:33" ht="15.75" customHeight="1">
      <c r="A700" s="28"/>
      <c r="B700" s="28"/>
      <c r="C700" s="28"/>
      <c r="D700" s="28"/>
      <c r="E700" s="28"/>
      <c r="F700" s="28"/>
      <c r="G700" s="28"/>
      <c r="H700" s="28"/>
      <c r="I700" s="22"/>
      <c r="J700" s="28"/>
      <c r="K700" s="28"/>
      <c r="L700" s="22"/>
      <c r="M700" s="22"/>
      <c r="N700" s="28"/>
      <c r="O700" s="28"/>
      <c r="P700" s="53"/>
      <c r="Q700" s="53"/>
      <c r="R700" s="28"/>
      <c r="S700" s="53"/>
      <c r="T700" s="28"/>
      <c r="U700" s="28"/>
      <c r="V700" s="28"/>
      <c r="W700" s="28"/>
      <c r="X700" s="53"/>
      <c r="Y700" s="22"/>
      <c r="Z700" s="28"/>
      <c r="AA700" s="28"/>
      <c r="AB700" s="28"/>
      <c r="AC700" s="28"/>
      <c r="AD700" s="28"/>
      <c r="AE700" s="28"/>
      <c r="AF700" s="28"/>
      <c r="AG700" s="28"/>
    </row>
    <row r="701" spans="1:33" ht="15.75" customHeight="1">
      <c r="A701" s="28"/>
      <c r="B701" s="28"/>
      <c r="C701" s="28"/>
      <c r="D701" s="28"/>
      <c r="E701" s="28"/>
      <c r="F701" s="28"/>
      <c r="G701" s="28"/>
      <c r="H701" s="28"/>
      <c r="I701" s="22"/>
      <c r="J701" s="28"/>
      <c r="K701" s="28"/>
      <c r="L701" s="22"/>
      <c r="M701" s="22"/>
      <c r="N701" s="28"/>
      <c r="O701" s="28"/>
      <c r="P701" s="53"/>
      <c r="Q701" s="53"/>
      <c r="R701" s="28"/>
      <c r="S701" s="53"/>
      <c r="T701" s="28"/>
      <c r="U701" s="28"/>
      <c r="V701" s="28"/>
      <c r="W701" s="28"/>
      <c r="X701" s="53"/>
      <c r="Y701" s="22"/>
      <c r="Z701" s="28"/>
      <c r="AA701" s="28"/>
      <c r="AB701" s="28"/>
      <c r="AC701" s="28"/>
      <c r="AD701" s="28"/>
      <c r="AE701" s="28"/>
      <c r="AF701" s="28"/>
      <c r="AG701" s="28"/>
    </row>
    <row r="702" spans="1:33" ht="15.75" customHeight="1">
      <c r="A702" s="28"/>
      <c r="B702" s="28"/>
      <c r="C702" s="28"/>
      <c r="D702" s="28"/>
      <c r="E702" s="28"/>
      <c r="F702" s="28"/>
      <c r="G702" s="28"/>
      <c r="H702" s="28"/>
      <c r="I702" s="22"/>
      <c r="J702" s="28"/>
      <c r="K702" s="28"/>
      <c r="L702" s="22"/>
      <c r="M702" s="22"/>
      <c r="N702" s="28"/>
      <c r="O702" s="28"/>
      <c r="P702" s="53"/>
      <c r="Q702" s="53"/>
      <c r="R702" s="28"/>
      <c r="S702" s="53"/>
      <c r="T702" s="28"/>
      <c r="U702" s="28"/>
      <c r="V702" s="28"/>
      <c r="W702" s="28"/>
      <c r="X702" s="53"/>
      <c r="Y702" s="22"/>
      <c r="Z702" s="28"/>
      <c r="AA702" s="28"/>
      <c r="AB702" s="28"/>
      <c r="AC702" s="28"/>
      <c r="AD702" s="28"/>
      <c r="AE702" s="28"/>
      <c r="AF702" s="28"/>
      <c r="AG702" s="28"/>
    </row>
    <row r="703" spans="1:33" ht="15.75" customHeight="1">
      <c r="A703" s="28"/>
      <c r="B703" s="28"/>
      <c r="C703" s="28"/>
      <c r="D703" s="28"/>
      <c r="E703" s="28"/>
      <c r="F703" s="28"/>
      <c r="G703" s="28"/>
      <c r="H703" s="28"/>
      <c r="I703" s="22"/>
      <c r="J703" s="28"/>
      <c r="K703" s="28"/>
      <c r="L703" s="22"/>
      <c r="M703" s="22"/>
      <c r="N703" s="28"/>
      <c r="O703" s="28"/>
      <c r="P703" s="53"/>
      <c r="Q703" s="53"/>
      <c r="R703" s="28"/>
      <c r="S703" s="53"/>
      <c r="T703" s="28"/>
      <c r="U703" s="28"/>
      <c r="V703" s="28"/>
      <c r="W703" s="28"/>
      <c r="X703" s="53"/>
      <c r="Y703" s="22"/>
      <c r="Z703" s="28"/>
      <c r="AA703" s="28"/>
      <c r="AB703" s="28"/>
      <c r="AC703" s="28"/>
      <c r="AD703" s="28"/>
      <c r="AE703" s="28"/>
      <c r="AF703" s="28"/>
      <c r="AG703" s="28"/>
    </row>
    <row r="704" spans="1:33" ht="15.75" customHeight="1">
      <c r="A704" s="28"/>
      <c r="B704" s="28"/>
      <c r="C704" s="28"/>
      <c r="D704" s="28"/>
      <c r="E704" s="28"/>
      <c r="F704" s="28"/>
      <c r="G704" s="28"/>
      <c r="H704" s="28"/>
      <c r="I704" s="22"/>
      <c r="J704" s="28"/>
      <c r="K704" s="28"/>
      <c r="L704" s="22"/>
      <c r="M704" s="22"/>
      <c r="N704" s="28"/>
      <c r="O704" s="28"/>
      <c r="P704" s="53"/>
      <c r="Q704" s="53"/>
      <c r="R704" s="28"/>
      <c r="S704" s="53"/>
      <c r="T704" s="28"/>
      <c r="U704" s="28"/>
      <c r="V704" s="28"/>
      <c r="W704" s="28"/>
      <c r="X704" s="53"/>
      <c r="Y704" s="22"/>
      <c r="Z704" s="28"/>
      <c r="AA704" s="28"/>
      <c r="AB704" s="28"/>
      <c r="AC704" s="28"/>
      <c r="AD704" s="28"/>
      <c r="AE704" s="28"/>
      <c r="AF704" s="28"/>
      <c r="AG704" s="28"/>
    </row>
    <row r="705" spans="1:33" ht="15.75" customHeight="1">
      <c r="A705" s="28"/>
      <c r="B705" s="28"/>
      <c r="C705" s="28"/>
      <c r="D705" s="28"/>
      <c r="E705" s="28"/>
      <c r="F705" s="28"/>
      <c r="G705" s="28"/>
      <c r="H705" s="28"/>
      <c r="I705" s="22"/>
      <c r="J705" s="28"/>
      <c r="K705" s="28"/>
      <c r="L705" s="22"/>
      <c r="M705" s="22"/>
      <c r="N705" s="28"/>
      <c r="O705" s="28"/>
      <c r="P705" s="53"/>
      <c r="Q705" s="53"/>
      <c r="R705" s="28"/>
      <c r="S705" s="53"/>
      <c r="T705" s="28"/>
      <c r="U705" s="28"/>
      <c r="V705" s="28"/>
      <c r="W705" s="28"/>
      <c r="X705" s="53"/>
      <c r="Y705" s="22"/>
      <c r="Z705" s="28"/>
      <c r="AA705" s="28"/>
      <c r="AB705" s="28"/>
      <c r="AC705" s="28"/>
      <c r="AD705" s="28"/>
      <c r="AE705" s="28"/>
      <c r="AF705" s="28"/>
      <c r="AG705" s="28"/>
    </row>
    <row r="706" spans="1:33" ht="15.75" customHeight="1">
      <c r="A706" s="28"/>
      <c r="B706" s="28"/>
      <c r="C706" s="28"/>
      <c r="D706" s="28"/>
      <c r="E706" s="28"/>
      <c r="F706" s="28"/>
      <c r="G706" s="28"/>
      <c r="H706" s="28"/>
      <c r="I706" s="22"/>
      <c r="J706" s="28"/>
      <c r="K706" s="28"/>
      <c r="L706" s="22"/>
      <c r="M706" s="22"/>
      <c r="N706" s="28"/>
      <c r="O706" s="28"/>
      <c r="P706" s="53"/>
      <c r="Q706" s="53"/>
      <c r="R706" s="28"/>
      <c r="S706" s="53"/>
      <c r="T706" s="28"/>
      <c r="U706" s="28"/>
      <c r="V706" s="28"/>
      <c r="W706" s="28"/>
      <c r="X706" s="53"/>
      <c r="Y706" s="22"/>
      <c r="Z706" s="28"/>
      <c r="AA706" s="28"/>
      <c r="AB706" s="28"/>
      <c r="AC706" s="28"/>
      <c r="AD706" s="28"/>
      <c r="AE706" s="28"/>
      <c r="AF706" s="28"/>
      <c r="AG706" s="28"/>
    </row>
    <row r="707" spans="1:33" ht="15.75" customHeight="1">
      <c r="A707" s="28"/>
      <c r="B707" s="28"/>
      <c r="C707" s="28"/>
      <c r="D707" s="28"/>
      <c r="E707" s="28"/>
      <c r="F707" s="28"/>
      <c r="G707" s="28"/>
      <c r="H707" s="28"/>
      <c r="I707" s="22"/>
      <c r="J707" s="28"/>
      <c r="K707" s="28"/>
      <c r="L707" s="22"/>
      <c r="M707" s="22"/>
      <c r="N707" s="28"/>
      <c r="O707" s="28"/>
      <c r="P707" s="53"/>
      <c r="Q707" s="53"/>
      <c r="R707" s="28"/>
      <c r="S707" s="53"/>
      <c r="T707" s="28"/>
      <c r="U707" s="28"/>
      <c r="V707" s="28"/>
      <c r="W707" s="28"/>
      <c r="X707" s="53"/>
      <c r="Y707" s="22"/>
      <c r="Z707" s="28"/>
      <c r="AA707" s="28"/>
      <c r="AB707" s="28"/>
      <c r="AC707" s="28"/>
      <c r="AD707" s="28"/>
      <c r="AE707" s="28"/>
      <c r="AF707" s="28"/>
      <c r="AG707" s="28"/>
    </row>
    <row r="708" spans="1:33" ht="15.75" customHeight="1">
      <c r="A708" s="28"/>
      <c r="B708" s="28"/>
      <c r="C708" s="28"/>
      <c r="D708" s="28"/>
      <c r="E708" s="28"/>
      <c r="F708" s="28"/>
      <c r="G708" s="28"/>
      <c r="H708" s="28"/>
      <c r="I708" s="22"/>
      <c r="J708" s="28"/>
      <c r="K708" s="28"/>
      <c r="L708" s="22"/>
      <c r="M708" s="22"/>
      <c r="N708" s="28"/>
      <c r="O708" s="28"/>
      <c r="P708" s="53"/>
      <c r="Q708" s="53"/>
      <c r="R708" s="28"/>
      <c r="S708" s="53"/>
      <c r="T708" s="28"/>
      <c r="U708" s="28"/>
      <c r="V708" s="28"/>
      <c r="W708" s="28"/>
      <c r="X708" s="53"/>
      <c r="Y708" s="22"/>
      <c r="Z708" s="28"/>
      <c r="AA708" s="28"/>
      <c r="AB708" s="28"/>
      <c r="AC708" s="28"/>
      <c r="AD708" s="28"/>
      <c r="AE708" s="28"/>
      <c r="AF708" s="28"/>
      <c r="AG708" s="28"/>
    </row>
    <row r="709" spans="1:33" ht="15.75" customHeight="1">
      <c r="A709" s="28"/>
      <c r="B709" s="28"/>
      <c r="C709" s="28"/>
      <c r="D709" s="28"/>
      <c r="E709" s="28"/>
      <c r="F709" s="28"/>
      <c r="G709" s="28"/>
      <c r="H709" s="28"/>
      <c r="I709" s="22"/>
      <c r="J709" s="28"/>
      <c r="K709" s="28"/>
      <c r="L709" s="22"/>
      <c r="M709" s="22"/>
      <c r="N709" s="28"/>
      <c r="O709" s="28"/>
      <c r="P709" s="53"/>
      <c r="Q709" s="53"/>
      <c r="R709" s="28"/>
      <c r="S709" s="53"/>
      <c r="T709" s="28"/>
      <c r="U709" s="28"/>
      <c r="V709" s="28"/>
      <c r="W709" s="28"/>
      <c r="X709" s="53"/>
      <c r="Y709" s="22"/>
      <c r="Z709" s="28"/>
      <c r="AA709" s="28"/>
      <c r="AB709" s="28"/>
      <c r="AC709" s="28"/>
      <c r="AD709" s="28"/>
      <c r="AE709" s="28"/>
      <c r="AF709" s="28"/>
      <c r="AG709" s="28"/>
    </row>
    <row r="710" spans="1:33" ht="15.75" customHeight="1">
      <c r="A710" s="28"/>
      <c r="B710" s="28"/>
      <c r="C710" s="28"/>
      <c r="D710" s="28"/>
      <c r="E710" s="28"/>
      <c r="F710" s="28"/>
      <c r="G710" s="28"/>
      <c r="H710" s="28"/>
      <c r="I710" s="22"/>
      <c r="J710" s="28"/>
      <c r="K710" s="28"/>
      <c r="L710" s="22"/>
      <c r="M710" s="22"/>
      <c r="N710" s="28"/>
      <c r="O710" s="28"/>
      <c r="P710" s="53"/>
      <c r="Q710" s="53"/>
      <c r="R710" s="28"/>
      <c r="S710" s="53"/>
      <c r="T710" s="28"/>
      <c r="U710" s="28"/>
      <c r="V710" s="28"/>
      <c r="W710" s="28"/>
      <c r="X710" s="53"/>
      <c r="Y710" s="22"/>
      <c r="Z710" s="28"/>
      <c r="AA710" s="28"/>
      <c r="AB710" s="28"/>
      <c r="AC710" s="28"/>
      <c r="AD710" s="28"/>
      <c r="AE710" s="28"/>
      <c r="AF710" s="28"/>
      <c r="AG710" s="28"/>
    </row>
    <row r="711" spans="1:33" ht="15.75" customHeight="1">
      <c r="A711" s="28"/>
      <c r="B711" s="28"/>
      <c r="C711" s="28"/>
      <c r="D711" s="28"/>
      <c r="E711" s="28"/>
      <c r="F711" s="28"/>
      <c r="G711" s="28"/>
      <c r="H711" s="28"/>
      <c r="I711" s="22"/>
      <c r="J711" s="28"/>
      <c r="K711" s="28"/>
      <c r="L711" s="22"/>
      <c r="M711" s="22"/>
      <c r="N711" s="28"/>
      <c r="O711" s="28"/>
      <c r="P711" s="53"/>
      <c r="Q711" s="53"/>
      <c r="R711" s="28"/>
      <c r="S711" s="53"/>
      <c r="T711" s="28"/>
      <c r="U711" s="28"/>
      <c r="V711" s="28"/>
      <c r="W711" s="28"/>
      <c r="X711" s="53"/>
      <c r="Y711" s="22"/>
      <c r="Z711" s="28"/>
      <c r="AA711" s="28"/>
      <c r="AB711" s="28"/>
      <c r="AC711" s="28"/>
      <c r="AD711" s="28"/>
      <c r="AE711" s="28"/>
      <c r="AF711" s="28"/>
      <c r="AG711" s="28"/>
    </row>
    <row r="712" spans="1:33" ht="15.75" customHeight="1">
      <c r="A712" s="28"/>
      <c r="B712" s="28"/>
      <c r="C712" s="28"/>
      <c r="D712" s="28"/>
      <c r="E712" s="28"/>
      <c r="F712" s="28"/>
      <c r="G712" s="28"/>
      <c r="H712" s="28"/>
      <c r="I712" s="22"/>
      <c r="J712" s="28"/>
      <c r="K712" s="28"/>
      <c r="L712" s="22"/>
      <c r="M712" s="22"/>
      <c r="N712" s="28"/>
      <c r="O712" s="28"/>
      <c r="P712" s="53"/>
      <c r="Q712" s="53"/>
      <c r="R712" s="28"/>
      <c r="S712" s="53"/>
      <c r="T712" s="28"/>
      <c r="U712" s="28"/>
      <c r="V712" s="28"/>
      <c r="W712" s="28"/>
      <c r="X712" s="53"/>
      <c r="Y712" s="22"/>
      <c r="Z712" s="28"/>
      <c r="AA712" s="28"/>
      <c r="AB712" s="28"/>
      <c r="AC712" s="28"/>
      <c r="AD712" s="28"/>
      <c r="AE712" s="28"/>
      <c r="AF712" s="28"/>
      <c r="AG712" s="28"/>
    </row>
    <row r="713" spans="1:33" ht="15.75" customHeight="1">
      <c r="A713" s="28"/>
      <c r="B713" s="28"/>
      <c r="C713" s="28"/>
      <c r="D713" s="28"/>
      <c r="E713" s="28"/>
      <c r="F713" s="28"/>
      <c r="G713" s="28"/>
      <c r="H713" s="28"/>
      <c r="I713" s="22"/>
      <c r="J713" s="28"/>
      <c r="K713" s="28"/>
      <c r="L713" s="22"/>
      <c r="M713" s="22"/>
      <c r="N713" s="28"/>
      <c r="O713" s="28"/>
      <c r="P713" s="53"/>
      <c r="Q713" s="53"/>
      <c r="R713" s="28"/>
      <c r="S713" s="53"/>
      <c r="T713" s="28"/>
      <c r="U713" s="28"/>
      <c r="V713" s="28"/>
      <c r="W713" s="28"/>
      <c r="X713" s="53"/>
      <c r="Y713" s="22"/>
      <c r="Z713" s="28"/>
      <c r="AA713" s="28"/>
      <c r="AB713" s="28"/>
      <c r="AC713" s="28"/>
      <c r="AD713" s="28"/>
      <c r="AE713" s="28"/>
      <c r="AF713" s="28"/>
      <c r="AG713" s="28"/>
    </row>
    <row r="714" spans="1:33" ht="15.75" customHeight="1">
      <c r="A714" s="28"/>
      <c r="B714" s="28"/>
      <c r="C714" s="28"/>
      <c r="D714" s="28"/>
      <c r="E714" s="28"/>
      <c r="F714" s="28"/>
      <c r="G714" s="28"/>
      <c r="H714" s="28"/>
      <c r="I714" s="22"/>
      <c r="J714" s="28"/>
      <c r="K714" s="28"/>
      <c r="L714" s="22"/>
      <c r="M714" s="22"/>
      <c r="N714" s="28"/>
      <c r="O714" s="28"/>
      <c r="P714" s="53"/>
      <c r="Q714" s="53"/>
      <c r="R714" s="28"/>
      <c r="S714" s="53"/>
      <c r="T714" s="28"/>
      <c r="U714" s="28"/>
      <c r="V714" s="28"/>
      <c r="W714" s="28"/>
      <c r="X714" s="53"/>
      <c r="Y714" s="22"/>
      <c r="Z714" s="28"/>
      <c r="AA714" s="28"/>
      <c r="AB714" s="28"/>
      <c r="AC714" s="28"/>
      <c r="AD714" s="28"/>
      <c r="AE714" s="28"/>
      <c r="AF714" s="28"/>
      <c r="AG714" s="28"/>
    </row>
    <row r="715" spans="1:33" ht="15.75" customHeight="1">
      <c r="A715" s="28"/>
      <c r="B715" s="28"/>
      <c r="C715" s="28"/>
      <c r="D715" s="28"/>
      <c r="E715" s="28"/>
      <c r="F715" s="28"/>
      <c r="G715" s="28"/>
      <c r="H715" s="28"/>
      <c r="I715" s="22"/>
      <c r="J715" s="28"/>
      <c r="K715" s="28"/>
      <c r="L715" s="22"/>
      <c r="M715" s="22"/>
      <c r="N715" s="28"/>
      <c r="O715" s="28"/>
      <c r="P715" s="53"/>
      <c r="Q715" s="53"/>
      <c r="R715" s="28"/>
      <c r="S715" s="53"/>
      <c r="T715" s="28"/>
      <c r="U715" s="28"/>
      <c r="V715" s="28"/>
      <c r="W715" s="28"/>
      <c r="X715" s="53"/>
      <c r="Y715" s="22"/>
      <c r="Z715" s="28"/>
      <c r="AA715" s="28"/>
      <c r="AB715" s="28"/>
      <c r="AC715" s="28"/>
      <c r="AD715" s="28"/>
      <c r="AE715" s="28"/>
      <c r="AF715" s="28"/>
      <c r="AG715" s="28"/>
    </row>
    <row r="716" spans="1:33" ht="15.75" customHeight="1">
      <c r="A716" s="28"/>
      <c r="B716" s="28"/>
      <c r="C716" s="28"/>
      <c r="D716" s="28"/>
      <c r="E716" s="28"/>
      <c r="F716" s="28"/>
      <c r="G716" s="28"/>
      <c r="H716" s="28"/>
      <c r="I716" s="22"/>
      <c r="J716" s="28"/>
      <c r="K716" s="28"/>
      <c r="L716" s="22"/>
      <c r="M716" s="22"/>
      <c r="N716" s="28"/>
      <c r="O716" s="28"/>
      <c r="P716" s="53"/>
      <c r="Q716" s="53"/>
      <c r="R716" s="28"/>
      <c r="S716" s="53"/>
      <c r="T716" s="28"/>
      <c r="U716" s="28"/>
      <c r="V716" s="28"/>
      <c r="W716" s="28"/>
      <c r="X716" s="53"/>
      <c r="Y716" s="22"/>
      <c r="Z716" s="28"/>
      <c r="AA716" s="28"/>
      <c r="AB716" s="28"/>
      <c r="AC716" s="28"/>
      <c r="AD716" s="28"/>
      <c r="AE716" s="28"/>
      <c r="AF716" s="28"/>
      <c r="AG716" s="28"/>
    </row>
    <row r="717" spans="1:33" ht="15.75" customHeight="1">
      <c r="A717" s="28"/>
      <c r="B717" s="28"/>
      <c r="C717" s="28"/>
      <c r="D717" s="28"/>
      <c r="E717" s="28"/>
      <c r="F717" s="28"/>
      <c r="G717" s="28"/>
      <c r="H717" s="28"/>
      <c r="I717" s="22"/>
      <c r="J717" s="28"/>
      <c r="K717" s="28"/>
      <c r="L717" s="22"/>
      <c r="M717" s="22"/>
      <c r="N717" s="28"/>
      <c r="O717" s="28"/>
      <c r="P717" s="53"/>
      <c r="Q717" s="53"/>
      <c r="R717" s="28"/>
      <c r="S717" s="53"/>
      <c r="T717" s="28"/>
      <c r="U717" s="28"/>
      <c r="V717" s="28"/>
      <c r="W717" s="28"/>
      <c r="X717" s="53"/>
      <c r="Y717" s="22"/>
      <c r="Z717" s="28"/>
      <c r="AA717" s="28"/>
      <c r="AB717" s="28"/>
      <c r="AC717" s="28"/>
      <c r="AD717" s="28"/>
      <c r="AE717" s="28"/>
      <c r="AF717" s="28"/>
      <c r="AG717" s="28"/>
    </row>
    <row r="718" spans="1:33" ht="15.75" customHeight="1">
      <c r="A718" s="28"/>
      <c r="B718" s="28"/>
      <c r="C718" s="28"/>
      <c r="D718" s="28"/>
      <c r="E718" s="28"/>
      <c r="F718" s="28"/>
      <c r="G718" s="28"/>
      <c r="H718" s="28"/>
      <c r="I718" s="22"/>
      <c r="J718" s="28"/>
      <c r="K718" s="28"/>
      <c r="L718" s="22"/>
      <c r="M718" s="22"/>
      <c r="N718" s="28"/>
      <c r="O718" s="28"/>
      <c r="P718" s="53"/>
      <c r="Q718" s="53"/>
      <c r="R718" s="28"/>
      <c r="S718" s="53"/>
      <c r="T718" s="28"/>
      <c r="U718" s="28"/>
      <c r="V718" s="28"/>
      <c r="W718" s="28"/>
      <c r="X718" s="53"/>
      <c r="Y718" s="22"/>
      <c r="Z718" s="28"/>
      <c r="AA718" s="28"/>
      <c r="AB718" s="28"/>
      <c r="AC718" s="28"/>
      <c r="AD718" s="28"/>
      <c r="AE718" s="28"/>
      <c r="AF718" s="28"/>
      <c r="AG718" s="28"/>
    </row>
    <row r="719" spans="1:33" ht="15.75" customHeight="1">
      <c r="A719" s="28"/>
      <c r="B719" s="28"/>
      <c r="C719" s="28"/>
      <c r="D719" s="28"/>
      <c r="E719" s="28"/>
      <c r="F719" s="28"/>
      <c r="G719" s="28"/>
      <c r="H719" s="28"/>
      <c r="I719" s="22"/>
      <c r="J719" s="28"/>
      <c r="K719" s="28"/>
      <c r="L719" s="22"/>
      <c r="M719" s="22"/>
      <c r="N719" s="28"/>
      <c r="O719" s="28"/>
      <c r="P719" s="53"/>
      <c r="Q719" s="53"/>
      <c r="R719" s="28"/>
      <c r="S719" s="53"/>
      <c r="T719" s="28"/>
      <c r="U719" s="28"/>
      <c r="V719" s="28"/>
      <c r="W719" s="28"/>
      <c r="X719" s="53"/>
      <c r="Y719" s="22"/>
      <c r="Z719" s="28"/>
      <c r="AA719" s="28"/>
      <c r="AB719" s="28"/>
      <c r="AC719" s="28"/>
      <c r="AD719" s="28"/>
      <c r="AE719" s="28"/>
      <c r="AF719" s="28"/>
      <c r="AG719" s="28"/>
    </row>
    <row r="720" spans="1:33" ht="15.75" customHeight="1">
      <c r="A720" s="28"/>
      <c r="B720" s="28"/>
      <c r="C720" s="28"/>
      <c r="D720" s="28"/>
      <c r="E720" s="28"/>
      <c r="F720" s="28"/>
      <c r="G720" s="28"/>
      <c r="H720" s="28"/>
      <c r="I720" s="22"/>
      <c r="J720" s="28"/>
      <c r="K720" s="28"/>
      <c r="L720" s="22"/>
      <c r="M720" s="22"/>
      <c r="N720" s="28"/>
      <c r="O720" s="28"/>
      <c r="P720" s="53"/>
      <c r="Q720" s="53"/>
      <c r="R720" s="28"/>
      <c r="S720" s="53"/>
      <c r="T720" s="28"/>
      <c r="U720" s="28"/>
      <c r="V720" s="28"/>
      <c r="W720" s="28"/>
      <c r="X720" s="53"/>
      <c r="Y720" s="22"/>
      <c r="Z720" s="28"/>
      <c r="AA720" s="28"/>
      <c r="AB720" s="28"/>
      <c r="AC720" s="28"/>
      <c r="AD720" s="28"/>
      <c r="AE720" s="28"/>
      <c r="AF720" s="28"/>
      <c r="AG720" s="28"/>
    </row>
    <row r="721" spans="1:33" ht="15.75" customHeight="1">
      <c r="A721" s="28"/>
      <c r="B721" s="28"/>
      <c r="C721" s="28"/>
      <c r="D721" s="28"/>
      <c r="E721" s="28"/>
      <c r="F721" s="28"/>
      <c r="G721" s="28"/>
      <c r="H721" s="28"/>
      <c r="I721" s="22"/>
      <c r="J721" s="28"/>
      <c r="K721" s="28"/>
      <c r="L721" s="22"/>
      <c r="M721" s="22"/>
      <c r="N721" s="28"/>
      <c r="O721" s="28"/>
      <c r="P721" s="53"/>
      <c r="Q721" s="53"/>
      <c r="R721" s="28"/>
      <c r="S721" s="53"/>
      <c r="T721" s="28"/>
      <c r="U721" s="28"/>
      <c r="V721" s="28"/>
      <c r="W721" s="28"/>
      <c r="X721" s="53"/>
      <c r="Y721" s="22"/>
      <c r="Z721" s="28"/>
      <c r="AA721" s="28"/>
      <c r="AB721" s="28"/>
      <c r="AC721" s="28"/>
      <c r="AD721" s="28"/>
      <c r="AE721" s="28"/>
      <c r="AF721" s="28"/>
      <c r="AG721" s="28"/>
    </row>
    <row r="722" spans="1:33" ht="15.75" customHeight="1">
      <c r="A722" s="28"/>
      <c r="B722" s="28"/>
      <c r="C722" s="28"/>
      <c r="D722" s="28"/>
      <c r="E722" s="28"/>
      <c r="F722" s="28"/>
      <c r="G722" s="28"/>
      <c r="H722" s="28"/>
      <c r="I722" s="22"/>
      <c r="J722" s="28"/>
      <c r="K722" s="28"/>
      <c r="L722" s="22"/>
      <c r="M722" s="22"/>
      <c r="N722" s="28"/>
      <c r="O722" s="28"/>
      <c r="P722" s="53"/>
      <c r="Q722" s="53"/>
      <c r="R722" s="28"/>
      <c r="S722" s="53"/>
      <c r="T722" s="28"/>
      <c r="U722" s="28"/>
      <c r="V722" s="28"/>
      <c r="W722" s="28"/>
      <c r="X722" s="53"/>
      <c r="Y722" s="22"/>
      <c r="Z722" s="28"/>
      <c r="AA722" s="28"/>
      <c r="AB722" s="28"/>
      <c r="AC722" s="28"/>
      <c r="AD722" s="28"/>
      <c r="AE722" s="28"/>
      <c r="AF722" s="28"/>
      <c r="AG722" s="28"/>
    </row>
    <row r="723" spans="1:33" ht="15.75" customHeight="1">
      <c r="A723" s="28"/>
      <c r="B723" s="28"/>
      <c r="C723" s="28"/>
      <c r="D723" s="28"/>
      <c r="E723" s="28"/>
      <c r="F723" s="28"/>
      <c r="G723" s="28"/>
      <c r="H723" s="28"/>
      <c r="I723" s="22"/>
      <c r="J723" s="28"/>
      <c r="K723" s="28"/>
      <c r="L723" s="22"/>
      <c r="M723" s="22"/>
      <c r="N723" s="28"/>
      <c r="O723" s="28"/>
      <c r="P723" s="53"/>
      <c r="Q723" s="53"/>
      <c r="R723" s="28"/>
      <c r="S723" s="53"/>
      <c r="T723" s="28"/>
      <c r="U723" s="28"/>
      <c r="V723" s="28"/>
      <c r="W723" s="28"/>
      <c r="X723" s="53"/>
      <c r="Y723" s="22"/>
      <c r="Z723" s="28"/>
      <c r="AA723" s="28"/>
      <c r="AB723" s="28"/>
      <c r="AC723" s="28"/>
      <c r="AD723" s="28"/>
      <c r="AE723" s="28"/>
      <c r="AF723" s="28"/>
      <c r="AG723" s="28"/>
    </row>
    <row r="724" spans="1:33" ht="15.75" customHeight="1">
      <c r="A724" s="28"/>
      <c r="B724" s="28"/>
      <c r="C724" s="28"/>
      <c r="D724" s="28"/>
      <c r="E724" s="28"/>
      <c r="F724" s="28"/>
      <c r="G724" s="28"/>
      <c r="H724" s="28"/>
      <c r="I724" s="22"/>
      <c r="J724" s="28"/>
      <c r="K724" s="28"/>
      <c r="L724" s="22"/>
      <c r="M724" s="22"/>
      <c r="N724" s="28"/>
      <c r="O724" s="28"/>
      <c r="P724" s="53"/>
      <c r="Q724" s="53"/>
      <c r="R724" s="28"/>
      <c r="S724" s="53"/>
      <c r="T724" s="28"/>
      <c r="U724" s="28"/>
      <c r="V724" s="28"/>
      <c r="W724" s="28"/>
      <c r="X724" s="53"/>
      <c r="Y724" s="22"/>
      <c r="Z724" s="28"/>
      <c r="AA724" s="28"/>
      <c r="AB724" s="28"/>
      <c r="AC724" s="28"/>
      <c r="AD724" s="28"/>
      <c r="AE724" s="28"/>
      <c r="AF724" s="28"/>
      <c r="AG724" s="28"/>
    </row>
    <row r="725" spans="1:33" ht="15.75" customHeight="1">
      <c r="A725" s="28"/>
      <c r="B725" s="28"/>
      <c r="C725" s="28"/>
      <c r="D725" s="28"/>
      <c r="E725" s="28"/>
      <c r="F725" s="28"/>
      <c r="G725" s="28"/>
      <c r="H725" s="28"/>
      <c r="I725" s="22"/>
      <c r="J725" s="28"/>
      <c r="K725" s="28"/>
      <c r="L725" s="22"/>
      <c r="M725" s="22"/>
      <c r="N725" s="28"/>
      <c r="O725" s="28"/>
      <c r="P725" s="53"/>
      <c r="Q725" s="53"/>
      <c r="R725" s="28"/>
      <c r="S725" s="53"/>
      <c r="T725" s="28"/>
      <c r="U725" s="28"/>
      <c r="V725" s="28"/>
      <c r="W725" s="28"/>
      <c r="X725" s="53"/>
      <c r="Y725" s="22"/>
      <c r="Z725" s="28"/>
      <c r="AA725" s="28"/>
      <c r="AB725" s="28"/>
      <c r="AC725" s="28"/>
      <c r="AD725" s="28"/>
      <c r="AE725" s="28"/>
      <c r="AF725" s="28"/>
      <c r="AG725" s="28"/>
    </row>
    <row r="726" spans="1:33" ht="15.75" customHeight="1">
      <c r="A726" s="28"/>
      <c r="B726" s="28"/>
      <c r="C726" s="28"/>
      <c r="D726" s="28"/>
      <c r="E726" s="28"/>
      <c r="F726" s="28"/>
      <c r="G726" s="28"/>
      <c r="H726" s="28"/>
      <c r="I726" s="22"/>
      <c r="J726" s="28"/>
      <c r="K726" s="28"/>
      <c r="L726" s="22"/>
      <c r="M726" s="22"/>
      <c r="N726" s="28"/>
      <c r="O726" s="28"/>
      <c r="P726" s="53"/>
      <c r="Q726" s="53"/>
      <c r="R726" s="28"/>
      <c r="S726" s="53"/>
      <c r="T726" s="28"/>
      <c r="U726" s="28"/>
      <c r="V726" s="28"/>
      <c r="W726" s="28"/>
      <c r="X726" s="53"/>
      <c r="Y726" s="22"/>
      <c r="Z726" s="28"/>
      <c r="AA726" s="28"/>
      <c r="AB726" s="28"/>
      <c r="AC726" s="28"/>
      <c r="AD726" s="28"/>
      <c r="AE726" s="28"/>
      <c r="AF726" s="28"/>
      <c r="AG726" s="28"/>
    </row>
    <row r="727" spans="1:33" ht="15.75" customHeight="1">
      <c r="A727" s="28"/>
      <c r="B727" s="28"/>
      <c r="C727" s="28"/>
      <c r="D727" s="28"/>
      <c r="E727" s="28"/>
      <c r="F727" s="28"/>
      <c r="G727" s="28"/>
      <c r="H727" s="28"/>
      <c r="I727" s="22"/>
      <c r="J727" s="28"/>
      <c r="K727" s="28"/>
      <c r="L727" s="22"/>
      <c r="M727" s="22"/>
      <c r="N727" s="28"/>
      <c r="O727" s="28"/>
      <c r="P727" s="53"/>
      <c r="Q727" s="53"/>
      <c r="R727" s="28"/>
      <c r="S727" s="53"/>
      <c r="T727" s="28"/>
      <c r="U727" s="28"/>
      <c r="V727" s="28"/>
      <c r="W727" s="28"/>
      <c r="X727" s="53"/>
      <c r="Y727" s="22"/>
      <c r="Z727" s="28"/>
      <c r="AA727" s="28"/>
      <c r="AB727" s="28"/>
      <c r="AC727" s="28"/>
      <c r="AD727" s="28"/>
      <c r="AE727" s="28"/>
      <c r="AF727" s="28"/>
      <c r="AG727" s="28"/>
    </row>
    <row r="728" spans="1:33" ht="15.75" customHeight="1">
      <c r="A728" s="28"/>
      <c r="B728" s="28"/>
      <c r="C728" s="28"/>
      <c r="D728" s="28"/>
      <c r="E728" s="28"/>
      <c r="F728" s="28"/>
      <c r="G728" s="28"/>
      <c r="H728" s="28"/>
      <c r="I728" s="22"/>
      <c r="J728" s="28"/>
      <c r="K728" s="28"/>
      <c r="L728" s="22"/>
      <c r="M728" s="22"/>
      <c r="N728" s="28"/>
      <c r="O728" s="28"/>
      <c r="P728" s="53"/>
      <c r="Q728" s="53"/>
      <c r="R728" s="28"/>
      <c r="S728" s="53"/>
      <c r="T728" s="28"/>
      <c r="U728" s="28"/>
      <c r="V728" s="28"/>
      <c r="W728" s="28"/>
      <c r="X728" s="53"/>
      <c r="Y728" s="22"/>
      <c r="Z728" s="28"/>
      <c r="AA728" s="28"/>
      <c r="AB728" s="28"/>
      <c r="AC728" s="28"/>
      <c r="AD728" s="28"/>
      <c r="AE728" s="28"/>
      <c r="AF728" s="28"/>
      <c r="AG728" s="28"/>
    </row>
    <row r="729" spans="1:33" ht="15.75" customHeight="1">
      <c r="A729" s="28"/>
      <c r="B729" s="28"/>
      <c r="C729" s="28"/>
      <c r="D729" s="28"/>
      <c r="E729" s="28"/>
      <c r="F729" s="28"/>
      <c r="G729" s="28"/>
      <c r="H729" s="28"/>
      <c r="I729" s="22"/>
      <c r="J729" s="28"/>
      <c r="K729" s="28"/>
      <c r="L729" s="22"/>
      <c r="M729" s="22"/>
      <c r="N729" s="28"/>
      <c r="O729" s="28"/>
      <c r="P729" s="53"/>
      <c r="Q729" s="53"/>
      <c r="R729" s="28"/>
      <c r="S729" s="53"/>
      <c r="T729" s="28"/>
      <c r="U729" s="28"/>
      <c r="V729" s="28"/>
      <c r="W729" s="28"/>
      <c r="X729" s="53"/>
      <c r="Y729" s="22"/>
      <c r="Z729" s="28"/>
      <c r="AA729" s="28"/>
      <c r="AB729" s="28"/>
      <c r="AC729" s="28"/>
      <c r="AD729" s="28"/>
      <c r="AE729" s="28"/>
      <c r="AF729" s="28"/>
      <c r="AG729" s="28"/>
    </row>
    <row r="730" spans="1:33" ht="15.75" customHeight="1">
      <c r="A730" s="28"/>
      <c r="B730" s="28"/>
      <c r="C730" s="28"/>
      <c r="D730" s="28"/>
      <c r="E730" s="28"/>
      <c r="F730" s="28"/>
      <c r="G730" s="28"/>
      <c r="H730" s="28"/>
      <c r="I730" s="22"/>
      <c r="J730" s="28"/>
      <c r="K730" s="28"/>
      <c r="L730" s="22"/>
      <c r="M730" s="22"/>
      <c r="N730" s="28"/>
      <c r="O730" s="28"/>
      <c r="P730" s="53"/>
      <c r="Q730" s="53"/>
      <c r="R730" s="28"/>
      <c r="S730" s="53"/>
      <c r="T730" s="28"/>
      <c r="U730" s="28"/>
      <c r="V730" s="28"/>
      <c r="W730" s="28"/>
      <c r="X730" s="53"/>
      <c r="Y730" s="22"/>
      <c r="Z730" s="28"/>
      <c r="AA730" s="28"/>
      <c r="AB730" s="28"/>
      <c r="AC730" s="28"/>
      <c r="AD730" s="28"/>
      <c r="AE730" s="28"/>
      <c r="AF730" s="28"/>
      <c r="AG730" s="28"/>
    </row>
    <row r="731" spans="1:33" ht="15.75" customHeight="1">
      <c r="A731" s="28"/>
      <c r="B731" s="28"/>
      <c r="C731" s="28"/>
      <c r="D731" s="28"/>
      <c r="E731" s="28"/>
      <c r="F731" s="28"/>
      <c r="G731" s="28"/>
      <c r="H731" s="28"/>
      <c r="I731" s="22"/>
      <c r="J731" s="28"/>
      <c r="K731" s="28"/>
      <c r="L731" s="22"/>
      <c r="M731" s="22"/>
      <c r="N731" s="28"/>
      <c r="O731" s="28"/>
      <c r="P731" s="53"/>
      <c r="Q731" s="53"/>
      <c r="R731" s="28"/>
      <c r="S731" s="53"/>
      <c r="T731" s="28"/>
      <c r="U731" s="28"/>
      <c r="V731" s="28"/>
      <c r="W731" s="28"/>
      <c r="X731" s="53"/>
      <c r="Y731" s="22"/>
      <c r="Z731" s="28"/>
      <c r="AA731" s="28"/>
      <c r="AB731" s="28"/>
      <c r="AC731" s="28"/>
      <c r="AD731" s="28"/>
      <c r="AE731" s="28"/>
      <c r="AF731" s="28"/>
      <c r="AG731" s="28"/>
    </row>
    <row r="732" spans="1:33" ht="15.75" customHeight="1">
      <c r="A732" s="28"/>
      <c r="B732" s="28"/>
      <c r="C732" s="28"/>
      <c r="D732" s="28"/>
      <c r="E732" s="28"/>
      <c r="F732" s="28"/>
      <c r="G732" s="28"/>
      <c r="H732" s="28"/>
      <c r="I732" s="22"/>
      <c r="J732" s="28"/>
      <c r="K732" s="28"/>
      <c r="L732" s="22"/>
      <c r="M732" s="22"/>
      <c r="N732" s="28"/>
      <c r="O732" s="28"/>
      <c r="P732" s="53"/>
      <c r="Q732" s="53"/>
      <c r="R732" s="28"/>
      <c r="S732" s="53"/>
      <c r="T732" s="28"/>
      <c r="U732" s="28"/>
      <c r="V732" s="28"/>
      <c r="W732" s="28"/>
      <c r="X732" s="53"/>
      <c r="Y732" s="22"/>
      <c r="Z732" s="28"/>
      <c r="AA732" s="28"/>
      <c r="AB732" s="28"/>
      <c r="AC732" s="28"/>
      <c r="AD732" s="28"/>
      <c r="AE732" s="28"/>
      <c r="AF732" s="28"/>
      <c r="AG732" s="28"/>
    </row>
    <row r="733" spans="1:33" ht="15.75" customHeight="1">
      <c r="A733" s="28"/>
      <c r="B733" s="28"/>
      <c r="C733" s="28"/>
      <c r="D733" s="28"/>
      <c r="E733" s="28"/>
      <c r="F733" s="28"/>
      <c r="G733" s="28"/>
      <c r="H733" s="28"/>
      <c r="I733" s="22"/>
      <c r="J733" s="28"/>
      <c r="K733" s="28"/>
      <c r="L733" s="22"/>
      <c r="M733" s="22"/>
      <c r="N733" s="28"/>
      <c r="O733" s="28"/>
      <c r="P733" s="53"/>
      <c r="Q733" s="53"/>
      <c r="R733" s="28"/>
      <c r="S733" s="53"/>
      <c r="T733" s="28"/>
      <c r="U733" s="28"/>
      <c r="V733" s="28"/>
      <c r="W733" s="28"/>
      <c r="X733" s="53"/>
      <c r="Y733" s="22"/>
      <c r="Z733" s="28"/>
      <c r="AA733" s="28"/>
      <c r="AB733" s="28"/>
      <c r="AC733" s="28"/>
      <c r="AD733" s="28"/>
      <c r="AE733" s="28"/>
      <c r="AF733" s="28"/>
      <c r="AG733" s="28"/>
    </row>
    <row r="734" spans="1:33" ht="15.75" customHeight="1">
      <c r="A734" s="28"/>
      <c r="B734" s="28"/>
      <c r="C734" s="28"/>
      <c r="D734" s="28"/>
      <c r="E734" s="28"/>
      <c r="F734" s="28"/>
      <c r="G734" s="28"/>
      <c r="H734" s="28"/>
      <c r="I734" s="22"/>
      <c r="J734" s="28"/>
      <c r="K734" s="28"/>
      <c r="L734" s="22"/>
      <c r="M734" s="22"/>
      <c r="N734" s="28"/>
      <c r="O734" s="28"/>
      <c r="P734" s="53"/>
      <c r="Q734" s="53"/>
      <c r="R734" s="28"/>
      <c r="S734" s="53"/>
      <c r="T734" s="28"/>
      <c r="U734" s="28"/>
      <c r="V734" s="28"/>
      <c r="W734" s="28"/>
      <c r="X734" s="53"/>
      <c r="Y734" s="22"/>
      <c r="Z734" s="28"/>
      <c r="AA734" s="28"/>
      <c r="AB734" s="28"/>
      <c r="AC734" s="28"/>
      <c r="AD734" s="28"/>
      <c r="AE734" s="28"/>
      <c r="AF734" s="28"/>
      <c r="AG734" s="28"/>
    </row>
    <row r="735" spans="1:33" ht="15.75" customHeight="1">
      <c r="A735" s="28"/>
      <c r="B735" s="28"/>
      <c r="C735" s="28"/>
      <c r="D735" s="28"/>
      <c r="E735" s="28"/>
      <c r="F735" s="28"/>
      <c r="G735" s="28"/>
      <c r="H735" s="28"/>
      <c r="I735" s="22"/>
      <c r="J735" s="28"/>
      <c r="K735" s="28"/>
      <c r="L735" s="22"/>
      <c r="M735" s="22"/>
      <c r="N735" s="28"/>
      <c r="O735" s="28"/>
      <c r="P735" s="53"/>
      <c r="Q735" s="53"/>
      <c r="R735" s="28"/>
      <c r="S735" s="53"/>
      <c r="T735" s="28"/>
      <c r="U735" s="28"/>
      <c r="V735" s="28"/>
      <c r="W735" s="28"/>
      <c r="X735" s="53"/>
      <c r="Y735" s="22"/>
      <c r="Z735" s="28"/>
      <c r="AA735" s="28"/>
      <c r="AB735" s="28"/>
      <c r="AC735" s="28"/>
      <c r="AD735" s="28"/>
      <c r="AE735" s="28"/>
      <c r="AF735" s="28"/>
      <c r="AG735" s="28"/>
    </row>
    <row r="736" spans="1:33" ht="15.75" customHeight="1">
      <c r="A736" s="28"/>
      <c r="B736" s="28"/>
      <c r="C736" s="28"/>
      <c r="D736" s="28"/>
      <c r="E736" s="28"/>
      <c r="F736" s="28"/>
      <c r="G736" s="28"/>
      <c r="H736" s="28"/>
      <c r="I736" s="22"/>
      <c r="J736" s="28"/>
      <c r="K736" s="28"/>
      <c r="L736" s="22"/>
      <c r="M736" s="22"/>
      <c r="N736" s="28"/>
      <c r="O736" s="28"/>
      <c r="P736" s="53"/>
      <c r="Q736" s="53"/>
      <c r="R736" s="28"/>
      <c r="S736" s="53"/>
      <c r="T736" s="28"/>
      <c r="U736" s="28"/>
      <c r="V736" s="28"/>
      <c r="W736" s="28"/>
      <c r="X736" s="53"/>
      <c r="Y736" s="22"/>
      <c r="Z736" s="28"/>
      <c r="AA736" s="28"/>
      <c r="AB736" s="28"/>
      <c r="AC736" s="28"/>
      <c r="AD736" s="28"/>
      <c r="AE736" s="28"/>
      <c r="AF736" s="28"/>
      <c r="AG736" s="28"/>
    </row>
    <row r="737" spans="1:33" ht="15.75" customHeight="1">
      <c r="A737" s="28"/>
      <c r="B737" s="28"/>
      <c r="C737" s="28"/>
      <c r="D737" s="28"/>
      <c r="E737" s="28"/>
      <c r="F737" s="28"/>
      <c r="G737" s="28"/>
      <c r="H737" s="28"/>
      <c r="I737" s="22"/>
      <c r="J737" s="28"/>
      <c r="K737" s="28"/>
      <c r="L737" s="22"/>
      <c r="M737" s="22"/>
      <c r="N737" s="28"/>
      <c r="O737" s="28"/>
      <c r="P737" s="53"/>
      <c r="Q737" s="53"/>
      <c r="R737" s="28"/>
      <c r="S737" s="53"/>
      <c r="T737" s="28"/>
      <c r="U737" s="28"/>
      <c r="V737" s="28"/>
      <c r="W737" s="28"/>
      <c r="X737" s="53"/>
      <c r="Y737" s="22"/>
      <c r="Z737" s="28"/>
      <c r="AA737" s="28"/>
      <c r="AB737" s="28"/>
      <c r="AC737" s="28"/>
      <c r="AD737" s="28"/>
      <c r="AE737" s="28"/>
      <c r="AF737" s="28"/>
      <c r="AG737" s="28"/>
    </row>
    <row r="738" spans="1:33" ht="15.75" customHeight="1">
      <c r="A738" s="28"/>
      <c r="B738" s="28"/>
      <c r="C738" s="28"/>
      <c r="D738" s="28"/>
      <c r="E738" s="28"/>
      <c r="F738" s="28"/>
      <c r="G738" s="28"/>
      <c r="H738" s="28"/>
      <c r="I738" s="22"/>
      <c r="J738" s="28"/>
      <c r="K738" s="28"/>
      <c r="L738" s="22"/>
      <c r="M738" s="22"/>
      <c r="N738" s="28"/>
      <c r="O738" s="28"/>
      <c r="P738" s="53"/>
      <c r="Q738" s="53"/>
      <c r="R738" s="28"/>
      <c r="S738" s="53"/>
      <c r="T738" s="28"/>
      <c r="U738" s="28"/>
      <c r="V738" s="28"/>
      <c r="W738" s="28"/>
      <c r="X738" s="53"/>
      <c r="Y738" s="22"/>
      <c r="Z738" s="28"/>
      <c r="AA738" s="28"/>
      <c r="AB738" s="28"/>
      <c r="AC738" s="28"/>
      <c r="AD738" s="28"/>
      <c r="AE738" s="28"/>
      <c r="AF738" s="28"/>
      <c r="AG738" s="28"/>
    </row>
    <row r="739" spans="1:33" ht="15.75" customHeight="1">
      <c r="A739" s="28"/>
      <c r="B739" s="28"/>
      <c r="C739" s="28"/>
      <c r="D739" s="28"/>
      <c r="E739" s="28"/>
      <c r="F739" s="28"/>
      <c r="G739" s="28"/>
      <c r="H739" s="28"/>
      <c r="I739" s="22"/>
      <c r="J739" s="28"/>
      <c r="K739" s="28"/>
      <c r="L739" s="22"/>
      <c r="M739" s="22"/>
      <c r="N739" s="28"/>
      <c r="O739" s="28"/>
      <c r="P739" s="53"/>
      <c r="Q739" s="53"/>
      <c r="R739" s="28"/>
      <c r="S739" s="53"/>
      <c r="T739" s="28"/>
      <c r="U739" s="28"/>
      <c r="V739" s="28"/>
      <c r="W739" s="28"/>
      <c r="X739" s="53"/>
      <c r="Y739" s="22"/>
      <c r="Z739" s="28"/>
      <c r="AA739" s="28"/>
      <c r="AB739" s="28"/>
      <c r="AC739" s="28"/>
      <c r="AD739" s="28"/>
      <c r="AE739" s="28"/>
      <c r="AF739" s="28"/>
      <c r="AG739" s="28"/>
    </row>
    <row r="740" spans="1:33" ht="15.75" customHeight="1">
      <c r="A740" s="28"/>
      <c r="B740" s="28"/>
      <c r="C740" s="28"/>
      <c r="D740" s="28"/>
      <c r="E740" s="28"/>
      <c r="F740" s="28"/>
      <c r="G740" s="28"/>
      <c r="H740" s="28"/>
      <c r="I740" s="22"/>
      <c r="J740" s="28"/>
      <c r="K740" s="28"/>
      <c r="L740" s="22"/>
      <c r="M740" s="22"/>
      <c r="N740" s="28"/>
      <c r="O740" s="28"/>
      <c r="P740" s="53"/>
      <c r="Q740" s="53"/>
      <c r="R740" s="28"/>
      <c r="S740" s="53"/>
      <c r="T740" s="28"/>
      <c r="U740" s="28"/>
      <c r="V740" s="28"/>
      <c r="W740" s="28"/>
      <c r="X740" s="53"/>
      <c r="Y740" s="22"/>
      <c r="Z740" s="28"/>
      <c r="AA740" s="28"/>
      <c r="AB740" s="28"/>
      <c r="AC740" s="28"/>
      <c r="AD740" s="28"/>
      <c r="AE740" s="28"/>
      <c r="AF740" s="28"/>
      <c r="AG740" s="28"/>
    </row>
    <row r="741" spans="1:33" ht="15.75" customHeight="1">
      <c r="A741" s="28"/>
      <c r="B741" s="28"/>
      <c r="C741" s="28"/>
      <c r="D741" s="28"/>
      <c r="E741" s="28"/>
      <c r="F741" s="28"/>
      <c r="G741" s="28"/>
      <c r="H741" s="28"/>
      <c r="I741" s="22"/>
      <c r="J741" s="28"/>
      <c r="K741" s="28"/>
      <c r="L741" s="22"/>
      <c r="M741" s="22"/>
      <c r="N741" s="28"/>
      <c r="O741" s="28"/>
      <c r="P741" s="53"/>
      <c r="Q741" s="53"/>
      <c r="R741" s="28"/>
      <c r="S741" s="53"/>
      <c r="T741" s="28"/>
      <c r="U741" s="28"/>
      <c r="V741" s="28"/>
      <c r="W741" s="28"/>
      <c r="X741" s="53"/>
      <c r="Y741" s="22"/>
      <c r="Z741" s="28"/>
      <c r="AA741" s="28"/>
      <c r="AB741" s="28"/>
      <c r="AC741" s="28"/>
      <c r="AD741" s="28"/>
      <c r="AE741" s="28"/>
      <c r="AF741" s="28"/>
      <c r="AG741" s="28"/>
    </row>
    <row r="742" spans="1:33" ht="15.75" customHeight="1">
      <c r="A742" s="28"/>
      <c r="B742" s="28"/>
      <c r="C742" s="28"/>
      <c r="D742" s="28"/>
      <c r="E742" s="28"/>
      <c r="F742" s="28"/>
      <c r="G742" s="28"/>
      <c r="H742" s="28"/>
      <c r="I742" s="22"/>
      <c r="J742" s="28"/>
      <c r="K742" s="28"/>
      <c r="L742" s="22"/>
      <c r="M742" s="22"/>
      <c r="N742" s="28"/>
      <c r="O742" s="28"/>
      <c r="P742" s="53"/>
      <c r="Q742" s="53"/>
      <c r="R742" s="28"/>
      <c r="S742" s="53"/>
      <c r="T742" s="28"/>
      <c r="U742" s="28"/>
      <c r="V742" s="28"/>
      <c r="W742" s="28"/>
      <c r="X742" s="53"/>
      <c r="Y742" s="22"/>
      <c r="Z742" s="28"/>
      <c r="AA742" s="28"/>
      <c r="AB742" s="28"/>
      <c r="AC742" s="28"/>
      <c r="AD742" s="28"/>
      <c r="AE742" s="28"/>
      <c r="AF742" s="28"/>
      <c r="AG742" s="28"/>
    </row>
    <row r="743" spans="1:33" ht="15.75" customHeight="1">
      <c r="A743" s="28"/>
      <c r="B743" s="28"/>
      <c r="C743" s="28"/>
      <c r="D743" s="28"/>
      <c r="E743" s="28"/>
      <c r="F743" s="28"/>
      <c r="G743" s="28"/>
      <c r="H743" s="28"/>
      <c r="I743" s="22"/>
      <c r="J743" s="28"/>
      <c r="K743" s="28"/>
      <c r="L743" s="22"/>
      <c r="M743" s="22"/>
      <c r="N743" s="28"/>
      <c r="O743" s="28"/>
      <c r="P743" s="53"/>
      <c r="Q743" s="53"/>
      <c r="R743" s="28"/>
      <c r="S743" s="53"/>
      <c r="T743" s="28"/>
      <c r="U743" s="28"/>
      <c r="V743" s="28"/>
      <c r="W743" s="28"/>
      <c r="X743" s="53"/>
      <c r="Y743" s="22"/>
      <c r="Z743" s="28"/>
      <c r="AA743" s="28"/>
      <c r="AB743" s="28"/>
      <c r="AC743" s="28"/>
      <c r="AD743" s="28"/>
      <c r="AE743" s="28"/>
      <c r="AF743" s="28"/>
      <c r="AG743" s="28"/>
    </row>
    <row r="744" spans="1:33" ht="15.75" customHeight="1">
      <c r="A744" s="28"/>
      <c r="B744" s="28"/>
      <c r="C744" s="28"/>
      <c r="D744" s="28"/>
      <c r="E744" s="28"/>
      <c r="F744" s="28"/>
      <c r="G744" s="28"/>
      <c r="H744" s="28"/>
      <c r="I744" s="22"/>
      <c r="J744" s="28"/>
      <c r="K744" s="28"/>
      <c r="L744" s="22"/>
      <c r="M744" s="22"/>
      <c r="N744" s="28"/>
      <c r="O744" s="28"/>
      <c r="P744" s="53"/>
      <c r="Q744" s="53"/>
      <c r="R744" s="28"/>
      <c r="S744" s="53"/>
      <c r="T744" s="28"/>
      <c r="U744" s="28"/>
      <c r="V744" s="28"/>
      <c r="W744" s="28"/>
      <c r="X744" s="53"/>
      <c r="Y744" s="22"/>
      <c r="Z744" s="28"/>
      <c r="AA744" s="28"/>
      <c r="AB744" s="28"/>
      <c r="AC744" s="28"/>
      <c r="AD744" s="28"/>
      <c r="AE744" s="28"/>
      <c r="AF744" s="28"/>
      <c r="AG744" s="28"/>
    </row>
    <row r="745" spans="1:33" ht="15.75" customHeight="1">
      <c r="A745" s="28"/>
      <c r="B745" s="28"/>
      <c r="C745" s="28"/>
      <c r="D745" s="28"/>
      <c r="E745" s="28"/>
      <c r="F745" s="28"/>
      <c r="G745" s="28"/>
      <c r="H745" s="28"/>
      <c r="I745" s="22"/>
      <c r="J745" s="28"/>
      <c r="K745" s="28"/>
      <c r="L745" s="22"/>
      <c r="M745" s="22"/>
      <c r="N745" s="28"/>
      <c r="O745" s="28"/>
      <c r="P745" s="53"/>
      <c r="Q745" s="53"/>
      <c r="R745" s="28"/>
      <c r="S745" s="53"/>
      <c r="T745" s="28"/>
      <c r="U745" s="28"/>
      <c r="V745" s="28"/>
      <c r="W745" s="28"/>
      <c r="X745" s="53"/>
      <c r="Y745" s="22"/>
      <c r="Z745" s="28"/>
      <c r="AA745" s="28"/>
      <c r="AB745" s="28"/>
      <c r="AC745" s="28"/>
      <c r="AD745" s="28"/>
      <c r="AE745" s="28"/>
      <c r="AF745" s="28"/>
      <c r="AG745" s="28"/>
    </row>
    <row r="746" spans="1:33" ht="15.75" customHeight="1">
      <c r="A746" s="28"/>
      <c r="B746" s="28"/>
      <c r="C746" s="28"/>
      <c r="D746" s="28"/>
      <c r="E746" s="28"/>
      <c r="F746" s="28"/>
      <c r="G746" s="28"/>
      <c r="H746" s="28"/>
      <c r="I746" s="22"/>
      <c r="J746" s="28"/>
      <c r="K746" s="28"/>
      <c r="L746" s="22"/>
      <c r="M746" s="22"/>
      <c r="N746" s="28"/>
      <c r="O746" s="28"/>
      <c r="P746" s="53"/>
      <c r="Q746" s="53"/>
      <c r="R746" s="28"/>
      <c r="S746" s="53"/>
      <c r="T746" s="28"/>
      <c r="U746" s="28"/>
      <c r="V746" s="28"/>
      <c r="W746" s="28"/>
      <c r="X746" s="53"/>
      <c r="Y746" s="22"/>
      <c r="Z746" s="28"/>
      <c r="AA746" s="28"/>
      <c r="AB746" s="28"/>
      <c r="AC746" s="28"/>
      <c r="AD746" s="28"/>
      <c r="AE746" s="28"/>
      <c r="AF746" s="28"/>
      <c r="AG746" s="28"/>
    </row>
    <row r="747" spans="1:33" ht="15.75" customHeight="1">
      <c r="A747" s="28"/>
      <c r="B747" s="28"/>
      <c r="C747" s="28"/>
      <c r="D747" s="28"/>
      <c r="E747" s="28"/>
      <c r="F747" s="28"/>
      <c r="G747" s="28"/>
      <c r="H747" s="28"/>
      <c r="I747" s="22"/>
      <c r="J747" s="28"/>
      <c r="K747" s="28"/>
      <c r="L747" s="22"/>
      <c r="M747" s="22"/>
      <c r="N747" s="28"/>
      <c r="O747" s="28"/>
      <c r="P747" s="53"/>
      <c r="Q747" s="53"/>
      <c r="R747" s="28"/>
      <c r="S747" s="53"/>
      <c r="T747" s="28"/>
      <c r="U747" s="28"/>
      <c r="V747" s="28"/>
      <c r="W747" s="28"/>
      <c r="X747" s="53"/>
      <c r="Y747" s="22"/>
      <c r="Z747" s="28"/>
      <c r="AA747" s="28"/>
      <c r="AB747" s="28"/>
      <c r="AC747" s="28"/>
      <c r="AD747" s="28"/>
      <c r="AE747" s="28"/>
      <c r="AF747" s="28"/>
      <c r="AG747" s="28"/>
    </row>
    <row r="748" spans="1:33" ht="15.75" customHeight="1">
      <c r="A748" s="28"/>
      <c r="B748" s="28"/>
      <c r="C748" s="28"/>
      <c r="D748" s="28"/>
      <c r="E748" s="28"/>
      <c r="F748" s="28"/>
      <c r="G748" s="28"/>
      <c r="H748" s="28"/>
      <c r="I748" s="22"/>
      <c r="J748" s="28"/>
      <c r="K748" s="28"/>
      <c r="L748" s="22"/>
      <c r="M748" s="22"/>
      <c r="N748" s="28"/>
      <c r="O748" s="28"/>
      <c r="P748" s="53"/>
      <c r="Q748" s="53"/>
      <c r="R748" s="28"/>
      <c r="S748" s="53"/>
      <c r="T748" s="28"/>
      <c r="U748" s="28"/>
      <c r="V748" s="28"/>
      <c r="W748" s="28"/>
      <c r="X748" s="53"/>
      <c r="Y748" s="22"/>
      <c r="Z748" s="28"/>
      <c r="AA748" s="28"/>
      <c r="AB748" s="28"/>
      <c r="AC748" s="28"/>
      <c r="AD748" s="28"/>
      <c r="AE748" s="28"/>
      <c r="AF748" s="28"/>
      <c r="AG748" s="28"/>
    </row>
    <row r="749" spans="1:33" ht="15.75" customHeight="1">
      <c r="A749" s="28"/>
      <c r="B749" s="28"/>
      <c r="C749" s="28"/>
      <c r="D749" s="28"/>
      <c r="E749" s="28"/>
      <c r="F749" s="28"/>
      <c r="G749" s="28"/>
      <c r="H749" s="28"/>
      <c r="I749" s="22"/>
      <c r="J749" s="28"/>
      <c r="K749" s="28"/>
      <c r="L749" s="22"/>
      <c r="M749" s="22"/>
      <c r="N749" s="28"/>
      <c r="O749" s="28"/>
      <c r="P749" s="53"/>
      <c r="Q749" s="53"/>
      <c r="R749" s="28"/>
      <c r="S749" s="53"/>
      <c r="T749" s="28"/>
      <c r="U749" s="28"/>
      <c r="V749" s="28"/>
      <c r="W749" s="28"/>
      <c r="X749" s="53"/>
      <c r="Y749" s="22"/>
      <c r="Z749" s="28"/>
      <c r="AA749" s="28"/>
      <c r="AB749" s="28"/>
      <c r="AC749" s="28"/>
      <c r="AD749" s="28"/>
      <c r="AE749" s="28"/>
      <c r="AF749" s="28"/>
      <c r="AG749" s="28"/>
    </row>
    <row r="750" spans="1:33" ht="15.75" customHeight="1">
      <c r="A750" s="28"/>
      <c r="B750" s="28"/>
      <c r="C750" s="28"/>
      <c r="D750" s="28"/>
      <c r="E750" s="28"/>
      <c r="F750" s="28"/>
      <c r="G750" s="28"/>
      <c r="H750" s="28"/>
      <c r="I750" s="22"/>
      <c r="J750" s="28"/>
      <c r="K750" s="28"/>
      <c r="L750" s="22"/>
      <c r="M750" s="22"/>
      <c r="N750" s="28"/>
      <c r="O750" s="28"/>
      <c r="P750" s="53"/>
      <c r="Q750" s="53"/>
      <c r="R750" s="28"/>
      <c r="S750" s="53"/>
      <c r="T750" s="28"/>
      <c r="U750" s="28"/>
      <c r="V750" s="28"/>
      <c r="W750" s="28"/>
      <c r="X750" s="53"/>
      <c r="Y750" s="22"/>
      <c r="Z750" s="28"/>
      <c r="AA750" s="28"/>
      <c r="AB750" s="28"/>
      <c r="AC750" s="28"/>
      <c r="AD750" s="28"/>
      <c r="AE750" s="28"/>
      <c r="AF750" s="28"/>
      <c r="AG750" s="28"/>
    </row>
    <row r="751" spans="1:33" ht="15.75" customHeight="1">
      <c r="A751" s="28"/>
      <c r="B751" s="28"/>
      <c r="C751" s="28"/>
      <c r="D751" s="28"/>
      <c r="E751" s="28"/>
      <c r="F751" s="28"/>
      <c r="G751" s="28"/>
      <c r="H751" s="28"/>
      <c r="I751" s="22"/>
      <c r="J751" s="28"/>
      <c r="K751" s="28"/>
      <c r="L751" s="22"/>
      <c r="M751" s="22"/>
      <c r="N751" s="28"/>
      <c r="O751" s="28"/>
      <c r="P751" s="53"/>
      <c r="Q751" s="53"/>
      <c r="R751" s="28"/>
      <c r="S751" s="53"/>
      <c r="T751" s="28"/>
      <c r="U751" s="28"/>
      <c r="V751" s="28"/>
      <c r="W751" s="28"/>
      <c r="X751" s="53"/>
      <c r="Y751" s="22"/>
      <c r="Z751" s="28"/>
      <c r="AA751" s="28"/>
      <c r="AB751" s="28"/>
      <c r="AC751" s="28"/>
      <c r="AD751" s="28"/>
      <c r="AE751" s="28"/>
      <c r="AF751" s="28"/>
      <c r="AG751" s="28"/>
    </row>
    <row r="752" spans="1:33" ht="15.75" customHeight="1">
      <c r="A752" s="28"/>
      <c r="B752" s="28"/>
      <c r="C752" s="28"/>
      <c r="D752" s="28"/>
      <c r="E752" s="28"/>
      <c r="F752" s="28"/>
      <c r="G752" s="28"/>
      <c r="H752" s="28"/>
      <c r="I752" s="22"/>
      <c r="J752" s="28"/>
      <c r="K752" s="28"/>
      <c r="L752" s="22"/>
      <c r="M752" s="22"/>
      <c r="N752" s="28"/>
      <c r="O752" s="28"/>
      <c r="P752" s="53"/>
      <c r="Q752" s="53"/>
      <c r="R752" s="28"/>
      <c r="S752" s="53"/>
      <c r="T752" s="28"/>
      <c r="U752" s="28"/>
      <c r="V752" s="28"/>
      <c r="W752" s="28"/>
      <c r="X752" s="53"/>
      <c r="Y752" s="22"/>
      <c r="Z752" s="28"/>
      <c r="AA752" s="28"/>
      <c r="AB752" s="28"/>
      <c r="AC752" s="28"/>
      <c r="AD752" s="28"/>
      <c r="AE752" s="28"/>
      <c r="AF752" s="28"/>
      <c r="AG752" s="28"/>
    </row>
    <row r="753" spans="1:33" ht="15.75" customHeight="1">
      <c r="A753" s="28"/>
      <c r="B753" s="28"/>
      <c r="C753" s="28"/>
      <c r="D753" s="28"/>
      <c r="E753" s="28"/>
      <c r="F753" s="28"/>
      <c r="G753" s="28"/>
      <c r="H753" s="28"/>
      <c r="I753" s="22"/>
      <c r="J753" s="28"/>
      <c r="K753" s="28"/>
      <c r="L753" s="22"/>
      <c r="M753" s="22"/>
      <c r="N753" s="28"/>
      <c r="O753" s="28"/>
      <c r="P753" s="53"/>
      <c r="Q753" s="53"/>
      <c r="R753" s="28"/>
      <c r="S753" s="53"/>
      <c r="T753" s="28"/>
      <c r="U753" s="28"/>
      <c r="V753" s="28"/>
      <c r="W753" s="28"/>
      <c r="X753" s="53"/>
      <c r="Y753" s="22"/>
      <c r="Z753" s="28"/>
      <c r="AA753" s="28"/>
      <c r="AB753" s="28"/>
      <c r="AC753" s="28"/>
      <c r="AD753" s="28"/>
      <c r="AE753" s="28"/>
      <c r="AF753" s="28"/>
      <c r="AG753" s="28"/>
    </row>
    <row r="754" spans="1:33" ht="15.75" customHeight="1">
      <c r="A754" s="28"/>
      <c r="B754" s="28"/>
      <c r="C754" s="28"/>
      <c r="D754" s="28"/>
      <c r="E754" s="28"/>
      <c r="F754" s="28"/>
      <c r="G754" s="28"/>
      <c r="H754" s="28"/>
      <c r="I754" s="22"/>
      <c r="J754" s="28"/>
      <c r="K754" s="28"/>
      <c r="L754" s="22"/>
      <c r="M754" s="22"/>
      <c r="N754" s="28"/>
      <c r="O754" s="28"/>
      <c r="P754" s="53"/>
      <c r="Q754" s="53"/>
      <c r="R754" s="28"/>
      <c r="S754" s="53"/>
      <c r="T754" s="28"/>
      <c r="U754" s="28"/>
      <c r="V754" s="28"/>
      <c r="W754" s="28"/>
      <c r="X754" s="53"/>
      <c r="Y754" s="22"/>
      <c r="Z754" s="28"/>
      <c r="AA754" s="28"/>
      <c r="AB754" s="28"/>
      <c r="AC754" s="28"/>
      <c r="AD754" s="28"/>
      <c r="AE754" s="28"/>
      <c r="AF754" s="28"/>
      <c r="AG754" s="28"/>
    </row>
    <row r="755" spans="1:33" ht="15.75" customHeight="1">
      <c r="A755" s="28"/>
      <c r="B755" s="28"/>
      <c r="C755" s="28"/>
      <c r="D755" s="28"/>
      <c r="E755" s="28"/>
      <c r="F755" s="28"/>
      <c r="G755" s="28"/>
      <c r="H755" s="28"/>
      <c r="I755" s="22"/>
      <c r="J755" s="28"/>
      <c r="K755" s="28"/>
      <c r="L755" s="22"/>
      <c r="M755" s="22"/>
      <c r="N755" s="28"/>
      <c r="O755" s="28"/>
      <c r="P755" s="53"/>
      <c r="Q755" s="53"/>
      <c r="R755" s="28"/>
      <c r="S755" s="53"/>
      <c r="T755" s="28"/>
      <c r="U755" s="28"/>
      <c r="V755" s="28"/>
      <c r="W755" s="28"/>
      <c r="X755" s="53"/>
      <c r="Y755" s="22"/>
      <c r="Z755" s="28"/>
      <c r="AA755" s="28"/>
      <c r="AB755" s="28"/>
      <c r="AC755" s="28"/>
      <c r="AD755" s="28"/>
      <c r="AE755" s="28"/>
      <c r="AF755" s="28"/>
      <c r="AG755" s="28"/>
    </row>
    <row r="756" spans="1:33" ht="15.75" customHeight="1">
      <c r="A756" s="28"/>
      <c r="B756" s="28"/>
      <c r="C756" s="28"/>
      <c r="D756" s="28"/>
      <c r="E756" s="28"/>
      <c r="F756" s="28"/>
      <c r="G756" s="28"/>
      <c r="H756" s="28"/>
      <c r="I756" s="22"/>
      <c r="J756" s="28"/>
      <c r="K756" s="28"/>
      <c r="L756" s="22"/>
      <c r="M756" s="22"/>
      <c r="N756" s="28"/>
      <c r="O756" s="28"/>
      <c r="P756" s="53"/>
      <c r="Q756" s="53"/>
      <c r="R756" s="28"/>
      <c r="S756" s="53"/>
      <c r="T756" s="28"/>
      <c r="U756" s="28"/>
      <c r="V756" s="28"/>
      <c r="W756" s="28"/>
      <c r="X756" s="53"/>
      <c r="Y756" s="22"/>
      <c r="Z756" s="28"/>
      <c r="AA756" s="28"/>
      <c r="AB756" s="28"/>
      <c r="AC756" s="28"/>
      <c r="AD756" s="28"/>
      <c r="AE756" s="28"/>
      <c r="AF756" s="28"/>
      <c r="AG756" s="28"/>
    </row>
    <row r="757" spans="1:33" ht="15.75" customHeight="1">
      <c r="A757" s="28"/>
      <c r="B757" s="28"/>
      <c r="C757" s="28"/>
      <c r="D757" s="28"/>
      <c r="E757" s="28"/>
      <c r="F757" s="28"/>
      <c r="G757" s="28"/>
      <c r="H757" s="28"/>
      <c r="I757" s="22"/>
      <c r="J757" s="28"/>
      <c r="K757" s="28"/>
      <c r="L757" s="22"/>
      <c r="M757" s="22"/>
      <c r="N757" s="28"/>
      <c r="O757" s="28"/>
      <c r="P757" s="53"/>
      <c r="Q757" s="53"/>
      <c r="R757" s="28"/>
      <c r="S757" s="53"/>
      <c r="T757" s="28"/>
      <c r="U757" s="28"/>
      <c r="V757" s="28"/>
      <c r="W757" s="28"/>
      <c r="X757" s="53"/>
      <c r="Y757" s="22"/>
      <c r="Z757" s="28"/>
      <c r="AA757" s="28"/>
      <c r="AB757" s="28"/>
      <c r="AC757" s="28"/>
      <c r="AD757" s="28"/>
      <c r="AE757" s="28"/>
      <c r="AF757" s="28"/>
      <c r="AG757" s="28"/>
    </row>
    <row r="758" spans="1:33" ht="15.75" customHeight="1">
      <c r="A758" s="28"/>
      <c r="B758" s="28"/>
      <c r="C758" s="28"/>
      <c r="D758" s="28"/>
      <c r="E758" s="28"/>
      <c r="F758" s="28"/>
      <c r="G758" s="28"/>
      <c r="H758" s="28"/>
      <c r="I758" s="22"/>
      <c r="J758" s="28"/>
      <c r="K758" s="28"/>
      <c r="L758" s="22"/>
      <c r="M758" s="22"/>
      <c r="N758" s="28"/>
      <c r="O758" s="28"/>
      <c r="P758" s="53"/>
      <c r="Q758" s="53"/>
      <c r="R758" s="28"/>
      <c r="S758" s="53"/>
      <c r="T758" s="28"/>
      <c r="U758" s="28"/>
      <c r="V758" s="28"/>
      <c r="W758" s="28"/>
      <c r="X758" s="53"/>
      <c r="Y758" s="22"/>
      <c r="Z758" s="28"/>
      <c r="AA758" s="28"/>
      <c r="AB758" s="28"/>
      <c r="AC758" s="28"/>
      <c r="AD758" s="28"/>
      <c r="AE758" s="28"/>
      <c r="AF758" s="28"/>
      <c r="AG758" s="28"/>
    </row>
    <row r="759" spans="1:33" ht="15.75" customHeight="1">
      <c r="A759" s="28"/>
      <c r="B759" s="28"/>
      <c r="C759" s="28"/>
      <c r="D759" s="28"/>
      <c r="E759" s="28"/>
      <c r="F759" s="28"/>
      <c r="G759" s="28"/>
      <c r="H759" s="28"/>
      <c r="I759" s="22"/>
      <c r="J759" s="28"/>
      <c r="K759" s="28"/>
      <c r="L759" s="22"/>
      <c r="M759" s="22"/>
      <c r="N759" s="28"/>
      <c r="O759" s="28"/>
      <c r="P759" s="53"/>
      <c r="Q759" s="53"/>
      <c r="R759" s="28"/>
      <c r="S759" s="53"/>
      <c r="T759" s="28"/>
      <c r="U759" s="28"/>
      <c r="V759" s="28"/>
      <c r="W759" s="28"/>
      <c r="X759" s="53"/>
      <c r="Y759" s="22"/>
      <c r="Z759" s="28"/>
      <c r="AA759" s="28"/>
      <c r="AB759" s="28"/>
      <c r="AC759" s="28"/>
      <c r="AD759" s="28"/>
      <c r="AE759" s="28"/>
      <c r="AF759" s="28"/>
      <c r="AG759" s="28"/>
    </row>
    <row r="760" spans="1:33" ht="15.75" customHeight="1">
      <c r="A760" s="28"/>
      <c r="B760" s="28"/>
      <c r="C760" s="28"/>
      <c r="D760" s="28"/>
      <c r="E760" s="28"/>
      <c r="F760" s="28"/>
      <c r="G760" s="28"/>
      <c r="H760" s="28"/>
      <c r="I760" s="22"/>
      <c r="J760" s="28"/>
      <c r="K760" s="28"/>
      <c r="L760" s="22"/>
      <c r="M760" s="22"/>
      <c r="N760" s="28"/>
      <c r="O760" s="28"/>
      <c r="P760" s="53"/>
      <c r="Q760" s="53"/>
      <c r="R760" s="28"/>
      <c r="S760" s="53"/>
      <c r="T760" s="28"/>
      <c r="U760" s="28"/>
      <c r="V760" s="28"/>
      <c r="W760" s="28"/>
      <c r="X760" s="53"/>
      <c r="Y760" s="22"/>
      <c r="Z760" s="28"/>
      <c r="AA760" s="28"/>
      <c r="AB760" s="28"/>
      <c r="AC760" s="28"/>
      <c r="AD760" s="28"/>
      <c r="AE760" s="28"/>
      <c r="AF760" s="28"/>
      <c r="AG760" s="28"/>
    </row>
    <row r="761" spans="1:33" ht="15.75" customHeight="1">
      <c r="A761" s="28"/>
      <c r="B761" s="28"/>
      <c r="C761" s="28"/>
      <c r="D761" s="28"/>
      <c r="E761" s="28"/>
      <c r="F761" s="28"/>
      <c r="G761" s="28"/>
      <c r="H761" s="28"/>
      <c r="I761" s="22"/>
      <c r="J761" s="28"/>
      <c r="K761" s="28"/>
      <c r="L761" s="22"/>
      <c r="M761" s="22"/>
      <c r="N761" s="28"/>
      <c r="O761" s="28"/>
      <c r="P761" s="53"/>
      <c r="Q761" s="53"/>
      <c r="R761" s="28"/>
      <c r="S761" s="53"/>
      <c r="T761" s="28"/>
      <c r="U761" s="28"/>
      <c r="V761" s="28"/>
      <c r="W761" s="28"/>
      <c r="X761" s="53"/>
      <c r="Y761" s="22"/>
      <c r="Z761" s="28"/>
      <c r="AA761" s="28"/>
      <c r="AB761" s="28"/>
      <c r="AC761" s="28"/>
      <c r="AD761" s="28"/>
      <c r="AE761" s="28"/>
      <c r="AF761" s="28"/>
      <c r="AG761" s="28"/>
    </row>
    <row r="762" spans="1:33" ht="15.75" customHeight="1">
      <c r="A762" s="28"/>
      <c r="B762" s="28"/>
      <c r="C762" s="28"/>
      <c r="D762" s="28"/>
      <c r="E762" s="28"/>
      <c r="F762" s="28"/>
      <c r="G762" s="28"/>
      <c r="H762" s="28"/>
      <c r="I762" s="22"/>
      <c r="J762" s="28"/>
      <c r="K762" s="28"/>
      <c r="L762" s="22"/>
      <c r="M762" s="22"/>
      <c r="N762" s="28"/>
      <c r="O762" s="28"/>
      <c r="P762" s="53"/>
      <c r="Q762" s="53"/>
      <c r="R762" s="28"/>
      <c r="S762" s="53"/>
      <c r="T762" s="28"/>
      <c r="U762" s="28"/>
      <c r="V762" s="28"/>
      <c r="W762" s="28"/>
      <c r="X762" s="53"/>
      <c r="Y762" s="22"/>
      <c r="Z762" s="28"/>
      <c r="AA762" s="28"/>
      <c r="AB762" s="28"/>
      <c r="AC762" s="28"/>
      <c r="AD762" s="28"/>
      <c r="AE762" s="28"/>
      <c r="AF762" s="28"/>
      <c r="AG762" s="28"/>
    </row>
    <row r="763" spans="1:33" ht="15.75" customHeight="1">
      <c r="A763" s="28"/>
      <c r="B763" s="28"/>
      <c r="C763" s="28"/>
      <c r="D763" s="28"/>
      <c r="E763" s="28"/>
      <c r="F763" s="28"/>
      <c r="G763" s="28"/>
      <c r="H763" s="28"/>
      <c r="I763" s="22"/>
      <c r="J763" s="28"/>
      <c r="K763" s="28"/>
      <c r="L763" s="22"/>
      <c r="M763" s="22"/>
      <c r="N763" s="28"/>
      <c r="O763" s="28"/>
      <c r="P763" s="53"/>
      <c r="Q763" s="53"/>
      <c r="R763" s="28"/>
      <c r="S763" s="53"/>
      <c r="T763" s="28"/>
      <c r="U763" s="28"/>
      <c r="V763" s="28"/>
      <c r="W763" s="28"/>
      <c r="X763" s="53"/>
      <c r="Y763" s="22"/>
      <c r="Z763" s="28"/>
      <c r="AA763" s="28"/>
      <c r="AB763" s="28"/>
      <c r="AC763" s="28"/>
      <c r="AD763" s="28"/>
      <c r="AE763" s="28"/>
      <c r="AF763" s="28"/>
      <c r="AG763" s="28"/>
    </row>
    <row r="764" spans="1:33" ht="15.75" customHeight="1">
      <c r="A764" s="28"/>
      <c r="B764" s="28"/>
      <c r="C764" s="28"/>
      <c r="D764" s="28"/>
      <c r="E764" s="28"/>
      <c r="F764" s="28"/>
      <c r="G764" s="28"/>
      <c r="H764" s="28"/>
      <c r="I764" s="22"/>
      <c r="J764" s="28"/>
      <c r="K764" s="28"/>
      <c r="L764" s="22"/>
      <c r="M764" s="22"/>
      <c r="N764" s="28"/>
      <c r="O764" s="28"/>
      <c r="P764" s="53"/>
      <c r="Q764" s="53"/>
      <c r="R764" s="28"/>
      <c r="S764" s="53"/>
      <c r="T764" s="28"/>
      <c r="U764" s="28"/>
      <c r="V764" s="28"/>
      <c r="W764" s="28"/>
      <c r="X764" s="53"/>
      <c r="Y764" s="22"/>
      <c r="Z764" s="28"/>
      <c r="AA764" s="28"/>
      <c r="AB764" s="28"/>
      <c r="AC764" s="28"/>
      <c r="AD764" s="28"/>
      <c r="AE764" s="28"/>
      <c r="AF764" s="28"/>
      <c r="AG764" s="28"/>
    </row>
    <row r="765" spans="1:33" ht="15.75" customHeight="1">
      <c r="A765" s="28"/>
      <c r="B765" s="28"/>
      <c r="C765" s="28"/>
      <c r="D765" s="28"/>
      <c r="E765" s="28"/>
      <c r="F765" s="28"/>
      <c r="G765" s="28"/>
      <c r="H765" s="28"/>
      <c r="I765" s="22"/>
      <c r="J765" s="28"/>
      <c r="K765" s="28"/>
      <c r="L765" s="22"/>
      <c r="M765" s="22"/>
      <c r="N765" s="28"/>
      <c r="O765" s="28"/>
      <c r="P765" s="53"/>
      <c r="Q765" s="53"/>
      <c r="R765" s="28"/>
      <c r="S765" s="53"/>
      <c r="T765" s="28"/>
      <c r="U765" s="28"/>
      <c r="V765" s="28"/>
      <c r="W765" s="28"/>
      <c r="X765" s="53"/>
      <c r="Y765" s="22"/>
      <c r="Z765" s="28"/>
      <c r="AA765" s="28"/>
      <c r="AB765" s="28"/>
      <c r="AC765" s="28"/>
      <c r="AD765" s="28"/>
      <c r="AE765" s="28"/>
      <c r="AF765" s="28"/>
      <c r="AG765" s="28"/>
    </row>
    <row r="766" spans="1:33" ht="15.75" customHeight="1">
      <c r="A766" s="28"/>
      <c r="B766" s="28"/>
      <c r="C766" s="28"/>
      <c r="D766" s="28"/>
      <c r="E766" s="28"/>
      <c r="F766" s="28"/>
      <c r="G766" s="28"/>
      <c r="H766" s="28"/>
      <c r="I766" s="22"/>
      <c r="J766" s="28"/>
      <c r="K766" s="28"/>
      <c r="L766" s="22"/>
      <c r="M766" s="22"/>
      <c r="N766" s="28"/>
      <c r="O766" s="28"/>
      <c r="P766" s="53"/>
      <c r="Q766" s="53"/>
      <c r="R766" s="28"/>
      <c r="S766" s="53"/>
      <c r="T766" s="28"/>
      <c r="U766" s="28"/>
      <c r="V766" s="28"/>
      <c r="W766" s="28"/>
      <c r="X766" s="53"/>
      <c r="Y766" s="22"/>
      <c r="Z766" s="28"/>
      <c r="AA766" s="28"/>
      <c r="AB766" s="28"/>
      <c r="AC766" s="28"/>
      <c r="AD766" s="28"/>
      <c r="AE766" s="28"/>
      <c r="AF766" s="28"/>
      <c r="AG766" s="28"/>
    </row>
    <row r="767" spans="1:33" ht="15.75" customHeight="1">
      <c r="A767" s="28"/>
      <c r="B767" s="28"/>
      <c r="C767" s="28"/>
      <c r="D767" s="28"/>
      <c r="E767" s="28"/>
      <c r="F767" s="28"/>
      <c r="G767" s="28"/>
      <c r="H767" s="28"/>
      <c r="I767" s="22"/>
      <c r="J767" s="28"/>
      <c r="K767" s="28"/>
      <c r="L767" s="22"/>
      <c r="M767" s="22"/>
      <c r="N767" s="28"/>
      <c r="O767" s="28"/>
      <c r="P767" s="53"/>
      <c r="Q767" s="53"/>
      <c r="R767" s="28"/>
      <c r="S767" s="53"/>
      <c r="T767" s="28"/>
      <c r="U767" s="28"/>
      <c r="V767" s="28"/>
      <c r="W767" s="28"/>
      <c r="X767" s="53"/>
      <c r="Y767" s="22"/>
      <c r="Z767" s="28"/>
      <c r="AA767" s="28"/>
      <c r="AB767" s="28"/>
      <c r="AC767" s="28"/>
      <c r="AD767" s="28"/>
      <c r="AE767" s="28"/>
      <c r="AF767" s="28"/>
      <c r="AG767" s="28"/>
    </row>
    <row r="768" spans="1:33" ht="15.75" customHeight="1">
      <c r="A768" s="28"/>
      <c r="B768" s="28"/>
      <c r="C768" s="28"/>
      <c r="D768" s="28"/>
      <c r="E768" s="28"/>
      <c r="F768" s="28"/>
      <c r="G768" s="28"/>
      <c r="H768" s="28"/>
      <c r="I768" s="22"/>
      <c r="J768" s="28"/>
      <c r="K768" s="28"/>
      <c r="L768" s="22"/>
      <c r="M768" s="22"/>
      <c r="N768" s="28"/>
      <c r="O768" s="28"/>
      <c r="P768" s="53"/>
      <c r="Q768" s="53"/>
      <c r="R768" s="28"/>
      <c r="S768" s="53"/>
      <c r="T768" s="28"/>
      <c r="U768" s="28"/>
      <c r="V768" s="28"/>
      <c r="W768" s="28"/>
      <c r="X768" s="53"/>
      <c r="Y768" s="22"/>
      <c r="Z768" s="28"/>
      <c r="AA768" s="28"/>
      <c r="AB768" s="28"/>
      <c r="AC768" s="28"/>
      <c r="AD768" s="28"/>
      <c r="AE768" s="28"/>
      <c r="AF768" s="28"/>
      <c r="AG768" s="28"/>
    </row>
    <row r="769" spans="1:33" ht="15.75" customHeight="1">
      <c r="A769" s="28"/>
      <c r="B769" s="28"/>
      <c r="C769" s="28"/>
      <c r="D769" s="28"/>
      <c r="E769" s="28"/>
      <c r="F769" s="28"/>
      <c r="G769" s="28"/>
      <c r="H769" s="28"/>
      <c r="I769" s="22"/>
      <c r="J769" s="28"/>
      <c r="K769" s="28"/>
      <c r="L769" s="22"/>
      <c r="M769" s="22"/>
      <c r="N769" s="28"/>
      <c r="O769" s="28"/>
      <c r="P769" s="53"/>
      <c r="Q769" s="53"/>
      <c r="R769" s="28"/>
      <c r="S769" s="53"/>
      <c r="T769" s="28"/>
      <c r="U769" s="28"/>
      <c r="V769" s="28"/>
      <c r="W769" s="28"/>
      <c r="X769" s="53"/>
      <c r="Y769" s="22"/>
      <c r="Z769" s="28"/>
      <c r="AA769" s="28"/>
      <c r="AB769" s="28"/>
      <c r="AC769" s="28"/>
      <c r="AD769" s="28"/>
      <c r="AE769" s="28"/>
      <c r="AF769" s="28"/>
      <c r="AG769" s="28"/>
    </row>
    <row r="770" spans="1:33" ht="15.75" customHeight="1">
      <c r="A770" s="28"/>
      <c r="B770" s="28"/>
      <c r="C770" s="28"/>
      <c r="D770" s="28"/>
      <c r="E770" s="28"/>
      <c r="F770" s="28"/>
      <c r="G770" s="28"/>
      <c r="H770" s="28"/>
      <c r="I770" s="22"/>
      <c r="J770" s="28"/>
      <c r="K770" s="28"/>
      <c r="L770" s="22"/>
      <c r="M770" s="22"/>
      <c r="N770" s="28"/>
      <c r="O770" s="28"/>
      <c r="P770" s="53"/>
      <c r="Q770" s="53"/>
      <c r="R770" s="28"/>
      <c r="S770" s="53"/>
      <c r="T770" s="28"/>
      <c r="U770" s="28"/>
      <c r="V770" s="28"/>
      <c r="W770" s="28"/>
      <c r="X770" s="53"/>
      <c r="Y770" s="22"/>
      <c r="Z770" s="28"/>
      <c r="AA770" s="28"/>
      <c r="AB770" s="28"/>
      <c r="AC770" s="28"/>
      <c r="AD770" s="28"/>
      <c r="AE770" s="28"/>
      <c r="AF770" s="28"/>
      <c r="AG770" s="28"/>
    </row>
    <row r="771" spans="1:33" ht="15.75" customHeight="1">
      <c r="A771" s="28"/>
      <c r="B771" s="28"/>
      <c r="C771" s="28"/>
      <c r="D771" s="28"/>
      <c r="E771" s="28"/>
      <c r="F771" s="28"/>
      <c r="G771" s="28"/>
      <c r="H771" s="28"/>
      <c r="I771" s="22"/>
      <c r="J771" s="28"/>
      <c r="K771" s="28"/>
      <c r="L771" s="22"/>
      <c r="M771" s="22"/>
      <c r="N771" s="28"/>
      <c r="O771" s="28"/>
      <c r="P771" s="53"/>
      <c r="Q771" s="53"/>
      <c r="R771" s="28"/>
      <c r="S771" s="53"/>
      <c r="T771" s="28"/>
      <c r="U771" s="28"/>
      <c r="V771" s="28"/>
      <c r="W771" s="28"/>
      <c r="X771" s="53"/>
      <c r="Y771" s="22"/>
      <c r="Z771" s="28"/>
      <c r="AA771" s="28"/>
      <c r="AB771" s="28"/>
      <c r="AC771" s="28"/>
      <c r="AD771" s="28"/>
      <c r="AE771" s="28"/>
      <c r="AF771" s="28"/>
      <c r="AG771" s="28"/>
    </row>
    <row r="772" spans="1:33" ht="15.75" customHeight="1">
      <c r="A772" s="28"/>
      <c r="B772" s="28"/>
      <c r="C772" s="28"/>
      <c r="D772" s="28"/>
      <c r="E772" s="28"/>
      <c r="F772" s="28"/>
      <c r="G772" s="28"/>
      <c r="H772" s="28"/>
      <c r="I772" s="22"/>
      <c r="J772" s="28"/>
      <c r="K772" s="28"/>
      <c r="L772" s="22"/>
      <c r="M772" s="22"/>
      <c r="N772" s="28"/>
      <c r="O772" s="28"/>
      <c r="P772" s="53"/>
      <c r="Q772" s="53"/>
      <c r="R772" s="28"/>
      <c r="S772" s="53"/>
      <c r="T772" s="28"/>
      <c r="U772" s="28"/>
      <c r="V772" s="28"/>
      <c r="W772" s="28"/>
      <c r="X772" s="53"/>
      <c r="Y772" s="22"/>
      <c r="Z772" s="28"/>
      <c r="AA772" s="28"/>
      <c r="AB772" s="28"/>
      <c r="AC772" s="28"/>
      <c r="AD772" s="28"/>
      <c r="AE772" s="28"/>
      <c r="AF772" s="28"/>
      <c r="AG772" s="28"/>
    </row>
    <row r="773" spans="1:33" ht="15.75" customHeight="1">
      <c r="A773" s="28"/>
      <c r="B773" s="28"/>
      <c r="C773" s="28"/>
      <c r="D773" s="28"/>
      <c r="E773" s="28"/>
      <c r="F773" s="28"/>
      <c r="G773" s="28"/>
      <c r="H773" s="28"/>
      <c r="I773" s="22"/>
      <c r="J773" s="28"/>
      <c r="K773" s="28"/>
      <c r="L773" s="22"/>
      <c r="M773" s="22"/>
      <c r="N773" s="28"/>
      <c r="O773" s="28"/>
      <c r="P773" s="53"/>
      <c r="Q773" s="53"/>
      <c r="R773" s="28"/>
      <c r="S773" s="53"/>
      <c r="T773" s="28"/>
      <c r="U773" s="28"/>
      <c r="V773" s="28"/>
      <c r="W773" s="28"/>
      <c r="X773" s="53"/>
      <c r="Y773" s="22"/>
      <c r="Z773" s="28"/>
      <c r="AA773" s="28"/>
      <c r="AB773" s="28"/>
      <c r="AC773" s="28"/>
      <c r="AD773" s="28"/>
      <c r="AE773" s="28"/>
      <c r="AF773" s="28"/>
      <c r="AG773" s="28"/>
    </row>
    <row r="774" spans="1:33" ht="15.75" customHeight="1">
      <c r="A774" s="28"/>
      <c r="B774" s="28"/>
      <c r="C774" s="28"/>
      <c r="D774" s="28"/>
      <c r="E774" s="28"/>
      <c r="F774" s="28"/>
      <c r="G774" s="28"/>
      <c r="H774" s="28"/>
      <c r="I774" s="22"/>
      <c r="J774" s="28"/>
      <c r="K774" s="28"/>
      <c r="L774" s="22"/>
      <c r="M774" s="22"/>
      <c r="N774" s="28"/>
      <c r="O774" s="28"/>
      <c r="P774" s="53"/>
      <c r="Q774" s="53"/>
      <c r="R774" s="28"/>
      <c r="S774" s="53"/>
      <c r="T774" s="28"/>
      <c r="U774" s="28"/>
      <c r="V774" s="28"/>
      <c r="W774" s="28"/>
      <c r="X774" s="53"/>
      <c r="Y774" s="22"/>
      <c r="Z774" s="28"/>
      <c r="AA774" s="28"/>
      <c r="AB774" s="28"/>
      <c r="AC774" s="28"/>
      <c r="AD774" s="28"/>
      <c r="AE774" s="28"/>
      <c r="AF774" s="28"/>
      <c r="AG774" s="28"/>
    </row>
    <row r="775" spans="1:33" ht="15.75" customHeight="1">
      <c r="A775" s="28"/>
      <c r="B775" s="28"/>
      <c r="C775" s="28"/>
      <c r="D775" s="28"/>
      <c r="E775" s="28"/>
      <c r="F775" s="28"/>
      <c r="G775" s="28"/>
      <c r="H775" s="28"/>
      <c r="I775" s="22"/>
      <c r="J775" s="28"/>
      <c r="K775" s="28"/>
      <c r="L775" s="22"/>
      <c r="M775" s="22"/>
      <c r="N775" s="28"/>
      <c r="O775" s="28"/>
      <c r="P775" s="53"/>
      <c r="Q775" s="53"/>
      <c r="R775" s="28"/>
      <c r="S775" s="53"/>
      <c r="T775" s="28"/>
      <c r="U775" s="28"/>
      <c r="V775" s="28"/>
      <c r="W775" s="28"/>
      <c r="X775" s="53"/>
      <c r="Y775" s="22"/>
      <c r="Z775" s="28"/>
      <c r="AA775" s="28"/>
      <c r="AB775" s="28"/>
      <c r="AC775" s="28"/>
      <c r="AD775" s="28"/>
      <c r="AE775" s="28"/>
      <c r="AF775" s="28"/>
      <c r="AG775" s="28"/>
    </row>
    <row r="776" spans="1:33" ht="15.75" customHeight="1">
      <c r="A776" s="28"/>
      <c r="B776" s="28"/>
      <c r="C776" s="28"/>
      <c r="D776" s="28"/>
      <c r="E776" s="28"/>
      <c r="F776" s="28"/>
      <c r="G776" s="28"/>
      <c r="H776" s="28"/>
      <c r="I776" s="22"/>
      <c r="J776" s="28"/>
      <c r="K776" s="28"/>
      <c r="L776" s="22"/>
      <c r="M776" s="22"/>
      <c r="N776" s="28"/>
      <c r="O776" s="28"/>
      <c r="P776" s="53"/>
      <c r="Q776" s="53"/>
      <c r="R776" s="28"/>
      <c r="S776" s="53"/>
      <c r="T776" s="28"/>
      <c r="U776" s="28"/>
      <c r="V776" s="28"/>
      <c r="W776" s="28"/>
      <c r="X776" s="53"/>
      <c r="Y776" s="22"/>
      <c r="Z776" s="28"/>
      <c r="AA776" s="28"/>
      <c r="AB776" s="28"/>
      <c r="AC776" s="28"/>
      <c r="AD776" s="28"/>
      <c r="AE776" s="28"/>
      <c r="AF776" s="28"/>
      <c r="AG776" s="28"/>
    </row>
    <row r="777" spans="1:33" ht="15.75" customHeight="1">
      <c r="A777" s="28"/>
      <c r="B777" s="28"/>
      <c r="C777" s="28"/>
      <c r="D777" s="28"/>
      <c r="E777" s="28"/>
      <c r="F777" s="28"/>
      <c r="G777" s="28"/>
      <c r="H777" s="28"/>
      <c r="I777" s="22"/>
      <c r="J777" s="28"/>
      <c r="K777" s="28"/>
      <c r="L777" s="22"/>
      <c r="M777" s="22"/>
      <c r="N777" s="28"/>
      <c r="O777" s="28"/>
      <c r="P777" s="53"/>
      <c r="Q777" s="53"/>
      <c r="R777" s="28"/>
      <c r="S777" s="53"/>
      <c r="T777" s="28"/>
      <c r="U777" s="28"/>
      <c r="V777" s="28"/>
      <c r="W777" s="28"/>
      <c r="X777" s="53"/>
      <c r="Y777" s="22"/>
      <c r="Z777" s="28"/>
      <c r="AA777" s="28"/>
      <c r="AB777" s="28"/>
      <c r="AC777" s="28"/>
      <c r="AD777" s="28"/>
      <c r="AE777" s="28"/>
      <c r="AF777" s="28"/>
      <c r="AG777" s="28"/>
    </row>
    <row r="778" spans="1:33" ht="15.75" customHeight="1">
      <c r="A778" s="28"/>
      <c r="B778" s="28"/>
      <c r="C778" s="28"/>
      <c r="D778" s="28"/>
      <c r="E778" s="28"/>
      <c r="F778" s="28"/>
      <c r="G778" s="28"/>
      <c r="H778" s="28"/>
      <c r="I778" s="22"/>
      <c r="J778" s="28"/>
      <c r="K778" s="28"/>
      <c r="L778" s="22"/>
      <c r="M778" s="22"/>
      <c r="N778" s="28"/>
      <c r="O778" s="28"/>
      <c r="P778" s="53"/>
      <c r="Q778" s="53"/>
      <c r="R778" s="28"/>
      <c r="S778" s="53"/>
      <c r="T778" s="28"/>
      <c r="U778" s="28"/>
      <c r="V778" s="28"/>
      <c r="W778" s="28"/>
      <c r="X778" s="53"/>
      <c r="Y778" s="22"/>
      <c r="Z778" s="28"/>
      <c r="AA778" s="28"/>
      <c r="AB778" s="28"/>
      <c r="AC778" s="28"/>
      <c r="AD778" s="28"/>
      <c r="AE778" s="28"/>
      <c r="AF778" s="28"/>
      <c r="AG778" s="28"/>
    </row>
    <row r="779" spans="1:33" ht="15.75" customHeight="1">
      <c r="A779" s="28"/>
      <c r="B779" s="28"/>
      <c r="C779" s="28"/>
      <c r="D779" s="28"/>
      <c r="E779" s="28"/>
      <c r="F779" s="28"/>
      <c r="G779" s="28"/>
      <c r="H779" s="28"/>
      <c r="I779" s="22"/>
      <c r="J779" s="28"/>
      <c r="K779" s="28"/>
      <c r="L779" s="22"/>
      <c r="M779" s="22"/>
      <c r="N779" s="28"/>
      <c r="O779" s="28"/>
      <c r="P779" s="53"/>
      <c r="Q779" s="53"/>
      <c r="R779" s="28"/>
      <c r="S779" s="53"/>
      <c r="T779" s="28"/>
      <c r="U779" s="28"/>
      <c r="V779" s="28"/>
      <c r="W779" s="28"/>
      <c r="X779" s="53"/>
      <c r="Y779" s="22"/>
      <c r="Z779" s="28"/>
      <c r="AA779" s="28"/>
      <c r="AB779" s="28"/>
      <c r="AC779" s="28"/>
      <c r="AD779" s="28"/>
      <c r="AE779" s="28"/>
      <c r="AF779" s="28"/>
      <c r="AG779" s="28"/>
    </row>
    <row r="780" spans="1:33" ht="15.75" customHeight="1">
      <c r="A780" s="28"/>
      <c r="B780" s="28"/>
      <c r="C780" s="28"/>
      <c r="D780" s="28"/>
      <c r="E780" s="28"/>
      <c r="F780" s="28"/>
      <c r="G780" s="28"/>
      <c r="H780" s="28"/>
      <c r="I780" s="22"/>
      <c r="J780" s="28"/>
      <c r="K780" s="28"/>
      <c r="L780" s="22"/>
      <c r="M780" s="22"/>
      <c r="N780" s="28"/>
      <c r="O780" s="28"/>
      <c r="P780" s="53"/>
      <c r="Q780" s="53"/>
      <c r="R780" s="28"/>
      <c r="S780" s="53"/>
      <c r="T780" s="28"/>
      <c r="U780" s="28"/>
      <c r="V780" s="28"/>
      <c r="W780" s="28"/>
      <c r="X780" s="53"/>
      <c r="Y780" s="22"/>
      <c r="Z780" s="28"/>
      <c r="AA780" s="28"/>
      <c r="AB780" s="28"/>
      <c r="AC780" s="28"/>
      <c r="AD780" s="28"/>
      <c r="AE780" s="28"/>
      <c r="AF780" s="28"/>
      <c r="AG780" s="28"/>
    </row>
    <row r="781" spans="1:33" ht="15.75" customHeight="1">
      <c r="A781" s="28"/>
      <c r="B781" s="28"/>
      <c r="C781" s="28"/>
      <c r="D781" s="28"/>
      <c r="E781" s="28"/>
      <c r="F781" s="28"/>
      <c r="G781" s="28"/>
      <c r="H781" s="28"/>
      <c r="I781" s="22"/>
      <c r="J781" s="28"/>
      <c r="K781" s="28"/>
      <c r="L781" s="22"/>
      <c r="M781" s="22"/>
      <c r="N781" s="28"/>
      <c r="O781" s="28"/>
      <c r="P781" s="53"/>
      <c r="Q781" s="53"/>
      <c r="R781" s="28"/>
      <c r="S781" s="53"/>
      <c r="T781" s="28"/>
      <c r="U781" s="28"/>
      <c r="V781" s="28"/>
      <c r="W781" s="28"/>
      <c r="X781" s="53"/>
      <c r="Y781" s="22"/>
      <c r="Z781" s="28"/>
      <c r="AA781" s="28"/>
      <c r="AB781" s="28"/>
      <c r="AC781" s="28"/>
      <c r="AD781" s="28"/>
      <c r="AE781" s="28"/>
      <c r="AF781" s="28"/>
      <c r="AG781" s="28"/>
    </row>
    <row r="782" spans="1:33" ht="15.75" customHeight="1">
      <c r="A782" s="28"/>
      <c r="B782" s="28"/>
      <c r="C782" s="28"/>
      <c r="D782" s="28"/>
      <c r="E782" s="28"/>
      <c r="F782" s="28"/>
      <c r="G782" s="28"/>
      <c r="H782" s="28"/>
      <c r="I782" s="22"/>
      <c r="J782" s="28"/>
      <c r="K782" s="28"/>
      <c r="L782" s="22"/>
      <c r="M782" s="22"/>
      <c r="N782" s="28"/>
      <c r="O782" s="28"/>
      <c r="P782" s="53"/>
      <c r="Q782" s="53"/>
      <c r="R782" s="28"/>
      <c r="S782" s="53"/>
      <c r="T782" s="28"/>
      <c r="U782" s="28"/>
      <c r="V782" s="28"/>
      <c r="W782" s="28"/>
      <c r="X782" s="53"/>
      <c r="Y782" s="22"/>
      <c r="Z782" s="28"/>
      <c r="AA782" s="28"/>
      <c r="AB782" s="28"/>
      <c r="AC782" s="28"/>
      <c r="AD782" s="28"/>
      <c r="AE782" s="28"/>
      <c r="AF782" s="28"/>
      <c r="AG782" s="28"/>
    </row>
    <row r="783" spans="1:33" ht="15.75" customHeight="1">
      <c r="A783" s="28"/>
      <c r="B783" s="28"/>
      <c r="C783" s="28"/>
      <c r="D783" s="28"/>
      <c r="E783" s="28"/>
      <c r="F783" s="28"/>
      <c r="G783" s="28"/>
      <c r="H783" s="28"/>
      <c r="I783" s="22"/>
      <c r="J783" s="28"/>
      <c r="K783" s="28"/>
      <c r="L783" s="22"/>
      <c r="M783" s="22"/>
      <c r="N783" s="28"/>
      <c r="O783" s="28"/>
      <c r="P783" s="53"/>
      <c r="Q783" s="53"/>
      <c r="R783" s="28"/>
      <c r="S783" s="53"/>
      <c r="T783" s="28"/>
      <c r="U783" s="28"/>
      <c r="V783" s="28"/>
      <c r="W783" s="28"/>
      <c r="X783" s="53"/>
      <c r="Y783" s="22"/>
      <c r="Z783" s="28"/>
      <c r="AA783" s="28"/>
      <c r="AB783" s="28"/>
      <c r="AC783" s="28"/>
      <c r="AD783" s="28"/>
      <c r="AE783" s="28"/>
      <c r="AF783" s="28"/>
      <c r="AG783" s="28"/>
    </row>
    <row r="784" spans="1:33" ht="15.75" customHeight="1">
      <c r="A784" s="28"/>
      <c r="B784" s="28"/>
      <c r="C784" s="28"/>
      <c r="D784" s="28"/>
      <c r="E784" s="28"/>
      <c r="F784" s="28"/>
      <c r="G784" s="28"/>
      <c r="H784" s="28"/>
      <c r="I784" s="22"/>
      <c r="J784" s="28"/>
      <c r="K784" s="28"/>
      <c r="L784" s="22"/>
      <c r="M784" s="22"/>
      <c r="N784" s="28"/>
      <c r="O784" s="28"/>
      <c r="P784" s="53"/>
      <c r="Q784" s="53"/>
      <c r="R784" s="28"/>
      <c r="S784" s="53"/>
      <c r="T784" s="28"/>
      <c r="U784" s="28"/>
      <c r="V784" s="28"/>
      <c r="W784" s="28"/>
      <c r="X784" s="53"/>
      <c r="Y784" s="22"/>
      <c r="Z784" s="28"/>
      <c r="AA784" s="28"/>
      <c r="AB784" s="28"/>
      <c r="AC784" s="28"/>
      <c r="AD784" s="28"/>
      <c r="AE784" s="28"/>
      <c r="AF784" s="28"/>
      <c r="AG784" s="28"/>
    </row>
    <row r="785" spans="1:33" ht="15.75" customHeight="1">
      <c r="A785" s="28"/>
      <c r="B785" s="28"/>
      <c r="C785" s="28"/>
      <c r="D785" s="28"/>
      <c r="E785" s="28"/>
      <c r="F785" s="28"/>
      <c r="G785" s="28"/>
      <c r="H785" s="28"/>
      <c r="I785" s="22"/>
      <c r="J785" s="28"/>
      <c r="K785" s="28"/>
      <c r="L785" s="22"/>
      <c r="M785" s="22"/>
      <c r="N785" s="28"/>
      <c r="O785" s="28"/>
      <c r="P785" s="53"/>
      <c r="Q785" s="53"/>
      <c r="R785" s="28"/>
      <c r="S785" s="53"/>
      <c r="T785" s="28"/>
      <c r="U785" s="28"/>
      <c r="V785" s="28"/>
      <c r="W785" s="28"/>
      <c r="X785" s="53"/>
      <c r="Y785" s="22"/>
      <c r="Z785" s="28"/>
      <c r="AA785" s="28"/>
      <c r="AB785" s="28"/>
      <c r="AC785" s="28"/>
      <c r="AD785" s="28"/>
      <c r="AE785" s="28"/>
      <c r="AF785" s="28"/>
      <c r="AG785" s="28"/>
    </row>
    <row r="786" spans="1:33" ht="15.75" customHeight="1">
      <c r="A786" s="28"/>
      <c r="B786" s="28"/>
      <c r="C786" s="28"/>
      <c r="D786" s="28"/>
      <c r="E786" s="28"/>
      <c r="F786" s="28"/>
      <c r="G786" s="28"/>
      <c r="H786" s="28"/>
      <c r="I786" s="22"/>
      <c r="J786" s="28"/>
      <c r="K786" s="28"/>
      <c r="L786" s="22"/>
      <c r="M786" s="22"/>
      <c r="N786" s="28"/>
      <c r="O786" s="28"/>
      <c r="P786" s="53"/>
      <c r="Q786" s="53"/>
      <c r="R786" s="28"/>
      <c r="S786" s="53"/>
      <c r="T786" s="28"/>
      <c r="U786" s="28"/>
      <c r="V786" s="28"/>
      <c r="W786" s="28"/>
      <c r="X786" s="53"/>
      <c r="Y786" s="22"/>
      <c r="Z786" s="28"/>
      <c r="AA786" s="28"/>
      <c r="AB786" s="28"/>
      <c r="AC786" s="28"/>
      <c r="AD786" s="28"/>
      <c r="AE786" s="28"/>
      <c r="AF786" s="28"/>
      <c r="AG786" s="28"/>
    </row>
    <row r="787" spans="1:33" ht="15.75" customHeight="1">
      <c r="A787" s="28"/>
      <c r="B787" s="28"/>
      <c r="C787" s="28"/>
      <c r="D787" s="28"/>
      <c r="E787" s="28"/>
      <c r="F787" s="28"/>
      <c r="G787" s="28"/>
      <c r="H787" s="28"/>
      <c r="I787" s="22"/>
      <c r="J787" s="28"/>
      <c r="K787" s="28"/>
      <c r="L787" s="22"/>
      <c r="M787" s="22"/>
      <c r="N787" s="28"/>
      <c r="O787" s="28"/>
      <c r="P787" s="53"/>
      <c r="Q787" s="53"/>
      <c r="R787" s="28"/>
      <c r="S787" s="53"/>
      <c r="T787" s="28"/>
      <c r="U787" s="28"/>
      <c r="V787" s="28"/>
      <c r="W787" s="28"/>
      <c r="X787" s="53"/>
      <c r="Y787" s="22"/>
      <c r="Z787" s="28"/>
      <c r="AA787" s="28"/>
      <c r="AB787" s="28"/>
      <c r="AC787" s="28"/>
      <c r="AD787" s="28"/>
      <c r="AE787" s="28"/>
      <c r="AF787" s="28"/>
      <c r="AG787" s="28"/>
    </row>
    <row r="788" spans="1:33" ht="15.75" customHeight="1">
      <c r="A788" s="28"/>
      <c r="B788" s="28"/>
      <c r="C788" s="28"/>
      <c r="D788" s="28"/>
      <c r="E788" s="28"/>
      <c r="F788" s="28"/>
      <c r="G788" s="28"/>
      <c r="H788" s="28"/>
      <c r="I788" s="22"/>
      <c r="J788" s="28"/>
      <c r="K788" s="28"/>
      <c r="L788" s="22"/>
      <c r="M788" s="22"/>
      <c r="N788" s="28"/>
      <c r="O788" s="28"/>
      <c r="P788" s="53"/>
      <c r="Q788" s="53"/>
      <c r="R788" s="28"/>
      <c r="S788" s="53"/>
      <c r="T788" s="28"/>
      <c r="U788" s="28"/>
      <c r="V788" s="28"/>
      <c r="W788" s="28"/>
      <c r="X788" s="53"/>
      <c r="Y788" s="22"/>
      <c r="Z788" s="28"/>
      <c r="AA788" s="28"/>
      <c r="AB788" s="28"/>
      <c r="AC788" s="28"/>
      <c r="AD788" s="28"/>
      <c r="AE788" s="28"/>
      <c r="AF788" s="28"/>
      <c r="AG788" s="28"/>
    </row>
    <row r="789" spans="1:33" ht="15.75" customHeight="1">
      <c r="A789" s="28"/>
      <c r="B789" s="28"/>
      <c r="C789" s="28"/>
      <c r="D789" s="28"/>
      <c r="E789" s="28"/>
      <c r="F789" s="28"/>
      <c r="G789" s="28"/>
      <c r="H789" s="28"/>
      <c r="I789" s="22"/>
      <c r="J789" s="28"/>
      <c r="K789" s="28"/>
      <c r="L789" s="22"/>
      <c r="M789" s="22"/>
      <c r="N789" s="28"/>
      <c r="O789" s="28"/>
      <c r="P789" s="53"/>
      <c r="Q789" s="53"/>
      <c r="R789" s="28"/>
      <c r="S789" s="53"/>
      <c r="T789" s="28"/>
      <c r="U789" s="28"/>
      <c r="V789" s="28"/>
      <c r="W789" s="28"/>
      <c r="X789" s="53"/>
      <c r="Y789" s="22"/>
      <c r="Z789" s="28"/>
      <c r="AA789" s="28"/>
      <c r="AB789" s="28"/>
      <c r="AC789" s="28"/>
      <c r="AD789" s="28"/>
      <c r="AE789" s="28"/>
      <c r="AF789" s="28"/>
      <c r="AG789" s="28"/>
    </row>
    <row r="790" spans="1:33" ht="15.75" customHeight="1">
      <c r="A790" s="28"/>
      <c r="B790" s="28"/>
      <c r="C790" s="28"/>
      <c r="D790" s="28"/>
      <c r="E790" s="28"/>
      <c r="F790" s="28"/>
      <c r="G790" s="28"/>
      <c r="H790" s="28"/>
      <c r="I790" s="22"/>
      <c r="J790" s="28"/>
      <c r="K790" s="28"/>
      <c r="L790" s="22"/>
      <c r="M790" s="22"/>
      <c r="N790" s="28"/>
      <c r="O790" s="28"/>
      <c r="P790" s="53"/>
      <c r="Q790" s="53"/>
      <c r="R790" s="28"/>
      <c r="S790" s="53"/>
      <c r="T790" s="28"/>
      <c r="U790" s="28"/>
      <c r="V790" s="28"/>
      <c r="W790" s="28"/>
      <c r="X790" s="53"/>
      <c r="Y790" s="22"/>
      <c r="Z790" s="28"/>
      <c r="AA790" s="28"/>
      <c r="AB790" s="28"/>
      <c r="AC790" s="28"/>
      <c r="AD790" s="28"/>
      <c r="AE790" s="28"/>
      <c r="AF790" s="28"/>
      <c r="AG790" s="28"/>
    </row>
    <row r="791" spans="1:33" ht="15.75" customHeight="1">
      <c r="A791" s="28"/>
      <c r="B791" s="28"/>
      <c r="C791" s="28"/>
      <c r="D791" s="28"/>
      <c r="E791" s="28"/>
      <c r="F791" s="28"/>
      <c r="G791" s="28"/>
      <c r="H791" s="28"/>
      <c r="I791" s="22"/>
      <c r="J791" s="28"/>
      <c r="K791" s="28"/>
      <c r="L791" s="22"/>
      <c r="M791" s="22"/>
      <c r="N791" s="28"/>
      <c r="O791" s="28"/>
      <c r="P791" s="53"/>
      <c r="Q791" s="53"/>
      <c r="R791" s="28"/>
      <c r="S791" s="53"/>
      <c r="T791" s="28"/>
      <c r="U791" s="28"/>
      <c r="V791" s="28"/>
      <c r="W791" s="28"/>
      <c r="X791" s="53"/>
      <c r="Y791" s="22"/>
      <c r="Z791" s="28"/>
      <c r="AA791" s="28"/>
      <c r="AB791" s="28"/>
      <c r="AC791" s="28"/>
      <c r="AD791" s="28"/>
      <c r="AE791" s="28"/>
      <c r="AF791" s="28"/>
      <c r="AG791" s="28"/>
    </row>
    <row r="792" spans="1:33" ht="15.75" customHeight="1">
      <c r="A792" s="28"/>
      <c r="B792" s="28"/>
      <c r="C792" s="28"/>
      <c r="D792" s="28"/>
      <c r="E792" s="28"/>
      <c r="F792" s="28"/>
      <c r="G792" s="28"/>
      <c r="H792" s="28"/>
      <c r="I792" s="22"/>
      <c r="J792" s="28"/>
      <c r="K792" s="28"/>
      <c r="L792" s="22"/>
      <c r="M792" s="22"/>
      <c r="N792" s="28"/>
      <c r="O792" s="28"/>
      <c r="P792" s="53"/>
      <c r="Q792" s="53"/>
      <c r="R792" s="28"/>
      <c r="S792" s="53"/>
      <c r="T792" s="28"/>
      <c r="U792" s="28"/>
      <c r="V792" s="28"/>
      <c r="W792" s="28"/>
      <c r="X792" s="53"/>
      <c r="Y792" s="22"/>
      <c r="Z792" s="28"/>
      <c r="AA792" s="28"/>
      <c r="AB792" s="28"/>
      <c r="AC792" s="28"/>
      <c r="AD792" s="28"/>
      <c r="AE792" s="28"/>
      <c r="AF792" s="28"/>
      <c r="AG792" s="28"/>
    </row>
    <row r="793" spans="1:33" ht="15.75" customHeight="1">
      <c r="A793" s="28"/>
      <c r="B793" s="28"/>
      <c r="C793" s="28"/>
      <c r="D793" s="28"/>
      <c r="E793" s="28"/>
      <c r="F793" s="28"/>
      <c r="G793" s="28"/>
      <c r="H793" s="28"/>
      <c r="I793" s="22"/>
      <c r="J793" s="28"/>
      <c r="K793" s="28"/>
      <c r="L793" s="22"/>
      <c r="M793" s="22"/>
      <c r="N793" s="28"/>
      <c r="O793" s="28"/>
      <c r="P793" s="53"/>
      <c r="Q793" s="53"/>
      <c r="R793" s="28"/>
      <c r="S793" s="53"/>
      <c r="T793" s="28"/>
      <c r="U793" s="28"/>
      <c r="V793" s="28"/>
      <c r="W793" s="28"/>
      <c r="X793" s="53"/>
      <c r="Y793" s="22"/>
      <c r="Z793" s="28"/>
      <c r="AA793" s="28"/>
      <c r="AB793" s="28"/>
      <c r="AC793" s="28"/>
      <c r="AD793" s="28"/>
      <c r="AE793" s="28"/>
      <c r="AF793" s="28"/>
      <c r="AG793" s="28"/>
    </row>
    <row r="794" spans="1:33" ht="15.75" customHeight="1">
      <c r="A794" s="28"/>
      <c r="B794" s="28"/>
      <c r="C794" s="28"/>
      <c r="D794" s="28"/>
      <c r="E794" s="28"/>
      <c r="F794" s="28"/>
      <c r="G794" s="28"/>
      <c r="H794" s="28"/>
      <c r="I794" s="22"/>
      <c r="J794" s="28"/>
      <c r="K794" s="28"/>
      <c r="L794" s="22"/>
      <c r="M794" s="22"/>
      <c r="N794" s="28"/>
      <c r="O794" s="28"/>
      <c r="P794" s="53"/>
      <c r="Q794" s="53"/>
      <c r="R794" s="28"/>
      <c r="S794" s="53"/>
      <c r="T794" s="28"/>
      <c r="U794" s="28"/>
      <c r="V794" s="28"/>
      <c r="W794" s="28"/>
      <c r="X794" s="53"/>
      <c r="Y794" s="22"/>
      <c r="Z794" s="28"/>
      <c r="AA794" s="28"/>
      <c r="AB794" s="28"/>
      <c r="AC794" s="28"/>
      <c r="AD794" s="28"/>
      <c r="AE794" s="28"/>
      <c r="AF794" s="28"/>
      <c r="AG794" s="28"/>
    </row>
    <row r="795" spans="1:33" ht="15.75" customHeight="1">
      <c r="A795" s="28"/>
      <c r="B795" s="28"/>
      <c r="C795" s="28"/>
      <c r="D795" s="28"/>
      <c r="E795" s="28"/>
      <c r="F795" s="28"/>
      <c r="G795" s="28"/>
      <c r="H795" s="28"/>
      <c r="I795" s="22"/>
      <c r="J795" s="28"/>
      <c r="K795" s="28"/>
      <c r="L795" s="22"/>
      <c r="M795" s="22"/>
      <c r="N795" s="28"/>
      <c r="O795" s="28"/>
      <c r="P795" s="53"/>
      <c r="Q795" s="53"/>
      <c r="R795" s="28"/>
      <c r="S795" s="53"/>
      <c r="T795" s="28"/>
      <c r="U795" s="28"/>
      <c r="V795" s="28"/>
      <c r="W795" s="28"/>
      <c r="X795" s="53"/>
      <c r="Y795" s="22"/>
      <c r="Z795" s="28"/>
      <c r="AA795" s="28"/>
      <c r="AB795" s="28"/>
      <c r="AC795" s="28"/>
      <c r="AD795" s="28"/>
      <c r="AE795" s="28"/>
      <c r="AF795" s="28"/>
      <c r="AG795" s="28"/>
    </row>
    <row r="796" spans="1:33" ht="15.75" customHeight="1">
      <c r="A796" s="28"/>
      <c r="B796" s="28"/>
      <c r="C796" s="28"/>
      <c r="D796" s="28"/>
      <c r="E796" s="28"/>
      <c r="F796" s="28"/>
      <c r="G796" s="28"/>
      <c r="H796" s="28"/>
      <c r="I796" s="22"/>
      <c r="J796" s="28"/>
      <c r="K796" s="28"/>
      <c r="L796" s="22"/>
      <c r="M796" s="22"/>
      <c r="N796" s="28"/>
      <c r="O796" s="28"/>
      <c r="P796" s="53"/>
      <c r="Q796" s="53"/>
      <c r="R796" s="28"/>
      <c r="S796" s="53"/>
      <c r="T796" s="28"/>
      <c r="U796" s="28"/>
      <c r="V796" s="28"/>
      <c r="W796" s="28"/>
      <c r="X796" s="53"/>
      <c r="Y796" s="22"/>
      <c r="Z796" s="28"/>
      <c r="AA796" s="28"/>
      <c r="AB796" s="28"/>
      <c r="AC796" s="28"/>
      <c r="AD796" s="28"/>
      <c r="AE796" s="28"/>
      <c r="AF796" s="28"/>
      <c r="AG796" s="28"/>
    </row>
    <row r="797" spans="1:33" ht="15.75" customHeight="1">
      <c r="A797" s="28"/>
      <c r="B797" s="28"/>
      <c r="C797" s="28"/>
      <c r="D797" s="28"/>
      <c r="E797" s="28"/>
      <c r="F797" s="28"/>
      <c r="G797" s="28"/>
      <c r="H797" s="28"/>
      <c r="I797" s="22"/>
      <c r="J797" s="28"/>
      <c r="K797" s="28"/>
      <c r="L797" s="22"/>
      <c r="M797" s="22"/>
      <c r="N797" s="28"/>
      <c r="O797" s="28"/>
      <c r="P797" s="53"/>
      <c r="Q797" s="53"/>
      <c r="R797" s="28"/>
      <c r="S797" s="53"/>
      <c r="T797" s="28"/>
      <c r="U797" s="28"/>
      <c r="V797" s="28"/>
      <c r="W797" s="28"/>
      <c r="X797" s="53"/>
      <c r="Y797" s="22"/>
      <c r="Z797" s="28"/>
      <c r="AA797" s="28"/>
      <c r="AB797" s="28"/>
      <c r="AC797" s="28"/>
      <c r="AD797" s="28"/>
      <c r="AE797" s="28"/>
      <c r="AF797" s="28"/>
      <c r="AG797" s="28"/>
    </row>
    <row r="798" spans="1:33" ht="15.75" customHeight="1">
      <c r="A798" s="28"/>
      <c r="B798" s="28"/>
      <c r="C798" s="28"/>
      <c r="D798" s="28"/>
      <c r="E798" s="28"/>
      <c r="F798" s="28"/>
      <c r="G798" s="28"/>
      <c r="H798" s="28"/>
      <c r="I798" s="22"/>
      <c r="J798" s="28"/>
      <c r="K798" s="28"/>
      <c r="L798" s="22"/>
      <c r="M798" s="22"/>
      <c r="N798" s="28"/>
      <c r="O798" s="28"/>
      <c r="P798" s="53"/>
      <c r="Q798" s="53"/>
      <c r="R798" s="28"/>
      <c r="S798" s="53"/>
      <c r="T798" s="28"/>
      <c r="U798" s="28"/>
      <c r="V798" s="28"/>
      <c r="W798" s="28"/>
      <c r="X798" s="53"/>
      <c r="Y798" s="22"/>
      <c r="Z798" s="28"/>
      <c r="AA798" s="28"/>
      <c r="AB798" s="28"/>
      <c r="AC798" s="28"/>
      <c r="AD798" s="28"/>
      <c r="AE798" s="28"/>
      <c r="AF798" s="28"/>
      <c r="AG798" s="28"/>
    </row>
    <row r="799" spans="1:33" ht="15.75" customHeight="1">
      <c r="A799" s="28"/>
      <c r="B799" s="28"/>
      <c r="C799" s="28"/>
      <c r="D799" s="28"/>
      <c r="E799" s="28"/>
      <c r="F799" s="28"/>
      <c r="G799" s="28"/>
      <c r="H799" s="28"/>
      <c r="I799" s="22"/>
      <c r="J799" s="28"/>
      <c r="K799" s="28"/>
      <c r="L799" s="22"/>
      <c r="M799" s="22"/>
      <c r="N799" s="28"/>
      <c r="O799" s="28"/>
      <c r="P799" s="53"/>
      <c r="Q799" s="53"/>
      <c r="R799" s="28"/>
      <c r="S799" s="53"/>
      <c r="T799" s="28"/>
      <c r="U799" s="28"/>
      <c r="V799" s="28"/>
      <c r="W799" s="28"/>
      <c r="X799" s="53"/>
      <c r="Y799" s="22"/>
      <c r="Z799" s="28"/>
      <c r="AA799" s="28"/>
      <c r="AB799" s="28"/>
      <c r="AC799" s="28"/>
      <c r="AD799" s="28"/>
      <c r="AE799" s="28"/>
      <c r="AF799" s="28"/>
      <c r="AG799" s="28"/>
    </row>
    <row r="800" spans="1:33" ht="15.75" customHeight="1">
      <c r="A800" s="28"/>
      <c r="B800" s="28"/>
      <c r="C800" s="28"/>
      <c r="D800" s="28"/>
      <c r="E800" s="28"/>
      <c r="F800" s="28"/>
      <c r="G800" s="28"/>
      <c r="H800" s="28"/>
      <c r="I800" s="22"/>
      <c r="J800" s="28"/>
      <c r="K800" s="28"/>
      <c r="L800" s="22"/>
      <c r="M800" s="22"/>
      <c r="N800" s="28"/>
      <c r="O800" s="28"/>
      <c r="P800" s="53"/>
      <c r="Q800" s="53"/>
      <c r="R800" s="28"/>
      <c r="S800" s="53"/>
      <c r="T800" s="28"/>
      <c r="U800" s="28"/>
      <c r="V800" s="28"/>
      <c r="W800" s="28"/>
      <c r="X800" s="53"/>
      <c r="Y800" s="22"/>
      <c r="Z800" s="28"/>
      <c r="AA800" s="28"/>
      <c r="AB800" s="28"/>
      <c r="AC800" s="28"/>
      <c r="AD800" s="28"/>
      <c r="AE800" s="28"/>
      <c r="AF800" s="28"/>
      <c r="AG800" s="28"/>
    </row>
    <row r="801" spans="1:33" ht="15.75" customHeight="1">
      <c r="A801" s="28"/>
      <c r="B801" s="28"/>
      <c r="C801" s="28"/>
      <c r="D801" s="28"/>
      <c r="E801" s="28"/>
      <c r="F801" s="28"/>
      <c r="G801" s="28"/>
      <c r="H801" s="28"/>
      <c r="I801" s="22"/>
      <c r="J801" s="28"/>
      <c r="K801" s="28"/>
      <c r="L801" s="22"/>
      <c r="M801" s="22"/>
      <c r="N801" s="28"/>
      <c r="O801" s="28"/>
      <c r="P801" s="53"/>
      <c r="Q801" s="53"/>
      <c r="R801" s="28"/>
      <c r="S801" s="53"/>
      <c r="T801" s="28"/>
      <c r="U801" s="28"/>
      <c r="V801" s="28"/>
      <c r="W801" s="28"/>
      <c r="X801" s="53"/>
      <c r="Y801" s="22"/>
      <c r="Z801" s="28"/>
      <c r="AA801" s="28"/>
      <c r="AB801" s="28"/>
      <c r="AC801" s="28"/>
      <c r="AD801" s="28"/>
      <c r="AE801" s="28"/>
      <c r="AF801" s="28"/>
      <c r="AG801" s="28"/>
    </row>
    <row r="802" spans="1:33" ht="15.75" customHeight="1">
      <c r="A802" s="28"/>
      <c r="B802" s="28"/>
      <c r="C802" s="28"/>
      <c r="D802" s="28"/>
      <c r="E802" s="28"/>
      <c r="F802" s="28"/>
      <c r="G802" s="28"/>
      <c r="H802" s="28"/>
      <c r="I802" s="22"/>
      <c r="J802" s="28"/>
      <c r="K802" s="28"/>
      <c r="L802" s="22"/>
      <c r="M802" s="22"/>
      <c r="N802" s="28"/>
      <c r="O802" s="28"/>
      <c r="P802" s="53"/>
      <c r="Q802" s="53"/>
      <c r="R802" s="28"/>
      <c r="S802" s="53"/>
      <c r="T802" s="28"/>
      <c r="U802" s="28"/>
      <c r="V802" s="28"/>
      <c r="W802" s="28"/>
      <c r="X802" s="53"/>
      <c r="Y802" s="22"/>
      <c r="Z802" s="28"/>
      <c r="AA802" s="28"/>
      <c r="AB802" s="28"/>
      <c r="AC802" s="28"/>
      <c r="AD802" s="28"/>
      <c r="AE802" s="28"/>
      <c r="AF802" s="28"/>
      <c r="AG802" s="28"/>
    </row>
    <row r="803" spans="1:33" ht="15.75" customHeight="1">
      <c r="A803" s="28"/>
      <c r="B803" s="28"/>
      <c r="C803" s="28"/>
      <c r="D803" s="28"/>
      <c r="E803" s="28"/>
      <c r="F803" s="28"/>
      <c r="G803" s="28"/>
      <c r="H803" s="28"/>
      <c r="I803" s="22"/>
      <c r="J803" s="28"/>
      <c r="K803" s="28"/>
      <c r="L803" s="22"/>
      <c r="M803" s="22"/>
      <c r="N803" s="28"/>
      <c r="O803" s="28"/>
      <c r="P803" s="53"/>
      <c r="Q803" s="53"/>
      <c r="R803" s="28"/>
      <c r="S803" s="53"/>
      <c r="T803" s="28"/>
      <c r="U803" s="28"/>
      <c r="V803" s="28"/>
      <c r="W803" s="28"/>
      <c r="X803" s="53"/>
      <c r="Y803" s="22"/>
      <c r="Z803" s="28"/>
      <c r="AA803" s="28"/>
      <c r="AB803" s="28"/>
      <c r="AC803" s="28"/>
      <c r="AD803" s="28"/>
      <c r="AE803" s="28"/>
      <c r="AF803" s="28"/>
      <c r="AG803" s="28"/>
    </row>
    <row r="804" spans="1:33" ht="15.75" customHeight="1">
      <c r="A804" s="28"/>
      <c r="B804" s="28"/>
      <c r="C804" s="28"/>
      <c r="D804" s="28"/>
      <c r="E804" s="28"/>
      <c r="F804" s="28"/>
      <c r="G804" s="28"/>
      <c r="H804" s="28"/>
      <c r="I804" s="22"/>
      <c r="J804" s="28"/>
      <c r="K804" s="28"/>
      <c r="L804" s="22"/>
      <c r="M804" s="22"/>
      <c r="N804" s="28"/>
      <c r="O804" s="28"/>
      <c r="P804" s="53"/>
      <c r="Q804" s="53"/>
      <c r="R804" s="28"/>
      <c r="S804" s="53"/>
      <c r="T804" s="28"/>
      <c r="U804" s="28"/>
      <c r="V804" s="28"/>
      <c r="W804" s="28"/>
      <c r="X804" s="53"/>
      <c r="Y804" s="22"/>
      <c r="Z804" s="28"/>
      <c r="AA804" s="28"/>
      <c r="AB804" s="28"/>
      <c r="AC804" s="28"/>
      <c r="AD804" s="28"/>
      <c r="AE804" s="28"/>
      <c r="AF804" s="28"/>
      <c r="AG804" s="28"/>
    </row>
    <row r="805" spans="1:33" ht="15.75" customHeight="1">
      <c r="A805" s="28"/>
      <c r="B805" s="28"/>
      <c r="C805" s="28"/>
      <c r="D805" s="28"/>
      <c r="E805" s="28"/>
      <c r="F805" s="28"/>
      <c r="G805" s="28"/>
      <c r="H805" s="28"/>
      <c r="I805" s="22"/>
      <c r="J805" s="28"/>
      <c r="K805" s="28"/>
      <c r="L805" s="22"/>
      <c r="M805" s="22"/>
      <c r="N805" s="28"/>
      <c r="O805" s="28"/>
      <c r="P805" s="53"/>
      <c r="Q805" s="53"/>
      <c r="R805" s="28"/>
      <c r="S805" s="53"/>
      <c r="T805" s="28"/>
      <c r="U805" s="28"/>
      <c r="V805" s="28"/>
      <c r="W805" s="28"/>
      <c r="X805" s="53"/>
      <c r="Y805" s="22"/>
      <c r="Z805" s="28"/>
      <c r="AA805" s="28"/>
      <c r="AB805" s="28"/>
      <c r="AC805" s="28"/>
      <c r="AD805" s="28"/>
      <c r="AE805" s="28"/>
      <c r="AF805" s="28"/>
      <c r="AG805" s="28"/>
    </row>
    <row r="806" spans="1:33" ht="15.75" customHeight="1">
      <c r="A806" s="28"/>
      <c r="B806" s="28"/>
      <c r="C806" s="28"/>
      <c r="D806" s="28"/>
      <c r="E806" s="28"/>
      <c r="F806" s="28"/>
      <c r="G806" s="28"/>
      <c r="H806" s="28"/>
      <c r="I806" s="22"/>
      <c r="J806" s="28"/>
      <c r="K806" s="28"/>
      <c r="L806" s="22"/>
      <c r="M806" s="22"/>
      <c r="N806" s="28"/>
      <c r="O806" s="28"/>
      <c r="P806" s="53"/>
      <c r="Q806" s="53"/>
      <c r="R806" s="28"/>
      <c r="S806" s="53"/>
      <c r="T806" s="28"/>
      <c r="U806" s="28"/>
      <c r="V806" s="28"/>
      <c r="W806" s="28"/>
      <c r="X806" s="53"/>
      <c r="Y806" s="22"/>
      <c r="Z806" s="28"/>
      <c r="AA806" s="28"/>
      <c r="AB806" s="28"/>
      <c r="AC806" s="28"/>
      <c r="AD806" s="28"/>
      <c r="AE806" s="28"/>
      <c r="AF806" s="28"/>
      <c r="AG806" s="28"/>
    </row>
    <row r="807" spans="1:33" ht="15.75" customHeight="1">
      <c r="A807" s="28"/>
      <c r="B807" s="28"/>
      <c r="C807" s="28"/>
      <c r="D807" s="28"/>
      <c r="E807" s="28"/>
      <c r="F807" s="28"/>
      <c r="G807" s="28"/>
      <c r="H807" s="28"/>
      <c r="I807" s="22"/>
      <c r="J807" s="28"/>
      <c r="K807" s="28"/>
      <c r="L807" s="22"/>
      <c r="M807" s="22"/>
      <c r="N807" s="28"/>
      <c r="O807" s="28"/>
      <c r="P807" s="53"/>
      <c r="Q807" s="53"/>
      <c r="R807" s="28"/>
      <c r="S807" s="53"/>
      <c r="T807" s="28"/>
      <c r="U807" s="28"/>
      <c r="V807" s="28"/>
      <c r="W807" s="28"/>
      <c r="X807" s="53"/>
      <c r="Y807" s="22"/>
      <c r="Z807" s="28"/>
      <c r="AA807" s="28"/>
      <c r="AB807" s="28"/>
      <c r="AC807" s="28"/>
      <c r="AD807" s="28"/>
      <c r="AE807" s="28"/>
      <c r="AF807" s="28"/>
      <c r="AG807" s="28"/>
    </row>
    <row r="808" spans="1:33" ht="15.75" customHeight="1">
      <c r="A808" s="28"/>
      <c r="B808" s="28"/>
      <c r="C808" s="28"/>
      <c r="D808" s="28"/>
      <c r="E808" s="28"/>
      <c r="F808" s="28"/>
      <c r="G808" s="28"/>
      <c r="H808" s="28"/>
      <c r="I808" s="22"/>
      <c r="J808" s="28"/>
      <c r="K808" s="28"/>
      <c r="L808" s="22"/>
      <c r="M808" s="22"/>
      <c r="N808" s="28"/>
      <c r="O808" s="28"/>
      <c r="P808" s="53"/>
      <c r="Q808" s="53"/>
      <c r="R808" s="28"/>
      <c r="S808" s="53"/>
      <c r="T808" s="28"/>
      <c r="U808" s="28"/>
      <c r="V808" s="28"/>
      <c r="W808" s="28"/>
      <c r="X808" s="53"/>
      <c r="Y808" s="22"/>
      <c r="Z808" s="28"/>
      <c r="AA808" s="28"/>
      <c r="AB808" s="28"/>
      <c r="AC808" s="28"/>
      <c r="AD808" s="28"/>
      <c r="AE808" s="28"/>
      <c r="AF808" s="28"/>
      <c r="AG808" s="28"/>
    </row>
    <row r="809" spans="1:33" ht="15.75" customHeight="1">
      <c r="A809" s="28"/>
      <c r="B809" s="28"/>
      <c r="C809" s="28"/>
      <c r="D809" s="28"/>
      <c r="E809" s="28"/>
      <c r="F809" s="28"/>
      <c r="G809" s="28"/>
      <c r="H809" s="28"/>
      <c r="I809" s="22"/>
      <c r="J809" s="28"/>
      <c r="K809" s="28"/>
      <c r="L809" s="22"/>
      <c r="M809" s="22"/>
      <c r="N809" s="28"/>
      <c r="O809" s="28"/>
      <c r="P809" s="53"/>
      <c r="Q809" s="53"/>
      <c r="R809" s="28"/>
      <c r="S809" s="53"/>
      <c r="T809" s="28"/>
      <c r="U809" s="28"/>
      <c r="V809" s="28"/>
      <c r="W809" s="28"/>
      <c r="X809" s="53"/>
      <c r="Y809" s="22"/>
      <c r="Z809" s="28"/>
      <c r="AA809" s="28"/>
      <c r="AB809" s="28"/>
      <c r="AC809" s="28"/>
      <c r="AD809" s="28"/>
      <c r="AE809" s="28"/>
      <c r="AF809" s="28"/>
      <c r="AG809" s="28"/>
    </row>
    <row r="810" spans="1:33" ht="15.75" customHeight="1">
      <c r="A810" s="28"/>
      <c r="B810" s="28"/>
      <c r="C810" s="28"/>
      <c r="D810" s="28"/>
      <c r="E810" s="28"/>
      <c r="F810" s="28"/>
      <c r="G810" s="28"/>
      <c r="H810" s="28"/>
      <c r="I810" s="22"/>
      <c r="J810" s="28"/>
      <c r="K810" s="28"/>
      <c r="L810" s="22"/>
      <c r="M810" s="22"/>
      <c r="N810" s="28"/>
      <c r="O810" s="28"/>
      <c r="P810" s="53"/>
      <c r="Q810" s="53"/>
      <c r="R810" s="28"/>
      <c r="S810" s="53"/>
      <c r="T810" s="28"/>
      <c r="U810" s="28"/>
      <c r="V810" s="28"/>
      <c r="W810" s="28"/>
      <c r="X810" s="53"/>
      <c r="Y810" s="22"/>
      <c r="Z810" s="28"/>
      <c r="AA810" s="28"/>
      <c r="AB810" s="28"/>
      <c r="AC810" s="28"/>
      <c r="AD810" s="28"/>
      <c r="AE810" s="28"/>
      <c r="AF810" s="28"/>
      <c r="AG810" s="28"/>
    </row>
    <row r="811" spans="1:33" ht="15.75" customHeight="1">
      <c r="A811" s="28"/>
      <c r="B811" s="28"/>
      <c r="C811" s="28"/>
      <c r="D811" s="28"/>
      <c r="E811" s="28"/>
      <c r="F811" s="28"/>
      <c r="G811" s="28"/>
      <c r="H811" s="28"/>
      <c r="I811" s="22"/>
      <c r="J811" s="28"/>
      <c r="K811" s="28"/>
      <c r="L811" s="22"/>
      <c r="M811" s="22"/>
      <c r="N811" s="28"/>
      <c r="O811" s="28"/>
      <c r="P811" s="53"/>
      <c r="Q811" s="53"/>
      <c r="R811" s="28"/>
      <c r="S811" s="53"/>
      <c r="T811" s="28"/>
      <c r="U811" s="28"/>
      <c r="V811" s="28"/>
      <c r="W811" s="28"/>
      <c r="X811" s="53"/>
      <c r="Y811" s="22"/>
      <c r="Z811" s="28"/>
      <c r="AA811" s="28"/>
      <c r="AB811" s="28"/>
      <c r="AC811" s="28"/>
      <c r="AD811" s="28"/>
      <c r="AE811" s="28"/>
      <c r="AF811" s="28"/>
      <c r="AG811" s="28"/>
    </row>
    <row r="812" spans="1:33" ht="15.75" customHeight="1">
      <c r="A812" s="28"/>
      <c r="B812" s="28"/>
      <c r="C812" s="28"/>
      <c r="D812" s="28"/>
      <c r="E812" s="28"/>
      <c r="F812" s="28"/>
      <c r="G812" s="28"/>
      <c r="H812" s="28"/>
      <c r="I812" s="22"/>
      <c r="J812" s="28"/>
      <c r="K812" s="28"/>
      <c r="L812" s="22"/>
      <c r="M812" s="22"/>
      <c r="N812" s="28"/>
      <c r="O812" s="28"/>
      <c r="P812" s="53"/>
      <c r="Q812" s="53"/>
      <c r="R812" s="28"/>
      <c r="S812" s="53"/>
      <c r="T812" s="28"/>
      <c r="U812" s="28"/>
      <c r="V812" s="28"/>
      <c r="W812" s="28"/>
      <c r="X812" s="53"/>
      <c r="Y812" s="22"/>
      <c r="Z812" s="28"/>
      <c r="AA812" s="28"/>
      <c r="AB812" s="28"/>
      <c r="AC812" s="28"/>
      <c r="AD812" s="28"/>
      <c r="AE812" s="28"/>
      <c r="AF812" s="28"/>
      <c r="AG812" s="28"/>
    </row>
    <row r="813" spans="1:33" ht="15.75" customHeight="1">
      <c r="A813" s="28"/>
      <c r="B813" s="28"/>
      <c r="C813" s="28"/>
      <c r="D813" s="28"/>
      <c r="E813" s="28"/>
      <c r="F813" s="28"/>
      <c r="G813" s="28"/>
      <c r="H813" s="28"/>
      <c r="I813" s="22"/>
      <c r="J813" s="28"/>
      <c r="K813" s="28"/>
      <c r="L813" s="22"/>
      <c r="M813" s="22"/>
      <c r="N813" s="28"/>
      <c r="O813" s="28"/>
      <c r="P813" s="53"/>
      <c r="Q813" s="53"/>
      <c r="R813" s="28"/>
      <c r="S813" s="53"/>
      <c r="T813" s="28"/>
      <c r="U813" s="28"/>
      <c r="V813" s="28"/>
      <c r="W813" s="28"/>
      <c r="X813" s="53"/>
      <c r="Y813" s="22"/>
      <c r="Z813" s="28"/>
      <c r="AA813" s="28"/>
      <c r="AB813" s="28"/>
      <c r="AC813" s="28"/>
      <c r="AD813" s="28"/>
      <c r="AE813" s="28"/>
      <c r="AF813" s="28"/>
      <c r="AG813" s="28"/>
    </row>
    <row r="814" spans="1:33" ht="15.75" customHeight="1">
      <c r="A814" s="28"/>
      <c r="B814" s="28"/>
      <c r="C814" s="28"/>
      <c r="D814" s="28"/>
      <c r="E814" s="28"/>
      <c r="F814" s="28"/>
      <c r="G814" s="28"/>
      <c r="H814" s="28"/>
      <c r="I814" s="22"/>
      <c r="J814" s="28"/>
      <c r="K814" s="28"/>
      <c r="L814" s="22"/>
      <c r="M814" s="22"/>
      <c r="N814" s="28"/>
      <c r="O814" s="28"/>
      <c r="P814" s="53"/>
      <c r="Q814" s="53"/>
      <c r="R814" s="28"/>
      <c r="S814" s="53"/>
      <c r="T814" s="28"/>
      <c r="U814" s="28"/>
      <c r="V814" s="28"/>
      <c r="W814" s="28"/>
      <c r="X814" s="53"/>
      <c r="Y814" s="22"/>
      <c r="Z814" s="28"/>
      <c r="AA814" s="28"/>
      <c r="AB814" s="28"/>
      <c r="AC814" s="28"/>
      <c r="AD814" s="28"/>
      <c r="AE814" s="28"/>
      <c r="AF814" s="28"/>
      <c r="AG814" s="28"/>
    </row>
    <row r="815" spans="1:33" ht="15.75" customHeight="1">
      <c r="A815" s="28"/>
      <c r="B815" s="28"/>
      <c r="C815" s="28"/>
      <c r="D815" s="28"/>
      <c r="E815" s="28"/>
      <c r="F815" s="28"/>
      <c r="G815" s="28"/>
      <c r="H815" s="28"/>
      <c r="I815" s="22"/>
      <c r="J815" s="28"/>
      <c r="K815" s="28"/>
      <c r="L815" s="22"/>
      <c r="M815" s="22"/>
      <c r="N815" s="28"/>
      <c r="O815" s="28"/>
      <c r="P815" s="53"/>
      <c r="Q815" s="53"/>
      <c r="R815" s="28"/>
      <c r="S815" s="53"/>
      <c r="T815" s="28"/>
      <c r="U815" s="28"/>
      <c r="V815" s="28"/>
      <c r="W815" s="28"/>
      <c r="X815" s="53"/>
      <c r="Y815" s="22"/>
      <c r="Z815" s="28"/>
      <c r="AA815" s="28"/>
      <c r="AB815" s="28"/>
      <c r="AC815" s="28"/>
      <c r="AD815" s="28"/>
      <c r="AE815" s="28"/>
      <c r="AF815" s="28"/>
      <c r="AG815" s="28"/>
    </row>
    <row r="816" spans="1:33" ht="15.75" customHeight="1">
      <c r="A816" s="28"/>
      <c r="B816" s="28"/>
      <c r="C816" s="28"/>
      <c r="D816" s="28"/>
      <c r="E816" s="28"/>
      <c r="F816" s="28"/>
      <c r="G816" s="28"/>
      <c r="H816" s="28"/>
      <c r="I816" s="22"/>
      <c r="J816" s="28"/>
      <c r="K816" s="28"/>
      <c r="L816" s="22"/>
      <c r="M816" s="22"/>
      <c r="N816" s="28"/>
      <c r="O816" s="28"/>
      <c r="P816" s="53"/>
      <c r="Q816" s="53"/>
      <c r="R816" s="28"/>
      <c r="S816" s="53"/>
      <c r="T816" s="28"/>
      <c r="U816" s="28"/>
      <c r="V816" s="28"/>
      <c r="W816" s="28"/>
      <c r="X816" s="53"/>
      <c r="Y816" s="22"/>
      <c r="Z816" s="28"/>
      <c r="AA816" s="28"/>
      <c r="AB816" s="28"/>
      <c r="AC816" s="28"/>
      <c r="AD816" s="28"/>
      <c r="AE816" s="28"/>
      <c r="AF816" s="28"/>
      <c r="AG816" s="28"/>
    </row>
    <row r="817" spans="1:33" ht="15.75" customHeight="1">
      <c r="A817" s="28"/>
      <c r="B817" s="28"/>
      <c r="C817" s="28"/>
      <c r="D817" s="28"/>
      <c r="E817" s="28"/>
      <c r="F817" s="28"/>
      <c r="G817" s="28"/>
      <c r="H817" s="28"/>
      <c r="I817" s="22"/>
      <c r="J817" s="28"/>
      <c r="K817" s="28"/>
      <c r="L817" s="22"/>
      <c r="M817" s="22"/>
      <c r="N817" s="28"/>
      <c r="O817" s="28"/>
      <c r="P817" s="53"/>
      <c r="Q817" s="53"/>
      <c r="R817" s="28"/>
      <c r="S817" s="53"/>
      <c r="T817" s="28"/>
      <c r="U817" s="28"/>
      <c r="V817" s="28"/>
      <c r="W817" s="28"/>
      <c r="X817" s="53"/>
      <c r="Y817" s="22"/>
      <c r="Z817" s="28"/>
      <c r="AA817" s="28"/>
      <c r="AB817" s="28"/>
      <c r="AC817" s="28"/>
      <c r="AD817" s="28"/>
      <c r="AE817" s="28"/>
      <c r="AF817" s="28"/>
      <c r="AG817" s="28"/>
    </row>
    <row r="818" spans="1:33" ht="15.75" customHeight="1">
      <c r="A818" s="28"/>
      <c r="B818" s="28"/>
      <c r="C818" s="28"/>
      <c r="D818" s="28"/>
      <c r="E818" s="28"/>
      <c r="F818" s="28"/>
      <c r="G818" s="28"/>
      <c r="H818" s="28"/>
      <c r="I818" s="22"/>
      <c r="J818" s="28"/>
      <c r="K818" s="28"/>
      <c r="L818" s="22"/>
      <c r="M818" s="22"/>
      <c r="N818" s="28"/>
      <c r="O818" s="28"/>
      <c r="P818" s="53"/>
      <c r="Q818" s="53"/>
      <c r="R818" s="28"/>
      <c r="S818" s="53"/>
      <c r="T818" s="28"/>
      <c r="U818" s="28"/>
      <c r="V818" s="28"/>
      <c r="W818" s="28"/>
      <c r="X818" s="53"/>
      <c r="Y818" s="22"/>
      <c r="Z818" s="28"/>
      <c r="AA818" s="28"/>
      <c r="AB818" s="28"/>
      <c r="AC818" s="28"/>
      <c r="AD818" s="28"/>
      <c r="AE818" s="28"/>
      <c r="AF818" s="28"/>
      <c r="AG818" s="28"/>
    </row>
    <row r="819" spans="1:33" ht="15.75" customHeight="1">
      <c r="A819" s="28"/>
      <c r="B819" s="28"/>
      <c r="C819" s="28"/>
      <c r="D819" s="28"/>
      <c r="E819" s="28"/>
      <c r="F819" s="28"/>
      <c r="G819" s="28"/>
      <c r="H819" s="28"/>
      <c r="I819" s="22"/>
      <c r="J819" s="28"/>
      <c r="K819" s="28"/>
      <c r="L819" s="22"/>
      <c r="M819" s="22"/>
      <c r="N819" s="28"/>
      <c r="O819" s="28"/>
      <c r="P819" s="53"/>
      <c r="Q819" s="53"/>
      <c r="R819" s="28"/>
      <c r="S819" s="53"/>
      <c r="T819" s="28"/>
      <c r="U819" s="28"/>
      <c r="V819" s="28"/>
      <c r="W819" s="28"/>
      <c r="X819" s="53"/>
      <c r="Y819" s="22"/>
      <c r="Z819" s="28"/>
      <c r="AA819" s="28"/>
      <c r="AB819" s="28"/>
      <c r="AC819" s="28"/>
      <c r="AD819" s="28"/>
      <c r="AE819" s="28"/>
      <c r="AF819" s="28"/>
      <c r="AG819" s="28"/>
    </row>
    <row r="820" spans="1:33" ht="15.75" customHeight="1">
      <c r="A820" s="28"/>
      <c r="B820" s="28"/>
      <c r="C820" s="28"/>
      <c r="D820" s="28"/>
      <c r="E820" s="28"/>
      <c r="F820" s="28"/>
      <c r="G820" s="28"/>
      <c r="H820" s="28"/>
      <c r="I820" s="22"/>
      <c r="J820" s="28"/>
      <c r="K820" s="28"/>
      <c r="L820" s="22"/>
      <c r="M820" s="22"/>
      <c r="N820" s="28"/>
      <c r="O820" s="28"/>
      <c r="P820" s="53"/>
      <c r="Q820" s="53"/>
      <c r="R820" s="28"/>
      <c r="S820" s="53"/>
      <c r="T820" s="28"/>
      <c r="U820" s="28"/>
      <c r="V820" s="28"/>
      <c r="W820" s="28"/>
      <c r="X820" s="53"/>
      <c r="Y820" s="22"/>
      <c r="Z820" s="28"/>
      <c r="AA820" s="28"/>
      <c r="AB820" s="28"/>
      <c r="AC820" s="28"/>
      <c r="AD820" s="28"/>
      <c r="AE820" s="28"/>
      <c r="AF820" s="28"/>
      <c r="AG820" s="28"/>
    </row>
    <row r="821" spans="1:33" ht="15.75" customHeight="1">
      <c r="A821" s="28"/>
      <c r="B821" s="28"/>
      <c r="C821" s="28"/>
      <c r="D821" s="28"/>
      <c r="E821" s="28"/>
      <c r="F821" s="28"/>
      <c r="G821" s="28"/>
      <c r="H821" s="28"/>
      <c r="I821" s="22"/>
      <c r="J821" s="28"/>
      <c r="K821" s="28"/>
      <c r="L821" s="22"/>
      <c r="M821" s="22"/>
      <c r="N821" s="28"/>
      <c r="O821" s="28"/>
      <c r="P821" s="53"/>
      <c r="Q821" s="53"/>
      <c r="R821" s="28"/>
      <c r="S821" s="53"/>
      <c r="T821" s="28"/>
      <c r="U821" s="28"/>
      <c r="V821" s="28"/>
      <c r="W821" s="28"/>
      <c r="X821" s="53"/>
      <c r="Y821" s="22"/>
      <c r="Z821" s="28"/>
      <c r="AA821" s="28"/>
      <c r="AB821" s="28"/>
      <c r="AC821" s="28"/>
      <c r="AD821" s="28"/>
      <c r="AE821" s="28"/>
      <c r="AF821" s="28"/>
      <c r="AG821" s="28"/>
    </row>
    <row r="822" spans="1:33" ht="15.75" customHeight="1">
      <c r="A822" s="28"/>
      <c r="B822" s="28"/>
      <c r="C822" s="28"/>
      <c r="D822" s="28"/>
      <c r="E822" s="28"/>
      <c r="F822" s="28"/>
      <c r="G822" s="28"/>
      <c r="H822" s="28"/>
      <c r="I822" s="22"/>
      <c r="J822" s="28"/>
      <c r="K822" s="28"/>
      <c r="L822" s="22"/>
      <c r="M822" s="22"/>
      <c r="N822" s="28"/>
      <c r="O822" s="28"/>
      <c r="P822" s="53"/>
      <c r="Q822" s="53"/>
      <c r="R822" s="28"/>
      <c r="S822" s="53"/>
      <c r="T822" s="28"/>
      <c r="U822" s="28"/>
      <c r="V822" s="28"/>
      <c r="W822" s="28"/>
      <c r="X822" s="53"/>
      <c r="Y822" s="22"/>
      <c r="Z822" s="28"/>
      <c r="AA822" s="28"/>
      <c r="AB822" s="28"/>
      <c r="AC822" s="28"/>
      <c r="AD822" s="28"/>
      <c r="AE822" s="28"/>
      <c r="AF822" s="28"/>
      <c r="AG822" s="28"/>
    </row>
    <row r="823" spans="1:33" ht="15.75" customHeight="1">
      <c r="A823" s="28"/>
      <c r="B823" s="28"/>
      <c r="C823" s="28"/>
      <c r="D823" s="28"/>
      <c r="E823" s="28"/>
      <c r="F823" s="28"/>
      <c r="G823" s="28"/>
      <c r="H823" s="28"/>
      <c r="I823" s="22"/>
      <c r="J823" s="28"/>
      <c r="K823" s="28"/>
      <c r="L823" s="22"/>
      <c r="M823" s="22"/>
      <c r="N823" s="28"/>
      <c r="O823" s="28"/>
      <c r="P823" s="53"/>
      <c r="Q823" s="53"/>
      <c r="R823" s="28"/>
      <c r="S823" s="53"/>
      <c r="T823" s="28"/>
      <c r="U823" s="28"/>
      <c r="V823" s="28"/>
      <c r="W823" s="28"/>
      <c r="X823" s="53"/>
      <c r="Y823" s="22"/>
      <c r="Z823" s="28"/>
      <c r="AA823" s="28"/>
      <c r="AB823" s="28"/>
      <c r="AC823" s="28"/>
      <c r="AD823" s="28"/>
      <c r="AE823" s="28"/>
      <c r="AF823" s="28"/>
      <c r="AG823" s="28"/>
    </row>
    <row r="824" spans="1:33" ht="15.75" customHeight="1">
      <c r="A824" s="28"/>
      <c r="B824" s="28"/>
      <c r="C824" s="28"/>
      <c r="D824" s="28"/>
      <c r="E824" s="28"/>
      <c r="F824" s="28"/>
      <c r="G824" s="28"/>
      <c r="H824" s="28"/>
      <c r="I824" s="22"/>
      <c r="J824" s="28"/>
      <c r="K824" s="28"/>
      <c r="L824" s="22"/>
      <c r="M824" s="22"/>
      <c r="N824" s="28"/>
      <c r="O824" s="28"/>
      <c r="P824" s="53"/>
      <c r="Q824" s="53"/>
      <c r="R824" s="28"/>
      <c r="S824" s="53"/>
      <c r="T824" s="28"/>
      <c r="U824" s="28"/>
      <c r="V824" s="28"/>
      <c r="W824" s="28"/>
      <c r="X824" s="53"/>
      <c r="Y824" s="22"/>
      <c r="Z824" s="28"/>
      <c r="AA824" s="28"/>
      <c r="AB824" s="28"/>
      <c r="AC824" s="28"/>
      <c r="AD824" s="28"/>
      <c r="AE824" s="28"/>
      <c r="AF824" s="28"/>
      <c r="AG824" s="28"/>
    </row>
    <row r="825" spans="1:33" ht="15.75" customHeight="1">
      <c r="A825" s="28"/>
      <c r="B825" s="28"/>
      <c r="C825" s="28"/>
      <c r="D825" s="28"/>
      <c r="E825" s="28"/>
      <c r="F825" s="28"/>
      <c r="G825" s="28"/>
      <c r="H825" s="28"/>
      <c r="I825" s="22"/>
      <c r="J825" s="28"/>
      <c r="K825" s="28"/>
      <c r="L825" s="22"/>
      <c r="M825" s="22"/>
      <c r="N825" s="28"/>
      <c r="O825" s="28"/>
      <c r="P825" s="53"/>
      <c r="Q825" s="53"/>
      <c r="R825" s="28"/>
      <c r="S825" s="53"/>
      <c r="T825" s="28"/>
      <c r="U825" s="28"/>
      <c r="V825" s="28"/>
      <c r="W825" s="28"/>
      <c r="X825" s="53"/>
      <c r="Y825" s="22"/>
      <c r="Z825" s="28"/>
      <c r="AA825" s="28"/>
      <c r="AB825" s="28"/>
      <c r="AC825" s="28"/>
      <c r="AD825" s="28"/>
      <c r="AE825" s="28"/>
      <c r="AF825" s="28"/>
      <c r="AG825" s="28"/>
    </row>
    <row r="826" spans="1:33" ht="15.75" customHeight="1">
      <c r="A826" s="28"/>
      <c r="B826" s="28"/>
      <c r="C826" s="28"/>
      <c r="D826" s="28"/>
      <c r="E826" s="28"/>
      <c r="F826" s="28"/>
      <c r="G826" s="28"/>
      <c r="H826" s="28"/>
      <c r="I826" s="22"/>
      <c r="J826" s="28"/>
      <c r="K826" s="28"/>
      <c r="L826" s="22"/>
      <c r="M826" s="22"/>
      <c r="N826" s="28"/>
      <c r="O826" s="28"/>
      <c r="P826" s="53"/>
      <c r="Q826" s="53"/>
      <c r="R826" s="28"/>
      <c r="S826" s="53"/>
      <c r="T826" s="28"/>
      <c r="U826" s="28"/>
      <c r="V826" s="28"/>
      <c r="W826" s="28"/>
      <c r="X826" s="53"/>
      <c r="Y826" s="22"/>
      <c r="Z826" s="28"/>
      <c r="AA826" s="28"/>
      <c r="AB826" s="28"/>
      <c r="AC826" s="28"/>
      <c r="AD826" s="28"/>
      <c r="AE826" s="28"/>
      <c r="AF826" s="28"/>
      <c r="AG826" s="28"/>
    </row>
    <row r="827" spans="1:33" ht="15.75" customHeight="1">
      <c r="A827" s="28"/>
      <c r="B827" s="28"/>
      <c r="C827" s="28"/>
      <c r="D827" s="28"/>
      <c r="E827" s="28"/>
      <c r="F827" s="28"/>
      <c r="G827" s="28"/>
      <c r="H827" s="28"/>
      <c r="I827" s="22"/>
      <c r="J827" s="28"/>
      <c r="K827" s="28"/>
      <c r="L827" s="22"/>
      <c r="M827" s="22"/>
      <c r="N827" s="28"/>
      <c r="O827" s="28"/>
      <c r="P827" s="53"/>
      <c r="Q827" s="53"/>
      <c r="R827" s="28"/>
      <c r="S827" s="53"/>
      <c r="T827" s="28"/>
      <c r="U827" s="28"/>
      <c r="V827" s="28"/>
      <c r="W827" s="28"/>
      <c r="X827" s="53"/>
      <c r="Y827" s="22"/>
      <c r="Z827" s="28"/>
      <c r="AA827" s="28"/>
      <c r="AB827" s="28"/>
      <c r="AC827" s="28"/>
      <c r="AD827" s="28"/>
      <c r="AE827" s="28"/>
      <c r="AF827" s="28"/>
      <c r="AG827" s="28"/>
    </row>
    <row r="828" spans="1:33" ht="15.75" customHeight="1">
      <c r="A828" s="28"/>
      <c r="B828" s="28"/>
      <c r="C828" s="28"/>
      <c r="D828" s="28"/>
      <c r="E828" s="28"/>
      <c r="F828" s="28"/>
      <c r="G828" s="28"/>
      <c r="H828" s="28"/>
      <c r="I828" s="22"/>
      <c r="J828" s="28"/>
      <c r="K828" s="28"/>
      <c r="L828" s="22"/>
      <c r="M828" s="22"/>
      <c r="N828" s="28"/>
      <c r="O828" s="28"/>
      <c r="P828" s="53"/>
      <c r="Q828" s="53"/>
      <c r="R828" s="28"/>
      <c r="S828" s="53"/>
      <c r="T828" s="28"/>
      <c r="U828" s="28"/>
      <c r="V828" s="28"/>
      <c r="W828" s="28"/>
      <c r="X828" s="53"/>
      <c r="Y828" s="22"/>
      <c r="Z828" s="28"/>
      <c r="AA828" s="28"/>
      <c r="AB828" s="28"/>
      <c r="AC828" s="28"/>
      <c r="AD828" s="28"/>
      <c r="AE828" s="28"/>
      <c r="AF828" s="28"/>
      <c r="AG828" s="28"/>
    </row>
    <row r="829" spans="1:33" ht="15.75" customHeight="1">
      <c r="A829" s="28"/>
      <c r="B829" s="28"/>
      <c r="C829" s="28"/>
      <c r="D829" s="28"/>
      <c r="E829" s="28"/>
      <c r="F829" s="28"/>
      <c r="G829" s="28"/>
      <c r="H829" s="28"/>
      <c r="I829" s="22"/>
      <c r="J829" s="28"/>
      <c r="K829" s="28"/>
      <c r="L829" s="22"/>
      <c r="M829" s="22"/>
      <c r="N829" s="28"/>
      <c r="O829" s="28"/>
      <c r="P829" s="53"/>
      <c r="Q829" s="53"/>
      <c r="R829" s="28"/>
      <c r="S829" s="53"/>
      <c r="T829" s="28"/>
      <c r="U829" s="28"/>
      <c r="V829" s="28"/>
      <c r="W829" s="28"/>
      <c r="X829" s="53"/>
      <c r="Y829" s="22"/>
      <c r="Z829" s="28"/>
      <c r="AA829" s="28"/>
      <c r="AB829" s="28"/>
      <c r="AC829" s="28"/>
      <c r="AD829" s="28"/>
      <c r="AE829" s="28"/>
      <c r="AF829" s="28"/>
      <c r="AG829" s="28"/>
    </row>
    <row r="830" spans="1:33" ht="15.75" customHeight="1">
      <c r="A830" s="28"/>
      <c r="B830" s="28"/>
      <c r="C830" s="28"/>
      <c r="D830" s="28"/>
      <c r="E830" s="28"/>
      <c r="F830" s="28"/>
      <c r="G830" s="28"/>
      <c r="H830" s="28"/>
      <c r="I830" s="22"/>
      <c r="J830" s="28"/>
      <c r="K830" s="28"/>
      <c r="L830" s="22"/>
      <c r="M830" s="22"/>
      <c r="N830" s="28"/>
      <c r="O830" s="28"/>
      <c r="P830" s="53"/>
      <c r="Q830" s="53"/>
      <c r="R830" s="28"/>
      <c r="S830" s="53"/>
      <c r="T830" s="28"/>
      <c r="U830" s="28"/>
      <c r="V830" s="28"/>
      <c r="W830" s="28"/>
      <c r="X830" s="53"/>
      <c r="Y830" s="22"/>
      <c r="Z830" s="28"/>
      <c r="AA830" s="28"/>
      <c r="AB830" s="28"/>
      <c r="AC830" s="28"/>
      <c r="AD830" s="28"/>
      <c r="AE830" s="28"/>
      <c r="AF830" s="28"/>
      <c r="AG830" s="28"/>
    </row>
    <row r="831" spans="1:33" ht="15.75" customHeight="1">
      <c r="A831" s="28"/>
      <c r="B831" s="28"/>
      <c r="C831" s="28"/>
      <c r="D831" s="28"/>
      <c r="E831" s="28"/>
      <c r="F831" s="28"/>
      <c r="G831" s="28"/>
      <c r="H831" s="28"/>
      <c r="I831" s="22"/>
      <c r="J831" s="28"/>
      <c r="K831" s="28"/>
      <c r="L831" s="22"/>
      <c r="M831" s="22"/>
      <c r="N831" s="28"/>
      <c r="O831" s="28"/>
      <c r="P831" s="53"/>
      <c r="Q831" s="53"/>
      <c r="R831" s="28"/>
      <c r="S831" s="53"/>
      <c r="T831" s="28"/>
      <c r="U831" s="28"/>
      <c r="V831" s="28"/>
      <c r="W831" s="28"/>
      <c r="X831" s="53"/>
      <c r="Y831" s="22"/>
      <c r="Z831" s="28"/>
      <c r="AA831" s="28"/>
      <c r="AB831" s="28"/>
      <c r="AC831" s="28"/>
      <c r="AD831" s="28"/>
      <c r="AE831" s="28"/>
      <c r="AF831" s="28"/>
      <c r="AG831" s="28"/>
    </row>
    <row r="832" spans="1:33" ht="15.75" customHeight="1">
      <c r="A832" s="28"/>
      <c r="B832" s="28"/>
      <c r="C832" s="28"/>
      <c r="D832" s="28"/>
      <c r="E832" s="28"/>
      <c r="F832" s="28"/>
      <c r="G832" s="28"/>
      <c r="H832" s="28"/>
      <c r="I832" s="22"/>
      <c r="J832" s="28"/>
      <c r="K832" s="28"/>
      <c r="L832" s="22"/>
      <c r="M832" s="22"/>
      <c r="N832" s="28"/>
      <c r="O832" s="28"/>
      <c r="P832" s="53"/>
      <c r="Q832" s="53"/>
      <c r="R832" s="28"/>
      <c r="S832" s="53"/>
      <c r="T832" s="28"/>
      <c r="U832" s="28"/>
      <c r="V832" s="28"/>
      <c r="W832" s="28"/>
      <c r="X832" s="53"/>
      <c r="Y832" s="22"/>
      <c r="Z832" s="28"/>
      <c r="AA832" s="28"/>
      <c r="AB832" s="28"/>
      <c r="AC832" s="28"/>
      <c r="AD832" s="28"/>
      <c r="AE832" s="28"/>
      <c r="AF832" s="28"/>
      <c r="AG832" s="28"/>
    </row>
    <row r="833" spans="1:33" ht="15.75" customHeight="1">
      <c r="A833" s="28"/>
      <c r="B833" s="28"/>
      <c r="C833" s="28"/>
      <c r="D833" s="28"/>
      <c r="E833" s="28"/>
      <c r="F833" s="28"/>
      <c r="G833" s="28"/>
      <c r="H833" s="28"/>
      <c r="I833" s="22"/>
      <c r="J833" s="28"/>
      <c r="K833" s="28"/>
      <c r="L833" s="22"/>
      <c r="M833" s="22"/>
      <c r="N833" s="28"/>
      <c r="O833" s="28"/>
      <c r="P833" s="53"/>
      <c r="Q833" s="53"/>
      <c r="R833" s="28"/>
      <c r="S833" s="53"/>
      <c r="T833" s="28"/>
      <c r="U833" s="28"/>
      <c r="V833" s="28"/>
      <c r="W833" s="28"/>
      <c r="X833" s="53"/>
      <c r="Y833" s="22"/>
      <c r="Z833" s="28"/>
      <c r="AA833" s="28"/>
      <c r="AB833" s="28"/>
      <c r="AC833" s="28"/>
      <c r="AD833" s="28"/>
      <c r="AE833" s="28"/>
      <c r="AF833" s="28"/>
      <c r="AG833" s="28"/>
    </row>
    <row r="834" spans="1:33" ht="15.75" customHeight="1">
      <c r="A834" s="28"/>
      <c r="B834" s="28"/>
      <c r="C834" s="28"/>
      <c r="D834" s="28"/>
      <c r="E834" s="28"/>
      <c r="F834" s="28"/>
      <c r="G834" s="28"/>
      <c r="H834" s="28"/>
      <c r="I834" s="22"/>
      <c r="J834" s="28"/>
      <c r="K834" s="28"/>
      <c r="L834" s="22"/>
      <c r="M834" s="22"/>
      <c r="N834" s="28"/>
      <c r="O834" s="28"/>
      <c r="P834" s="53"/>
      <c r="Q834" s="53"/>
      <c r="R834" s="28"/>
      <c r="S834" s="53"/>
      <c r="T834" s="28"/>
      <c r="U834" s="28"/>
      <c r="V834" s="28"/>
      <c r="W834" s="28"/>
      <c r="X834" s="53"/>
      <c r="Y834" s="22"/>
      <c r="Z834" s="28"/>
      <c r="AA834" s="28"/>
      <c r="AB834" s="28"/>
      <c r="AC834" s="28"/>
      <c r="AD834" s="28"/>
      <c r="AE834" s="28"/>
      <c r="AF834" s="28"/>
      <c r="AG834" s="28"/>
    </row>
    <row r="835" spans="1:33" ht="15.75" customHeight="1">
      <c r="A835" s="28"/>
      <c r="B835" s="28"/>
      <c r="C835" s="28"/>
      <c r="D835" s="28"/>
      <c r="E835" s="28"/>
      <c r="F835" s="28"/>
      <c r="G835" s="28"/>
      <c r="H835" s="28"/>
      <c r="I835" s="22"/>
      <c r="J835" s="28"/>
      <c r="K835" s="28"/>
      <c r="L835" s="22"/>
      <c r="M835" s="22"/>
      <c r="N835" s="28"/>
      <c r="O835" s="28"/>
      <c r="P835" s="53"/>
      <c r="Q835" s="53"/>
      <c r="R835" s="28"/>
      <c r="S835" s="53"/>
      <c r="T835" s="28"/>
      <c r="U835" s="28"/>
      <c r="V835" s="28"/>
      <c r="W835" s="28"/>
      <c r="X835" s="53"/>
      <c r="Y835" s="22"/>
      <c r="Z835" s="28"/>
      <c r="AA835" s="28"/>
      <c r="AB835" s="28"/>
      <c r="AC835" s="28"/>
      <c r="AD835" s="28"/>
      <c r="AE835" s="28"/>
      <c r="AF835" s="28"/>
      <c r="AG835" s="28"/>
    </row>
    <row r="836" spans="1:33" ht="15.75" customHeight="1">
      <c r="A836" s="28"/>
      <c r="B836" s="28"/>
      <c r="C836" s="28"/>
      <c r="D836" s="28"/>
      <c r="E836" s="28"/>
      <c r="F836" s="28"/>
      <c r="G836" s="28"/>
      <c r="H836" s="28"/>
      <c r="I836" s="22"/>
      <c r="J836" s="28"/>
      <c r="K836" s="28"/>
      <c r="L836" s="22"/>
      <c r="M836" s="22"/>
      <c r="N836" s="28"/>
      <c r="O836" s="28"/>
      <c r="P836" s="53"/>
      <c r="Q836" s="53"/>
      <c r="R836" s="28"/>
      <c r="S836" s="53"/>
      <c r="T836" s="28"/>
      <c r="U836" s="28"/>
      <c r="V836" s="28"/>
      <c r="W836" s="28"/>
      <c r="X836" s="53"/>
      <c r="Y836" s="22"/>
      <c r="Z836" s="28"/>
      <c r="AA836" s="28"/>
      <c r="AB836" s="28"/>
      <c r="AC836" s="28"/>
      <c r="AD836" s="28"/>
      <c r="AE836" s="28"/>
      <c r="AF836" s="28"/>
      <c r="AG836" s="28"/>
    </row>
    <row r="837" spans="1:33" ht="15.75" customHeight="1">
      <c r="A837" s="28"/>
      <c r="B837" s="28"/>
      <c r="C837" s="28"/>
      <c r="D837" s="28"/>
      <c r="E837" s="28"/>
      <c r="F837" s="28"/>
      <c r="G837" s="28"/>
      <c r="H837" s="28"/>
      <c r="I837" s="22"/>
      <c r="J837" s="28"/>
      <c r="K837" s="28"/>
      <c r="L837" s="22"/>
      <c r="M837" s="22"/>
      <c r="N837" s="28"/>
      <c r="O837" s="28"/>
      <c r="P837" s="53"/>
      <c r="Q837" s="53"/>
      <c r="R837" s="28"/>
      <c r="S837" s="53"/>
      <c r="T837" s="28"/>
      <c r="U837" s="28"/>
      <c r="V837" s="28"/>
      <c r="W837" s="28"/>
      <c r="X837" s="53"/>
      <c r="Y837" s="22"/>
      <c r="Z837" s="28"/>
      <c r="AA837" s="28"/>
      <c r="AB837" s="28"/>
      <c r="AC837" s="28"/>
      <c r="AD837" s="28"/>
      <c r="AE837" s="28"/>
      <c r="AF837" s="28"/>
      <c r="AG837" s="28"/>
    </row>
    <row r="838" spans="1:33" ht="15.75" customHeight="1">
      <c r="A838" s="28"/>
      <c r="B838" s="28"/>
      <c r="C838" s="28"/>
      <c r="D838" s="28"/>
      <c r="E838" s="28"/>
      <c r="F838" s="28"/>
      <c r="G838" s="28"/>
      <c r="H838" s="28"/>
      <c r="I838" s="22"/>
      <c r="J838" s="28"/>
      <c r="K838" s="28"/>
      <c r="L838" s="22"/>
      <c r="M838" s="22"/>
      <c r="N838" s="28"/>
      <c r="O838" s="28"/>
      <c r="P838" s="53"/>
      <c r="Q838" s="53"/>
      <c r="R838" s="28"/>
      <c r="S838" s="53"/>
      <c r="T838" s="28"/>
      <c r="U838" s="28"/>
      <c r="V838" s="28"/>
      <c r="W838" s="28"/>
      <c r="X838" s="53"/>
      <c r="Y838" s="22"/>
      <c r="Z838" s="28"/>
      <c r="AA838" s="28"/>
      <c r="AB838" s="28"/>
      <c r="AC838" s="28"/>
      <c r="AD838" s="28"/>
      <c r="AE838" s="28"/>
      <c r="AF838" s="28"/>
      <c r="AG838" s="28"/>
    </row>
    <row r="839" spans="1:33" ht="15.75" customHeight="1">
      <c r="A839" s="28"/>
      <c r="B839" s="28"/>
      <c r="C839" s="28"/>
      <c r="D839" s="28"/>
      <c r="E839" s="28"/>
      <c r="F839" s="28"/>
      <c r="G839" s="28"/>
      <c r="H839" s="28"/>
      <c r="I839" s="22"/>
      <c r="J839" s="28"/>
      <c r="K839" s="28"/>
      <c r="L839" s="22"/>
      <c r="M839" s="22"/>
      <c r="N839" s="28"/>
      <c r="O839" s="28"/>
      <c r="P839" s="53"/>
      <c r="Q839" s="53"/>
      <c r="R839" s="28"/>
      <c r="S839" s="53"/>
      <c r="T839" s="28"/>
      <c r="U839" s="28"/>
      <c r="V839" s="28"/>
      <c r="W839" s="28"/>
      <c r="X839" s="53"/>
      <c r="Y839" s="22"/>
      <c r="Z839" s="28"/>
      <c r="AA839" s="28"/>
      <c r="AB839" s="28"/>
      <c r="AC839" s="28"/>
      <c r="AD839" s="28"/>
      <c r="AE839" s="28"/>
      <c r="AF839" s="28"/>
      <c r="AG839" s="28"/>
    </row>
    <row r="840" spans="1:33" ht="15.75" customHeight="1">
      <c r="A840" s="28"/>
      <c r="B840" s="28"/>
      <c r="C840" s="28"/>
      <c r="D840" s="28"/>
      <c r="E840" s="28"/>
      <c r="F840" s="28"/>
      <c r="G840" s="28"/>
      <c r="H840" s="28"/>
      <c r="I840" s="22"/>
      <c r="J840" s="28"/>
      <c r="K840" s="28"/>
      <c r="L840" s="22"/>
      <c r="M840" s="22"/>
      <c r="N840" s="28"/>
      <c r="O840" s="28"/>
      <c r="P840" s="53"/>
      <c r="Q840" s="53"/>
      <c r="R840" s="28"/>
      <c r="S840" s="53"/>
      <c r="T840" s="28"/>
      <c r="U840" s="28"/>
      <c r="V840" s="28"/>
      <c r="W840" s="28"/>
      <c r="X840" s="53"/>
      <c r="Y840" s="22"/>
      <c r="Z840" s="28"/>
      <c r="AA840" s="28"/>
      <c r="AB840" s="28"/>
      <c r="AC840" s="28"/>
      <c r="AD840" s="28"/>
      <c r="AE840" s="28"/>
      <c r="AF840" s="28"/>
      <c r="AG840" s="28"/>
    </row>
    <row r="841" spans="1:33" ht="15.75" customHeight="1">
      <c r="A841" s="28"/>
      <c r="B841" s="28"/>
      <c r="C841" s="28"/>
      <c r="D841" s="28"/>
      <c r="E841" s="28"/>
      <c r="F841" s="28"/>
      <c r="G841" s="28"/>
      <c r="H841" s="28"/>
      <c r="I841" s="22"/>
      <c r="J841" s="28"/>
      <c r="K841" s="28"/>
      <c r="L841" s="22"/>
      <c r="M841" s="22"/>
      <c r="N841" s="28"/>
      <c r="O841" s="28"/>
      <c r="P841" s="53"/>
      <c r="Q841" s="53"/>
      <c r="R841" s="28"/>
      <c r="S841" s="53"/>
      <c r="T841" s="28"/>
      <c r="U841" s="28"/>
      <c r="V841" s="28"/>
      <c r="W841" s="28"/>
      <c r="X841" s="53"/>
      <c r="Y841" s="22"/>
      <c r="Z841" s="28"/>
      <c r="AA841" s="28"/>
      <c r="AB841" s="28"/>
      <c r="AC841" s="28"/>
      <c r="AD841" s="28"/>
      <c r="AE841" s="28"/>
      <c r="AF841" s="28"/>
      <c r="AG841" s="28"/>
    </row>
    <row r="842" spans="1:33" ht="15.75" customHeight="1">
      <c r="A842" s="28"/>
      <c r="B842" s="28"/>
      <c r="C842" s="28"/>
      <c r="D842" s="28"/>
      <c r="E842" s="28"/>
      <c r="F842" s="28"/>
      <c r="G842" s="28"/>
      <c r="H842" s="28"/>
      <c r="I842" s="22"/>
      <c r="J842" s="28"/>
      <c r="K842" s="28"/>
      <c r="L842" s="22"/>
      <c r="M842" s="22"/>
      <c r="N842" s="28"/>
      <c r="O842" s="28"/>
      <c r="P842" s="53"/>
      <c r="Q842" s="53"/>
      <c r="R842" s="28"/>
      <c r="S842" s="53"/>
      <c r="T842" s="28"/>
      <c r="U842" s="28"/>
      <c r="V842" s="28"/>
      <c r="W842" s="28"/>
      <c r="X842" s="53"/>
      <c r="Y842" s="22"/>
      <c r="Z842" s="28"/>
      <c r="AA842" s="28"/>
      <c r="AB842" s="28"/>
      <c r="AC842" s="28"/>
      <c r="AD842" s="28"/>
      <c r="AE842" s="28"/>
      <c r="AF842" s="28"/>
      <c r="AG842" s="28"/>
    </row>
    <row r="843" spans="1:33" ht="15.75" customHeight="1">
      <c r="A843" s="28"/>
      <c r="B843" s="28"/>
      <c r="C843" s="28"/>
      <c r="D843" s="28"/>
      <c r="E843" s="28"/>
      <c r="F843" s="28"/>
      <c r="G843" s="28"/>
      <c r="H843" s="28"/>
      <c r="I843" s="22"/>
      <c r="J843" s="28"/>
      <c r="K843" s="28"/>
      <c r="L843" s="22"/>
      <c r="M843" s="22"/>
      <c r="N843" s="28"/>
      <c r="O843" s="28"/>
      <c r="P843" s="53"/>
      <c r="Q843" s="53"/>
      <c r="R843" s="28"/>
      <c r="S843" s="53"/>
      <c r="T843" s="28"/>
      <c r="U843" s="28"/>
      <c r="V843" s="28"/>
      <c r="W843" s="28"/>
      <c r="X843" s="53"/>
      <c r="Y843" s="22"/>
      <c r="Z843" s="28"/>
      <c r="AA843" s="28"/>
      <c r="AB843" s="28"/>
      <c r="AC843" s="28"/>
      <c r="AD843" s="28"/>
      <c r="AE843" s="28"/>
      <c r="AF843" s="28"/>
      <c r="AG843" s="28"/>
    </row>
    <row r="844" spans="1:33" ht="15.75" customHeight="1">
      <c r="A844" s="28"/>
      <c r="B844" s="28"/>
      <c r="C844" s="28"/>
      <c r="D844" s="28"/>
      <c r="E844" s="28"/>
      <c r="F844" s="28"/>
      <c r="G844" s="28"/>
      <c r="H844" s="28"/>
      <c r="I844" s="22"/>
      <c r="J844" s="28"/>
      <c r="K844" s="28"/>
      <c r="L844" s="22"/>
      <c r="M844" s="22"/>
      <c r="N844" s="28"/>
      <c r="O844" s="28"/>
      <c r="P844" s="53"/>
      <c r="Q844" s="53"/>
      <c r="R844" s="28"/>
      <c r="S844" s="53"/>
      <c r="T844" s="28"/>
      <c r="U844" s="28"/>
      <c r="V844" s="28"/>
      <c r="W844" s="28"/>
      <c r="X844" s="53"/>
      <c r="Y844" s="22"/>
      <c r="Z844" s="28"/>
      <c r="AA844" s="28"/>
      <c r="AB844" s="28"/>
      <c r="AC844" s="28"/>
      <c r="AD844" s="28"/>
      <c r="AE844" s="28"/>
      <c r="AF844" s="28"/>
      <c r="AG844" s="28"/>
    </row>
    <row r="845" spans="1:33" ht="15.75" customHeight="1">
      <c r="A845" s="28"/>
      <c r="B845" s="28"/>
      <c r="C845" s="28"/>
      <c r="D845" s="28"/>
      <c r="E845" s="28"/>
      <c r="F845" s="28"/>
      <c r="G845" s="28"/>
      <c r="H845" s="28"/>
      <c r="I845" s="22"/>
      <c r="J845" s="28"/>
      <c r="K845" s="28"/>
      <c r="L845" s="22"/>
      <c r="M845" s="22"/>
      <c r="N845" s="28"/>
      <c r="O845" s="28"/>
      <c r="P845" s="53"/>
      <c r="Q845" s="53"/>
      <c r="R845" s="28"/>
      <c r="S845" s="53"/>
      <c r="T845" s="28"/>
      <c r="U845" s="28"/>
      <c r="V845" s="28"/>
      <c r="W845" s="28"/>
      <c r="X845" s="53"/>
      <c r="Y845" s="22"/>
      <c r="Z845" s="28"/>
      <c r="AA845" s="28"/>
      <c r="AB845" s="28"/>
      <c r="AC845" s="28"/>
      <c r="AD845" s="28"/>
      <c r="AE845" s="28"/>
      <c r="AF845" s="28"/>
      <c r="AG845" s="28"/>
    </row>
    <row r="846" spans="1:33" ht="15.75" customHeight="1">
      <c r="A846" s="28"/>
      <c r="B846" s="28"/>
      <c r="C846" s="28"/>
      <c r="D846" s="28"/>
      <c r="E846" s="28"/>
      <c r="F846" s="28"/>
      <c r="G846" s="28"/>
      <c r="H846" s="28"/>
      <c r="I846" s="22"/>
      <c r="J846" s="28"/>
      <c r="K846" s="28"/>
      <c r="L846" s="22"/>
      <c r="M846" s="22"/>
      <c r="N846" s="28"/>
      <c r="O846" s="28"/>
      <c r="P846" s="53"/>
      <c r="Q846" s="53"/>
      <c r="R846" s="28"/>
      <c r="S846" s="53"/>
      <c r="T846" s="28"/>
      <c r="U846" s="28"/>
      <c r="V846" s="28"/>
      <c r="W846" s="28"/>
      <c r="X846" s="53"/>
      <c r="Y846" s="22"/>
      <c r="Z846" s="28"/>
      <c r="AA846" s="28"/>
      <c r="AB846" s="28"/>
      <c r="AC846" s="28"/>
      <c r="AD846" s="28"/>
      <c r="AE846" s="28"/>
      <c r="AF846" s="28"/>
      <c r="AG846" s="28"/>
    </row>
    <row r="847" spans="1:33" ht="15.75" customHeight="1">
      <c r="A847" s="28"/>
      <c r="B847" s="28"/>
      <c r="C847" s="28"/>
      <c r="D847" s="28"/>
      <c r="E847" s="28"/>
      <c r="F847" s="28"/>
      <c r="G847" s="28"/>
      <c r="H847" s="28"/>
      <c r="I847" s="22"/>
      <c r="J847" s="28"/>
      <c r="K847" s="28"/>
      <c r="L847" s="22"/>
      <c r="M847" s="22"/>
      <c r="N847" s="28"/>
      <c r="O847" s="28"/>
      <c r="P847" s="53"/>
      <c r="Q847" s="53"/>
      <c r="R847" s="28"/>
      <c r="S847" s="53"/>
      <c r="T847" s="28"/>
      <c r="U847" s="28"/>
      <c r="V847" s="28"/>
      <c r="W847" s="28"/>
      <c r="X847" s="53"/>
      <c r="Y847" s="22"/>
      <c r="Z847" s="28"/>
      <c r="AA847" s="28"/>
      <c r="AB847" s="28"/>
      <c r="AC847" s="28"/>
      <c r="AD847" s="28"/>
      <c r="AE847" s="28"/>
      <c r="AF847" s="28"/>
      <c r="AG847" s="28"/>
    </row>
    <row r="848" spans="1:33" ht="15.75" customHeight="1">
      <c r="A848" s="28"/>
      <c r="B848" s="28"/>
      <c r="C848" s="28"/>
      <c r="D848" s="28"/>
      <c r="E848" s="28"/>
      <c r="F848" s="28"/>
      <c r="G848" s="28"/>
      <c r="H848" s="28"/>
      <c r="I848" s="22"/>
      <c r="J848" s="28"/>
      <c r="K848" s="28"/>
      <c r="L848" s="22"/>
      <c r="M848" s="22"/>
      <c r="N848" s="28"/>
      <c r="O848" s="28"/>
      <c r="P848" s="53"/>
      <c r="Q848" s="53"/>
      <c r="R848" s="28"/>
      <c r="S848" s="53"/>
      <c r="T848" s="28"/>
      <c r="U848" s="28"/>
      <c r="V848" s="28"/>
      <c r="W848" s="28"/>
      <c r="X848" s="53"/>
      <c r="Y848" s="22"/>
      <c r="Z848" s="28"/>
      <c r="AA848" s="28"/>
      <c r="AB848" s="28"/>
      <c r="AC848" s="28"/>
      <c r="AD848" s="28"/>
      <c r="AE848" s="28"/>
      <c r="AF848" s="28"/>
      <c r="AG848" s="28"/>
    </row>
    <row r="849" spans="1:33" ht="15.75" customHeight="1">
      <c r="A849" s="28"/>
      <c r="B849" s="28"/>
      <c r="C849" s="28"/>
      <c r="D849" s="28"/>
      <c r="E849" s="28"/>
      <c r="F849" s="28"/>
      <c r="G849" s="28"/>
      <c r="H849" s="28"/>
      <c r="I849" s="22"/>
      <c r="J849" s="28"/>
      <c r="K849" s="28"/>
      <c r="L849" s="22"/>
      <c r="M849" s="22"/>
      <c r="N849" s="28"/>
      <c r="O849" s="28"/>
      <c r="P849" s="53"/>
      <c r="Q849" s="53"/>
      <c r="R849" s="28"/>
      <c r="S849" s="53"/>
      <c r="T849" s="28"/>
      <c r="U849" s="28"/>
      <c r="V849" s="28"/>
      <c r="W849" s="28"/>
      <c r="X849" s="53"/>
      <c r="Y849" s="22"/>
      <c r="Z849" s="28"/>
      <c r="AA849" s="28"/>
      <c r="AB849" s="28"/>
      <c r="AC849" s="28"/>
      <c r="AD849" s="28"/>
      <c r="AE849" s="28"/>
      <c r="AF849" s="28"/>
      <c r="AG849" s="28"/>
    </row>
    <row r="850" spans="1:33" ht="15.75" customHeight="1">
      <c r="A850" s="28"/>
      <c r="B850" s="28"/>
      <c r="C850" s="28"/>
      <c r="D850" s="28"/>
      <c r="E850" s="28"/>
      <c r="F850" s="28"/>
      <c r="G850" s="28"/>
      <c r="H850" s="28"/>
      <c r="I850" s="22"/>
      <c r="J850" s="28"/>
      <c r="K850" s="28"/>
      <c r="L850" s="22"/>
      <c r="M850" s="22"/>
      <c r="N850" s="28"/>
      <c r="O850" s="28"/>
      <c r="P850" s="53"/>
      <c r="Q850" s="53"/>
      <c r="R850" s="28"/>
      <c r="S850" s="53"/>
      <c r="T850" s="28"/>
      <c r="U850" s="28"/>
      <c r="V850" s="28"/>
      <c r="W850" s="28"/>
      <c r="X850" s="53"/>
      <c r="Y850" s="22"/>
      <c r="Z850" s="28"/>
      <c r="AA850" s="28"/>
      <c r="AB850" s="28"/>
      <c r="AC850" s="28"/>
      <c r="AD850" s="28"/>
      <c r="AE850" s="28"/>
      <c r="AF850" s="28"/>
      <c r="AG850" s="28"/>
    </row>
    <row r="851" spans="1:33" ht="15.75" customHeight="1">
      <c r="A851" s="28"/>
      <c r="B851" s="28"/>
      <c r="C851" s="28"/>
      <c r="D851" s="28"/>
      <c r="E851" s="28"/>
      <c r="F851" s="28"/>
      <c r="G851" s="28"/>
      <c r="H851" s="28"/>
      <c r="I851" s="22"/>
      <c r="J851" s="28"/>
      <c r="K851" s="28"/>
      <c r="L851" s="22"/>
      <c r="M851" s="22"/>
      <c r="N851" s="28"/>
      <c r="O851" s="28"/>
      <c r="P851" s="53"/>
      <c r="Q851" s="53"/>
      <c r="R851" s="28"/>
      <c r="S851" s="53"/>
      <c r="T851" s="28"/>
      <c r="U851" s="28"/>
      <c r="V851" s="28"/>
      <c r="W851" s="28"/>
      <c r="X851" s="53"/>
      <c r="Y851" s="22"/>
      <c r="Z851" s="28"/>
      <c r="AA851" s="28"/>
      <c r="AB851" s="28"/>
      <c r="AC851" s="28"/>
      <c r="AD851" s="28"/>
      <c r="AE851" s="28"/>
      <c r="AF851" s="28"/>
      <c r="AG851" s="28"/>
    </row>
    <row r="852" spans="1:33" ht="15.75" customHeight="1">
      <c r="A852" s="28"/>
      <c r="B852" s="28"/>
      <c r="C852" s="28"/>
      <c r="D852" s="28"/>
      <c r="E852" s="28"/>
      <c r="F852" s="28"/>
      <c r="G852" s="28"/>
      <c r="H852" s="28"/>
      <c r="I852" s="22"/>
      <c r="J852" s="28"/>
      <c r="K852" s="28"/>
      <c r="L852" s="22"/>
      <c r="M852" s="22"/>
      <c r="N852" s="28"/>
      <c r="O852" s="28"/>
      <c r="P852" s="53"/>
      <c r="Q852" s="53"/>
      <c r="R852" s="28"/>
      <c r="S852" s="53"/>
      <c r="T852" s="28"/>
      <c r="U852" s="28"/>
      <c r="V852" s="28"/>
      <c r="W852" s="28"/>
      <c r="X852" s="53"/>
      <c r="Y852" s="22"/>
      <c r="Z852" s="28"/>
      <c r="AA852" s="28"/>
      <c r="AB852" s="28"/>
      <c r="AC852" s="28"/>
      <c r="AD852" s="28"/>
      <c r="AE852" s="28"/>
      <c r="AF852" s="28"/>
      <c r="AG852" s="28"/>
    </row>
    <row r="853" spans="1:33" ht="15.75" customHeight="1">
      <c r="A853" s="28"/>
      <c r="B853" s="28"/>
      <c r="C853" s="28"/>
      <c r="D853" s="28"/>
      <c r="E853" s="28"/>
      <c r="F853" s="28"/>
      <c r="G853" s="28"/>
      <c r="H853" s="28"/>
      <c r="I853" s="22"/>
      <c r="J853" s="28"/>
      <c r="K853" s="28"/>
      <c r="L853" s="22"/>
      <c r="M853" s="22"/>
      <c r="N853" s="28"/>
      <c r="O853" s="28"/>
      <c r="P853" s="53"/>
      <c r="Q853" s="53"/>
      <c r="R853" s="28"/>
      <c r="S853" s="53"/>
      <c r="T853" s="28"/>
      <c r="U853" s="28"/>
      <c r="V853" s="28"/>
      <c r="W853" s="28"/>
      <c r="X853" s="53"/>
      <c r="Y853" s="22"/>
      <c r="Z853" s="28"/>
      <c r="AA853" s="28"/>
      <c r="AB853" s="28"/>
      <c r="AC853" s="28"/>
      <c r="AD853" s="28"/>
      <c r="AE853" s="28"/>
      <c r="AF853" s="28"/>
      <c r="AG853" s="28"/>
    </row>
    <row r="854" spans="1:33" ht="15.75" customHeight="1">
      <c r="A854" s="28"/>
      <c r="B854" s="28"/>
      <c r="C854" s="28"/>
      <c r="D854" s="28"/>
      <c r="E854" s="28"/>
      <c r="F854" s="28"/>
      <c r="G854" s="28"/>
      <c r="H854" s="28"/>
      <c r="I854" s="22"/>
      <c r="J854" s="28"/>
      <c r="K854" s="28"/>
      <c r="L854" s="22"/>
      <c r="M854" s="22"/>
      <c r="N854" s="28"/>
      <c r="O854" s="28"/>
      <c r="P854" s="53"/>
      <c r="Q854" s="53"/>
      <c r="R854" s="28"/>
      <c r="S854" s="53"/>
      <c r="T854" s="28"/>
      <c r="U854" s="28"/>
      <c r="V854" s="28"/>
      <c r="W854" s="28"/>
      <c r="X854" s="53"/>
      <c r="Y854" s="22"/>
      <c r="Z854" s="28"/>
      <c r="AA854" s="28"/>
      <c r="AB854" s="28"/>
      <c r="AC854" s="28"/>
      <c r="AD854" s="28"/>
      <c r="AE854" s="28"/>
      <c r="AF854" s="28"/>
      <c r="AG854" s="28"/>
    </row>
    <row r="855" spans="1:33" ht="15.75" customHeight="1">
      <c r="A855" s="28"/>
      <c r="B855" s="28"/>
      <c r="C855" s="28"/>
      <c r="D855" s="28"/>
      <c r="E855" s="28"/>
      <c r="F855" s="28"/>
      <c r="G855" s="28"/>
      <c r="H855" s="28"/>
      <c r="I855" s="22"/>
      <c r="J855" s="28"/>
      <c r="K855" s="28"/>
      <c r="L855" s="22"/>
      <c r="M855" s="22"/>
      <c r="N855" s="28"/>
      <c r="O855" s="28"/>
      <c r="P855" s="53"/>
      <c r="Q855" s="53"/>
      <c r="R855" s="28"/>
      <c r="S855" s="53"/>
      <c r="T855" s="28"/>
      <c r="U855" s="28"/>
      <c r="V855" s="28"/>
      <c r="W855" s="28"/>
      <c r="X855" s="53"/>
      <c r="Y855" s="22"/>
      <c r="Z855" s="28"/>
      <c r="AA855" s="28"/>
      <c r="AB855" s="28"/>
      <c r="AC855" s="28"/>
      <c r="AD855" s="28"/>
      <c r="AE855" s="28"/>
      <c r="AF855" s="28"/>
      <c r="AG855" s="28"/>
    </row>
    <row r="856" spans="1:33" ht="15.75" customHeight="1">
      <c r="A856" s="28"/>
      <c r="B856" s="28"/>
      <c r="C856" s="28"/>
      <c r="D856" s="28"/>
      <c r="E856" s="28"/>
      <c r="F856" s="28"/>
      <c r="G856" s="28"/>
      <c r="H856" s="28"/>
      <c r="I856" s="22"/>
      <c r="J856" s="28"/>
      <c r="K856" s="28"/>
      <c r="L856" s="22"/>
      <c r="M856" s="22"/>
      <c r="N856" s="28"/>
      <c r="O856" s="28"/>
      <c r="P856" s="53"/>
      <c r="Q856" s="53"/>
      <c r="R856" s="28"/>
      <c r="S856" s="53"/>
      <c r="T856" s="28"/>
      <c r="U856" s="28"/>
      <c r="V856" s="28"/>
      <c r="W856" s="28"/>
      <c r="X856" s="53"/>
      <c r="Y856" s="22"/>
      <c r="Z856" s="28"/>
      <c r="AA856" s="28"/>
      <c r="AB856" s="28"/>
      <c r="AC856" s="28"/>
      <c r="AD856" s="28"/>
      <c r="AE856" s="28"/>
      <c r="AF856" s="28"/>
      <c r="AG856" s="28"/>
    </row>
    <row r="857" spans="1:33" ht="15.75" customHeight="1">
      <c r="A857" s="28"/>
      <c r="B857" s="28"/>
      <c r="C857" s="28"/>
      <c r="D857" s="28"/>
      <c r="E857" s="28"/>
      <c r="F857" s="28"/>
      <c r="G857" s="28"/>
      <c r="H857" s="28"/>
      <c r="I857" s="22"/>
      <c r="J857" s="28"/>
      <c r="K857" s="28"/>
      <c r="L857" s="22"/>
      <c r="M857" s="22"/>
      <c r="N857" s="28"/>
      <c r="O857" s="28"/>
      <c r="P857" s="53"/>
      <c r="Q857" s="53"/>
      <c r="R857" s="28"/>
      <c r="S857" s="53"/>
      <c r="T857" s="28"/>
      <c r="U857" s="28"/>
      <c r="V857" s="28"/>
      <c r="W857" s="28"/>
      <c r="X857" s="53"/>
      <c r="Y857" s="22"/>
      <c r="Z857" s="28"/>
      <c r="AA857" s="28"/>
      <c r="AB857" s="28"/>
      <c r="AC857" s="28"/>
      <c r="AD857" s="28"/>
      <c r="AE857" s="28"/>
      <c r="AF857" s="28"/>
      <c r="AG857" s="28"/>
    </row>
    <row r="858" spans="1:33" ht="15.75" customHeight="1">
      <c r="A858" s="28"/>
      <c r="B858" s="28"/>
      <c r="C858" s="28"/>
      <c r="D858" s="28"/>
      <c r="E858" s="28"/>
      <c r="F858" s="28"/>
      <c r="G858" s="28"/>
      <c r="H858" s="28"/>
      <c r="I858" s="22"/>
      <c r="J858" s="28"/>
      <c r="K858" s="28"/>
      <c r="L858" s="22"/>
      <c r="M858" s="22"/>
      <c r="N858" s="28"/>
      <c r="O858" s="28"/>
      <c r="P858" s="53"/>
      <c r="Q858" s="53"/>
      <c r="R858" s="28"/>
      <c r="S858" s="53"/>
      <c r="T858" s="28"/>
      <c r="U858" s="28"/>
      <c r="V858" s="28"/>
      <c r="W858" s="28"/>
      <c r="X858" s="53"/>
      <c r="Y858" s="22"/>
      <c r="Z858" s="28"/>
      <c r="AA858" s="28"/>
      <c r="AB858" s="28"/>
      <c r="AC858" s="28"/>
      <c r="AD858" s="28"/>
      <c r="AE858" s="28"/>
      <c r="AF858" s="28"/>
      <c r="AG858" s="28"/>
    </row>
    <row r="859" spans="1:33" ht="15.75" customHeight="1">
      <c r="A859" s="28"/>
      <c r="B859" s="28"/>
      <c r="C859" s="28"/>
      <c r="D859" s="28"/>
      <c r="E859" s="28"/>
      <c r="F859" s="28"/>
      <c r="G859" s="28"/>
      <c r="H859" s="28"/>
      <c r="I859" s="22"/>
      <c r="J859" s="28"/>
      <c r="K859" s="28"/>
      <c r="L859" s="22"/>
      <c r="M859" s="22"/>
      <c r="N859" s="28"/>
      <c r="O859" s="28"/>
      <c r="P859" s="53"/>
      <c r="Q859" s="53"/>
      <c r="R859" s="28"/>
      <c r="S859" s="53"/>
      <c r="T859" s="28"/>
      <c r="U859" s="28"/>
      <c r="V859" s="28"/>
      <c r="W859" s="28"/>
      <c r="X859" s="53"/>
      <c r="Y859" s="22"/>
      <c r="Z859" s="28"/>
      <c r="AA859" s="28"/>
      <c r="AB859" s="28"/>
      <c r="AC859" s="28"/>
      <c r="AD859" s="28"/>
      <c r="AE859" s="28"/>
      <c r="AF859" s="28"/>
      <c r="AG859" s="28"/>
    </row>
    <row r="860" spans="1:33" ht="15.75" customHeight="1">
      <c r="A860" s="28"/>
      <c r="B860" s="28"/>
      <c r="C860" s="28"/>
      <c r="D860" s="28"/>
      <c r="E860" s="28"/>
      <c r="F860" s="28"/>
      <c r="G860" s="28"/>
      <c r="H860" s="28"/>
      <c r="I860" s="22"/>
      <c r="J860" s="28"/>
      <c r="K860" s="28"/>
      <c r="L860" s="22"/>
      <c r="M860" s="22"/>
      <c r="N860" s="28"/>
      <c r="O860" s="28"/>
      <c r="P860" s="53"/>
      <c r="Q860" s="53"/>
      <c r="R860" s="28"/>
      <c r="S860" s="53"/>
      <c r="T860" s="28"/>
      <c r="U860" s="28"/>
      <c r="V860" s="28"/>
      <c r="W860" s="28"/>
      <c r="X860" s="53"/>
      <c r="Y860" s="22"/>
      <c r="Z860" s="28"/>
      <c r="AA860" s="28"/>
      <c r="AB860" s="28"/>
      <c r="AC860" s="28"/>
      <c r="AD860" s="28"/>
      <c r="AE860" s="28"/>
      <c r="AF860" s="28"/>
      <c r="AG860" s="28"/>
    </row>
    <row r="861" spans="1:33" ht="15.75" customHeight="1">
      <c r="A861" s="28"/>
      <c r="B861" s="28"/>
      <c r="C861" s="28"/>
      <c r="D861" s="28"/>
      <c r="E861" s="28"/>
      <c r="F861" s="28"/>
      <c r="G861" s="28"/>
      <c r="H861" s="28"/>
      <c r="I861" s="22"/>
      <c r="J861" s="28"/>
      <c r="K861" s="28"/>
      <c r="L861" s="22"/>
      <c r="M861" s="22"/>
      <c r="N861" s="28"/>
      <c r="O861" s="28"/>
      <c r="P861" s="53"/>
      <c r="Q861" s="53"/>
      <c r="R861" s="28"/>
      <c r="S861" s="53"/>
      <c r="T861" s="28"/>
      <c r="U861" s="28"/>
      <c r="V861" s="28"/>
      <c r="W861" s="28"/>
      <c r="X861" s="53"/>
      <c r="Y861" s="22"/>
      <c r="Z861" s="28"/>
      <c r="AA861" s="28"/>
      <c r="AB861" s="28"/>
      <c r="AC861" s="28"/>
      <c r="AD861" s="28"/>
      <c r="AE861" s="28"/>
      <c r="AF861" s="28"/>
      <c r="AG861" s="28"/>
    </row>
    <row r="862" spans="1:33" ht="15.75" customHeight="1">
      <c r="A862" s="28"/>
      <c r="B862" s="28"/>
      <c r="C862" s="28"/>
      <c r="D862" s="28"/>
      <c r="E862" s="28"/>
      <c r="F862" s="28"/>
      <c r="G862" s="28"/>
      <c r="H862" s="28"/>
      <c r="I862" s="22"/>
      <c r="J862" s="28"/>
      <c r="K862" s="28"/>
      <c r="L862" s="22"/>
      <c r="M862" s="22"/>
      <c r="N862" s="28"/>
      <c r="O862" s="28"/>
      <c r="P862" s="53"/>
      <c r="Q862" s="53"/>
      <c r="R862" s="28"/>
      <c r="S862" s="53"/>
      <c r="T862" s="28"/>
      <c r="U862" s="28"/>
      <c r="V862" s="28"/>
      <c r="W862" s="28"/>
      <c r="X862" s="53"/>
      <c r="Y862" s="22"/>
      <c r="Z862" s="28"/>
      <c r="AA862" s="28"/>
      <c r="AB862" s="28"/>
      <c r="AC862" s="28"/>
      <c r="AD862" s="28"/>
      <c r="AE862" s="28"/>
      <c r="AF862" s="28"/>
      <c r="AG862" s="28"/>
    </row>
    <row r="863" spans="1:33" ht="15.75" customHeight="1">
      <c r="A863" s="28"/>
      <c r="B863" s="28"/>
      <c r="C863" s="28"/>
      <c r="D863" s="28"/>
      <c r="E863" s="28"/>
      <c r="F863" s="28"/>
      <c r="G863" s="28"/>
      <c r="H863" s="28"/>
      <c r="I863" s="22"/>
      <c r="J863" s="28"/>
      <c r="K863" s="28"/>
      <c r="L863" s="22"/>
      <c r="M863" s="22"/>
      <c r="N863" s="28"/>
      <c r="O863" s="28"/>
      <c r="P863" s="53"/>
      <c r="Q863" s="53"/>
      <c r="R863" s="28"/>
      <c r="S863" s="53"/>
      <c r="T863" s="28"/>
      <c r="U863" s="28"/>
      <c r="V863" s="28"/>
      <c r="W863" s="28"/>
      <c r="X863" s="53"/>
      <c r="Y863" s="22"/>
      <c r="Z863" s="28"/>
      <c r="AA863" s="28"/>
      <c r="AB863" s="28"/>
      <c r="AC863" s="28"/>
      <c r="AD863" s="28"/>
      <c r="AE863" s="28"/>
      <c r="AF863" s="28"/>
      <c r="AG863" s="28"/>
    </row>
    <row r="864" spans="1:33" ht="15.75" customHeight="1">
      <c r="A864" s="28"/>
      <c r="B864" s="28"/>
      <c r="C864" s="28"/>
      <c r="D864" s="28"/>
      <c r="E864" s="28"/>
      <c r="F864" s="28"/>
      <c r="G864" s="28"/>
      <c r="H864" s="28"/>
      <c r="I864" s="22"/>
      <c r="J864" s="28"/>
      <c r="K864" s="28"/>
      <c r="L864" s="22"/>
      <c r="M864" s="22"/>
      <c r="N864" s="28"/>
      <c r="O864" s="28"/>
      <c r="P864" s="53"/>
      <c r="Q864" s="53"/>
      <c r="R864" s="28"/>
      <c r="S864" s="53"/>
      <c r="T864" s="28"/>
      <c r="U864" s="28"/>
      <c r="V864" s="28"/>
      <c r="W864" s="28"/>
      <c r="X864" s="53"/>
      <c r="Y864" s="22"/>
      <c r="Z864" s="28"/>
      <c r="AA864" s="28"/>
      <c r="AB864" s="28"/>
      <c r="AC864" s="28"/>
      <c r="AD864" s="28"/>
      <c r="AE864" s="28"/>
      <c r="AF864" s="28"/>
      <c r="AG864" s="28"/>
    </row>
    <row r="865" spans="1:33" ht="15.75" customHeight="1">
      <c r="A865" s="28"/>
      <c r="B865" s="28"/>
      <c r="C865" s="28"/>
      <c r="D865" s="28"/>
      <c r="E865" s="28"/>
      <c r="F865" s="28"/>
      <c r="G865" s="28"/>
      <c r="H865" s="28"/>
      <c r="I865" s="22"/>
      <c r="J865" s="28"/>
      <c r="K865" s="28"/>
      <c r="L865" s="22"/>
      <c r="M865" s="22"/>
      <c r="N865" s="28"/>
      <c r="O865" s="28"/>
      <c r="P865" s="53"/>
      <c r="Q865" s="53"/>
      <c r="R865" s="28"/>
      <c r="S865" s="53"/>
      <c r="T865" s="28"/>
      <c r="U865" s="28"/>
      <c r="V865" s="28"/>
      <c r="W865" s="28"/>
      <c r="X865" s="53"/>
      <c r="Y865" s="22"/>
      <c r="Z865" s="28"/>
      <c r="AA865" s="28"/>
      <c r="AB865" s="28"/>
      <c r="AC865" s="28"/>
      <c r="AD865" s="28"/>
      <c r="AE865" s="28"/>
      <c r="AF865" s="28"/>
      <c r="AG865" s="28"/>
    </row>
    <row r="866" spans="1:33" ht="15.75" customHeight="1">
      <c r="A866" s="28"/>
      <c r="B866" s="28"/>
      <c r="C866" s="28"/>
      <c r="D866" s="28"/>
      <c r="E866" s="28"/>
      <c r="F866" s="28"/>
      <c r="G866" s="28"/>
      <c r="H866" s="28"/>
      <c r="I866" s="22"/>
      <c r="J866" s="28"/>
      <c r="K866" s="28"/>
      <c r="L866" s="22"/>
      <c r="M866" s="22"/>
      <c r="N866" s="28"/>
      <c r="O866" s="28"/>
      <c r="P866" s="53"/>
      <c r="Q866" s="53"/>
      <c r="R866" s="28"/>
      <c r="S866" s="53"/>
      <c r="T866" s="28"/>
      <c r="U866" s="28"/>
      <c r="V866" s="28"/>
      <c r="W866" s="28"/>
      <c r="X866" s="53"/>
      <c r="Y866" s="22"/>
      <c r="Z866" s="28"/>
      <c r="AA866" s="28"/>
      <c r="AB866" s="28"/>
      <c r="AC866" s="28"/>
      <c r="AD866" s="28"/>
      <c r="AE866" s="28"/>
      <c r="AF866" s="28"/>
      <c r="AG866" s="28"/>
    </row>
    <row r="867" spans="1:33" ht="15.75" customHeight="1">
      <c r="A867" s="28"/>
      <c r="B867" s="28"/>
      <c r="C867" s="28"/>
      <c r="D867" s="28"/>
      <c r="E867" s="28"/>
      <c r="F867" s="28"/>
      <c r="G867" s="28"/>
      <c r="H867" s="28"/>
      <c r="I867" s="22"/>
      <c r="J867" s="28"/>
      <c r="K867" s="28"/>
      <c r="L867" s="22"/>
      <c r="M867" s="22"/>
      <c r="N867" s="28"/>
      <c r="O867" s="28"/>
      <c r="P867" s="53"/>
      <c r="Q867" s="53"/>
      <c r="R867" s="28"/>
      <c r="S867" s="53"/>
      <c r="T867" s="28"/>
      <c r="U867" s="28"/>
      <c r="V867" s="28"/>
      <c r="W867" s="28"/>
      <c r="X867" s="53"/>
      <c r="Y867" s="22"/>
      <c r="Z867" s="28"/>
      <c r="AA867" s="28"/>
      <c r="AB867" s="28"/>
      <c r="AC867" s="28"/>
      <c r="AD867" s="28"/>
      <c r="AE867" s="28"/>
      <c r="AF867" s="28"/>
      <c r="AG867" s="28"/>
    </row>
    <row r="868" spans="1:33" ht="15.75" customHeight="1">
      <c r="A868" s="28"/>
      <c r="B868" s="28"/>
      <c r="C868" s="28"/>
      <c r="D868" s="28"/>
      <c r="E868" s="28"/>
      <c r="F868" s="28"/>
      <c r="G868" s="28"/>
      <c r="H868" s="28"/>
      <c r="I868" s="22"/>
      <c r="J868" s="28"/>
      <c r="K868" s="28"/>
      <c r="L868" s="22"/>
      <c r="M868" s="22"/>
      <c r="N868" s="28"/>
      <c r="O868" s="28"/>
      <c r="P868" s="53"/>
      <c r="Q868" s="53"/>
      <c r="R868" s="28"/>
      <c r="S868" s="53"/>
      <c r="T868" s="28"/>
      <c r="U868" s="28"/>
      <c r="V868" s="28"/>
      <c r="W868" s="28"/>
      <c r="X868" s="53"/>
      <c r="Y868" s="22"/>
      <c r="Z868" s="28"/>
      <c r="AA868" s="28"/>
      <c r="AB868" s="28"/>
      <c r="AC868" s="28"/>
      <c r="AD868" s="28"/>
      <c r="AE868" s="28"/>
      <c r="AF868" s="28"/>
      <c r="AG868" s="28"/>
    </row>
    <row r="869" spans="1:33" ht="15.75" customHeight="1">
      <c r="A869" s="28"/>
      <c r="B869" s="28"/>
      <c r="C869" s="28"/>
      <c r="D869" s="28"/>
      <c r="E869" s="28"/>
      <c r="F869" s="28"/>
      <c r="G869" s="28"/>
      <c r="H869" s="28"/>
      <c r="I869" s="22"/>
      <c r="J869" s="28"/>
      <c r="K869" s="28"/>
      <c r="L869" s="22"/>
      <c r="M869" s="22"/>
      <c r="N869" s="28"/>
      <c r="O869" s="28"/>
      <c r="P869" s="53"/>
      <c r="Q869" s="53"/>
      <c r="R869" s="28"/>
      <c r="S869" s="53"/>
      <c r="T869" s="28"/>
      <c r="U869" s="28"/>
      <c r="V869" s="28"/>
      <c r="W869" s="28"/>
      <c r="X869" s="53"/>
      <c r="Y869" s="22"/>
      <c r="Z869" s="28"/>
      <c r="AA869" s="28"/>
      <c r="AB869" s="28"/>
      <c r="AC869" s="28"/>
      <c r="AD869" s="28"/>
      <c r="AE869" s="28"/>
      <c r="AF869" s="28"/>
      <c r="AG869" s="28"/>
    </row>
    <row r="870" spans="1:33" ht="15.75" customHeight="1">
      <c r="A870" s="28"/>
      <c r="B870" s="28"/>
      <c r="C870" s="28"/>
      <c r="D870" s="28"/>
      <c r="E870" s="28"/>
      <c r="F870" s="28"/>
      <c r="G870" s="28"/>
      <c r="H870" s="28"/>
      <c r="I870" s="22"/>
      <c r="J870" s="28"/>
      <c r="K870" s="28"/>
      <c r="L870" s="22"/>
      <c r="M870" s="22"/>
      <c r="N870" s="28"/>
      <c r="O870" s="28"/>
      <c r="P870" s="53"/>
      <c r="Q870" s="53"/>
      <c r="R870" s="28"/>
      <c r="S870" s="53"/>
      <c r="T870" s="28"/>
      <c r="U870" s="28"/>
      <c r="V870" s="28"/>
      <c r="W870" s="28"/>
      <c r="X870" s="53"/>
      <c r="Y870" s="22"/>
      <c r="Z870" s="28"/>
      <c r="AA870" s="28"/>
      <c r="AB870" s="28"/>
      <c r="AC870" s="28"/>
      <c r="AD870" s="28"/>
      <c r="AE870" s="28"/>
      <c r="AF870" s="28"/>
      <c r="AG870" s="28"/>
    </row>
    <row r="871" spans="1:33" ht="15.75" customHeight="1">
      <c r="A871" s="28"/>
      <c r="B871" s="28"/>
      <c r="C871" s="28"/>
      <c r="D871" s="28"/>
      <c r="E871" s="28"/>
      <c r="F871" s="28"/>
      <c r="G871" s="28"/>
      <c r="H871" s="28"/>
      <c r="I871" s="22"/>
      <c r="J871" s="28"/>
      <c r="K871" s="28"/>
      <c r="L871" s="22"/>
      <c r="M871" s="22"/>
      <c r="N871" s="28"/>
      <c r="O871" s="28"/>
      <c r="P871" s="53"/>
      <c r="Q871" s="53"/>
      <c r="R871" s="28"/>
      <c r="S871" s="53"/>
      <c r="T871" s="28"/>
      <c r="U871" s="28"/>
      <c r="V871" s="28"/>
      <c r="W871" s="28"/>
      <c r="X871" s="53"/>
      <c r="Y871" s="22"/>
      <c r="Z871" s="28"/>
      <c r="AA871" s="28"/>
      <c r="AB871" s="28"/>
      <c r="AC871" s="28"/>
      <c r="AD871" s="28"/>
      <c r="AE871" s="28"/>
      <c r="AF871" s="28"/>
      <c r="AG871" s="28"/>
    </row>
    <row r="872" spans="1:33" ht="15.75" customHeight="1">
      <c r="A872" s="28"/>
      <c r="B872" s="28"/>
      <c r="C872" s="28"/>
      <c r="D872" s="28"/>
      <c r="E872" s="28"/>
      <c r="F872" s="28"/>
      <c r="G872" s="28"/>
      <c r="H872" s="28"/>
      <c r="I872" s="22"/>
      <c r="J872" s="28"/>
      <c r="K872" s="28"/>
      <c r="L872" s="22"/>
      <c r="M872" s="22"/>
      <c r="N872" s="28"/>
      <c r="O872" s="28"/>
      <c r="P872" s="53"/>
      <c r="Q872" s="53"/>
      <c r="R872" s="28"/>
      <c r="S872" s="53"/>
      <c r="T872" s="28"/>
      <c r="U872" s="28"/>
      <c r="V872" s="28"/>
      <c r="W872" s="28"/>
      <c r="X872" s="53"/>
      <c r="Y872" s="22"/>
      <c r="Z872" s="28"/>
      <c r="AA872" s="28"/>
      <c r="AB872" s="28"/>
      <c r="AC872" s="28"/>
      <c r="AD872" s="28"/>
      <c r="AE872" s="28"/>
      <c r="AF872" s="28"/>
      <c r="AG872" s="28"/>
    </row>
    <row r="873" spans="1:33" ht="15.75" customHeight="1">
      <c r="A873" s="28"/>
      <c r="B873" s="28"/>
      <c r="C873" s="28"/>
      <c r="D873" s="28"/>
      <c r="E873" s="28"/>
      <c r="F873" s="28"/>
      <c r="G873" s="28"/>
      <c r="H873" s="28"/>
      <c r="I873" s="22"/>
      <c r="J873" s="28"/>
      <c r="K873" s="28"/>
      <c r="L873" s="22"/>
      <c r="M873" s="22"/>
      <c r="N873" s="28"/>
      <c r="O873" s="28"/>
      <c r="P873" s="53"/>
      <c r="Q873" s="53"/>
      <c r="R873" s="28"/>
      <c r="S873" s="53"/>
      <c r="T873" s="28"/>
      <c r="U873" s="28"/>
      <c r="V873" s="28"/>
      <c r="W873" s="28"/>
      <c r="X873" s="53"/>
      <c r="Y873" s="22"/>
      <c r="Z873" s="28"/>
      <c r="AA873" s="28"/>
      <c r="AB873" s="28"/>
      <c r="AC873" s="28"/>
      <c r="AD873" s="28"/>
      <c r="AE873" s="28"/>
      <c r="AF873" s="28"/>
      <c r="AG873" s="28"/>
    </row>
    <row r="874" spans="1:33" ht="15.75" customHeight="1">
      <c r="A874" s="28"/>
      <c r="B874" s="28"/>
      <c r="C874" s="28"/>
      <c r="D874" s="28"/>
      <c r="E874" s="28"/>
      <c r="F874" s="28"/>
      <c r="G874" s="28"/>
      <c r="H874" s="28"/>
      <c r="I874" s="22"/>
      <c r="J874" s="28"/>
      <c r="K874" s="28"/>
      <c r="L874" s="22"/>
      <c r="M874" s="22"/>
      <c r="N874" s="28"/>
      <c r="O874" s="28"/>
      <c r="P874" s="53"/>
      <c r="Q874" s="53"/>
      <c r="R874" s="28"/>
      <c r="S874" s="53"/>
      <c r="T874" s="28"/>
      <c r="U874" s="28"/>
      <c r="V874" s="28"/>
      <c r="W874" s="28"/>
      <c r="X874" s="53"/>
      <c r="Y874" s="22"/>
      <c r="Z874" s="28"/>
      <c r="AA874" s="28"/>
      <c r="AB874" s="28"/>
      <c r="AC874" s="28"/>
      <c r="AD874" s="28"/>
      <c r="AE874" s="28"/>
      <c r="AF874" s="28"/>
      <c r="AG874" s="28"/>
    </row>
    <row r="875" spans="1:33" ht="15.75" customHeight="1">
      <c r="A875" s="28"/>
      <c r="B875" s="28"/>
      <c r="C875" s="28"/>
      <c r="D875" s="28"/>
      <c r="E875" s="28"/>
      <c r="F875" s="28"/>
      <c r="G875" s="28"/>
      <c r="H875" s="28"/>
      <c r="I875" s="22"/>
      <c r="J875" s="28"/>
      <c r="K875" s="28"/>
      <c r="L875" s="22"/>
      <c r="M875" s="22"/>
      <c r="N875" s="28"/>
      <c r="O875" s="28"/>
      <c r="P875" s="53"/>
      <c r="Q875" s="53"/>
      <c r="R875" s="28"/>
      <c r="S875" s="53"/>
      <c r="T875" s="28"/>
      <c r="U875" s="28"/>
      <c r="V875" s="28"/>
      <c r="W875" s="28"/>
      <c r="X875" s="53"/>
      <c r="Y875" s="22"/>
      <c r="Z875" s="28"/>
      <c r="AA875" s="28"/>
      <c r="AB875" s="28"/>
      <c r="AC875" s="28"/>
      <c r="AD875" s="28"/>
      <c r="AE875" s="28"/>
      <c r="AF875" s="28"/>
      <c r="AG875" s="28"/>
    </row>
    <row r="876" spans="1:33" ht="15.75" customHeight="1">
      <c r="A876" s="28"/>
      <c r="B876" s="28"/>
      <c r="C876" s="28"/>
      <c r="D876" s="28"/>
      <c r="E876" s="28"/>
      <c r="F876" s="28"/>
      <c r="G876" s="28"/>
      <c r="H876" s="28"/>
      <c r="I876" s="22"/>
      <c r="J876" s="28"/>
      <c r="K876" s="28"/>
      <c r="L876" s="22"/>
      <c r="M876" s="22"/>
      <c r="N876" s="28"/>
      <c r="O876" s="28"/>
      <c r="P876" s="53"/>
      <c r="Q876" s="53"/>
      <c r="R876" s="28"/>
      <c r="S876" s="53"/>
      <c r="T876" s="28"/>
      <c r="U876" s="28"/>
      <c r="V876" s="28"/>
      <c r="W876" s="28"/>
      <c r="X876" s="53"/>
      <c r="Y876" s="22"/>
      <c r="Z876" s="28"/>
      <c r="AA876" s="28"/>
      <c r="AB876" s="28"/>
      <c r="AC876" s="28"/>
      <c r="AD876" s="28"/>
      <c r="AE876" s="28"/>
      <c r="AF876" s="28"/>
      <c r="AG876" s="28"/>
    </row>
    <row r="877" spans="1:33" ht="15.75" customHeight="1">
      <c r="A877" s="28"/>
      <c r="B877" s="28"/>
      <c r="C877" s="28"/>
      <c r="D877" s="28"/>
      <c r="E877" s="28"/>
      <c r="F877" s="28"/>
      <c r="G877" s="28"/>
      <c r="H877" s="28"/>
      <c r="I877" s="22"/>
      <c r="J877" s="28"/>
      <c r="K877" s="28"/>
      <c r="L877" s="22"/>
      <c r="M877" s="22"/>
      <c r="N877" s="28"/>
      <c r="O877" s="28"/>
      <c r="P877" s="53"/>
      <c r="Q877" s="53"/>
      <c r="R877" s="28"/>
      <c r="S877" s="53"/>
      <c r="T877" s="28"/>
      <c r="U877" s="28"/>
      <c r="V877" s="28"/>
      <c r="W877" s="28"/>
      <c r="X877" s="53"/>
      <c r="Y877" s="22"/>
      <c r="Z877" s="28"/>
      <c r="AA877" s="28"/>
      <c r="AB877" s="28"/>
      <c r="AC877" s="28"/>
      <c r="AD877" s="28"/>
      <c r="AE877" s="28"/>
      <c r="AF877" s="28"/>
      <c r="AG877" s="28"/>
    </row>
    <row r="878" spans="1:33" ht="15.75" customHeight="1">
      <c r="A878" s="28"/>
      <c r="B878" s="28"/>
      <c r="C878" s="28"/>
      <c r="D878" s="28"/>
      <c r="E878" s="28"/>
      <c r="F878" s="28"/>
      <c r="G878" s="28"/>
      <c r="H878" s="28"/>
      <c r="I878" s="22"/>
      <c r="J878" s="28"/>
      <c r="K878" s="28"/>
      <c r="L878" s="22"/>
      <c r="M878" s="22"/>
      <c r="N878" s="28"/>
      <c r="O878" s="28"/>
      <c r="P878" s="53"/>
      <c r="Q878" s="53"/>
      <c r="R878" s="28"/>
      <c r="S878" s="53"/>
      <c r="T878" s="28"/>
      <c r="U878" s="28"/>
      <c r="V878" s="28"/>
      <c r="W878" s="28"/>
      <c r="X878" s="53"/>
      <c r="Y878" s="22"/>
      <c r="Z878" s="28"/>
      <c r="AA878" s="28"/>
      <c r="AB878" s="28"/>
      <c r="AC878" s="28"/>
      <c r="AD878" s="28"/>
      <c r="AE878" s="28"/>
      <c r="AF878" s="28"/>
      <c r="AG878" s="28"/>
    </row>
    <row r="879" spans="1:33" ht="15.75" customHeight="1">
      <c r="A879" s="28"/>
      <c r="B879" s="28"/>
      <c r="C879" s="28"/>
      <c r="D879" s="28"/>
      <c r="E879" s="28"/>
      <c r="F879" s="28"/>
      <c r="G879" s="28"/>
      <c r="H879" s="28"/>
      <c r="I879" s="22"/>
      <c r="J879" s="28"/>
      <c r="K879" s="28"/>
      <c r="L879" s="22"/>
      <c r="M879" s="22"/>
      <c r="N879" s="28"/>
      <c r="O879" s="28"/>
      <c r="P879" s="53"/>
      <c r="Q879" s="53"/>
      <c r="R879" s="28"/>
      <c r="S879" s="53"/>
      <c r="T879" s="28"/>
      <c r="U879" s="28"/>
      <c r="V879" s="28"/>
      <c r="W879" s="28"/>
      <c r="X879" s="53"/>
      <c r="Y879" s="22"/>
      <c r="Z879" s="28"/>
      <c r="AA879" s="28"/>
      <c r="AB879" s="28"/>
      <c r="AC879" s="28"/>
      <c r="AD879" s="28"/>
      <c r="AE879" s="28"/>
      <c r="AF879" s="28"/>
      <c r="AG879" s="28"/>
    </row>
    <row r="880" spans="1:33" ht="15.75" customHeight="1">
      <c r="A880" s="28"/>
      <c r="B880" s="28"/>
      <c r="C880" s="28"/>
      <c r="D880" s="28"/>
      <c r="E880" s="28"/>
      <c r="F880" s="28"/>
      <c r="G880" s="28"/>
      <c r="H880" s="28"/>
      <c r="I880" s="22"/>
      <c r="J880" s="28"/>
      <c r="K880" s="28"/>
      <c r="L880" s="22"/>
      <c r="M880" s="22"/>
      <c r="N880" s="28"/>
      <c r="O880" s="28"/>
      <c r="P880" s="53"/>
      <c r="Q880" s="53"/>
      <c r="R880" s="28"/>
      <c r="S880" s="53"/>
      <c r="T880" s="28"/>
      <c r="U880" s="28"/>
      <c r="V880" s="28"/>
      <c r="W880" s="28"/>
      <c r="X880" s="53"/>
      <c r="Y880" s="22"/>
      <c r="Z880" s="28"/>
      <c r="AA880" s="28"/>
      <c r="AB880" s="28"/>
      <c r="AC880" s="28"/>
      <c r="AD880" s="28"/>
      <c r="AE880" s="28"/>
      <c r="AF880" s="28"/>
      <c r="AG880" s="28"/>
    </row>
    <row r="881" spans="1:33" ht="15.75" customHeight="1">
      <c r="A881" s="28"/>
      <c r="B881" s="28"/>
      <c r="C881" s="28"/>
      <c r="D881" s="28"/>
      <c r="E881" s="28"/>
      <c r="F881" s="28"/>
      <c r="G881" s="28"/>
      <c r="H881" s="28"/>
      <c r="I881" s="22"/>
      <c r="J881" s="28"/>
      <c r="K881" s="28"/>
      <c r="L881" s="22"/>
      <c r="M881" s="22"/>
      <c r="N881" s="28"/>
      <c r="O881" s="28"/>
      <c r="P881" s="53"/>
      <c r="Q881" s="53"/>
      <c r="R881" s="28"/>
      <c r="S881" s="53"/>
      <c r="T881" s="28"/>
      <c r="U881" s="28"/>
      <c r="V881" s="28"/>
      <c r="W881" s="28"/>
      <c r="X881" s="53"/>
      <c r="Y881" s="22"/>
      <c r="Z881" s="28"/>
      <c r="AA881" s="28"/>
      <c r="AB881" s="28"/>
      <c r="AC881" s="28"/>
      <c r="AD881" s="28"/>
      <c r="AE881" s="28"/>
      <c r="AF881" s="28"/>
      <c r="AG881" s="28"/>
    </row>
    <row r="882" spans="1:33" ht="15.75" customHeight="1">
      <c r="A882" s="28"/>
      <c r="B882" s="28"/>
      <c r="C882" s="28"/>
      <c r="D882" s="28"/>
      <c r="E882" s="28"/>
      <c r="F882" s="28"/>
      <c r="G882" s="28"/>
      <c r="H882" s="28"/>
      <c r="I882" s="22"/>
      <c r="J882" s="28"/>
      <c r="K882" s="28"/>
      <c r="L882" s="22"/>
      <c r="M882" s="22"/>
      <c r="N882" s="28"/>
      <c r="O882" s="28"/>
      <c r="P882" s="53"/>
      <c r="Q882" s="53"/>
      <c r="R882" s="28"/>
      <c r="S882" s="53"/>
      <c r="T882" s="28"/>
      <c r="U882" s="28"/>
      <c r="V882" s="28"/>
      <c r="W882" s="28"/>
      <c r="X882" s="53"/>
      <c r="Y882" s="22"/>
      <c r="Z882" s="28"/>
      <c r="AA882" s="28"/>
      <c r="AB882" s="28"/>
      <c r="AC882" s="28"/>
      <c r="AD882" s="28"/>
      <c r="AE882" s="28"/>
      <c r="AF882" s="28"/>
      <c r="AG882" s="28"/>
    </row>
    <row r="883" spans="1:33" ht="15.75" customHeight="1">
      <c r="A883" s="28"/>
      <c r="B883" s="28"/>
      <c r="C883" s="28"/>
      <c r="D883" s="28"/>
      <c r="E883" s="28"/>
      <c r="F883" s="28"/>
      <c r="G883" s="28"/>
      <c r="H883" s="28"/>
      <c r="I883" s="22"/>
      <c r="J883" s="28"/>
      <c r="K883" s="28"/>
      <c r="L883" s="22"/>
      <c r="M883" s="22"/>
      <c r="N883" s="28"/>
      <c r="O883" s="28"/>
      <c r="P883" s="53"/>
      <c r="Q883" s="53"/>
      <c r="R883" s="28"/>
      <c r="S883" s="53"/>
      <c r="T883" s="28"/>
      <c r="U883" s="28"/>
      <c r="V883" s="28"/>
      <c r="W883" s="28"/>
      <c r="X883" s="53"/>
      <c r="Y883" s="22"/>
      <c r="Z883" s="28"/>
      <c r="AA883" s="28"/>
      <c r="AB883" s="28"/>
      <c r="AC883" s="28"/>
      <c r="AD883" s="28"/>
      <c r="AE883" s="28"/>
      <c r="AF883" s="28"/>
      <c r="AG883" s="28"/>
    </row>
    <row r="884" spans="1:33" ht="15.75" customHeight="1">
      <c r="A884" s="28"/>
      <c r="B884" s="28"/>
      <c r="C884" s="28"/>
      <c r="D884" s="28"/>
      <c r="E884" s="28"/>
      <c r="F884" s="28"/>
      <c r="G884" s="28"/>
      <c r="H884" s="28"/>
      <c r="I884" s="22"/>
      <c r="J884" s="28"/>
      <c r="K884" s="28"/>
      <c r="L884" s="22"/>
      <c r="M884" s="22"/>
      <c r="N884" s="28"/>
      <c r="O884" s="28"/>
      <c r="P884" s="53"/>
      <c r="Q884" s="53"/>
      <c r="R884" s="28"/>
      <c r="S884" s="53"/>
      <c r="T884" s="28"/>
      <c r="U884" s="28"/>
      <c r="V884" s="28"/>
      <c r="W884" s="28"/>
      <c r="X884" s="53"/>
      <c r="Y884" s="22"/>
      <c r="Z884" s="28"/>
      <c r="AA884" s="28"/>
      <c r="AB884" s="28"/>
      <c r="AC884" s="28"/>
      <c r="AD884" s="28"/>
      <c r="AE884" s="28"/>
      <c r="AF884" s="28"/>
      <c r="AG884" s="28"/>
    </row>
    <row r="885" spans="1:33" ht="15.75" customHeight="1">
      <c r="A885" s="28"/>
      <c r="B885" s="28"/>
      <c r="C885" s="28"/>
      <c r="D885" s="28"/>
      <c r="E885" s="28"/>
      <c r="F885" s="28"/>
      <c r="G885" s="28"/>
      <c r="H885" s="28"/>
      <c r="I885" s="22"/>
      <c r="J885" s="28"/>
      <c r="K885" s="28"/>
      <c r="L885" s="22"/>
      <c r="M885" s="22"/>
      <c r="N885" s="28"/>
      <c r="O885" s="28"/>
      <c r="P885" s="53"/>
      <c r="Q885" s="53"/>
      <c r="R885" s="28"/>
      <c r="S885" s="53"/>
      <c r="T885" s="28"/>
      <c r="U885" s="28"/>
      <c r="V885" s="28"/>
      <c r="W885" s="28"/>
      <c r="X885" s="53"/>
      <c r="Y885" s="22"/>
      <c r="Z885" s="28"/>
      <c r="AA885" s="28"/>
      <c r="AB885" s="28"/>
      <c r="AC885" s="28"/>
      <c r="AD885" s="28"/>
      <c r="AE885" s="28"/>
      <c r="AF885" s="28"/>
      <c r="AG885" s="28"/>
    </row>
    <row r="886" spans="1:33" ht="15.75" customHeight="1">
      <c r="A886" s="28"/>
      <c r="B886" s="28"/>
      <c r="C886" s="28"/>
      <c r="D886" s="28"/>
      <c r="E886" s="28"/>
      <c r="F886" s="28"/>
      <c r="G886" s="28"/>
      <c r="H886" s="28"/>
      <c r="I886" s="22"/>
      <c r="J886" s="28"/>
      <c r="K886" s="28"/>
      <c r="L886" s="22"/>
      <c r="M886" s="22"/>
      <c r="N886" s="28"/>
      <c r="O886" s="28"/>
      <c r="P886" s="53"/>
      <c r="Q886" s="53"/>
      <c r="R886" s="28"/>
      <c r="S886" s="53"/>
      <c r="T886" s="28"/>
      <c r="U886" s="28"/>
      <c r="V886" s="28"/>
      <c r="W886" s="28"/>
      <c r="X886" s="53"/>
      <c r="Y886" s="22"/>
      <c r="Z886" s="28"/>
      <c r="AA886" s="28"/>
      <c r="AB886" s="28"/>
      <c r="AC886" s="28"/>
      <c r="AD886" s="28"/>
      <c r="AE886" s="28"/>
      <c r="AF886" s="28"/>
      <c r="AG886" s="28"/>
    </row>
    <row r="887" spans="1:33" ht="15.75" customHeight="1">
      <c r="A887" s="28"/>
      <c r="B887" s="28"/>
      <c r="C887" s="28"/>
      <c r="D887" s="28"/>
      <c r="E887" s="28"/>
      <c r="F887" s="28"/>
      <c r="G887" s="28"/>
      <c r="H887" s="28"/>
      <c r="I887" s="22"/>
      <c r="J887" s="28"/>
      <c r="K887" s="28"/>
      <c r="L887" s="22"/>
      <c r="M887" s="22"/>
      <c r="N887" s="28"/>
      <c r="O887" s="28"/>
      <c r="P887" s="53"/>
      <c r="Q887" s="53"/>
      <c r="R887" s="28"/>
      <c r="S887" s="53"/>
      <c r="T887" s="28"/>
      <c r="U887" s="28"/>
      <c r="V887" s="28"/>
      <c r="W887" s="28"/>
      <c r="X887" s="53"/>
      <c r="Y887" s="22"/>
      <c r="Z887" s="28"/>
      <c r="AA887" s="28"/>
      <c r="AB887" s="28"/>
      <c r="AC887" s="28"/>
      <c r="AD887" s="28"/>
      <c r="AE887" s="28"/>
      <c r="AF887" s="28"/>
      <c r="AG887" s="28"/>
    </row>
    <row r="888" spans="1:33" ht="15.75" customHeight="1">
      <c r="A888" s="28"/>
      <c r="B888" s="28"/>
      <c r="C888" s="28"/>
      <c r="D888" s="28"/>
      <c r="E888" s="28"/>
      <c r="F888" s="28"/>
      <c r="G888" s="28"/>
      <c r="H888" s="28"/>
      <c r="I888" s="22"/>
      <c r="J888" s="28"/>
      <c r="K888" s="28"/>
      <c r="L888" s="22"/>
      <c r="M888" s="22"/>
      <c r="N888" s="28"/>
      <c r="O888" s="28"/>
      <c r="P888" s="53"/>
      <c r="Q888" s="53"/>
      <c r="R888" s="28"/>
      <c r="S888" s="53"/>
      <c r="T888" s="28"/>
      <c r="U888" s="28"/>
      <c r="V888" s="28"/>
      <c r="W888" s="28"/>
      <c r="X888" s="53"/>
      <c r="Y888" s="22"/>
      <c r="Z888" s="28"/>
      <c r="AA888" s="28"/>
      <c r="AB888" s="28"/>
      <c r="AC888" s="28"/>
      <c r="AD888" s="28"/>
      <c r="AE888" s="28"/>
      <c r="AF888" s="28"/>
      <c r="AG888" s="28"/>
    </row>
    <row r="889" spans="1:33" ht="15.75" customHeight="1">
      <c r="A889" s="28"/>
      <c r="B889" s="28"/>
      <c r="C889" s="28"/>
      <c r="D889" s="28"/>
      <c r="E889" s="28"/>
      <c r="F889" s="28"/>
      <c r="G889" s="28"/>
      <c r="H889" s="28"/>
      <c r="I889" s="22"/>
      <c r="J889" s="28"/>
      <c r="K889" s="28"/>
      <c r="L889" s="22"/>
      <c r="M889" s="22"/>
      <c r="N889" s="28"/>
      <c r="O889" s="28"/>
      <c r="P889" s="53"/>
      <c r="Q889" s="53"/>
      <c r="R889" s="28"/>
      <c r="S889" s="53"/>
      <c r="T889" s="28"/>
      <c r="U889" s="28"/>
      <c r="V889" s="28"/>
      <c r="W889" s="28"/>
      <c r="X889" s="53"/>
      <c r="Y889" s="22"/>
      <c r="Z889" s="28"/>
      <c r="AA889" s="28"/>
      <c r="AB889" s="28"/>
      <c r="AC889" s="28"/>
      <c r="AD889" s="28"/>
      <c r="AE889" s="28"/>
      <c r="AF889" s="28"/>
      <c r="AG889" s="28"/>
    </row>
    <row r="890" spans="1:33" ht="15.75" customHeight="1">
      <c r="A890" s="28"/>
      <c r="B890" s="28"/>
      <c r="C890" s="28"/>
      <c r="D890" s="28"/>
      <c r="E890" s="28"/>
      <c r="F890" s="28"/>
      <c r="G890" s="28"/>
      <c r="H890" s="28"/>
      <c r="I890" s="22"/>
      <c r="J890" s="28"/>
      <c r="K890" s="28"/>
      <c r="L890" s="22"/>
      <c r="M890" s="22"/>
      <c r="N890" s="28"/>
      <c r="O890" s="28"/>
      <c r="P890" s="53"/>
      <c r="Q890" s="53"/>
      <c r="R890" s="28"/>
      <c r="S890" s="53"/>
      <c r="T890" s="28"/>
      <c r="U890" s="28"/>
      <c r="V890" s="28"/>
      <c r="W890" s="28"/>
      <c r="X890" s="53"/>
      <c r="Y890" s="22"/>
      <c r="Z890" s="28"/>
      <c r="AA890" s="28"/>
      <c r="AB890" s="28"/>
      <c r="AC890" s="28"/>
      <c r="AD890" s="28"/>
      <c r="AE890" s="28"/>
      <c r="AF890" s="28"/>
      <c r="AG890" s="28"/>
    </row>
    <row r="891" spans="1:33" ht="15.75" customHeight="1">
      <c r="A891" s="28"/>
      <c r="B891" s="28"/>
      <c r="C891" s="28"/>
      <c r="D891" s="28"/>
      <c r="E891" s="28"/>
      <c r="F891" s="28"/>
      <c r="G891" s="28"/>
      <c r="H891" s="28"/>
      <c r="I891" s="22"/>
      <c r="J891" s="28"/>
      <c r="K891" s="28"/>
      <c r="L891" s="22"/>
      <c r="M891" s="22"/>
      <c r="N891" s="28"/>
      <c r="O891" s="28"/>
      <c r="P891" s="53"/>
      <c r="Q891" s="53"/>
      <c r="R891" s="28"/>
      <c r="S891" s="53"/>
      <c r="T891" s="28"/>
      <c r="U891" s="28"/>
      <c r="V891" s="28"/>
      <c r="W891" s="28"/>
      <c r="X891" s="53"/>
      <c r="Y891" s="22"/>
      <c r="Z891" s="28"/>
      <c r="AA891" s="28"/>
      <c r="AB891" s="28"/>
      <c r="AC891" s="28"/>
      <c r="AD891" s="28"/>
      <c r="AE891" s="28"/>
      <c r="AF891" s="28"/>
      <c r="AG891" s="28"/>
    </row>
    <row r="892" spans="1:33" ht="15.75" customHeight="1">
      <c r="A892" s="28"/>
      <c r="B892" s="28"/>
      <c r="C892" s="28"/>
      <c r="D892" s="28"/>
      <c r="E892" s="28"/>
      <c r="F892" s="28"/>
      <c r="G892" s="28"/>
      <c r="H892" s="28"/>
      <c r="I892" s="22"/>
      <c r="J892" s="28"/>
      <c r="K892" s="28"/>
      <c r="L892" s="22"/>
      <c r="M892" s="22"/>
      <c r="N892" s="28"/>
      <c r="O892" s="28"/>
      <c r="P892" s="53"/>
      <c r="Q892" s="53"/>
      <c r="R892" s="28"/>
      <c r="S892" s="53"/>
      <c r="T892" s="28"/>
      <c r="U892" s="28"/>
      <c r="V892" s="28"/>
      <c r="W892" s="28"/>
      <c r="X892" s="53"/>
      <c r="Y892" s="22"/>
      <c r="Z892" s="28"/>
      <c r="AA892" s="28"/>
      <c r="AB892" s="28"/>
      <c r="AC892" s="28"/>
      <c r="AD892" s="28"/>
      <c r="AE892" s="28"/>
      <c r="AF892" s="28"/>
      <c r="AG892" s="28"/>
    </row>
    <row r="893" spans="1:33" ht="15.75" customHeight="1">
      <c r="A893" s="28"/>
      <c r="B893" s="28"/>
      <c r="C893" s="28"/>
      <c r="D893" s="28"/>
      <c r="E893" s="28"/>
      <c r="F893" s="28"/>
      <c r="G893" s="28"/>
      <c r="H893" s="28"/>
      <c r="I893" s="22"/>
      <c r="J893" s="28"/>
      <c r="K893" s="28"/>
      <c r="L893" s="22"/>
      <c r="M893" s="22"/>
      <c r="N893" s="28"/>
      <c r="O893" s="28"/>
      <c r="P893" s="53"/>
      <c r="Q893" s="53"/>
      <c r="R893" s="28"/>
      <c r="S893" s="53"/>
      <c r="T893" s="28"/>
      <c r="U893" s="28"/>
      <c r="V893" s="28"/>
      <c r="W893" s="28"/>
      <c r="X893" s="53"/>
      <c r="Y893" s="22"/>
      <c r="Z893" s="28"/>
      <c r="AA893" s="28"/>
      <c r="AB893" s="28"/>
      <c r="AC893" s="28"/>
      <c r="AD893" s="28"/>
      <c r="AE893" s="28"/>
      <c r="AF893" s="28"/>
      <c r="AG893" s="28"/>
    </row>
    <row r="894" spans="1:33" ht="15.75" customHeight="1">
      <c r="A894" s="28"/>
      <c r="B894" s="28"/>
      <c r="C894" s="28"/>
      <c r="D894" s="28"/>
      <c r="E894" s="28"/>
      <c r="F894" s="28"/>
      <c r="G894" s="28"/>
      <c r="H894" s="28"/>
      <c r="I894" s="22"/>
      <c r="J894" s="28"/>
      <c r="K894" s="28"/>
      <c r="L894" s="22"/>
      <c r="M894" s="22"/>
      <c r="N894" s="28"/>
      <c r="O894" s="28"/>
      <c r="P894" s="53"/>
      <c r="Q894" s="53"/>
      <c r="R894" s="28"/>
      <c r="S894" s="53"/>
      <c r="T894" s="28"/>
      <c r="U894" s="28"/>
      <c r="V894" s="28"/>
      <c r="W894" s="28"/>
      <c r="X894" s="53"/>
      <c r="Y894" s="22"/>
      <c r="Z894" s="28"/>
      <c r="AA894" s="28"/>
      <c r="AB894" s="28"/>
      <c r="AC894" s="28"/>
      <c r="AD894" s="28"/>
      <c r="AE894" s="28"/>
      <c r="AF894" s="28"/>
      <c r="AG894" s="28"/>
    </row>
    <row r="895" spans="1:33" ht="15.75" customHeight="1">
      <c r="A895" s="28"/>
      <c r="B895" s="28"/>
      <c r="C895" s="28"/>
      <c r="D895" s="28"/>
      <c r="E895" s="28"/>
      <c r="F895" s="28"/>
      <c r="G895" s="28"/>
      <c r="H895" s="28"/>
      <c r="I895" s="22"/>
      <c r="J895" s="28"/>
      <c r="K895" s="28"/>
      <c r="L895" s="22"/>
      <c r="M895" s="22"/>
      <c r="N895" s="28"/>
      <c r="O895" s="28"/>
      <c r="P895" s="53"/>
      <c r="Q895" s="53"/>
      <c r="R895" s="28"/>
      <c r="S895" s="53"/>
      <c r="T895" s="28"/>
      <c r="U895" s="28"/>
      <c r="V895" s="28"/>
      <c r="W895" s="28"/>
      <c r="X895" s="53"/>
      <c r="Y895" s="22"/>
      <c r="Z895" s="28"/>
      <c r="AA895" s="28"/>
      <c r="AB895" s="28"/>
      <c r="AC895" s="28"/>
      <c r="AD895" s="28"/>
      <c r="AE895" s="28"/>
      <c r="AF895" s="28"/>
      <c r="AG895" s="28"/>
    </row>
    <row r="896" spans="1:33" ht="15.75" customHeight="1">
      <c r="A896" s="28"/>
      <c r="B896" s="28"/>
      <c r="C896" s="28"/>
      <c r="D896" s="28"/>
      <c r="E896" s="28"/>
      <c r="F896" s="28"/>
      <c r="G896" s="28"/>
      <c r="H896" s="28"/>
      <c r="I896" s="22"/>
      <c r="J896" s="28"/>
      <c r="K896" s="28"/>
      <c r="L896" s="22"/>
      <c r="M896" s="22"/>
      <c r="N896" s="28"/>
      <c r="O896" s="28"/>
      <c r="P896" s="53"/>
      <c r="Q896" s="53"/>
      <c r="R896" s="28"/>
      <c r="S896" s="53"/>
      <c r="T896" s="28"/>
      <c r="U896" s="28"/>
      <c r="V896" s="28"/>
      <c r="W896" s="28"/>
      <c r="X896" s="53"/>
      <c r="Y896" s="22"/>
      <c r="Z896" s="28"/>
      <c r="AA896" s="28"/>
      <c r="AB896" s="28"/>
      <c r="AC896" s="28"/>
      <c r="AD896" s="28"/>
      <c r="AE896" s="28"/>
      <c r="AF896" s="28"/>
      <c r="AG896" s="28"/>
    </row>
    <row r="897" spans="1:33" ht="15.75" customHeight="1">
      <c r="A897" s="28"/>
      <c r="B897" s="28"/>
      <c r="C897" s="28"/>
      <c r="D897" s="28"/>
      <c r="E897" s="28"/>
      <c r="F897" s="28"/>
      <c r="G897" s="28"/>
      <c r="H897" s="28"/>
      <c r="I897" s="22"/>
      <c r="J897" s="28"/>
      <c r="K897" s="28"/>
      <c r="L897" s="22"/>
      <c r="M897" s="22"/>
      <c r="N897" s="28"/>
      <c r="O897" s="28"/>
      <c r="P897" s="53"/>
      <c r="Q897" s="53"/>
      <c r="R897" s="28"/>
      <c r="S897" s="53"/>
      <c r="T897" s="28"/>
      <c r="U897" s="28"/>
      <c r="V897" s="28"/>
      <c r="W897" s="28"/>
      <c r="X897" s="53"/>
      <c r="Y897" s="22"/>
      <c r="Z897" s="28"/>
      <c r="AA897" s="28"/>
      <c r="AB897" s="28"/>
      <c r="AC897" s="28"/>
      <c r="AD897" s="28"/>
      <c r="AE897" s="28"/>
      <c r="AF897" s="28"/>
      <c r="AG897" s="28"/>
    </row>
    <row r="898" spans="1:33" ht="15.75" customHeight="1">
      <c r="A898" s="28"/>
      <c r="B898" s="28"/>
      <c r="C898" s="28"/>
      <c r="D898" s="28"/>
      <c r="E898" s="28"/>
      <c r="F898" s="28"/>
      <c r="G898" s="28"/>
      <c r="H898" s="28"/>
      <c r="I898" s="22"/>
      <c r="J898" s="28"/>
      <c r="K898" s="28"/>
      <c r="L898" s="22"/>
      <c r="M898" s="22"/>
      <c r="N898" s="28"/>
      <c r="O898" s="28"/>
      <c r="P898" s="53"/>
      <c r="Q898" s="53"/>
      <c r="R898" s="28"/>
      <c r="S898" s="53"/>
      <c r="T898" s="28"/>
      <c r="U898" s="28"/>
      <c r="V898" s="28"/>
      <c r="W898" s="28"/>
      <c r="X898" s="53"/>
      <c r="Y898" s="22"/>
      <c r="Z898" s="28"/>
      <c r="AA898" s="28"/>
      <c r="AB898" s="28"/>
      <c r="AC898" s="28"/>
      <c r="AD898" s="28"/>
      <c r="AE898" s="28"/>
      <c r="AF898" s="28"/>
      <c r="AG898" s="28"/>
    </row>
    <row r="899" spans="1:33" ht="15.75" customHeight="1">
      <c r="A899" s="28"/>
      <c r="B899" s="28"/>
      <c r="C899" s="28"/>
      <c r="D899" s="28"/>
      <c r="E899" s="28"/>
      <c r="F899" s="28"/>
      <c r="G899" s="28"/>
      <c r="H899" s="28"/>
      <c r="I899" s="22"/>
      <c r="J899" s="28"/>
      <c r="K899" s="28"/>
      <c r="L899" s="22"/>
      <c r="M899" s="22"/>
      <c r="N899" s="28"/>
      <c r="O899" s="28"/>
      <c r="P899" s="53"/>
      <c r="Q899" s="53"/>
      <c r="R899" s="28"/>
      <c r="S899" s="53"/>
      <c r="T899" s="28"/>
      <c r="U899" s="28"/>
      <c r="V899" s="28"/>
      <c r="W899" s="28"/>
      <c r="X899" s="53"/>
      <c r="Y899" s="22"/>
      <c r="Z899" s="28"/>
      <c r="AA899" s="28"/>
      <c r="AB899" s="28"/>
      <c r="AC899" s="28"/>
      <c r="AD899" s="28"/>
      <c r="AE899" s="28"/>
      <c r="AF899" s="28"/>
      <c r="AG899" s="28"/>
    </row>
    <row r="900" spans="1:33" ht="15.75" customHeight="1">
      <c r="A900" s="28"/>
      <c r="B900" s="28"/>
      <c r="C900" s="28"/>
      <c r="D900" s="28"/>
      <c r="E900" s="28"/>
      <c r="F900" s="28"/>
      <c r="G900" s="28"/>
      <c r="H900" s="28"/>
      <c r="I900" s="22"/>
      <c r="J900" s="28"/>
      <c r="K900" s="28"/>
      <c r="L900" s="22"/>
      <c r="M900" s="22"/>
      <c r="N900" s="28"/>
      <c r="O900" s="28"/>
      <c r="P900" s="53"/>
      <c r="Q900" s="53"/>
      <c r="R900" s="28"/>
      <c r="S900" s="53"/>
      <c r="T900" s="28"/>
      <c r="U900" s="28"/>
      <c r="V900" s="28"/>
      <c r="W900" s="28"/>
      <c r="X900" s="53"/>
      <c r="Y900" s="22"/>
      <c r="Z900" s="28"/>
      <c r="AA900" s="28"/>
      <c r="AB900" s="28"/>
      <c r="AC900" s="28"/>
      <c r="AD900" s="28"/>
      <c r="AE900" s="28"/>
      <c r="AF900" s="28"/>
      <c r="AG900" s="28"/>
    </row>
    <row r="901" spans="1:33" ht="15.75" customHeight="1">
      <c r="A901" s="28"/>
      <c r="B901" s="28"/>
      <c r="C901" s="28"/>
      <c r="D901" s="28"/>
      <c r="E901" s="28"/>
      <c r="F901" s="28"/>
      <c r="G901" s="28"/>
      <c r="H901" s="28"/>
      <c r="I901" s="22"/>
      <c r="J901" s="28"/>
      <c r="K901" s="28"/>
      <c r="L901" s="22"/>
      <c r="M901" s="22"/>
      <c r="N901" s="28"/>
      <c r="O901" s="28"/>
      <c r="P901" s="53"/>
      <c r="Q901" s="53"/>
      <c r="R901" s="28"/>
      <c r="S901" s="53"/>
      <c r="T901" s="28"/>
      <c r="U901" s="28"/>
      <c r="V901" s="28"/>
      <c r="W901" s="28"/>
      <c r="X901" s="53"/>
      <c r="Y901" s="22"/>
      <c r="Z901" s="28"/>
      <c r="AA901" s="28"/>
      <c r="AB901" s="28"/>
      <c r="AC901" s="28"/>
      <c r="AD901" s="28"/>
      <c r="AE901" s="28"/>
      <c r="AF901" s="28"/>
      <c r="AG901" s="28"/>
    </row>
    <row r="902" spans="1:33" ht="15.75" customHeight="1">
      <c r="A902" s="28"/>
      <c r="B902" s="28"/>
      <c r="C902" s="28"/>
      <c r="D902" s="28"/>
      <c r="E902" s="28"/>
      <c r="F902" s="28"/>
      <c r="G902" s="28"/>
      <c r="H902" s="28"/>
      <c r="I902" s="22"/>
      <c r="J902" s="28"/>
      <c r="K902" s="28"/>
      <c r="L902" s="22"/>
      <c r="M902" s="22"/>
      <c r="N902" s="28"/>
      <c r="O902" s="28"/>
      <c r="P902" s="53"/>
      <c r="Q902" s="53"/>
      <c r="R902" s="28"/>
      <c r="S902" s="53"/>
      <c r="T902" s="28"/>
      <c r="U902" s="28"/>
      <c r="V902" s="28"/>
      <c r="W902" s="28"/>
      <c r="X902" s="53"/>
      <c r="Y902" s="22"/>
      <c r="Z902" s="28"/>
      <c r="AA902" s="28"/>
      <c r="AB902" s="28"/>
      <c r="AC902" s="28"/>
      <c r="AD902" s="28"/>
      <c r="AE902" s="28"/>
      <c r="AF902" s="28"/>
      <c r="AG902" s="28"/>
    </row>
    <row r="903" spans="1:33" ht="15.75" customHeight="1">
      <c r="A903" s="28"/>
      <c r="B903" s="28"/>
      <c r="C903" s="28"/>
      <c r="D903" s="28"/>
      <c r="E903" s="28"/>
      <c r="F903" s="28"/>
      <c r="G903" s="28"/>
      <c r="H903" s="28"/>
      <c r="I903" s="22"/>
      <c r="J903" s="28"/>
      <c r="K903" s="28"/>
      <c r="L903" s="22"/>
      <c r="M903" s="22"/>
      <c r="N903" s="28"/>
      <c r="O903" s="28"/>
      <c r="P903" s="53"/>
      <c r="Q903" s="53"/>
      <c r="R903" s="28"/>
      <c r="S903" s="53"/>
      <c r="T903" s="28"/>
      <c r="U903" s="28"/>
      <c r="V903" s="28"/>
      <c r="W903" s="28"/>
      <c r="X903" s="53"/>
      <c r="Y903" s="22"/>
      <c r="Z903" s="28"/>
      <c r="AA903" s="28"/>
      <c r="AB903" s="28"/>
      <c r="AC903" s="28"/>
      <c r="AD903" s="28"/>
      <c r="AE903" s="28"/>
      <c r="AF903" s="28"/>
      <c r="AG903" s="28"/>
    </row>
    <row r="904" spans="1:33" ht="15.75" customHeight="1">
      <c r="A904" s="28"/>
      <c r="B904" s="28"/>
      <c r="C904" s="28"/>
      <c r="D904" s="28"/>
      <c r="E904" s="28"/>
      <c r="F904" s="28"/>
      <c r="G904" s="28"/>
      <c r="H904" s="28"/>
      <c r="I904" s="22"/>
      <c r="J904" s="28"/>
      <c r="K904" s="28"/>
      <c r="L904" s="22"/>
      <c r="M904" s="22"/>
      <c r="N904" s="28"/>
      <c r="O904" s="28"/>
      <c r="P904" s="53"/>
      <c r="Q904" s="53"/>
      <c r="R904" s="28"/>
      <c r="S904" s="53"/>
      <c r="T904" s="28"/>
      <c r="U904" s="28"/>
      <c r="V904" s="28"/>
      <c r="W904" s="28"/>
      <c r="X904" s="53"/>
      <c r="Y904" s="22"/>
      <c r="Z904" s="28"/>
      <c r="AA904" s="28"/>
      <c r="AB904" s="28"/>
      <c r="AC904" s="28"/>
      <c r="AD904" s="28"/>
      <c r="AE904" s="28"/>
      <c r="AF904" s="28"/>
      <c r="AG904" s="28"/>
    </row>
    <row r="905" spans="1:33" ht="15.75" customHeight="1">
      <c r="A905" s="28"/>
      <c r="B905" s="28"/>
      <c r="C905" s="28"/>
      <c r="D905" s="28"/>
      <c r="E905" s="28"/>
      <c r="F905" s="28"/>
      <c r="G905" s="28"/>
      <c r="H905" s="28"/>
      <c r="I905" s="22"/>
      <c r="J905" s="28"/>
      <c r="K905" s="28"/>
      <c r="L905" s="22"/>
      <c r="M905" s="22"/>
      <c r="N905" s="28"/>
      <c r="O905" s="28"/>
      <c r="P905" s="53"/>
      <c r="Q905" s="53"/>
      <c r="R905" s="28"/>
      <c r="S905" s="53"/>
      <c r="T905" s="28"/>
      <c r="U905" s="28"/>
      <c r="V905" s="28"/>
      <c r="W905" s="28"/>
      <c r="X905" s="53"/>
      <c r="Y905" s="22"/>
      <c r="Z905" s="28"/>
      <c r="AA905" s="28"/>
      <c r="AB905" s="28"/>
      <c r="AC905" s="28"/>
      <c r="AD905" s="28"/>
      <c r="AE905" s="28"/>
      <c r="AF905" s="28"/>
      <c r="AG905" s="28"/>
    </row>
    <row r="906" spans="1:33" ht="15.75" customHeight="1">
      <c r="A906" s="28"/>
      <c r="B906" s="28"/>
      <c r="C906" s="28"/>
      <c r="D906" s="28"/>
      <c r="E906" s="28"/>
      <c r="F906" s="28"/>
      <c r="G906" s="28"/>
      <c r="H906" s="28"/>
      <c r="I906" s="22"/>
      <c r="J906" s="28"/>
      <c r="K906" s="28"/>
      <c r="L906" s="22"/>
      <c r="M906" s="22"/>
      <c r="N906" s="28"/>
      <c r="O906" s="28"/>
      <c r="P906" s="53"/>
      <c r="Q906" s="53"/>
      <c r="R906" s="28"/>
      <c r="S906" s="53"/>
      <c r="T906" s="28"/>
      <c r="U906" s="28"/>
      <c r="V906" s="28"/>
      <c r="W906" s="28"/>
      <c r="X906" s="53"/>
      <c r="Y906" s="22"/>
      <c r="Z906" s="28"/>
      <c r="AA906" s="28"/>
      <c r="AB906" s="28"/>
      <c r="AC906" s="28"/>
      <c r="AD906" s="28"/>
      <c r="AE906" s="28"/>
      <c r="AF906" s="28"/>
      <c r="AG906" s="28"/>
    </row>
    <row r="907" spans="1:33" ht="15.75" customHeight="1">
      <c r="A907" s="28"/>
      <c r="B907" s="28"/>
      <c r="C907" s="28"/>
      <c r="D907" s="28"/>
      <c r="E907" s="28"/>
      <c r="F907" s="28"/>
      <c r="G907" s="28"/>
      <c r="H907" s="28"/>
      <c r="I907" s="22"/>
      <c r="J907" s="28"/>
      <c r="K907" s="28"/>
      <c r="L907" s="22"/>
      <c r="M907" s="22"/>
      <c r="N907" s="28"/>
      <c r="O907" s="28"/>
      <c r="P907" s="53"/>
      <c r="Q907" s="53"/>
      <c r="R907" s="28"/>
      <c r="S907" s="53"/>
      <c r="T907" s="28"/>
      <c r="U907" s="28"/>
      <c r="V907" s="28"/>
      <c r="W907" s="28"/>
      <c r="X907" s="53"/>
      <c r="Y907" s="22"/>
      <c r="Z907" s="28"/>
      <c r="AA907" s="28"/>
      <c r="AB907" s="28"/>
      <c r="AC907" s="28"/>
      <c r="AD907" s="28"/>
      <c r="AE907" s="28"/>
      <c r="AF907" s="28"/>
      <c r="AG907" s="28"/>
    </row>
    <row r="908" spans="1:33" ht="15.75" customHeight="1">
      <c r="A908" s="28"/>
      <c r="B908" s="28"/>
      <c r="C908" s="28"/>
      <c r="D908" s="28"/>
      <c r="E908" s="28"/>
      <c r="F908" s="28"/>
      <c r="G908" s="28"/>
      <c r="H908" s="28"/>
      <c r="I908" s="22"/>
      <c r="J908" s="28"/>
      <c r="K908" s="28"/>
      <c r="L908" s="22"/>
      <c r="M908" s="22"/>
      <c r="N908" s="28"/>
      <c r="O908" s="28"/>
      <c r="P908" s="53"/>
      <c r="Q908" s="53"/>
      <c r="R908" s="28"/>
      <c r="S908" s="53"/>
      <c r="T908" s="28"/>
      <c r="U908" s="28"/>
      <c r="V908" s="28"/>
      <c r="W908" s="28"/>
      <c r="X908" s="53"/>
      <c r="Y908" s="22"/>
      <c r="Z908" s="28"/>
      <c r="AA908" s="28"/>
      <c r="AB908" s="28"/>
      <c r="AC908" s="28"/>
      <c r="AD908" s="28"/>
      <c r="AE908" s="28"/>
      <c r="AF908" s="28"/>
      <c r="AG908" s="28"/>
    </row>
    <row r="909" spans="1:33" ht="15.75" customHeight="1">
      <c r="A909" s="28"/>
      <c r="B909" s="28"/>
      <c r="C909" s="28"/>
      <c r="D909" s="28"/>
      <c r="E909" s="28"/>
      <c r="F909" s="28"/>
      <c r="G909" s="28"/>
      <c r="H909" s="28"/>
      <c r="I909" s="22"/>
      <c r="J909" s="28"/>
      <c r="K909" s="28"/>
      <c r="L909" s="22"/>
      <c r="M909" s="22"/>
      <c r="N909" s="28"/>
      <c r="O909" s="28"/>
      <c r="P909" s="53"/>
      <c r="Q909" s="53"/>
      <c r="R909" s="28"/>
      <c r="S909" s="53"/>
      <c r="T909" s="28"/>
      <c r="U909" s="28"/>
      <c r="V909" s="28"/>
      <c r="W909" s="28"/>
      <c r="X909" s="53"/>
      <c r="Y909" s="22"/>
      <c r="Z909" s="28"/>
      <c r="AA909" s="28"/>
      <c r="AB909" s="28"/>
      <c r="AC909" s="28"/>
      <c r="AD909" s="28"/>
      <c r="AE909" s="28"/>
      <c r="AF909" s="28"/>
      <c r="AG909" s="28"/>
    </row>
    <row r="910" spans="1:33" ht="15.75" customHeight="1">
      <c r="A910" s="28"/>
      <c r="B910" s="28"/>
      <c r="C910" s="28"/>
      <c r="D910" s="28"/>
      <c r="E910" s="28"/>
      <c r="F910" s="28"/>
      <c r="G910" s="28"/>
      <c r="H910" s="28"/>
      <c r="I910" s="22"/>
      <c r="J910" s="28"/>
      <c r="K910" s="28"/>
      <c r="L910" s="22"/>
      <c r="M910" s="22"/>
      <c r="N910" s="28"/>
      <c r="O910" s="28"/>
      <c r="P910" s="53"/>
      <c r="Q910" s="53"/>
      <c r="R910" s="28"/>
      <c r="S910" s="53"/>
      <c r="T910" s="28"/>
      <c r="U910" s="28"/>
      <c r="V910" s="28"/>
      <c r="W910" s="28"/>
      <c r="X910" s="53"/>
      <c r="Y910" s="22"/>
      <c r="Z910" s="28"/>
      <c r="AA910" s="28"/>
      <c r="AB910" s="28"/>
      <c r="AC910" s="28"/>
      <c r="AD910" s="28"/>
      <c r="AE910" s="28"/>
      <c r="AF910" s="28"/>
      <c r="AG910" s="28"/>
    </row>
    <row r="911" spans="1:33" ht="15.75" customHeight="1">
      <c r="A911" s="28"/>
      <c r="B911" s="28"/>
      <c r="C911" s="28"/>
      <c r="D911" s="28"/>
      <c r="E911" s="28"/>
      <c r="F911" s="28"/>
      <c r="G911" s="28"/>
      <c r="H911" s="28"/>
      <c r="I911" s="22"/>
      <c r="J911" s="28"/>
      <c r="K911" s="28"/>
      <c r="L911" s="22"/>
      <c r="M911" s="22"/>
      <c r="N911" s="28"/>
      <c r="O911" s="28"/>
      <c r="P911" s="53"/>
      <c r="Q911" s="53"/>
      <c r="R911" s="28"/>
      <c r="S911" s="53"/>
      <c r="T911" s="28"/>
      <c r="U911" s="28"/>
      <c r="V911" s="28"/>
      <c r="W911" s="28"/>
      <c r="X911" s="53"/>
      <c r="Y911" s="22"/>
      <c r="Z911" s="28"/>
      <c r="AA911" s="28"/>
      <c r="AB911" s="28"/>
      <c r="AC911" s="28"/>
      <c r="AD911" s="28"/>
      <c r="AE911" s="28"/>
      <c r="AF911" s="28"/>
      <c r="AG911" s="28"/>
    </row>
    <row r="912" spans="1:33" ht="15.75" customHeight="1">
      <c r="A912" s="28"/>
      <c r="B912" s="28"/>
      <c r="C912" s="28"/>
      <c r="D912" s="28"/>
      <c r="E912" s="28"/>
      <c r="F912" s="28"/>
      <c r="G912" s="28"/>
      <c r="H912" s="28"/>
      <c r="I912" s="22"/>
      <c r="J912" s="28"/>
      <c r="K912" s="28"/>
      <c r="L912" s="22"/>
      <c r="M912" s="22"/>
      <c r="N912" s="28"/>
      <c r="O912" s="28"/>
      <c r="P912" s="53"/>
      <c r="Q912" s="53"/>
      <c r="R912" s="28"/>
      <c r="S912" s="53"/>
      <c r="T912" s="28"/>
      <c r="U912" s="28"/>
      <c r="V912" s="28"/>
      <c r="W912" s="28"/>
      <c r="X912" s="53"/>
      <c r="Y912" s="22"/>
      <c r="Z912" s="28"/>
      <c r="AA912" s="28"/>
      <c r="AB912" s="28"/>
      <c r="AC912" s="28"/>
      <c r="AD912" s="28"/>
      <c r="AE912" s="28"/>
      <c r="AF912" s="28"/>
      <c r="AG912" s="28"/>
    </row>
    <row r="913" spans="1:33" ht="15.75" customHeight="1">
      <c r="A913" s="28"/>
      <c r="B913" s="28"/>
      <c r="C913" s="28"/>
      <c r="D913" s="28"/>
      <c r="E913" s="28"/>
      <c r="F913" s="28"/>
      <c r="G913" s="28"/>
      <c r="H913" s="28"/>
      <c r="I913" s="22"/>
      <c r="J913" s="28"/>
      <c r="K913" s="28"/>
      <c r="L913" s="22"/>
      <c r="M913" s="22"/>
      <c r="N913" s="28"/>
      <c r="O913" s="28"/>
      <c r="P913" s="53"/>
      <c r="Q913" s="53"/>
      <c r="R913" s="28"/>
      <c r="S913" s="53"/>
      <c r="T913" s="28"/>
      <c r="U913" s="28"/>
      <c r="V913" s="28"/>
      <c r="W913" s="28"/>
      <c r="X913" s="53"/>
      <c r="Y913" s="22"/>
      <c r="Z913" s="28"/>
      <c r="AA913" s="28"/>
      <c r="AB913" s="28"/>
      <c r="AC913" s="28"/>
      <c r="AD913" s="28"/>
      <c r="AE913" s="28"/>
      <c r="AF913" s="28"/>
      <c r="AG913" s="28"/>
    </row>
    <row r="914" spans="1:33" ht="15.75" customHeight="1">
      <c r="A914" s="28"/>
      <c r="B914" s="28"/>
      <c r="C914" s="28"/>
      <c r="D914" s="28"/>
      <c r="E914" s="28"/>
      <c r="F914" s="28"/>
      <c r="G914" s="28"/>
      <c r="H914" s="28"/>
      <c r="I914" s="22"/>
      <c r="J914" s="28"/>
      <c r="K914" s="28"/>
      <c r="L914" s="22"/>
      <c r="M914" s="22"/>
      <c r="N914" s="28"/>
      <c r="O914" s="28"/>
      <c r="P914" s="53"/>
      <c r="Q914" s="53"/>
      <c r="R914" s="28"/>
      <c r="S914" s="53"/>
      <c r="T914" s="28"/>
      <c r="U914" s="28"/>
      <c r="V914" s="28"/>
      <c r="W914" s="28"/>
      <c r="X914" s="53"/>
      <c r="Y914" s="22"/>
      <c r="Z914" s="28"/>
      <c r="AA914" s="28"/>
      <c r="AB914" s="28"/>
      <c r="AC914" s="28"/>
      <c r="AD914" s="28"/>
      <c r="AE914" s="28"/>
      <c r="AF914" s="28"/>
      <c r="AG914" s="28"/>
    </row>
    <row r="915" spans="1:33" ht="15.75" customHeight="1">
      <c r="A915" s="28"/>
      <c r="B915" s="28"/>
      <c r="C915" s="28"/>
      <c r="D915" s="28"/>
      <c r="E915" s="28"/>
      <c r="F915" s="28"/>
      <c r="G915" s="28"/>
      <c r="H915" s="28"/>
      <c r="I915" s="22"/>
      <c r="J915" s="28"/>
      <c r="K915" s="28"/>
      <c r="L915" s="22"/>
      <c r="M915" s="22"/>
      <c r="N915" s="28"/>
      <c r="O915" s="28"/>
      <c r="P915" s="53"/>
      <c r="Q915" s="53"/>
      <c r="R915" s="28"/>
      <c r="S915" s="53"/>
      <c r="T915" s="28"/>
      <c r="U915" s="28"/>
      <c r="V915" s="28"/>
      <c r="W915" s="28"/>
      <c r="X915" s="53"/>
      <c r="Y915" s="22"/>
      <c r="Z915" s="28"/>
      <c r="AA915" s="28"/>
      <c r="AB915" s="28"/>
      <c r="AC915" s="28"/>
      <c r="AD915" s="28"/>
      <c r="AE915" s="28"/>
      <c r="AF915" s="28"/>
      <c r="AG915" s="28"/>
    </row>
    <row r="916" spans="1:33" ht="15.75" customHeight="1">
      <c r="A916" s="28"/>
      <c r="B916" s="28"/>
      <c r="C916" s="28"/>
      <c r="D916" s="28"/>
      <c r="E916" s="28"/>
      <c r="F916" s="28"/>
      <c r="G916" s="28"/>
      <c r="H916" s="28"/>
      <c r="I916" s="22"/>
      <c r="J916" s="28"/>
      <c r="K916" s="28"/>
      <c r="L916" s="22"/>
      <c r="M916" s="22"/>
      <c r="N916" s="28"/>
      <c r="O916" s="28"/>
      <c r="P916" s="53"/>
      <c r="Q916" s="53"/>
      <c r="R916" s="28"/>
      <c r="S916" s="53"/>
      <c r="T916" s="28"/>
      <c r="U916" s="28"/>
      <c r="V916" s="28"/>
      <c r="W916" s="28"/>
      <c r="X916" s="53"/>
      <c r="Y916" s="22"/>
      <c r="Z916" s="28"/>
      <c r="AA916" s="28"/>
      <c r="AB916" s="28"/>
      <c r="AC916" s="28"/>
      <c r="AD916" s="28"/>
      <c r="AE916" s="28"/>
      <c r="AF916" s="28"/>
      <c r="AG916" s="28"/>
    </row>
    <row r="917" spans="1:33" ht="15.75" customHeight="1">
      <c r="A917" s="28"/>
      <c r="B917" s="28"/>
      <c r="C917" s="28"/>
      <c r="D917" s="28"/>
      <c r="E917" s="28"/>
      <c r="F917" s="28"/>
      <c r="G917" s="28"/>
      <c r="H917" s="28"/>
      <c r="I917" s="22"/>
      <c r="J917" s="28"/>
      <c r="K917" s="28"/>
      <c r="L917" s="22"/>
      <c r="M917" s="22"/>
      <c r="N917" s="28"/>
      <c r="O917" s="28"/>
      <c r="P917" s="53"/>
      <c r="Q917" s="53"/>
      <c r="R917" s="28"/>
      <c r="S917" s="53"/>
      <c r="T917" s="28"/>
      <c r="U917" s="28"/>
      <c r="V917" s="28"/>
      <c r="W917" s="28"/>
      <c r="X917" s="53"/>
      <c r="Y917" s="22"/>
      <c r="Z917" s="28"/>
      <c r="AA917" s="28"/>
      <c r="AB917" s="28"/>
      <c r="AC917" s="28"/>
      <c r="AD917" s="28"/>
      <c r="AE917" s="28"/>
      <c r="AF917" s="28"/>
      <c r="AG917" s="28"/>
    </row>
    <row r="918" spans="1:33" ht="15.75" customHeight="1">
      <c r="A918" s="28"/>
      <c r="B918" s="28"/>
      <c r="C918" s="28"/>
      <c r="D918" s="28"/>
      <c r="E918" s="28"/>
      <c r="F918" s="28"/>
      <c r="G918" s="28"/>
      <c r="H918" s="28"/>
      <c r="I918" s="22"/>
      <c r="J918" s="28"/>
      <c r="K918" s="28"/>
      <c r="L918" s="22"/>
      <c r="M918" s="22"/>
      <c r="N918" s="28"/>
      <c r="O918" s="28"/>
      <c r="P918" s="53"/>
      <c r="Q918" s="53"/>
      <c r="R918" s="28"/>
      <c r="S918" s="53"/>
      <c r="T918" s="28"/>
      <c r="U918" s="28"/>
      <c r="V918" s="28"/>
      <c r="W918" s="28"/>
      <c r="X918" s="53"/>
      <c r="Y918" s="22"/>
      <c r="Z918" s="28"/>
      <c r="AA918" s="28"/>
      <c r="AB918" s="28"/>
      <c r="AC918" s="28"/>
      <c r="AD918" s="28"/>
      <c r="AE918" s="28"/>
      <c r="AF918" s="28"/>
      <c r="AG918" s="28"/>
    </row>
    <row r="919" spans="1:33" ht="15.75" customHeight="1">
      <c r="A919" s="28"/>
      <c r="B919" s="28"/>
      <c r="C919" s="28"/>
      <c r="D919" s="28"/>
      <c r="E919" s="28"/>
      <c r="F919" s="28"/>
      <c r="G919" s="28"/>
      <c r="H919" s="28"/>
      <c r="I919" s="22"/>
      <c r="J919" s="28"/>
      <c r="K919" s="28"/>
      <c r="L919" s="22"/>
      <c r="M919" s="22"/>
      <c r="N919" s="28"/>
      <c r="O919" s="28"/>
      <c r="P919" s="53"/>
      <c r="Q919" s="53"/>
      <c r="R919" s="28"/>
      <c r="S919" s="53"/>
      <c r="T919" s="28"/>
      <c r="U919" s="28"/>
      <c r="V919" s="28"/>
      <c r="W919" s="28"/>
      <c r="X919" s="53"/>
      <c r="Y919" s="22"/>
      <c r="Z919" s="28"/>
      <c r="AA919" s="28"/>
      <c r="AB919" s="28"/>
      <c r="AC919" s="28"/>
      <c r="AD919" s="28"/>
      <c r="AE919" s="28"/>
      <c r="AF919" s="28"/>
      <c r="AG919" s="28"/>
    </row>
    <row r="920" spans="1:33" ht="15.75" customHeight="1">
      <c r="A920" s="28"/>
      <c r="B920" s="28"/>
      <c r="C920" s="28"/>
      <c r="D920" s="28"/>
      <c r="E920" s="28"/>
      <c r="F920" s="28"/>
      <c r="G920" s="28"/>
      <c r="H920" s="28"/>
      <c r="I920" s="22"/>
      <c r="J920" s="28"/>
      <c r="K920" s="28"/>
      <c r="L920" s="22"/>
      <c r="M920" s="22"/>
      <c r="N920" s="28"/>
      <c r="O920" s="28"/>
      <c r="P920" s="53"/>
      <c r="Q920" s="53"/>
      <c r="R920" s="28"/>
      <c r="S920" s="53"/>
      <c r="T920" s="28"/>
      <c r="U920" s="28"/>
      <c r="V920" s="28"/>
      <c r="W920" s="28"/>
      <c r="X920" s="53"/>
      <c r="Y920" s="22"/>
      <c r="Z920" s="28"/>
      <c r="AA920" s="28"/>
      <c r="AB920" s="28"/>
      <c r="AC920" s="28"/>
      <c r="AD920" s="28"/>
      <c r="AE920" s="28"/>
      <c r="AF920" s="28"/>
      <c r="AG920" s="28"/>
    </row>
    <row r="921" spans="1:33" ht="15.75" customHeight="1">
      <c r="A921" s="28"/>
      <c r="B921" s="28"/>
      <c r="C921" s="28"/>
      <c r="D921" s="28"/>
      <c r="E921" s="28"/>
      <c r="F921" s="28"/>
      <c r="G921" s="28"/>
      <c r="H921" s="28"/>
      <c r="I921" s="22"/>
      <c r="J921" s="28"/>
      <c r="K921" s="28"/>
      <c r="L921" s="22"/>
      <c r="M921" s="22"/>
      <c r="N921" s="28"/>
      <c r="O921" s="28"/>
      <c r="P921" s="53"/>
      <c r="Q921" s="53"/>
      <c r="R921" s="28"/>
      <c r="S921" s="53"/>
      <c r="T921" s="28"/>
      <c r="U921" s="28"/>
      <c r="V921" s="28"/>
      <c r="W921" s="28"/>
      <c r="X921" s="53"/>
      <c r="Y921" s="22"/>
      <c r="Z921" s="28"/>
      <c r="AA921" s="28"/>
      <c r="AB921" s="28"/>
      <c r="AC921" s="28"/>
      <c r="AD921" s="28"/>
      <c r="AE921" s="28"/>
      <c r="AF921" s="28"/>
      <c r="AG921" s="28"/>
    </row>
    <row r="922" spans="1:33" ht="15.75" customHeight="1">
      <c r="A922" s="28"/>
      <c r="B922" s="28"/>
      <c r="C922" s="28"/>
      <c r="D922" s="28"/>
      <c r="E922" s="28"/>
      <c r="F922" s="28"/>
      <c r="G922" s="28"/>
      <c r="H922" s="28"/>
      <c r="I922" s="22"/>
      <c r="J922" s="28"/>
      <c r="K922" s="28"/>
      <c r="L922" s="22"/>
      <c r="M922" s="22"/>
      <c r="N922" s="28"/>
      <c r="O922" s="28"/>
      <c r="P922" s="53"/>
      <c r="Q922" s="53"/>
      <c r="R922" s="28"/>
      <c r="S922" s="53"/>
      <c r="T922" s="28"/>
      <c r="U922" s="28"/>
      <c r="V922" s="28"/>
      <c r="W922" s="28"/>
      <c r="X922" s="53"/>
      <c r="Y922" s="22"/>
      <c r="Z922" s="28"/>
      <c r="AA922" s="28"/>
      <c r="AB922" s="28"/>
      <c r="AC922" s="28"/>
      <c r="AD922" s="28"/>
      <c r="AE922" s="28"/>
      <c r="AF922" s="28"/>
      <c r="AG922" s="28"/>
    </row>
    <row r="923" spans="1:33" ht="15.75" customHeight="1">
      <c r="A923" s="28"/>
      <c r="B923" s="28"/>
      <c r="C923" s="28"/>
      <c r="D923" s="28"/>
      <c r="E923" s="28"/>
      <c r="F923" s="28"/>
      <c r="G923" s="28"/>
      <c r="H923" s="28"/>
      <c r="I923" s="22"/>
      <c r="J923" s="28"/>
      <c r="K923" s="28"/>
      <c r="L923" s="22"/>
      <c r="M923" s="22"/>
      <c r="N923" s="28"/>
      <c r="O923" s="28"/>
      <c r="P923" s="53"/>
      <c r="Q923" s="53"/>
      <c r="R923" s="28"/>
      <c r="S923" s="53"/>
      <c r="T923" s="28"/>
      <c r="U923" s="28"/>
      <c r="V923" s="28"/>
      <c r="W923" s="28"/>
      <c r="X923" s="53"/>
      <c r="Y923" s="22"/>
      <c r="Z923" s="28"/>
      <c r="AA923" s="28"/>
      <c r="AB923" s="28"/>
      <c r="AC923" s="28"/>
      <c r="AD923" s="28"/>
      <c r="AE923" s="28"/>
      <c r="AF923" s="28"/>
      <c r="AG923" s="28"/>
    </row>
    <row r="924" spans="1:33" ht="15.75" customHeight="1">
      <c r="A924" s="28"/>
      <c r="B924" s="28"/>
      <c r="C924" s="28"/>
      <c r="D924" s="28"/>
      <c r="E924" s="28"/>
      <c r="F924" s="28"/>
      <c r="G924" s="28"/>
      <c r="H924" s="28"/>
      <c r="I924" s="22"/>
      <c r="J924" s="28"/>
      <c r="K924" s="28"/>
      <c r="L924" s="22"/>
      <c r="M924" s="22"/>
      <c r="N924" s="28"/>
      <c r="O924" s="28"/>
      <c r="P924" s="53"/>
      <c r="Q924" s="53"/>
      <c r="R924" s="28"/>
      <c r="S924" s="53"/>
      <c r="T924" s="28"/>
      <c r="U924" s="28"/>
      <c r="V924" s="28"/>
      <c r="W924" s="28"/>
      <c r="X924" s="53"/>
      <c r="Y924" s="22"/>
      <c r="Z924" s="28"/>
      <c r="AA924" s="28"/>
      <c r="AB924" s="28"/>
      <c r="AC924" s="28"/>
      <c r="AD924" s="28"/>
      <c r="AE924" s="28"/>
      <c r="AF924" s="28"/>
      <c r="AG924" s="28"/>
    </row>
    <row r="925" spans="1:33" ht="15.75" customHeight="1">
      <c r="A925" s="28"/>
      <c r="B925" s="28"/>
      <c r="C925" s="28"/>
      <c r="D925" s="28"/>
      <c r="E925" s="28"/>
      <c r="F925" s="28"/>
      <c r="G925" s="28"/>
      <c r="H925" s="28"/>
      <c r="I925" s="22"/>
      <c r="J925" s="28"/>
      <c r="K925" s="28"/>
      <c r="L925" s="22"/>
      <c r="M925" s="22"/>
      <c r="N925" s="28"/>
      <c r="O925" s="28"/>
      <c r="P925" s="53"/>
      <c r="Q925" s="53"/>
      <c r="R925" s="28"/>
      <c r="S925" s="53"/>
      <c r="T925" s="28"/>
      <c r="U925" s="28"/>
      <c r="V925" s="28"/>
      <c r="W925" s="28"/>
      <c r="X925" s="53"/>
      <c r="Y925" s="22"/>
      <c r="Z925" s="28"/>
      <c r="AA925" s="28"/>
      <c r="AB925" s="28"/>
      <c r="AC925" s="28"/>
      <c r="AD925" s="28"/>
      <c r="AE925" s="28"/>
      <c r="AF925" s="28"/>
      <c r="AG925" s="28"/>
    </row>
    <row r="926" spans="1:33" ht="15.75" customHeight="1">
      <c r="A926" s="28"/>
      <c r="B926" s="28"/>
      <c r="C926" s="28"/>
      <c r="D926" s="28"/>
      <c r="E926" s="28"/>
      <c r="F926" s="28"/>
      <c r="G926" s="28"/>
      <c r="H926" s="28"/>
      <c r="I926" s="22"/>
      <c r="J926" s="28"/>
      <c r="K926" s="28"/>
      <c r="L926" s="22"/>
      <c r="M926" s="22"/>
      <c r="N926" s="28"/>
      <c r="O926" s="28"/>
      <c r="P926" s="53"/>
      <c r="Q926" s="53"/>
      <c r="R926" s="28"/>
      <c r="S926" s="53"/>
      <c r="T926" s="28"/>
      <c r="U926" s="28"/>
      <c r="V926" s="28"/>
      <c r="W926" s="28"/>
      <c r="X926" s="53"/>
      <c r="Y926" s="22"/>
      <c r="Z926" s="28"/>
      <c r="AA926" s="28"/>
      <c r="AB926" s="28"/>
      <c r="AC926" s="28"/>
      <c r="AD926" s="28"/>
      <c r="AE926" s="28"/>
      <c r="AF926" s="28"/>
      <c r="AG926" s="28"/>
    </row>
    <row r="927" spans="1:33" ht="15.75" customHeight="1">
      <c r="A927" s="28"/>
      <c r="B927" s="28"/>
      <c r="C927" s="28"/>
      <c r="D927" s="28"/>
      <c r="E927" s="28"/>
      <c r="F927" s="28"/>
      <c r="G927" s="28"/>
      <c r="H927" s="28"/>
      <c r="I927" s="22"/>
      <c r="J927" s="28"/>
      <c r="K927" s="28"/>
      <c r="L927" s="22"/>
      <c r="M927" s="22"/>
      <c r="N927" s="28"/>
      <c r="O927" s="28"/>
      <c r="P927" s="53"/>
      <c r="Q927" s="53"/>
      <c r="R927" s="28"/>
      <c r="S927" s="53"/>
      <c r="T927" s="28"/>
      <c r="U927" s="28"/>
      <c r="V927" s="28"/>
      <c r="W927" s="28"/>
      <c r="X927" s="53"/>
      <c r="Y927" s="22"/>
      <c r="Z927" s="28"/>
      <c r="AA927" s="28"/>
      <c r="AB927" s="28"/>
      <c r="AC927" s="28"/>
      <c r="AD927" s="28"/>
      <c r="AE927" s="28"/>
      <c r="AF927" s="28"/>
      <c r="AG927" s="28"/>
    </row>
    <row r="928" spans="1:33" ht="15.75" customHeight="1">
      <c r="A928" s="28"/>
      <c r="B928" s="28"/>
      <c r="C928" s="28"/>
      <c r="D928" s="28"/>
      <c r="E928" s="28"/>
      <c r="F928" s="28"/>
      <c r="G928" s="28"/>
      <c r="H928" s="28"/>
      <c r="I928" s="22"/>
      <c r="J928" s="28"/>
      <c r="K928" s="28"/>
      <c r="L928" s="22"/>
      <c r="M928" s="22"/>
      <c r="N928" s="28"/>
      <c r="O928" s="28"/>
      <c r="P928" s="53"/>
      <c r="Q928" s="53"/>
      <c r="R928" s="28"/>
      <c r="S928" s="53"/>
      <c r="T928" s="28"/>
      <c r="U928" s="28"/>
      <c r="V928" s="28"/>
      <c r="W928" s="28"/>
      <c r="X928" s="53"/>
      <c r="Y928" s="22"/>
      <c r="Z928" s="28"/>
      <c r="AA928" s="28"/>
      <c r="AB928" s="28"/>
      <c r="AC928" s="28"/>
      <c r="AD928" s="28"/>
      <c r="AE928" s="28"/>
      <c r="AF928" s="28"/>
      <c r="AG928" s="28"/>
    </row>
    <row r="929" spans="1:33" ht="15.75" customHeight="1">
      <c r="A929" s="28"/>
      <c r="B929" s="28"/>
      <c r="C929" s="28"/>
      <c r="D929" s="28"/>
      <c r="E929" s="28"/>
      <c r="F929" s="28"/>
      <c r="G929" s="28"/>
      <c r="H929" s="28"/>
      <c r="I929" s="22"/>
      <c r="J929" s="28"/>
      <c r="K929" s="28"/>
      <c r="L929" s="22"/>
      <c r="M929" s="22"/>
      <c r="N929" s="28"/>
      <c r="O929" s="28"/>
      <c r="P929" s="53"/>
      <c r="Q929" s="53"/>
      <c r="R929" s="28"/>
      <c r="S929" s="53"/>
      <c r="T929" s="28"/>
      <c r="U929" s="28"/>
      <c r="V929" s="28"/>
      <c r="W929" s="28"/>
      <c r="X929" s="53"/>
      <c r="Y929" s="22"/>
      <c r="Z929" s="28"/>
      <c r="AA929" s="28"/>
      <c r="AB929" s="28"/>
      <c r="AC929" s="28"/>
      <c r="AD929" s="28"/>
      <c r="AE929" s="28"/>
      <c r="AF929" s="28"/>
      <c r="AG929" s="28"/>
    </row>
    <row r="930" spans="1:33" ht="15.75" customHeight="1">
      <c r="A930" s="28"/>
      <c r="B930" s="28"/>
      <c r="C930" s="28"/>
      <c r="D930" s="28"/>
      <c r="E930" s="28"/>
      <c r="F930" s="28"/>
      <c r="G930" s="28"/>
      <c r="H930" s="28"/>
      <c r="I930" s="22"/>
      <c r="J930" s="28"/>
      <c r="K930" s="28"/>
      <c r="L930" s="22"/>
      <c r="M930" s="22"/>
      <c r="N930" s="28"/>
      <c r="O930" s="28"/>
      <c r="P930" s="53"/>
      <c r="Q930" s="53"/>
      <c r="R930" s="28"/>
      <c r="S930" s="53"/>
      <c r="T930" s="28"/>
      <c r="U930" s="28"/>
      <c r="V930" s="28"/>
      <c r="W930" s="28"/>
      <c r="X930" s="53"/>
      <c r="Y930" s="22"/>
      <c r="Z930" s="28"/>
      <c r="AA930" s="28"/>
      <c r="AB930" s="28"/>
      <c r="AC930" s="28"/>
      <c r="AD930" s="28"/>
      <c r="AE930" s="28"/>
      <c r="AF930" s="28"/>
      <c r="AG930" s="28"/>
    </row>
    <row r="931" spans="1:33" ht="15.75" customHeight="1">
      <c r="A931" s="28"/>
      <c r="B931" s="28"/>
      <c r="C931" s="28"/>
      <c r="D931" s="28"/>
      <c r="E931" s="28"/>
      <c r="F931" s="28"/>
      <c r="G931" s="28"/>
      <c r="H931" s="28"/>
      <c r="I931" s="22"/>
      <c r="J931" s="28"/>
      <c r="K931" s="28"/>
      <c r="L931" s="22"/>
      <c r="M931" s="22"/>
      <c r="N931" s="28"/>
      <c r="O931" s="28"/>
      <c r="P931" s="53"/>
      <c r="Q931" s="53"/>
      <c r="R931" s="28"/>
      <c r="S931" s="53"/>
      <c r="T931" s="28"/>
      <c r="U931" s="28"/>
      <c r="V931" s="28"/>
      <c r="W931" s="28"/>
      <c r="X931" s="53"/>
      <c r="Y931" s="22"/>
      <c r="Z931" s="28"/>
      <c r="AA931" s="28"/>
      <c r="AB931" s="28"/>
      <c r="AC931" s="28"/>
      <c r="AD931" s="28"/>
      <c r="AE931" s="28"/>
      <c r="AF931" s="28"/>
      <c r="AG931" s="28"/>
    </row>
    <row r="932" spans="1:33" ht="15.75" customHeight="1">
      <c r="A932" s="28"/>
      <c r="B932" s="28"/>
      <c r="C932" s="28"/>
      <c r="D932" s="28"/>
      <c r="E932" s="28"/>
      <c r="F932" s="28"/>
      <c r="G932" s="28"/>
      <c r="H932" s="28"/>
      <c r="I932" s="22"/>
      <c r="J932" s="28"/>
      <c r="K932" s="28"/>
      <c r="L932" s="22"/>
      <c r="M932" s="22"/>
      <c r="N932" s="28"/>
      <c r="O932" s="28"/>
      <c r="P932" s="53"/>
      <c r="Q932" s="53"/>
      <c r="R932" s="28"/>
      <c r="S932" s="53"/>
      <c r="T932" s="28"/>
      <c r="U932" s="28"/>
      <c r="V932" s="28"/>
      <c r="W932" s="28"/>
      <c r="X932" s="53"/>
      <c r="Y932" s="22"/>
      <c r="Z932" s="28"/>
      <c r="AA932" s="28"/>
      <c r="AB932" s="28"/>
      <c r="AC932" s="28"/>
      <c r="AD932" s="28"/>
      <c r="AE932" s="28"/>
      <c r="AF932" s="28"/>
      <c r="AG932" s="28"/>
    </row>
    <row r="933" spans="1:33" ht="15.75" customHeight="1">
      <c r="A933" s="28"/>
      <c r="B933" s="28"/>
      <c r="C933" s="28"/>
      <c r="D933" s="28"/>
      <c r="E933" s="28"/>
      <c r="F933" s="28"/>
      <c r="G933" s="28"/>
      <c r="H933" s="28"/>
      <c r="I933" s="22"/>
      <c r="J933" s="28"/>
      <c r="K933" s="28"/>
      <c r="L933" s="22"/>
      <c r="M933" s="22"/>
      <c r="N933" s="28"/>
      <c r="O933" s="28"/>
      <c r="P933" s="53"/>
      <c r="Q933" s="53"/>
      <c r="R933" s="28"/>
      <c r="S933" s="53"/>
      <c r="T933" s="28"/>
      <c r="U933" s="28"/>
      <c r="V933" s="28"/>
      <c r="W933" s="28"/>
      <c r="X933" s="53"/>
      <c r="Y933" s="22"/>
      <c r="Z933" s="28"/>
      <c r="AA933" s="28"/>
      <c r="AB933" s="28"/>
      <c r="AC933" s="28"/>
      <c r="AD933" s="28"/>
      <c r="AE933" s="28"/>
      <c r="AF933" s="28"/>
      <c r="AG933" s="28"/>
    </row>
    <row r="934" spans="1:33" ht="15.75" customHeight="1">
      <c r="A934" s="28"/>
      <c r="B934" s="28"/>
      <c r="C934" s="28"/>
      <c r="D934" s="28"/>
      <c r="E934" s="28"/>
      <c r="F934" s="28"/>
      <c r="G934" s="28"/>
      <c r="H934" s="28"/>
      <c r="I934" s="22"/>
      <c r="J934" s="28"/>
      <c r="K934" s="28"/>
      <c r="L934" s="22"/>
      <c r="M934" s="22"/>
      <c r="N934" s="28"/>
      <c r="O934" s="28"/>
      <c r="P934" s="53"/>
      <c r="Q934" s="53"/>
      <c r="R934" s="28"/>
      <c r="S934" s="53"/>
      <c r="T934" s="28"/>
      <c r="U934" s="28"/>
      <c r="V934" s="28"/>
      <c r="W934" s="28"/>
      <c r="X934" s="53"/>
      <c r="Y934" s="22"/>
      <c r="Z934" s="28"/>
      <c r="AA934" s="28"/>
      <c r="AB934" s="28"/>
      <c r="AC934" s="28"/>
      <c r="AD934" s="28"/>
      <c r="AE934" s="28"/>
      <c r="AF934" s="28"/>
      <c r="AG934" s="28"/>
    </row>
    <row r="935" spans="1:33" ht="15.75" customHeight="1">
      <c r="A935" s="28"/>
      <c r="B935" s="28"/>
      <c r="C935" s="28"/>
      <c r="D935" s="28"/>
      <c r="E935" s="28"/>
      <c r="F935" s="28"/>
      <c r="G935" s="28"/>
      <c r="H935" s="28"/>
      <c r="I935" s="22"/>
      <c r="J935" s="28"/>
      <c r="K935" s="28"/>
      <c r="L935" s="22"/>
      <c r="M935" s="22"/>
      <c r="N935" s="28"/>
      <c r="O935" s="28"/>
      <c r="P935" s="53"/>
      <c r="Q935" s="53"/>
      <c r="R935" s="28"/>
      <c r="S935" s="53"/>
      <c r="T935" s="28"/>
      <c r="U935" s="28"/>
      <c r="V935" s="28"/>
      <c r="W935" s="28"/>
      <c r="X935" s="53"/>
      <c r="Y935" s="22"/>
      <c r="Z935" s="28"/>
      <c r="AA935" s="28"/>
      <c r="AB935" s="28"/>
      <c r="AC935" s="28"/>
      <c r="AD935" s="28"/>
      <c r="AE935" s="28"/>
      <c r="AF935" s="28"/>
      <c r="AG935" s="28"/>
    </row>
    <row r="936" spans="1:33" ht="15.75" customHeight="1">
      <c r="A936" s="28"/>
      <c r="B936" s="28"/>
      <c r="C936" s="28"/>
      <c r="D936" s="28"/>
      <c r="E936" s="28"/>
      <c r="F936" s="28"/>
      <c r="G936" s="28"/>
      <c r="H936" s="28"/>
      <c r="I936" s="22"/>
      <c r="J936" s="28"/>
      <c r="K936" s="28"/>
      <c r="L936" s="22"/>
      <c r="M936" s="22"/>
      <c r="N936" s="28"/>
      <c r="O936" s="28"/>
      <c r="P936" s="53"/>
      <c r="Q936" s="53"/>
      <c r="R936" s="28"/>
      <c r="S936" s="53"/>
      <c r="T936" s="28"/>
      <c r="U936" s="28"/>
      <c r="V936" s="28"/>
      <c r="W936" s="28"/>
      <c r="X936" s="53"/>
      <c r="Y936" s="22"/>
      <c r="Z936" s="28"/>
      <c r="AA936" s="28"/>
      <c r="AB936" s="28"/>
      <c r="AC936" s="28"/>
      <c r="AD936" s="28"/>
      <c r="AE936" s="28"/>
      <c r="AF936" s="28"/>
      <c r="AG936" s="28"/>
    </row>
    <row r="937" spans="1:33" ht="15.75" customHeight="1">
      <c r="A937" s="28"/>
      <c r="B937" s="28"/>
      <c r="C937" s="28"/>
      <c r="D937" s="28"/>
      <c r="E937" s="28"/>
      <c r="F937" s="28"/>
      <c r="G937" s="28"/>
      <c r="H937" s="28"/>
      <c r="I937" s="22"/>
      <c r="J937" s="28"/>
      <c r="K937" s="28"/>
      <c r="L937" s="22"/>
      <c r="M937" s="22"/>
      <c r="N937" s="28"/>
      <c r="O937" s="28"/>
      <c r="P937" s="53"/>
      <c r="Q937" s="53"/>
      <c r="R937" s="28"/>
      <c r="S937" s="53"/>
      <c r="T937" s="28"/>
      <c r="U937" s="28"/>
      <c r="V937" s="28"/>
      <c r="W937" s="28"/>
      <c r="X937" s="53"/>
      <c r="Y937" s="22"/>
      <c r="Z937" s="28"/>
      <c r="AA937" s="28"/>
      <c r="AB937" s="28"/>
      <c r="AC937" s="28"/>
      <c r="AD937" s="28"/>
      <c r="AE937" s="28"/>
      <c r="AF937" s="28"/>
      <c r="AG937" s="28"/>
    </row>
    <row r="938" spans="1:33" ht="15.75" customHeight="1">
      <c r="A938" s="28"/>
      <c r="B938" s="28"/>
      <c r="C938" s="28"/>
      <c r="D938" s="28"/>
      <c r="E938" s="28"/>
      <c r="F938" s="28"/>
      <c r="G938" s="28"/>
      <c r="H938" s="28"/>
      <c r="I938" s="22"/>
      <c r="J938" s="28"/>
      <c r="K938" s="28"/>
      <c r="L938" s="22"/>
      <c r="M938" s="22"/>
      <c r="N938" s="28"/>
      <c r="O938" s="28"/>
      <c r="P938" s="53"/>
      <c r="Q938" s="53"/>
      <c r="R938" s="28"/>
      <c r="S938" s="53"/>
      <c r="T938" s="28"/>
      <c r="U938" s="28"/>
      <c r="V938" s="28"/>
      <c r="W938" s="28"/>
      <c r="X938" s="53"/>
      <c r="Y938" s="22"/>
      <c r="Z938" s="28"/>
      <c r="AA938" s="28"/>
      <c r="AB938" s="28"/>
      <c r="AC938" s="28"/>
      <c r="AD938" s="28"/>
      <c r="AE938" s="28"/>
      <c r="AF938" s="28"/>
      <c r="AG938" s="28"/>
    </row>
    <row r="939" spans="1:33" ht="15.75" customHeight="1">
      <c r="A939" s="28"/>
      <c r="B939" s="28"/>
      <c r="C939" s="28"/>
      <c r="D939" s="28"/>
      <c r="E939" s="28"/>
      <c r="F939" s="28"/>
      <c r="G939" s="28"/>
      <c r="H939" s="28"/>
      <c r="I939" s="22"/>
      <c r="J939" s="28"/>
      <c r="K939" s="28"/>
      <c r="L939" s="22"/>
      <c r="M939" s="22"/>
      <c r="N939" s="28"/>
      <c r="O939" s="28"/>
      <c r="P939" s="53"/>
      <c r="Q939" s="53"/>
      <c r="R939" s="28"/>
      <c r="S939" s="53"/>
      <c r="T939" s="28"/>
      <c r="U939" s="28"/>
      <c r="V939" s="28"/>
      <c r="W939" s="28"/>
      <c r="X939" s="53"/>
      <c r="Y939" s="22"/>
      <c r="Z939" s="28"/>
      <c r="AA939" s="28"/>
      <c r="AB939" s="28"/>
      <c r="AC939" s="28"/>
      <c r="AD939" s="28"/>
      <c r="AE939" s="28"/>
      <c r="AF939" s="28"/>
      <c r="AG939" s="28"/>
    </row>
    <row r="940" spans="1:33" ht="15.75" customHeight="1">
      <c r="A940" s="28"/>
      <c r="B940" s="28"/>
      <c r="C940" s="28"/>
      <c r="D940" s="28"/>
      <c r="E940" s="28"/>
      <c r="F940" s="28"/>
      <c r="G940" s="28"/>
      <c r="H940" s="28"/>
      <c r="I940" s="22"/>
      <c r="J940" s="28"/>
      <c r="K940" s="28"/>
      <c r="L940" s="22"/>
      <c r="M940" s="22"/>
      <c r="N940" s="28"/>
      <c r="O940" s="28"/>
      <c r="P940" s="53"/>
      <c r="Q940" s="53"/>
      <c r="R940" s="28"/>
      <c r="S940" s="53"/>
      <c r="T940" s="28"/>
      <c r="U940" s="28"/>
      <c r="V940" s="28"/>
      <c r="W940" s="28"/>
      <c r="X940" s="53"/>
      <c r="Y940" s="22"/>
      <c r="Z940" s="28"/>
      <c r="AA940" s="28"/>
      <c r="AB940" s="28"/>
      <c r="AC940" s="28"/>
      <c r="AD940" s="28"/>
      <c r="AE940" s="28"/>
      <c r="AF940" s="28"/>
      <c r="AG940" s="28"/>
    </row>
    <row r="941" spans="1:33" ht="15.75" customHeight="1">
      <c r="A941" s="28"/>
      <c r="B941" s="28"/>
      <c r="C941" s="28"/>
      <c r="D941" s="28"/>
      <c r="E941" s="28"/>
      <c r="F941" s="28"/>
      <c r="G941" s="28"/>
      <c r="H941" s="28"/>
      <c r="I941" s="22"/>
      <c r="J941" s="28"/>
      <c r="K941" s="28"/>
      <c r="L941" s="22"/>
      <c r="M941" s="22"/>
      <c r="N941" s="28"/>
      <c r="O941" s="28"/>
      <c r="P941" s="53"/>
      <c r="Q941" s="53"/>
      <c r="R941" s="28"/>
      <c r="S941" s="53"/>
      <c r="T941" s="28"/>
      <c r="U941" s="28"/>
      <c r="V941" s="28"/>
      <c r="W941" s="28"/>
      <c r="X941" s="53"/>
      <c r="Y941" s="22"/>
      <c r="Z941" s="28"/>
      <c r="AA941" s="28"/>
      <c r="AB941" s="28"/>
      <c r="AC941" s="28"/>
      <c r="AD941" s="28"/>
      <c r="AE941" s="28"/>
      <c r="AF941" s="28"/>
      <c r="AG941" s="28"/>
    </row>
    <row r="942" spans="1:33" ht="15.75" customHeight="1">
      <c r="A942" s="28"/>
      <c r="B942" s="28"/>
      <c r="C942" s="28"/>
      <c r="D942" s="28"/>
      <c r="E942" s="28"/>
      <c r="F942" s="28"/>
      <c r="G942" s="28"/>
      <c r="H942" s="28"/>
      <c r="I942" s="22"/>
      <c r="J942" s="28"/>
      <c r="K942" s="28"/>
      <c r="L942" s="22"/>
      <c r="M942" s="22"/>
      <c r="N942" s="28"/>
      <c r="O942" s="28"/>
      <c r="P942" s="53"/>
      <c r="Q942" s="53"/>
      <c r="R942" s="28"/>
      <c r="S942" s="53"/>
      <c r="T942" s="28"/>
      <c r="U942" s="28"/>
      <c r="V942" s="28"/>
      <c r="W942" s="28"/>
      <c r="X942" s="53"/>
      <c r="Y942" s="22"/>
      <c r="Z942" s="28"/>
      <c r="AA942" s="28"/>
      <c r="AB942" s="28"/>
      <c r="AC942" s="28"/>
      <c r="AD942" s="28"/>
      <c r="AE942" s="28"/>
      <c r="AF942" s="28"/>
      <c r="AG942" s="28"/>
    </row>
    <row r="943" spans="1:33" ht="15.75" customHeight="1">
      <c r="A943" s="28"/>
      <c r="B943" s="28"/>
      <c r="C943" s="28"/>
      <c r="D943" s="28"/>
      <c r="E943" s="28"/>
      <c r="F943" s="28"/>
      <c r="G943" s="28"/>
      <c r="H943" s="28"/>
      <c r="I943" s="22"/>
      <c r="J943" s="28"/>
      <c r="K943" s="28"/>
      <c r="L943" s="22"/>
      <c r="M943" s="22"/>
      <c r="N943" s="28"/>
      <c r="O943" s="28"/>
      <c r="P943" s="53"/>
      <c r="Q943" s="53"/>
      <c r="R943" s="28"/>
      <c r="S943" s="53"/>
      <c r="T943" s="28"/>
      <c r="U943" s="28"/>
      <c r="V943" s="28"/>
      <c r="W943" s="28"/>
      <c r="X943" s="53"/>
      <c r="Y943" s="22"/>
      <c r="Z943" s="28"/>
      <c r="AA943" s="28"/>
      <c r="AB943" s="28"/>
      <c r="AC943" s="28"/>
      <c r="AD943" s="28"/>
      <c r="AE943" s="28"/>
      <c r="AF943" s="28"/>
      <c r="AG943" s="28"/>
    </row>
    <row r="944" spans="1:33" ht="15.75" customHeight="1">
      <c r="A944" s="28"/>
      <c r="B944" s="28"/>
      <c r="C944" s="28"/>
      <c r="D944" s="28"/>
      <c r="E944" s="28"/>
      <c r="F944" s="28"/>
      <c r="G944" s="28"/>
      <c r="H944" s="28"/>
      <c r="I944" s="22"/>
      <c r="J944" s="28"/>
      <c r="K944" s="28"/>
      <c r="L944" s="22"/>
      <c r="M944" s="22"/>
      <c r="N944" s="28"/>
      <c r="O944" s="28"/>
      <c r="P944" s="53"/>
      <c r="Q944" s="53"/>
      <c r="R944" s="28"/>
      <c r="S944" s="53"/>
      <c r="T944" s="28"/>
      <c r="U944" s="28"/>
      <c r="V944" s="28"/>
      <c r="W944" s="28"/>
      <c r="X944" s="53"/>
      <c r="Y944" s="22"/>
      <c r="Z944" s="28"/>
      <c r="AA944" s="28"/>
      <c r="AB944" s="28"/>
      <c r="AC944" s="28"/>
      <c r="AD944" s="28"/>
      <c r="AE944" s="28"/>
      <c r="AF944" s="28"/>
      <c r="AG944" s="28"/>
    </row>
    <row r="945" spans="1:33" ht="15.75" customHeight="1">
      <c r="A945" s="28"/>
      <c r="B945" s="28"/>
      <c r="C945" s="28"/>
      <c r="D945" s="28"/>
      <c r="E945" s="28"/>
      <c r="F945" s="28"/>
      <c r="G945" s="28"/>
      <c r="H945" s="28"/>
      <c r="I945" s="22"/>
      <c r="J945" s="28"/>
      <c r="K945" s="28"/>
      <c r="L945" s="22"/>
      <c r="M945" s="22"/>
      <c r="N945" s="28"/>
      <c r="O945" s="28"/>
      <c r="P945" s="53"/>
      <c r="Q945" s="53"/>
      <c r="R945" s="28"/>
      <c r="S945" s="53"/>
      <c r="T945" s="28"/>
      <c r="U945" s="28"/>
      <c r="V945" s="28"/>
      <c r="W945" s="28"/>
      <c r="X945" s="53"/>
      <c r="Y945" s="22"/>
      <c r="Z945" s="28"/>
      <c r="AA945" s="28"/>
      <c r="AB945" s="28"/>
      <c r="AC945" s="28"/>
      <c r="AD945" s="28"/>
      <c r="AE945" s="28"/>
      <c r="AF945" s="28"/>
      <c r="AG945" s="28"/>
    </row>
    <row r="946" spans="1:33" ht="15.75" customHeight="1">
      <c r="A946" s="28"/>
      <c r="B946" s="28"/>
      <c r="C946" s="28"/>
      <c r="D946" s="28"/>
      <c r="E946" s="28"/>
      <c r="F946" s="28"/>
      <c r="G946" s="28"/>
      <c r="H946" s="28"/>
      <c r="I946" s="22"/>
      <c r="J946" s="28"/>
      <c r="K946" s="28"/>
      <c r="L946" s="22"/>
      <c r="M946" s="22"/>
      <c r="N946" s="28"/>
      <c r="O946" s="28"/>
      <c r="P946" s="53"/>
      <c r="Q946" s="53"/>
      <c r="R946" s="28"/>
      <c r="S946" s="53"/>
      <c r="T946" s="28"/>
      <c r="U946" s="28"/>
      <c r="V946" s="28"/>
      <c r="W946" s="28"/>
      <c r="X946" s="53"/>
      <c r="Y946" s="22"/>
      <c r="Z946" s="28"/>
      <c r="AA946" s="28"/>
      <c r="AB946" s="28"/>
      <c r="AC946" s="28"/>
      <c r="AD946" s="28"/>
      <c r="AE946" s="28"/>
      <c r="AF946" s="28"/>
      <c r="AG946" s="28"/>
    </row>
    <row r="947" spans="1:33" ht="15.75" customHeight="1">
      <c r="A947" s="28"/>
      <c r="B947" s="28"/>
      <c r="C947" s="28"/>
      <c r="D947" s="28"/>
      <c r="E947" s="28"/>
      <c r="F947" s="28"/>
      <c r="G947" s="28"/>
      <c r="H947" s="28"/>
      <c r="I947" s="22"/>
      <c r="J947" s="28"/>
      <c r="K947" s="28"/>
      <c r="L947" s="22"/>
      <c r="M947" s="22"/>
      <c r="N947" s="28"/>
      <c r="O947" s="28"/>
      <c r="P947" s="53"/>
      <c r="Q947" s="53"/>
      <c r="R947" s="28"/>
      <c r="S947" s="53"/>
      <c r="T947" s="28"/>
      <c r="U947" s="28"/>
      <c r="V947" s="28"/>
      <c r="W947" s="28"/>
      <c r="X947" s="53"/>
      <c r="Y947" s="22"/>
      <c r="Z947" s="28"/>
      <c r="AA947" s="28"/>
      <c r="AB947" s="28"/>
      <c r="AC947" s="28"/>
      <c r="AD947" s="28"/>
      <c r="AE947" s="28"/>
      <c r="AF947" s="28"/>
      <c r="AG947" s="28"/>
    </row>
    <row r="948" spans="1:33" ht="15.75" customHeight="1">
      <c r="A948" s="28"/>
      <c r="B948" s="28"/>
      <c r="C948" s="28"/>
      <c r="D948" s="28"/>
      <c r="E948" s="28"/>
      <c r="F948" s="28"/>
      <c r="G948" s="28"/>
      <c r="H948" s="28"/>
      <c r="I948" s="22"/>
      <c r="J948" s="28"/>
      <c r="K948" s="28"/>
      <c r="L948" s="22"/>
      <c r="M948" s="22"/>
      <c r="N948" s="28"/>
      <c r="O948" s="28"/>
      <c r="P948" s="53"/>
      <c r="Q948" s="53"/>
      <c r="R948" s="28"/>
      <c r="S948" s="53"/>
      <c r="T948" s="28"/>
      <c r="U948" s="28"/>
      <c r="V948" s="28"/>
      <c r="W948" s="28"/>
      <c r="X948" s="53"/>
      <c r="Y948" s="22"/>
      <c r="Z948" s="28"/>
      <c r="AA948" s="28"/>
      <c r="AB948" s="28"/>
      <c r="AC948" s="28"/>
      <c r="AD948" s="28"/>
      <c r="AE948" s="28"/>
      <c r="AF948" s="28"/>
      <c r="AG948" s="28"/>
    </row>
    <row r="949" spans="1:33" ht="15.75" customHeight="1">
      <c r="A949" s="28"/>
      <c r="B949" s="28"/>
      <c r="C949" s="28"/>
      <c r="D949" s="28"/>
      <c r="E949" s="28"/>
      <c r="F949" s="28"/>
      <c r="G949" s="28"/>
      <c r="H949" s="28"/>
      <c r="I949" s="22"/>
      <c r="J949" s="28"/>
      <c r="K949" s="28"/>
      <c r="L949" s="22"/>
      <c r="M949" s="22"/>
      <c r="N949" s="28"/>
      <c r="O949" s="28"/>
      <c r="P949" s="53"/>
      <c r="Q949" s="53"/>
      <c r="R949" s="28"/>
      <c r="S949" s="53"/>
      <c r="T949" s="28"/>
      <c r="U949" s="28"/>
      <c r="V949" s="28"/>
      <c r="W949" s="28"/>
      <c r="X949" s="53"/>
      <c r="Y949" s="22"/>
      <c r="Z949" s="28"/>
      <c r="AA949" s="28"/>
      <c r="AB949" s="28"/>
      <c r="AC949" s="28"/>
      <c r="AD949" s="28"/>
      <c r="AE949" s="28"/>
      <c r="AF949" s="28"/>
      <c r="AG949" s="28"/>
    </row>
    <row r="950" spans="1:33" ht="15.75" customHeight="1">
      <c r="A950" s="28"/>
      <c r="B950" s="28"/>
      <c r="C950" s="28"/>
      <c r="D950" s="28"/>
      <c r="E950" s="28"/>
      <c r="F950" s="28"/>
      <c r="G950" s="28"/>
      <c r="H950" s="28"/>
      <c r="I950" s="22"/>
      <c r="J950" s="28"/>
      <c r="K950" s="28"/>
      <c r="L950" s="22"/>
      <c r="M950" s="22"/>
      <c r="N950" s="28"/>
      <c r="O950" s="28"/>
      <c r="P950" s="53"/>
      <c r="Q950" s="53"/>
      <c r="R950" s="28"/>
      <c r="S950" s="53"/>
      <c r="T950" s="28"/>
      <c r="U950" s="28"/>
      <c r="V950" s="28"/>
      <c r="W950" s="28"/>
      <c r="X950" s="53"/>
      <c r="Y950" s="22"/>
      <c r="Z950" s="28"/>
      <c r="AA950" s="28"/>
      <c r="AB950" s="28"/>
      <c r="AC950" s="28"/>
      <c r="AD950" s="28"/>
      <c r="AE950" s="28"/>
      <c r="AF950" s="28"/>
      <c r="AG950" s="28"/>
    </row>
    <row r="951" spans="1:33" ht="15.75" customHeight="1">
      <c r="A951" s="28"/>
      <c r="B951" s="28"/>
      <c r="C951" s="28"/>
      <c r="D951" s="28"/>
      <c r="E951" s="28"/>
      <c r="F951" s="28"/>
      <c r="G951" s="28"/>
      <c r="H951" s="28"/>
      <c r="I951" s="22"/>
      <c r="J951" s="28"/>
      <c r="K951" s="28"/>
      <c r="L951" s="22"/>
      <c r="M951" s="22"/>
      <c r="N951" s="28"/>
      <c r="O951" s="28"/>
      <c r="P951" s="53"/>
      <c r="Q951" s="53"/>
      <c r="R951" s="28"/>
      <c r="S951" s="53"/>
      <c r="T951" s="28"/>
      <c r="U951" s="28"/>
      <c r="V951" s="28"/>
      <c r="W951" s="28"/>
      <c r="X951" s="53"/>
      <c r="Y951" s="22"/>
      <c r="Z951" s="28"/>
      <c r="AA951" s="28"/>
      <c r="AB951" s="28"/>
      <c r="AC951" s="28"/>
      <c r="AD951" s="28"/>
      <c r="AE951" s="28"/>
      <c r="AF951" s="28"/>
      <c r="AG951" s="28"/>
    </row>
    <row r="952" spans="1:33" ht="15.75" customHeight="1">
      <c r="A952" s="28"/>
      <c r="B952" s="28"/>
      <c r="C952" s="28"/>
      <c r="D952" s="28"/>
      <c r="E952" s="28"/>
      <c r="F952" s="28"/>
      <c r="G952" s="28"/>
      <c r="H952" s="28"/>
      <c r="I952" s="22"/>
      <c r="J952" s="28"/>
      <c r="K952" s="28"/>
      <c r="L952" s="22"/>
      <c r="M952" s="22"/>
      <c r="N952" s="28"/>
      <c r="O952" s="28"/>
      <c r="P952" s="53"/>
      <c r="Q952" s="53"/>
      <c r="R952" s="28"/>
      <c r="S952" s="53"/>
      <c r="T952" s="28"/>
      <c r="U952" s="28"/>
      <c r="V952" s="28"/>
      <c r="W952" s="28"/>
      <c r="X952" s="53"/>
      <c r="Y952" s="22"/>
      <c r="Z952" s="28"/>
      <c r="AA952" s="28"/>
      <c r="AB952" s="28"/>
      <c r="AC952" s="28"/>
      <c r="AD952" s="28"/>
      <c r="AE952" s="28"/>
      <c r="AF952" s="28"/>
      <c r="AG952" s="28"/>
    </row>
    <row r="953" spans="1:33" ht="15.75" customHeight="1">
      <c r="A953" s="28"/>
      <c r="B953" s="28"/>
      <c r="C953" s="28"/>
      <c r="D953" s="28"/>
      <c r="E953" s="28"/>
      <c r="F953" s="28"/>
      <c r="G953" s="28"/>
      <c r="H953" s="28"/>
      <c r="I953" s="22"/>
      <c r="J953" s="28"/>
      <c r="K953" s="28"/>
      <c r="L953" s="22"/>
      <c r="M953" s="22"/>
      <c r="N953" s="28"/>
      <c r="O953" s="28"/>
      <c r="P953" s="53"/>
      <c r="Q953" s="53"/>
      <c r="R953" s="28"/>
      <c r="S953" s="53"/>
      <c r="T953" s="28"/>
      <c r="U953" s="28"/>
      <c r="V953" s="28"/>
      <c r="W953" s="28"/>
      <c r="X953" s="53"/>
      <c r="Y953" s="22"/>
      <c r="Z953" s="28"/>
      <c r="AA953" s="28"/>
      <c r="AB953" s="28"/>
      <c r="AC953" s="28"/>
      <c r="AD953" s="28"/>
      <c r="AE953" s="28"/>
      <c r="AF953" s="28"/>
      <c r="AG953" s="28"/>
    </row>
    <row r="954" spans="1:33" ht="15.75" customHeight="1">
      <c r="A954" s="28"/>
      <c r="B954" s="28"/>
      <c r="C954" s="28"/>
      <c r="D954" s="28"/>
      <c r="E954" s="28"/>
      <c r="F954" s="28"/>
      <c r="G954" s="28"/>
      <c r="H954" s="28"/>
      <c r="I954" s="22"/>
      <c r="J954" s="28"/>
      <c r="K954" s="28"/>
      <c r="L954" s="22"/>
      <c r="M954" s="22"/>
      <c r="N954" s="28"/>
      <c r="O954" s="28"/>
      <c r="P954" s="53"/>
      <c r="Q954" s="53"/>
      <c r="R954" s="28"/>
      <c r="S954" s="53"/>
      <c r="T954" s="28"/>
      <c r="U954" s="28"/>
      <c r="V954" s="28"/>
      <c r="W954" s="28"/>
      <c r="X954" s="53"/>
      <c r="Y954" s="22"/>
      <c r="Z954" s="28"/>
      <c r="AA954" s="28"/>
      <c r="AB954" s="28"/>
      <c r="AC954" s="28"/>
      <c r="AD954" s="28"/>
      <c r="AE954" s="28"/>
      <c r="AF954" s="28"/>
      <c r="AG954" s="28"/>
    </row>
    <row r="955" spans="1:33" ht="15.75" customHeight="1">
      <c r="A955" s="28"/>
      <c r="B955" s="28"/>
      <c r="C955" s="28"/>
      <c r="D955" s="28"/>
      <c r="E955" s="28"/>
      <c r="F955" s="28"/>
      <c r="G955" s="28"/>
      <c r="H955" s="28"/>
      <c r="I955" s="22"/>
      <c r="J955" s="28"/>
      <c r="K955" s="28"/>
      <c r="L955" s="22"/>
      <c r="M955" s="22"/>
      <c r="N955" s="28"/>
      <c r="O955" s="28"/>
      <c r="P955" s="53"/>
      <c r="Q955" s="53"/>
      <c r="R955" s="28"/>
      <c r="S955" s="53"/>
      <c r="T955" s="28"/>
      <c r="U955" s="28"/>
      <c r="V955" s="28"/>
      <c r="W955" s="28"/>
      <c r="X955" s="53"/>
      <c r="Y955" s="22"/>
      <c r="Z955" s="28"/>
      <c r="AA955" s="28"/>
      <c r="AB955" s="28"/>
      <c r="AC955" s="28"/>
      <c r="AD955" s="28"/>
      <c r="AE955" s="28"/>
      <c r="AF955" s="28"/>
      <c r="AG955" s="28"/>
    </row>
    <row r="956" spans="1:33" ht="15.75" customHeight="1">
      <c r="A956" s="28"/>
      <c r="B956" s="28"/>
      <c r="C956" s="28"/>
      <c r="D956" s="28"/>
      <c r="E956" s="28"/>
      <c r="F956" s="28"/>
      <c r="G956" s="28"/>
      <c r="H956" s="28"/>
      <c r="I956" s="22"/>
      <c r="J956" s="28"/>
      <c r="K956" s="28"/>
      <c r="L956" s="22"/>
      <c r="M956" s="22"/>
      <c r="N956" s="28"/>
      <c r="O956" s="28"/>
      <c r="P956" s="53"/>
      <c r="Q956" s="53"/>
      <c r="R956" s="28"/>
      <c r="S956" s="53"/>
      <c r="T956" s="28"/>
      <c r="U956" s="28"/>
      <c r="V956" s="28"/>
      <c r="W956" s="28"/>
      <c r="X956" s="53"/>
      <c r="Y956" s="22"/>
      <c r="Z956" s="28"/>
      <c r="AA956" s="28"/>
      <c r="AB956" s="28"/>
      <c r="AC956" s="28"/>
      <c r="AD956" s="28"/>
      <c r="AE956" s="28"/>
      <c r="AF956" s="28"/>
      <c r="AG956" s="28"/>
    </row>
    <row r="957" spans="1:33" ht="15.75" customHeight="1">
      <c r="A957" s="28"/>
      <c r="B957" s="28"/>
      <c r="C957" s="28"/>
      <c r="D957" s="28"/>
      <c r="E957" s="28"/>
      <c r="F957" s="28"/>
      <c r="G957" s="28"/>
      <c r="H957" s="28"/>
      <c r="I957" s="22"/>
      <c r="J957" s="28"/>
      <c r="K957" s="28"/>
      <c r="L957" s="22"/>
      <c r="M957" s="22"/>
      <c r="N957" s="28"/>
      <c r="O957" s="28"/>
      <c r="P957" s="53"/>
      <c r="Q957" s="53"/>
      <c r="R957" s="28"/>
      <c r="S957" s="53"/>
      <c r="T957" s="28"/>
      <c r="U957" s="28"/>
      <c r="V957" s="28"/>
      <c r="W957" s="28"/>
      <c r="X957" s="53"/>
      <c r="Y957" s="22"/>
      <c r="Z957" s="28"/>
      <c r="AA957" s="28"/>
      <c r="AB957" s="28"/>
      <c r="AC957" s="28"/>
      <c r="AD957" s="28"/>
      <c r="AE957" s="28"/>
      <c r="AF957" s="28"/>
      <c r="AG957" s="28"/>
    </row>
    <row r="958" spans="1:33" ht="15.75" customHeight="1">
      <c r="A958" s="28"/>
      <c r="B958" s="28"/>
      <c r="C958" s="28"/>
      <c r="D958" s="28"/>
      <c r="E958" s="28"/>
      <c r="F958" s="28"/>
      <c r="G958" s="28"/>
      <c r="H958" s="28"/>
      <c r="I958" s="22"/>
      <c r="J958" s="28"/>
      <c r="K958" s="28"/>
      <c r="L958" s="22"/>
      <c r="M958" s="22"/>
      <c r="N958" s="28"/>
      <c r="O958" s="28"/>
      <c r="P958" s="53"/>
      <c r="Q958" s="53"/>
      <c r="R958" s="28"/>
      <c r="S958" s="53"/>
      <c r="T958" s="28"/>
      <c r="U958" s="28"/>
      <c r="V958" s="28"/>
      <c r="W958" s="28"/>
      <c r="X958" s="53"/>
      <c r="Y958" s="22"/>
      <c r="Z958" s="28"/>
      <c r="AA958" s="28"/>
      <c r="AB958" s="28"/>
      <c r="AC958" s="28"/>
      <c r="AD958" s="28"/>
      <c r="AE958" s="28"/>
      <c r="AF958" s="28"/>
      <c r="AG958" s="28"/>
    </row>
    <row r="959" spans="1:33" ht="15.75" customHeight="1">
      <c r="A959" s="28"/>
      <c r="B959" s="28"/>
      <c r="C959" s="28"/>
      <c r="D959" s="28"/>
      <c r="E959" s="28"/>
      <c r="F959" s="28"/>
      <c r="G959" s="28"/>
      <c r="H959" s="28"/>
      <c r="I959" s="22"/>
      <c r="J959" s="28"/>
      <c r="K959" s="28"/>
      <c r="L959" s="22"/>
      <c r="M959" s="22"/>
      <c r="N959" s="28"/>
      <c r="O959" s="28"/>
      <c r="P959" s="53"/>
      <c r="Q959" s="53"/>
      <c r="R959" s="28"/>
      <c r="S959" s="53"/>
      <c r="T959" s="28"/>
      <c r="U959" s="28"/>
      <c r="V959" s="28"/>
      <c r="W959" s="28"/>
      <c r="X959" s="53"/>
      <c r="Y959" s="22"/>
      <c r="Z959" s="28"/>
      <c r="AA959" s="28"/>
      <c r="AB959" s="28"/>
      <c r="AC959" s="28"/>
      <c r="AD959" s="28"/>
      <c r="AE959" s="28"/>
      <c r="AF959" s="28"/>
      <c r="AG959" s="28"/>
    </row>
    <row r="960" spans="1:33" ht="15.75" customHeight="1">
      <c r="A960" s="28"/>
      <c r="B960" s="28"/>
      <c r="C960" s="28"/>
      <c r="D960" s="28"/>
      <c r="E960" s="28"/>
      <c r="F960" s="28"/>
      <c r="G960" s="28"/>
      <c r="H960" s="28"/>
      <c r="I960" s="22"/>
      <c r="J960" s="28"/>
      <c r="K960" s="28"/>
      <c r="L960" s="22"/>
      <c r="M960" s="22"/>
      <c r="N960" s="28"/>
      <c r="O960" s="28"/>
      <c r="P960" s="53"/>
      <c r="Q960" s="53"/>
      <c r="R960" s="28"/>
      <c r="S960" s="53"/>
      <c r="T960" s="28"/>
      <c r="U960" s="28"/>
      <c r="V960" s="28"/>
      <c r="W960" s="28"/>
      <c r="X960" s="53"/>
      <c r="Y960" s="22"/>
      <c r="Z960" s="28"/>
      <c r="AA960" s="28"/>
      <c r="AB960" s="28"/>
      <c r="AC960" s="28"/>
      <c r="AD960" s="28"/>
      <c r="AE960" s="28"/>
      <c r="AF960" s="28"/>
      <c r="AG960" s="28"/>
    </row>
    <row r="961" spans="1:33" ht="15.75" customHeight="1">
      <c r="A961" s="28"/>
      <c r="B961" s="28"/>
      <c r="C961" s="28"/>
      <c r="D961" s="28"/>
      <c r="E961" s="28"/>
      <c r="F961" s="28"/>
      <c r="G961" s="28"/>
      <c r="H961" s="28"/>
      <c r="I961" s="22"/>
      <c r="J961" s="28"/>
      <c r="K961" s="28"/>
      <c r="L961" s="22"/>
      <c r="M961" s="22"/>
      <c r="N961" s="28"/>
      <c r="O961" s="28"/>
      <c r="P961" s="53"/>
      <c r="Q961" s="53"/>
      <c r="R961" s="28"/>
      <c r="S961" s="53"/>
      <c r="T961" s="28"/>
      <c r="U961" s="28"/>
      <c r="V961" s="28"/>
      <c r="W961" s="28"/>
      <c r="X961" s="53"/>
      <c r="Y961" s="22"/>
      <c r="Z961" s="28"/>
      <c r="AA961" s="28"/>
      <c r="AB961" s="28"/>
      <c r="AC961" s="28"/>
      <c r="AD961" s="28"/>
      <c r="AE961" s="28"/>
      <c r="AF961" s="28"/>
      <c r="AG961" s="28"/>
    </row>
    <row r="962" spans="1:33" ht="15.75" customHeight="1">
      <c r="A962" s="28"/>
      <c r="B962" s="28"/>
      <c r="C962" s="28"/>
      <c r="D962" s="28"/>
      <c r="E962" s="28"/>
      <c r="F962" s="28"/>
      <c r="G962" s="28"/>
      <c r="H962" s="28"/>
      <c r="I962" s="22"/>
      <c r="J962" s="28"/>
      <c r="K962" s="28"/>
      <c r="L962" s="22"/>
      <c r="M962" s="22"/>
      <c r="N962" s="28"/>
      <c r="O962" s="28"/>
      <c r="P962" s="53"/>
      <c r="Q962" s="53"/>
      <c r="R962" s="28"/>
      <c r="S962" s="53"/>
      <c r="T962" s="28"/>
      <c r="U962" s="28"/>
      <c r="V962" s="28"/>
      <c r="W962" s="28"/>
      <c r="X962" s="53"/>
      <c r="Y962" s="22"/>
      <c r="Z962" s="28"/>
      <c r="AA962" s="28"/>
      <c r="AB962" s="28"/>
      <c r="AC962" s="28"/>
      <c r="AD962" s="28"/>
      <c r="AE962" s="28"/>
      <c r="AF962" s="28"/>
      <c r="AG962" s="28"/>
    </row>
    <row r="963" spans="1:33" ht="15.75" customHeight="1">
      <c r="A963" s="28"/>
      <c r="B963" s="28"/>
      <c r="C963" s="28"/>
      <c r="D963" s="28"/>
      <c r="E963" s="28"/>
      <c r="F963" s="28"/>
      <c r="G963" s="28"/>
      <c r="H963" s="28"/>
      <c r="I963" s="22"/>
      <c r="J963" s="28"/>
      <c r="K963" s="28"/>
      <c r="L963" s="22"/>
      <c r="M963" s="22"/>
      <c r="N963" s="28"/>
      <c r="O963" s="28"/>
      <c r="P963" s="53"/>
      <c r="Q963" s="53"/>
      <c r="R963" s="28"/>
      <c r="S963" s="53"/>
      <c r="T963" s="28"/>
      <c r="U963" s="28"/>
      <c r="V963" s="28"/>
      <c r="W963" s="28"/>
      <c r="X963" s="53"/>
      <c r="Y963" s="22"/>
      <c r="Z963" s="28"/>
      <c r="AA963" s="28"/>
      <c r="AB963" s="28"/>
      <c r="AC963" s="28"/>
      <c r="AD963" s="28"/>
      <c r="AE963" s="28"/>
      <c r="AF963" s="28"/>
      <c r="AG963" s="28"/>
    </row>
    <row r="964" spans="1:33" ht="15.75" customHeight="1">
      <c r="A964" s="28"/>
      <c r="B964" s="28"/>
      <c r="C964" s="28"/>
      <c r="D964" s="28"/>
      <c r="E964" s="28"/>
      <c r="F964" s="28"/>
      <c r="G964" s="28"/>
      <c r="H964" s="28"/>
      <c r="I964" s="22"/>
      <c r="J964" s="28"/>
      <c r="K964" s="28"/>
      <c r="L964" s="22"/>
      <c r="M964" s="22"/>
      <c r="N964" s="28"/>
      <c r="O964" s="28"/>
      <c r="P964" s="53"/>
      <c r="Q964" s="53"/>
      <c r="R964" s="28"/>
      <c r="S964" s="53"/>
      <c r="T964" s="28"/>
      <c r="U964" s="28"/>
      <c r="V964" s="28"/>
      <c r="W964" s="28"/>
      <c r="X964" s="53"/>
      <c r="Y964" s="22"/>
      <c r="Z964" s="28"/>
      <c r="AA964" s="28"/>
      <c r="AB964" s="28"/>
      <c r="AC964" s="28"/>
      <c r="AD964" s="28"/>
      <c r="AE964" s="28"/>
      <c r="AF964" s="28"/>
      <c r="AG964" s="28"/>
    </row>
    <row r="965" spans="1:33" ht="15.75" customHeight="1">
      <c r="A965" s="28"/>
      <c r="B965" s="28"/>
      <c r="C965" s="28"/>
      <c r="D965" s="28"/>
      <c r="E965" s="28"/>
      <c r="F965" s="28"/>
      <c r="G965" s="28"/>
      <c r="H965" s="28"/>
      <c r="I965" s="22"/>
      <c r="J965" s="28"/>
      <c r="K965" s="28"/>
      <c r="L965" s="22"/>
      <c r="M965" s="22"/>
      <c r="N965" s="28"/>
      <c r="O965" s="28"/>
      <c r="P965" s="53"/>
      <c r="Q965" s="53"/>
      <c r="R965" s="28"/>
      <c r="S965" s="53"/>
      <c r="T965" s="28"/>
      <c r="U965" s="28"/>
      <c r="V965" s="28"/>
      <c r="W965" s="28"/>
      <c r="X965" s="53"/>
      <c r="Y965" s="22"/>
      <c r="Z965" s="28"/>
      <c r="AA965" s="28"/>
      <c r="AB965" s="28"/>
      <c r="AC965" s="28"/>
      <c r="AD965" s="28"/>
      <c r="AE965" s="28"/>
      <c r="AF965" s="28"/>
      <c r="AG965" s="28"/>
    </row>
    <row r="966" spans="1:33" ht="15.75" customHeight="1">
      <c r="A966" s="28"/>
      <c r="B966" s="28"/>
      <c r="C966" s="28"/>
      <c r="D966" s="28"/>
      <c r="E966" s="28"/>
      <c r="F966" s="28"/>
      <c r="G966" s="28"/>
      <c r="H966" s="28"/>
      <c r="I966" s="22"/>
      <c r="J966" s="28"/>
      <c r="K966" s="28"/>
      <c r="L966" s="22"/>
      <c r="M966" s="22"/>
      <c r="N966" s="28"/>
      <c r="O966" s="28"/>
      <c r="P966" s="53"/>
      <c r="Q966" s="53"/>
      <c r="R966" s="28"/>
      <c r="S966" s="53"/>
      <c r="T966" s="28"/>
      <c r="U966" s="28"/>
      <c r="V966" s="28"/>
      <c r="W966" s="28"/>
      <c r="X966" s="53"/>
      <c r="Y966" s="22"/>
      <c r="Z966" s="28"/>
      <c r="AA966" s="28"/>
      <c r="AB966" s="28"/>
      <c r="AC966" s="28"/>
      <c r="AD966" s="28"/>
      <c r="AE966" s="28"/>
      <c r="AF966" s="28"/>
      <c r="AG966" s="28"/>
    </row>
    <row r="967" spans="1:33" ht="15.75" customHeight="1">
      <c r="A967" s="28"/>
      <c r="B967" s="28"/>
      <c r="C967" s="28"/>
      <c r="D967" s="28"/>
      <c r="E967" s="28"/>
      <c r="F967" s="28"/>
      <c r="G967" s="28"/>
      <c r="H967" s="28"/>
      <c r="I967" s="22"/>
      <c r="J967" s="28"/>
      <c r="K967" s="28"/>
      <c r="L967" s="22"/>
      <c r="M967" s="22"/>
      <c r="N967" s="28"/>
      <c r="O967" s="28"/>
      <c r="P967" s="53"/>
      <c r="Q967" s="53"/>
      <c r="R967" s="28"/>
      <c r="S967" s="53"/>
      <c r="T967" s="28"/>
      <c r="U967" s="28"/>
      <c r="V967" s="28"/>
      <c r="W967" s="28"/>
      <c r="X967" s="53"/>
      <c r="Y967" s="22"/>
      <c r="Z967" s="28"/>
      <c r="AA967" s="28"/>
      <c r="AB967" s="28"/>
      <c r="AC967" s="28"/>
      <c r="AD967" s="28"/>
      <c r="AE967" s="28"/>
      <c r="AF967" s="28"/>
      <c r="AG967" s="28"/>
    </row>
    <row r="968" spans="1:33" ht="15.75" customHeight="1">
      <c r="A968" s="28"/>
      <c r="B968" s="28"/>
      <c r="C968" s="28"/>
      <c r="D968" s="28"/>
      <c r="E968" s="28"/>
      <c r="F968" s="28"/>
      <c r="G968" s="28"/>
      <c r="H968" s="28"/>
      <c r="I968" s="22"/>
      <c r="J968" s="28"/>
      <c r="K968" s="28"/>
      <c r="L968" s="22"/>
      <c r="M968" s="22"/>
      <c r="N968" s="28"/>
      <c r="O968" s="28"/>
      <c r="P968" s="53"/>
      <c r="Q968" s="53"/>
      <c r="R968" s="28"/>
      <c r="S968" s="53"/>
      <c r="T968" s="28"/>
      <c r="U968" s="28"/>
      <c r="V968" s="28"/>
      <c r="W968" s="28"/>
      <c r="X968" s="53"/>
      <c r="Y968" s="22"/>
      <c r="Z968" s="28"/>
      <c r="AA968" s="28"/>
      <c r="AB968" s="28"/>
      <c r="AC968" s="28"/>
      <c r="AD968" s="28"/>
      <c r="AE968" s="28"/>
      <c r="AF968" s="28"/>
      <c r="AG968" s="28"/>
    </row>
    <row r="969" spans="1:33" ht="15.75" customHeight="1">
      <c r="A969" s="28"/>
      <c r="B969" s="28"/>
      <c r="C969" s="28"/>
      <c r="D969" s="28"/>
      <c r="E969" s="28"/>
      <c r="F969" s="28"/>
      <c r="G969" s="28"/>
      <c r="H969" s="28"/>
      <c r="I969" s="22"/>
      <c r="J969" s="28"/>
      <c r="K969" s="28"/>
      <c r="L969" s="22"/>
      <c r="M969" s="22"/>
      <c r="N969" s="28"/>
      <c r="O969" s="28"/>
      <c r="P969" s="53"/>
      <c r="Q969" s="53"/>
      <c r="R969" s="28"/>
      <c r="S969" s="53"/>
      <c r="T969" s="28"/>
      <c r="U969" s="28"/>
      <c r="V969" s="28"/>
      <c r="W969" s="28"/>
      <c r="X969" s="53"/>
      <c r="Y969" s="22"/>
      <c r="Z969" s="28"/>
      <c r="AA969" s="28"/>
      <c r="AB969" s="28"/>
      <c r="AC969" s="28"/>
      <c r="AD969" s="28"/>
      <c r="AE969" s="28"/>
      <c r="AF969" s="28"/>
      <c r="AG969" s="28"/>
    </row>
    <row r="970" spans="1:33" ht="15.75" customHeight="1">
      <c r="A970" s="28"/>
      <c r="B970" s="28"/>
      <c r="C970" s="28"/>
      <c r="D970" s="28"/>
      <c r="E970" s="28"/>
      <c r="F970" s="28"/>
      <c r="G970" s="28"/>
      <c r="H970" s="28"/>
      <c r="I970" s="22"/>
      <c r="J970" s="28"/>
      <c r="K970" s="28"/>
      <c r="L970" s="22"/>
      <c r="M970" s="22"/>
      <c r="N970" s="28"/>
      <c r="O970" s="28"/>
      <c r="P970" s="53"/>
      <c r="Q970" s="53"/>
      <c r="R970" s="28"/>
      <c r="S970" s="53"/>
      <c r="T970" s="28"/>
      <c r="U970" s="28"/>
      <c r="V970" s="28"/>
      <c r="W970" s="28"/>
      <c r="X970" s="53"/>
      <c r="Y970" s="22"/>
      <c r="Z970" s="28"/>
      <c r="AA970" s="28"/>
      <c r="AB970" s="28"/>
      <c r="AC970" s="28"/>
      <c r="AD970" s="28"/>
      <c r="AE970" s="28"/>
      <c r="AF970" s="28"/>
      <c r="AG970" s="28"/>
    </row>
    <row r="971" spans="1:33" ht="15.75" customHeight="1">
      <c r="A971" s="28"/>
      <c r="B971" s="28"/>
      <c r="C971" s="28"/>
      <c r="D971" s="28"/>
      <c r="E971" s="28"/>
      <c r="F971" s="28"/>
      <c r="G971" s="28"/>
      <c r="H971" s="28"/>
      <c r="I971" s="22"/>
      <c r="J971" s="28"/>
      <c r="K971" s="28"/>
      <c r="L971" s="22"/>
      <c r="M971" s="22"/>
      <c r="N971" s="28"/>
      <c r="O971" s="28"/>
      <c r="P971" s="53"/>
      <c r="Q971" s="53"/>
      <c r="R971" s="28"/>
      <c r="S971" s="53"/>
      <c r="T971" s="28"/>
      <c r="U971" s="28"/>
      <c r="V971" s="28"/>
      <c r="W971" s="28"/>
      <c r="X971" s="53"/>
      <c r="Y971" s="22"/>
      <c r="Z971" s="28"/>
      <c r="AA971" s="28"/>
      <c r="AB971" s="28"/>
      <c r="AC971" s="28"/>
      <c r="AD971" s="28"/>
      <c r="AE971" s="28"/>
      <c r="AF971" s="28"/>
      <c r="AG971" s="28"/>
    </row>
    <row r="972" spans="1:33" ht="15.75" customHeight="1">
      <c r="A972" s="28"/>
      <c r="B972" s="28"/>
      <c r="C972" s="28"/>
      <c r="D972" s="28"/>
      <c r="E972" s="28"/>
      <c r="F972" s="28"/>
      <c r="G972" s="28"/>
      <c r="H972" s="28"/>
      <c r="I972" s="22"/>
      <c r="J972" s="28"/>
      <c r="K972" s="28"/>
      <c r="L972" s="22"/>
      <c r="M972" s="22"/>
      <c r="N972" s="28"/>
      <c r="O972" s="28"/>
      <c r="P972" s="53"/>
      <c r="Q972" s="53"/>
      <c r="R972" s="28"/>
      <c r="S972" s="53"/>
      <c r="T972" s="28"/>
      <c r="U972" s="28"/>
      <c r="V972" s="28"/>
      <c r="W972" s="28"/>
      <c r="X972" s="53"/>
      <c r="Y972" s="22"/>
      <c r="Z972" s="28"/>
      <c r="AA972" s="28"/>
      <c r="AB972" s="28"/>
      <c r="AC972" s="28"/>
      <c r="AD972" s="28"/>
      <c r="AE972" s="28"/>
      <c r="AF972" s="28"/>
      <c r="AG972" s="28"/>
    </row>
    <row r="973" spans="1:33" ht="15.75" customHeight="1">
      <c r="A973" s="28"/>
      <c r="B973" s="28"/>
      <c r="C973" s="28"/>
      <c r="D973" s="28"/>
      <c r="E973" s="28"/>
      <c r="F973" s="28"/>
      <c r="G973" s="28"/>
      <c r="H973" s="28"/>
      <c r="I973" s="22"/>
      <c r="J973" s="28"/>
      <c r="K973" s="28"/>
      <c r="L973" s="22"/>
      <c r="M973" s="22"/>
      <c r="N973" s="28"/>
      <c r="O973" s="28"/>
      <c r="P973" s="53"/>
      <c r="Q973" s="53"/>
      <c r="R973" s="28"/>
      <c r="S973" s="53"/>
      <c r="T973" s="28"/>
      <c r="U973" s="28"/>
      <c r="V973" s="28"/>
      <c r="W973" s="28"/>
      <c r="X973" s="53"/>
      <c r="Y973" s="22"/>
      <c r="Z973" s="28"/>
      <c r="AA973" s="28"/>
      <c r="AB973" s="28"/>
      <c r="AC973" s="28"/>
      <c r="AD973" s="28"/>
      <c r="AE973" s="28"/>
      <c r="AF973" s="28"/>
      <c r="AG973" s="28"/>
    </row>
    <row r="974" spans="1:33" ht="15.75" customHeight="1">
      <c r="A974" s="28"/>
      <c r="B974" s="28"/>
      <c r="C974" s="28"/>
      <c r="D974" s="28"/>
      <c r="E974" s="28"/>
      <c r="F974" s="28"/>
      <c r="G974" s="28"/>
      <c r="H974" s="28"/>
      <c r="I974" s="22"/>
      <c r="J974" s="28"/>
      <c r="K974" s="28"/>
      <c r="L974" s="22"/>
      <c r="M974" s="22"/>
      <c r="N974" s="28"/>
      <c r="O974" s="28"/>
      <c r="P974" s="53"/>
      <c r="Q974" s="53"/>
      <c r="R974" s="28"/>
      <c r="S974" s="53"/>
      <c r="T974" s="28"/>
      <c r="U974" s="28"/>
      <c r="V974" s="28"/>
      <c r="W974" s="28"/>
      <c r="X974" s="53"/>
      <c r="Y974" s="22"/>
      <c r="Z974" s="28"/>
      <c r="AA974" s="28"/>
      <c r="AB974" s="28"/>
      <c r="AC974" s="28"/>
      <c r="AD974" s="28"/>
      <c r="AE974" s="28"/>
      <c r="AF974" s="28"/>
      <c r="AG974" s="28"/>
    </row>
    <row r="975" spans="1:33" ht="15.75" customHeight="1">
      <c r="A975" s="28"/>
      <c r="B975" s="28"/>
      <c r="C975" s="28"/>
      <c r="D975" s="28"/>
      <c r="E975" s="28"/>
      <c r="F975" s="28"/>
      <c r="G975" s="28"/>
      <c r="H975" s="28"/>
      <c r="I975" s="22"/>
      <c r="J975" s="28"/>
      <c r="K975" s="28"/>
      <c r="L975" s="22"/>
      <c r="M975" s="22"/>
      <c r="N975" s="28"/>
      <c r="O975" s="28"/>
      <c r="P975" s="53"/>
      <c r="Q975" s="53"/>
      <c r="R975" s="28"/>
      <c r="S975" s="53"/>
      <c r="T975" s="28"/>
      <c r="U975" s="28"/>
      <c r="V975" s="28"/>
      <c r="W975" s="28"/>
      <c r="X975" s="53"/>
      <c r="Y975" s="22"/>
      <c r="Z975" s="28"/>
      <c r="AA975" s="28"/>
      <c r="AB975" s="28"/>
      <c r="AC975" s="28"/>
      <c r="AD975" s="28"/>
      <c r="AE975" s="28"/>
      <c r="AF975" s="28"/>
      <c r="AG975" s="28"/>
    </row>
    <row r="976" spans="1:33" ht="15.75" customHeight="1">
      <c r="A976" s="28"/>
      <c r="B976" s="28"/>
      <c r="C976" s="28"/>
      <c r="D976" s="28"/>
      <c r="E976" s="28"/>
      <c r="F976" s="28"/>
      <c r="G976" s="28"/>
      <c r="H976" s="28"/>
      <c r="I976" s="22"/>
      <c r="J976" s="28"/>
      <c r="K976" s="28"/>
      <c r="L976" s="22"/>
      <c r="M976" s="22"/>
      <c r="N976" s="28"/>
      <c r="O976" s="28"/>
      <c r="P976" s="53"/>
      <c r="Q976" s="53"/>
      <c r="R976" s="28"/>
      <c r="S976" s="53"/>
      <c r="T976" s="28"/>
      <c r="U976" s="28"/>
      <c r="V976" s="28"/>
      <c r="W976" s="28"/>
      <c r="X976" s="53"/>
      <c r="Y976" s="22"/>
      <c r="Z976" s="28"/>
      <c r="AA976" s="28"/>
      <c r="AB976" s="28"/>
      <c r="AC976" s="28"/>
      <c r="AD976" s="28"/>
      <c r="AE976" s="28"/>
      <c r="AF976" s="28"/>
      <c r="AG976" s="28"/>
    </row>
    <row r="977" spans="1:33" ht="15.75" customHeight="1">
      <c r="A977" s="28"/>
      <c r="B977" s="28"/>
      <c r="C977" s="28"/>
      <c r="D977" s="28"/>
      <c r="E977" s="28"/>
      <c r="F977" s="28"/>
      <c r="G977" s="28"/>
      <c r="H977" s="28"/>
      <c r="I977" s="22"/>
      <c r="J977" s="28"/>
      <c r="K977" s="28"/>
      <c r="L977" s="22"/>
      <c r="M977" s="22"/>
      <c r="N977" s="28"/>
      <c r="O977" s="28"/>
      <c r="P977" s="53"/>
      <c r="Q977" s="53"/>
      <c r="R977" s="28"/>
      <c r="S977" s="53"/>
      <c r="T977" s="28"/>
      <c r="U977" s="28"/>
      <c r="V977" s="28"/>
      <c r="W977" s="28"/>
      <c r="X977" s="53"/>
      <c r="Y977" s="22"/>
      <c r="Z977" s="28"/>
      <c r="AA977" s="28"/>
      <c r="AB977" s="28"/>
      <c r="AC977" s="28"/>
      <c r="AD977" s="28"/>
      <c r="AE977" s="28"/>
      <c r="AF977" s="28"/>
      <c r="AG977" s="28"/>
    </row>
    <row r="978" spans="1:33" ht="15.75" customHeight="1">
      <c r="A978" s="28"/>
      <c r="B978" s="28"/>
      <c r="C978" s="28"/>
      <c r="D978" s="28"/>
      <c r="E978" s="28"/>
      <c r="F978" s="28"/>
      <c r="G978" s="28"/>
      <c r="H978" s="28"/>
      <c r="I978" s="22"/>
      <c r="J978" s="28"/>
      <c r="K978" s="28"/>
      <c r="L978" s="22"/>
      <c r="M978" s="22"/>
      <c r="N978" s="28"/>
      <c r="O978" s="28"/>
      <c r="P978" s="53"/>
      <c r="Q978" s="53"/>
      <c r="R978" s="28"/>
      <c r="S978" s="53"/>
      <c r="T978" s="28"/>
      <c r="U978" s="28"/>
      <c r="V978" s="28"/>
      <c r="W978" s="28"/>
      <c r="X978" s="53"/>
      <c r="Y978" s="22"/>
      <c r="Z978" s="28"/>
      <c r="AA978" s="28"/>
      <c r="AB978" s="28"/>
      <c r="AC978" s="28"/>
      <c r="AD978" s="28"/>
      <c r="AE978" s="28"/>
      <c r="AF978" s="28"/>
      <c r="AG978" s="28"/>
    </row>
    <row r="979" spans="1:33" ht="15.75" customHeight="1">
      <c r="A979" s="28"/>
      <c r="B979" s="28"/>
      <c r="C979" s="28"/>
      <c r="D979" s="28"/>
      <c r="E979" s="28"/>
      <c r="F979" s="28"/>
      <c r="G979" s="28"/>
      <c r="H979" s="28"/>
      <c r="I979" s="22"/>
      <c r="J979" s="28"/>
      <c r="K979" s="28"/>
      <c r="L979" s="22"/>
      <c r="M979" s="22"/>
      <c r="N979" s="28"/>
      <c r="O979" s="28"/>
      <c r="P979" s="53"/>
      <c r="Q979" s="53"/>
      <c r="R979" s="28"/>
      <c r="S979" s="53"/>
      <c r="T979" s="28"/>
      <c r="U979" s="28"/>
      <c r="V979" s="28"/>
      <c r="W979" s="28"/>
      <c r="X979" s="53"/>
      <c r="Y979" s="22"/>
      <c r="Z979" s="28"/>
      <c r="AA979" s="28"/>
      <c r="AB979" s="28"/>
      <c r="AC979" s="28"/>
      <c r="AD979" s="28"/>
      <c r="AE979" s="28"/>
      <c r="AF979" s="28"/>
      <c r="AG979" s="28"/>
    </row>
    <row r="980" spans="1:33" ht="15.75" customHeight="1">
      <c r="A980" s="28"/>
      <c r="B980" s="28"/>
      <c r="C980" s="28"/>
      <c r="D980" s="28"/>
      <c r="E980" s="28"/>
      <c r="F980" s="28"/>
      <c r="G980" s="28"/>
      <c r="H980" s="28"/>
      <c r="I980" s="22"/>
      <c r="J980" s="28"/>
      <c r="K980" s="28"/>
      <c r="L980" s="22"/>
      <c r="M980" s="22"/>
      <c r="N980" s="28"/>
      <c r="O980" s="28"/>
      <c r="P980" s="53"/>
      <c r="Q980" s="53"/>
      <c r="R980" s="28"/>
      <c r="S980" s="53"/>
      <c r="T980" s="28"/>
      <c r="U980" s="28"/>
      <c r="V980" s="28"/>
      <c r="W980" s="28"/>
      <c r="X980" s="53"/>
      <c r="Y980" s="22"/>
      <c r="Z980" s="28"/>
      <c r="AA980" s="28"/>
      <c r="AB980" s="28"/>
      <c r="AC980" s="28"/>
      <c r="AD980" s="28"/>
      <c r="AE980" s="28"/>
      <c r="AF980" s="28"/>
      <c r="AG980" s="28"/>
    </row>
    <row r="981" spans="1:33" ht="15.75" customHeight="1">
      <c r="A981" s="28"/>
      <c r="B981" s="28"/>
      <c r="C981" s="28"/>
      <c r="D981" s="28"/>
      <c r="E981" s="28"/>
      <c r="F981" s="28"/>
      <c r="G981" s="28"/>
      <c r="H981" s="28"/>
      <c r="I981" s="22"/>
      <c r="J981" s="28"/>
      <c r="K981" s="28"/>
      <c r="L981" s="22"/>
      <c r="M981" s="22"/>
      <c r="N981" s="28"/>
      <c r="O981" s="28"/>
      <c r="P981" s="53"/>
      <c r="Q981" s="53"/>
      <c r="R981" s="28"/>
      <c r="S981" s="53"/>
      <c r="T981" s="28"/>
      <c r="U981" s="28"/>
      <c r="V981" s="28"/>
      <c r="W981" s="28"/>
      <c r="X981" s="53"/>
      <c r="Y981" s="22"/>
      <c r="Z981" s="28"/>
      <c r="AA981" s="28"/>
      <c r="AB981" s="28"/>
      <c r="AC981" s="28"/>
      <c r="AD981" s="28"/>
      <c r="AE981" s="28"/>
      <c r="AF981" s="28"/>
      <c r="AG981" s="28"/>
    </row>
    <row r="982" spans="1:33" ht="15.75" customHeight="1">
      <c r="A982" s="28"/>
      <c r="B982" s="28"/>
      <c r="C982" s="28"/>
      <c r="D982" s="28"/>
      <c r="E982" s="28"/>
      <c r="F982" s="28"/>
      <c r="G982" s="28"/>
      <c r="H982" s="28"/>
      <c r="I982" s="22"/>
      <c r="J982" s="28"/>
      <c r="K982" s="28"/>
      <c r="L982" s="22"/>
      <c r="M982" s="22"/>
      <c r="N982" s="28"/>
      <c r="O982" s="28"/>
      <c r="P982" s="53"/>
      <c r="Q982" s="53"/>
      <c r="R982" s="28"/>
      <c r="S982" s="53"/>
      <c r="T982" s="28"/>
      <c r="U982" s="28"/>
      <c r="V982" s="28"/>
      <c r="W982" s="28"/>
      <c r="X982" s="53"/>
      <c r="Y982" s="22"/>
      <c r="Z982" s="28"/>
      <c r="AA982" s="28"/>
      <c r="AB982" s="28"/>
      <c r="AC982" s="28"/>
      <c r="AD982" s="28"/>
      <c r="AE982" s="28"/>
      <c r="AF982" s="28"/>
      <c r="AG982" s="28"/>
    </row>
    <row r="983" spans="1:33" ht="15.75" customHeight="1">
      <c r="A983" s="28"/>
      <c r="B983" s="28"/>
      <c r="C983" s="28"/>
      <c r="D983" s="28"/>
      <c r="E983" s="28"/>
      <c r="F983" s="28"/>
      <c r="G983" s="28"/>
      <c r="H983" s="28"/>
      <c r="I983" s="22"/>
      <c r="J983" s="28"/>
      <c r="K983" s="28"/>
      <c r="L983" s="22"/>
      <c r="M983" s="22"/>
      <c r="N983" s="28"/>
      <c r="O983" s="28"/>
      <c r="P983" s="53"/>
      <c r="Q983" s="53"/>
      <c r="R983" s="28"/>
      <c r="S983" s="53"/>
      <c r="T983" s="28"/>
      <c r="U983" s="28"/>
      <c r="V983" s="28"/>
      <c r="W983" s="28"/>
      <c r="X983" s="53"/>
      <c r="Y983" s="22"/>
      <c r="Z983" s="28"/>
      <c r="AA983" s="28"/>
      <c r="AB983" s="28"/>
      <c r="AC983" s="28"/>
      <c r="AD983" s="28"/>
      <c r="AE983" s="28"/>
      <c r="AF983" s="28"/>
      <c r="AG983" s="28"/>
    </row>
    <row r="984" spans="1:33" ht="15.75" customHeight="1">
      <c r="A984" s="28"/>
      <c r="B984" s="28"/>
      <c r="C984" s="28"/>
      <c r="D984" s="28"/>
      <c r="E984" s="28"/>
      <c r="F984" s="28"/>
      <c r="G984" s="28"/>
      <c r="H984" s="28"/>
      <c r="I984" s="22"/>
      <c r="J984" s="28"/>
      <c r="K984" s="28"/>
      <c r="L984" s="22"/>
      <c r="M984" s="22"/>
      <c r="N984" s="28"/>
      <c r="O984" s="28"/>
      <c r="P984" s="53"/>
      <c r="Q984" s="53"/>
      <c r="R984" s="28"/>
      <c r="S984" s="53"/>
      <c r="T984" s="28"/>
      <c r="U984" s="28"/>
      <c r="V984" s="28"/>
      <c r="W984" s="28"/>
      <c r="X984" s="53"/>
      <c r="Y984" s="22"/>
      <c r="Z984" s="28"/>
      <c r="AA984" s="28"/>
      <c r="AB984" s="28"/>
      <c r="AC984" s="28"/>
      <c r="AD984" s="28"/>
      <c r="AE984" s="28"/>
      <c r="AF984" s="28"/>
      <c r="AG984" s="28"/>
    </row>
    <row r="985" spans="1:33" ht="15.75" customHeight="1">
      <c r="A985" s="28"/>
      <c r="B985" s="28"/>
      <c r="C985" s="28"/>
      <c r="D985" s="28"/>
      <c r="E985" s="28"/>
      <c r="F985" s="28"/>
      <c r="G985" s="28"/>
      <c r="H985" s="28"/>
      <c r="I985" s="22"/>
      <c r="J985" s="28"/>
      <c r="K985" s="28"/>
      <c r="L985" s="22"/>
      <c r="M985" s="22"/>
      <c r="N985" s="28"/>
      <c r="O985" s="28"/>
      <c r="P985" s="53"/>
      <c r="Q985" s="53"/>
      <c r="R985" s="28"/>
      <c r="S985" s="53"/>
      <c r="T985" s="28"/>
      <c r="U985" s="28"/>
      <c r="V985" s="28"/>
      <c r="W985" s="28"/>
      <c r="X985" s="53"/>
      <c r="Y985" s="22"/>
      <c r="Z985" s="28"/>
      <c r="AA985" s="28"/>
      <c r="AB985" s="28"/>
      <c r="AC985" s="28"/>
      <c r="AD985" s="28"/>
      <c r="AE985" s="28"/>
      <c r="AF985" s="28"/>
      <c r="AG985" s="28"/>
    </row>
    <row r="986" spans="1:33" ht="15.75" customHeight="1">
      <c r="A986" s="28"/>
      <c r="B986" s="28"/>
      <c r="C986" s="28"/>
      <c r="D986" s="28"/>
      <c r="E986" s="28"/>
      <c r="F986" s="28"/>
      <c r="G986" s="28"/>
      <c r="H986" s="28"/>
      <c r="I986" s="22"/>
      <c r="J986" s="28"/>
      <c r="K986" s="28"/>
      <c r="L986" s="22"/>
      <c r="M986" s="22"/>
      <c r="N986" s="28"/>
      <c r="O986" s="28"/>
      <c r="P986" s="53"/>
      <c r="Q986" s="53"/>
      <c r="R986" s="28"/>
      <c r="S986" s="53"/>
      <c r="T986" s="28"/>
      <c r="U986" s="28"/>
      <c r="V986" s="28"/>
      <c r="W986" s="28"/>
      <c r="X986" s="53"/>
      <c r="Y986" s="22"/>
      <c r="Z986" s="28"/>
      <c r="AA986" s="28"/>
      <c r="AB986" s="28"/>
      <c r="AC986" s="28"/>
      <c r="AD986" s="28"/>
      <c r="AE986" s="28"/>
      <c r="AF986" s="28"/>
      <c r="AG986" s="28"/>
    </row>
    <row r="987" spans="1:33" ht="15.75" customHeight="1">
      <c r="A987" s="28"/>
      <c r="B987" s="28"/>
      <c r="C987" s="28"/>
      <c r="D987" s="28"/>
      <c r="E987" s="28"/>
      <c r="F987" s="28"/>
      <c r="G987" s="28"/>
      <c r="H987" s="28"/>
      <c r="I987" s="22"/>
      <c r="J987" s="28"/>
      <c r="K987" s="28"/>
      <c r="L987" s="22"/>
      <c r="M987" s="22"/>
      <c r="N987" s="28"/>
      <c r="O987" s="28"/>
      <c r="P987" s="53"/>
      <c r="Q987" s="53"/>
      <c r="R987" s="28"/>
      <c r="S987" s="53"/>
      <c r="T987" s="28"/>
      <c r="U987" s="28"/>
      <c r="V987" s="28"/>
      <c r="W987" s="28"/>
      <c r="X987" s="53"/>
      <c r="Y987" s="22"/>
      <c r="Z987" s="28"/>
      <c r="AA987" s="28"/>
      <c r="AB987" s="28"/>
      <c r="AC987" s="28"/>
      <c r="AD987" s="28"/>
      <c r="AE987" s="28"/>
      <c r="AF987" s="28"/>
      <c r="AG987" s="28"/>
    </row>
    <row r="988" spans="1:33" ht="15.75" customHeight="1">
      <c r="A988" s="28"/>
      <c r="B988" s="28"/>
      <c r="C988" s="28"/>
      <c r="D988" s="28"/>
      <c r="E988" s="28"/>
      <c r="F988" s="28"/>
      <c r="G988" s="28"/>
      <c r="H988" s="28"/>
      <c r="I988" s="22"/>
      <c r="J988" s="28"/>
      <c r="K988" s="28"/>
      <c r="L988" s="22"/>
      <c r="M988" s="22"/>
      <c r="N988" s="28"/>
      <c r="O988" s="28"/>
      <c r="P988" s="53"/>
      <c r="Q988" s="53"/>
      <c r="R988" s="28"/>
      <c r="S988" s="53"/>
      <c r="T988" s="28"/>
      <c r="U988" s="28"/>
      <c r="V988" s="28"/>
      <c r="W988" s="28"/>
      <c r="X988" s="53"/>
      <c r="Y988" s="22"/>
      <c r="Z988" s="28"/>
      <c r="AA988" s="28"/>
      <c r="AB988" s="28"/>
      <c r="AC988" s="28"/>
      <c r="AD988" s="28"/>
      <c r="AE988" s="28"/>
      <c r="AF988" s="28"/>
      <c r="AG988" s="28"/>
    </row>
    <row r="989" spans="1:33" ht="15.75" customHeight="1">
      <c r="A989" s="28"/>
      <c r="B989" s="28"/>
      <c r="C989" s="28"/>
      <c r="D989" s="28"/>
      <c r="E989" s="28"/>
      <c r="F989" s="28"/>
      <c r="G989" s="28"/>
      <c r="H989" s="28"/>
      <c r="I989" s="22"/>
      <c r="J989" s="28"/>
      <c r="K989" s="28"/>
      <c r="L989" s="22"/>
      <c r="M989" s="22"/>
      <c r="N989" s="28"/>
      <c r="O989" s="28"/>
      <c r="P989" s="53"/>
      <c r="Q989" s="53"/>
      <c r="R989" s="28"/>
      <c r="S989" s="53"/>
      <c r="T989" s="28"/>
      <c r="U989" s="28"/>
      <c r="V989" s="28"/>
      <c r="W989" s="28"/>
      <c r="X989" s="53"/>
      <c r="Y989" s="22"/>
      <c r="Z989" s="28"/>
      <c r="AA989" s="28"/>
      <c r="AB989" s="28"/>
      <c r="AC989" s="28"/>
      <c r="AD989" s="28"/>
      <c r="AE989" s="28"/>
      <c r="AF989" s="28"/>
      <c r="AG989" s="28"/>
    </row>
    <row r="990" spans="1:33" ht="15.75" customHeight="1">
      <c r="A990" s="28"/>
      <c r="B990" s="28"/>
      <c r="C990" s="28"/>
      <c r="D990" s="28"/>
      <c r="E990" s="28"/>
      <c r="F990" s="28"/>
      <c r="G990" s="28"/>
      <c r="H990" s="28"/>
      <c r="I990" s="22"/>
      <c r="J990" s="28"/>
      <c r="K990" s="28"/>
      <c r="L990" s="22"/>
      <c r="M990" s="22"/>
      <c r="N990" s="28"/>
      <c r="O990" s="28"/>
      <c r="P990" s="53"/>
      <c r="Q990" s="53"/>
      <c r="R990" s="28"/>
      <c r="S990" s="53"/>
      <c r="T990" s="28"/>
      <c r="U990" s="28"/>
      <c r="V990" s="28"/>
      <c r="W990" s="28"/>
      <c r="X990" s="53"/>
      <c r="Y990" s="22"/>
      <c r="Z990" s="28"/>
      <c r="AA990" s="28"/>
      <c r="AB990" s="28"/>
      <c r="AC990" s="28"/>
      <c r="AD990" s="28"/>
      <c r="AE990" s="28"/>
      <c r="AF990" s="28"/>
      <c r="AG990" s="28"/>
    </row>
    <row r="991" spans="1:33" ht="15.75" customHeight="1">
      <c r="A991" s="28"/>
      <c r="B991" s="28"/>
      <c r="C991" s="28"/>
      <c r="D991" s="28"/>
      <c r="E991" s="28"/>
      <c r="F991" s="28"/>
      <c r="G991" s="28"/>
      <c r="H991" s="28"/>
      <c r="I991" s="22"/>
      <c r="J991" s="28"/>
      <c r="K991" s="28"/>
      <c r="L991" s="22"/>
      <c r="M991" s="22"/>
      <c r="N991" s="28"/>
      <c r="O991" s="28"/>
      <c r="P991" s="53"/>
      <c r="Q991" s="53"/>
      <c r="R991" s="28"/>
      <c r="S991" s="53"/>
      <c r="T991" s="28"/>
      <c r="U991" s="28"/>
      <c r="V991" s="28"/>
      <c r="W991" s="28"/>
      <c r="X991" s="53"/>
      <c r="Y991" s="22"/>
      <c r="Z991" s="28"/>
      <c r="AA991" s="28"/>
      <c r="AB991" s="28"/>
      <c r="AC991" s="28"/>
      <c r="AD991" s="28"/>
      <c r="AE991" s="28"/>
      <c r="AF991" s="28"/>
      <c r="AG991" s="28"/>
    </row>
    <row r="992" spans="1:33" ht="15.75" customHeight="1">
      <c r="A992" s="28"/>
      <c r="B992" s="28"/>
      <c r="C992" s="28"/>
      <c r="D992" s="28"/>
      <c r="E992" s="28"/>
      <c r="F992" s="28"/>
      <c r="G992" s="28"/>
      <c r="H992" s="28"/>
      <c r="I992" s="22"/>
      <c r="J992" s="28"/>
      <c r="K992" s="28"/>
      <c r="L992" s="22"/>
      <c r="M992" s="22"/>
      <c r="N992" s="28"/>
      <c r="O992" s="28"/>
      <c r="P992" s="53"/>
      <c r="Q992" s="53"/>
      <c r="R992" s="28"/>
      <c r="S992" s="53"/>
      <c r="T992" s="28"/>
      <c r="U992" s="28"/>
      <c r="V992" s="28"/>
      <c r="W992" s="28"/>
      <c r="X992" s="53"/>
      <c r="Y992" s="22"/>
      <c r="Z992" s="28"/>
      <c r="AA992" s="28"/>
      <c r="AB992" s="28"/>
      <c r="AC992" s="28"/>
      <c r="AD992" s="28"/>
      <c r="AE992" s="28"/>
      <c r="AF992" s="28"/>
      <c r="AG992" s="28"/>
    </row>
    <row r="993" spans="1:33" ht="15.75" customHeight="1">
      <c r="A993" s="28"/>
      <c r="B993" s="28"/>
      <c r="C993" s="28"/>
      <c r="D993" s="28"/>
      <c r="E993" s="28"/>
      <c r="F993" s="28"/>
      <c r="G993" s="28"/>
      <c r="H993" s="28"/>
      <c r="I993" s="22"/>
      <c r="J993" s="28"/>
      <c r="K993" s="28"/>
      <c r="L993" s="22"/>
      <c r="M993" s="22"/>
      <c r="N993" s="28"/>
      <c r="O993" s="28"/>
      <c r="P993" s="53"/>
      <c r="Q993" s="53"/>
      <c r="R993" s="28"/>
      <c r="S993" s="53"/>
      <c r="T993" s="28"/>
      <c r="U993" s="28"/>
      <c r="V993" s="28"/>
      <c r="W993" s="28"/>
      <c r="X993" s="53"/>
      <c r="Y993" s="22"/>
      <c r="Z993" s="28"/>
      <c r="AA993" s="28"/>
      <c r="AB993" s="28"/>
      <c r="AC993" s="28"/>
      <c r="AD993" s="28"/>
      <c r="AE993" s="28"/>
      <c r="AF993" s="28"/>
      <c r="AG993" s="28"/>
    </row>
    <row r="994" spans="1:33" ht="15.75" customHeight="1">
      <c r="A994" s="28"/>
      <c r="B994" s="28"/>
      <c r="C994" s="28"/>
      <c r="D994" s="28"/>
      <c r="E994" s="28"/>
      <c r="F994" s="28"/>
      <c r="G994" s="28"/>
      <c r="H994" s="28"/>
      <c r="I994" s="22"/>
      <c r="J994" s="28"/>
      <c r="K994" s="28"/>
      <c r="L994" s="22"/>
      <c r="M994" s="22"/>
      <c r="N994" s="28"/>
      <c r="O994" s="28"/>
      <c r="P994" s="53"/>
      <c r="Q994" s="53"/>
      <c r="R994" s="28"/>
      <c r="S994" s="53"/>
      <c r="T994" s="28"/>
      <c r="U994" s="28"/>
      <c r="V994" s="28"/>
      <c r="W994" s="28"/>
      <c r="X994" s="53"/>
      <c r="Y994" s="22"/>
      <c r="Z994" s="28"/>
      <c r="AA994" s="28"/>
      <c r="AB994" s="28"/>
      <c r="AC994" s="28"/>
      <c r="AD994" s="28"/>
      <c r="AE994" s="28"/>
      <c r="AF994" s="28"/>
      <c r="AG994" s="28"/>
    </row>
    <row r="995" spans="1:33" ht="15.75" customHeight="1">
      <c r="A995" s="28"/>
      <c r="B995" s="28"/>
      <c r="C995" s="28"/>
      <c r="D995" s="28"/>
      <c r="E995" s="28"/>
      <c r="F995" s="28"/>
      <c r="G995" s="28"/>
      <c r="H995" s="28"/>
      <c r="I995" s="22"/>
      <c r="J995" s="28"/>
      <c r="K995" s="28"/>
      <c r="L995" s="22"/>
      <c r="M995" s="22"/>
      <c r="N995" s="28"/>
      <c r="O995" s="28"/>
      <c r="P995" s="53"/>
      <c r="Q995" s="53"/>
      <c r="R995" s="28"/>
      <c r="S995" s="53"/>
      <c r="T995" s="28"/>
      <c r="U995" s="28"/>
      <c r="V995" s="28"/>
      <c r="W995" s="28"/>
      <c r="X995" s="53"/>
      <c r="Y995" s="22"/>
      <c r="Z995" s="28"/>
      <c r="AA995" s="28"/>
      <c r="AB995" s="28"/>
      <c r="AC995" s="28"/>
      <c r="AD995" s="28"/>
      <c r="AE995" s="28"/>
      <c r="AF995" s="28"/>
      <c r="AG995" s="28"/>
    </row>
    <row r="996" spans="1:33" ht="15.75" customHeight="1">
      <c r="A996" s="28"/>
      <c r="B996" s="28"/>
      <c r="C996" s="28"/>
      <c r="D996" s="28"/>
      <c r="E996" s="28"/>
      <c r="F996" s="28"/>
      <c r="G996" s="28"/>
      <c r="H996" s="28"/>
      <c r="I996" s="22"/>
      <c r="J996" s="28"/>
      <c r="K996" s="28"/>
      <c r="L996" s="22"/>
      <c r="M996" s="22"/>
      <c r="N996" s="28"/>
      <c r="O996" s="28"/>
      <c r="P996" s="53"/>
      <c r="Q996" s="53"/>
      <c r="R996" s="28"/>
      <c r="S996" s="53"/>
      <c r="T996" s="28"/>
      <c r="U996" s="28"/>
      <c r="V996" s="28"/>
      <c r="W996" s="28"/>
      <c r="X996" s="53"/>
      <c r="Y996" s="22"/>
      <c r="Z996" s="28"/>
      <c r="AA996" s="28"/>
      <c r="AB996" s="28"/>
      <c r="AC996" s="28"/>
      <c r="AD996" s="28"/>
      <c r="AE996" s="28"/>
      <c r="AF996" s="28"/>
      <c r="AG996" s="28"/>
    </row>
    <row r="997" spans="1:33" ht="15.75" customHeight="1">
      <c r="A997" s="28"/>
      <c r="B997" s="28"/>
      <c r="C997" s="28"/>
      <c r="D997" s="28"/>
      <c r="E997" s="28"/>
      <c r="F997" s="28"/>
      <c r="G997" s="28"/>
      <c r="H997" s="28"/>
      <c r="I997" s="22"/>
      <c r="J997" s="28"/>
      <c r="K997" s="28"/>
      <c r="L997" s="22"/>
      <c r="M997" s="22"/>
      <c r="N997" s="28"/>
      <c r="O997" s="28"/>
      <c r="P997" s="53"/>
      <c r="Q997" s="53"/>
      <c r="R997" s="28"/>
      <c r="S997" s="53"/>
      <c r="T997" s="28"/>
      <c r="U997" s="28"/>
      <c r="V997" s="28"/>
      <c r="W997" s="28"/>
      <c r="X997" s="53"/>
      <c r="Y997" s="22"/>
      <c r="Z997" s="28"/>
      <c r="AA997" s="28"/>
      <c r="AB997" s="28"/>
      <c r="AC997" s="28"/>
      <c r="AD997" s="28"/>
      <c r="AE997" s="28"/>
      <c r="AF997" s="28"/>
      <c r="AG997" s="28"/>
    </row>
    <row r="998" spans="1:33" ht="15.75" customHeight="1">
      <c r="A998" s="28"/>
      <c r="B998" s="28"/>
      <c r="C998" s="28"/>
      <c r="D998" s="28"/>
      <c r="E998" s="28"/>
      <c r="F998" s="28"/>
      <c r="G998" s="28"/>
      <c r="H998" s="28"/>
      <c r="I998" s="22"/>
      <c r="J998" s="28"/>
      <c r="K998" s="28"/>
      <c r="L998" s="22"/>
      <c r="M998" s="22"/>
      <c r="N998" s="28"/>
      <c r="O998" s="28"/>
      <c r="P998" s="53"/>
      <c r="Q998" s="53"/>
      <c r="R998" s="28"/>
      <c r="S998" s="53"/>
      <c r="T998" s="28"/>
      <c r="U998" s="28"/>
      <c r="V998" s="28"/>
      <c r="W998" s="28"/>
      <c r="X998" s="53"/>
      <c r="Y998" s="22"/>
      <c r="Z998" s="28"/>
      <c r="AA998" s="28"/>
      <c r="AB998" s="28"/>
      <c r="AC998" s="28"/>
      <c r="AD998" s="28"/>
      <c r="AE998" s="28"/>
      <c r="AF998" s="28"/>
      <c r="AG998" s="28"/>
    </row>
    <row r="999" spans="1:33" ht="15.75" customHeight="1">
      <c r="A999" s="28"/>
      <c r="B999" s="28"/>
      <c r="C999" s="28"/>
      <c r="D999" s="28"/>
      <c r="E999" s="28"/>
      <c r="F999" s="28"/>
      <c r="G999" s="28"/>
      <c r="H999" s="28"/>
      <c r="I999" s="22"/>
      <c r="J999" s="28"/>
      <c r="K999" s="28"/>
      <c r="L999" s="22"/>
      <c r="M999" s="22"/>
      <c r="N999" s="28"/>
      <c r="O999" s="28"/>
      <c r="P999" s="53"/>
      <c r="Q999" s="53"/>
      <c r="R999" s="28"/>
      <c r="S999" s="53"/>
      <c r="T999" s="28"/>
      <c r="U999" s="28"/>
      <c r="V999" s="28"/>
      <c r="W999" s="28"/>
      <c r="X999" s="53"/>
      <c r="Y999" s="22"/>
      <c r="Z999" s="28"/>
      <c r="AA999" s="28"/>
      <c r="AB999" s="28"/>
      <c r="AC999" s="28"/>
      <c r="AD999" s="28"/>
      <c r="AE999" s="28"/>
      <c r="AF999" s="28"/>
      <c r="AG999" s="28"/>
    </row>
    <row r="1000" spans="1:33" ht="15.75" customHeight="1">
      <c r="A1000" s="28"/>
      <c r="B1000" s="28"/>
      <c r="C1000" s="28"/>
      <c r="D1000" s="28"/>
      <c r="E1000" s="28"/>
      <c r="F1000" s="28"/>
      <c r="G1000" s="28"/>
      <c r="H1000" s="28"/>
      <c r="I1000" s="22"/>
      <c r="J1000" s="28"/>
      <c r="K1000" s="28"/>
      <c r="L1000" s="22"/>
      <c r="M1000" s="22"/>
      <c r="N1000" s="28"/>
      <c r="O1000" s="28"/>
      <c r="P1000" s="53"/>
      <c r="Q1000" s="53"/>
      <c r="R1000" s="28"/>
      <c r="S1000" s="53"/>
      <c r="T1000" s="28"/>
      <c r="U1000" s="28"/>
      <c r="V1000" s="28"/>
      <c r="W1000" s="28"/>
      <c r="X1000" s="53"/>
      <c r="Y1000" s="22"/>
      <c r="Z1000" s="28"/>
      <c r="AA1000" s="28"/>
      <c r="AB1000" s="28"/>
      <c r="AC1000" s="28"/>
      <c r="AD1000" s="28"/>
      <c r="AE1000" s="28"/>
      <c r="AF1000" s="28"/>
      <c r="AG1000" s="28"/>
    </row>
    <row r="1001" spans="1:33" ht="15.75" customHeight="1">
      <c r="A1001" s="28"/>
      <c r="B1001" s="28"/>
      <c r="C1001" s="28"/>
      <c r="D1001" s="28"/>
      <c r="E1001" s="28"/>
      <c r="F1001" s="28"/>
      <c r="G1001" s="28"/>
      <c r="H1001" s="28"/>
      <c r="I1001" s="22"/>
      <c r="J1001" s="28"/>
      <c r="K1001" s="28"/>
      <c r="L1001" s="22"/>
      <c r="M1001" s="22"/>
      <c r="N1001" s="28"/>
      <c r="O1001" s="28"/>
      <c r="P1001" s="53"/>
      <c r="Q1001" s="53"/>
      <c r="R1001" s="28"/>
      <c r="S1001" s="53"/>
      <c r="T1001" s="28"/>
      <c r="U1001" s="28"/>
      <c r="V1001" s="28"/>
      <c r="W1001" s="28"/>
      <c r="X1001" s="53"/>
      <c r="Y1001" s="22"/>
      <c r="Z1001" s="28"/>
      <c r="AA1001" s="28"/>
      <c r="AB1001" s="28"/>
      <c r="AC1001" s="28"/>
      <c r="AD1001" s="28"/>
      <c r="AE1001" s="28"/>
      <c r="AF1001" s="28"/>
      <c r="AG1001" s="28"/>
    </row>
    <row r="1002" spans="1:33" ht="15.75" customHeight="1">
      <c r="A1002" s="28"/>
      <c r="B1002" s="28"/>
      <c r="C1002" s="28"/>
      <c r="D1002" s="28"/>
      <c r="E1002" s="28"/>
      <c r="F1002" s="28"/>
      <c r="G1002" s="28"/>
      <c r="H1002" s="28"/>
      <c r="I1002" s="22"/>
      <c r="J1002" s="28"/>
      <c r="K1002" s="28"/>
      <c r="L1002" s="22"/>
      <c r="M1002" s="22"/>
      <c r="N1002" s="28"/>
      <c r="O1002" s="28"/>
      <c r="P1002" s="53"/>
      <c r="Q1002" s="53"/>
      <c r="R1002" s="28"/>
      <c r="S1002" s="53"/>
      <c r="T1002" s="28"/>
      <c r="U1002" s="28"/>
      <c r="V1002" s="28"/>
      <c r="W1002" s="28"/>
      <c r="X1002" s="53"/>
      <c r="Y1002" s="22"/>
      <c r="Z1002" s="28"/>
      <c r="AA1002" s="28"/>
      <c r="AB1002" s="28"/>
      <c r="AC1002" s="28"/>
      <c r="AD1002" s="28"/>
      <c r="AE1002" s="28"/>
      <c r="AF1002" s="28"/>
      <c r="AG1002" s="28"/>
    </row>
    <row r="1003" spans="1:33" ht="15.75" customHeight="1">
      <c r="A1003" s="28"/>
      <c r="B1003" s="28"/>
      <c r="C1003" s="28"/>
      <c r="D1003" s="28"/>
      <c r="E1003" s="28"/>
      <c r="F1003" s="28"/>
      <c r="G1003" s="28"/>
      <c r="H1003" s="28"/>
      <c r="I1003" s="22"/>
      <c r="J1003" s="28"/>
      <c r="K1003" s="28"/>
      <c r="L1003" s="22"/>
      <c r="M1003" s="22"/>
      <c r="N1003" s="28"/>
      <c r="O1003" s="28"/>
      <c r="P1003" s="53"/>
      <c r="Q1003" s="53"/>
      <c r="R1003" s="28"/>
      <c r="S1003" s="53"/>
      <c r="T1003" s="28"/>
      <c r="U1003" s="28"/>
      <c r="V1003" s="28"/>
      <c r="W1003" s="28"/>
      <c r="X1003" s="53"/>
      <c r="Y1003" s="22"/>
      <c r="Z1003" s="28"/>
      <c r="AA1003" s="28"/>
      <c r="AB1003" s="28"/>
      <c r="AC1003" s="28"/>
      <c r="AD1003" s="28"/>
      <c r="AE1003" s="28"/>
      <c r="AF1003" s="28"/>
      <c r="AG1003" s="28"/>
    </row>
    <row r="1004" spans="1:33" ht="15.75" customHeight="1">
      <c r="A1004" s="28"/>
      <c r="B1004" s="28"/>
      <c r="C1004" s="28"/>
      <c r="D1004" s="28"/>
      <c r="E1004" s="28"/>
      <c r="F1004" s="28"/>
      <c r="G1004" s="28"/>
      <c r="H1004" s="28"/>
      <c r="I1004" s="22"/>
      <c r="J1004" s="28"/>
      <c r="K1004" s="28"/>
      <c r="L1004" s="22"/>
      <c r="M1004" s="22"/>
      <c r="N1004" s="28"/>
      <c r="O1004" s="28"/>
      <c r="P1004" s="53"/>
      <c r="Q1004" s="53"/>
      <c r="R1004" s="28"/>
      <c r="S1004" s="53"/>
      <c r="T1004" s="28"/>
      <c r="U1004" s="28"/>
      <c r="V1004" s="28"/>
      <c r="W1004" s="28"/>
      <c r="X1004" s="53"/>
      <c r="Y1004" s="22"/>
      <c r="Z1004" s="28"/>
      <c r="AA1004" s="28"/>
      <c r="AB1004" s="28"/>
      <c r="AC1004" s="28"/>
      <c r="AD1004" s="28"/>
      <c r="AE1004" s="28"/>
      <c r="AF1004" s="28"/>
      <c r="AG1004" s="28"/>
    </row>
    <row r="1005" spans="1:33" ht="15.75" customHeight="1">
      <c r="A1005" s="28"/>
      <c r="B1005" s="28"/>
      <c r="C1005" s="28"/>
      <c r="D1005" s="28"/>
      <c r="E1005" s="28"/>
      <c r="F1005" s="28"/>
      <c r="G1005" s="28"/>
      <c r="H1005" s="28"/>
      <c r="I1005" s="22"/>
      <c r="J1005" s="28"/>
      <c r="K1005" s="28"/>
      <c r="L1005" s="22"/>
      <c r="M1005" s="22"/>
      <c r="N1005" s="28"/>
      <c r="O1005" s="28"/>
      <c r="P1005" s="53"/>
      <c r="Q1005" s="53"/>
      <c r="R1005" s="28"/>
      <c r="S1005" s="53"/>
      <c r="T1005" s="28"/>
      <c r="U1005" s="28"/>
      <c r="V1005" s="28"/>
      <c r="W1005" s="28"/>
      <c r="X1005" s="53"/>
      <c r="Y1005" s="22"/>
      <c r="Z1005" s="28"/>
      <c r="AA1005" s="28"/>
      <c r="AB1005" s="28"/>
      <c r="AC1005" s="28"/>
      <c r="AD1005" s="28"/>
      <c r="AE1005" s="28"/>
      <c r="AF1005" s="28"/>
      <c r="AG1005" s="28"/>
    </row>
    <row r="1006" spans="1:33" ht="15.75" customHeight="1">
      <c r="A1006" s="28"/>
      <c r="B1006" s="28"/>
      <c r="C1006" s="28"/>
      <c r="D1006" s="28"/>
      <c r="E1006" s="28"/>
      <c r="F1006" s="28"/>
      <c r="G1006" s="28"/>
      <c r="H1006" s="28"/>
      <c r="I1006" s="22"/>
      <c r="J1006" s="28"/>
      <c r="K1006" s="28"/>
      <c r="L1006" s="22"/>
      <c r="M1006" s="22"/>
      <c r="N1006" s="28"/>
      <c r="O1006" s="28"/>
      <c r="P1006" s="53"/>
      <c r="Q1006" s="53"/>
      <c r="R1006" s="28"/>
      <c r="S1006" s="53"/>
      <c r="T1006" s="28"/>
      <c r="U1006" s="28"/>
      <c r="V1006" s="28"/>
      <c r="W1006" s="28"/>
      <c r="X1006" s="53"/>
      <c r="Y1006" s="22"/>
      <c r="Z1006" s="28"/>
      <c r="AA1006" s="28"/>
      <c r="AB1006" s="28"/>
      <c r="AC1006" s="28"/>
      <c r="AD1006" s="28"/>
      <c r="AE1006" s="28"/>
      <c r="AF1006" s="28"/>
      <c r="AG1006" s="28"/>
    </row>
    <row r="1007" spans="1:33" ht="15.75" customHeight="1">
      <c r="A1007" s="28"/>
      <c r="B1007" s="28"/>
      <c r="C1007" s="28"/>
      <c r="D1007" s="28"/>
      <c r="E1007" s="28"/>
      <c r="F1007" s="28"/>
      <c r="G1007" s="28"/>
      <c r="H1007" s="28"/>
      <c r="I1007" s="22"/>
      <c r="J1007" s="28"/>
      <c r="K1007" s="28"/>
      <c r="L1007" s="22"/>
      <c r="M1007" s="22"/>
      <c r="N1007" s="28"/>
      <c r="O1007" s="28"/>
      <c r="P1007" s="53"/>
      <c r="Q1007" s="53"/>
      <c r="R1007" s="28"/>
      <c r="S1007" s="53"/>
      <c r="T1007" s="28"/>
      <c r="U1007" s="28"/>
      <c r="V1007" s="28"/>
      <c r="W1007" s="28"/>
      <c r="X1007" s="53"/>
      <c r="Y1007" s="22"/>
      <c r="Z1007" s="28"/>
      <c r="AA1007" s="28"/>
      <c r="AB1007" s="28"/>
      <c r="AC1007" s="28"/>
      <c r="AD1007" s="28"/>
      <c r="AE1007" s="28"/>
      <c r="AF1007" s="28"/>
      <c r="AG1007" s="28"/>
    </row>
    <row r="1008" spans="1:33" ht="15.75" customHeight="1">
      <c r="A1008" s="28"/>
      <c r="B1008" s="28"/>
      <c r="C1008" s="28"/>
      <c r="D1008" s="28"/>
      <c r="E1008" s="28"/>
      <c r="F1008" s="28"/>
      <c r="G1008" s="28"/>
      <c r="H1008" s="28"/>
      <c r="I1008" s="22"/>
      <c r="J1008" s="28"/>
      <c r="K1008" s="28"/>
      <c r="L1008" s="22"/>
      <c r="M1008" s="22"/>
      <c r="N1008" s="28"/>
      <c r="O1008" s="28"/>
      <c r="P1008" s="53"/>
      <c r="Q1008" s="53"/>
      <c r="R1008" s="28"/>
      <c r="S1008" s="53"/>
      <c r="T1008" s="28"/>
      <c r="U1008" s="28"/>
      <c r="V1008" s="28"/>
      <c r="W1008" s="28"/>
      <c r="X1008" s="53"/>
      <c r="Y1008" s="22"/>
      <c r="Z1008" s="28"/>
      <c r="AA1008" s="28"/>
      <c r="AB1008" s="28"/>
      <c r="AC1008" s="28"/>
      <c r="AD1008" s="28"/>
      <c r="AE1008" s="28"/>
      <c r="AF1008" s="28"/>
      <c r="AG1008" s="28"/>
    </row>
    <row r="1009" spans="1:33" ht="15.75" customHeight="1">
      <c r="A1009" s="28"/>
      <c r="B1009" s="28"/>
      <c r="C1009" s="28"/>
      <c r="D1009" s="28"/>
      <c r="E1009" s="28"/>
      <c r="F1009" s="28"/>
      <c r="G1009" s="28"/>
      <c r="H1009" s="28"/>
      <c r="I1009" s="22"/>
      <c r="J1009" s="28"/>
      <c r="K1009" s="28"/>
      <c r="L1009" s="22"/>
      <c r="M1009" s="22"/>
      <c r="N1009" s="28"/>
      <c r="O1009" s="28"/>
      <c r="P1009" s="53"/>
      <c r="Q1009" s="53"/>
      <c r="R1009" s="28"/>
      <c r="S1009" s="53"/>
      <c r="T1009" s="28"/>
      <c r="U1009" s="28"/>
      <c r="V1009" s="28"/>
      <c r="W1009" s="28"/>
      <c r="X1009" s="53"/>
      <c r="Y1009" s="22"/>
      <c r="Z1009" s="28"/>
      <c r="AA1009" s="28"/>
      <c r="AB1009" s="28"/>
      <c r="AC1009" s="28"/>
      <c r="AD1009" s="28"/>
      <c r="AE1009" s="28"/>
      <c r="AF1009" s="28"/>
      <c r="AG1009" s="28"/>
    </row>
    <row r="1010" spans="1:33" ht="15.75" customHeight="1">
      <c r="A1010" s="28"/>
      <c r="B1010" s="28"/>
      <c r="C1010" s="28"/>
      <c r="D1010" s="28"/>
      <c r="E1010" s="28"/>
      <c r="F1010" s="28"/>
      <c r="G1010" s="28"/>
      <c r="H1010" s="28"/>
      <c r="I1010" s="22"/>
      <c r="J1010" s="28"/>
      <c r="K1010" s="28"/>
      <c r="L1010" s="22"/>
      <c r="M1010" s="22"/>
      <c r="N1010" s="28"/>
      <c r="O1010" s="28"/>
      <c r="P1010" s="53"/>
      <c r="Q1010" s="53"/>
      <c r="R1010" s="28"/>
      <c r="S1010" s="53"/>
      <c r="T1010" s="28"/>
      <c r="U1010" s="28"/>
      <c r="V1010" s="28"/>
      <c r="W1010" s="28"/>
      <c r="X1010" s="53"/>
      <c r="Y1010" s="22"/>
      <c r="Z1010" s="28"/>
      <c r="AA1010" s="28"/>
      <c r="AB1010" s="28"/>
      <c r="AC1010" s="28"/>
      <c r="AD1010" s="28"/>
      <c r="AE1010" s="28"/>
      <c r="AF1010" s="28"/>
      <c r="AG1010" s="28"/>
    </row>
    <row r="1011" spans="1:33" ht="15.75" customHeight="1">
      <c r="A1011" s="28"/>
      <c r="B1011" s="28"/>
      <c r="C1011" s="28"/>
      <c r="D1011" s="28"/>
      <c r="E1011" s="28"/>
      <c r="F1011" s="28"/>
      <c r="G1011" s="28"/>
      <c r="H1011" s="28"/>
      <c r="I1011" s="22"/>
      <c r="J1011" s="28"/>
      <c r="K1011" s="28"/>
      <c r="L1011" s="22"/>
      <c r="M1011" s="22"/>
      <c r="N1011" s="28"/>
      <c r="O1011" s="28"/>
      <c r="P1011" s="53"/>
      <c r="Q1011" s="53"/>
      <c r="R1011" s="28"/>
      <c r="S1011" s="53"/>
      <c r="T1011" s="28"/>
      <c r="U1011" s="28"/>
      <c r="V1011" s="28"/>
      <c r="W1011" s="28"/>
      <c r="X1011" s="53"/>
      <c r="Y1011" s="22"/>
      <c r="Z1011" s="28"/>
      <c r="AA1011" s="28"/>
      <c r="AB1011" s="28"/>
      <c r="AC1011" s="28"/>
      <c r="AD1011" s="28"/>
      <c r="AE1011" s="28"/>
      <c r="AF1011" s="28"/>
      <c r="AG1011" s="28"/>
    </row>
    <row r="1012" spans="1:33" ht="15.75" customHeight="1">
      <c r="A1012" s="28"/>
      <c r="B1012" s="28"/>
      <c r="C1012" s="28"/>
      <c r="D1012" s="28"/>
      <c r="E1012" s="28"/>
      <c r="F1012" s="28"/>
      <c r="G1012" s="28"/>
      <c r="H1012" s="28"/>
      <c r="I1012" s="22"/>
      <c r="J1012" s="28"/>
      <c r="K1012" s="28"/>
      <c r="L1012" s="22"/>
      <c r="M1012" s="22"/>
      <c r="N1012" s="28"/>
      <c r="O1012" s="28"/>
      <c r="P1012" s="53"/>
      <c r="Q1012" s="53"/>
      <c r="R1012" s="28"/>
      <c r="S1012" s="53"/>
      <c r="T1012" s="28"/>
      <c r="U1012" s="28"/>
      <c r="V1012" s="28"/>
      <c r="W1012" s="28"/>
      <c r="X1012" s="53"/>
      <c r="Y1012" s="22"/>
      <c r="Z1012" s="28"/>
      <c r="AA1012" s="28"/>
      <c r="AB1012" s="28"/>
      <c r="AC1012" s="28"/>
      <c r="AD1012" s="28"/>
      <c r="AE1012" s="28"/>
      <c r="AF1012" s="28"/>
      <c r="AG1012" s="28"/>
    </row>
    <row r="1013" spans="1:33" ht="15.75" customHeight="1">
      <c r="A1013" s="28"/>
      <c r="B1013" s="28"/>
      <c r="C1013" s="28"/>
      <c r="D1013" s="28"/>
      <c r="E1013" s="28"/>
      <c r="F1013" s="28"/>
      <c r="G1013" s="28"/>
      <c r="H1013" s="28"/>
      <c r="I1013" s="22"/>
      <c r="J1013" s="28"/>
      <c r="K1013" s="28"/>
      <c r="L1013" s="22"/>
      <c r="M1013" s="22"/>
      <c r="N1013" s="28"/>
      <c r="O1013" s="28"/>
      <c r="P1013" s="53"/>
      <c r="Q1013" s="53"/>
      <c r="R1013" s="28"/>
      <c r="S1013" s="53"/>
      <c r="T1013" s="28"/>
      <c r="U1013" s="28"/>
      <c r="V1013" s="28"/>
      <c r="W1013" s="28"/>
      <c r="X1013" s="53"/>
      <c r="Y1013" s="22"/>
      <c r="Z1013" s="28"/>
      <c r="AA1013" s="28"/>
      <c r="AB1013" s="28"/>
      <c r="AC1013" s="28"/>
      <c r="AD1013" s="28"/>
      <c r="AE1013" s="28"/>
      <c r="AF1013" s="28"/>
      <c r="AG1013" s="28"/>
    </row>
    <row r="1014" spans="1:33" ht="15.75" customHeight="1">
      <c r="A1014" s="28"/>
      <c r="B1014" s="28"/>
      <c r="C1014" s="28"/>
      <c r="D1014" s="28"/>
      <c r="E1014" s="28"/>
      <c r="F1014" s="28"/>
      <c r="G1014" s="28"/>
      <c r="H1014" s="28"/>
      <c r="I1014" s="22"/>
      <c r="J1014" s="28"/>
      <c r="K1014" s="28"/>
      <c r="L1014" s="22"/>
      <c r="M1014" s="22"/>
      <c r="N1014" s="28"/>
      <c r="O1014" s="28"/>
      <c r="P1014" s="53"/>
      <c r="Q1014" s="53"/>
      <c r="R1014" s="28"/>
      <c r="S1014" s="53"/>
      <c r="T1014" s="28"/>
      <c r="U1014" s="28"/>
      <c r="V1014" s="28"/>
      <c r="W1014" s="28"/>
      <c r="X1014" s="53"/>
      <c r="Y1014" s="22"/>
      <c r="Z1014" s="28"/>
      <c r="AA1014" s="28"/>
      <c r="AB1014" s="28"/>
      <c r="AC1014" s="28"/>
      <c r="AD1014" s="28"/>
      <c r="AE1014" s="28"/>
      <c r="AF1014" s="28"/>
      <c r="AG1014" s="28"/>
    </row>
    <row r="1015" spans="1:33" ht="15.75" customHeight="1">
      <c r="A1015" s="28"/>
      <c r="B1015" s="28"/>
      <c r="C1015" s="28"/>
      <c r="D1015" s="28"/>
      <c r="E1015" s="28"/>
      <c r="F1015" s="28"/>
      <c r="G1015" s="28"/>
      <c r="H1015" s="28"/>
      <c r="I1015" s="22"/>
      <c r="J1015" s="28"/>
      <c r="K1015" s="28"/>
      <c r="L1015" s="22"/>
      <c r="M1015" s="22"/>
      <c r="N1015" s="28"/>
      <c r="O1015" s="28"/>
      <c r="P1015" s="53"/>
      <c r="Q1015" s="53"/>
      <c r="R1015" s="28"/>
      <c r="S1015" s="53"/>
      <c r="T1015" s="28"/>
      <c r="U1015" s="28"/>
      <c r="V1015" s="28"/>
      <c r="W1015" s="28"/>
      <c r="X1015" s="53"/>
      <c r="Y1015" s="22"/>
      <c r="Z1015" s="28"/>
      <c r="AA1015" s="28"/>
      <c r="AB1015" s="28"/>
      <c r="AC1015" s="28"/>
      <c r="AD1015" s="28"/>
      <c r="AE1015" s="28"/>
      <c r="AF1015" s="28"/>
      <c r="AG1015" s="28"/>
    </row>
    <row r="1016" spans="1:33" ht="15.75" customHeight="1">
      <c r="A1016" s="28"/>
      <c r="B1016" s="28"/>
      <c r="C1016" s="28"/>
      <c r="D1016" s="28"/>
      <c r="E1016" s="28"/>
      <c r="F1016" s="28"/>
      <c r="G1016" s="28"/>
      <c r="H1016" s="28"/>
      <c r="I1016" s="22"/>
      <c r="J1016" s="28"/>
      <c r="K1016" s="28"/>
      <c r="L1016" s="22"/>
      <c r="M1016" s="22"/>
      <c r="N1016" s="28"/>
      <c r="O1016" s="28"/>
      <c r="P1016" s="53"/>
      <c r="Q1016" s="53"/>
      <c r="R1016" s="28"/>
      <c r="S1016" s="53"/>
      <c r="T1016" s="28"/>
      <c r="U1016" s="28"/>
      <c r="V1016" s="28"/>
      <c r="W1016" s="28"/>
      <c r="X1016" s="53"/>
      <c r="Y1016" s="22"/>
      <c r="Z1016" s="28"/>
      <c r="AA1016" s="28"/>
      <c r="AB1016" s="28"/>
      <c r="AC1016" s="28"/>
      <c r="AD1016" s="28"/>
      <c r="AE1016" s="28"/>
      <c r="AF1016" s="28"/>
      <c r="AG1016" s="28"/>
    </row>
    <row r="1017" spans="1:33" ht="15.75" customHeight="1">
      <c r="A1017" s="28"/>
      <c r="B1017" s="28"/>
      <c r="C1017" s="28"/>
      <c r="D1017" s="28"/>
      <c r="E1017" s="28"/>
      <c r="F1017" s="28"/>
      <c r="G1017" s="28"/>
      <c r="H1017" s="28"/>
      <c r="I1017" s="22"/>
      <c r="J1017" s="28"/>
      <c r="K1017" s="28"/>
      <c r="L1017" s="22"/>
      <c r="M1017" s="22"/>
      <c r="N1017" s="28"/>
      <c r="O1017" s="28"/>
      <c r="P1017" s="53"/>
      <c r="Q1017" s="53"/>
      <c r="R1017" s="28"/>
      <c r="S1017" s="53"/>
      <c r="T1017" s="28"/>
      <c r="U1017" s="28"/>
      <c r="V1017" s="28"/>
      <c r="W1017" s="28"/>
      <c r="X1017" s="53"/>
      <c r="Y1017" s="22"/>
      <c r="Z1017" s="28"/>
      <c r="AA1017" s="28"/>
      <c r="AB1017" s="28"/>
      <c r="AC1017" s="28"/>
      <c r="AD1017" s="28"/>
      <c r="AE1017" s="28"/>
      <c r="AF1017" s="28"/>
      <c r="AG1017" s="28"/>
    </row>
    <row r="1018" spans="1:33" ht="15.75" customHeight="1">
      <c r="A1018" s="28"/>
      <c r="B1018" s="28"/>
      <c r="C1018" s="28"/>
      <c r="D1018" s="28"/>
      <c r="E1018" s="28"/>
      <c r="F1018" s="28"/>
      <c r="G1018" s="28"/>
      <c r="H1018" s="28"/>
      <c r="I1018" s="22"/>
      <c r="J1018" s="28"/>
      <c r="K1018" s="28"/>
      <c r="L1018" s="22"/>
      <c r="M1018" s="22"/>
      <c r="N1018" s="28"/>
      <c r="O1018" s="28"/>
      <c r="P1018" s="53"/>
      <c r="Q1018" s="53"/>
      <c r="R1018" s="28"/>
      <c r="S1018" s="53"/>
      <c r="T1018" s="28"/>
      <c r="U1018" s="28"/>
      <c r="V1018" s="28"/>
      <c r="W1018" s="28"/>
      <c r="X1018" s="53"/>
      <c r="Y1018" s="22"/>
      <c r="Z1018" s="28"/>
      <c r="AA1018" s="28"/>
      <c r="AB1018" s="28"/>
      <c r="AC1018" s="28"/>
      <c r="AD1018" s="28"/>
      <c r="AE1018" s="28"/>
      <c r="AF1018" s="28"/>
      <c r="AG1018" s="28"/>
    </row>
    <row r="1019" spans="1:33" ht="15.75" customHeight="1">
      <c r="A1019" s="28"/>
      <c r="B1019" s="28"/>
      <c r="C1019" s="28"/>
      <c r="D1019" s="28"/>
      <c r="E1019" s="28"/>
      <c r="F1019" s="28"/>
      <c r="G1019" s="28"/>
      <c r="H1019" s="28"/>
      <c r="I1019" s="22"/>
      <c r="J1019" s="28"/>
      <c r="K1019" s="28"/>
      <c r="L1019" s="22"/>
      <c r="M1019" s="22"/>
      <c r="N1019" s="28"/>
      <c r="O1019" s="28"/>
      <c r="P1019" s="53"/>
      <c r="Q1019" s="53"/>
      <c r="R1019" s="28"/>
      <c r="S1019" s="53"/>
      <c r="T1019" s="28"/>
      <c r="U1019" s="28"/>
      <c r="V1019" s="28"/>
      <c r="W1019" s="28"/>
      <c r="X1019" s="53"/>
      <c r="Y1019" s="22"/>
      <c r="Z1019" s="28"/>
      <c r="AA1019" s="28"/>
      <c r="AB1019" s="28"/>
      <c r="AC1019" s="28"/>
      <c r="AD1019" s="28"/>
      <c r="AE1019" s="28"/>
      <c r="AF1019" s="28"/>
      <c r="AG1019" s="28"/>
    </row>
    <row r="1020" spans="1:33" ht="15.75" customHeight="1">
      <c r="A1020" s="28"/>
      <c r="B1020" s="28"/>
      <c r="C1020" s="28"/>
      <c r="D1020" s="28"/>
      <c r="E1020" s="28"/>
      <c r="F1020" s="28"/>
      <c r="G1020" s="28"/>
      <c r="H1020" s="28"/>
      <c r="I1020" s="22"/>
      <c r="J1020" s="28"/>
      <c r="K1020" s="28"/>
      <c r="L1020" s="22"/>
      <c r="M1020" s="22"/>
      <c r="N1020" s="28"/>
      <c r="O1020" s="28"/>
      <c r="P1020" s="53"/>
      <c r="Q1020" s="53"/>
      <c r="R1020" s="28"/>
      <c r="S1020" s="53"/>
      <c r="T1020" s="28"/>
      <c r="U1020" s="28"/>
      <c r="V1020" s="28"/>
      <c r="W1020" s="28"/>
      <c r="X1020" s="53"/>
      <c r="Y1020" s="22"/>
      <c r="Z1020" s="28"/>
      <c r="AA1020" s="28"/>
      <c r="AB1020" s="28"/>
      <c r="AC1020" s="28"/>
      <c r="AD1020" s="28"/>
      <c r="AE1020" s="28"/>
      <c r="AF1020" s="28"/>
      <c r="AG1020" s="28"/>
    </row>
    <row r="1021" spans="1:33" ht="15.75" customHeight="1">
      <c r="A1021" s="28"/>
      <c r="B1021" s="28"/>
      <c r="C1021" s="28"/>
      <c r="D1021" s="28"/>
      <c r="E1021" s="28"/>
      <c r="F1021" s="28"/>
      <c r="G1021" s="28"/>
      <c r="H1021" s="28"/>
      <c r="I1021" s="22"/>
      <c r="J1021" s="28"/>
      <c r="K1021" s="28"/>
      <c r="L1021" s="22"/>
      <c r="M1021" s="22"/>
      <c r="N1021" s="28"/>
      <c r="O1021" s="28"/>
      <c r="P1021" s="53"/>
      <c r="Q1021" s="53"/>
      <c r="R1021" s="28"/>
      <c r="S1021" s="53"/>
      <c r="T1021" s="28"/>
      <c r="U1021" s="28"/>
      <c r="V1021" s="28"/>
      <c r="W1021" s="28"/>
      <c r="X1021" s="53"/>
      <c r="Y1021" s="22"/>
      <c r="Z1021" s="28"/>
      <c r="AA1021" s="28"/>
      <c r="AB1021" s="28"/>
      <c r="AC1021" s="28"/>
      <c r="AD1021" s="28"/>
      <c r="AE1021" s="28"/>
      <c r="AF1021" s="28"/>
      <c r="AG1021" s="28"/>
    </row>
    <row r="1022" spans="1:33" ht="15.75" customHeight="1">
      <c r="A1022" s="28"/>
      <c r="B1022" s="28"/>
      <c r="C1022" s="28"/>
      <c r="D1022" s="28"/>
      <c r="E1022" s="28"/>
      <c r="F1022" s="28"/>
      <c r="G1022" s="28"/>
      <c r="H1022" s="28"/>
      <c r="I1022" s="22"/>
      <c r="J1022" s="28"/>
      <c r="K1022" s="28"/>
      <c r="L1022" s="22"/>
      <c r="M1022" s="22"/>
      <c r="N1022" s="28"/>
      <c r="O1022" s="28"/>
      <c r="P1022" s="53"/>
      <c r="Q1022" s="53"/>
      <c r="R1022" s="28"/>
      <c r="S1022" s="53"/>
      <c r="T1022" s="28"/>
      <c r="U1022" s="28"/>
      <c r="V1022" s="28"/>
      <c r="W1022" s="28"/>
      <c r="X1022" s="53"/>
      <c r="Y1022" s="22"/>
      <c r="Z1022" s="28"/>
      <c r="AA1022" s="28"/>
      <c r="AB1022" s="28"/>
      <c r="AC1022" s="28"/>
      <c r="AD1022" s="28"/>
      <c r="AE1022" s="28"/>
      <c r="AF1022" s="28"/>
      <c r="AG1022" s="28"/>
    </row>
    <row r="1023" spans="1:33" ht="15.75" customHeight="1">
      <c r="A1023" s="28"/>
      <c r="B1023" s="28"/>
      <c r="C1023" s="28"/>
      <c r="D1023" s="28"/>
      <c r="E1023" s="28"/>
      <c r="F1023" s="28"/>
      <c r="G1023" s="28"/>
      <c r="H1023" s="28"/>
      <c r="I1023" s="22"/>
      <c r="J1023" s="28"/>
      <c r="K1023" s="28"/>
      <c r="L1023" s="22"/>
      <c r="M1023" s="22"/>
      <c r="N1023" s="28"/>
      <c r="O1023" s="28"/>
      <c r="P1023" s="53"/>
      <c r="Q1023" s="53"/>
      <c r="R1023" s="28"/>
      <c r="S1023" s="53"/>
      <c r="T1023" s="28"/>
      <c r="U1023" s="28"/>
      <c r="V1023" s="28"/>
      <c r="W1023" s="28"/>
      <c r="X1023" s="53"/>
      <c r="Y1023" s="22"/>
      <c r="Z1023" s="28"/>
      <c r="AA1023" s="28"/>
      <c r="AB1023" s="28"/>
      <c r="AC1023" s="28"/>
      <c r="AD1023" s="28"/>
      <c r="AE1023" s="28"/>
      <c r="AF1023" s="28"/>
      <c r="AG1023" s="28"/>
    </row>
    <row r="1024" spans="1:33" ht="15.75" customHeight="1">
      <c r="A1024" s="28"/>
      <c r="B1024" s="28"/>
      <c r="C1024" s="28"/>
      <c r="D1024" s="28"/>
      <c r="E1024" s="28"/>
      <c r="F1024" s="28"/>
      <c r="G1024" s="28"/>
      <c r="H1024" s="28"/>
      <c r="I1024" s="22"/>
      <c r="J1024" s="28"/>
      <c r="K1024" s="28"/>
      <c r="L1024" s="22"/>
      <c r="M1024" s="22"/>
      <c r="N1024" s="28"/>
      <c r="O1024" s="28"/>
      <c r="P1024" s="53"/>
      <c r="Q1024" s="53"/>
      <c r="R1024" s="28"/>
      <c r="S1024" s="53"/>
      <c r="T1024" s="28"/>
      <c r="U1024" s="28"/>
      <c r="V1024" s="28"/>
      <c r="W1024" s="28"/>
      <c r="X1024" s="53"/>
      <c r="Y1024" s="22"/>
      <c r="Z1024" s="28"/>
      <c r="AA1024" s="28"/>
      <c r="AB1024" s="28"/>
      <c r="AC1024" s="28"/>
      <c r="AD1024" s="28"/>
      <c r="AE1024" s="28"/>
      <c r="AF1024" s="28"/>
      <c r="AG1024" s="28"/>
    </row>
    <row r="1025" spans="1:33" ht="15.75" customHeight="1">
      <c r="A1025" s="28"/>
      <c r="B1025" s="28"/>
      <c r="C1025" s="28"/>
      <c r="D1025" s="28"/>
      <c r="E1025" s="28"/>
      <c r="F1025" s="28"/>
      <c r="G1025" s="28"/>
      <c r="H1025" s="28"/>
      <c r="I1025" s="22"/>
      <c r="J1025" s="28"/>
      <c r="K1025" s="28"/>
      <c r="L1025" s="22"/>
      <c r="M1025" s="22"/>
      <c r="N1025" s="28"/>
      <c r="O1025" s="28"/>
      <c r="P1025" s="53"/>
      <c r="Q1025" s="53"/>
      <c r="R1025" s="28"/>
      <c r="S1025" s="53"/>
      <c r="T1025" s="28"/>
      <c r="U1025" s="28"/>
      <c r="V1025" s="28"/>
      <c r="W1025" s="28"/>
      <c r="X1025" s="53"/>
      <c r="Y1025" s="22"/>
      <c r="Z1025" s="28"/>
      <c r="AA1025" s="28"/>
      <c r="AB1025" s="28"/>
      <c r="AC1025" s="28"/>
      <c r="AD1025" s="28"/>
      <c r="AE1025" s="28"/>
      <c r="AF1025" s="28"/>
      <c r="AG1025" s="28"/>
    </row>
    <row r="1026" spans="1:33" ht="15.75" customHeight="1">
      <c r="A1026" s="28"/>
      <c r="B1026" s="28"/>
      <c r="C1026" s="28"/>
      <c r="D1026" s="28"/>
      <c r="E1026" s="28"/>
      <c r="F1026" s="28"/>
      <c r="G1026" s="28"/>
      <c r="H1026" s="28"/>
      <c r="I1026" s="22"/>
      <c r="J1026" s="28"/>
      <c r="K1026" s="28"/>
      <c r="L1026" s="22"/>
      <c r="M1026" s="22"/>
      <c r="N1026" s="28"/>
      <c r="O1026" s="28"/>
      <c r="P1026" s="53"/>
      <c r="Q1026" s="53"/>
      <c r="R1026" s="28"/>
      <c r="S1026" s="53"/>
      <c r="T1026" s="28"/>
      <c r="U1026" s="28"/>
      <c r="V1026" s="28"/>
      <c r="W1026" s="28"/>
      <c r="X1026" s="53"/>
      <c r="Y1026" s="22"/>
      <c r="Z1026" s="28"/>
      <c r="AA1026" s="28"/>
      <c r="AB1026" s="28"/>
      <c r="AC1026" s="28"/>
      <c r="AD1026" s="28"/>
      <c r="AE1026" s="28"/>
      <c r="AF1026" s="28"/>
      <c r="AG1026" s="28"/>
    </row>
    <row r="1027" spans="1:33" ht="15.75" customHeight="1">
      <c r="A1027" s="28"/>
      <c r="B1027" s="28"/>
      <c r="C1027" s="28"/>
      <c r="D1027" s="28"/>
      <c r="E1027" s="28"/>
      <c r="F1027" s="28"/>
      <c r="G1027" s="28"/>
      <c r="H1027" s="28"/>
      <c r="I1027" s="22"/>
      <c r="J1027" s="28"/>
      <c r="K1027" s="28"/>
      <c r="L1027" s="22"/>
      <c r="M1027" s="22"/>
      <c r="N1027" s="28"/>
      <c r="O1027" s="28"/>
      <c r="P1027" s="53"/>
      <c r="Q1027" s="53"/>
      <c r="R1027" s="28"/>
      <c r="S1027" s="53"/>
      <c r="T1027" s="28"/>
      <c r="U1027" s="28"/>
      <c r="V1027" s="28"/>
      <c r="W1027" s="28"/>
      <c r="X1027" s="53"/>
      <c r="Y1027" s="22"/>
      <c r="Z1027" s="28"/>
      <c r="AA1027" s="28"/>
      <c r="AB1027" s="28"/>
      <c r="AC1027" s="28"/>
      <c r="AD1027" s="28"/>
      <c r="AE1027" s="28"/>
      <c r="AF1027" s="28"/>
      <c r="AG1027" s="28"/>
    </row>
    <row r="1028" spans="1:33" ht="15.75" customHeight="1">
      <c r="A1028" s="28"/>
      <c r="B1028" s="28"/>
      <c r="C1028" s="28"/>
      <c r="D1028" s="28"/>
      <c r="E1028" s="28"/>
      <c r="F1028" s="28"/>
      <c r="G1028" s="28"/>
      <c r="H1028" s="28"/>
      <c r="I1028" s="22"/>
      <c r="J1028" s="28"/>
      <c r="K1028" s="28"/>
      <c r="L1028" s="22"/>
      <c r="M1028" s="22"/>
      <c r="N1028" s="28"/>
      <c r="O1028" s="28"/>
      <c r="P1028" s="53"/>
      <c r="Q1028" s="53"/>
      <c r="R1028" s="28"/>
      <c r="S1028" s="53"/>
      <c r="T1028" s="28"/>
      <c r="U1028" s="28"/>
      <c r="V1028" s="28"/>
      <c r="W1028" s="28"/>
      <c r="X1028" s="53"/>
      <c r="Y1028" s="22"/>
      <c r="Z1028" s="28"/>
      <c r="AA1028" s="28"/>
      <c r="AB1028" s="28"/>
      <c r="AC1028" s="28"/>
      <c r="AD1028" s="28"/>
      <c r="AE1028" s="28"/>
      <c r="AF1028" s="28"/>
      <c r="AG1028" s="28"/>
    </row>
    <row r="1029" spans="1:33" ht="15.75" customHeight="1">
      <c r="A1029" s="28"/>
      <c r="B1029" s="28"/>
      <c r="C1029" s="28"/>
      <c r="D1029" s="28"/>
      <c r="E1029" s="28"/>
      <c r="F1029" s="28"/>
      <c r="G1029" s="28"/>
      <c r="H1029" s="28"/>
      <c r="I1029" s="22"/>
      <c r="J1029" s="28"/>
      <c r="K1029" s="28"/>
      <c r="L1029" s="22"/>
      <c r="M1029" s="22"/>
      <c r="N1029" s="28"/>
      <c r="O1029" s="28"/>
      <c r="P1029" s="53"/>
      <c r="Q1029" s="53"/>
      <c r="R1029" s="28"/>
      <c r="S1029" s="53"/>
      <c r="T1029" s="28"/>
      <c r="U1029" s="28"/>
      <c r="V1029" s="28"/>
      <c r="W1029" s="28"/>
      <c r="X1029" s="53"/>
      <c r="Y1029" s="22"/>
      <c r="Z1029" s="28"/>
      <c r="AA1029" s="28"/>
      <c r="AB1029" s="28"/>
      <c r="AC1029" s="28"/>
      <c r="AD1029" s="28"/>
      <c r="AE1029" s="28"/>
      <c r="AF1029" s="28"/>
      <c r="AG1029" s="28"/>
    </row>
    <row r="1030" spans="1:33" ht="15.75" customHeight="1">
      <c r="A1030" s="28"/>
      <c r="B1030" s="28"/>
      <c r="C1030" s="28"/>
      <c r="D1030" s="28"/>
      <c r="E1030" s="28"/>
      <c r="F1030" s="28"/>
      <c r="G1030" s="28"/>
      <c r="H1030" s="28"/>
      <c r="I1030" s="22"/>
      <c r="J1030" s="28"/>
      <c r="K1030" s="28"/>
      <c r="L1030" s="22"/>
      <c r="M1030" s="22"/>
      <c r="N1030" s="28"/>
      <c r="O1030" s="28"/>
      <c r="P1030" s="53"/>
      <c r="Q1030" s="53"/>
      <c r="R1030" s="28"/>
      <c r="S1030" s="53"/>
      <c r="T1030" s="28"/>
      <c r="U1030" s="28"/>
      <c r="V1030" s="28"/>
      <c r="W1030" s="28"/>
      <c r="X1030" s="53"/>
      <c r="Y1030" s="22"/>
      <c r="Z1030" s="28"/>
      <c r="AA1030" s="28"/>
      <c r="AB1030" s="28"/>
      <c r="AC1030" s="28"/>
      <c r="AD1030" s="28"/>
      <c r="AE1030" s="28"/>
      <c r="AF1030" s="28"/>
      <c r="AG1030" s="28"/>
    </row>
    <row r="1031" spans="1:33" ht="15.75" customHeight="1">
      <c r="A1031" s="28"/>
      <c r="B1031" s="28"/>
      <c r="C1031" s="28"/>
      <c r="D1031" s="28"/>
      <c r="E1031" s="28"/>
      <c r="F1031" s="28"/>
      <c r="G1031" s="28"/>
      <c r="H1031" s="28"/>
      <c r="I1031" s="22"/>
      <c r="J1031" s="28"/>
      <c r="K1031" s="28"/>
      <c r="L1031" s="22"/>
      <c r="M1031" s="22"/>
      <c r="N1031" s="28"/>
      <c r="O1031" s="28"/>
      <c r="P1031" s="53"/>
      <c r="Q1031" s="53"/>
      <c r="R1031" s="28"/>
      <c r="S1031" s="53"/>
      <c r="T1031" s="28"/>
      <c r="U1031" s="28"/>
      <c r="V1031" s="28"/>
      <c r="W1031" s="28"/>
      <c r="X1031" s="53"/>
      <c r="Y1031" s="22"/>
      <c r="Z1031" s="28"/>
      <c r="AA1031" s="28"/>
      <c r="AB1031" s="28"/>
      <c r="AC1031" s="28"/>
      <c r="AD1031" s="28"/>
      <c r="AE1031" s="28"/>
      <c r="AF1031" s="28"/>
      <c r="AG1031" s="28"/>
    </row>
    <row r="1032" spans="1:33" ht="15.75" customHeight="1">
      <c r="A1032" s="28"/>
      <c r="B1032" s="28"/>
      <c r="C1032" s="28"/>
      <c r="D1032" s="28"/>
      <c r="E1032" s="28"/>
      <c r="F1032" s="28"/>
      <c r="G1032" s="28"/>
      <c r="H1032" s="28"/>
      <c r="I1032" s="22"/>
      <c r="J1032" s="28"/>
      <c r="K1032" s="28"/>
      <c r="L1032" s="22"/>
      <c r="M1032" s="22"/>
      <c r="N1032" s="28"/>
      <c r="O1032" s="28"/>
      <c r="P1032" s="53"/>
      <c r="Q1032" s="53"/>
      <c r="R1032" s="28"/>
      <c r="S1032" s="53"/>
      <c r="T1032" s="28"/>
      <c r="U1032" s="28"/>
      <c r="V1032" s="28"/>
      <c r="W1032" s="28"/>
      <c r="X1032" s="53"/>
      <c r="Y1032" s="22"/>
      <c r="Z1032" s="28"/>
      <c r="AA1032" s="28"/>
      <c r="AB1032" s="28"/>
      <c r="AC1032" s="28"/>
      <c r="AD1032" s="28"/>
      <c r="AE1032" s="28"/>
      <c r="AF1032" s="28"/>
      <c r="AG1032" s="28"/>
    </row>
    <row r="1033" spans="1:33" ht="15.75" customHeight="1">
      <c r="A1033" s="28"/>
      <c r="B1033" s="28"/>
      <c r="C1033" s="28"/>
      <c r="D1033" s="28"/>
      <c r="E1033" s="28"/>
      <c r="F1033" s="28"/>
      <c r="G1033" s="28"/>
      <c r="H1033" s="28"/>
      <c r="I1033" s="22"/>
      <c r="J1033" s="28"/>
      <c r="K1033" s="28"/>
      <c r="L1033" s="22"/>
      <c r="M1033" s="22"/>
      <c r="N1033" s="28"/>
      <c r="O1033" s="28"/>
      <c r="P1033" s="53"/>
      <c r="Q1033" s="53"/>
      <c r="R1033" s="28"/>
      <c r="S1033" s="53"/>
      <c r="T1033" s="28"/>
      <c r="U1033" s="28"/>
      <c r="V1033" s="28"/>
      <c r="W1033" s="28"/>
      <c r="X1033" s="53"/>
      <c r="Y1033" s="22"/>
      <c r="Z1033" s="28"/>
      <c r="AA1033" s="28"/>
      <c r="AB1033" s="28"/>
      <c r="AC1033" s="28"/>
      <c r="AD1033" s="28"/>
      <c r="AE1033" s="28"/>
      <c r="AF1033" s="28"/>
      <c r="AG1033" s="28"/>
    </row>
    <row r="1034" spans="1:33" ht="15.75" customHeight="1">
      <c r="A1034" s="28"/>
      <c r="B1034" s="28"/>
      <c r="C1034" s="28"/>
      <c r="D1034" s="28"/>
      <c r="E1034" s="28"/>
      <c r="F1034" s="28"/>
      <c r="G1034" s="28"/>
      <c r="H1034" s="28"/>
      <c r="I1034" s="22"/>
      <c r="J1034" s="28"/>
      <c r="K1034" s="28"/>
      <c r="L1034" s="22"/>
      <c r="M1034" s="22"/>
      <c r="N1034" s="28"/>
      <c r="O1034" s="28"/>
      <c r="P1034" s="53"/>
      <c r="Q1034" s="53"/>
      <c r="R1034" s="28"/>
      <c r="S1034" s="53"/>
      <c r="T1034" s="28"/>
      <c r="U1034" s="28"/>
      <c r="V1034" s="28"/>
      <c r="W1034" s="28"/>
      <c r="X1034" s="53"/>
      <c r="Y1034" s="22"/>
      <c r="Z1034" s="28"/>
      <c r="AA1034" s="28"/>
      <c r="AB1034" s="28"/>
      <c r="AC1034" s="28"/>
      <c r="AD1034" s="28"/>
      <c r="AE1034" s="28"/>
      <c r="AF1034" s="28"/>
      <c r="AG1034" s="28"/>
    </row>
    <row r="1035" spans="1:33" ht="15.75" customHeight="1">
      <c r="A1035" s="28"/>
      <c r="B1035" s="28"/>
      <c r="C1035" s="28"/>
      <c r="D1035" s="28"/>
      <c r="E1035" s="28"/>
      <c r="F1035" s="28"/>
      <c r="G1035" s="28"/>
      <c r="H1035" s="28"/>
      <c r="I1035" s="22"/>
      <c r="J1035" s="28"/>
      <c r="K1035" s="28"/>
      <c r="L1035" s="22"/>
      <c r="M1035" s="22"/>
      <c r="N1035" s="28"/>
      <c r="O1035" s="28"/>
      <c r="P1035" s="53"/>
      <c r="Q1035" s="53"/>
      <c r="R1035" s="28"/>
      <c r="S1035" s="53"/>
      <c r="T1035" s="28"/>
      <c r="U1035" s="28"/>
      <c r="V1035" s="28"/>
      <c r="W1035" s="28"/>
      <c r="X1035" s="53"/>
      <c r="Y1035" s="22"/>
      <c r="Z1035" s="28"/>
      <c r="AA1035" s="28"/>
      <c r="AB1035" s="28"/>
      <c r="AC1035" s="28"/>
      <c r="AD1035" s="28"/>
      <c r="AE1035" s="28"/>
      <c r="AF1035" s="28"/>
      <c r="AG1035" s="28"/>
    </row>
    <row r="1036" spans="1:33" ht="15.75" customHeight="1">
      <c r="A1036" s="28"/>
      <c r="B1036" s="28"/>
      <c r="C1036" s="28"/>
      <c r="D1036" s="28"/>
      <c r="E1036" s="28"/>
      <c r="F1036" s="28"/>
      <c r="G1036" s="28"/>
      <c r="H1036" s="28"/>
      <c r="I1036" s="22"/>
      <c r="J1036" s="28"/>
      <c r="K1036" s="28"/>
      <c r="L1036" s="22"/>
      <c r="M1036" s="22"/>
      <c r="N1036" s="28"/>
      <c r="O1036" s="28"/>
      <c r="P1036" s="53"/>
      <c r="Q1036" s="53"/>
      <c r="R1036" s="28"/>
      <c r="S1036" s="53"/>
      <c r="T1036" s="28"/>
      <c r="U1036" s="28"/>
      <c r="V1036" s="28"/>
      <c r="W1036" s="28"/>
      <c r="X1036" s="53"/>
      <c r="Y1036" s="22"/>
      <c r="Z1036" s="28"/>
      <c r="AA1036" s="28"/>
      <c r="AB1036" s="28"/>
      <c r="AC1036" s="28"/>
      <c r="AD1036" s="28"/>
      <c r="AE1036" s="28"/>
      <c r="AF1036" s="28"/>
      <c r="AG1036" s="28"/>
    </row>
    <row r="1037" spans="1:33" ht="15.75" customHeight="1">
      <c r="A1037" s="28"/>
      <c r="B1037" s="28"/>
      <c r="C1037" s="28"/>
      <c r="D1037" s="28"/>
      <c r="E1037" s="28"/>
      <c r="F1037" s="28"/>
      <c r="G1037" s="28"/>
      <c r="H1037" s="28"/>
      <c r="I1037" s="22"/>
      <c r="J1037" s="28"/>
      <c r="K1037" s="28"/>
      <c r="L1037" s="22"/>
      <c r="M1037" s="22"/>
      <c r="N1037" s="28"/>
      <c r="O1037" s="28"/>
      <c r="P1037" s="53"/>
      <c r="Q1037" s="53"/>
      <c r="R1037" s="28"/>
      <c r="S1037" s="53"/>
      <c r="T1037" s="28"/>
      <c r="U1037" s="28"/>
      <c r="V1037" s="28"/>
      <c r="W1037" s="28"/>
      <c r="X1037" s="53"/>
      <c r="Y1037" s="22"/>
      <c r="Z1037" s="28"/>
      <c r="AA1037" s="28"/>
      <c r="AB1037" s="28"/>
      <c r="AC1037" s="28"/>
      <c r="AD1037" s="28"/>
      <c r="AE1037" s="28"/>
      <c r="AF1037" s="28"/>
      <c r="AG1037" s="28"/>
    </row>
    <row r="1038" spans="1:33" ht="15.75" customHeight="1">
      <c r="A1038" s="28"/>
      <c r="B1038" s="28"/>
      <c r="C1038" s="28"/>
      <c r="D1038" s="28"/>
      <c r="E1038" s="28"/>
      <c r="F1038" s="28"/>
      <c r="G1038" s="28"/>
      <c r="H1038" s="28"/>
      <c r="I1038" s="22"/>
      <c r="J1038" s="28"/>
      <c r="K1038" s="28"/>
      <c r="L1038" s="22"/>
      <c r="M1038" s="22"/>
      <c r="N1038" s="28"/>
      <c r="O1038" s="28"/>
      <c r="P1038" s="53"/>
      <c r="Q1038" s="53"/>
      <c r="R1038" s="28"/>
      <c r="S1038" s="53"/>
      <c r="T1038" s="28"/>
      <c r="U1038" s="28"/>
      <c r="V1038" s="28"/>
      <c r="W1038" s="28"/>
      <c r="X1038" s="53"/>
      <c r="Y1038" s="22"/>
      <c r="Z1038" s="28"/>
      <c r="AA1038" s="28"/>
      <c r="AB1038" s="28"/>
      <c r="AC1038" s="28"/>
      <c r="AD1038" s="28"/>
      <c r="AE1038" s="28"/>
      <c r="AF1038" s="28"/>
      <c r="AG1038" s="28"/>
    </row>
    <row r="1039" spans="1:33" ht="15.75" customHeight="1">
      <c r="A1039" s="28"/>
      <c r="B1039" s="28"/>
      <c r="C1039" s="28"/>
      <c r="D1039" s="28"/>
      <c r="E1039" s="28"/>
      <c r="F1039" s="28"/>
      <c r="G1039" s="28"/>
      <c r="H1039" s="28"/>
      <c r="I1039" s="22"/>
      <c r="J1039" s="28"/>
      <c r="K1039" s="28"/>
      <c r="L1039" s="22"/>
      <c r="M1039" s="22"/>
      <c r="N1039" s="28"/>
      <c r="O1039" s="28"/>
      <c r="P1039" s="53"/>
      <c r="Q1039" s="53"/>
      <c r="R1039" s="28"/>
      <c r="S1039" s="53"/>
      <c r="T1039" s="28"/>
      <c r="U1039" s="28"/>
      <c r="V1039" s="28"/>
      <c r="W1039" s="28"/>
      <c r="X1039" s="53"/>
      <c r="Y1039" s="22"/>
      <c r="Z1039" s="28"/>
      <c r="AA1039" s="28"/>
      <c r="AB1039" s="28"/>
      <c r="AC1039" s="28"/>
      <c r="AD1039" s="28"/>
      <c r="AE1039" s="28"/>
      <c r="AF1039" s="28"/>
      <c r="AG1039" s="28"/>
    </row>
    <row r="1040" spans="1:33" ht="15.75" customHeight="1">
      <c r="A1040" s="28"/>
      <c r="B1040" s="28"/>
      <c r="C1040" s="28"/>
      <c r="D1040" s="28"/>
      <c r="E1040" s="28"/>
      <c r="F1040" s="28"/>
      <c r="G1040" s="28"/>
      <c r="H1040" s="28"/>
      <c r="I1040" s="22"/>
      <c r="J1040" s="28"/>
      <c r="K1040" s="28"/>
      <c r="L1040" s="22"/>
      <c r="M1040" s="22"/>
      <c r="N1040" s="28"/>
      <c r="O1040" s="28"/>
      <c r="P1040" s="53"/>
      <c r="Q1040" s="53"/>
      <c r="R1040" s="28"/>
      <c r="S1040" s="53"/>
      <c r="T1040" s="28"/>
      <c r="U1040" s="28"/>
      <c r="V1040" s="28"/>
      <c r="W1040" s="28"/>
      <c r="X1040" s="53"/>
      <c r="Y1040" s="22"/>
      <c r="Z1040" s="28"/>
      <c r="AA1040" s="28"/>
      <c r="AB1040" s="28"/>
      <c r="AC1040" s="28"/>
      <c r="AD1040" s="28"/>
      <c r="AE1040" s="28"/>
      <c r="AF1040" s="28"/>
      <c r="AG1040" s="28"/>
    </row>
    <row r="1041" spans="1:33" ht="15.75" customHeight="1">
      <c r="A1041" s="28"/>
      <c r="B1041" s="28"/>
      <c r="C1041" s="28"/>
      <c r="D1041" s="28"/>
      <c r="E1041" s="28"/>
      <c r="F1041" s="28"/>
      <c r="G1041" s="28"/>
      <c r="H1041" s="28"/>
      <c r="I1041" s="22"/>
      <c r="J1041" s="28"/>
      <c r="K1041" s="28"/>
      <c r="L1041" s="22"/>
      <c r="M1041" s="22"/>
      <c r="N1041" s="28"/>
      <c r="O1041" s="28"/>
      <c r="P1041" s="53"/>
      <c r="Q1041" s="53"/>
      <c r="R1041" s="28"/>
      <c r="S1041" s="53"/>
      <c r="T1041" s="28"/>
      <c r="U1041" s="28"/>
      <c r="V1041" s="28"/>
      <c r="W1041" s="28"/>
      <c r="X1041" s="53"/>
      <c r="Y1041" s="22"/>
      <c r="Z1041" s="28"/>
      <c r="AA1041" s="28"/>
      <c r="AB1041" s="28"/>
      <c r="AC1041" s="28"/>
      <c r="AD1041" s="28"/>
      <c r="AE1041" s="28"/>
      <c r="AF1041" s="28"/>
      <c r="AG1041" s="28"/>
    </row>
    <row r="1042" spans="1:33" ht="15.75" customHeight="1">
      <c r="A1042" s="28"/>
      <c r="B1042" s="28"/>
      <c r="C1042" s="28"/>
      <c r="D1042" s="28"/>
      <c r="E1042" s="28"/>
      <c r="F1042" s="28"/>
      <c r="G1042" s="28"/>
      <c r="H1042" s="28"/>
      <c r="I1042" s="22"/>
      <c r="J1042" s="28"/>
      <c r="K1042" s="28"/>
      <c r="L1042" s="22"/>
      <c r="M1042" s="22"/>
      <c r="N1042" s="28"/>
      <c r="O1042" s="28"/>
      <c r="P1042" s="53"/>
      <c r="Q1042" s="53"/>
      <c r="R1042" s="28"/>
      <c r="S1042" s="53"/>
      <c r="T1042" s="28"/>
      <c r="U1042" s="28"/>
      <c r="V1042" s="28"/>
      <c r="W1042" s="28"/>
      <c r="X1042" s="53"/>
      <c r="Y1042" s="22"/>
      <c r="Z1042" s="28"/>
      <c r="AA1042" s="28"/>
      <c r="AB1042" s="28"/>
      <c r="AC1042" s="28"/>
      <c r="AD1042" s="28"/>
      <c r="AE1042" s="28"/>
      <c r="AF1042" s="28"/>
      <c r="AG1042" s="28"/>
    </row>
    <row r="1043" spans="1:33" ht="15.75" customHeight="1">
      <c r="A1043" s="28"/>
      <c r="B1043" s="28"/>
      <c r="C1043" s="28"/>
      <c r="D1043" s="28"/>
      <c r="E1043" s="28"/>
      <c r="F1043" s="28"/>
      <c r="G1043" s="28"/>
      <c r="H1043" s="28"/>
      <c r="I1043" s="22"/>
      <c r="J1043" s="28"/>
      <c r="K1043" s="28"/>
      <c r="L1043" s="22"/>
      <c r="M1043" s="22"/>
      <c r="N1043" s="28"/>
      <c r="O1043" s="28"/>
      <c r="P1043" s="53"/>
      <c r="Q1043" s="53"/>
      <c r="R1043" s="28"/>
      <c r="S1043" s="53"/>
      <c r="T1043" s="28"/>
      <c r="U1043" s="28"/>
      <c r="V1043" s="28"/>
      <c r="W1043" s="28"/>
      <c r="X1043" s="53"/>
      <c r="Y1043" s="22"/>
      <c r="Z1043" s="28"/>
      <c r="AA1043" s="28"/>
      <c r="AB1043" s="28"/>
      <c r="AC1043" s="28"/>
      <c r="AD1043" s="28"/>
      <c r="AE1043" s="28"/>
      <c r="AF1043" s="28"/>
      <c r="AG1043" s="28"/>
    </row>
    <row r="1044" spans="1:33" ht="15.75" customHeight="1">
      <c r="A1044" s="28"/>
      <c r="B1044" s="28"/>
      <c r="C1044" s="28"/>
      <c r="D1044" s="28"/>
      <c r="E1044" s="28"/>
      <c r="F1044" s="28"/>
      <c r="G1044" s="28"/>
      <c r="H1044" s="28"/>
      <c r="I1044" s="22"/>
      <c r="J1044" s="28"/>
      <c r="K1044" s="28"/>
      <c r="L1044" s="22"/>
      <c r="M1044" s="22"/>
      <c r="N1044" s="28"/>
      <c r="O1044" s="28"/>
      <c r="P1044" s="53"/>
      <c r="Q1044" s="53"/>
      <c r="R1044" s="28"/>
      <c r="S1044" s="53"/>
      <c r="T1044" s="28"/>
      <c r="U1044" s="28"/>
      <c r="V1044" s="28"/>
      <c r="W1044" s="28"/>
      <c r="X1044" s="53"/>
      <c r="Y1044" s="22"/>
      <c r="Z1044" s="28"/>
      <c r="AA1044" s="28"/>
      <c r="AB1044" s="28"/>
      <c r="AC1044" s="28"/>
      <c r="AD1044" s="28"/>
      <c r="AE1044" s="28"/>
      <c r="AF1044" s="28"/>
      <c r="AG1044" s="28"/>
    </row>
    <row r="1045" spans="1:33" ht="15.75" customHeight="1">
      <c r="A1045" s="28"/>
      <c r="B1045" s="28"/>
      <c r="C1045" s="28"/>
      <c r="D1045" s="28"/>
      <c r="E1045" s="28"/>
      <c r="F1045" s="28"/>
      <c r="G1045" s="28"/>
      <c r="H1045" s="28"/>
      <c r="I1045" s="22"/>
      <c r="J1045" s="28"/>
      <c r="K1045" s="28"/>
      <c r="L1045" s="22"/>
      <c r="M1045" s="22"/>
      <c r="N1045" s="28"/>
      <c r="O1045" s="28"/>
      <c r="P1045" s="53"/>
      <c r="Q1045" s="53"/>
      <c r="R1045" s="28"/>
      <c r="S1045" s="53"/>
      <c r="T1045" s="28"/>
      <c r="U1045" s="28"/>
      <c r="V1045" s="28"/>
      <c r="W1045" s="28"/>
      <c r="X1045" s="53"/>
      <c r="Y1045" s="22"/>
      <c r="Z1045" s="28"/>
      <c r="AA1045" s="28"/>
      <c r="AB1045" s="28"/>
      <c r="AC1045" s="28"/>
      <c r="AD1045" s="28"/>
      <c r="AE1045" s="28"/>
      <c r="AF1045" s="28"/>
      <c r="AG1045" s="28"/>
    </row>
    <row r="1046" spans="1:33" ht="15.75" customHeight="1">
      <c r="A1046" s="28"/>
      <c r="B1046" s="28"/>
      <c r="C1046" s="28"/>
      <c r="D1046" s="28"/>
      <c r="E1046" s="28"/>
      <c r="F1046" s="28"/>
      <c r="G1046" s="28"/>
      <c r="H1046" s="28"/>
      <c r="I1046" s="22"/>
      <c r="J1046" s="28"/>
      <c r="K1046" s="28"/>
      <c r="L1046" s="22"/>
      <c r="M1046" s="22"/>
      <c r="N1046" s="28"/>
      <c r="O1046" s="28"/>
      <c r="P1046" s="53"/>
      <c r="Q1046" s="53"/>
      <c r="R1046" s="28"/>
      <c r="S1046" s="53"/>
      <c r="T1046" s="28"/>
      <c r="U1046" s="28"/>
      <c r="V1046" s="28"/>
      <c r="W1046" s="28"/>
      <c r="X1046" s="53"/>
      <c r="Y1046" s="22"/>
      <c r="Z1046" s="28"/>
      <c r="AA1046" s="28"/>
      <c r="AB1046" s="28"/>
      <c r="AC1046" s="28"/>
      <c r="AD1046" s="28"/>
      <c r="AE1046" s="28"/>
      <c r="AF1046" s="28"/>
      <c r="AG1046" s="28"/>
    </row>
    <row r="1047" spans="1:33" ht="15.75" customHeight="1">
      <c r="A1047" s="28"/>
      <c r="B1047" s="28"/>
      <c r="C1047" s="28"/>
      <c r="D1047" s="28"/>
      <c r="E1047" s="28"/>
      <c r="F1047" s="28"/>
      <c r="G1047" s="28"/>
      <c r="H1047" s="28"/>
      <c r="I1047" s="22"/>
      <c r="J1047" s="28"/>
      <c r="K1047" s="28"/>
      <c r="L1047" s="22"/>
      <c r="M1047" s="22"/>
      <c r="N1047" s="28"/>
      <c r="O1047" s="28"/>
      <c r="P1047" s="53"/>
      <c r="Q1047" s="53"/>
      <c r="R1047" s="28"/>
      <c r="S1047" s="53"/>
      <c r="T1047" s="28"/>
      <c r="U1047" s="28"/>
      <c r="V1047" s="28"/>
      <c r="W1047" s="28"/>
      <c r="X1047" s="53"/>
      <c r="Y1047" s="22"/>
      <c r="Z1047" s="28"/>
      <c r="AA1047" s="28"/>
      <c r="AB1047" s="28"/>
      <c r="AC1047" s="28"/>
      <c r="AD1047" s="28"/>
      <c r="AE1047" s="28"/>
      <c r="AF1047" s="28"/>
      <c r="AG1047" s="28"/>
    </row>
    <row r="1048" spans="1:33" ht="15.75" customHeight="1">
      <c r="A1048" s="28"/>
      <c r="B1048" s="28"/>
      <c r="C1048" s="28"/>
      <c r="D1048" s="28"/>
      <c r="E1048" s="28"/>
      <c r="F1048" s="28"/>
      <c r="G1048" s="28"/>
      <c r="H1048" s="28"/>
      <c r="I1048" s="22"/>
      <c r="J1048" s="28"/>
      <c r="K1048" s="28"/>
      <c r="L1048" s="22"/>
      <c r="M1048" s="22"/>
      <c r="N1048" s="28"/>
      <c r="O1048" s="28"/>
      <c r="P1048" s="53"/>
      <c r="Q1048" s="53"/>
      <c r="R1048" s="28"/>
      <c r="S1048" s="53"/>
      <c r="T1048" s="28"/>
      <c r="U1048" s="28"/>
      <c r="V1048" s="28"/>
      <c r="W1048" s="28"/>
      <c r="X1048" s="53"/>
      <c r="Y1048" s="22"/>
      <c r="Z1048" s="28"/>
      <c r="AA1048" s="28"/>
      <c r="AB1048" s="28"/>
      <c r="AC1048" s="28"/>
      <c r="AD1048" s="28"/>
      <c r="AE1048" s="28"/>
      <c r="AF1048" s="28"/>
      <c r="AG1048" s="28"/>
    </row>
    <row r="1049" spans="1:33" ht="15.75" customHeight="1">
      <c r="A1049" s="28"/>
      <c r="B1049" s="28"/>
      <c r="C1049" s="28"/>
      <c r="D1049" s="28"/>
      <c r="E1049" s="28"/>
      <c r="F1049" s="28"/>
      <c r="G1049" s="28"/>
      <c r="H1049" s="28"/>
      <c r="I1049" s="22"/>
      <c r="J1049" s="28"/>
      <c r="K1049" s="28"/>
      <c r="L1049" s="22"/>
      <c r="M1049" s="22"/>
      <c r="N1049" s="28"/>
      <c r="O1049" s="28"/>
      <c r="P1049" s="53"/>
      <c r="Q1049" s="53"/>
      <c r="R1049" s="28"/>
      <c r="S1049" s="53"/>
      <c r="T1049" s="28"/>
      <c r="U1049" s="28"/>
      <c r="V1049" s="28"/>
      <c r="W1049" s="28"/>
      <c r="X1049" s="53"/>
      <c r="Y1049" s="22"/>
      <c r="Z1049" s="28"/>
      <c r="AA1049" s="28"/>
      <c r="AB1049" s="28"/>
      <c r="AC1049" s="28"/>
      <c r="AD1049" s="28"/>
      <c r="AE1049" s="28"/>
      <c r="AF1049" s="28"/>
      <c r="AG1049" s="28"/>
    </row>
    <row r="1050" spans="1:33" ht="15.75" customHeight="1">
      <c r="A1050" s="28"/>
      <c r="B1050" s="28"/>
      <c r="C1050" s="28"/>
      <c r="D1050" s="28"/>
      <c r="E1050" s="28"/>
      <c r="F1050" s="28"/>
      <c r="G1050" s="28"/>
      <c r="H1050" s="28"/>
      <c r="I1050" s="22"/>
      <c r="J1050" s="28"/>
      <c r="K1050" s="28"/>
      <c r="L1050" s="22"/>
      <c r="M1050" s="22"/>
      <c r="N1050" s="28"/>
      <c r="O1050" s="28"/>
      <c r="P1050" s="53"/>
      <c r="Q1050" s="53"/>
      <c r="R1050" s="28"/>
      <c r="S1050" s="53"/>
      <c r="T1050" s="28"/>
      <c r="U1050" s="28"/>
      <c r="V1050" s="28"/>
      <c r="W1050" s="28"/>
      <c r="X1050" s="53"/>
      <c r="Y1050" s="22"/>
      <c r="Z1050" s="28"/>
      <c r="AA1050" s="28"/>
      <c r="AB1050" s="28"/>
      <c r="AC1050" s="28"/>
      <c r="AD1050" s="28"/>
      <c r="AE1050" s="28"/>
      <c r="AF1050" s="28"/>
      <c r="AG1050" s="28"/>
    </row>
    <row r="1051" spans="1:33" ht="15.75" customHeight="1">
      <c r="A1051" s="28"/>
      <c r="B1051" s="28"/>
      <c r="C1051" s="28"/>
      <c r="D1051" s="28"/>
      <c r="E1051" s="28"/>
      <c r="F1051" s="28"/>
      <c r="G1051" s="28"/>
      <c r="H1051" s="28"/>
      <c r="I1051" s="22"/>
      <c r="J1051" s="28"/>
      <c r="K1051" s="28"/>
      <c r="L1051" s="22"/>
      <c r="M1051" s="22"/>
      <c r="N1051" s="28"/>
      <c r="O1051" s="28"/>
      <c r="P1051" s="53"/>
      <c r="Q1051" s="53"/>
      <c r="R1051" s="28"/>
      <c r="S1051" s="53"/>
      <c r="T1051" s="28"/>
      <c r="U1051" s="28"/>
      <c r="V1051" s="28"/>
      <c r="W1051" s="28"/>
      <c r="X1051" s="53"/>
      <c r="Y1051" s="22"/>
      <c r="Z1051" s="28"/>
      <c r="AA1051" s="28"/>
      <c r="AB1051" s="28"/>
      <c r="AC1051" s="28"/>
      <c r="AD1051" s="28"/>
      <c r="AE1051" s="28"/>
      <c r="AF1051" s="28"/>
      <c r="AG1051" s="28"/>
    </row>
    <row r="1052" spans="1:33" ht="15.75" customHeight="1">
      <c r="A1052" s="28"/>
      <c r="B1052" s="28"/>
      <c r="C1052" s="28"/>
      <c r="D1052" s="28"/>
      <c r="E1052" s="28"/>
      <c r="F1052" s="28"/>
      <c r="G1052" s="28"/>
      <c r="H1052" s="28"/>
      <c r="I1052" s="22"/>
      <c r="J1052" s="28"/>
      <c r="K1052" s="28"/>
      <c r="L1052" s="22"/>
      <c r="M1052" s="22"/>
      <c r="N1052" s="28"/>
      <c r="O1052" s="28"/>
      <c r="P1052" s="53"/>
      <c r="Q1052" s="53"/>
      <c r="R1052" s="28"/>
      <c r="S1052" s="53"/>
      <c r="T1052" s="28"/>
      <c r="U1052" s="28"/>
      <c r="V1052" s="28"/>
      <c r="W1052" s="28"/>
      <c r="X1052" s="53"/>
      <c r="Y1052" s="22"/>
      <c r="Z1052" s="28"/>
      <c r="AA1052" s="28"/>
      <c r="AB1052" s="28"/>
      <c r="AC1052" s="28"/>
      <c r="AD1052" s="28"/>
      <c r="AE1052" s="28"/>
      <c r="AF1052" s="28"/>
      <c r="AG1052" s="28"/>
    </row>
    <row r="1053" spans="1:33" ht="15.75" customHeight="1">
      <c r="A1053" s="28"/>
      <c r="B1053" s="28"/>
      <c r="C1053" s="28"/>
      <c r="D1053" s="28"/>
      <c r="E1053" s="28"/>
      <c r="F1053" s="28"/>
      <c r="G1053" s="28"/>
      <c r="H1053" s="28"/>
      <c r="I1053" s="22"/>
      <c r="J1053" s="28"/>
      <c r="K1053" s="28"/>
      <c r="L1053" s="22"/>
      <c r="M1053" s="22"/>
      <c r="N1053" s="28"/>
      <c r="O1053" s="28"/>
      <c r="P1053" s="53"/>
      <c r="Q1053" s="53"/>
      <c r="R1053" s="28"/>
      <c r="S1053" s="53"/>
      <c r="T1053" s="28"/>
      <c r="U1053" s="28"/>
      <c r="V1053" s="28"/>
      <c r="W1053" s="28"/>
      <c r="X1053" s="53"/>
      <c r="Y1053" s="22"/>
      <c r="Z1053" s="28"/>
      <c r="AA1053" s="28"/>
      <c r="AB1053" s="28"/>
      <c r="AC1053" s="28"/>
      <c r="AD1053" s="28"/>
      <c r="AE1053" s="28"/>
      <c r="AF1053" s="28"/>
      <c r="AG1053" s="28"/>
    </row>
    <row r="1054" spans="1:33" ht="15.75" customHeight="1">
      <c r="A1054" s="28"/>
      <c r="B1054" s="28"/>
      <c r="C1054" s="28"/>
      <c r="D1054" s="28"/>
      <c r="E1054" s="28"/>
      <c r="F1054" s="28"/>
      <c r="G1054" s="28"/>
      <c r="H1054" s="28"/>
      <c r="I1054" s="22"/>
      <c r="J1054" s="28"/>
      <c r="K1054" s="28"/>
      <c r="L1054" s="22"/>
      <c r="M1054" s="22"/>
      <c r="N1054" s="28"/>
      <c r="O1054" s="28"/>
      <c r="P1054" s="53"/>
      <c r="Q1054" s="53"/>
      <c r="R1054" s="28"/>
      <c r="S1054" s="53"/>
      <c r="T1054" s="28"/>
      <c r="U1054" s="28"/>
      <c r="V1054" s="28"/>
      <c r="W1054" s="28"/>
      <c r="X1054" s="53"/>
      <c r="Y1054" s="22"/>
      <c r="Z1054" s="28"/>
      <c r="AA1054" s="28"/>
      <c r="AB1054" s="28"/>
      <c r="AC1054" s="28"/>
      <c r="AD1054" s="28"/>
      <c r="AE1054" s="28"/>
      <c r="AF1054" s="28"/>
      <c r="AG1054" s="28"/>
    </row>
    <row r="1055" spans="1:33" ht="15.75" customHeight="1">
      <c r="A1055" s="28"/>
      <c r="B1055" s="28"/>
      <c r="C1055" s="28"/>
      <c r="D1055" s="28"/>
      <c r="E1055" s="28"/>
      <c r="F1055" s="28"/>
      <c r="G1055" s="28"/>
      <c r="H1055" s="28"/>
      <c r="I1055" s="22"/>
      <c r="J1055" s="28"/>
      <c r="K1055" s="28"/>
      <c r="L1055" s="22"/>
      <c r="M1055" s="22"/>
      <c r="N1055" s="28"/>
      <c r="O1055" s="28"/>
      <c r="P1055" s="53"/>
      <c r="Q1055" s="53"/>
      <c r="R1055" s="28"/>
      <c r="S1055" s="53"/>
      <c r="T1055" s="28"/>
      <c r="U1055" s="28"/>
      <c r="V1055" s="28"/>
      <c r="W1055" s="28"/>
      <c r="X1055" s="53"/>
      <c r="Y1055" s="22"/>
      <c r="Z1055" s="28"/>
      <c r="AA1055" s="28"/>
      <c r="AB1055" s="28"/>
      <c r="AC1055" s="28"/>
      <c r="AD1055" s="28"/>
      <c r="AE1055" s="28"/>
      <c r="AF1055" s="28"/>
      <c r="AG1055" s="28"/>
    </row>
    <row r="1056" spans="1:33" ht="15.75" customHeight="1">
      <c r="A1056" s="28"/>
      <c r="B1056" s="28"/>
      <c r="C1056" s="28"/>
      <c r="D1056" s="28"/>
      <c r="E1056" s="28"/>
      <c r="F1056" s="28"/>
      <c r="G1056" s="28"/>
      <c r="H1056" s="28"/>
      <c r="I1056" s="22"/>
      <c r="J1056" s="28"/>
      <c r="K1056" s="28"/>
      <c r="L1056" s="22"/>
      <c r="M1056" s="22"/>
      <c r="N1056" s="28"/>
      <c r="O1056" s="28"/>
      <c r="P1056" s="53"/>
      <c r="Q1056" s="53"/>
      <c r="R1056" s="28"/>
      <c r="S1056" s="53"/>
      <c r="T1056" s="28"/>
      <c r="U1056" s="28"/>
      <c r="V1056" s="28"/>
      <c r="W1056" s="28"/>
      <c r="X1056" s="53"/>
      <c r="Y1056" s="22"/>
      <c r="Z1056" s="28"/>
      <c r="AA1056" s="28"/>
      <c r="AB1056" s="28"/>
      <c r="AC1056" s="28"/>
      <c r="AD1056" s="28"/>
      <c r="AE1056" s="28"/>
      <c r="AF1056" s="28"/>
      <c r="AG1056" s="28"/>
    </row>
    <row r="1057" spans="1:33" ht="15.75" customHeight="1">
      <c r="A1057" s="28"/>
      <c r="B1057" s="28"/>
      <c r="C1057" s="28"/>
      <c r="D1057" s="28"/>
      <c r="E1057" s="28"/>
      <c r="F1057" s="28"/>
      <c r="G1057" s="28"/>
      <c r="H1057" s="28"/>
      <c r="I1057" s="22"/>
      <c r="J1057" s="28"/>
      <c r="K1057" s="28"/>
      <c r="L1057" s="22"/>
      <c r="M1057" s="22"/>
      <c r="N1057" s="28"/>
      <c r="O1057" s="28"/>
      <c r="P1057" s="53"/>
      <c r="Q1057" s="53"/>
      <c r="R1057" s="28"/>
      <c r="S1057" s="53"/>
      <c r="T1057" s="28"/>
      <c r="U1057" s="28"/>
      <c r="V1057" s="28"/>
      <c r="W1057" s="28"/>
      <c r="X1057" s="53"/>
      <c r="Y1057" s="22"/>
      <c r="Z1057" s="28"/>
      <c r="AA1057" s="28"/>
      <c r="AB1057" s="28"/>
      <c r="AC1057" s="28"/>
      <c r="AD1057" s="28"/>
      <c r="AE1057" s="28"/>
      <c r="AF1057" s="28"/>
      <c r="AG1057" s="28"/>
    </row>
    <row r="1058" spans="1:33" ht="15.75" customHeight="1">
      <c r="A1058" s="28"/>
      <c r="B1058" s="28"/>
      <c r="C1058" s="28"/>
      <c r="D1058" s="28"/>
      <c r="E1058" s="28"/>
      <c r="F1058" s="28"/>
      <c r="G1058" s="28"/>
      <c r="H1058" s="28"/>
      <c r="I1058" s="22"/>
      <c r="J1058" s="28"/>
      <c r="K1058" s="28"/>
      <c r="L1058" s="22"/>
      <c r="M1058" s="22"/>
      <c r="N1058" s="28"/>
      <c r="O1058" s="28"/>
      <c r="P1058" s="53"/>
      <c r="Q1058" s="53"/>
      <c r="R1058" s="28"/>
      <c r="S1058" s="53"/>
      <c r="T1058" s="28"/>
      <c r="U1058" s="28"/>
      <c r="V1058" s="28"/>
      <c r="W1058" s="28"/>
      <c r="X1058" s="53"/>
      <c r="Y1058" s="22"/>
      <c r="Z1058" s="28"/>
      <c r="AA1058" s="28"/>
      <c r="AB1058" s="28"/>
      <c r="AC1058" s="28"/>
      <c r="AD1058" s="28"/>
      <c r="AE1058" s="28"/>
      <c r="AF1058" s="28"/>
      <c r="AG1058" s="28"/>
    </row>
    <row r="1059" spans="1:33" ht="15.75" customHeight="1">
      <c r="A1059" s="28"/>
      <c r="B1059" s="28"/>
      <c r="C1059" s="28"/>
      <c r="D1059" s="28"/>
      <c r="E1059" s="28"/>
      <c r="F1059" s="28"/>
      <c r="G1059" s="28"/>
      <c r="H1059" s="28"/>
      <c r="I1059" s="22"/>
      <c r="J1059" s="28"/>
      <c r="K1059" s="28"/>
      <c r="L1059" s="22"/>
      <c r="M1059" s="22"/>
      <c r="N1059" s="28"/>
      <c r="O1059" s="28"/>
      <c r="P1059" s="53"/>
      <c r="Q1059" s="53"/>
      <c r="R1059" s="28"/>
      <c r="S1059" s="53"/>
      <c r="T1059" s="28"/>
      <c r="U1059" s="28"/>
      <c r="V1059" s="28"/>
      <c r="W1059" s="28"/>
      <c r="X1059" s="53"/>
      <c r="Y1059" s="22"/>
      <c r="Z1059" s="28"/>
      <c r="AA1059" s="28"/>
      <c r="AB1059" s="28"/>
      <c r="AC1059" s="28"/>
      <c r="AD1059" s="28"/>
      <c r="AE1059" s="28"/>
      <c r="AF1059" s="28"/>
      <c r="AG1059" s="28"/>
    </row>
    <row r="1060" spans="1:33" ht="15.75" customHeight="1">
      <c r="A1060" s="28"/>
      <c r="B1060" s="28"/>
      <c r="C1060" s="28"/>
      <c r="D1060" s="28"/>
      <c r="E1060" s="28"/>
      <c r="F1060" s="28"/>
      <c r="G1060" s="28"/>
      <c r="H1060" s="28"/>
      <c r="I1060" s="22"/>
      <c r="J1060" s="28"/>
      <c r="K1060" s="28"/>
      <c r="L1060" s="22"/>
      <c r="M1060" s="22"/>
      <c r="N1060" s="28"/>
      <c r="O1060" s="28"/>
      <c r="P1060" s="53"/>
      <c r="Q1060" s="53"/>
      <c r="R1060" s="28"/>
      <c r="S1060" s="53"/>
      <c r="T1060" s="28"/>
      <c r="U1060" s="28"/>
      <c r="V1060" s="28"/>
      <c r="W1060" s="28"/>
      <c r="X1060" s="53"/>
      <c r="Y1060" s="22"/>
      <c r="Z1060" s="28"/>
      <c r="AA1060" s="28"/>
      <c r="AB1060" s="28"/>
      <c r="AC1060" s="28"/>
      <c r="AD1060" s="28"/>
      <c r="AE1060" s="28"/>
      <c r="AF1060" s="28"/>
      <c r="AG1060" s="28"/>
    </row>
    <row r="1061" spans="1:33" ht="15.75" customHeight="1">
      <c r="A1061" s="28"/>
      <c r="B1061" s="28"/>
      <c r="C1061" s="28"/>
      <c r="D1061" s="28"/>
      <c r="E1061" s="28"/>
      <c r="F1061" s="28"/>
      <c r="G1061" s="28"/>
      <c r="H1061" s="28"/>
      <c r="I1061" s="22"/>
      <c r="J1061" s="28"/>
      <c r="K1061" s="28"/>
      <c r="L1061" s="22"/>
      <c r="M1061" s="22"/>
      <c r="N1061" s="28"/>
      <c r="O1061" s="28"/>
      <c r="P1061" s="53"/>
      <c r="Q1061" s="53"/>
      <c r="R1061" s="28"/>
      <c r="S1061" s="53"/>
      <c r="T1061" s="28"/>
      <c r="U1061" s="28"/>
      <c r="V1061" s="28"/>
      <c r="W1061" s="28"/>
      <c r="X1061" s="53"/>
      <c r="Y1061" s="22"/>
      <c r="Z1061" s="28"/>
      <c r="AA1061" s="28"/>
      <c r="AB1061" s="28"/>
      <c r="AC1061" s="28"/>
      <c r="AD1061" s="28"/>
      <c r="AE1061" s="28"/>
      <c r="AF1061" s="28"/>
      <c r="AG1061" s="28"/>
    </row>
    <row r="1062" spans="1:33" ht="15.75" customHeight="1">
      <c r="A1062" s="28"/>
      <c r="B1062" s="28"/>
      <c r="C1062" s="28"/>
      <c r="D1062" s="28"/>
      <c r="E1062" s="28"/>
      <c r="F1062" s="28"/>
      <c r="G1062" s="28"/>
      <c r="H1062" s="28"/>
      <c r="I1062" s="22"/>
      <c r="J1062" s="28"/>
      <c r="K1062" s="28"/>
      <c r="L1062" s="22"/>
      <c r="M1062" s="22"/>
      <c r="N1062" s="28"/>
      <c r="O1062" s="28"/>
      <c r="P1062" s="53"/>
      <c r="Q1062" s="53"/>
      <c r="R1062" s="28"/>
      <c r="S1062" s="53"/>
      <c r="T1062" s="28"/>
      <c r="U1062" s="28"/>
      <c r="V1062" s="28"/>
      <c r="W1062" s="28"/>
      <c r="X1062" s="53"/>
      <c r="Y1062" s="22"/>
      <c r="Z1062" s="28"/>
      <c r="AA1062" s="28"/>
      <c r="AB1062" s="28"/>
      <c r="AC1062" s="28"/>
      <c r="AD1062" s="28"/>
      <c r="AE1062" s="28"/>
      <c r="AF1062" s="28"/>
      <c r="AG1062" s="28"/>
    </row>
    <row r="1063" spans="1:33" ht="15.75" customHeight="1">
      <c r="A1063" s="28"/>
      <c r="B1063" s="28"/>
      <c r="C1063" s="28"/>
      <c r="D1063" s="28"/>
      <c r="E1063" s="28"/>
      <c r="F1063" s="28"/>
      <c r="G1063" s="28"/>
      <c r="H1063" s="28"/>
      <c r="I1063" s="22"/>
      <c r="J1063" s="28"/>
      <c r="K1063" s="28"/>
      <c r="L1063" s="22"/>
      <c r="M1063" s="22"/>
      <c r="N1063" s="28"/>
      <c r="O1063" s="28"/>
      <c r="P1063" s="53"/>
      <c r="Q1063" s="53"/>
      <c r="R1063" s="28"/>
      <c r="S1063" s="53"/>
      <c r="T1063" s="28"/>
      <c r="U1063" s="28"/>
      <c r="V1063" s="28"/>
      <c r="W1063" s="28"/>
      <c r="X1063" s="53"/>
      <c r="Y1063" s="22"/>
      <c r="Z1063" s="28"/>
      <c r="AA1063" s="28"/>
      <c r="AB1063" s="28"/>
      <c r="AC1063" s="28"/>
      <c r="AD1063" s="28"/>
      <c r="AE1063" s="28"/>
      <c r="AF1063" s="28"/>
      <c r="AG1063" s="28"/>
    </row>
    <row r="1064" spans="1:33" ht="15.75" customHeight="1">
      <c r="A1064" s="28"/>
      <c r="B1064" s="28"/>
      <c r="C1064" s="28"/>
      <c r="D1064" s="28"/>
      <c r="E1064" s="28"/>
      <c r="F1064" s="28"/>
      <c r="G1064" s="28"/>
      <c r="H1064" s="28"/>
      <c r="I1064" s="22"/>
      <c r="J1064" s="28"/>
      <c r="K1064" s="28"/>
      <c r="L1064" s="22"/>
      <c r="M1064" s="22"/>
      <c r="N1064" s="28"/>
      <c r="O1064" s="28"/>
      <c r="P1064" s="53"/>
      <c r="Q1064" s="53"/>
      <c r="R1064" s="28"/>
      <c r="S1064" s="53"/>
      <c r="T1064" s="28"/>
      <c r="U1064" s="28"/>
      <c r="V1064" s="28"/>
      <c r="W1064" s="28"/>
      <c r="X1064" s="53"/>
      <c r="Y1064" s="22"/>
      <c r="Z1064" s="28"/>
      <c r="AA1064" s="28"/>
      <c r="AB1064" s="28"/>
      <c r="AC1064" s="28"/>
      <c r="AD1064" s="28"/>
      <c r="AE1064" s="28"/>
      <c r="AF1064" s="28"/>
      <c r="AG1064" s="28"/>
    </row>
    <row r="1065" spans="1:33" ht="15.75" customHeight="1">
      <c r="A1065" s="28"/>
      <c r="B1065" s="28"/>
      <c r="C1065" s="28"/>
      <c r="D1065" s="28"/>
      <c r="E1065" s="28"/>
      <c r="F1065" s="28"/>
      <c r="G1065" s="28"/>
      <c r="H1065" s="28"/>
      <c r="I1065" s="22"/>
      <c r="J1065" s="28"/>
      <c r="K1065" s="28"/>
      <c r="L1065" s="22"/>
      <c r="M1065" s="22"/>
      <c r="N1065" s="28"/>
      <c r="O1065" s="28"/>
      <c r="P1065" s="53"/>
      <c r="Q1065" s="53"/>
      <c r="R1065" s="28"/>
      <c r="S1065" s="53"/>
      <c r="T1065" s="28"/>
      <c r="U1065" s="28"/>
      <c r="V1065" s="28"/>
      <c r="W1065" s="28"/>
      <c r="X1065" s="53"/>
      <c r="Y1065" s="22"/>
      <c r="Z1065" s="28"/>
      <c r="AA1065" s="28"/>
      <c r="AB1065" s="28"/>
      <c r="AC1065" s="28"/>
      <c r="AD1065" s="28"/>
      <c r="AE1065" s="28"/>
      <c r="AF1065" s="28"/>
      <c r="AG1065" s="28"/>
    </row>
    <row r="1066" spans="1:33" ht="15.75" customHeight="1">
      <c r="A1066" s="28"/>
      <c r="B1066" s="28"/>
      <c r="C1066" s="28"/>
      <c r="D1066" s="28"/>
      <c r="E1066" s="28"/>
      <c r="F1066" s="28"/>
      <c r="G1066" s="28"/>
      <c r="H1066" s="28"/>
      <c r="I1066" s="22"/>
      <c r="J1066" s="28"/>
      <c r="K1066" s="28"/>
      <c r="L1066" s="22"/>
      <c r="M1066" s="22"/>
      <c r="N1066" s="28"/>
      <c r="O1066" s="28"/>
      <c r="P1066" s="53"/>
      <c r="Q1066" s="53"/>
      <c r="R1066" s="28"/>
      <c r="S1066" s="53"/>
      <c r="T1066" s="28"/>
      <c r="U1066" s="28"/>
      <c r="V1066" s="28"/>
      <c r="W1066" s="28"/>
      <c r="X1066" s="53"/>
      <c r="Y1066" s="22"/>
      <c r="Z1066" s="28"/>
      <c r="AA1066" s="28"/>
      <c r="AB1066" s="28"/>
      <c r="AC1066" s="28"/>
      <c r="AD1066" s="28"/>
      <c r="AE1066" s="28"/>
      <c r="AF1066" s="28"/>
      <c r="AG1066" s="28"/>
    </row>
    <row r="1067" spans="1:33" ht="15.75" customHeight="1">
      <c r="A1067" s="28"/>
      <c r="B1067" s="28"/>
      <c r="C1067" s="28"/>
      <c r="D1067" s="28"/>
      <c r="E1067" s="28"/>
      <c r="F1067" s="28"/>
      <c r="G1067" s="28"/>
      <c r="H1067" s="28"/>
      <c r="I1067" s="22"/>
      <c r="J1067" s="28"/>
      <c r="K1067" s="28"/>
      <c r="L1067" s="22"/>
      <c r="M1067" s="22"/>
      <c r="N1067" s="28"/>
      <c r="O1067" s="28"/>
      <c r="P1067" s="53"/>
      <c r="Q1067" s="53"/>
      <c r="R1067" s="28"/>
      <c r="S1067" s="53"/>
      <c r="T1067" s="28"/>
      <c r="U1067" s="28"/>
      <c r="V1067" s="28"/>
      <c r="W1067" s="28"/>
      <c r="X1067" s="53"/>
      <c r="Y1067" s="22"/>
      <c r="Z1067" s="28"/>
      <c r="AA1067" s="28"/>
      <c r="AB1067" s="28"/>
      <c r="AC1067" s="28"/>
      <c r="AD1067" s="28"/>
      <c r="AE1067" s="28"/>
      <c r="AF1067" s="28"/>
      <c r="AG1067" s="28"/>
    </row>
    <row r="1068" spans="1:33" ht="15.75" customHeight="1">
      <c r="A1068" s="28"/>
      <c r="B1068" s="28"/>
      <c r="C1068" s="28"/>
      <c r="D1068" s="28"/>
      <c r="E1068" s="28"/>
      <c r="F1068" s="28"/>
      <c r="G1068" s="28"/>
      <c r="H1068" s="28"/>
      <c r="I1068" s="22"/>
      <c r="J1068" s="28"/>
      <c r="K1068" s="28"/>
      <c r="L1068" s="22"/>
      <c r="M1068" s="22"/>
      <c r="N1068" s="28"/>
      <c r="O1068" s="28"/>
      <c r="P1068" s="53"/>
      <c r="Q1068" s="53"/>
      <c r="R1068" s="28"/>
      <c r="S1068" s="53"/>
      <c r="T1068" s="28"/>
      <c r="U1068" s="28"/>
      <c r="V1068" s="28"/>
      <c r="W1068" s="28"/>
      <c r="X1068" s="53"/>
      <c r="Y1068" s="22"/>
      <c r="Z1068" s="28"/>
      <c r="AA1068" s="28"/>
      <c r="AB1068" s="28"/>
      <c r="AC1068" s="28"/>
      <c r="AD1068" s="28"/>
      <c r="AE1068" s="28"/>
      <c r="AF1068" s="28"/>
      <c r="AG1068" s="28"/>
    </row>
    <row r="1069" spans="1:33" ht="15.75" customHeight="1">
      <c r="A1069" s="28"/>
      <c r="B1069" s="28"/>
      <c r="C1069" s="28"/>
      <c r="D1069" s="28"/>
      <c r="E1069" s="28"/>
      <c r="F1069" s="28"/>
      <c r="G1069" s="28"/>
      <c r="H1069" s="28"/>
      <c r="I1069" s="22"/>
      <c r="J1069" s="28"/>
      <c r="K1069" s="28"/>
      <c r="L1069" s="22"/>
      <c r="M1069" s="22"/>
      <c r="N1069" s="28"/>
      <c r="O1069" s="28"/>
      <c r="P1069" s="53"/>
      <c r="Q1069" s="53"/>
      <c r="R1069" s="28"/>
      <c r="S1069" s="53"/>
      <c r="T1069" s="28"/>
      <c r="U1069" s="28"/>
      <c r="V1069" s="28"/>
      <c r="W1069" s="28"/>
      <c r="X1069" s="53"/>
      <c r="Y1069" s="22"/>
      <c r="Z1069" s="28"/>
      <c r="AA1069" s="28"/>
      <c r="AB1069" s="28"/>
      <c r="AC1069" s="28"/>
      <c r="AD1069" s="28"/>
      <c r="AE1069" s="28"/>
      <c r="AF1069" s="28"/>
      <c r="AG1069" s="28"/>
    </row>
    <row r="1070" spans="1:33" ht="15.75" customHeight="1">
      <c r="A1070" s="28"/>
      <c r="B1070" s="28"/>
      <c r="C1070" s="28"/>
      <c r="D1070" s="28"/>
      <c r="E1070" s="28"/>
      <c r="F1070" s="28"/>
      <c r="G1070" s="28"/>
      <c r="H1070" s="28"/>
      <c r="I1070" s="22"/>
      <c r="J1070" s="28"/>
      <c r="K1070" s="28"/>
      <c r="L1070" s="22"/>
      <c r="M1070" s="22"/>
      <c r="N1070" s="28"/>
      <c r="O1070" s="28"/>
      <c r="P1070" s="53"/>
      <c r="Q1070" s="53"/>
      <c r="R1070" s="28"/>
      <c r="S1070" s="53"/>
      <c r="T1070" s="28"/>
      <c r="U1070" s="28"/>
      <c r="V1070" s="28"/>
      <c r="W1070" s="28"/>
      <c r="X1070" s="53"/>
      <c r="Y1070" s="22"/>
      <c r="Z1070" s="28"/>
      <c r="AA1070" s="28"/>
      <c r="AB1070" s="28"/>
      <c r="AC1070" s="28"/>
      <c r="AD1070" s="28"/>
      <c r="AE1070" s="28"/>
      <c r="AF1070" s="28"/>
      <c r="AG1070" s="28"/>
    </row>
    <row r="1071" spans="1:33" ht="15.75" customHeight="1">
      <c r="A1071" s="28"/>
      <c r="B1071" s="28"/>
      <c r="C1071" s="28"/>
      <c r="D1071" s="28"/>
      <c r="E1071" s="28"/>
      <c r="F1071" s="28"/>
      <c r="G1071" s="28"/>
      <c r="H1071" s="28"/>
      <c r="I1071" s="22"/>
      <c r="J1071" s="28"/>
      <c r="K1071" s="28"/>
      <c r="L1071" s="22"/>
      <c r="M1071" s="22"/>
      <c r="N1071" s="28"/>
      <c r="O1071" s="28"/>
      <c r="P1071" s="53"/>
      <c r="Q1071" s="53"/>
      <c r="R1071" s="28"/>
      <c r="S1071" s="53"/>
      <c r="T1071" s="28"/>
      <c r="U1071" s="28"/>
      <c r="V1071" s="28"/>
      <c r="W1071" s="28"/>
      <c r="X1071" s="53"/>
      <c r="Y1071" s="22"/>
      <c r="Z1071" s="28"/>
      <c r="AA1071" s="28"/>
      <c r="AB1071" s="28"/>
      <c r="AC1071" s="28"/>
      <c r="AD1071" s="28"/>
      <c r="AE1071" s="28"/>
      <c r="AF1071" s="28"/>
      <c r="AG1071" s="28"/>
    </row>
    <row r="1072" spans="1:33" ht="15.75" customHeight="1">
      <c r="A1072" s="28"/>
      <c r="B1072" s="28"/>
      <c r="C1072" s="28"/>
      <c r="D1072" s="28"/>
      <c r="E1072" s="28"/>
      <c r="F1072" s="28"/>
      <c r="G1072" s="28"/>
      <c r="H1072" s="28"/>
      <c r="I1072" s="22"/>
      <c r="J1072" s="28"/>
      <c r="K1072" s="28"/>
      <c r="L1072" s="22"/>
      <c r="M1072" s="22"/>
      <c r="N1072" s="28"/>
      <c r="O1072" s="28"/>
      <c r="P1072" s="53"/>
      <c r="Q1072" s="53"/>
      <c r="R1072" s="28"/>
      <c r="S1072" s="53"/>
      <c r="T1072" s="28"/>
      <c r="U1072" s="28"/>
      <c r="V1072" s="28"/>
      <c r="W1072" s="28"/>
      <c r="X1072" s="53"/>
      <c r="Y1072" s="22"/>
      <c r="Z1072" s="28"/>
      <c r="AA1072" s="28"/>
      <c r="AB1072" s="28"/>
      <c r="AC1072" s="28"/>
      <c r="AD1072" s="28"/>
      <c r="AE1072" s="28"/>
      <c r="AF1072" s="28"/>
      <c r="AG1072" s="28"/>
    </row>
    <row r="1073" spans="1:33" ht="15.75" customHeight="1">
      <c r="A1073" s="28"/>
      <c r="B1073" s="28"/>
      <c r="C1073" s="28"/>
      <c r="D1073" s="28"/>
      <c r="E1073" s="28"/>
      <c r="F1073" s="28"/>
      <c r="G1073" s="28"/>
      <c r="H1073" s="28"/>
      <c r="I1073" s="22"/>
      <c r="J1073" s="28"/>
      <c r="K1073" s="28"/>
      <c r="L1073" s="22"/>
      <c r="M1073" s="22"/>
      <c r="N1073" s="28"/>
      <c r="O1073" s="28"/>
      <c r="P1073" s="53"/>
      <c r="Q1073" s="53"/>
      <c r="R1073" s="28"/>
      <c r="S1073" s="53"/>
      <c r="T1073" s="28"/>
      <c r="U1073" s="28"/>
      <c r="V1073" s="28"/>
      <c r="W1073" s="28"/>
      <c r="X1073" s="53"/>
      <c r="Y1073" s="22"/>
      <c r="Z1073" s="28"/>
      <c r="AA1073" s="28"/>
      <c r="AB1073" s="28"/>
      <c r="AC1073" s="28"/>
      <c r="AD1073" s="28"/>
      <c r="AE1073" s="28"/>
      <c r="AF1073" s="28"/>
      <c r="AG1073" s="28"/>
    </row>
  </sheetData>
  <autoFilter ref="A1:AG1073"/>
  <customSheetViews>
    <customSheetView guid="{5803CC54-402F-4A18-B885-AD5764FF37C2}" filter="1" showAutoFilter="1">
      <autoFilter ref="A1:Z140">
        <filterColumn colId="1">
          <filters>
            <filter val="190503"/>
            <filter val="190506"/>
            <filter val="190508"/>
            <filter val="190510"/>
            <filter val="190520"/>
            <filter val="190522"/>
            <filter val="190523"/>
            <filter val="190524"/>
            <filter val="190529"/>
            <filter val="190610"/>
            <filter val="190611"/>
            <filter val="2019/10/15"/>
            <filter val="2019/10/7"/>
            <filter val="2019/11/6"/>
          </filters>
        </filterColumn>
      </autoFilter>
    </customSheetView>
  </customSheetViews>
  <phoneticPr fontId="50" type="noConversion"/>
  <conditionalFormatting sqref="B128">
    <cfRule type="notContainsBlanks" dxfId="1" priority="1">
      <formula>LEN(TRIM(B128))&gt;0</formula>
    </cfRule>
  </conditionalFormatting>
  <conditionalFormatting sqref="B128">
    <cfRule type="notContainsBlanks" dxfId="0" priority="2">
      <formula>LEN(TRIM(B128))&gt;0</formula>
    </cfRule>
  </conditionalFormatting>
  <pageMargins left="0.70866141732283472" right="0.70866141732283472" top="0.74803149606299213" bottom="0.74803149606299213" header="0" footer="0"/>
  <pageSetup paperSize="9" orientation="landscape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BM100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baseColWidth="10" defaultColWidth="11.28515625" defaultRowHeight="15" customHeight="1" x14ac:dyDescent="0"/>
  <cols>
    <col min="1" max="1" width="11.28515625" hidden="1"/>
    <col min="2" max="2" width="15.140625" hidden="1" customWidth="1"/>
    <col min="3" max="3" width="10.5703125" hidden="1" customWidth="1"/>
    <col min="4" max="4" width="24.28515625" customWidth="1"/>
    <col min="5" max="13" width="4" hidden="1" customWidth="1"/>
    <col min="14" max="35" width="4.85546875" hidden="1" customWidth="1"/>
    <col min="36" max="44" width="4" customWidth="1"/>
    <col min="45" max="65" width="4.85546875" customWidth="1"/>
  </cols>
  <sheetData>
    <row r="1" spans="1:65" ht="15" customHeight="1">
      <c r="A1" s="1" t="s">
        <v>0</v>
      </c>
      <c r="B1" s="1" t="s">
        <v>2</v>
      </c>
      <c r="C1" s="1" t="s">
        <v>3</v>
      </c>
      <c r="D1" s="1" t="s">
        <v>4</v>
      </c>
      <c r="E1" s="6">
        <v>43739</v>
      </c>
      <c r="F1" s="6">
        <v>43740</v>
      </c>
      <c r="G1" s="6">
        <v>43741</v>
      </c>
      <c r="H1" s="6">
        <v>43742</v>
      </c>
      <c r="I1" s="6">
        <v>43743</v>
      </c>
      <c r="J1" s="6">
        <v>43744</v>
      </c>
      <c r="K1" s="6">
        <v>43745</v>
      </c>
      <c r="L1" s="6">
        <v>43746</v>
      </c>
      <c r="M1" s="6">
        <v>43747</v>
      </c>
      <c r="N1" s="6">
        <v>43748</v>
      </c>
      <c r="O1" s="6">
        <v>43749</v>
      </c>
      <c r="P1" s="6">
        <v>43750</v>
      </c>
      <c r="Q1" s="6">
        <v>43751</v>
      </c>
      <c r="R1" s="6">
        <v>43752</v>
      </c>
      <c r="S1" s="6">
        <v>43753</v>
      </c>
      <c r="T1" s="6">
        <v>43754</v>
      </c>
      <c r="U1" s="6">
        <v>43755</v>
      </c>
      <c r="V1" s="6">
        <v>43756</v>
      </c>
      <c r="W1" s="6">
        <v>43757</v>
      </c>
      <c r="X1" s="6">
        <v>43758</v>
      </c>
      <c r="Y1" s="6">
        <v>43759</v>
      </c>
      <c r="Z1" s="6">
        <v>43760</v>
      </c>
      <c r="AA1" s="6">
        <v>43761</v>
      </c>
      <c r="AB1" s="6">
        <v>43762</v>
      </c>
      <c r="AC1" s="6">
        <v>43763</v>
      </c>
      <c r="AD1" s="6">
        <v>43764</v>
      </c>
      <c r="AE1" s="6">
        <v>43765</v>
      </c>
      <c r="AF1" s="6">
        <v>43766</v>
      </c>
      <c r="AG1" s="6">
        <v>43767</v>
      </c>
      <c r="AH1" s="6">
        <v>43768</v>
      </c>
      <c r="AI1" s="6">
        <v>43769</v>
      </c>
      <c r="AJ1" s="6">
        <v>43770</v>
      </c>
      <c r="AK1" s="6">
        <v>43771</v>
      </c>
      <c r="AL1" s="6">
        <v>43772</v>
      </c>
      <c r="AM1" s="6">
        <v>43773</v>
      </c>
      <c r="AN1" s="6">
        <v>43774</v>
      </c>
      <c r="AO1" s="6">
        <v>43775</v>
      </c>
      <c r="AP1" s="6">
        <v>43776</v>
      </c>
      <c r="AQ1" s="6">
        <v>43777</v>
      </c>
      <c r="AR1" s="6">
        <v>43778</v>
      </c>
      <c r="AS1" s="6">
        <v>43779</v>
      </c>
      <c r="AT1" s="6">
        <v>43780</v>
      </c>
      <c r="AU1" s="6">
        <v>43781</v>
      </c>
      <c r="AV1" s="6">
        <v>43782</v>
      </c>
      <c r="AW1" s="6">
        <v>43783</v>
      </c>
      <c r="AX1" s="6">
        <v>43784</v>
      </c>
      <c r="AY1" s="6">
        <v>43785</v>
      </c>
      <c r="AZ1" s="6">
        <v>43786</v>
      </c>
      <c r="BA1" s="6">
        <v>43787</v>
      </c>
      <c r="BB1" s="6">
        <v>43788</v>
      </c>
      <c r="BC1" s="6">
        <v>43789</v>
      </c>
      <c r="BD1" s="6">
        <v>43790</v>
      </c>
      <c r="BE1" s="6">
        <v>43791</v>
      </c>
      <c r="BF1" s="6">
        <v>43792</v>
      </c>
      <c r="BG1" s="6">
        <v>43793</v>
      </c>
      <c r="BH1" s="6">
        <v>43794</v>
      </c>
      <c r="BI1" s="6">
        <v>43795</v>
      </c>
      <c r="BJ1" s="6">
        <v>43796</v>
      </c>
      <c r="BK1" s="6">
        <v>43797</v>
      </c>
      <c r="BL1" s="6">
        <v>43798</v>
      </c>
      <c r="BM1" s="6">
        <v>43799</v>
      </c>
    </row>
    <row r="2" spans="1:65" ht="15" customHeight="1">
      <c r="A2" s="9" t="s">
        <v>8</v>
      </c>
      <c r="B2" s="9">
        <v>1</v>
      </c>
      <c r="C2" s="13" t="s">
        <v>12</v>
      </c>
      <c r="D2" s="15" t="s">
        <v>15</v>
      </c>
      <c r="E2" s="33">
        <f>COUNTIFS('來案暨出貨明細表-基因檢測(201904起'!$P:$P,$A2&amp;"*",'來案暨出貨明細表-基因檢測(201904起'!$B:$B,E$1)*$B2+COUNTIFS('來案暨出貨明細表-基因檢測(201904起'!$P:$P,$A2&amp;"*",'來案暨出貨明細表-基因檢測(201904起'!$B:$B,E$1,'來案暨出貨明細表-基因檢測(201904起'!$Q:$Q,"紙本&amp;電子")+COUNTIFS('來案暨出貨明細表-基因檢測(201904起'!$P:$P,$A2&amp;"*",'來案暨出貨明細表-基因檢測(201904起'!$B:$B,E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E$1)*$B15+COUNTIFS('來案暨出貨明細表-基因檢測(201904起'!$P:$P,$A2&amp;"*",'來案暨出貨明細表-基因檢測(201904起'!$P:$P,"*"&amp;$A15&amp;"*",'來案暨出貨明細表-基因檢測(201904起'!$B:$B,E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E$1,'來案暨出貨明細表-基因檢測(201904起'!$R:$R,"中英")+COUNTIFS('來案暨出貨明細表-基因檢測(201904起'!$P:$P,$A2&amp;"*",'來案暨出貨明細表-基因檢測(201904起'!$P:$P,"*"&amp;$A16&amp;"*",'來案暨出貨明細表-基因檢測(201904起'!$B:$B,E$1)*$B16+COUNTIFS('來案暨出貨明細表-基因檢測(201904起'!$P:$P,$A2&amp;"*",'來案暨出貨明細表-基因檢測(201904起'!$P:$P,"*"&amp;$A16&amp;"*",'來案暨出貨明細表-基因檢測(201904起'!$B:$B,E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E$1,'來案暨出貨明細表-基因檢測(201904起'!$R:$R,"中英")+COUNTIFS('來案暨出貨明細表-基因檢測(201904起'!$P:$P,$A2&amp;"*",'來案暨出貨明細表-基因檢測(201904起'!$P:$P,"*"&amp;$A17&amp;"*",'來案暨出貨明細表-基因檢測(201904起'!$B:$B,E$1)*$B17+COUNTIFS('來案暨出貨明細表-基因檢測(201904起'!$P:$P,$A2&amp;"*",'來案暨出貨明細表-基因檢測(201904起'!$P:$P,"*"&amp;$A17&amp;"*",'來案暨出貨明細表-基因檢測(201904起'!$B:$B,E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E$1,'來案暨出貨明細表-基因檢測(201904起'!$R:$R,"中英")+COUNTIFS('來案暨出貨明細表-基因檢測(201904起'!$P:$P,$A2&amp;"*",'來案暨出貨明細表-基因檢測(201904起'!$P:$P,"*"&amp;$A18&amp;"*",'來案暨出貨明細表-基因檢測(201904起'!$B:$B,E$1)*$B18+COUNTIFS('來案暨出貨明細表-基因檢測(201904起'!$P:$P,$A2&amp;"*",'來案暨出貨明細表-基因檢測(201904起'!$P:$P,"*"&amp;$A18&amp;"*",'來案暨出貨明細表-基因檢測(201904起'!$B:$B,E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E$1,'來案暨出貨明細表-基因檢測(201904起'!$R:$R,"中英")+COUNTIFS('來案暨出貨明細表-基因檢測(201904起'!$P:$P,$A2&amp;"*",'來案暨出貨明細表-基因檢測(201904起'!$P:$P,"*"&amp;$A19&amp;"*",'來案暨出貨明細表-基因檢測(201904起'!$B:$B,E$1)*$B19+COUNTIFS('來案暨出貨明細表-基因檢測(201904起'!$P:$P,$A2&amp;"*",'來案暨出貨明細表-基因檢測(201904起'!$P:$P,"*"&amp;$A19&amp;"*",'來案暨出貨明細表-基因檢測(201904起'!$B:$B,E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E$1,'來案暨出貨明細表-基因檢測(201904起'!$R:$R,"中英")+COUNTIFS('來案暨出貨明細表-基因檢測(201904起'!$P:$P,$A2&amp;"*",'來案暨出貨明細表-基因檢測(201904起'!$P:$P,"*"&amp;$A20&amp;"*",'來案暨出貨明細表-基因檢測(201904起'!$B:$B,E$1)*$B20+COUNTIFS('來案暨出貨明細表-基因檢測(201904起'!$P:$P,$A2&amp;"*",'來案暨出貨明細表-基因檢測(201904起'!$P:$P,"*"&amp;$A20&amp;"*",'來案暨出貨明細表-基因檢測(201904起'!$B:$B,E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E$1,'來案暨出貨明細表-基因檢測(201904起'!$R:$R,"中英"))</f>
        <v>0</v>
      </c>
      <c r="F2" s="33">
        <f>COUNTIFS('來案暨出貨明細表-基因檢測(201904起'!$P:$P,$A2&amp;"*",'來案暨出貨明細表-基因檢測(201904起'!$B:$B,F$1)*$B2+COUNTIFS('來案暨出貨明細表-基因檢測(201904起'!$P:$P,$A2&amp;"*",'來案暨出貨明細表-基因檢測(201904起'!$B:$B,F$1,'來案暨出貨明細表-基因檢測(201904起'!$Q:$Q,"紙本&amp;電子")+COUNTIFS('來案暨出貨明細表-基因檢測(201904起'!$P:$P,$A2&amp;"*",'來案暨出貨明細表-基因檢測(201904起'!$B:$B,F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F$1)*$B15+COUNTIFS('來案暨出貨明細表-基因檢測(201904起'!$P:$P,$A2&amp;"*",'來案暨出貨明細表-基因檢測(201904起'!$P:$P,"*"&amp;$A15&amp;"*",'來案暨出貨明細表-基因檢測(201904起'!$B:$B,F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F$1,'來案暨出貨明細表-基因檢測(201904起'!$R:$R,"中英")+COUNTIFS('來案暨出貨明細表-基因檢測(201904起'!$P:$P,$A2&amp;"*",'來案暨出貨明細表-基因檢測(201904起'!$P:$P,"*"&amp;$A16&amp;"*",'來案暨出貨明細表-基因檢測(201904起'!$B:$B,F$1)*$B16+COUNTIFS('來案暨出貨明細表-基因檢測(201904起'!$P:$P,$A2&amp;"*",'來案暨出貨明細表-基因檢測(201904起'!$P:$P,"*"&amp;$A16&amp;"*",'來案暨出貨明細表-基因檢測(201904起'!$B:$B,F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F$1,'來案暨出貨明細表-基因檢測(201904起'!$R:$R,"中英")+COUNTIFS('來案暨出貨明細表-基因檢測(201904起'!$P:$P,$A2&amp;"*",'來案暨出貨明細表-基因檢測(201904起'!$P:$P,"*"&amp;$A17&amp;"*",'來案暨出貨明細表-基因檢測(201904起'!$B:$B,F$1)*$B17+COUNTIFS('來案暨出貨明細表-基因檢測(201904起'!$P:$P,$A2&amp;"*",'來案暨出貨明細表-基因檢測(201904起'!$P:$P,"*"&amp;$A17&amp;"*",'來案暨出貨明細表-基因檢測(201904起'!$B:$B,F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F$1,'來案暨出貨明細表-基因檢測(201904起'!$R:$R,"中英")+COUNTIFS('來案暨出貨明細表-基因檢測(201904起'!$P:$P,$A2&amp;"*",'來案暨出貨明細表-基因檢測(201904起'!$P:$P,"*"&amp;$A18&amp;"*",'來案暨出貨明細表-基因檢測(201904起'!$B:$B,F$1)*$B18+COUNTIFS('來案暨出貨明細表-基因檢測(201904起'!$P:$P,$A2&amp;"*",'來案暨出貨明細表-基因檢測(201904起'!$P:$P,"*"&amp;$A18&amp;"*",'來案暨出貨明細表-基因檢測(201904起'!$B:$B,F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F$1,'來案暨出貨明細表-基因檢測(201904起'!$R:$R,"中英")+COUNTIFS('來案暨出貨明細表-基因檢測(201904起'!$P:$P,$A2&amp;"*",'來案暨出貨明細表-基因檢測(201904起'!$P:$P,"*"&amp;$A19&amp;"*",'來案暨出貨明細表-基因檢測(201904起'!$B:$B,F$1)*$B19+COUNTIFS('來案暨出貨明細表-基因檢測(201904起'!$P:$P,$A2&amp;"*",'來案暨出貨明細表-基因檢測(201904起'!$P:$P,"*"&amp;$A19&amp;"*",'來案暨出貨明細表-基因檢測(201904起'!$B:$B,F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F$1,'來案暨出貨明細表-基因檢測(201904起'!$R:$R,"中英")+COUNTIFS('來案暨出貨明細表-基因檢測(201904起'!$P:$P,$A2&amp;"*",'來案暨出貨明細表-基因檢測(201904起'!$P:$P,"*"&amp;$A20&amp;"*",'來案暨出貨明細表-基因檢測(201904起'!$B:$B,F$1)*$B20+COUNTIFS('來案暨出貨明細表-基因檢測(201904起'!$P:$P,$A2&amp;"*",'來案暨出貨明細表-基因檢測(201904起'!$P:$P,"*"&amp;$A20&amp;"*",'來案暨出貨明細表-基因檢測(201904起'!$B:$B,F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F$1,'來案暨出貨明細表-基因檢測(201904起'!$R:$R,"中英"))</f>
        <v>6</v>
      </c>
      <c r="G2" s="33">
        <f>COUNTIFS('來案暨出貨明細表-基因檢測(201904起'!$P:$P,$A2&amp;"*",'來案暨出貨明細表-基因檢測(201904起'!$B:$B,G$1)*$B2+COUNTIFS('來案暨出貨明細表-基因檢測(201904起'!$P:$P,$A2&amp;"*",'來案暨出貨明細表-基因檢測(201904起'!$B:$B,G$1,'來案暨出貨明細表-基因檢測(201904起'!$Q:$Q,"紙本&amp;電子")+COUNTIFS('來案暨出貨明細表-基因檢測(201904起'!$P:$P,$A2&amp;"*",'來案暨出貨明細表-基因檢測(201904起'!$B:$B,G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G$1)*$B15+COUNTIFS('來案暨出貨明細表-基因檢測(201904起'!$P:$P,$A2&amp;"*",'來案暨出貨明細表-基因檢測(201904起'!$P:$P,"*"&amp;$A15&amp;"*",'來案暨出貨明細表-基因檢測(201904起'!$B:$B,G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G$1,'來案暨出貨明細表-基因檢測(201904起'!$R:$R,"中英")+COUNTIFS('來案暨出貨明細表-基因檢測(201904起'!$P:$P,$A2&amp;"*",'來案暨出貨明細表-基因檢測(201904起'!$P:$P,"*"&amp;$A16&amp;"*",'來案暨出貨明細表-基因檢測(201904起'!$B:$B,G$1)*$B16+COUNTIFS('來案暨出貨明細表-基因檢測(201904起'!$P:$P,$A2&amp;"*",'來案暨出貨明細表-基因檢測(201904起'!$P:$P,"*"&amp;$A16&amp;"*",'來案暨出貨明細表-基因檢測(201904起'!$B:$B,G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G$1,'來案暨出貨明細表-基因檢測(201904起'!$R:$R,"中英")+COUNTIFS('來案暨出貨明細表-基因檢測(201904起'!$P:$P,$A2&amp;"*",'來案暨出貨明細表-基因檢測(201904起'!$P:$P,"*"&amp;$A17&amp;"*",'來案暨出貨明細表-基因檢測(201904起'!$B:$B,G$1)*$B17+COUNTIFS('來案暨出貨明細表-基因檢測(201904起'!$P:$P,$A2&amp;"*",'來案暨出貨明細表-基因檢測(201904起'!$P:$P,"*"&amp;$A17&amp;"*",'來案暨出貨明細表-基因檢測(201904起'!$B:$B,G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G$1,'來案暨出貨明細表-基因檢測(201904起'!$R:$R,"中英")+COUNTIFS('來案暨出貨明細表-基因檢測(201904起'!$P:$P,$A2&amp;"*",'來案暨出貨明細表-基因檢測(201904起'!$P:$P,"*"&amp;$A18&amp;"*",'來案暨出貨明細表-基因檢測(201904起'!$B:$B,G$1)*$B18+COUNTIFS('來案暨出貨明細表-基因檢測(201904起'!$P:$P,$A2&amp;"*",'來案暨出貨明細表-基因檢測(201904起'!$P:$P,"*"&amp;$A18&amp;"*",'來案暨出貨明細表-基因檢測(201904起'!$B:$B,G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G$1,'來案暨出貨明細表-基因檢測(201904起'!$R:$R,"中英")+COUNTIFS('來案暨出貨明細表-基因檢測(201904起'!$P:$P,$A2&amp;"*",'來案暨出貨明細表-基因檢測(201904起'!$P:$P,"*"&amp;$A19&amp;"*",'來案暨出貨明細表-基因檢測(201904起'!$B:$B,G$1)*$B19+COUNTIFS('來案暨出貨明細表-基因檢測(201904起'!$P:$P,$A2&amp;"*",'來案暨出貨明細表-基因檢測(201904起'!$P:$P,"*"&amp;$A19&amp;"*",'來案暨出貨明細表-基因檢測(201904起'!$B:$B,G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G$1,'來案暨出貨明細表-基因檢測(201904起'!$R:$R,"中英")+COUNTIFS('來案暨出貨明細表-基因檢測(201904起'!$P:$P,$A2&amp;"*",'來案暨出貨明細表-基因檢測(201904起'!$P:$P,"*"&amp;$A20&amp;"*",'來案暨出貨明細表-基因檢測(201904起'!$B:$B,G$1)*$B20+COUNTIFS('來案暨出貨明細表-基因檢測(201904起'!$P:$P,$A2&amp;"*",'來案暨出貨明細表-基因檢測(201904起'!$P:$P,"*"&amp;$A20&amp;"*",'來案暨出貨明細表-基因檢測(201904起'!$B:$B,G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G$1,'來案暨出貨明細表-基因檢測(201904起'!$R:$R,"中英"))</f>
        <v>0</v>
      </c>
      <c r="H2" s="33">
        <f>COUNTIFS('來案暨出貨明細表-基因檢測(201904起'!$P:$P,$A2&amp;"*",'來案暨出貨明細表-基因檢測(201904起'!$B:$B,H$1)*$B2+COUNTIFS('來案暨出貨明細表-基因檢測(201904起'!$P:$P,$A2&amp;"*",'來案暨出貨明細表-基因檢測(201904起'!$B:$B,H$1,'來案暨出貨明細表-基因檢測(201904起'!$Q:$Q,"紙本&amp;電子")+COUNTIFS('來案暨出貨明細表-基因檢測(201904起'!$P:$P,$A2&amp;"*",'來案暨出貨明細表-基因檢測(201904起'!$B:$B,H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H$1)*$B15+COUNTIFS('來案暨出貨明細表-基因檢測(201904起'!$P:$P,$A2&amp;"*",'來案暨出貨明細表-基因檢測(201904起'!$P:$P,"*"&amp;$A15&amp;"*",'來案暨出貨明細表-基因檢測(201904起'!$B:$B,H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H$1,'來案暨出貨明細表-基因檢測(201904起'!$R:$R,"中英")+COUNTIFS('來案暨出貨明細表-基因檢測(201904起'!$P:$P,$A2&amp;"*",'來案暨出貨明細表-基因檢測(201904起'!$P:$P,"*"&amp;$A16&amp;"*",'來案暨出貨明細表-基因檢測(201904起'!$B:$B,H$1)*$B16+COUNTIFS('來案暨出貨明細表-基因檢測(201904起'!$P:$P,$A2&amp;"*",'來案暨出貨明細表-基因檢測(201904起'!$P:$P,"*"&amp;$A16&amp;"*",'來案暨出貨明細表-基因檢測(201904起'!$B:$B,H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H$1,'來案暨出貨明細表-基因檢測(201904起'!$R:$R,"中英")+COUNTIFS('來案暨出貨明細表-基因檢測(201904起'!$P:$P,$A2&amp;"*",'來案暨出貨明細表-基因檢測(201904起'!$P:$P,"*"&amp;$A17&amp;"*",'來案暨出貨明細表-基因檢測(201904起'!$B:$B,H$1)*$B17+COUNTIFS('來案暨出貨明細表-基因檢測(201904起'!$P:$P,$A2&amp;"*",'來案暨出貨明細表-基因檢測(201904起'!$P:$P,"*"&amp;$A17&amp;"*",'來案暨出貨明細表-基因檢測(201904起'!$B:$B,H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H$1,'來案暨出貨明細表-基因檢測(201904起'!$R:$R,"中英")+COUNTIFS('來案暨出貨明細表-基因檢測(201904起'!$P:$P,$A2&amp;"*",'來案暨出貨明細表-基因檢測(201904起'!$P:$P,"*"&amp;$A18&amp;"*",'來案暨出貨明細表-基因檢測(201904起'!$B:$B,H$1)*$B18+COUNTIFS('來案暨出貨明細表-基因檢測(201904起'!$P:$P,$A2&amp;"*",'來案暨出貨明細表-基因檢測(201904起'!$P:$P,"*"&amp;$A18&amp;"*",'來案暨出貨明細表-基因檢測(201904起'!$B:$B,H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H$1,'來案暨出貨明細表-基因檢測(201904起'!$R:$R,"中英")+COUNTIFS('來案暨出貨明細表-基因檢測(201904起'!$P:$P,$A2&amp;"*",'來案暨出貨明細表-基因檢測(201904起'!$P:$P,"*"&amp;$A19&amp;"*",'來案暨出貨明細表-基因檢測(201904起'!$B:$B,H$1)*$B19+COUNTIFS('來案暨出貨明細表-基因檢測(201904起'!$P:$P,$A2&amp;"*",'來案暨出貨明細表-基因檢測(201904起'!$P:$P,"*"&amp;$A19&amp;"*",'來案暨出貨明細表-基因檢測(201904起'!$B:$B,H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H$1,'來案暨出貨明細表-基因檢測(201904起'!$R:$R,"中英")+COUNTIFS('來案暨出貨明細表-基因檢測(201904起'!$P:$P,$A2&amp;"*",'來案暨出貨明細表-基因檢測(201904起'!$P:$P,"*"&amp;$A20&amp;"*",'來案暨出貨明細表-基因檢測(201904起'!$B:$B,H$1)*$B20+COUNTIFS('來案暨出貨明細表-基因檢測(201904起'!$P:$P,$A2&amp;"*",'來案暨出貨明細表-基因檢測(201904起'!$P:$P,"*"&amp;$A20&amp;"*",'來案暨出貨明細表-基因檢測(201904起'!$B:$B,H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H$1,'來案暨出貨明細表-基因檢測(201904起'!$R:$R,"中英"))</f>
        <v>8</v>
      </c>
      <c r="I2" s="33">
        <f>COUNTIFS('來案暨出貨明細表-基因檢測(201904起'!$P:$P,$A2&amp;"*",'來案暨出貨明細表-基因檢測(201904起'!$B:$B,I$1)*$B2+COUNTIFS('來案暨出貨明細表-基因檢測(201904起'!$P:$P,$A2&amp;"*",'來案暨出貨明細表-基因檢測(201904起'!$B:$B,I$1,'來案暨出貨明細表-基因檢測(201904起'!$Q:$Q,"紙本&amp;電子")+COUNTIFS('來案暨出貨明細表-基因檢測(201904起'!$P:$P,$A2&amp;"*",'來案暨出貨明細表-基因檢測(201904起'!$B:$B,I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I$1)*$B15+COUNTIFS('來案暨出貨明細表-基因檢測(201904起'!$P:$P,$A2&amp;"*",'來案暨出貨明細表-基因檢測(201904起'!$P:$P,"*"&amp;$A15&amp;"*",'來案暨出貨明細表-基因檢測(201904起'!$B:$B,I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I$1,'來案暨出貨明細表-基因檢測(201904起'!$R:$R,"中英")+COUNTIFS('來案暨出貨明細表-基因檢測(201904起'!$P:$P,$A2&amp;"*",'來案暨出貨明細表-基因檢測(201904起'!$P:$P,"*"&amp;$A16&amp;"*",'來案暨出貨明細表-基因檢測(201904起'!$B:$B,I$1)*$B16+COUNTIFS('來案暨出貨明細表-基因檢測(201904起'!$P:$P,$A2&amp;"*",'來案暨出貨明細表-基因檢測(201904起'!$P:$P,"*"&amp;$A16&amp;"*",'來案暨出貨明細表-基因檢測(201904起'!$B:$B,I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I$1,'來案暨出貨明細表-基因檢測(201904起'!$R:$R,"中英")+COUNTIFS('來案暨出貨明細表-基因檢測(201904起'!$P:$P,$A2&amp;"*",'來案暨出貨明細表-基因檢測(201904起'!$P:$P,"*"&amp;$A17&amp;"*",'來案暨出貨明細表-基因檢測(201904起'!$B:$B,I$1)*$B17+COUNTIFS('來案暨出貨明細表-基因檢測(201904起'!$P:$P,$A2&amp;"*",'來案暨出貨明細表-基因檢測(201904起'!$P:$P,"*"&amp;$A17&amp;"*",'來案暨出貨明細表-基因檢測(201904起'!$B:$B,I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I$1,'來案暨出貨明細表-基因檢測(201904起'!$R:$R,"中英")+COUNTIFS('來案暨出貨明細表-基因檢測(201904起'!$P:$P,$A2&amp;"*",'來案暨出貨明細表-基因檢測(201904起'!$P:$P,"*"&amp;$A18&amp;"*",'來案暨出貨明細表-基因檢測(201904起'!$B:$B,I$1)*$B18+COUNTIFS('來案暨出貨明細表-基因檢測(201904起'!$P:$P,$A2&amp;"*",'來案暨出貨明細表-基因檢測(201904起'!$P:$P,"*"&amp;$A18&amp;"*",'來案暨出貨明細表-基因檢測(201904起'!$B:$B,I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I$1,'來案暨出貨明細表-基因檢測(201904起'!$R:$R,"中英")+COUNTIFS('來案暨出貨明細表-基因檢測(201904起'!$P:$P,$A2&amp;"*",'來案暨出貨明細表-基因檢測(201904起'!$P:$P,"*"&amp;$A19&amp;"*",'來案暨出貨明細表-基因檢測(201904起'!$B:$B,I$1)*$B19+COUNTIFS('來案暨出貨明細表-基因檢測(201904起'!$P:$P,$A2&amp;"*",'來案暨出貨明細表-基因檢測(201904起'!$P:$P,"*"&amp;$A19&amp;"*",'來案暨出貨明細表-基因檢測(201904起'!$B:$B,I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I$1,'來案暨出貨明細表-基因檢測(201904起'!$R:$R,"中英")+COUNTIFS('來案暨出貨明細表-基因檢測(201904起'!$P:$P,$A2&amp;"*",'來案暨出貨明細表-基因檢測(201904起'!$P:$P,"*"&amp;$A20&amp;"*",'來案暨出貨明細表-基因檢測(201904起'!$B:$B,I$1)*$B20+COUNTIFS('來案暨出貨明細表-基因檢測(201904起'!$P:$P,$A2&amp;"*",'來案暨出貨明細表-基因檢測(201904起'!$P:$P,"*"&amp;$A20&amp;"*",'來案暨出貨明細表-基因檢測(201904起'!$B:$B,I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I$1,'來案暨出貨明細表-基因檢測(201904起'!$R:$R,"中英"))</f>
        <v>0</v>
      </c>
      <c r="J2" s="33">
        <f>COUNTIFS('來案暨出貨明細表-基因檢測(201904起'!$P:$P,$A2&amp;"*",'來案暨出貨明細表-基因檢測(201904起'!$B:$B,J$1)*$B2+COUNTIFS('來案暨出貨明細表-基因檢測(201904起'!$P:$P,$A2&amp;"*",'來案暨出貨明細表-基因檢測(201904起'!$B:$B,J$1,'來案暨出貨明細表-基因檢測(201904起'!$Q:$Q,"紙本&amp;電子")+COUNTIFS('來案暨出貨明細表-基因檢測(201904起'!$P:$P,$A2&amp;"*",'來案暨出貨明細表-基因檢測(201904起'!$B:$B,J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J$1)*$B15+COUNTIFS('來案暨出貨明細表-基因檢測(201904起'!$P:$P,$A2&amp;"*",'來案暨出貨明細表-基因檢測(201904起'!$P:$P,"*"&amp;$A15&amp;"*",'來案暨出貨明細表-基因檢測(201904起'!$B:$B,J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J$1,'來案暨出貨明細表-基因檢測(201904起'!$R:$R,"中英")+COUNTIFS('來案暨出貨明細表-基因檢測(201904起'!$P:$P,$A2&amp;"*",'來案暨出貨明細表-基因檢測(201904起'!$P:$P,"*"&amp;$A16&amp;"*",'來案暨出貨明細表-基因檢測(201904起'!$B:$B,J$1)*$B16+COUNTIFS('來案暨出貨明細表-基因檢測(201904起'!$P:$P,$A2&amp;"*",'來案暨出貨明細表-基因檢測(201904起'!$P:$P,"*"&amp;$A16&amp;"*",'來案暨出貨明細表-基因檢測(201904起'!$B:$B,J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J$1,'來案暨出貨明細表-基因檢測(201904起'!$R:$R,"中英")+COUNTIFS('來案暨出貨明細表-基因檢測(201904起'!$P:$P,$A2&amp;"*",'來案暨出貨明細表-基因檢測(201904起'!$P:$P,"*"&amp;$A17&amp;"*",'來案暨出貨明細表-基因檢測(201904起'!$B:$B,J$1)*$B17+COUNTIFS('來案暨出貨明細表-基因檢測(201904起'!$P:$P,$A2&amp;"*",'來案暨出貨明細表-基因檢測(201904起'!$P:$P,"*"&amp;$A17&amp;"*",'來案暨出貨明細表-基因檢測(201904起'!$B:$B,J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J$1,'來案暨出貨明細表-基因檢測(201904起'!$R:$R,"中英")+COUNTIFS('來案暨出貨明細表-基因檢測(201904起'!$P:$P,$A2&amp;"*",'來案暨出貨明細表-基因檢測(201904起'!$P:$P,"*"&amp;$A18&amp;"*",'來案暨出貨明細表-基因檢測(201904起'!$B:$B,J$1)*$B18+COUNTIFS('來案暨出貨明細表-基因檢測(201904起'!$P:$P,$A2&amp;"*",'來案暨出貨明細表-基因檢測(201904起'!$P:$P,"*"&amp;$A18&amp;"*",'來案暨出貨明細表-基因檢測(201904起'!$B:$B,J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J$1,'來案暨出貨明細表-基因檢測(201904起'!$R:$R,"中英")+COUNTIFS('來案暨出貨明細表-基因檢測(201904起'!$P:$P,$A2&amp;"*",'來案暨出貨明細表-基因檢測(201904起'!$P:$P,"*"&amp;$A19&amp;"*",'來案暨出貨明細表-基因檢測(201904起'!$B:$B,J$1)*$B19+COUNTIFS('來案暨出貨明細表-基因檢測(201904起'!$P:$P,$A2&amp;"*",'來案暨出貨明細表-基因檢測(201904起'!$P:$P,"*"&amp;$A19&amp;"*",'來案暨出貨明細表-基因檢測(201904起'!$B:$B,J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J$1,'來案暨出貨明細表-基因檢測(201904起'!$R:$R,"中英")+COUNTIFS('來案暨出貨明細表-基因檢測(201904起'!$P:$P,$A2&amp;"*",'來案暨出貨明細表-基因檢測(201904起'!$P:$P,"*"&amp;$A20&amp;"*",'來案暨出貨明細表-基因檢測(201904起'!$B:$B,J$1)*$B20+COUNTIFS('來案暨出貨明細表-基因檢測(201904起'!$P:$P,$A2&amp;"*",'來案暨出貨明細表-基因檢測(201904起'!$P:$P,"*"&amp;$A20&amp;"*",'來案暨出貨明細表-基因檢測(201904起'!$B:$B,J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J$1,'來案暨出貨明細表-基因檢測(201904起'!$R:$R,"中英"))</f>
        <v>0</v>
      </c>
      <c r="K2" s="33">
        <f>COUNTIFS('來案暨出貨明細表-基因檢測(201904起'!$P:$P,$A2&amp;"*",'來案暨出貨明細表-基因檢測(201904起'!$B:$B,K$1)*$B2+COUNTIFS('來案暨出貨明細表-基因檢測(201904起'!$P:$P,$A2&amp;"*",'來案暨出貨明細表-基因檢測(201904起'!$B:$B,K$1,'來案暨出貨明細表-基因檢測(201904起'!$Q:$Q,"紙本&amp;電子")+COUNTIFS('來案暨出貨明細表-基因檢測(201904起'!$P:$P,$A2&amp;"*",'來案暨出貨明細表-基因檢測(201904起'!$B:$B,K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K$1)*$B15+COUNTIFS('來案暨出貨明細表-基因檢測(201904起'!$P:$P,$A2&amp;"*",'來案暨出貨明細表-基因檢測(201904起'!$P:$P,"*"&amp;$A15&amp;"*",'來案暨出貨明細表-基因檢測(201904起'!$B:$B,K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K$1,'來案暨出貨明細表-基因檢測(201904起'!$R:$R,"中英")+COUNTIFS('來案暨出貨明細表-基因檢測(201904起'!$P:$P,$A2&amp;"*",'來案暨出貨明細表-基因檢測(201904起'!$P:$P,"*"&amp;$A16&amp;"*",'來案暨出貨明細表-基因檢測(201904起'!$B:$B,K$1)*$B16+COUNTIFS('來案暨出貨明細表-基因檢測(201904起'!$P:$P,$A2&amp;"*",'來案暨出貨明細表-基因檢測(201904起'!$P:$P,"*"&amp;$A16&amp;"*",'來案暨出貨明細表-基因檢測(201904起'!$B:$B,K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K$1,'來案暨出貨明細表-基因檢測(201904起'!$R:$R,"中英")+COUNTIFS('來案暨出貨明細表-基因檢測(201904起'!$P:$P,$A2&amp;"*",'來案暨出貨明細表-基因檢測(201904起'!$P:$P,"*"&amp;$A17&amp;"*",'來案暨出貨明細表-基因檢測(201904起'!$B:$B,K$1)*$B17+COUNTIFS('來案暨出貨明細表-基因檢測(201904起'!$P:$P,$A2&amp;"*",'來案暨出貨明細表-基因檢測(201904起'!$P:$P,"*"&amp;$A17&amp;"*",'來案暨出貨明細表-基因檢測(201904起'!$B:$B,K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K$1,'來案暨出貨明細表-基因檢測(201904起'!$R:$R,"中英")+COUNTIFS('來案暨出貨明細表-基因檢測(201904起'!$P:$P,$A2&amp;"*",'來案暨出貨明細表-基因檢測(201904起'!$P:$P,"*"&amp;$A18&amp;"*",'來案暨出貨明細表-基因檢測(201904起'!$B:$B,K$1)*$B18+COUNTIFS('來案暨出貨明細表-基因檢測(201904起'!$P:$P,$A2&amp;"*",'來案暨出貨明細表-基因檢測(201904起'!$P:$P,"*"&amp;$A18&amp;"*",'來案暨出貨明細表-基因檢測(201904起'!$B:$B,K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K$1,'來案暨出貨明細表-基因檢測(201904起'!$R:$R,"中英")+COUNTIFS('來案暨出貨明細表-基因檢測(201904起'!$P:$P,$A2&amp;"*",'來案暨出貨明細表-基因檢測(201904起'!$P:$P,"*"&amp;$A19&amp;"*",'來案暨出貨明細表-基因檢測(201904起'!$B:$B,K$1)*$B19+COUNTIFS('來案暨出貨明細表-基因檢測(201904起'!$P:$P,$A2&amp;"*",'來案暨出貨明細表-基因檢測(201904起'!$P:$P,"*"&amp;$A19&amp;"*",'來案暨出貨明細表-基因檢測(201904起'!$B:$B,K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K$1,'來案暨出貨明細表-基因檢測(201904起'!$R:$R,"中英")+COUNTIFS('來案暨出貨明細表-基因檢測(201904起'!$P:$P,$A2&amp;"*",'來案暨出貨明細表-基因檢測(201904起'!$P:$P,"*"&amp;$A20&amp;"*",'來案暨出貨明細表-基因檢測(201904起'!$B:$B,K$1)*$B20+COUNTIFS('來案暨出貨明細表-基因檢測(201904起'!$P:$P,$A2&amp;"*",'來案暨出貨明細表-基因檢測(201904起'!$P:$P,"*"&amp;$A20&amp;"*",'來案暨出貨明細表-基因檢測(201904起'!$B:$B,K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K$1,'來案暨出貨明細表-基因檢測(201904起'!$R:$R,"中英"))</f>
        <v>0</v>
      </c>
      <c r="L2" s="33">
        <f>COUNTIFS('來案暨出貨明細表-基因檢測(201904起'!$P:$P,$A2&amp;"*",'來案暨出貨明細表-基因檢測(201904起'!$B:$B,L$1)*$B2+COUNTIFS('來案暨出貨明細表-基因檢測(201904起'!$P:$P,$A2&amp;"*",'來案暨出貨明細表-基因檢測(201904起'!$B:$B,L$1,'來案暨出貨明細表-基因檢測(201904起'!$Q:$Q,"紙本&amp;電子")+COUNTIFS('來案暨出貨明細表-基因檢測(201904起'!$P:$P,$A2&amp;"*",'來案暨出貨明細表-基因檢測(201904起'!$B:$B,L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L$1)*$B15+COUNTIFS('來案暨出貨明細表-基因檢測(201904起'!$P:$P,$A2&amp;"*",'來案暨出貨明細表-基因檢測(201904起'!$P:$P,"*"&amp;$A15&amp;"*",'來案暨出貨明細表-基因檢測(201904起'!$B:$B,L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L$1,'來案暨出貨明細表-基因檢測(201904起'!$R:$R,"中英")+COUNTIFS('來案暨出貨明細表-基因檢測(201904起'!$P:$P,$A2&amp;"*",'來案暨出貨明細表-基因檢測(201904起'!$P:$P,"*"&amp;$A16&amp;"*",'來案暨出貨明細表-基因檢測(201904起'!$B:$B,L$1)*$B16+COUNTIFS('來案暨出貨明細表-基因檢測(201904起'!$P:$P,$A2&amp;"*",'來案暨出貨明細表-基因檢測(201904起'!$P:$P,"*"&amp;$A16&amp;"*",'來案暨出貨明細表-基因檢測(201904起'!$B:$B,L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L$1,'來案暨出貨明細表-基因檢測(201904起'!$R:$R,"中英")+COUNTIFS('來案暨出貨明細表-基因檢測(201904起'!$P:$P,$A2&amp;"*",'來案暨出貨明細表-基因檢測(201904起'!$P:$P,"*"&amp;$A17&amp;"*",'來案暨出貨明細表-基因檢測(201904起'!$B:$B,L$1)*$B17+COUNTIFS('來案暨出貨明細表-基因檢測(201904起'!$P:$P,$A2&amp;"*",'來案暨出貨明細表-基因檢測(201904起'!$P:$P,"*"&amp;$A17&amp;"*",'來案暨出貨明細表-基因檢測(201904起'!$B:$B,L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L$1,'來案暨出貨明細表-基因檢測(201904起'!$R:$R,"中英")+COUNTIFS('來案暨出貨明細表-基因檢測(201904起'!$P:$P,$A2&amp;"*",'來案暨出貨明細表-基因檢測(201904起'!$P:$P,"*"&amp;$A18&amp;"*",'來案暨出貨明細表-基因檢測(201904起'!$B:$B,L$1)*$B18+COUNTIFS('來案暨出貨明細表-基因檢測(201904起'!$P:$P,$A2&amp;"*",'來案暨出貨明細表-基因檢測(201904起'!$P:$P,"*"&amp;$A18&amp;"*",'來案暨出貨明細表-基因檢測(201904起'!$B:$B,L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L$1,'來案暨出貨明細表-基因檢測(201904起'!$R:$R,"中英")+COUNTIFS('來案暨出貨明細表-基因檢測(201904起'!$P:$P,$A2&amp;"*",'來案暨出貨明細表-基因檢測(201904起'!$P:$P,"*"&amp;$A19&amp;"*",'來案暨出貨明細表-基因檢測(201904起'!$B:$B,L$1)*$B19+COUNTIFS('來案暨出貨明細表-基因檢測(201904起'!$P:$P,$A2&amp;"*",'來案暨出貨明細表-基因檢測(201904起'!$P:$P,"*"&amp;$A19&amp;"*",'來案暨出貨明細表-基因檢測(201904起'!$B:$B,L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L$1,'來案暨出貨明細表-基因檢測(201904起'!$R:$R,"中英")+COUNTIFS('來案暨出貨明細表-基因檢測(201904起'!$P:$P,$A2&amp;"*",'來案暨出貨明細表-基因檢測(201904起'!$P:$P,"*"&amp;$A20&amp;"*",'來案暨出貨明細表-基因檢測(201904起'!$B:$B,L$1)*$B20+COUNTIFS('來案暨出貨明細表-基因檢測(201904起'!$P:$P,$A2&amp;"*",'來案暨出貨明細表-基因檢測(201904起'!$P:$P,"*"&amp;$A20&amp;"*",'來案暨出貨明細表-基因檢測(201904起'!$B:$B,L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L$1,'來案暨出貨明細表-基因檢測(201904起'!$R:$R,"中英"))</f>
        <v>0</v>
      </c>
      <c r="M2" s="33">
        <f>COUNTIFS('來案暨出貨明細表-基因檢測(201904起'!$P:$P,$A2&amp;"*",'來案暨出貨明細表-基因檢測(201904起'!$B:$B,M$1)*$B2+COUNTIFS('來案暨出貨明細表-基因檢測(201904起'!$P:$P,$A2&amp;"*",'來案暨出貨明細表-基因檢測(201904起'!$B:$B,M$1,'來案暨出貨明細表-基因檢測(201904起'!$Q:$Q,"紙本&amp;電子")+COUNTIFS('來案暨出貨明細表-基因檢測(201904起'!$P:$P,$A2&amp;"*",'來案暨出貨明細表-基因檢測(201904起'!$B:$B,M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M$1)*$B15+COUNTIFS('來案暨出貨明細表-基因檢測(201904起'!$P:$P,$A2&amp;"*",'來案暨出貨明細表-基因檢測(201904起'!$P:$P,"*"&amp;$A15&amp;"*",'來案暨出貨明細表-基因檢測(201904起'!$B:$B,M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M$1,'來案暨出貨明細表-基因檢測(201904起'!$R:$R,"中英")+COUNTIFS('來案暨出貨明細表-基因檢測(201904起'!$P:$P,$A2&amp;"*",'來案暨出貨明細表-基因檢測(201904起'!$P:$P,"*"&amp;$A16&amp;"*",'來案暨出貨明細表-基因檢測(201904起'!$B:$B,M$1)*$B16+COUNTIFS('來案暨出貨明細表-基因檢測(201904起'!$P:$P,$A2&amp;"*",'來案暨出貨明細表-基因檢測(201904起'!$P:$P,"*"&amp;$A16&amp;"*",'來案暨出貨明細表-基因檢測(201904起'!$B:$B,M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M$1,'來案暨出貨明細表-基因檢測(201904起'!$R:$R,"中英")+COUNTIFS('來案暨出貨明細表-基因檢測(201904起'!$P:$P,$A2&amp;"*",'來案暨出貨明細表-基因檢測(201904起'!$P:$P,"*"&amp;$A17&amp;"*",'來案暨出貨明細表-基因檢測(201904起'!$B:$B,M$1)*$B17+COUNTIFS('來案暨出貨明細表-基因檢測(201904起'!$P:$P,$A2&amp;"*",'來案暨出貨明細表-基因檢測(201904起'!$P:$P,"*"&amp;$A17&amp;"*",'來案暨出貨明細表-基因檢測(201904起'!$B:$B,M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M$1,'來案暨出貨明細表-基因檢測(201904起'!$R:$R,"中英")+COUNTIFS('來案暨出貨明細表-基因檢測(201904起'!$P:$P,$A2&amp;"*",'來案暨出貨明細表-基因檢測(201904起'!$P:$P,"*"&amp;$A18&amp;"*",'來案暨出貨明細表-基因檢測(201904起'!$B:$B,M$1)*$B18+COUNTIFS('來案暨出貨明細表-基因檢測(201904起'!$P:$P,$A2&amp;"*",'來案暨出貨明細表-基因檢測(201904起'!$P:$P,"*"&amp;$A18&amp;"*",'來案暨出貨明細表-基因檢測(201904起'!$B:$B,M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M$1,'來案暨出貨明細表-基因檢測(201904起'!$R:$R,"中英")+COUNTIFS('來案暨出貨明細表-基因檢測(201904起'!$P:$P,$A2&amp;"*",'來案暨出貨明細表-基因檢測(201904起'!$P:$P,"*"&amp;$A19&amp;"*",'來案暨出貨明細表-基因檢測(201904起'!$B:$B,M$1)*$B19+COUNTIFS('來案暨出貨明細表-基因檢測(201904起'!$P:$P,$A2&amp;"*",'來案暨出貨明細表-基因檢測(201904起'!$P:$P,"*"&amp;$A19&amp;"*",'來案暨出貨明細表-基因檢測(201904起'!$B:$B,M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M$1,'來案暨出貨明細表-基因檢測(201904起'!$R:$R,"中英")+COUNTIFS('來案暨出貨明細表-基因檢測(201904起'!$P:$P,$A2&amp;"*",'來案暨出貨明細表-基因檢測(201904起'!$P:$P,"*"&amp;$A20&amp;"*",'來案暨出貨明細表-基因檢測(201904起'!$B:$B,M$1)*$B20+COUNTIFS('來案暨出貨明細表-基因檢測(201904起'!$P:$P,$A2&amp;"*",'來案暨出貨明細表-基因檢測(201904起'!$P:$P,"*"&amp;$A20&amp;"*",'來案暨出貨明細表-基因檢測(201904起'!$B:$B,M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M$1,'來案暨出貨明細表-基因檢測(201904起'!$R:$R,"中英"))</f>
        <v>18</v>
      </c>
      <c r="N2" s="33">
        <f>COUNTIFS('來案暨出貨明細表-基因檢測(201904起'!$P:$P,$A2&amp;"*",'來案暨出貨明細表-基因檢測(201904起'!$B:$B,N$1)*$B2+COUNTIFS('來案暨出貨明細表-基因檢測(201904起'!$P:$P,$A2&amp;"*",'來案暨出貨明細表-基因檢測(201904起'!$B:$B,N$1,'來案暨出貨明細表-基因檢測(201904起'!$Q:$Q,"紙本&amp;電子")+COUNTIFS('來案暨出貨明細表-基因檢測(201904起'!$P:$P,$A2&amp;"*",'來案暨出貨明細表-基因檢測(201904起'!$B:$B,N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N$1)*$B15+COUNTIFS('來案暨出貨明細表-基因檢測(201904起'!$P:$P,$A2&amp;"*",'來案暨出貨明細表-基因檢測(201904起'!$P:$P,"*"&amp;$A15&amp;"*",'來案暨出貨明細表-基因檢測(201904起'!$B:$B,N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N$1,'來案暨出貨明細表-基因檢測(201904起'!$R:$R,"中英")+COUNTIFS('來案暨出貨明細表-基因檢測(201904起'!$P:$P,$A2&amp;"*",'來案暨出貨明細表-基因檢測(201904起'!$P:$P,"*"&amp;$A16&amp;"*",'來案暨出貨明細表-基因檢測(201904起'!$B:$B,N$1)*$B16+COUNTIFS('來案暨出貨明細表-基因檢測(201904起'!$P:$P,$A2&amp;"*",'來案暨出貨明細表-基因檢測(201904起'!$P:$P,"*"&amp;$A16&amp;"*",'來案暨出貨明細表-基因檢測(201904起'!$B:$B,N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N$1,'來案暨出貨明細表-基因檢測(201904起'!$R:$R,"中英")+COUNTIFS('來案暨出貨明細表-基因檢測(201904起'!$P:$P,$A2&amp;"*",'來案暨出貨明細表-基因檢測(201904起'!$P:$P,"*"&amp;$A17&amp;"*",'來案暨出貨明細表-基因檢測(201904起'!$B:$B,N$1)*$B17+COUNTIFS('來案暨出貨明細表-基因檢測(201904起'!$P:$P,$A2&amp;"*",'來案暨出貨明細表-基因檢測(201904起'!$P:$P,"*"&amp;$A17&amp;"*",'來案暨出貨明細表-基因檢測(201904起'!$B:$B,N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N$1,'來案暨出貨明細表-基因檢測(201904起'!$R:$R,"中英")+COUNTIFS('來案暨出貨明細表-基因檢測(201904起'!$P:$P,$A2&amp;"*",'來案暨出貨明細表-基因檢測(201904起'!$P:$P,"*"&amp;$A18&amp;"*",'來案暨出貨明細表-基因檢測(201904起'!$B:$B,N$1)*$B18+COUNTIFS('來案暨出貨明細表-基因檢測(201904起'!$P:$P,$A2&amp;"*",'來案暨出貨明細表-基因檢測(201904起'!$P:$P,"*"&amp;$A18&amp;"*",'來案暨出貨明細表-基因檢測(201904起'!$B:$B,N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N$1,'來案暨出貨明細表-基因檢測(201904起'!$R:$R,"中英")+COUNTIFS('來案暨出貨明細表-基因檢測(201904起'!$P:$P,$A2&amp;"*",'來案暨出貨明細表-基因檢測(201904起'!$P:$P,"*"&amp;$A19&amp;"*",'來案暨出貨明細表-基因檢測(201904起'!$B:$B,N$1)*$B19+COUNTIFS('來案暨出貨明細表-基因檢測(201904起'!$P:$P,$A2&amp;"*",'來案暨出貨明細表-基因檢測(201904起'!$P:$P,"*"&amp;$A19&amp;"*",'來案暨出貨明細表-基因檢測(201904起'!$B:$B,N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N$1,'來案暨出貨明細表-基因檢測(201904起'!$R:$R,"中英")+COUNTIFS('來案暨出貨明細表-基因檢測(201904起'!$P:$P,$A2&amp;"*",'來案暨出貨明細表-基因檢測(201904起'!$P:$P,"*"&amp;$A20&amp;"*",'來案暨出貨明細表-基因檢測(201904起'!$B:$B,N$1)*$B20+COUNTIFS('來案暨出貨明細表-基因檢測(201904起'!$P:$P,$A2&amp;"*",'來案暨出貨明細表-基因檢測(201904起'!$P:$P,"*"&amp;$A20&amp;"*",'來案暨出貨明細表-基因檢測(201904起'!$B:$B,N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N$1,'來案暨出貨明細表-基因檢測(201904起'!$R:$R,"中英"))</f>
        <v>0</v>
      </c>
      <c r="O2" s="33">
        <f>COUNTIFS('來案暨出貨明細表-基因檢測(201904起'!$P:$P,$A2&amp;"*",'來案暨出貨明細表-基因檢測(201904起'!$B:$B,O$1)*$B2+COUNTIFS('來案暨出貨明細表-基因檢測(201904起'!$P:$P,$A2&amp;"*",'來案暨出貨明細表-基因檢測(201904起'!$B:$B,O$1,'來案暨出貨明細表-基因檢測(201904起'!$Q:$Q,"紙本&amp;電子")+COUNTIFS('來案暨出貨明細表-基因檢測(201904起'!$P:$P,$A2&amp;"*",'來案暨出貨明細表-基因檢測(201904起'!$B:$B,O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O$1)*$B15+COUNTIFS('來案暨出貨明細表-基因檢測(201904起'!$P:$P,$A2&amp;"*",'來案暨出貨明細表-基因檢測(201904起'!$P:$P,"*"&amp;$A15&amp;"*",'來案暨出貨明細表-基因檢測(201904起'!$B:$B,O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O$1,'來案暨出貨明細表-基因檢測(201904起'!$R:$R,"中英")+COUNTIFS('來案暨出貨明細表-基因檢測(201904起'!$P:$P,$A2&amp;"*",'來案暨出貨明細表-基因檢測(201904起'!$P:$P,"*"&amp;$A16&amp;"*",'來案暨出貨明細表-基因檢測(201904起'!$B:$B,O$1)*$B16+COUNTIFS('來案暨出貨明細表-基因檢測(201904起'!$P:$P,$A2&amp;"*",'來案暨出貨明細表-基因檢測(201904起'!$P:$P,"*"&amp;$A16&amp;"*",'來案暨出貨明細表-基因檢測(201904起'!$B:$B,O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O$1,'來案暨出貨明細表-基因檢測(201904起'!$R:$R,"中英")+COUNTIFS('來案暨出貨明細表-基因檢測(201904起'!$P:$P,$A2&amp;"*",'來案暨出貨明細表-基因檢測(201904起'!$P:$P,"*"&amp;$A17&amp;"*",'來案暨出貨明細表-基因檢測(201904起'!$B:$B,O$1)*$B17+COUNTIFS('來案暨出貨明細表-基因檢測(201904起'!$P:$P,$A2&amp;"*",'來案暨出貨明細表-基因檢測(201904起'!$P:$P,"*"&amp;$A17&amp;"*",'來案暨出貨明細表-基因檢測(201904起'!$B:$B,O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O$1,'來案暨出貨明細表-基因檢測(201904起'!$R:$R,"中英")+COUNTIFS('來案暨出貨明細表-基因檢測(201904起'!$P:$P,$A2&amp;"*",'來案暨出貨明細表-基因檢測(201904起'!$P:$P,"*"&amp;$A18&amp;"*",'來案暨出貨明細表-基因檢測(201904起'!$B:$B,O$1)*$B18+COUNTIFS('來案暨出貨明細表-基因檢測(201904起'!$P:$P,$A2&amp;"*",'來案暨出貨明細表-基因檢測(201904起'!$P:$P,"*"&amp;$A18&amp;"*",'來案暨出貨明細表-基因檢測(201904起'!$B:$B,O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O$1,'來案暨出貨明細表-基因檢測(201904起'!$R:$R,"中英")+COUNTIFS('來案暨出貨明細表-基因檢測(201904起'!$P:$P,$A2&amp;"*",'來案暨出貨明細表-基因檢測(201904起'!$P:$P,"*"&amp;$A19&amp;"*",'來案暨出貨明細表-基因檢測(201904起'!$B:$B,O$1)*$B19+COUNTIFS('來案暨出貨明細表-基因檢測(201904起'!$P:$P,$A2&amp;"*",'來案暨出貨明細表-基因檢測(201904起'!$P:$P,"*"&amp;$A19&amp;"*",'來案暨出貨明細表-基因檢測(201904起'!$B:$B,O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O$1,'來案暨出貨明細表-基因檢測(201904起'!$R:$R,"中英")+COUNTIFS('來案暨出貨明細表-基因檢測(201904起'!$P:$P,$A2&amp;"*",'來案暨出貨明細表-基因檢測(201904起'!$P:$P,"*"&amp;$A20&amp;"*",'來案暨出貨明細表-基因檢測(201904起'!$B:$B,O$1)*$B20+COUNTIFS('來案暨出貨明細表-基因檢測(201904起'!$P:$P,$A2&amp;"*",'來案暨出貨明細表-基因檢測(201904起'!$P:$P,"*"&amp;$A20&amp;"*",'來案暨出貨明細表-基因檢測(201904起'!$B:$B,O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O$1,'來案暨出貨明細表-基因檢測(201904起'!$R:$R,"中英"))</f>
        <v>0</v>
      </c>
      <c r="P2" s="33">
        <f>COUNTIFS('來案暨出貨明細表-基因檢測(201904起'!$P:$P,$A2&amp;"*",'來案暨出貨明細表-基因檢測(201904起'!$B:$B,P$1)*$B2+COUNTIFS('來案暨出貨明細表-基因檢測(201904起'!$P:$P,$A2&amp;"*",'來案暨出貨明細表-基因檢測(201904起'!$B:$B,P$1,'來案暨出貨明細表-基因檢測(201904起'!$Q:$Q,"紙本&amp;電子")+COUNTIFS('來案暨出貨明細表-基因檢測(201904起'!$P:$P,$A2&amp;"*",'來案暨出貨明細表-基因檢測(201904起'!$B:$B,P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P$1)*$B15+COUNTIFS('來案暨出貨明細表-基因檢測(201904起'!$P:$P,$A2&amp;"*",'來案暨出貨明細表-基因檢測(201904起'!$P:$P,"*"&amp;$A15&amp;"*",'來案暨出貨明細表-基因檢測(201904起'!$B:$B,P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P$1,'來案暨出貨明細表-基因檢測(201904起'!$R:$R,"中英")+COUNTIFS('來案暨出貨明細表-基因檢測(201904起'!$P:$P,$A2&amp;"*",'來案暨出貨明細表-基因檢測(201904起'!$P:$P,"*"&amp;$A16&amp;"*",'來案暨出貨明細表-基因檢測(201904起'!$B:$B,P$1)*$B16+COUNTIFS('來案暨出貨明細表-基因檢測(201904起'!$P:$P,$A2&amp;"*",'來案暨出貨明細表-基因檢測(201904起'!$P:$P,"*"&amp;$A16&amp;"*",'來案暨出貨明細表-基因檢測(201904起'!$B:$B,P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P$1,'來案暨出貨明細表-基因檢測(201904起'!$R:$R,"中英")+COUNTIFS('來案暨出貨明細表-基因檢測(201904起'!$P:$P,$A2&amp;"*",'來案暨出貨明細表-基因檢測(201904起'!$P:$P,"*"&amp;$A17&amp;"*",'來案暨出貨明細表-基因檢測(201904起'!$B:$B,P$1)*$B17+COUNTIFS('來案暨出貨明細表-基因檢測(201904起'!$P:$P,$A2&amp;"*",'來案暨出貨明細表-基因檢測(201904起'!$P:$P,"*"&amp;$A17&amp;"*",'來案暨出貨明細表-基因檢測(201904起'!$B:$B,P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P$1,'來案暨出貨明細表-基因檢測(201904起'!$R:$R,"中英")+COUNTIFS('來案暨出貨明細表-基因檢測(201904起'!$P:$P,$A2&amp;"*",'來案暨出貨明細表-基因檢測(201904起'!$P:$P,"*"&amp;$A18&amp;"*",'來案暨出貨明細表-基因檢測(201904起'!$B:$B,P$1)*$B18+COUNTIFS('來案暨出貨明細表-基因檢測(201904起'!$P:$P,$A2&amp;"*",'來案暨出貨明細表-基因檢測(201904起'!$P:$P,"*"&amp;$A18&amp;"*",'來案暨出貨明細表-基因檢測(201904起'!$B:$B,P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P$1,'來案暨出貨明細表-基因檢測(201904起'!$R:$R,"中英")+COUNTIFS('來案暨出貨明細表-基因檢測(201904起'!$P:$P,$A2&amp;"*",'來案暨出貨明細表-基因檢測(201904起'!$P:$P,"*"&amp;$A19&amp;"*",'來案暨出貨明細表-基因檢測(201904起'!$B:$B,P$1)*$B19+COUNTIFS('來案暨出貨明細表-基因檢測(201904起'!$P:$P,$A2&amp;"*",'來案暨出貨明細表-基因檢測(201904起'!$P:$P,"*"&amp;$A19&amp;"*",'來案暨出貨明細表-基因檢測(201904起'!$B:$B,P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P$1,'來案暨出貨明細表-基因檢測(201904起'!$R:$R,"中英")+COUNTIFS('來案暨出貨明細表-基因檢測(201904起'!$P:$P,$A2&amp;"*",'來案暨出貨明細表-基因檢測(201904起'!$P:$P,"*"&amp;$A20&amp;"*",'來案暨出貨明細表-基因檢測(201904起'!$B:$B,P$1)*$B20+COUNTIFS('來案暨出貨明細表-基因檢測(201904起'!$P:$P,$A2&amp;"*",'來案暨出貨明細表-基因檢測(201904起'!$P:$P,"*"&amp;$A20&amp;"*",'來案暨出貨明細表-基因檢測(201904起'!$B:$B,P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P$1,'來案暨出貨明細表-基因檢測(201904起'!$R:$R,"中英"))</f>
        <v>0</v>
      </c>
      <c r="Q2" s="33">
        <f>COUNTIFS('來案暨出貨明細表-基因檢測(201904起'!$P:$P,$A2&amp;"*",'來案暨出貨明細表-基因檢測(201904起'!$B:$B,Q$1)*$B2+COUNTIFS('來案暨出貨明細表-基因檢測(201904起'!$P:$P,$A2&amp;"*",'來案暨出貨明細表-基因檢測(201904起'!$B:$B,Q$1,'來案暨出貨明細表-基因檢測(201904起'!$Q:$Q,"紙本&amp;電子")+COUNTIFS('來案暨出貨明細表-基因檢測(201904起'!$P:$P,$A2&amp;"*",'來案暨出貨明細表-基因檢測(201904起'!$B:$B,Q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Q$1)*$B15+COUNTIFS('來案暨出貨明細表-基因檢測(201904起'!$P:$P,$A2&amp;"*",'來案暨出貨明細表-基因檢測(201904起'!$P:$P,"*"&amp;$A15&amp;"*",'來案暨出貨明細表-基因檢測(201904起'!$B:$B,Q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Q$1,'來案暨出貨明細表-基因檢測(201904起'!$R:$R,"中英")+COUNTIFS('來案暨出貨明細表-基因檢測(201904起'!$P:$P,$A2&amp;"*",'來案暨出貨明細表-基因檢測(201904起'!$P:$P,"*"&amp;$A16&amp;"*",'來案暨出貨明細表-基因檢測(201904起'!$B:$B,Q$1)*$B16+COUNTIFS('來案暨出貨明細表-基因檢測(201904起'!$P:$P,$A2&amp;"*",'來案暨出貨明細表-基因檢測(201904起'!$P:$P,"*"&amp;$A16&amp;"*",'來案暨出貨明細表-基因檢測(201904起'!$B:$B,Q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Q$1,'來案暨出貨明細表-基因檢測(201904起'!$R:$R,"中英")+COUNTIFS('來案暨出貨明細表-基因檢測(201904起'!$P:$P,$A2&amp;"*",'來案暨出貨明細表-基因檢測(201904起'!$P:$P,"*"&amp;$A17&amp;"*",'來案暨出貨明細表-基因檢測(201904起'!$B:$B,Q$1)*$B17+COUNTIFS('來案暨出貨明細表-基因檢測(201904起'!$P:$P,$A2&amp;"*",'來案暨出貨明細表-基因檢測(201904起'!$P:$P,"*"&amp;$A17&amp;"*",'來案暨出貨明細表-基因檢測(201904起'!$B:$B,Q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Q$1,'來案暨出貨明細表-基因檢測(201904起'!$R:$R,"中英")+COUNTIFS('來案暨出貨明細表-基因檢測(201904起'!$P:$P,$A2&amp;"*",'來案暨出貨明細表-基因檢測(201904起'!$P:$P,"*"&amp;$A18&amp;"*",'來案暨出貨明細表-基因檢測(201904起'!$B:$B,Q$1)*$B18+COUNTIFS('來案暨出貨明細表-基因檢測(201904起'!$P:$P,$A2&amp;"*",'來案暨出貨明細表-基因檢測(201904起'!$P:$P,"*"&amp;$A18&amp;"*",'來案暨出貨明細表-基因檢測(201904起'!$B:$B,Q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Q$1,'來案暨出貨明細表-基因檢測(201904起'!$R:$R,"中英")+COUNTIFS('來案暨出貨明細表-基因檢測(201904起'!$P:$P,$A2&amp;"*",'來案暨出貨明細表-基因檢測(201904起'!$P:$P,"*"&amp;$A19&amp;"*",'來案暨出貨明細表-基因檢測(201904起'!$B:$B,Q$1)*$B19+COUNTIFS('來案暨出貨明細表-基因檢測(201904起'!$P:$P,$A2&amp;"*",'來案暨出貨明細表-基因檢測(201904起'!$P:$P,"*"&amp;$A19&amp;"*",'來案暨出貨明細表-基因檢測(201904起'!$B:$B,Q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Q$1,'來案暨出貨明細表-基因檢測(201904起'!$R:$R,"中英")+COUNTIFS('來案暨出貨明細表-基因檢測(201904起'!$P:$P,$A2&amp;"*",'來案暨出貨明細表-基因檢測(201904起'!$P:$P,"*"&amp;$A20&amp;"*",'來案暨出貨明細表-基因檢測(201904起'!$B:$B,Q$1)*$B20+COUNTIFS('來案暨出貨明細表-基因檢測(201904起'!$P:$P,$A2&amp;"*",'來案暨出貨明細表-基因檢測(201904起'!$P:$P,"*"&amp;$A20&amp;"*",'來案暨出貨明細表-基因檢測(201904起'!$B:$B,Q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Q$1,'來案暨出貨明細表-基因檢測(201904起'!$R:$R,"中英"))</f>
        <v>0</v>
      </c>
      <c r="R2" s="33">
        <f>COUNTIFS('來案暨出貨明細表-基因檢測(201904起'!$P:$P,$A2&amp;"*",'來案暨出貨明細表-基因檢測(201904起'!$B:$B,R$1)*$B2+COUNTIFS('來案暨出貨明細表-基因檢測(201904起'!$P:$P,$A2&amp;"*",'來案暨出貨明細表-基因檢測(201904起'!$B:$B,R$1,'來案暨出貨明細表-基因檢測(201904起'!$Q:$Q,"紙本&amp;電子")+COUNTIFS('來案暨出貨明細表-基因檢測(201904起'!$P:$P,$A2&amp;"*",'來案暨出貨明細表-基因檢測(201904起'!$B:$B,R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R$1)*$B15+COUNTIFS('來案暨出貨明細表-基因檢測(201904起'!$P:$P,$A2&amp;"*",'來案暨出貨明細表-基因檢測(201904起'!$P:$P,"*"&amp;$A15&amp;"*",'來案暨出貨明細表-基因檢測(201904起'!$B:$B,R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R$1,'來案暨出貨明細表-基因檢測(201904起'!$R:$R,"中英")+COUNTIFS('來案暨出貨明細表-基因檢測(201904起'!$P:$P,$A2&amp;"*",'來案暨出貨明細表-基因檢測(201904起'!$P:$P,"*"&amp;$A16&amp;"*",'來案暨出貨明細表-基因檢測(201904起'!$B:$B,R$1)*$B16+COUNTIFS('來案暨出貨明細表-基因檢測(201904起'!$P:$P,$A2&amp;"*",'來案暨出貨明細表-基因檢測(201904起'!$P:$P,"*"&amp;$A16&amp;"*",'來案暨出貨明細表-基因檢測(201904起'!$B:$B,R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R$1,'來案暨出貨明細表-基因檢測(201904起'!$R:$R,"中英")+COUNTIFS('來案暨出貨明細表-基因檢測(201904起'!$P:$P,$A2&amp;"*",'來案暨出貨明細表-基因檢測(201904起'!$P:$P,"*"&amp;$A17&amp;"*",'來案暨出貨明細表-基因檢測(201904起'!$B:$B,R$1)*$B17+COUNTIFS('來案暨出貨明細表-基因檢測(201904起'!$P:$P,$A2&amp;"*",'來案暨出貨明細表-基因檢測(201904起'!$P:$P,"*"&amp;$A17&amp;"*",'來案暨出貨明細表-基因檢測(201904起'!$B:$B,R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R$1,'來案暨出貨明細表-基因檢測(201904起'!$R:$R,"中英")+COUNTIFS('來案暨出貨明細表-基因檢測(201904起'!$P:$P,$A2&amp;"*",'來案暨出貨明細表-基因檢測(201904起'!$P:$P,"*"&amp;$A18&amp;"*",'來案暨出貨明細表-基因檢測(201904起'!$B:$B,R$1)*$B18+COUNTIFS('來案暨出貨明細表-基因檢測(201904起'!$P:$P,$A2&amp;"*",'來案暨出貨明細表-基因檢測(201904起'!$P:$P,"*"&amp;$A18&amp;"*",'來案暨出貨明細表-基因檢測(201904起'!$B:$B,R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R$1,'來案暨出貨明細表-基因檢測(201904起'!$R:$R,"中英")+COUNTIFS('來案暨出貨明細表-基因檢測(201904起'!$P:$P,$A2&amp;"*",'來案暨出貨明細表-基因檢測(201904起'!$P:$P,"*"&amp;$A19&amp;"*",'來案暨出貨明細表-基因檢測(201904起'!$B:$B,R$1)*$B19+COUNTIFS('來案暨出貨明細表-基因檢測(201904起'!$P:$P,$A2&amp;"*",'來案暨出貨明細表-基因檢測(201904起'!$P:$P,"*"&amp;$A19&amp;"*",'來案暨出貨明細表-基因檢測(201904起'!$B:$B,R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R$1,'來案暨出貨明細表-基因檢測(201904起'!$R:$R,"中英")+COUNTIFS('來案暨出貨明細表-基因檢測(201904起'!$P:$P,$A2&amp;"*",'來案暨出貨明細表-基因檢測(201904起'!$P:$P,"*"&amp;$A20&amp;"*",'來案暨出貨明細表-基因檢測(201904起'!$B:$B,R$1)*$B20+COUNTIFS('來案暨出貨明細表-基因檢測(201904起'!$P:$P,$A2&amp;"*",'來案暨出貨明細表-基因檢測(201904起'!$P:$P,"*"&amp;$A20&amp;"*",'來案暨出貨明細表-基因檢測(201904起'!$B:$B,R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R$1,'來案暨出貨明細表-基因檢測(201904起'!$R:$R,"中英"))</f>
        <v>14</v>
      </c>
      <c r="S2" s="33">
        <f>COUNTIFS('來案暨出貨明細表-基因檢測(201904起'!$P:$P,$A2&amp;"*",'來案暨出貨明細表-基因檢測(201904起'!$B:$B,S$1)*$B2+COUNTIFS('來案暨出貨明細表-基因檢測(201904起'!$P:$P,$A2&amp;"*",'來案暨出貨明細表-基因檢測(201904起'!$B:$B,S$1,'來案暨出貨明細表-基因檢測(201904起'!$Q:$Q,"紙本&amp;電子")+COUNTIFS('來案暨出貨明細表-基因檢測(201904起'!$P:$P,$A2&amp;"*",'來案暨出貨明細表-基因檢測(201904起'!$B:$B,S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S$1)*$B15+COUNTIFS('來案暨出貨明細表-基因檢測(201904起'!$P:$P,$A2&amp;"*",'來案暨出貨明細表-基因檢測(201904起'!$P:$P,"*"&amp;$A15&amp;"*",'來案暨出貨明細表-基因檢測(201904起'!$B:$B,S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S$1,'來案暨出貨明細表-基因檢測(201904起'!$R:$R,"中英")+COUNTIFS('來案暨出貨明細表-基因檢測(201904起'!$P:$P,$A2&amp;"*",'來案暨出貨明細表-基因檢測(201904起'!$P:$P,"*"&amp;$A16&amp;"*",'來案暨出貨明細表-基因檢測(201904起'!$B:$B,S$1)*$B16+COUNTIFS('來案暨出貨明細表-基因檢測(201904起'!$P:$P,$A2&amp;"*",'來案暨出貨明細表-基因檢測(201904起'!$P:$P,"*"&amp;$A16&amp;"*",'來案暨出貨明細表-基因檢測(201904起'!$B:$B,S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S$1,'來案暨出貨明細表-基因檢測(201904起'!$R:$R,"中英")+COUNTIFS('來案暨出貨明細表-基因檢測(201904起'!$P:$P,$A2&amp;"*",'來案暨出貨明細表-基因檢測(201904起'!$P:$P,"*"&amp;$A17&amp;"*",'來案暨出貨明細表-基因檢測(201904起'!$B:$B,S$1)*$B17+COUNTIFS('來案暨出貨明細表-基因檢測(201904起'!$P:$P,$A2&amp;"*",'來案暨出貨明細表-基因檢測(201904起'!$P:$P,"*"&amp;$A17&amp;"*",'來案暨出貨明細表-基因檢測(201904起'!$B:$B,S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S$1,'來案暨出貨明細表-基因檢測(201904起'!$R:$R,"中英")+COUNTIFS('來案暨出貨明細表-基因檢測(201904起'!$P:$P,$A2&amp;"*",'來案暨出貨明細表-基因檢測(201904起'!$P:$P,"*"&amp;$A18&amp;"*",'來案暨出貨明細表-基因檢測(201904起'!$B:$B,S$1)*$B18+COUNTIFS('來案暨出貨明細表-基因檢測(201904起'!$P:$P,$A2&amp;"*",'來案暨出貨明細表-基因檢測(201904起'!$P:$P,"*"&amp;$A18&amp;"*",'來案暨出貨明細表-基因檢測(201904起'!$B:$B,S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S$1,'來案暨出貨明細表-基因檢測(201904起'!$R:$R,"中英")+COUNTIFS('來案暨出貨明細表-基因檢測(201904起'!$P:$P,$A2&amp;"*",'來案暨出貨明細表-基因檢測(201904起'!$P:$P,"*"&amp;$A19&amp;"*",'來案暨出貨明細表-基因檢測(201904起'!$B:$B,S$1)*$B19+COUNTIFS('來案暨出貨明細表-基因檢測(201904起'!$P:$P,$A2&amp;"*",'來案暨出貨明細表-基因檢測(201904起'!$P:$P,"*"&amp;$A19&amp;"*",'來案暨出貨明細表-基因檢測(201904起'!$B:$B,S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S$1,'來案暨出貨明細表-基因檢測(201904起'!$R:$R,"中英")+COUNTIFS('來案暨出貨明細表-基因檢測(201904起'!$P:$P,$A2&amp;"*",'來案暨出貨明細表-基因檢測(201904起'!$P:$P,"*"&amp;$A20&amp;"*",'來案暨出貨明細表-基因檢測(201904起'!$B:$B,S$1)*$B20+COUNTIFS('來案暨出貨明細表-基因檢測(201904起'!$P:$P,$A2&amp;"*",'來案暨出貨明細表-基因檢測(201904起'!$P:$P,"*"&amp;$A20&amp;"*",'來案暨出貨明細表-基因檢測(201904起'!$B:$B,S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S$1,'來案暨出貨明細表-基因檢測(201904起'!$R:$R,"中英"))</f>
        <v>5</v>
      </c>
      <c r="T2" s="33">
        <f>COUNTIFS('來案暨出貨明細表-基因檢測(201904起'!$P:$P,$A2&amp;"*",'來案暨出貨明細表-基因檢測(201904起'!$B:$B,T$1)*$B2+COUNTIFS('來案暨出貨明細表-基因檢測(201904起'!$P:$P,$A2&amp;"*",'來案暨出貨明細表-基因檢測(201904起'!$B:$B,T$1,'來案暨出貨明細表-基因檢測(201904起'!$Q:$Q,"紙本&amp;電子")+COUNTIFS('來案暨出貨明細表-基因檢測(201904起'!$P:$P,$A2&amp;"*",'來案暨出貨明細表-基因檢測(201904起'!$B:$B,T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T$1)*$B15+COUNTIFS('來案暨出貨明細表-基因檢測(201904起'!$P:$P,$A2&amp;"*",'來案暨出貨明細表-基因檢測(201904起'!$P:$P,"*"&amp;$A15&amp;"*",'來案暨出貨明細表-基因檢測(201904起'!$B:$B,T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T$1,'來案暨出貨明細表-基因檢測(201904起'!$R:$R,"中英")+COUNTIFS('來案暨出貨明細表-基因檢測(201904起'!$P:$P,$A2&amp;"*",'來案暨出貨明細表-基因檢測(201904起'!$P:$P,"*"&amp;$A16&amp;"*",'來案暨出貨明細表-基因檢測(201904起'!$B:$B,T$1)*$B16+COUNTIFS('來案暨出貨明細表-基因檢測(201904起'!$P:$P,$A2&amp;"*",'來案暨出貨明細表-基因檢測(201904起'!$P:$P,"*"&amp;$A16&amp;"*",'來案暨出貨明細表-基因檢測(201904起'!$B:$B,T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T$1,'來案暨出貨明細表-基因檢測(201904起'!$R:$R,"中英")+COUNTIFS('來案暨出貨明細表-基因檢測(201904起'!$P:$P,$A2&amp;"*",'來案暨出貨明細表-基因檢測(201904起'!$P:$P,"*"&amp;$A17&amp;"*",'來案暨出貨明細表-基因檢測(201904起'!$B:$B,T$1)*$B17+COUNTIFS('來案暨出貨明細表-基因檢測(201904起'!$P:$P,$A2&amp;"*",'來案暨出貨明細表-基因檢測(201904起'!$P:$P,"*"&amp;$A17&amp;"*",'來案暨出貨明細表-基因檢測(201904起'!$B:$B,T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T$1,'來案暨出貨明細表-基因檢測(201904起'!$R:$R,"中英")+COUNTIFS('來案暨出貨明細表-基因檢測(201904起'!$P:$P,$A2&amp;"*",'來案暨出貨明細表-基因檢測(201904起'!$P:$P,"*"&amp;$A18&amp;"*",'來案暨出貨明細表-基因檢測(201904起'!$B:$B,T$1)*$B18+COUNTIFS('來案暨出貨明細表-基因檢測(201904起'!$P:$P,$A2&amp;"*",'來案暨出貨明細表-基因檢測(201904起'!$P:$P,"*"&amp;$A18&amp;"*",'來案暨出貨明細表-基因檢測(201904起'!$B:$B,T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T$1,'來案暨出貨明細表-基因檢測(201904起'!$R:$R,"中英")+COUNTIFS('來案暨出貨明細表-基因檢測(201904起'!$P:$P,$A2&amp;"*",'來案暨出貨明細表-基因檢測(201904起'!$P:$P,"*"&amp;$A19&amp;"*",'來案暨出貨明細表-基因檢測(201904起'!$B:$B,T$1)*$B19+COUNTIFS('來案暨出貨明細表-基因檢測(201904起'!$P:$P,$A2&amp;"*",'來案暨出貨明細表-基因檢測(201904起'!$P:$P,"*"&amp;$A19&amp;"*",'來案暨出貨明細表-基因檢測(201904起'!$B:$B,T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T$1,'來案暨出貨明細表-基因檢測(201904起'!$R:$R,"中英")+COUNTIFS('來案暨出貨明細表-基因檢測(201904起'!$P:$P,$A2&amp;"*",'來案暨出貨明細表-基因檢測(201904起'!$P:$P,"*"&amp;$A20&amp;"*",'來案暨出貨明細表-基因檢測(201904起'!$B:$B,T$1)*$B20+COUNTIFS('來案暨出貨明細表-基因檢測(201904起'!$P:$P,$A2&amp;"*",'來案暨出貨明細表-基因檢測(201904起'!$P:$P,"*"&amp;$A20&amp;"*",'來案暨出貨明細表-基因檢測(201904起'!$B:$B,T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T$1,'來案暨出貨明細表-基因檢測(201904起'!$R:$R,"中英"))</f>
        <v>0</v>
      </c>
      <c r="U2" s="33">
        <f>COUNTIFS('來案暨出貨明細表-基因檢測(201904起'!$P:$P,$A2&amp;"*",'來案暨出貨明細表-基因檢測(201904起'!$B:$B,U$1)*$B2+COUNTIFS('來案暨出貨明細表-基因檢測(201904起'!$P:$P,$A2&amp;"*",'來案暨出貨明細表-基因檢測(201904起'!$B:$B,U$1,'來案暨出貨明細表-基因檢測(201904起'!$Q:$Q,"紙本&amp;電子")+COUNTIFS('來案暨出貨明細表-基因檢測(201904起'!$P:$P,$A2&amp;"*",'來案暨出貨明細表-基因檢測(201904起'!$B:$B,U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U$1)*$B15+COUNTIFS('來案暨出貨明細表-基因檢測(201904起'!$P:$P,$A2&amp;"*",'來案暨出貨明細表-基因檢測(201904起'!$P:$P,"*"&amp;$A15&amp;"*",'來案暨出貨明細表-基因檢測(201904起'!$B:$B,U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U$1,'來案暨出貨明細表-基因檢測(201904起'!$R:$R,"中英")+COUNTIFS('來案暨出貨明細表-基因檢測(201904起'!$P:$P,$A2&amp;"*",'來案暨出貨明細表-基因檢測(201904起'!$P:$P,"*"&amp;$A16&amp;"*",'來案暨出貨明細表-基因檢測(201904起'!$B:$B,U$1)*$B16+COUNTIFS('來案暨出貨明細表-基因檢測(201904起'!$P:$P,$A2&amp;"*",'來案暨出貨明細表-基因檢測(201904起'!$P:$P,"*"&amp;$A16&amp;"*",'來案暨出貨明細表-基因檢測(201904起'!$B:$B,U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U$1,'來案暨出貨明細表-基因檢測(201904起'!$R:$R,"中英")+COUNTIFS('來案暨出貨明細表-基因檢測(201904起'!$P:$P,$A2&amp;"*",'來案暨出貨明細表-基因檢測(201904起'!$P:$P,"*"&amp;$A17&amp;"*",'來案暨出貨明細表-基因檢測(201904起'!$B:$B,U$1)*$B17+COUNTIFS('來案暨出貨明細表-基因檢測(201904起'!$P:$P,$A2&amp;"*",'來案暨出貨明細表-基因檢測(201904起'!$P:$P,"*"&amp;$A17&amp;"*",'來案暨出貨明細表-基因檢測(201904起'!$B:$B,U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U$1,'來案暨出貨明細表-基因檢測(201904起'!$R:$R,"中英")+COUNTIFS('來案暨出貨明細表-基因檢測(201904起'!$P:$P,$A2&amp;"*",'來案暨出貨明細表-基因檢測(201904起'!$P:$P,"*"&amp;$A18&amp;"*",'來案暨出貨明細表-基因檢測(201904起'!$B:$B,U$1)*$B18+COUNTIFS('來案暨出貨明細表-基因檢測(201904起'!$P:$P,$A2&amp;"*",'來案暨出貨明細表-基因檢測(201904起'!$P:$P,"*"&amp;$A18&amp;"*",'來案暨出貨明細表-基因檢測(201904起'!$B:$B,U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U$1,'來案暨出貨明細表-基因檢測(201904起'!$R:$R,"中英")+COUNTIFS('來案暨出貨明細表-基因檢測(201904起'!$P:$P,$A2&amp;"*",'來案暨出貨明細表-基因檢測(201904起'!$P:$P,"*"&amp;$A19&amp;"*",'來案暨出貨明細表-基因檢測(201904起'!$B:$B,U$1)*$B19+COUNTIFS('來案暨出貨明細表-基因檢測(201904起'!$P:$P,$A2&amp;"*",'來案暨出貨明細表-基因檢測(201904起'!$P:$P,"*"&amp;$A19&amp;"*",'來案暨出貨明細表-基因檢測(201904起'!$B:$B,U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U$1,'來案暨出貨明細表-基因檢測(201904起'!$R:$R,"中英")+COUNTIFS('來案暨出貨明細表-基因檢測(201904起'!$P:$P,$A2&amp;"*",'來案暨出貨明細表-基因檢測(201904起'!$P:$P,"*"&amp;$A20&amp;"*",'來案暨出貨明細表-基因檢測(201904起'!$B:$B,U$1)*$B20+COUNTIFS('來案暨出貨明細表-基因檢測(201904起'!$P:$P,$A2&amp;"*",'來案暨出貨明細表-基因檢測(201904起'!$P:$P,"*"&amp;$A20&amp;"*",'來案暨出貨明細表-基因檢測(201904起'!$B:$B,U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U$1,'來案暨出貨明細表-基因檢測(201904起'!$R:$R,"中英"))</f>
        <v>1</v>
      </c>
      <c r="V2" s="33">
        <f>COUNTIFS('來案暨出貨明細表-基因檢測(201904起'!$P:$P,$A2&amp;"*",'來案暨出貨明細表-基因檢測(201904起'!$B:$B,V$1)*$B2+COUNTIFS('來案暨出貨明細表-基因檢測(201904起'!$P:$P,$A2&amp;"*",'來案暨出貨明細表-基因檢測(201904起'!$B:$B,V$1,'來案暨出貨明細表-基因檢測(201904起'!$Q:$Q,"紙本&amp;電子")+COUNTIFS('來案暨出貨明細表-基因檢測(201904起'!$P:$P,$A2&amp;"*",'來案暨出貨明細表-基因檢測(201904起'!$B:$B,V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V$1)*$B15+COUNTIFS('來案暨出貨明細表-基因檢測(201904起'!$P:$P,$A2&amp;"*",'來案暨出貨明細表-基因檢測(201904起'!$P:$P,"*"&amp;$A15&amp;"*",'來案暨出貨明細表-基因檢測(201904起'!$B:$B,V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V$1,'來案暨出貨明細表-基因檢測(201904起'!$R:$R,"中英")+COUNTIFS('來案暨出貨明細表-基因檢測(201904起'!$P:$P,$A2&amp;"*",'來案暨出貨明細表-基因檢測(201904起'!$P:$P,"*"&amp;$A16&amp;"*",'來案暨出貨明細表-基因檢測(201904起'!$B:$B,V$1)*$B16+COUNTIFS('來案暨出貨明細表-基因檢測(201904起'!$P:$P,$A2&amp;"*",'來案暨出貨明細表-基因檢測(201904起'!$P:$P,"*"&amp;$A16&amp;"*",'來案暨出貨明細表-基因檢測(201904起'!$B:$B,V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V$1,'來案暨出貨明細表-基因檢測(201904起'!$R:$R,"中英")+COUNTIFS('來案暨出貨明細表-基因檢測(201904起'!$P:$P,$A2&amp;"*",'來案暨出貨明細表-基因檢測(201904起'!$P:$P,"*"&amp;$A17&amp;"*",'來案暨出貨明細表-基因檢測(201904起'!$B:$B,V$1)*$B17+COUNTIFS('來案暨出貨明細表-基因檢測(201904起'!$P:$P,$A2&amp;"*",'來案暨出貨明細表-基因檢測(201904起'!$P:$P,"*"&amp;$A17&amp;"*",'來案暨出貨明細表-基因檢測(201904起'!$B:$B,V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V$1,'來案暨出貨明細表-基因檢測(201904起'!$R:$R,"中英")+COUNTIFS('來案暨出貨明細表-基因檢測(201904起'!$P:$P,$A2&amp;"*",'來案暨出貨明細表-基因檢測(201904起'!$P:$P,"*"&amp;$A18&amp;"*",'來案暨出貨明細表-基因檢測(201904起'!$B:$B,V$1)*$B18+COUNTIFS('來案暨出貨明細表-基因檢測(201904起'!$P:$P,$A2&amp;"*",'來案暨出貨明細表-基因檢測(201904起'!$P:$P,"*"&amp;$A18&amp;"*",'來案暨出貨明細表-基因檢測(201904起'!$B:$B,V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V$1,'來案暨出貨明細表-基因檢測(201904起'!$R:$R,"中英")+COUNTIFS('來案暨出貨明細表-基因檢測(201904起'!$P:$P,$A2&amp;"*",'來案暨出貨明細表-基因檢測(201904起'!$P:$P,"*"&amp;$A19&amp;"*",'來案暨出貨明細表-基因檢測(201904起'!$B:$B,V$1)*$B19+COUNTIFS('來案暨出貨明細表-基因檢測(201904起'!$P:$P,$A2&amp;"*",'來案暨出貨明細表-基因檢測(201904起'!$P:$P,"*"&amp;$A19&amp;"*",'來案暨出貨明細表-基因檢測(201904起'!$B:$B,V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V$1,'來案暨出貨明細表-基因檢測(201904起'!$R:$R,"中英")+COUNTIFS('來案暨出貨明細表-基因檢測(201904起'!$P:$P,$A2&amp;"*",'來案暨出貨明細表-基因檢測(201904起'!$P:$P,"*"&amp;$A20&amp;"*",'來案暨出貨明細表-基因檢測(201904起'!$B:$B,V$1)*$B20+COUNTIFS('來案暨出貨明細表-基因檢測(201904起'!$P:$P,$A2&amp;"*",'來案暨出貨明細表-基因檢測(201904起'!$P:$P,"*"&amp;$A20&amp;"*",'來案暨出貨明細表-基因檢測(201904起'!$B:$B,V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V$1,'來案暨出貨明細表-基因檢測(201904起'!$R:$R,"中英"))</f>
        <v>4</v>
      </c>
      <c r="W2" s="33">
        <f>COUNTIFS('來案暨出貨明細表-基因檢測(201904起'!$P:$P,$A2&amp;"*",'來案暨出貨明細表-基因檢測(201904起'!$B:$B,W$1)*$B2+COUNTIFS('來案暨出貨明細表-基因檢測(201904起'!$P:$P,$A2&amp;"*",'來案暨出貨明細表-基因檢測(201904起'!$B:$B,W$1,'來案暨出貨明細表-基因檢測(201904起'!$Q:$Q,"紙本&amp;電子")+COUNTIFS('來案暨出貨明細表-基因檢測(201904起'!$P:$P,$A2&amp;"*",'來案暨出貨明細表-基因檢測(201904起'!$B:$B,W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W$1)*$B15+COUNTIFS('來案暨出貨明細表-基因檢測(201904起'!$P:$P,$A2&amp;"*",'來案暨出貨明細表-基因檢測(201904起'!$P:$P,"*"&amp;$A15&amp;"*",'來案暨出貨明細表-基因檢測(201904起'!$B:$B,W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W$1,'來案暨出貨明細表-基因檢測(201904起'!$R:$R,"中英")+COUNTIFS('來案暨出貨明細表-基因檢測(201904起'!$P:$P,$A2&amp;"*",'來案暨出貨明細表-基因檢測(201904起'!$P:$P,"*"&amp;$A16&amp;"*",'來案暨出貨明細表-基因檢測(201904起'!$B:$B,W$1)*$B16+COUNTIFS('來案暨出貨明細表-基因檢測(201904起'!$P:$P,$A2&amp;"*",'來案暨出貨明細表-基因檢測(201904起'!$P:$P,"*"&amp;$A16&amp;"*",'來案暨出貨明細表-基因檢測(201904起'!$B:$B,W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W$1,'來案暨出貨明細表-基因檢測(201904起'!$R:$R,"中英")+COUNTIFS('來案暨出貨明細表-基因檢測(201904起'!$P:$P,$A2&amp;"*",'來案暨出貨明細表-基因檢測(201904起'!$P:$P,"*"&amp;$A17&amp;"*",'來案暨出貨明細表-基因檢測(201904起'!$B:$B,W$1)*$B17+COUNTIFS('來案暨出貨明細表-基因檢測(201904起'!$P:$P,$A2&amp;"*",'來案暨出貨明細表-基因檢測(201904起'!$P:$P,"*"&amp;$A17&amp;"*",'來案暨出貨明細表-基因檢測(201904起'!$B:$B,W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W$1,'來案暨出貨明細表-基因檢測(201904起'!$R:$R,"中英")+COUNTIFS('來案暨出貨明細表-基因檢測(201904起'!$P:$P,$A2&amp;"*",'來案暨出貨明細表-基因檢測(201904起'!$P:$P,"*"&amp;$A18&amp;"*",'來案暨出貨明細表-基因檢測(201904起'!$B:$B,W$1)*$B18+COUNTIFS('來案暨出貨明細表-基因檢測(201904起'!$P:$P,$A2&amp;"*",'來案暨出貨明細表-基因檢測(201904起'!$P:$P,"*"&amp;$A18&amp;"*",'來案暨出貨明細表-基因檢測(201904起'!$B:$B,W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W$1,'來案暨出貨明細表-基因檢測(201904起'!$R:$R,"中英")+COUNTIFS('來案暨出貨明細表-基因檢測(201904起'!$P:$P,$A2&amp;"*",'來案暨出貨明細表-基因檢測(201904起'!$P:$P,"*"&amp;$A19&amp;"*",'來案暨出貨明細表-基因檢測(201904起'!$B:$B,W$1)*$B19+COUNTIFS('來案暨出貨明細表-基因檢測(201904起'!$P:$P,$A2&amp;"*",'來案暨出貨明細表-基因檢測(201904起'!$P:$P,"*"&amp;$A19&amp;"*",'來案暨出貨明細表-基因檢測(201904起'!$B:$B,W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W$1,'來案暨出貨明細表-基因檢測(201904起'!$R:$R,"中英")+COUNTIFS('來案暨出貨明細表-基因檢測(201904起'!$P:$P,$A2&amp;"*",'來案暨出貨明細表-基因檢測(201904起'!$P:$P,"*"&amp;$A20&amp;"*",'來案暨出貨明細表-基因檢測(201904起'!$B:$B,W$1)*$B20+COUNTIFS('來案暨出貨明細表-基因檢測(201904起'!$P:$P,$A2&amp;"*",'來案暨出貨明細表-基因檢測(201904起'!$P:$P,"*"&amp;$A20&amp;"*",'來案暨出貨明細表-基因檢測(201904起'!$B:$B,W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W$1,'來案暨出貨明細表-基因檢測(201904起'!$R:$R,"中英"))</f>
        <v>0</v>
      </c>
      <c r="X2" s="33">
        <f>COUNTIFS('來案暨出貨明細表-基因檢測(201904起'!$P:$P,$A2&amp;"*",'來案暨出貨明細表-基因檢測(201904起'!$B:$B,X$1)*$B2+COUNTIFS('來案暨出貨明細表-基因檢測(201904起'!$P:$P,$A2&amp;"*",'來案暨出貨明細表-基因檢測(201904起'!$B:$B,X$1,'來案暨出貨明細表-基因檢測(201904起'!$Q:$Q,"紙本&amp;電子")+COUNTIFS('來案暨出貨明細表-基因檢測(201904起'!$P:$P,$A2&amp;"*",'來案暨出貨明細表-基因檢測(201904起'!$B:$B,X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X$1)*$B15+COUNTIFS('來案暨出貨明細表-基因檢測(201904起'!$P:$P,$A2&amp;"*",'來案暨出貨明細表-基因檢測(201904起'!$P:$P,"*"&amp;$A15&amp;"*",'來案暨出貨明細表-基因檢測(201904起'!$B:$B,X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X$1,'來案暨出貨明細表-基因檢測(201904起'!$R:$R,"中英")+COUNTIFS('來案暨出貨明細表-基因檢測(201904起'!$P:$P,$A2&amp;"*",'來案暨出貨明細表-基因檢測(201904起'!$P:$P,"*"&amp;$A16&amp;"*",'來案暨出貨明細表-基因檢測(201904起'!$B:$B,X$1)*$B16+COUNTIFS('來案暨出貨明細表-基因檢測(201904起'!$P:$P,$A2&amp;"*",'來案暨出貨明細表-基因檢測(201904起'!$P:$P,"*"&amp;$A16&amp;"*",'來案暨出貨明細表-基因檢測(201904起'!$B:$B,X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X$1,'來案暨出貨明細表-基因檢測(201904起'!$R:$R,"中英")+COUNTIFS('來案暨出貨明細表-基因檢測(201904起'!$P:$P,$A2&amp;"*",'來案暨出貨明細表-基因檢測(201904起'!$P:$P,"*"&amp;$A17&amp;"*",'來案暨出貨明細表-基因檢測(201904起'!$B:$B,X$1)*$B17+COUNTIFS('來案暨出貨明細表-基因檢測(201904起'!$P:$P,$A2&amp;"*",'來案暨出貨明細表-基因檢測(201904起'!$P:$P,"*"&amp;$A17&amp;"*",'來案暨出貨明細表-基因檢測(201904起'!$B:$B,X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X$1,'來案暨出貨明細表-基因檢測(201904起'!$R:$R,"中英")+COUNTIFS('來案暨出貨明細表-基因檢測(201904起'!$P:$P,$A2&amp;"*",'來案暨出貨明細表-基因檢測(201904起'!$P:$P,"*"&amp;$A18&amp;"*",'來案暨出貨明細表-基因檢測(201904起'!$B:$B,X$1)*$B18+COUNTIFS('來案暨出貨明細表-基因檢測(201904起'!$P:$P,$A2&amp;"*",'來案暨出貨明細表-基因檢測(201904起'!$P:$P,"*"&amp;$A18&amp;"*",'來案暨出貨明細表-基因檢測(201904起'!$B:$B,X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X$1,'來案暨出貨明細表-基因檢測(201904起'!$R:$R,"中英")+COUNTIFS('來案暨出貨明細表-基因檢測(201904起'!$P:$P,$A2&amp;"*",'來案暨出貨明細表-基因檢測(201904起'!$P:$P,"*"&amp;$A19&amp;"*",'來案暨出貨明細表-基因檢測(201904起'!$B:$B,X$1)*$B19+COUNTIFS('來案暨出貨明細表-基因檢測(201904起'!$P:$P,$A2&amp;"*",'來案暨出貨明細表-基因檢測(201904起'!$P:$P,"*"&amp;$A19&amp;"*",'來案暨出貨明細表-基因檢測(201904起'!$B:$B,X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X$1,'來案暨出貨明細表-基因檢測(201904起'!$R:$R,"中英")+COUNTIFS('來案暨出貨明細表-基因檢測(201904起'!$P:$P,$A2&amp;"*",'來案暨出貨明細表-基因檢測(201904起'!$P:$P,"*"&amp;$A20&amp;"*",'來案暨出貨明細表-基因檢測(201904起'!$B:$B,X$1)*$B20+COUNTIFS('來案暨出貨明細表-基因檢測(201904起'!$P:$P,$A2&amp;"*",'來案暨出貨明細表-基因檢測(201904起'!$P:$P,"*"&amp;$A20&amp;"*",'來案暨出貨明細表-基因檢測(201904起'!$B:$B,X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X$1,'來案暨出貨明細表-基因檢測(201904起'!$R:$R,"中英"))</f>
        <v>0</v>
      </c>
      <c r="Y2" s="33">
        <f>COUNTIFS('來案暨出貨明細表-基因檢測(201904起'!$P:$P,$A2&amp;"*",'來案暨出貨明細表-基因檢測(201904起'!$B:$B,Y$1)*$B2+COUNTIFS('來案暨出貨明細表-基因檢測(201904起'!$P:$P,$A2&amp;"*",'來案暨出貨明細表-基因檢測(201904起'!$B:$B,Y$1,'來案暨出貨明細表-基因檢測(201904起'!$Q:$Q,"紙本&amp;電子")+COUNTIFS('來案暨出貨明細表-基因檢測(201904起'!$P:$P,$A2&amp;"*",'來案暨出貨明細表-基因檢測(201904起'!$B:$B,Y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Y$1)*$B15+COUNTIFS('來案暨出貨明細表-基因檢測(201904起'!$P:$P,$A2&amp;"*",'來案暨出貨明細表-基因檢測(201904起'!$P:$P,"*"&amp;$A15&amp;"*",'來案暨出貨明細表-基因檢測(201904起'!$B:$B,Y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Y$1,'來案暨出貨明細表-基因檢測(201904起'!$R:$R,"中英")+COUNTIFS('來案暨出貨明細表-基因檢測(201904起'!$P:$P,$A2&amp;"*",'來案暨出貨明細表-基因檢測(201904起'!$P:$P,"*"&amp;$A16&amp;"*",'來案暨出貨明細表-基因檢測(201904起'!$B:$B,Y$1)*$B16+COUNTIFS('來案暨出貨明細表-基因檢測(201904起'!$P:$P,$A2&amp;"*",'來案暨出貨明細表-基因檢測(201904起'!$P:$P,"*"&amp;$A16&amp;"*",'來案暨出貨明細表-基因檢測(201904起'!$B:$B,Y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Y$1,'來案暨出貨明細表-基因檢測(201904起'!$R:$R,"中英")+COUNTIFS('來案暨出貨明細表-基因檢測(201904起'!$P:$P,$A2&amp;"*",'來案暨出貨明細表-基因檢測(201904起'!$P:$P,"*"&amp;$A17&amp;"*",'來案暨出貨明細表-基因檢測(201904起'!$B:$B,Y$1)*$B17+COUNTIFS('來案暨出貨明細表-基因檢測(201904起'!$P:$P,$A2&amp;"*",'來案暨出貨明細表-基因檢測(201904起'!$P:$P,"*"&amp;$A17&amp;"*",'來案暨出貨明細表-基因檢測(201904起'!$B:$B,Y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Y$1,'來案暨出貨明細表-基因檢測(201904起'!$R:$R,"中英")+COUNTIFS('來案暨出貨明細表-基因檢測(201904起'!$P:$P,$A2&amp;"*",'來案暨出貨明細表-基因檢測(201904起'!$P:$P,"*"&amp;$A18&amp;"*",'來案暨出貨明細表-基因檢測(201904起'!$B:$B,Y$1)*$B18+COUNTIFS('來案暨出貨明細表-基因檢測(201904起'!$P:$P,$A2&amp;"*",'來案暨出貨明細表-基因檢測(201904起'!$P:$P,"*"&amp;$A18&amp;"*",'來案暨出貨明細表-基因檢測(201904起'!$B:$B,Y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Y$1,'來案暨出貨明細表-基因檢測(201904起'!$R:$R,"中英")+COUNTIFS('來案暨出貨明細表-基因檢測(201904起'!$P:$P,$A2&amp;"*",'來案暨出貨明細表-基因檢測(201904起'!$P:$P,"*"&amp;$A19&amp;"*",'來案暨出貨明細表-基因檢測(201904起'!$B:$B,Y$1)*$B19+COUNTIFS('來案暨出貨明細表-基因檢測(201904起'!$P:$P,$A2&amp;"*",'來案暨出貨明細表-基因檢測(201904起'!$P:$P,"*"&amp;$A19&amp;"*",'來案暨出貨明細表-基因檢測(201904起'!$B:$B,Y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Y$1,'來案暨出貨明細表-基因檢測(201904起'!$R:$R,"中英")+COUNTIFS('來案暨出貨明細表-基因檢測(201904起'!$P:$P,$A2&amp;"*",'來案暨出貨明細表-基因檢測(201904起'!$P:$P,"*"&amp;$A20&amp;"*",'來案暨出貨明細表-基因檢測(201904起'!$B:$B,Y$1)*$B20+COUNTIFS('來案暨出貨明細表-基因檢測(201904起'!$P:$P,$A2&amp;"*",'來案暨出貨明細表-基因檢測(201904起'!$P:$P,"*"&amp;$A20&amp;"*",'來案暨出貨明細表-基因檢測(201904起'!$B:$B,Y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Y$1,'來案暨出貨明細表-基因檢測(201904起'!$R:$R,"中英"))</f>
        <v>0</v>
      </c>
      <c r="Z2" s="33">
        <f>COUNTIFS('來案暨出貨明細表-基因檢測(201904起'!$P:$P,$A2&amp;"*",'來案暨出貨明細表-基因檢測(201904起'!$B:$B,Z$1)*$B2+COUNTIFS('來案暨出貨明細表-基因檢測(201904起'!$P:$P,$A2&amp;"*",'來案暨出貨明細表-基因檢測(201904起'!$B:$B,Z$1,'來案暨出貨明細表-基因檢測(201904起'!$Q:$Q,"紙本&amp;電子")+COUNTIFS('來案暨出貨明細表-基因檢測(201904起'!$P:$P,$A2&amp;"*",'來案暨出貨明細表-基因檢測(201904起'!$B:$B,Z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Z$1)*$B15+COUNTIFS('來案暨出貨明細表-基因檢測(201904起'!$P:$P,$A2&amp;"*",'來案暨出貨明細表-基因檢測(201904起'!$P:$P,"*"&amp;$A15&amp;"*",'來案暨出貨明細表-基因檢測(201904起'!$B:$B,Z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Z$1,'來案暨出貨明細表-基因檢測(201904起'!$R:$R,"中英")+COUNTIFS('來案暨出貨明細表-基因檢測(201904起'!$P:$P,$A2&amp;"*",'來案暨出貨明細表-基因檢測(201904起'!$P:$P,"*"&amp;$A16&amp;"*",'來案暨出貨明細表-基因檢測(201904起'!$B:$B,Z$1)*$B16+COUNTIFS('來案暨出貨明細表-基因檢測(201904起'!$P:$P,$A2&amp;"*",'來案暨出貨明細表-基因檢測(201904起'!$P:$P,"*"&amp;$A16&amp;"*",'來案暨出貨明細表-基因檢測(201904起'!$B:$B,Z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Z$1,'來案暨出貨明細表-基因檢測(201904起'!$R:$R,"中英")+COUNTIFS('來案暨出貨明細表-基因檢測(201904起'!$P:$P,$A2&amp;"*",'來案暨出貨明細表-基因檢測(201904起'!$P:$P,"*"&amp;$A17&amp;"*",'來案暨出貨明細表-基因檢測(201904起'!$B:$B,Z$1)*$B17+COUNTIFS('來案暨出貨明細表-基因檢測(201904起'!$P:$P,$A2&amp;"*",'來案暨出貨明細表-基因檢測(201904起'!$P:$P,"*"&amp;$A17&amp;"*",'來案暨出貨明細表-基因檢測(201904起'!$B:$B,Z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Z$1,'來案暨出貨明細表-基因檢測(201904起'!$R:$R,"中英")+COUNTIFS('來案暨出貨明細表-基因檢測(201904起'!$P:$P,$A2&amp;"*",'來案暨出貨明細表-基因檢測(201904起'!$P:$P,"*"&amp;$A18&amp;"*",'來案暨出貨明細表-基因檢測(201904起'!$B:$B,Z$1)*$B18+COUNTIFS('來案暨出貨明細表-基因檢測(201904起'!$P:$P,$A2&amp;"*",'來案暨出貨明細表-基因檢測(201904起'!$P:$P,"*"&amp;$A18&amp;"*",'來案暨出貨明細表-基因檢測(201904起'!$B:$B,Z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Z$1,'來案暨出貨明細表-基因檢測(201904起'!$R:$R,"中英")+COUNTIFS('來案暨出貨明細表-基因檢測(201904起'!$P:$P,$A2&amp;"*",'來案暨出貨明細表-基因檢測(201904起'!$P:$P,"*"&amp;$A19&amp;"*",'來案暨出貨明細表-基因檢測(201904起'!$B:$B,Z$1)*$B19+COUNTIFS('來案暨出貨明細表-基因檢測(201904起'!$P:$P,$A2&amp;"*",'來案暨出貨明細表-基因檢測(201904起'!$P:$P,"*"&amp;$A19&amp;"*",'來案暨出貨明細表-基因檢測(201904起'!$B:$B,Z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Z$1,'來案暨出貨明細表-基因檢測(201904起'!$R:$R,"中英")+COUNTIFS('來案暨出貨明細表-基因檢測(201904起'!$P:$P,$A2&amp;"*",'來案暨出貨明細表-基因檢測(201904起'!$P:$P,"*"&amp;$A20&amp;"*",'來案暨出貨明細表-基因檢測(201904起'!$B:$B,Z$1)*$B20+COUNTIFS('來案暨出貨明細表-基因檢測(201904起'!$P:$P,$A2&amp;"*",'來案暨出貨明細表-基因檢測(201904起'!$P:$P,"*"&amp;$A20&amp;"*",'來案暨出貨明細表-基因檢測(201904起'!$B:$B,Z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Z$1,'來案暨出貨明細表-基因檢測(201904起'!$R:$R,"中英"))</f>
        <v>0</v>
      </c>
      <c r="AA2" s="33">
        <f>COUNTIFS('來案暨出貨明細表-基因檢測(201904起'!$P:$P,$A2&amp;"*",'來案暨出貨明細表-基因檢測(201904起'!$B:$B,AA$1)*$B2+COUNTIFS('來案暨出貨明細表-基因檢測(201904起'!$P:$P,$A2&amp;"*",'來案暨出貨明細表-基因檢測(201904起'!$B:$B,AA$1,'來案暨出貨明細表-基因檢測(201904起'!$Q:$Q,"紙本&amp;電子")+COUNTIFS('來案暨出貨明細表-基因檢測(201904起'!$P:$P,$A2&amp;"*",'來案暨出貨明細表-基因檢測(201904起'!$B:$B,AA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A$1)*$B15+COUNTIFS('來案暨出貨明細表-基因檢測(201904起'!$P:$P,$A2&amp;"*",'來案暨出貨明細表-基因檢測(201904起'!$P:$P,"*"&amp;$A15&amp;"*",'來案暨出貨明細表-基因檢測(201904起'!$B:$B,AA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A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A$1)*$B16+COUNTIFS('來案暨出貨明細表-基因檢測(201904起'!$P:$P,$A2&amp;"*",'來案暨出貨明細表-基因檢測(201904起'!$P:$P,"*"&amp;$A16&amp;"*",'來案暨出貨明細表-基因檢測(201904起'!$B:$B,AA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A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A$1)*$B17+COUNTIFS('來案暨出貨明細表-基因檢測(201904起'!$P:$P,$A2&amp;"*",'來案暨出貨明細表-基因檢測(201904起'!$P:$P,"*"&amp;$A17&amp;"*",'來案暨出貨明細表-基因檢測(201904起'!$B:$B,AA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A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A$1)*$B18+COUNTIFS('來案暨出貨明細表-基因檢測(201904起'!$P:$P,$A2&amp;"*",'來案暨出貨明細表-基因檢測(201904起'!$P:$P,"*"&amp;$A18&amp;"*",'來案暨出貨明細表-基因檢測(201904起'!$B:$B,AA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A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A$1)*$B19+COUNTIFS('來案暨出貨明細表-基因檢測(201904起'!$P:$P,$A2&amp;"*",'來案暨出貨明細表-基因檢測(201904起'!$P:$P,"*"&amp;$A19&amp;"*",'來案暨出貨明細表-基因檢測(201904起'!$B:$B,AA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A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A$1)*$B20+COUNTIFS('來案暨出貨明細表-基因檢測(201904起'!$P:$P,$A2&amp;"*",'來案暨出貨明細表-基因檢測(201904起'!$P:$P,"*"&amp;$A20&amp;"*",'來案暨出貨明細表-基因檢測(201904起'!$B:$B,AA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A$1,'來案暨出貨明細表-基因檢測(201904起'!$R:$R,"中英"))</f>
        <v>8</v>
      </c>
      <c r="AB2" s="33">
        <f>COUNTIFS('來案暨出貨明細表-基因檢測(201904起'!$P:$P,$A2&amp;"*",'來案暨出貨明細表-基因檢測(201904起'!$B:$B,AB$1)*$B2+COUNTIFS('來案暨出貨明細表-基因檢測(201904起'!$P:$P,$A2&amp;"*",'來案暨出貨明細表-基因檢測(201904起'!$B:$B,AB$1,'來案暨出貨明細表-基因檢測(201904起'!$Q:$Q,"紙本&amp;電子")+COUNTIFS('來案暨出貨明細表-基因檢測(201904起'!$P:$P,$A2&amp;"*",'來案暨出貨明細表-基因檢測(201904起'!$B:$B,AB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B$1)*$B15+COUNTIFS('來案暨出貨明細表-基因檢測(201904起'!$P:$P,$A2&amp;"*",'來案暨出貨明細表-基因檢測(201904起'!$P:$P,"*"&amp;$A15&amp;"*",'來案暨出貨明細表-基因檢測(201904起'!$B:$B,AB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B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B$1)*$B16+COUNTIFS('來案暨出貨明細表-基因檢測(201904起'!$P:$P,$A2&amp;"*",'來案暨出貨明細表-基因檢測(201904起'!$P:$P,"*"&amp;$A16&amp;"*",'來案暨出貨明細表-基因檢測(201904起'!$B:$B,AB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B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B$1)*$B17+COUNTIFS('來案暨出貨明細表-基因檢測(201904起'!$P:$P,$A2&amp;"*",'來案暨出貨明細表-基因檢測(201904起'!$P:$P,"*"&amp;$A17&amp;"*",'來案暨出貨明細表-基因檢測(201904起'!$B:$B,AB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B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B$1)*$B18+COUNTIFS('來案暨出貨明細表-基因檢測(201904起'!$P:$P,$A2&amp;"*",'來案暨出貨明細表-基因檢測(201904起'!$P:$P,"*"&amp;$A18&amp;"*",'來案暨出貨明細表-基因檢測(201904起'!$B:$B,AB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B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B$1)*$B19+COUNTIFS('來案暨出貨明細表-基因檢測(201904起'!$P:$P,$A2&amp;"*",'來案暨出貨明細表-基因檢測(201904起'!$P:$P,"*"&amp;$A19&amp;"*",'來案暨出貨明細表-基因檢測(201904起'!$B:$B,AB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B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B$1)*$B20+COUNTIFS('來案暨出貨明細表-基因檢測(201904起'!$P:$P,$A2&amp;"*",'來案暨出貨明細表-基因檢測(201904起'!$P:$P,"*"&amp;$A20&amp;"*",'來案暨出貨明細表-基因檢測(201904起'!$B:$B,AB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B$1,'來案暨出貨明細表-基因檢測(201904起'!$R:$R,"中英"))</f>
        <v>2</v>
      </c>
      <c r="AC2" s="33">
        <f>COUNTIFS('來案暨出貨明細表-基因檢測(201904起'!$P:$P,$A2&amp;"*",'來案暨出貨明細表-基因檢測(201904起'!$B:$B,AC$1)*$B2+COUNTIFS('來案暨出貨明細表-基因檢測(201904起'!$P:$P,$A2&amp;"*",'來案暨出貨明細表-基因檢測(201904起'!$B:$B,AC$1,'來案暨出貨明細表-基因檢測(201904起'!$Q:$Q,"紙本&amp;電子")+COUNTIFS('來案暨出貨明細表-基因檢測(201904起'!$P:$P,$A2&amp;"*",'來案暨出貨明細表-基因檢測(201904起'!$B:$B,AC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C$1)*$B15+COUNTIFS('來案暨出貨明細表-基因檢測(201904起'!$P:$P,$A2&amp;"*",'來案暨出貨明細表-基因檢測(201904起'!$P:$P,"*"&amp;$A15&amp;"*",'來案暨出貨明細表-基因檢測(201904起'!$B:$B,AC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C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C$1)*$B16+COUNTIFS('來案暨出貨明細表-基因檢測(201904起'!$P:$P,$A2&amp;"*",'來案暨出貨明細表-基因檢測(201904起'!$P:$P,"*"&amp;$A16&amp;"*",'來案暨出貨明細表-基因檢測(201904起'!$B:$B,AC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C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C$1)*$B17+COUNTIFS('來案暨出貨明細表-基因檢測(201904起'!$P:$P,$A2&amp;"*",'來案暨出貨明細表-基因檢測(201904起'!$P:$P,"*"&amp;$A17&amp;"*",'來案暨出貨明細表-基因檢測(201904起'!$B:$B,AC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C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C$1)*$B18+COUNTIFS('來案暨出貨明細表-基因檢測(201904起'!$P:$P,$A2&amp;"*",'來案暨出貨明細表-基因檢測(201904起'!$P:$P,"*"&amp;$A18&amp;"*",'來案暨出貨明細表-基因檢測(201904起'!$B:$B,AC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C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C$1)*$B19+COUNTIFS('來案暨出貨明細表-基因檢測(201904起'!$P:$P,$A2&amp;"*",'來案暨出貨明細表-基因檢測(201904起'!$P:$P,"*"&amp;$A19&amp;"*",'來案暨出貨明細表-基因檢測(201904起'!$B:$B,AC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C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C$1)*$B20+COUNTIFS('來案暨出貨明細表-基因檢測(201904起'!$P:$P,$A2&amp;"*",'來案暨出貨明細表-基因檢測(201904起'!$P:$P,"*"&amp;$A20&amp;"*",'來案暨出貨明細表-基因檢測(201904起'!$B:$B,AC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C$1,'來案暨出貨明細表-基因檢測(201904起'!$R:$R,"中英"))</f>
        <v>7</v>
      </c>
      <c r="AD2" s="33">
        <f>COUNTIFS('來案暨出貨明細表-基因檢測(201904起'!$P:$P,$A2&amp;"*",'來案暨出貨明細表-基因檢測(201904起'!$B:$B,AD$1)*$B2+COUNTIFS('來案暨出貨明細表-基因檢測(201904起'!$P:$P,$A2&amp;"*",'來案暨出貨明細表-基因檢測(201904起'!$B:$B,AD$1,'來案暨出貨明細表-基因檢測(201904起'!$Q:$Q,"紙本&amp;電子")+COUNTIFS('來案暨出貨明細表-基因檢測(201904起'!$P:$P,$A2&amp;"*",'來案暨出貨明細表-基因檢測(201904起'!$B:$B,AD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D$1)*$B15+COUNTIFS('來案暨出貨明細表-基因檢測(201904起'!$P:$P,$A2&amp;"*",'來案暨出貨明細表-基因檢測(201904起'!$P:$P,"*"&amp;$A15&amp;"*",'來案暨出貨明細表-基因檢測(201904起'!$B:$B,AD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D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D$1)*$B16+COUNTIFS('來案暨出貨明細表-基因檢測(201904起'!$P:$P,$A2&amp;"*",'來案暨出貨明細表-基因檢測(201904起'!$P:$P,"*"&amp;$A16&amp;"*",'來案暨出貨明細表-基因檢測(201904起'!$B:$B,AD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D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D$1)*$B17+COUNTIFS('來案暨出貨明細表-基因檢測(201904起'!$P:$P,$A2&amp;"*",'來案暨出貨明細表-基因檢測(201904起'!$P:$P,"*"&amp;$A17&amp;"*",'來案暨出貨明細表-基因檢測(201904起'!$B:$B,AD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D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D$1)*$B18+COUNTIFS('來案暨出貨明細表-基因檢測(201904起'!$P:$P,$A2&amp;"*",'來案暨出貨明細表-基因檢測(201904起'!$P:$P,"*"&amp;$A18&amp;"*",'來案暨出貨明細表-基因檢測(201904起'!$B:$B,AD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D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D$1)*$B19+COUNTIFS('來案暨出貨明細表-基因檢測(201904起'!$P:$P,$A2&amp;"*",'來案暨出貨明細表-基因檢測(201904起'!$P:$P,"*"&amp;$A19&amp;"*",'來案暨出貨明細表-基因檢測(201904起'!$B:$B,AD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D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D$1)*$B20+COUNTIFS('來案暨出貨明細表-基因檢測(201904起'!$P:$P,$A2&amp;"*",'來案暨出貨明細表-基因檢測(201904起'!$P:$P,"*"&amp;$A20&amp;"*",'來案暨出貨明細表-基因檢測(201904起'!$B:$B,AD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D$1,'來案暨出貨明細表-基因檢測(201904起'!$R:$R,"中英"))</f>
        <v>0</v>
      </c>
      <c r="AE2" s="33">
        <f>COUNTIFS('來案暨出貨明細表-基因檢測(201904起'!$P:$P,$A2&amp;"*",'來案暨出貨明細表-基因檢測(201904起'!$B:$B,AE$1)*$B2+COUNTIFS('來案暨出貨明細表-基因檢測(201904起'!$P:$P,$A2&amp;"*",'來案暨出貨明細表-基因檢測(201904起'!$B:$B,AE$1,'來案暨出貨明細表-基因檢測(201904起'!$Q:$Q,"紙本&amp;電子")+COUNTIFS('來案暨出貨明細表-基因檢測(201904起'!$P:$P,$A2&amp;"*",'來案暨出貨明細表-基因檢測(201904起'!$B:$B,AE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E$1)*$B15+COUNTIFS('來案暨出貨明細表-基因檢測(201904起'!$P:$P,$A2&amp;"*",'來案暨出貨明細表-基因檢測(201904起'!$P:$P,"*"&amp;$A15&amp;"*",'來案暨出貨明細表-基因檢測(201904起'!$B:$B,AE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E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E$1)*$B16+COUNTIFS('來案暨出貨明細表-基因檢測(201904起'!$P:$P,$A2&amp;"*",'來案暨出貨明細表-基因檢測(201904起'!$P:$P,"*"&amp;$A16&amp;"*",'來案暨出貨明細表-基因檢測(201904起'!$B:$B,AE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E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E$1)*$B17+COUNTIFS('來案暨出貨明細表-基因檢測(201904起'!$P:$P,$A2&amp;"*",'來案暨出貨明細表-基因檢測(201904起'!$P:$P,"*"&amp;$A17&amp;"*",'來案暨出貨明細表-基因檢測(201904起'!$B:$B,AE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E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E$1)*$B18+COUNTIFS('來案暨出貨明細表-基因檢測(201904起'!$P:$P,$A2&amp;"*",'來案暨出貨明細表-基因檢測(201904起'!$P:$P,"*"&amp;$A18&amp;"*",'來案暨出貨明細表-基因檢測(201904起'!$B:$B,AE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E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E$1)*$B19+COUNTIFS('來案暨出貨明細表-基因檢測(201904起'!$P:$P,$A2&amp;"*",'來案暨出貨明細表-基因檢測(201904起'!$P:$P,"*"&amp;$A19&amp;"*",'來案暨出貨明細表-基因檢測(201904起'!$B:$B,AE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E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E$1)*$B20+COUNTIFS('來案暨出貨明細表-基因檢測(201904起'!$P:$P,$A2&amp;"*",'來案暨出貨明細表-基因檢測(201904起'!$P:$P,"*"&amp;$A20&amp;"*",'來案暨出貨明細表-基因檢測(201904起'!$B:$B,AE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E$1,'來案暨出貨明細表-基因檢測(201904起'!$R:$R,"中英"))</f>
        <v>0</v>
      </c>
      <c r="AF2" s="33">
        <f>COUNTIFS('來案暨出貨明細表-基因檢測(201904起'!$P:$P,$A2&amp;"*",'來案暨出貨明細表-基因檢測(201904起'!$B:$B,AF$1)*$B2+COUNTIFS('來案暨出貨明細表-基因檢測(201904起'!$P:$P,$A2&amp;"*",'來案暨出貨明細表-基因檢測(201904起'!$B:$B,AF$1,'來案暨出貨明細表-基因檢測(201904起'!$Q:$Q,"紙本&amp;電子")+COUNTIFS('來案暨出貨明細表-基因檢測(201904起'!$P:$P,$A2&amp;"*",'來案暨出貨明細表-基因檢測(201904起'!$B:$B,AF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F$1)*$B15+COUNTIFS('來案暨出貨明細表-基因檢測(201904起'!$P:$P,$A2&amp;"*",'來案暨出貨明細表-基因檢測(201904起'!$P:$P,"*"&amp;$A15&amp;"*",'來案暨出貨明細表-基因檢測(201904起'!$B:$B,AF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F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F$1)*$B16+COUNTIFS('來案暨出貨明細表-基因檢測(201904起'!$P:$P,$A2&amp;"*",'來案暨出貨明細表-基因檢測(201904起'!$P:$P,"*"&amp;$A16&amp;"*",'來案暨出貨明細表-基因檢測(201904起'!$B:$B,AF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F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F$1)*$B17+COUNTIFS('來案暨出貨明細表-基因檢測(201904起'!$P:$P,$A2&amp;"*",'來案暨出貨明細表-基因檢測(201904起'!$P:$P,"*"&amp;$A17&amp;"*",'來案暨出貨明細表-基因檢測(201904起'!$B:$B,AF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F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F$1)*$B18+COUNTIFS('來案暨出貨明細表-基因檢測(201904起'!$P:$P,$A2&amp;"*",'來案暨出貨明細表-基因檢測(201904起'!$P:$P,"*"&amp;$A18&amp;"*",'來案暨出貨明細表-基因檢測(201904起'!$B:$B,AF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F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F$1)*$B19+COUNTIFS('來案暨出貨明細表-基因檢測(201904起'!$P:$P,$A2&amp;"*",'來案暨出貨明細表-基因檢測(201904起'!$P:$P,"*"&amp;$A19&amp;"*",'來案暨出貨明細表-基因檢測(201904起'!$B:$B,AF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F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F$1)*$B20+COUNTIFS('來案暨出貨明細表-基因檢測(201904起'!$P:$P,$A2&amp;"*",'來案暨出貨明細表-基因檢測(201904起'!$P:$P,"*"&amp;$A20&amp;"*",'來案暨出貨明細表-基因檢測(201904起'!$B:$B,AF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F$1,'來案暨出貨明細表-基因檢測(201904起'!$R:$R,"中英"))</f>
        <v>1</v>
      </c>
      <c r="AG2" s="33">
        <f>COUNTIFS('來案暨出貨明細表-基因檢測(201904起'!$P:$P,$A2&amp;"*",'來案暨出貨明細表-基因檢測(201904起'!$B:$B,AG$1)*$B2+COUNTIFS('來案暨出貨明細表-基因檢測(201904起'!$P:$P,$A2&amp;"*",'來案暨出貨明細表-基因檢測(201904起'!$B:$B,AG$1,'來案暨出貨明細表-基因檢測(201904起'!$Q:$Q,"紙本&amp;電子")+COUNTIFS('來案暨出貨明細表-基因檢測(201904起'!$P:$P,$A2&amp;"*",'來案暨出貨明細表-基因檢測(201904起'!$B:$B,AG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G$1)*$B15+COUNTIFS('來案暨出貨明細表-基因檢測(201904起'!$P:$P,$A2&amp;"*",'來案暨出貨明細表-基因檢測(201904起'!$P:$P,"*"&amp;$A15&amp;"*",'來案暨出貨明細表-基因檢測(201904起'!$B:$B,AG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G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G$1)*$B16+COUNTIFS('來案暨出貨明細表-基因檢測(201904起'!$P:$P,$A2&amp;"*",'來案暨出貨明細表-基因檢測(201904起'!$P:$P,"*"&amp;$A16&amp;"*",'來案暨出貨明細表-基因檢測(201904起'!$B:$B,AG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G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G$1)*$B17+COUNTIFS('來案暨出貨明細表-基因檢測(201904起'!$P:$P,$A2&amp;"*",'來案暨出貨明細表-基因檢測(201904起'!$P:$P,"*"&amp;$A17&amp;"*",'來案暨出貨明細表-基因檢測(201904起'!$B:$B,AG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G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G$1)*$B18+COUNTIFS('來案暨出貨明細表-基因檢測(201904起'!$P:$P,$A2&amp;"*",'來案暨出貨明細表-基因檢測(201904起'!$P:$P,"*"&amp;$A18&amp;"*",'來案暨出貨明細表-基因檢測(201904起'!$B:$B,AG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G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G$1)*$B19+COUNTIFS('來案暨出貨明細表-基因檢測(201904起'!$P:$P,$A2&amp;"*",'來案暨出貨明細表-基因檢測(201904起'!$P:$P,"*"&amp;$A19&amp;"*",'來案暨出貨明細表-基因檢測(201904起'!$B:$B,AG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G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G$1)*$B20+COUNTIFS('來案暨出貨明細表-基因檢測(201904起'!$P:$P,$A2&amp;"*",'來案暨出貨明細表-基因檢測(201904起'!$P:$P,"*"&amp;$A20&amp;"*",'來案暨出貨明細表-基因檢測(201904起'!$B:$B,AG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G$1,'來案暨出貨明細表-基因檢測(201904起'!$R:$R,"中英"))</f>
        <v>2</v>
      </c>
      <c r="AH2" s="33">
        <f>COUNTIFS('來案暨出貨明細表-基因檢測(201904起'!$P:$P,$A2&amp;"*",'來案暨出貨明細表-基因檢測(201904起'!$B:$B,AH$1)*$B2+COUNTIFS('來案暨出貨明細表-基因檢測(201904起'!$P:$P,$A2&amp;"*",'來案暨出貨明細表-基因檢測(201904起'!$B:$B,AH$1,'來案暨出貨明細表-基因檢測(201904起'!$Q:$Q,"紙本&amp;電子")+COUNTIFS('來案暨出貨明細表-基因檢測(201904起'!$P:$P,$A2&amp;"*",'來案暨出貨明細表-基因檢測(201904起'!$B:$B,AH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H$1)*$B15+COUNTIFS('來案暨出貨明細表-基因檢測(201904起'!$P:$P,$A2&amp;"*",'來案暨出貨明細表-基因檢測(201904起'!$P:$P,"*"&amp;$A15&amp;"*",'來案暨出貨明細表-基因檢測(201904起'!$B:$B,AH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H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H$1)*$B16+COUNTIFS('來案暨出貨明細表-基因檢測(201904起'!$P:$P,$A2&amp;"*",'來案暨出貨明細表-基因檢測(201904起'!$P:$P,"*"&amp;$A16&amp;"*",'來案暨出貨明細表-基因檢測(201904起'!$B:$B,AH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H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H$1)*$B17+COUNTIFS('來案暨出貨明細表-基因檢測(201904起'!$P:$P,$A2&amp;"*",'來案暨出貨明細表-基因檢測(201904起'!$P:$P,"*"&amp;$A17&amp;"*",'來案暨出貨明細表-基因檢測(201904起'!$B:$B,AH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H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H$1)*$B18+COUNTIFS('來案暨出貨明細表-基因檢測(201904起'!$P:$P,$A2&amp;"*",'來案暨出貨明細表-基因檢測(201904起'!$P:$P,"*"&amp;$A18&amp;"*",'來案暨出貨明細表-基因檢測(201904起'!$B:$B,AH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H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H$1)*$B19+COUNTIFS('來案暨出貨明細表-基因檢測(201904起'!$P:$P,$A2&amp;"*",'來案暨出貨明細表-基因檢測(201904起'!$P:$P,"*"&amp;$A19&amp;"*",'來案暨出貨明細表-基因檢測(201904起'!$B:$B,AH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H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H$1)*$B20+COUNTIFS('來案暨出貨明細表-基因檢測(201904起'!$P:$P,$A2&amp;"*",'來案暨出貨明細表-基因檢測(201904起'!$P:$P,"*"&amp;$A20&amp;"*",'來案暨出貨明細表-基因檢測(201904起'!$B:$B,AH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H$1,'來案暨出貨明細表-基因檢測(201904起'!$R:$R,"中英"))</f>
        <v>0</v>
      </c>
      <c r="AI2" s="33">
        <f>COUNTIFS('來案暨出貨明細表-基因檢測(201904起'!$P:$P,$A2&amp;"*",'來案暨出貨明細表-基因檢測(201904起'!$B:$B,AI$1)*$B2+COUNTIFS('來案暨出貨明細表-基因檢測(201904起'!$P:$P,$A2&amp;"*",'來案暨出貨明細表-基因檢測(201904起'!$B:$B,AI$1,'來案暨出貨明細表-基因檢測(201904起'!$Q:$Q,"紙本&amp;電子")+COUNTIFS('來案暨出貨明細表-基因檢測(201904起'!$P:$P,$A2&amp;"*",'來案暨出貨明細表-基因檢測(201904起'!$B:$B,AI$1,'來案暨出貨明細表-基因檢測(201904起'!$R:$R,"中英")-(COUNTIFS('來案暨出貨明細表-基因檢測(201904起'!$P:$P,$A2&amp;"*",'來案暨出貨明細表-基因檢測(201904起'!$P:$P,"*"&amp;$A15&amp;"*",'來案暨出貨明細表-基因檢測(201904起'!$B:$B,AI$1)*$B15+COUNTIFS('來案暨出貨明細表-基因檢測(201904起'!$P:$P,$A2&amp;"*",'來案暨出貨明細表-基因檢測(201904起'!$P:$P,"*"&amp;$A15&amp;"*",'來案暨出貨明細表-基因檢測(201904起'!$B:$B,AI$1,'來案暨出貨明細表-基因檢測(201904起'!$Q:$Q,"紙本&amp;電子")++COUNTIFS('來案暨出貨明細表-基因檢測(201904起'!$P:$P,$A2&amp;"*",'來案暨出貨明細表-基因檢測(201904起'!$P:$P,"*"&amp;$A15&amp;"*",'來案暨出貨明細表-基因檢測(201904起'!$B:$B,AI$1,'來案暨出貨明細表-基因檢測(201904起'!$R:$R,"中英")+COUNTIFS('來案暨出貨明細表-基因檢測(201904起'!$P:$P,$A2&amp;"*",'來案暨出貨明細表-基因檢測(201904起'!$P:$P,"*"&amp;$A16&amp;"*",'來案暨出貨明細表-基因檢測(201904起'!$B:$B,AI$1)*$B16+COUNTIFS('來案暨出貨明細表-基因檢測(201904起'!$P:$P,$A2&amp;"*",'來案暨出貨明細表-基因檢測(201904起'!$P:$P,"*"&amp;$A16&amp;"*",'來案暨出貨明細表-基因檢測(201904起'!$B:$B,AI$1,'來案暨出貨明細表-基因檢測(201904起'!$Q:$Q,"紙本&amp;電子")+COUNTIFS('來案暨出貨明細表-基因檢測(201904起'!$P:$P,$A2&amp;"*",'來案暨出貨明細表-基因檢測(201904起'!$P:$P,"*"&amp;$A16&amp;"*",'來案暨出貨明細表-基因檢測(201904起'!$B:$B,AI$1,'來案暨出貨明細表-基因檢測(201904起'!$R:$R,"中英")+COUNTIFS('來案暨出貨明細表-基因檢測(201904起'!$P:$P,$A2&amp;"*",'來案暨出貨明細表-基因檢測(201904起'!$P:$P,"*"&amp;$A17&amp;"*",'來案暨出貨明細表-基因檢測(201904起'!$B:$B,AI$1)*$B17+COUNTIFS('來案暨出貨明細表-基因檢測(201904起'!$P:$P,$A2&amp;"*",'來案暨出貨明細表-基因檢測(201904起'!$P:$P,"*"&amp;$A17&amp;"*",'來案暨出貨明細表-基因檢測(201904起'!$B:$B,AI$1,'來案暨出貨明細表-基因檢測(201904起'!$Q:$Q,"紙本&amp;電子")++COUNTIFS('來案暨出貨明細表-基因檢測(201904起'!$P:$P,$A2&amp;"*",'來案暨出貨明細表-基因檢測(201904起'!$P:$P,"*"&amp;$A17&amp;"*",'來案暨出貨明細表-基因檢測(201904起'!$B:$B,AI$1,'來案暨出貨明細表-基因檢測(201904起'!$R:$R,"中英")+COUNTIFS('來案暨出貨明細表-基因檢測(201904起'!$P:$P,$A2&amp;"*",'來案暨出貨明細表-基因檢測(201904起'!$P:$P,"*"&amp;$A18&amp;"*",'來案暨出貨明細表-基因檢測(201904起'!$B:$B,AI$1)*$B18+COUNTIFS('來案暨出貨明細表-基因檢測(201904起'!$P:$P,$A2&amp;"*",'來案暨出貨明細表-基因檢測(201904起'!$P:$P,"*"&amp;$A18&amp;"*",'來案暨出貨明細表-基因檢測(201904起'!$B:$B,AI$1,'來案暨出貨明細表-基因檢測(201904起'!$Q:$Q,"紙本&amp;電子")+COUNTIFS('來案暨出貨明細表-基因檢測(201904起'!$P:$P,$A2&amp;"*",'來案暨出貨明細表-基因檢測(201904起'!$P:$P,"*"&amp;$A18&amp;"*",'來案暨出貨明細表-基因檢測(201904起'!$B:$B,AI$1,'來案暨出貨明細表-基因檢測(201904起'!$R:$R,"中英")+COUNTIFS('來案暨出貨明細表-基因檢測(201904起'!$P:$P,$A2&amp;"*",'來案暨出貨明細表-基因檢測(201904起'!$P:$P,"*"&amp;$A19&amp;"*",'來案暨出貨明細表-基因檢測(201904起'!$B:$B,AI$1)*$B19+COUNTIFS('來案暨出貨明細表-基因檢測(201904起'!$P:$P,$A2&amp;"*",'來案暨出貨明細表-基因檢測(201904起'!$P:$P,"*"&amp;$A19&amp;"*",'來案暨出貨明細表-基因檢測(201904起'!$B:$B,AI$1,'來案暨出貨明細表-基因檢測(201904起'!$Q:$Q,"紙本&amp;電子")++COUNTIFS('來案暨出貨明細表-基因檢測(201904起'!$P:$P,$A2&amp;"*",'來案暨出貨明細表-基因檢測(201904起'!$P:$P,"*"&amp;$A19&amp;"*",'來案暨出貨明細表-基因檢測(201904起'!$B:$B,AI$1,'來案暨出貨明細表-基因檢測(201904起'!$R:$R,"中英")+COUNTIFS('來案暨出貨明細表-基因檢測(201904起'!$P:$P,$A2&amp;"*",'來案暨出貨明細表-基因檢測(201904起'!$P:$P,"*"&amp;$A20&amp;"*",'來案暨出貨明細表-基因檢測(201904起'!$B:$B,AI$1)*$B20+COUNTIFS('來案暨出貨明細表-基因檢測(201904起'!$P:$P,$A2&amp;"*",'來案暨出貨明細表-基因檢測(201904起'!$P:$P,"*"&amp;$A20&amp;"*",'來案暨出貨明細表-基因檢測(201904起'!$B:$B,AI$1,'來案暨出貨明細表-基因檢測(201904起'!$Q:$Q,"紙本&amp;電子")++COUNTIFS('來案暨出貨明細表-基因檢測(201904起'!$P:$P,$A2&amp;"*",'來案暨出貨明細表-基因檢測(201904起'!$P:$P,"*"&amp;$A20&amp;"*",'來案暨出貨明細表-基因檢測(201904起'!$B:$B,AI$1,'來案暨出貨明細表-基因檢測(201904起'!$R:$R,"中英"))</f>
        <v>0</v>
      </c>
      <c r="AJ2" s="33">
        <f>COUNTIFS('來案暨出貨明細表-基因檢測(201904起'!$P:$P,$A2&amp;"*",'來案暨出貨明細表-基因檢測(201904起'!$B:$B,AJ$1)*$B2+COUNTIFS('來案暨出貨明細表-基因檢測(201904起'!$P:$P,$A2&amp;"*",'來案暨出貨明細表-基因檢測(201904起'!$B:$B,AJ$1,'來案暨出貨明細表-基因檢測(201904起'!$Q:$Q,"紙本&amp;電子")++COUNTIFS('來案暨出貨明細表-基因檢測(201904起'!$P:$P,$A2&amp;"*",'來案暨出貨明細表-基因檢測(201904起'!$B:$B,AJ$1,'來案暨出貨明細表-基因檢測(201904起'!$R:$R,"中英")</f>
        <v>2</v>
      </c>
      <c r="AK2" s="33">
        <f>COUNTIFS('來案暨出貨明細表-基因檢測(201904起'!$P:$P,$A2&amp;"*",'來案暨出貨明細表-基因檢測(201904起'!$B:$B,AK$1)*$B2+COUNTIFS('來案暨出貨明細表-基因檢測(201904起'!$P:$P,$A2&amp;"*",'來案暨出貨明細表-基因檢測(201904起'!$B:$B,AK$1,'來案暨出貨明細表-基因檢測(201904起'!$Q:$Q,"紙本&amp;電子")++COUNTIFS('來案暨出貨明細表-基因檢測(201904起'!$P:$P,$A2&amp;"*",'來案暨出貨明細表-基因檢測(201904起'!$B:$B,AK$1,'來案暨出貨明細表-基因檢測(201904起'!$R:$R,"中英")</f>
        <v>0</v>
      </c>
      <c r="AL2" s="33">
        <f>COUNTIFS('來案暨出貨明細表-基因檢測(201904起'!$P:$P,$A2&amp;"*",'來案暨出貨明細表-基因檢測(201904起'!$B:$B,AL$1)*$B2+COUNTIFS('來案暨出貨明細表-基因檢測(201904起'!$P:$P,$A2&amp;"*",'來案暨出貨明細表-基因檢測(201904起'!$B:$B,AL$1,'來案暨出貨明細表-基因檢測(201904起'!$Q:$Q,"紙本&amp;電子")++COUNTIFS('來案暨出貨明細表-基因檢測(201904起'!$P:$P,$A2&amp;"*",'來案暨出貨明細表-基因檢測(201904起'!$B:$B,AL$1,'來案暨出貨明細表-基因檢測(201904起'!$R:$R,"中英")</f>
        <v>0</v>
      </c>
      <c r="AM2" s="33">
        <f>COUNTIFS('來案暨出貨明細表-基因檢測(201904起'!$P:$P,$A2&amp;"*",'來案暨出貨明細表-基因檢測(201904起'!$B:$B,AM$1)*$B2+COUNTIFS('來案暨出貨明細表-基因檢測(201904起'!$P:$P,$A2&amp;"*",'來案暨出貨明細表-基因檢測(201904起'!$B:$B,AM$1,'來案暨出貨明細表-基因檢測(201904起'!$Q:$Q,"紙本&amp;電子")++COUNTIFS('來案暨出貨明細表-基因檢測(201904起'!$P:$P,$A2&amp;"*",'來案暨出貨明細表-基因檢測(201904起'!$B:$B,AM$1,'來案暨出貨明細表-基因檢測(201904起'!$R:$R,"中英")</f>
        <v>0</v>
      </c>
      <c r="AN2" s="33">
        <f>COUNTIFS('來案暨出貨明細表-基因檢測(201904起'!$P:$P,$A2&amp;"*",'來案暨出貨明細表-基因檢測(201904起'!$B:$B,AN$1)*$B2+COUNTIFS('來案暨出貨明細表-基因檢測(201904起'!$P:$P,$A2&amp;"*",'來案暨出貨明細表-基因檢測(201904起'!$B:$B,AN$1,'來案暨出貨明細表-基因檢測(201904起'!$Q:$Q,"紙本&amp;電子")++COUNTIFS('來案暨出貨明細表-基因檢測(201904起'!$P:$P,$A2&amp;"*",'來案暨出貨明細表-基因檢測(201904起'!$B:$B,AN$1,'來案暨出貨明細表-基因檢測(201904起'!$R:$R,"中英")</f>
        <v>4</v>
      </c>
      <c r="AO2" s="33">
        <f>COUNTIFS('來案暨出貨明細表-基因檢測(201904起'!$P:$P,$A2&amp;"*",'來案暨出貨明細表-基因檢測(201904起'!$B:$B,AO$1)*$B2+COUNTIFS('來案暨出貨明細表-基因檢測(201904起'!$P:$P,$A2&amp;"*",'來案暨出貨明細表-基因檢測(201904起'!$B:$B,AO$1,'來案暨出貨明細表-基因檢測(201904起'!$Q:$Q,"紙本&amp;電子")++COUNTIFS('來案暨出貨明細表-基因檢測(201904起'!$P:$P,$A2&amp;"*",'來案暨出貨明細表-基因檢測(201904起'!$B:$B,AO$1,'來案暨出貨明細表-基因檢測(201904起'!$R:$R,"中英")</f>
        <v>1</v>
      </c>
      <c r="AP2" s="33">
        <f>COUNTIFS('來案暨出貨明細表-基因檢測(201904起'!$P:$P,$A2&amp;"*",'來案暨出貨明細表-基因檢測(201904起'!$B:$B,AP$1)*$B2+COUNTIFS('來案暨出貨明細表-基因檢測(201904起'!$P:$P,$A2&amp;"*",'來案暨出貨明細表-基因檢測(201904起'!$B:$B,AP$1,'來案暨出貨明細表-基因檢測(201904起'!$Q:$Q,"紙本&amp;電子")++COUNTIFS('來案暨出貨明細表-基因檢測(201904起'!$P:$P,$A2&amp;"*",'來案暨出貨明細表-基因檢測(201904起'!$B:$B,AP$1,'來案暨出貨明細表-基因檢測(201904起'!$R:$R,"中英")</f>
        <v>0</v>
      </c>
      <c r="AQ2" s="33">
        <f>COUNTIFS('來案暨出貨明細表-基因檢測(201904起'!$P:$P,$A2&amp;"*",'來案暨出貨明細表-基因檢測(201904起'!$B:$B,AQ$1)*$B2+COUNTIFS('來案暨出貨明細表-基因檢測(201904起'!$P:$P,$A2&amp;"*",'來案暨出貨明細表-基因檢測(201904起'!$B:$B,AQ$1,'來案暨出貨明細表-基因檢測(201904起'!$Q:$Q,"紙本&amp;電子")++COUNTIFS('來案暨出貨明細表-基因檢測(201904起'!$P:$P,$A2&amp;"*",'來案暨出貨明細表-基因檢測(201904起'!$B:$B,AQ$1,'來案暨出貨明細表-基因檢測(201904起'!$R:$R,"中英")</f>
        <v>11</v>
      </c>
      <c r="AR2" s="33">
        <f>COUNTIFS('來案暨出貨明細表-基因檢測(201904起'!$P:$P,$A2&amp;"*",'來案暨出貨明細表-基因檢測(201904起'!$B:$B,AR$1)*$B2+COUNTIFS('來案暨出貨明細表-基因檢測(201904起'!$P:$P,$A2&amp;"*",'來案暨出貨明細表-基因檢測(201904起'!$B:$B,AR$1,'來案暨出貨明細表-基因檢測(201904起'!$Q:$Q,"紙本&amp;電子")++COUNTIFS('來案暨出貨明細表-基因檢測(201904起'!$P:$P,$A2&amp;"*",'來案暨出貨明細表-基因檢測(201904起'!$B:$B,AR$1,'來案暨出貨明細表-基因檢測(201904起'!$R:$R,"中英")</f>
        <v>0</v>
      </c>
      <c r="AS2" s="33">
        <f>COUNTIFS('來案暨出貨明細表-基因檢測(201904起'!$P:$P,$A2&amp;"*",'來案暨出貨明細表-基因檢測(201904起'!$B:$B,AS$1)*$B2+COUNTIFS('來案暨出貨明細表-基因檢測(201904起'!$P:$P,$A2&amp;"*",'來案暨出貨明細表-基因檢測(201904起'!$B:$B,AS$1,'來案暨出貨明細表-基因檢測(201904起'!$Q:$Q,"紙本&amp;電子")++COUNTIFS('來案暨出貨明細表-基因檢測(201904起'!$P:$P,$A2&amp;"*",'來案暨出貨明細表-基因檢測(201904起'!$B:$B,AS$1,'來案暨出貨明細表-基因檢測(201904起'!$R:$R,"中英")</f>
        <v>0</v>
      </c>
      <c r="AT2" s="33">
        <f>COUNTIFS('來案暨出貨明細表-基因檢測(201904起'!$P:$P,$A2&amp;"*",'來案暨出貨明細表-基因檢測(201904起'!$B:$B,AT$1)*$B2+COUNTIFS('來案暨出貨明細表-基因檢測(201904起'!$P:$P,$A2&amp;"*",'來案暨出貨明細表-基因檢測(201904起'!$B:$B,AT$1,'來案暨出貨明細表-基因檢測(201904起'!$Q:$Q,"紙本&amp;電子")++COUNTIFS('來案暨出貨明細表-基因檢測(201904起'!$P:$P,$A2&amp;"*",'來案暨出貨明細表-基因檢測(201904起'!$B:$B,AT$1,'來案暨出貨明細表-基因檢測(201904起'!$R:$R,"中英")</f>
        <v>6</v>
      </c>
      <c r="AU2" s="33">
        <f>COUNTIFS('來案暨出貨明細表-基因檢測(201904起'!$P:$P,$A2&amp;"*",'來案暨出貨明細表-基因檢測(201904起'!$B:$B,AU$1)*$B2+COUNTIFS('來案暨出貨明細表-基因檢測(201904起'!$P:$P,$A2&amp;"*",'來案暨出貨明細表-基因檢測(201904起'!$B:$B,AU$1,'來案暨出貨明細表-基因檢測(201904起'!$Q:$Q,"紙本&amp;電子")++COUNTIFS('來案暨出貨明細表-基因檢測(201904起'!$P:$P,$A2&amp;"*",'來案暨出貨明細表-基因檢測(201904起'!$B:$B,AU$1,'來案暨出貨明細表-基因檢測(201904起'!$R:$R,"中英")</f>
        <v>0</v>
      </c>
      <c r="AV2" s="33">
        <f>COUNTIFS('來案暨出貨明細表-基因檢測(201904起'!$P:$P,$A2&amp;"*",'來案暨出貨明細表-基因檢測(201904起'!$B:$B,AV$1)*$B2+COUNTIFS('來案暨出貨明細表-基因檢測(201904起'!$P:$P,$A2&amp;"*",'來案暨出貨明細表-基因檢測(201904起'!$B:$B,AV$1,'來案暨出貨明細表-基因檢測(201904起'!$Q:$Q,"紙本&amp;電子")++COUNTIFS('來案暨出貨明細表-基因檢測(201904起'!$P:$P,$A2&amp;"*",'來案暨出貨明細表-基因檢測(201904起'!$B:$B,AV$1,'來案暨出貨明細表-基因檢測(201904起'!$R:$R,"中英")</f>
        <v>4</v>
      </c>
      <c r="AW2" s="33">
        <f>COUNTIFS('來案暨出貨明細表-基因檢測(201904起'!$P:$P,$A2&amp;"*",'來案暨出貨明細表-基因檢測(201904起'!$B:$B,AW$1)*$B2+COUNTIFS('來案暨出貨明細表-基因檢測(201904起'!$P:$P,$A2&amp;"*",'來案暨出貨明細表-基因檢測(201904起'!$B:$B,AW$1,'來案暨出貨明細表-基因檢測(201904起'!$Q:$Q,"紙本&amp;電子")++COUNTIFS('來案暨出貨明細表-基因檢測(201904起'!$P:$P,$A2&amp;"*",'來案暨出貨明細表-基因檢測(201904起'!$B:$B,AW$1,'來案暨出貨明細表-基因檢測(201904起'!$R:$R,"中英")</f>
        <v>0</v>
      </c>
      <c r="AX2" s="33">
        <f>COUNTIFS('來案暨出貨明細表-基因檢測(201904起'!$P:$P,$A2&amp;"*",'來案暨出貨明細表-基因檢測(201904起'!$B:$B,AX$1)*$B2+COUNTIFS('來案暨出貨明細表-基因檢測(201904起'!$P:$P,$A2&amp;"*",'來案暨出貨明細表-基因檢測(201904起'!$B:$B,AX$1,'來案暨出貨明細表-基因檢測(201904起'!$Q:$Q,"紙本&amp;電子")++COUNTIFS('來案暨出貨明細表-基因檢測(201904起'!$P:$P,$A2&amp;"*",'來案暨出貨明細表-基因檢測(201904起'!$B:$B,AX$1,'來案暨出貨明細表-基因檢測(201904起'!$R:$R,"中英")</f>
        <v>5</v>
      </c>
      <c r="AY2" s="33">
        <f>COUNTIFS('來案暨出貨明細表-基因檢測(201904起'!$P:$P,$A2&amp;"*",'來案暨出貨明細表-基因檢測(201904起'!$B:$B,AY$1)*$B2+COUNTIFS('來案暨出貨明細表-基因檢測(201904起'!$P:$P,$A2&amp;"*",'來案暨出貨明細表-基因檢測(201904起'!$B:$B,AY$1,'來案暨出貨明細表-基因檢測(201904起'!$Q:$Q,"紙本&amp;電子")++COUNTIFS('來案暨出貨明細表-基因檢測(201904起'!$P:$P,$A2&amp;"*",'來案暨出貨明細表-基因檢測(201904起'!$B:$B,AY$1,'來案暨出貨明細表-基因檢測(201904起'!$R:$R,"中英")</f>
        <v>0</v>
      </c>
      <c r="AZ2" s="33">
        <f>COUNTIFS('來案暨出貨明細表-基因檢測(201904起'!$P:$P,$A2&amp;"*",'來案暨出貨明細表-基因檢測(201904起'!$B:$B,AZ$1)*$B2+COUNTIFS('來案暨出貨明細表-基因檢測(201904起'!$P:$P,$A2&amp;"*",'來案暨出貨明細表-基因檢測(201904起'!$B:$B,AZ$1,'來案暨出貨明細表-基因檢測(201904起'!$Q:$Q,"紙本&amp;電子")++COUNTIFS('來案暨出貨明細表-基因檢測(201904起'!$P:$P,$A2&amp;"*",'來案暨出貨明細表-基因檢測(201904起'!$B:$B,AZ$1,'來案暨出貨明細表-基因檢測(201904起'!$R:$R,"中英")</f>
        <v>0</v>
      </c>
      <c r="BA2" s="33">
        <f>COUNTIFS('來案暨出貨明細表-基因檢測(201904起'!$P:$P,$A2&amp;"*",'來案暨出貨明細表-基因檢測(201904起'!$B:$B,BA$1)*$B2+COUNTIFS('來案暨出貨明細表-基因檢測(201904起'!$P:$P,$A2&amp;"*",'來案暨出貨明細表-基因檢測(201904起'!$B:$B,BA$1,'來案暨出貨明細表-基因檢測(201904起'!$Q:$Q,"紙本&amp;電子")++COUNTIFS('來案暨出貨明細表-基因檢測(201904起'!$P:$P,$A2&amp;"*",'來案暨出貨明細表-基因檢測(201904起'!$B:$B,BA$1,'來案暨出貨明細表-基因檢測(201904起'!$R:$R,"中英")</f>
        <v>0</v>
      </c>
      <c r="BB2" s="33">
        <f>COUNTIFS('來案暨出貨明細表-基因檢測(201904起'!$P:$P,$A2&amp;"*",'來案暨出貨明細表-基因檢測(201904起'!$B:$B,BB$1)*$B2+COUNTIFS('來案暨出貨明細表-基因檢測(201904起'!$P:$P,$A2&amp;"*",'來案暨出貨明細表-基因檢測(201904起'!$B:$B,BB$1,'來案暨出貨明細表-基因檢測(201904起'!$Q:$Q,"紙本&amp;電子")++COUNTIFS('來案暨出貨明細表-基因檢測(201904起'!$P:$P,$A2&amp;"*",'來案暨出貨明細表-基因檢測(201904起'!$B:$B,BB$1,'來案暨出貨明細表-基因檢測(201904起'!$R:$R,"中英")</f>
        <v>5</v>
      </c>
      <c r="BC2" s="33">
        <f>COUNTIFS('來案暨出貨明細表-基因檢測(201904起'!$P:$P,$A2&amp;"*",'來案暨出貨明細表-基因檢測(201904起'!$B:$B,BC$1)*$B2+COUNTIFS('來案暨出貨明細表-基因檢測(201904起'!$P:$P,$A2&amp;"*",'來案暨出貨明細表-基因檢測(201904起'!$B:$B,BC$1,'來案暨出貨明細表-基因檢測(201904起'!$Q:$Q,"紙本&amp;電子")++COUNTIFS('來案暨出貨明細表-基因檢測(201904起'!$P:$P,$A2&amp;"*",'來案暨出貨明細表-基因檢測(201904起'!$B:$B,BC$1,'來案暨出貨明細表-基因檢測(201904起'!$R:$R,"中英")</f>
        <v>0</v>
      </c>
      <c r="BD2" s="33">
        <f>COUNTIFS('來案暨出貨明細表-基因檢測(201904起'!$P:$P,$A2&amp;"*",'來案暨出貨明細表-基因檢測(201904起'!$B:$B,BD$1)*$B2+COUNTIFS('來案暨出貨明細表-基因檢測(201904起'!$P:$P,$A2&amp;"*",'來案暨出貨明細表-基因檢測(201904起'!$B:$B,BD$1,'來案暨出貨明細表-基因檢測(201904起'!$Q:$Q,"紙本&amp;電子")++COUNTIFS('來案暨出貨明細表-基因檢測(201904起'!$P:$P,$A2&amp;"*",'來案暨出貨明細表-基因檢測(201904起'!$B:$B,BD$1,'來案暨出貨明細表-基因檢測(201904起'!$R:$R,"中英")</f>
        <v>0</v>
      </c>
      <c r="BE2" s="33">
        <f>COUNTIFS('來案暨出貨明細表-基因檢測(201904起'!$P:$P,$A2&amp;"*",'來案暨出貨明細表-基因檢測(201904起'!$B:$B,BE$1)*$B2+COUNTIFS('來案暨出貨明細表-基因檢測(201904起'!$P:$P,$A2&amp;"*",'來案暨出貨明細表-基因檢測(201904起'!$B:$B,BE$1,'來案暨出貨明細表-基因檢測(201904起'!$Q:$Q,"紙本&amp;電子")++COUNTIFS('來案暨出貨明細表-基因檢測(201904起'!$P:$P,$A2&amp;"*",'來案暨出貨明細表-基因檢測(201904起'!$B:$B,BE$1,'來案暨出貨明細表-基因檢測(201904起'!$R:$R,"中英")</f>
        <v>0</v>
      </c>
      <c r="BF2" s="33">
        <f>COUNTIFS('來案暨出貨明細表-基因檢測(201904起'!$P:$P,$A2&amp;"*",'來案暨出貨明細表-基因檢測(201904起'!$B:$B,BF$1)*$B2+COUNTIFS('來案暨出貨明細表-基因檢測(201904起'!$P:$P,$A2&amp;"*",'來案暨出貨明細表-基因檢測(201904起'!$B:$B,BF$1,'來案暨出貨明細表-基因檢測(201904起'!$Q:$Q,"紙本&amp;電子")++COUNTIFS('來案暨出貨明細表-基因檢測(201904起'!$P:$P,$A2&amp;"*",'來案暨出貨明細表-基因檢測(201904起'!$B:$B,BF$1,'來案暨出貨明細表-基因檢測(201904起'!$R:$R,"中英")</f>
        <v>0</v>
      </c>
      <c r="BG2" s="33">
        <f>COUNTIFS('來案暨出貨明細表-基因檢測(201904起'!$P:$P,$A2&amp;"*",'來案暨出貨明細表-基因檢測(201904起'!$B:$B,BG$1)*$B2+COUNTIFS('來案暨出貨明細表-基因檢測(201904起'!$P:$P,$A2&amp;"*",'來案暨出貨明細表-基因檢測(201904起'!$B:$B,BG$1,'來案暨出貨明細表-基因檢測(201904起'!$Q:$Q,"紙本&amp;電子")++COUNTIFS('來案暨出貨明細表-基因檢測(201904起'!$P:$P,$A2&amp;"*",'來案暨出貨明細表-基因檢測(201904起'!$B:$B,BG$1,'來案暨出貨明細表-基因檢測(201904起'!$R:$R,"中英")</f>
        <v>0</v>
      </c>
      <c r="BH2" s="33">
        <f>COUNTIFS('來案暨出貨明細表-基因檢測(201904起'!$P:$P,$A2&amp;"*",'來案暨出貨明細表-基因檢測(201904起'!$B:$B,BH$1)*$B2+COUNTIFS('來案暨出貨明細表-基因檢測(201904起'!$P:$P,$A2&amp;"*",'來案暨出貨明細表-基因檢測(201904起'!$B:$B,BH$1,'來案暨出貨明細表-基因檢測(201904起'!$Q:$Q,"紙本&amp;電子")++COUNTIFS('來案暨出貨明細表-基因檢測(201904起'!$P:$P,$A2&amp;"*",'來案暨出貨明細表-基因檢測(201904起'!$B:$B,BH$1,'來案暨出貨明細表-基因檢測(201904起'!$R:$R,"中英")</f>
        <v>0</v>
      </c>
      <c r="BI2" s="33">
        <f>COUNTIFS('來案暨出貨明細表-基因檢測(201904起'!$P:$P,$A2&amp;"*",'來案暨出貨明細表-基因檢測(201904起'!$B:$B,BI$1)*$B2+COUNTIFS('來案暨出貨明細表-基因檢測(201904起'!$P:$P,$A2&amp;"*",'來案暨出貨明細表-基因檢測(201904起'!$B:$B,BI$1,'來案暨出貨明細表-基因檢測(201904起'!$Q:$Q,"紙本&amp;電子")++COUNTIFS('來案暨出貨明細表-基因檢測(201904起'!$P:$P,$A2&amp;"*",'來案暨出貨明細表-基因檢測(201904起'!$B:$B,BI$1,'來案暨出貨明細表-基因檢測(201904起'!$R:$R,"中英")</f>
        <v>0</v>
      </c>
      <c r="BJ2" s="33">
        <f>COUNTIFS('來案暨出貨明細表-基因檢測(201904起'!$P:$P,$A2&amp;"*",'來案暨出貨明細表-基因檢測(201904起'!$B:$B,BJ$1)*$B2+COUNTIFS('來案暨出貨明細表-基因檢測(201904起'!$P:$P,$A2&amp;"*",'來案暨出貨明細表-基因檢測(201904起'!$B:$B,BJ$1,'來案暨出貨明細表-基因檢測(201904起'!$Q:$Q,"紙本&amp;電子")++COUNTIFS('來案暨出貨明細表-基因檢測(201904起'!$P:$P,$A2&amp;"*",'來案暨出貨明細表-基因檢測(201904起'!$B:$B,BJ$1,'來案暨出貨明細表-基因檢測(201904起'!$R:$R,"中英")</f>
        <v>0</v>
      </c>
      <c r="BK2" s="33">
        <f>COUNTIFS('來案暨出貨明細表-基因檢測(201904起'!$P:$P,$A2&amp;"*",'來案暨出貨明細表-基因檢測(201904起'!$B:$B,BK$1)*$B2+COUNTIFS('來案暨出貨明細表-基因檢測(201904起'!$P:$P,$A2&amp;"*",'來案暨出貨明細表-基因檢測(201904起'!$B:$B,BK$1,'來案暨出貨明細表-基因檢測(201904起'!$Q:$Q,"紙本&amp;電子")++COUNTIFS('來案暨出貨明細表-基因檢測(201904起'!$P:$P,$A2&amp;"*",'來案暨出貨明細表-基因檢測(201904起'!$B:$B,BK$1,'來案暨出貨明細表-基因檢測(201904起'!$R:$R,"中英")</f>
        <v>0</v>
      </c>
      <c r="BL2" s="33">
        <f>COUNTIFS('來案暨出貨明細表-基因檢測(201904起'!$P:$P,$A2&amp;"*",'來案暨出貨明細表-基因檢測(201904起'!$B:$B,BL$1)*$B2+COUNTIFS('來案暨出貨明細表-基因檢測(201904起'!$P:$P,$A2&amp;"*",'來案暨出貨明細表-基因檢測(201904起'!$B:$B,BL$1,'來案暨出貨明細表-基因檢測(201904起'!$Q:$Q,"紙本&amp;電子")++COUNTIFS('來案暨出貨明細表-基因檢測(201904起'!$P:$P,$A2&amp;"*",'來案暨出貨明細表-基因檢測(201904起'!$B:$B,BL$1,'來案暨出貨明細表-基因檢測(201904起'!$R:$R,"中英")</f>
        <v>0</v>
      </c>
      <c r="BM2" s="33">
        <f>COUNTIFS('來案暨出貨明細表-基因檢測(201904起'!$P:$P,$A2&amp;"*",'來案暨出貨明細表-基因檢測(201904起'!$B:$B,BM$1)*$B2+COUNTIFS('來案暨出貨明細表-基因檢測(201904起'!$P:$P,$A2&amp;"*",'來案暨出貨明細表-基因檢測(201904起'!$B:$B,BM$1,'來案暨出貨明細表-基因檢測(201904起'!$Q:$Q,"紙本&amp;電子")++COUNTIFS('來案暨出貨明細表-基因檢測(201904起'!$P:$P,$A2&amp;"*",'來案暨出貨明細表-基因檢測(201904起'!$B:$B,BM$1,'來案暨出貨明細表-基因檢測(201904起'!$R:$R,"中英")</f>
        <v>0</v>
      </c>
    </row>
    <row r="3" spans="1:65" ht="15" customHeight="1">
      <c r="A3" s="9" t="s">
        <v>1427</v>
      </c>
      <c r="B3" s="9">
        <v>1</v>
      </c>
      <c r="C3" s="13" t="s">
        <v>1430</v>
      </c>
      <c r="D3" s="142" t="s">
        <v>1427</v>
      </c>
      <c r="E3" s="33">
        <f>COUNTIFS('來案暨出貨明細表-基因檢測(201904起'!$P:$P,$A3&amp;"*",'來案暨出貨明細表-基因檢測(201904起'!$B:$B,E$1)*$B3+COUNTIFS('來案暨出貨明細表-基因檢測(201904起'!$P:$P,$A3&amp;"*",'來案暨出貨明細表-基因檢測(201904起'!$B:$B,E$1,'來案暨出貨明細表-基因檢測(201904起'!$Q:$Q,"紙本&amp;電子")++COUNTIFS('來案暨出貨明細表-基因檢測(201904起'!$P:$P,$A3&amp;"*",'來案暨出貨明細表-基因檢測(201904起'!$B:$B,E$1,'來案暨出貨明細表-基因檢測(201904起'!$R:$R,"中英")</f>
        <v>2</v>
      </c>
      <c r="F3" s="33">
        <f>COUNTIFS('來案暨出貨明細表-基因檢測(201904起'!$P:$P,$A3&amp;"*",'來案暨出貨明細表-基因檢測(201904起'!$B:$B,F$1)*$B3+COUNTIFS('來案暨出貨明細表-基因檢測(201904起'!$P:$P,$A3&amp;"*",'來案暨出貨明細表-基因檢測(201904起'!$B:$B,F$1,'來案暨出貨明細表-基因檢測(201904起'!$Q:$Q,"紙本&amp;電子")++COUNTIFS('來案暨出貨明細表-基因檢測(201904起'!$P:$P,$A3&amp;"*",'來案暨出貨明細表-基因檢測(201904起'!$B:$B,F$1,'來案暨出貨明細表-基因檢測(201904起'!$R:$R,"中英")</f>
        <v>0</v>
      </c>
      <c r="G3" s="33">
        <f>COUNTIFS('來案暨出貨明細表-基因檢測(201904起'!$P:$P,$A3&amp;"*",'來案暨出貨明細表-基因檢測(201904起'!$B:$B,G$1)*$B3+COUNTIFS('來案暨出貨明細表-基因檢測(201904起'!$P:$P,$A3&amp;"*",'來案暨出貨明細表-基因檢測(201904起'!$B:$B,G$1,'來案暨出貨明細表-基因檢測(201904起'!$Q:$Q,"紙本&amp;電子")++COUNTIFS('來案暨出貨明細表-基因檢測(201904起'!$P:$P,$A3&amp;"*",'來案暨出貨明細表-基因檢測(201904起'!$B:$B,G$1,'來案暨出貨明細表-基因檢測(201904起'!$R:$R,"中英")</f>
        <v>0</v>
      </c>
      <c r="H3" s="33">
        <f>COUNTIFS('來案暨出貨明細表-基因檢測(201904起'!$P:$P,$A3&amp;"*",'來案暨出貨明細表-基因檢測(201904起'!$B:$B,H$1)*$B3+COUNTIFS('來案暨出貨明細表-基因檢測(201904起'!$P:$P,$A3&amp;"*",'來案暨出貨明細表-基因檢測(201904起'!$B:$B,H$1,'來案暨出貨明細表-基因檢測(201904起'!$Q:$Q,"紙本&amp;電子")++COUNTIFS('來案暨出貨明細表-基因檢測(201904起'!$P:$P,$A3&amp;"*",'來案暨出貨明細表-基因檢測(201904起'!$B:$B,H$1,'來案暨出貨明細表-基因檢測(201904起'!$R:$R,"中英")</f>
        <v>0</v>
      </c>
      <c r="I3" s="33">
        <f>COUNTIFS('來案暨出貨明細表-基因檢測(201904起'!$P:$P,$A3&amp;"*",'來案暨出貨明細表-基因檢測(201904起'!$B:$B,I$1)*$B3+COUNTIFS('來案暨出貨明細表-基因檢測(201904起'!$P:$P,$A3&amp;"*",'來案暨出貨明細表-基因檢測(201904起'!$B:$B,I$1,'來案暨出貨明細表-基因檢測(201904起'!$Q:$Q,"紙本&amp;電子")++COUNTIFS('來案暨出貨明細表-基因檢測(201904起'!$P:$P,$A3&amp;"*",'來案暨出貨明細表-基因檢測(201904起'!$B:$B,I$1,'來案暨出貨明細表-基因檢測(201904起'!$R:$R,"中英")</f>
        <v>0</v>
      </c>
      <c r="J3" s="33">
        <f>COUNTIFS('來案暨出貨明細表-基因檢測(201904起'!$P:$P,$A3&amp;"*",'來案暨出貨明細表-基因檢測(201904起'!$B:$B,J$1)*$B3+COUNTIFS('來案暨出貨明細表-基因檢測(201904起'!$P:$P,$A3&amp;"*",'來案暨出貨明細表-基因檢測(201904起'!$B:$B,J$1,'來案暨出貨明細表-基因檢測(201904起'!$Q:$Q,"紙本&amp;電子")++COUNTIFS('來案暨出貨明細表-基因檢測(201904起'!$P:$P,$A3&amp;"*",'來案暨出貨明細表-基因檢測(201904起'!$B:$B,J$1,'來案暨出貨明細表-基因檢測(201904起'!$R:$R,"中英")</f>
        <v>0</v>
      </c>
      <c r="K3" s="33">
        <f>COUNTIFS('來案暨出貨明細表-基因檢測(201904起'!$P:$P,$A3&amp;"*",'來案暨出貨明細表-基因檢測(201904起'!$B:$B,K$1)*$B3+COUNTIFS('來案暨出貨明細表-基因檢測(201904起'!$P:$P,$A3&amp;"*",'來案暨出貨明細表-基因檢測(201904起'!$B:$B,K$1,'來案暨出貨明細表-基因檢測(201904起'!$Q:$Q,"紙本&amp;電子")++COUNTIFS('來案暨出貨明細表-基因檢測(201904起'!$P:$P,$A3&amp;"*",'來案暨出貨明細表-基因檢測(201904起'!$B:$B,K$1,'來案暨出貨明細表-基因檢測(201904起'!$R:$R,"中英")</f>
        <v>0</v>
      </c>
      <c r="L3" s="33">
        <f>COUNTIFS('來案暨出貨明細表-基因檢測(201904起'!$P:$P,$A3&amp;"*",'來案暨出貨明細表-基因檢測(201904起'!$B:$B,L$1)*$B3+COUNTIFS('來案暨出貨明細表-基因檢測(201904起'!$P:$P,$A3&amp;"*",'來案暨出貨明細表-基因檢測(201904起'!$B:$B,L$1,'來案暨出貨明細表-基因檢測(201904起'!$Q:$Q,"紙本&amp;電子")++COUNTIFS('來案暨出貨明細表-基因檢測(201904起'!$P:$P,$A3&amp;"*",'來案暨出貨明細表-基因檢測(201904起'!$B:$B,L$1,'來案暨出貨明細表-基因檢測(201904起'!$R:$R,"中英")</f>
        <v>0</v>
      </c>
      <c r="M3" s="33">
        <f>COUNTIFS('來案暨出貨明細表-基因檢測(201904起'!$P:$P,$A3&amp;"*",'來案暨出貨明細表-基因檢測(201904起'!$B:$B,M$1)*$B3+COUNTIFS('來案暨出貨明細表-基因檢測(201904起'!$P:$P,$A3&amp;"*",'來案暨出貨明細表-基因檢測(201904起'!$B:$B,M$1,'來案暨出貨明細表-基因檢測(201904起'!$Q:$Q,"紙本&amp;電子")++COUNTIFS('來案暨出貨明細表-基因檢測(201904起'!$P:$P,$A3&amp;"*",'來案暨出貨明細表-基因檢測(201904起'!$B:$B,M$1,'來案暨出貨明細表-基因檢測(201904起'!$R:$R,"中英")</f>
        <v>0</v>
      </c>
      <c r="N3" s="33">
        <f>COUNTIFS('來案暨出貨明細表-基因檢測(201904起'!$P:$P,$A3&amp;"*",'來案暨出貨明細表-基因檢測(201904起'!$B:$B,N$1)*$B3+COUNTIFS('來案暨出貨明細表-基因檢測(201904起'!$P:$P,$A3&amp;"*",'來案暨出貨明細表-基因檢測(201904起'!$B:$B,N$1,'來案暨出貨明細表-基因檢測(201904起'!$Q:$Q,"紙本&amp;電子")++COUNTIFS('來案暨出貨明細表-基因檢測(201904起'!$P:$P,$A3&amp;"*",'來案暨出貨明細表-基因檢測(201904起'!$B:$B,N$1,'來案暨出貨明細表-基因檢測(201904起'!$R:$R,"中英")</f>
        <v>0</v>
      </c>
      <c r="O3" s="33">
        <f>COUNTIFS('來案暨出貨明細表-基因檢測(201904起'!$P:$P,$A3&amp;"*",'來案暨出貨明細表-基因檢測(201904起'!$B:$B,O$1)*$B3+COUNTIFS('來案暨出貨明細表-基因檢測(201904起'!$P:$P,$A3&amp;"*",'來案暨出貨明細表-基因檢測(201904起'!$B:$B,O$1,'來案暨出貨明細表-基因檢測(201904起'!$Q:$Q,"紙本&amp;電子")++COUNTIFS('來案暨出貨明細表-基因檢測(201904起'!$P:$P,$A3&amp;"*",'來案暨出貨明細表-基因檢測(201904起'!$B:$B,O$1,'來案暨出貨明細表-基因檢測(201904起'!$R:$R,"中英")</f>
        <v>0</v>
      </c>
      <c r="P3" s="33">
        <f>COUNTIFS('來案暨出貨明細表-基因檢測(201904起'!$P:$P,$A3&amp;"*",'來案暨出貨明細表-基因檢測(201904起'!$B:$B,P$1)*$B3+COUNTIFS('來案暨出貨明細表-基因檢測(201904起'!$P:$P,$A3&amp;"*",'來案暨出貨明細表-基因檢測(201904起'!$B:$B,P$1,'來案暨出貨明細表-基因檢測(201904起'!$Q:$Q,"紙本&amp;電子")++COUNTIFS('來案暨出貨明細表-基因檢測(201904起'!$P:$P,$A3&amp;"*",'來案暨出貨明細表-基因檢測(201904起'!$B:$B,P$1,'來案暨出貨明細表-基因檢測(201904起'!$R:$R,"中英")</f>
        <v>0</v>
      </c>
      <c r="Q3" s="33">
        <f>COUNTIFS('來案暨出貨明細表-基因檢測(201904起'!$P:$P,$A3&amp;"*",'來案暨出貨明細表-基因檢測(201904起'!$B:$B,Q$1)*$B3+COUNTIFS('來案暨出貨明細表-基因檢測(201904起'!$P:$P,$A3&amp;"*",'來案暨出貨明細表-基因檢測(201904起'!$B:$B,Q$1,'來案暨出貨明細表-基因檢測(201904起'!$Q:$Q,"紙本&amp;電子")++COUNTIFS('來案暨出貨明細表-基因檢測(201904起'!$P:$P,$A3&amp;"*",'來案暨出貨明細表-基因檢測(201904起'!$B:$B,Q$1,'來案暨出貨明細表-基因檢測(201904起'!$R:$R,"中英")</f>
        <v>0</v>
      </c>
      <c r="R3" s="33">
        <f>COUNTIFS('來案暨出貨明細表-基因檢測(201904起'!$P:$P,$A3&amp;"*",'來案暨出貨明細表-基因檢測(201904起'!$B:$B,R$1)*$B3+COUNTIFS('來案暨出貨明細表-基因檢測(201904起'!$P:$P,$A3&amp;"*",'來案暨出貨明細表-基因檢測(201904起'!$B:$B,R$1,'來案暨出貨明細表-基因檢測(201904起'!$Q:$Q,"紙本&amp;電子")++COUNTIFS('來案暨出貨明細表-基因檢測(201904起'!$P:$P,$A3&amp;"*",'來案暨出貨明細表-基因檢測(201904起'!$B:$B,R$1,'來案暨出貨明細表-基因檢測(201904起'!$R:$R,"中英")</f>
        <v>0</v>
      </c>
      <c r="S3" s="33">
        <f>COUNTIFS('來案暨出貨明細表-基因檢測(201904起'!$P:$P,$A3&amp;"*",'來案暨出貨明細表-基因檢測(201904起'!$B:$B,S$1)*$B3+COUNTIFS('來案暨出貨明細表-基因檢測(201904起'!$P:$P,$A3&amp;"*",'來案暨出貨明細表-基因檢測(201904起'!$B:$B,S$1,'來案暨出貨明細表-基因檢測(201904起'!$Q:$Q,"紙本&amp;電子")++COUNTIFS('來案暨出貨明細表-基因檢測(201904起'!$P:$P,$A3&amp;"*",'來案暨出貨明細表-基因檢測(201904起'!$B:$B,S$1,'來案暨出貨明細表-基因檢測(201904起'!$R:$R,"中英")</f>
        <v>0</v>
      </c>
      <c r="T3" s="33">
        <f>COUNTIFS('來案暨出貨明細表-基因檢測(201904起'!$P:$P,$A3&amp;"*",'來案暨出貨明細表-基因檢測(201904起'!$B:$B,T$1)*$B3+COUNTIFS('來案暨出貨明細表-基因檢測(201904起'!$P:$P,$A3&amp;"*",'來案暨出貨明細表-基因檢測(201904起'!$B:$B,T$1,'來案暨出貨明細表-基因檢測(201904起'!$Q:$Q,"紙本&amp;電子")++COUNTIFS('來案暨出貨明細表-基因檢測(201904起'!$P:$P,$A3&amp;"*",'來案暨出貨明細表-基因檢測(201904起'!$B:$B,T$1,'來案暨出貨明細表-基因檢測(201904起'!$R:$R,"中英")</f>
        <v>0</v>
      </c>
      <c r="U3" s="33">
        <f>COUNTIFS('來案暨出貨明細表-基因檢測(201904起'!$P:$P,$A3&amp;"*",'來案暨出貨明細表-基因檢測(201904起'!$B:$B,U$1)*$B3+COUNTIFS('來案暨出貨明細表-基因檢測(201904起'!$P:$P,$A3&amp;"*",'來案暨出貨明細表-基因檢測(201904起'!$B:$B,U$1,'來案暨出貨明細表-基因檢測(201904起'!$Q:$Q,"紙本&amp;電子")++COUNTIFS('來案暨出貨明細表-基因檢測(201904起'!$P:$P,$A3&amp;"*",'來案暨出貨明細表-基因檢測(201904起'!$B:$B,U$1,'來案暨出貨明細表-基因檢測(201904起'!$R:$R,"中英")</f>
        <v>0</v>
      </c>
      <c r="V3" s="33">
        <f>COUNTIFS('來案暨出貨明細表-基因檢測(201904起'!$P:$P,$A3&amp;"*",'來案暨出貨明細表-基因檢測(201904起'!$B:$B,V$1)*$B3+COUNTIFS('來案暨出貨明細表-基因檢測(201904起'!$P:$P,$A3&amp;"*",'來案暨出貨明細表-基因檢測(201904起'!$B:$B,V$1,'來案暨出貨明細表-基因檢測(201904起'!$Q:$Q,"紙本&amp;電子")++COUNTIFS('來案暨出貨明細表-基因檢測(201904起'!$P:$P,$A3&amp;"*",'來案暨出貨明細表-基因檢測(201904起'!$B:$B,V$1,'來案暨出貨明細表-基因檢測(201904起'!$R:$R,"中英")</f>
        <v>0</v>
      </c>
      <c r="W3" s="33">
        <f>COUNTIFS('來案暨出貨明細表-基因檢測(201904起'!$P:$P,$A3&amp;"*",'來案暨出貨明細表-基因檢測(201904起'!$B:$B,W$1)*$B3+COUNTIFS('來案暨出貨明細表-基因檢測(201904起'!$P:$P,$A3&amp;"*",'來案暨出貨明細表-基因檢測(201904起'!$B:$B,W$1,'來案暨出貨明細表-基因檢測(201904起'!$Q:$Q,"紙本&amp;電子")++COUNTIFS('來案暨出貨明細表-基因檢測(201904起'!$P:$P,$A3&amp;"*",'來案暨出貨明細表-基因檢測(201904起'!$B:$B,W$1,'來案暨出貨明細表-基因檢測(201904起'!$R:$R,"中英")</f>
        <v>0</v>
      </c>
      <c r="X3" s="33">
        <f>COUNTIFS('來案暨出貨明細表-基因檢測(201904起'!$P:$P,$A3&amp;"*",'來案暨出貨明細表-基因檢測(201904起'!$B:$B,X$1)*$B3+COUNTIFS('來案暨出貨明細表-基因檢測(201904起'!$P:$P,$A3&amp;"*",'來案暨出貨明細表-基因檢測(201904起'!$B:$B,X$1,'來案暨出貨明細表-基因檢測(201904起'!$Q:$Q,"紙本&amp;電子")++COUNTIFS('來案暨出貨明細表-基因檢測(201904起'!$P:$P,$A3&amp;"*",'來案暨出貨明細表-基因檢測(201904起'!$B:$B,X$1,'來案暨出貨明細表-基因檢測(201904起'!$R:$R,"中英")</f>
        <v>0</v>
      </c>
      <c r="Y3" s="33">
        <f>COUNTIFS('來案暨出貨明細表-基因檢測(201904起'!$P:$P,$A3&amp;"*",'來案暨出貨明細表-基因檢測(201904起'!$B:$B,Y$1)*$B3+COUNTIFS('來案暨出貨明細表-基因檢測(201904起'!$P:$P,$A3&amp;"*",'來案暨出貨明細表-基因檢測(201904起'!$B:$B,Y$1,'來案暨出貨明細表-基因檢測(201904起'!$Q:$Q,"紙本&amp;電子")++COUNTIFS('來案暨出貨明細表-基因檢測(201904起'!$P:$P,$A3&amp;"*",'來案暨出貨明細表-基因檢測(201904起'!$B:$B,Y$1,'來案暨出貨明細表-基因檢測(201904起'!$R:$R,"中英")</f>
        <v>0</v>
      </c>
      <c r="Z3" s="33">
        <f>COUNTIFS('來案暨出貨明細表-基因檢測(201904起'!$P:$P,$A3&amp;"*",'來案暨出貨明細表-基因檢測(201904起'!$B:$B,Z$1)*$B3+COUNTIFS('來案暨出貨明細表-基因檢測(201904起'!$P:$P,$A3&amp;"*",'來案暨出貨明細表-基因檢測(201904起'!$B:$B,Z$1,'來案暨出貨明細表-基因檢測(201904起'!$Q:$Q,"紙本&amp;電子")++COUNTIFS('來案暨出貨明細表-基因檢測(201904起'!$P:$P,$A3&amp;"*",'來案暨出貨明細表-基因檢測(201904起'!$B:$B,Z$1,'來案暨出貨明細表-基因檢測(201904起'!$R:$R,"中英")</f>
        <v>0</v>
      </c>
      <c r="AA3" s="33">
        <f>COUNTIFS('來案暨出貨明細表-基因檢測(201904起'!$P:$P,$A3&amp;"*",'來案暨出貨明細表-基因檢測(201904起'!$B:$B,AA$1)*$B3+COUNTIFS('來案暨出貨明細表-基因檢測(201904起'!$P:$P,$A3&amp;"*",'來案暨出貨明細表-基因檢測(201904起'!$B:$B,AA$1,'來案暨出貨明細表-基因檢測(201904起'!$Q:$Q,"紙本&amp;電子")++COUNTIFS('來案暨出貨明細表-基因檢測(201904起'!$P:$P,$A3&amp;"*",'來案暨出貨明細表-基因檢測(201904起'!$B:$B,AA$1,'來案暨出貨明細表-基因檢測(201904起'!$R:$R,"中英")</f>
        <v>0</v>
      </c>
      <c r="AB3" s="33">
        <f>COUNTIFS('來案暨出貨明細表-基因檢測(201904起'!$P:$P,$A3&amp;"*",'來案暨出貨明細表-基因檢測(201904起'!$B:$B,AB$1)*$B3+COUNTIFS('來案暨出貨明細表-基因檢測(201904起'!$P:$P,$A3&amp;"*",'來案暨出貨明細表-基因檢測(201904起'!$B:$B,AB$1,'來案暨出貨明細表-基因檢測(201904起'!$Q:$Q,"紙本&amp;電子")++COUNTIFS('來案暨出貨明細表-基因檢測(201904起'!$P:$P,$A3&amp;"*",'來案暨出貨明細表-基因檢測(201904起'!$B:$B,AB$1,'來案暨出貨明細表-基因檢測(201904起'!$R:$R,"中英")</f>
        <v>0</v>
      </c>
      <c r="AC3" s="33">
        <f>COUNTIFS('來案暨出貨明細表-基因檢測(201904起'!$P:$P,$A3&amp;"*",'來案暨出貨明細表-基因檢測(201904起'!$B:$B,AC$1)*$B3+COUNTIFS('來案暨出貨明細表-基因檢測(201904起'!$P:$P,$A3&amp;"*",'來案暨出貨明細表-基因檢測(201904起'!$B:$B,AC$1,'來案暨出貨明細表-基因檢測(201904起'!$Q:$Q,"紙本&amp;電子")++COUNTIFS('來案暨出貨明細表-基因檢測(201904起'!$P:$P,$A3&amp;"*",'來案暨出貨明細表-基因檢測(201904起'!$B:$B,AC$1,'來案暨出貨明細表-基因檢測(201904起'!$R:$R,"中英")</f>
        <v>0</v>
      </c>
      <c r="AD3" s="33">
        <f>COUNTIFS('來案暨出貨明細表-基因檢測(201904起'!$P:$P,$A3&amp;"*",'來案暨出貨明細表-基因檢測(201904起'!$B:$B,AD$1)*$B3+COUNTIFS('來案暨出貨明細表-基因檢測(201904起'!$P:$P,$A3&amp;"*",'來案暨出貨明細表-基因檢測(201904起'!$B:$B,AD$1,'來案暨出貨明細表-基因檢測(201904起'!$Q:$Q,"紙本&amp;電子")++COUNTIFS('來案暨出貨明細表-基因檢測(201904起'!$P:$P,$A3&amp;"*",'來案暨出貨明細表-基因檢測(201904起'!$B:$B,AD$1,'來案暨出貨明細表-基因檢測(201904起'!$R:$R,"中英")</f>
        <v>0</v>
      </c>
      <c r="AE3" s="33">
        <f>COUNTIFS('來案暨出貨明細表-基因檢測(201904起'!$P:$P,$A3&amp;"*",'來案暨出貨明細表-基因檢測(201904起'!$B:$B,AE$1)*$B3+COUNTIFS('來案暨出貨明細表-基因檢測(201904起'!$P:$P,$A3&amp;"*",'來案暨出貨明細表-基因檢測(201904起'!$B:$B,AE$1,'來案暨出貨明細表-基因檢測(201904起'!$Q:$Q,"紙本&amp;電子")++COUNTIFS('來案暨出貨明細表-基因檢測(201904起'!$P:$P,$A3&amp;"*",'來案暨出貨明細表-基因檢測(201904起'!$B:$B,AE$1,'來案暨出貨明細表-基因檢測(201904起'!$R:$R,"中英")</f>
        <v>0</v>
      </c>
      <c r="AF3" s="33">
        <f>COUNTIFS('來案暨出貨明細表-基因檢測(201904起'!$P:$P,$A3&amp;"*",'來案暨出貨明細表-基因檢測(201904起'!$B:$B,AF$1)*$B3+COUNTIFS('來案暨出貨明細表-基因檢測(201904起'!$P:$P,$A3&amp;"*",'來案暨出貨明細表-基因檢測(201904起'!$B:$B,AF$1,'來案暨出貨明細表-基因檢測(201904起'!$Q:$Q,"紙本&amp;電子")++COUNTIFS('來案暨出貨明細表-基因檢測(201904起'!$P:$P,$A3&amp;"*",'來案暨出貨明細表-基因檢測(201904起'!$B:$B,AF$1,'來案暨出貨明細表-基因檢測(201904起'!$R:$R,"中英")</f>
        <v>0</v>
      </c>
      <c r="AG3" s="33">
        <f>COUNTIFS('來案暨出貨明細表-基因檢測(201904起'!$P:$P,$A3&amp;"*",'來案暨出貨明細表-基因檢測(201904起'!$B:$B,AG$1)*$B3+COUNTIFS('來案暨出貨明細表-基因檢測(201904起'!$P:$P,$A3&amp;"*",'來案暨出貨明細表-基因檢測(201904起'!$B:$B,AG$1,'來案暨出貨明細表-基因檢測(201904起'!$Q:$Q,"紙本&amp;電子")++COUNTIFS('來案暨出貨明細表-基因檢測(201904起'!$P:$P,$A3&amp;"*",'來案暨出貨明細表-基因檢測(201904起'!$B:$B,AG$1,'來案暨出貨明細表-基因檢測(201904起'!$R:$R,"中英")</f>
        <v>0</v>
      </c>
      <c r="AH3" s="33">
        <f>COUNTIFS('來案暨出貨明細表-基因檢測(201904起'!$P:$P,$A3&amp;"*",'來案暨出貨明細表-基因檢測(201904起'!$B:$B,AH$1)*$B3+COUNTIFS('來案暨出貨明細表-基因檢測(201904起'!$P:$P,$A3&amp;"*",'來案暨出貨明細表-基因檢測(201904起'!$B:$B,AH$1,'來案暨出貨明細表-基因檢測(201904起'!$Q:$Q,"紙本&amp;電子")++COUNTIFS('來案暨出貨明細表-基因檢測(201904起'!$P:$P,$A3&amp;"*",'來案暨出貨明細表-基因檢測(201904起'!$B:$B,AH$1,'來案暨出貨明細表-基因檢測(201904起'!$R:$R,"中英")</f>
        <v>0</v>
      </c>
      <c r="AI3" s="33">
        <f>COUNTIFS('來案暨出貨明細表-基因檢測(201904起'!$P:$P,$A3&amp;"*",'來案暨出貨明細表-基因檢測(201904起'!$B:$B,AI$1)*$B3+COUNTIFS('來案暨出貨明細表-基因檢測(201904起'!$P:$P,$A3&amp;"*",'來案暨出貨明細表-基因檢測(201904起'!$B:$B,AI$1,'來案暨出貨明細表-基因檢測(201904起'!$Q:$Q,"紙本&amp;電子")++COUNTIFS('來案暨出貨明細表-基因檢測(201904起'!$P:$P,$A3&amp;"*",'來案暨出貨明細表-基因檢測(201904起'!$B:$B,AI$1,'來案暨出貨明細表-基因檢測(201904起'!$R:$R,"中英")</f>
        <v>0</v>
      </c>
      <c r="AJ3" s="33">
        <f>COUNTIFS('來案暨出貨明細表-基因檢測(201904起'!$P:$P,$A3&amp;"*",'來案暨出貨明細表-基因檢測(201904起'!$B:$B,AJ$1)*$B3+COUNTIFS('來案暨出貨明細表-基因檢測(201904起'!$P:$P,$A3&amp;"*",'來案暨出貨明細表-基因檢測(201904起'!$B:$B,AJ$1,'來案暨出貨明細表-基因檢測(201904起'!$Q:$Q,"紙本&amp;電子")++COUNTIFS('來案暨出貨明細表-基因檢測(201904起'!$P:$P,$A3&amp;"*",'來案暨出貨明細表-基因檢測(201904起'!$B:$B,AJ$1,'來案暨出貨明細表-基因檢測(201904起'!$R:$R,"中英")</f>
        <v>0</v>
      </c>
      <c r="AK3" s="33">
        <f>COUNTIFS('來案暨出貨明細表-基因檢測(201904起'!$P:$P,$A3&amp;"*",'來案暨出貨明細表-基因檢測(201904起'!$B:$B,AK$1)*$B3+COUNTIFS('來案暨出貨明細表-基因檢測(201904起'!$P:$P,$A3&amp;"*",'來案暨出貨明細表-基因檢測(201904起'!$B:$B,AK$1,'來案暨出貨明細表-基因檢測(201904起'!$Q:$Q,"紙本&amp;電子")++COUNTIFS('來案暨出貨明細表-基因檢測(201904起'!$P:$P,$A3&amp;"*",'來案暨出貨明細表-基因檢測(201904起'!$B:$B,AK$1,'來案暨出貨明細表-基因檢測(201904起'!$R:$R,"中英")</f>
        <v>0</v>
      </c>
      <c r="AL3" s="33">
        <f>COUNTIFS('來案暨出貨明細表-基因檢測(201904起'!$P:$P,$A3&amp;"*",'來案暨出貨明細表-基因檢測(201904起'!$B:$B,AL$1)*$B3+COUNTIFS('來案暨出貨明細表-基因檢測(201904起'!$P:$P,$A3&amp;"*",'來案暨出貨明細表-基因檢測(201904起'!$B:$B,AL$1,'來案暨出貨明細表-基因檢測(201904起'!$Q:$Q,"紙本&amp;電子")++COUNTIFS('來案暨出貨明細表-基因檢測(201904起'!$P:$P,$A3&amp;"*",'來案暨出貨明細表-基因檢測(201904起'!$B:$B,AL$1,'來案暨出貨明細表-基因檢測(201904起'!$R:$R,"中英")</f>
        <v>0</v>
      </c>
      <c r="AM3" s="33">
        <f>COUNTIFS('來案暨出貨明細表-基因檢測(201904起'!$P:$P,$A3&amp;"*",'來案暨出貨明細表-基因檢測(201904起'!$B:$B,AM$1)*$B3+COUNTIFS('來案暨出貨明細表-基因檢測(201904起'!$P:$P,$A3&amp;"*",'來案暨出貨明細表-基因檢測(201904起'!$B:$B,AM$1,'來案暨出貨明細表-基因檢測(201904起'!$Q:$Q,"紙本&amp;電子")++COUNTIFS('來案暨出貨明細表-基因檢測(201904起'!$P:$P,$A3&amp;"*",'來案暨出貨明細表-基因檢測(201904起'!$B:$B,AM$1,'來案暨出貨明細表-基因檢測(201904起'!$R:$R,"中英")</f>
        <v>0</v>
      </c>
      <c r="AN3" s="33">
        <f>COUNTIFS('來案暨出貨明細表-基因檢測(201904起'!$P:$P,$A3&amp;"*",'來案暨出貨明細表-基因檢測(201904起'!$B:$B,AN$1)*$B3+COUNTIFS('來案暨出貨明細表-基因檢測(201904起'!$P:$P,$A3&amp;"*",'來案暨出貨明細表-基因檢測(201904起'!$B:$B,AN$1,'來案暨出貨明細表-基因檢測(201904起'!$Q:$Q,"紙本&amp;電子")++COUNTIFS('來案暨出貨明細表-基因檢測(201904起'!$P:$P,$A3&amp;"*",'來案暨出貨明細表-基因檢測(201904起'!$B:$B,AN$1,'來案暨出貨明細表-基因檢測(201904起'!$R:$R,"中英")</f>
        <v>0</v>
      </c>
      <c r="AO3" s="33">
        <f>COUNTIFS('來案暨出貨明細表-基因檢測(201904起'!$P:$P,$A3&amp;"*",'來案暨出貨明細表-基因檢測(201904起'!$B:$B,AO$1)*$B3+COUNTIFS('來案暨出貨明細表-基因檢測(201904起'!$P:$P,$A3&amp;"*",'來案暨出貨明細表-基因檢測(201904起'!$B:$B,AO$1,'來案暨出貨明細表-基因檢測(201904起'!$Q:$Q,"紙本&amp;電子")++COUNTIFS('來案暨出貨明細表-基因檢測(201904起'!$P:$P,$A3&amp;"*",'來案暨出貨明細表-基因檢測(201904起'!$B:$B,AO$1,'來案暨出貨明細表-基因檢測(201904起'!$R:$R,"中英")</f>
        <v>0</v>
      </c>
      <c r="AP3" s="33">
        <f>COUNTIFS('來案暨出貨明細表-基因檢測(201904起'!$P:$P,$A3&amp;"*",'來案暨出貨明細表-基因檢測(201904起'!$B:$B,AP$1)*$B3+COUNTIFS('來案暨出貨明細表-基因檢測(201904起'!$P:$P,$A3&amp;"*",'來案暨出貨明細表-基因檢測(201904起'!$B:$B,AP$1,'來案暨出貨明細表-基因檢測(201904起'!$Q:$Q,"紙本&amp;電子")++COUNTIFS('來案暨出貨明細表-基因檢測(201904起'!$P:$P,$A3&amp;"*",'來案暨出貨明細表-基因檢測(201904起'!$B:$B,AP$1,'來案暨出貨明細表-基因檢測(201904起'!$R:$R,"中英")</f>
        <v>0</v>
      </c>
      <c r="AQ3" s="33">
        <f>COUNTIFS('來案暨出貨明細表-基因檢測(201904起'!$P:$P,$A3&amp;"*",'來案暨出貨明細表-基因檢測(201904起'!$B:$B,AQ$1)*$B3+COUNTIFS('來案暨出貨明細表-基因檢測(201904起'!$P:$P,$A3&amp;"*",'來案暨出貨明細表-基因檢測(201904起'!$B:$B,AQ$1,'來案暨出貨明細表-基因檢測(201904起'!$Q:$Q,"紙本&amp;電子")++COUNTIFS('來案暨出貨明細表-基因檢測(201904起'!$P:$P,$A3&amp;"*",'來案暨出貨明細表-基因檢測(201904起'!$B:$B,AQ$1,'來案暨出貨明細表-基因檢測(201904起'!$R:$R,"中英")</f>
        <v>0</v>
      </c>
      <c r="AR3" s="33">
        <f>COUNTIFS('來案暨出貨明細表-基因檢測(201904起'!$P:$P,$A3&amp;"*",'來案暨出貨明細表-基因檢測(201904起'!$B:$B,AR$1)*$B3+COUNTIFS('來案暨出貨明細表-基因檢測(201904起'!$P:$P,$A3&amp;"*",'來案暨出貨明細表-基因檢測(201904起'!$B:$B,AR$1,'來案暨出貨明細表-基因檢測(201904起'!$Q:$Q,"紙本&amp;電子")++COUNTIFS('來案暨出貨明細表-基因檢測(201904起'!$P:$P,$A3&amp;"*",'來案暨出貨明細表-基因檢測(201904起'!$B:$B,AR$1,'來案暨出貨明細表-基因檢測(201904起'!$R:$R,"中英")</f>
        <v>0</v>
      </c>
      <c r="AS3" s="33">
        <f>COUNTIFS('來案暨出貨明細表-基因檢測(201904起'!$P:$P,$A3&amp;"*",'來案暨出貨明細表-基因檢測(201904起'!$B:$B,AS$1)*$B3+COUNTIFS('來案暨出貨明細表-基因檢測(201904起'!$P:$P,$A3&amp;"*",'來案暨出貨明細表-基因檢測(201904起'!$B:$B,AS$1,'來案暨出貨明細表-基因檢測(201904起'!$Q:$Q,"紙本&amp;電子")++COUNTIFS('來案暨出貨明細表-基因檢測(201904起'!$P:$P,$A3&amp;"*",'來案暨出貨明細表-基因檢測(201904起'!$B:$B,AS$1,'來案暨出貨明細表-基因檢測(201904起'!$R:$R,"中英")</f>
        <v>0</v>
      </c>
      <c r="AT3" s="33">
        <f>COUNTIFS('來案暨出貨明細表-基因檢測(201904起'!$P:$P,$A3&amp;"*",'來案暨出貨明細表-基因檢測(201904起'!$B:$B,AT$1)*$B3+COUNTIFS('來案暨出貨明細表-基因檢測(201904起'!$P:$P,$A3&amp;"*",'來案暨出貨明細表-基因檢測(201904起'!$B:$B,AT$1,'來案暨出貨明細表-基因檢測(201904起'!$Q:$Q,"紙本&amp;電子")++COUNTIFS('來案暨出貨明細表-基因檢測(201904起'!$P:$P,$A3&amp;"*",'來案暨出貨明細表-基因檢測(201904起'!$B:$B,AT$1,'來案暨出貨明細表-基因檢測(201904起'!$R:$R,"中英")</f>
        <v>0</v>
      </c>
      <c r="AU3" s="33">
        <f>COUNTIFS('來案暨出貨明細表-基因檢測(201904起'!$P:$P,$A3&amp;"*",'來案暨出貨明細表-基因檢測(201904起'!$B:$B,AU$1)*$B3+COUNTIFS('來案暨出貨明細表-基因檢測(201904起'!$P:$P,$A3&amp;"*",'來案暨出貨明細表-基因檢測(201904起'!$B:$B,AU$1,'來案暨出貨明細表-基因檢測(201904起'!$Q:$Q,"紙本&amp;電子")++COUNTIFS('來案暨出貨明細表-基因檢測(201904起'!$P:$P,$A3&amp;"*",'來案暨出貨明細表-基因檢測(201904起'!$B:$B,AU$1,'來案暨出貨明細表-基因檢測(201904起'!$R:$R,"中英")</f>
        <v>0</v>
      </c>
      <c r="AV3" s="33">
        <f>COUNTIFS('來案暨出貨明細表-基因檢測(201904起'!$P:$P,$A3&amp;"*",'來案暨出貨明細表-基因檢測(201904起'!$B:$B,AV$1)*$B3+COUNTIFS('來案暨出貨明細表-基因檢測(201904起'!$P:$P,$A3&amp;"*",'來案暨出貨明細表-基因檢測(201904起'!$B:$B,AV$1,'來案暨出貨明細表-基因檢測(201904起'!$Q:$Q,"紙本&amp;電子")++COUNTIFS('來案暨出貨明細表-基因檢測(201904起'!$P:$P,$A3&amp;"*",'來案暨出貨明細表-基因檢測(201904起'!$B:$B,AV$1,'來案暨出貨明細表-基因檢測(201904起'!$R:$R,"中英")</f>
        <v>0</v>
      </c>
      <c r="AW3" s="33">
        <f>COUNTIFS('來案暨出貨明細表-基因檢測(201904起'!$P:$P,$A3&amp;"*",'來案暨出貨明細表-基因檢測(201904起'!$B:$B,AW$1)*$B3+COUNTIFS('來案暨出貨明細表-基因檢測(201904起'!$P:$P,$A3&amp;"*",'來案暨出貨明細表-基因檢測(201904起'!$B:$B,AW$1,'來案暨出貨明細表-基因檢測(201904起'!$Q:$Q,"紙本&amp;電子")++COUNTIFS('來案暨出貨明細表-基因檢測(201904起'!$P:$P,$A3&amp;"*",'來案暨出貨明細表-基因檢測(201904起'!$B:$B,AW$1,'來案暨出貨明細表-基因檢測(201904起'!$R:$R,"中英")</f>
        <v>0</v>
      </c>
      <c r="AX3" s="33">
        <f>COUNTIFS('來案暨出貨明細表-基因檢測(201904起'!$P:$P,$A3&amp;"*",'來案暨出貨明細表-基因檢測(201904起'!$B:$B,AX$1)*$B3+COUNTIFS('來案暨出貨明細表-基因檢測(201904起'!$P:$P,$A3&amp;"*",'來案暨出貨明細表-基因檢測(201904起'!$B:$B,AX$1,'來案暨出貨明細表-基因檢測(201904起'!$Q:$Q,"紙本&amp;電子")++COUNTIFS('來案暨出貨明細表-基因檢測(201904起'!$P:$P,$A3&amp;"*",'來案暨出貨明細表-基因檢測(201904起'!$B:$B,AX$1,'來案暨出貨明細表-基因檢測(201904起'!$R:$R,"中英")</f>
        <v>0</v>
      </c>
      <c r="AY3" s="33">
        <f>COUNTIFS('來案暨出貨明細表-基因檢測(201904起'!$P:$P,$A3&amp;"*",'來案暨出貨明細表-基因檢測(201904起'!$B:$B,AY$1)*$B3+COUNTIFS('來案暨出貨明細表-基因檢測(201904起'!$P:$P,$A3&amp;"*",'來案暨出貨明細表-基因檢測(201904起'!$B:$B,AY$1,'來案暨出貨明細表-基因檢測(201904起'!$Q:$Q,"紙本&amp;電子")++COUNTIFS('來案暨出貨明細表-基因檢測(201904起'!$P:$P,$A3&amp;"*",'來案暨出貨明細表-基因檢測(201904起'!$B:$B,AY$1,'來案暨出貨明細表-基因檢測(201904起'!$R:$R,"中英")</f>
        <v>0</v>
      </c>
      <c r="AZ3" s="33">
        <f>COUNTIFS('來案暨出貨明細表-基因檢測(201904起'!$P:$P,$A3&amp;"*",'來案暨出貨明細表-基因檢測(201904起'!$B:$B,AZ$1)*$B3+COUNTIFS('來案暨出貨明細表-基因檢測(201904起'!$P:$P,$A3&amp;"*",'來案暨出貨明細表-基因檢測(201904起'!$B:$B,AZ$1,'來案暨出貨明細表-基因檢測(201904起'!$Q:$Q,"紙本&amp;電子")++COUNTIFS('來案暨出貨明細表-基因檢測(201904起'!$P:$P,$A3&amp;"*",'來案暨出貨明細表-基因檢測(201904起'!$B:$B,AZ$1,'來案暨出貨明細表-基因檢測(201904起'!$R:$R,"中英")</f>
        <v>0</v>
      </c>
      <c r="BA3" s="33">
        <f>COUNTIFS('來案暨出貨明細表-基因檢測(201904起'!$P:$P,$A3&amp;"*",'來案暨出貨明細表-基因檢測(201904起'!$B:$B,BA$1)*$B3+COUNTIFS('來案暨出貨明細表-基因檢測(201904起'!$P:$P,$A3&amp;"*",'來案暨出貨明細表-基因檢測(201904起'!$B:$B,BA$1,'來案暨出貨明細表-基因檢測(201904起'!$Q:$Q,"紙本&amp;電子")++COUNTIFS('來案暨出貨明細表-基因檢測(201904起'!$P:$P,$A3&amp;"*",'來案暨出貨明細表-基因檢測(201904起'!$B:$B,BA$1,'來案暨出貨明細表-基因檢測(201904起'!$R:$R,"中英")</f>
        <v>0</v>
      </c>
      <c r="BB3" s="33">
        <f>COUNTIFS('來案暨出貨明細表-基因檢測(201904起'!$P:$P,$A3&amp;"*",'來案暨出貨明細表-基因檢測(201904起'!$B:$B,BB$1)*$B3+COUNTIFS('來案暨出貨明細表-基因檢測(201904起'!$P:$P,$A3&amp;"*",'來案暨出貨明細表-基因檢測(201904起'!$B:$B,BB$1,'來案暨出貨明細表-基因檢測(201904起'!$Q:$Q,"紙本&amp;電子")++COUNTIFS('來案暨出貨明細表-基因檢測(201904起'!$P:$P,$A3&amp;"*",'來案暨出貨明細表-基因檢測(201904起'!$B:$B,BB$1,'來案暨出貨明細表-基因檢測(201904起'!$R:$R,"中英")</f>
        <v>0</v>
      </c>
      <c r="BC3" s="33">
        <f>COUNTIFS('來案暨出貨明細表-基因檢測(201904起'!$P:$P,$A3&amp;"*",'來案暨出貨明細表-基因檢測(201904起'!$B:$B,BC$1)*$B3+COUNTIFS('來案暨出貨明細表-基因檢測(201904起'!$P:$P,$A3&amp;"*",'來案暨出貨明細表-基因檢測(201904起'!$B:$B,BC$1,'來案暨出貨明細表-基因檢測(201904起'!$Q:$Q,"紙本&amp;電子")++COUNTIFS('來案暨出貨明細表-基因檢測(201904起'!$P:$P,$A3&amp;"*",'來案暨出貨明細表-基因檢測(201904起'!$B:$B,BC$1,'來案暨出貨明細表-基因檢測(201904起'!$R:$R,"中英")</f>
        <v>0</v>
      </c>
      <c r="BD3" s="33">
        <f>COUNTIFS('來案暨出貨明細表-基因檢測(201904起'!$P:$P,$A3&amp;"*",'來案暨出貨明細表-基因檢測(201904起'!$B:$B,BD$1)*$B3+COUNTIFS('來案暨出貨明細表-基因檢測(201904起'!$P:$P,$A3&amp;"*",'來案暨出貨明細表-基因檢測(201904起'!$B:$B,BD$1,'來案暨出貨明細表-基因檢測(201904起'!$Q:$Q,"紙本&amp;電子")++COUNTIFS('來案暨出貨明細表-基因檢測(201904起'!$P:$P,$A3&amp;"*",'來案暨出貨明細表-基因檢測(201904起'!$B:$B,BD$1,'來案暨出貨明細表-基因檢測(201904起'!$R:$R,"中英")</f>
        <v>0</v>
      </c>
      <c r="BE3" s="33">
        <f>COUNTIFS('來案暨出貨明細表-基因檢測(201904起'!$P:$P,$A3&amp;"*",'來案暨出貨明細表-基因檢測(201904起'!$B:$B,BE$1)*$B3+COUNTIFS('來案暨出貨明細表-基因檢測(201904起'!$P:$P,$A3&amp;"*",'來案暨出貨明細表-基因檢測(201904起'!$B:$B,BE$1,'來案暨出貨明細表-基因檢測(201904起'!$Q:$Q,"紙本&amp;電子")++COUNTIFS('來案暨出貨明細表-基因檢測(201904起'!$P:$P,$A3&amp;"*",'來案暨出貨明細表-基因檢測(201904起'!$B:$B,BE$1,'來案暨出貨明細表-基因檢測(201904起'!$R:$R,"中英")</f>
        <v>0</v>
      </c>
      <c r="BF3" s="33">
        <f>COUNTIFS('來案暨出貨明細表-基因檢測(201904起'!$P:$P,$A3&amp;"*",'來案暨出貨明細表-基因檢測(201904起'!$B:$B,BF$1)*$B3+COUNTIFS('來案暨出貨明細表-基因檢測(201904起'!$P:$P,$A3&amp;"*",'來案暨出貨明細表-基因檢測(201904起'!$B:$B,BF$1,'來案暨出貨明細表-基因檢測(201904起'!$Q:$Q,"紙本&amp;電子")++COUNTIFS('來案暨出貨明細表-基因檢測(201904起'!$P:$P,$A3&amp;"*",'來案暨出貨明細表-基因檢測(201904起'!$B:$B,BF$1,'來案暨出貨明細表-基因檢測(201904起'!$R:$R,"中英")</f>
        <v>0</v>
      </c>
      <c r="BG3" s="33">
        <f>COUNTIFS('來案暨出貨明細表-基因檢測(201904起'!$P:$P,$A3&amp;"*",'來案暨出貨明細表-基因檢測(201904起'!$B:$B,BG$1)*$B3+COUNTIFS('來案暨出貨明細表-基因檢測(201904起'!$P:$P,$A3&amp;"*",'來案暨出貨明細表-基因檢測(201904起'!$B:$B,BG$1,'來案暨出貨明細表-基因檢測(201904起'!$Q:$Q,"紙本&amp;電子")++COUNTIFS('來案暨出貨明細表-基因檢測(201904起'!$P:$P,$A3&amp;"*",'來案暨出貨明細表-基因檢測(201904起'!$B:$B,BG$1,'來案暨出貨明細表-基因檢測(201904起'!$R:$R,"中英")</f>
        <v>0</v>
      </c>
      <c r="BH3" s="33">
        <f>COUNTIFS('來案暨出貨明細表-基因檢測(201904起'!$P:$P,$A3&amp;"*",'來案暨出貨明細表-基因檢測(201904起'!$B:$B,BH$1)*$B3+COUNTIFS('來案暨出貨明細表-基因檢測(201904起'!$P:$P,$A3&amp;"*",'來案暨出貨明細表-基因檢測(201904起'!$B:$B,BH$1,'來案暨出貨明細表-基因檢測(201904起'!$Q:$Q,"紙本&amp;電子")++COUNTIFS('來案暨出貨明細表-基因檢測(201904起'!$P:$P,$A3&amp;"*",'來案暨出貨明細表-基因檢測(201904起'!$B:$B,BH$1,'來案暨出貨明細表-基因檢測(201904起'!$R:$R,"中英")</f>
        <v>0</v>
      </c>
      <c r="BI3" s="33">
        <f>COUNTIFS('來案暨出貨明細表-基因檢測(201904起'!$P:$P,$A3&amp;"*",'來案暨出貨明細表-基因檢測(201904起'!$B:$B,BI$1)*$B3+COUNTIFS('來案暨出貨明細表-基因檢測(201904起'!$P:$P,$A3&amp;"*",'來案暨出貨明細表-基因檢測(201904起'!$B:$B,BI$1,'來案暨出貨明細表-基因檢測(201904起'!$Q:$Q,"紙本&amp;電子")++COUNTIFS('來案暨出貨明細表-基因檢測(201904起'!$P:$P,$A3&amp;"*",'來案暨出貨明細表-基因檢測(201904起'!$B:$B,BI$1,'來案暨出貨明細表-基因檢測(201904起'!$R:$R,"中英")</f>
        <v>0</v>
      </c>
      <c r="BJ3" s="33">
        <f>COUNTIFS('來案暨出貨明細表-基因檢測(201904起'!$P:$P,$A3&amp;"*",'來案暨出貨明細表-基因檢測(201904起'!$B:$B,BJ$1)*$B3+COUNTIFS('來案暨出貨明細表-基因檢測(201904起'!$P:$P,$A3&amp;"*",'來案暨出貨明細表-基因檢測(201904起'!$B:$B,BJ$1,'來案暨出貨明細表-基因檢測(201904起'!$Q:$Q,"紙本&amp;電子")++COUNTIFS('來案暨出貨明細表-基因檢測(201904起'!$P:$P,$A3&amp;"*",'來案暨出貨明細表-基因檢測(201904起'!$B:$B,BJ$1,'來案暨出貨明細表-基因檢測(201904起'!$R:$R,"中英")</f>
        <v>0</v>
      </c>
      <c r="BK3" s="33">
        <f>COUNTIFS('來案暨出貨明細表-基因檢測(201904起'!$P:$P,$A3&amp;"*",'來案暨出貨明細表-基因檢測(201904起'!$B:$B,BK$1)*$B3+COUNTIFS('來案暨出貨明細表-基因檢測(201904起'!$P:$P,$A3&amp;"*",'來案暨出貨明細表-基因檢測(201904起'!$B:$B,BK$1,'來案暨出貨明細表-基因檢測(201904起'!$Q:$Q,"紙本&amp;電子")++COUNTIFS('來案暨出貨明細表-基因檢測(201904起'!$P:$P,$A3&amp;"*",'來案暨出貨明細表-基因檢測(201904起'!$B:$B,BK$1,'來案暨出貨明細表-基因檢測(201904起'!$R:$R,"中英")</f>
        <v>0</v>
      </c>
      <c r="BL3" s="33">
        <f>COUNTIFS('來案暨出貨明細表-基因檢測(201904起'!$P:$P,$A3&amp;"*",'來案暨出貨明細表-基因檢測(201904起'!$B:$B,BL$1)*$B3+COUNTIFS('來案暨出貨明細表-基因檢測(201904起'!$P:$P,$A3&amp;"*",'來案暨出貨明細表-基因檢測(201904起'!$B:$B,BL$1,'來案暨出貨明細表-基因檢測(201904起'!$Q:$Q,"紙本&amp;電子")++COUNTIFS('來案暨出貨明細表-基因檢測(201904起'!$P:$P,$A3&amp;"*",'來案暨出貨明細表-基因檢測(201904起'!$B:$B,BL$1,'來案暨出貨明細表-基因檢測(201904起'!$R:$R,"中英")</f>
        <v>0</v>
      </c>
      <c r="BM3" s="33">
        <f>COUNTIFS('來案暨出貨明細表-基因檢測(201904起'!$P:$P,$A3&amp;"*",'來案暨出貨明細表-基因檢測(201904起'!$B:$B,BM$1)*$B3+COUNTIFS('來案暨出貨明細表-基因檢測(201904起'!$P:$P,$A3&amp;"*",'來案暨出貨明細表-基因檢測(201904起'!$B:$B,BM$1,'來案暨出貨明細表-基因檢測(201904起'!$Q:$Q,"紙本&amp;電子")++COUNTIFS('來案暨出貨明細表-基因檢測(201904起'!$P:$P,$A3&amp;"*",'來案暨出貨明細表-基因檢測(201904起'!$B:$B,BM$1,'來案暨出貨明細表-基因檢測(201904起'!$R:$R,"中英")</f>
        <v>0</v>
      </c>
    </row>
    <row r="4" spans="1:65" ht="15" customHeight="1">
      <c r="A4" s="9" t="s">
        <v>1821</v>
      </c>
      <c r="B4" s="9">
        <v>1</v>
      </c>
      <c r="C4" s="13" t="s">
        <v>1822</v>
      </c>
      <c r="D4" s="142" t="s">
        <v>1821</v>
      </c>
      <c r="E4" s="33">
        <f>COUNTIFS('來案暨出貨明細表-基因檢測(201904起'!$P:$P,$A4&amp;"*",'來案暨出貨明細表-基因檢測(201904起'!$B:$B,E$1)*$B4+COUNTIFS('來案暨出貨明細表-基因檢測(201904起'!$P:$P,$A4&amp;"*",'來案暨出貨明細表-基因檢測(201904起'!$B:$B,E$1,'來案暨出貨明細表-基因檢測(201904起'!$Q:$Q,"紙本&amp;電子")++COUNTIFS('來案暨出貨明細表-基因檢測(201904起'!$P:$P,$A4&amp;"*",'來案暨出貨明細表-基因檢測(201904起'!$B:$B,E$1,'來案暨出貨明細表-基因檢測(201904起'!$R:$R,"中英")</f>
        <v>2</v>
      </c>
      <c r="F4" s="33">
        <f>COUNTIFS('來案暨出貨明細表-基因檢測(201904起'!$P:$P,$A4&amp;"*",'來案暨出貨明細表-基因檢測(201904起'!$B:$B,F$1)*$B4+COUNTIFS('來案暨出貨明細表-基因檢測(201904起'!$P:$P,$A4&amp;"*",'來案暨出貨明細表-基因檢測(201904起'!$B:$B,F$1,'來案暨出貨明細表-基因檢測(201904起'!$Q:$Q,"紙本&amp;電子")++COUNTIFS('來案暨出貨明細表-基因檢測(201904起'!$P:$P,$A4&amp;"*",'來案暨出貨明細表-基因檢測(201904起'!$B:$B,F$1,'來案暨出貨明細表-基因檢測(201904起'!$R:$R,"中英")</f>
        <v>0</v>
      </c>
      <c r="G4" s="33">
        <f>COUNTIFS('來案暨出貨明細表-基因檢測(201904起'!$P:$P,$A4&amp;"*",'來案暨出貨明細表-基因檢測(201904起'!$B:$B,G$1)*$B4+COUNTIFS('來案暨出貨明細表-基因檢測(201904起'!$P:$P,$A4&amp;"*",'來案暨出貨明細表-基因檢測(201904起'!$B:$B,G$1,'來案暨出貨明細表-基因檢測(201904起'!$Q:$Q,"紙本&amp;電子")++COUNTIFS('來案暨出貨明細表-基因檢測(201904起'!$P:$P,$A4&amp;"*",'來案暨出貨明細表-基因檢測(201904起'!$B:$B,G$1,'來案暨出貨明細表-基因檢測(201904起'!$R:$R,"中英")</f>
        <v>0</v>
      </c>
      <c r="H4" s="33">
        <f>COUNTIFS('來案暨出貨明細表-基因檢測(201904起'!$P:$P,$A4&amp;"*",'來案暨出貨明細表-基因檢測(201904起'!$B:$B,H$1)*$B4+COUNTIFS('來案暨出貨明細表-基因檢測(201904起'!$P:$P,$A4&amp;"*",'來案暨出貨明細表-基因檢測(201904起'!$B:$B,H$1,'來案暨出貨明細表-基因檢測(201904起'!$Q:$Q,"紙本&amp;電子")++COUNTIFS('來案暨出貨明細表-基因檢測(201904起'!$P:$P,$A4&amp;"*",'來案暨出貨明細表-基因檢測(201904起'!$B:$B,H$1,'來案暨出貨明細表-基因檢測(201904起'!$R:$R,"中英")</f>
        <v>0</v>
      </c>
      <c r="I4" s="33">
        <f>COUNTIFS('來案暨出貨明細表-基因檢測(201904起'!$P:$P,$A4&amp;"*",'來案暨出貨明細表-基因檢測(201904起'!$B:$B,I$1)*$B4+COUNTIFS('來案暨出貨明細表-基因檢測(201904起'!$P:$P,$A4&amp;"*",'來案暨出貨明細表-基因檢測(201904起'!$B:$B,I$1,'來案暨出貨明細表-基因檢測(201904起'!$Q:$Q,"紙本&amp;電子")++COUNTIFS('來案暨出貨明細表-基因檢測(201904起'!$P:$P,$A4&amp;"*",'來案暨出貨明細表-基因檢測(201904起'!$B:$B,I$1,'來案暨出貨明細表-基因檢測(201904起'!$R:$R,"中英")</f>
        <v>0</v>
      </c>
      <c r="J4" s="33">
        <f>COUNTIFS('來案暨出貨明細表-基因檢測(201904起'!$P:$P,$A4&amp;"*",'來案暨出貨明細表-基因檢測(201904起'!$B:$B,J$1)*$B4+COUNTIFS('來案暨出貨明細表-基因檢測(201904起'!$P:$P,$A4&amp;"*",'來案暨出貨明細表-基因檢測(201904起'!$B:$B,J$1,'來案暨出貨明細表-基因檢測(201904起'!$Q:$Q,"紙本&amp;電子")++COUNTIFS('來案暨出貨明細表-基因檢測(201904起'!$P:$P,$A4&amp;"*",'來案暨出貨明細表-基因檢測(201904起'!$B:$B,J$1,'來案暨出貨明細表-基因檢測(201904起'!$R:$R,"中英")</f>
        <v>0</v>
      </c>
      <c r="K4" s="33">
        <f>COUNTIFS('來案暨出貨明細表-基因檢測(201904起'!$P:$P,$A4&amp;"*",'來案暨出貨明細表-基因檢測(201904起'!$B:$B,K$1)*$B4+COUNTIFS('來案暨出貨明細表-基因檢測(201904起'!$P:$P,$A4&amp;"*",'來案暨出貨明細表-基因檢測(201904起'!$B:$B,K$1,'來案暨出貨明細表-基因檢測(201904起'!$Q:$Q,"紙本&amp;電子")++COUNTIFS('來案暨出貨明細表-基因檢測(201904起'!$P:$P,$A4&amp;"*",'來案暨出貨明細表-基因檢測(201904起'!$B:$B,K$1,'來案暨出貨明細表-基因檢測(201904起'!$R:$R,"中英")</f>
        <v>0</v>
      </c>
      <c r="L4" s="33">
        <f>COUNTIFS('來案暨出貨明細表-基因檢測(201904起'!$P:$P,$A4&amp;"*",'來案暨出貨明細表-基因檢測(201904起'!$B:$B,L$1)*$B4+COUNTIFS('來案暨出貨明細表-基因檢測(201904起'!$P:$P,$A4&amp;"*",'來案暨出貨明細表-基因檢測(201904起'!$B:$B,L$1,'來案暨出貨明細表-基因檢測(201904起'!$Q:$Q,"紙本&amp;電子")++COUNTIFS('來案暨出貨明細表-基因檢測(201904起'!$P:$P,$A4&amp;"*",'來案暨出貨明細表-基因檢測(201904起'!$B:$B,L$1,'來案暨出貨明細表-基因檢測(201904起'!$R:$R,"中英")</f>
        <v>0</v>
      </c>
      <c r="M4" s="33">
        <f>COUNTIFS('來案暨出貨明細表-基因檢測(201904起'!$P:$P,$A4&amp;"*",'來案暨出貨明細表-基因檢測(201904起'!$B:$B,M$1)*$B4+COUNTIFS('來案暨出貨明細表-基因檢測(201904起'!$P:$P,$A4&amp;"*",'來案暨出貨明細表-基因檢測(201904起'!$B:$B,M$1,'來案暨出貨明細表-基因檢測(201904起'!$Q:$Q,"紙本&amp;電子")++COUNTIFS('來案暨出貨明細表-基因檢測(201904起'!$P:$P,$A4&amp;"*",'來案暨出貨明細表-基因檢測(201904起'!$B:$B,M$1,'來案暨出貨明細表-基因檢測(201904起'!$R:$R,"中英")</f>
        <v>1</v>
      </c>
      <c r="N4" s="33">
        <f>COUNTIFS('來案暨出貨明細表-基因檢測(201904起'!$P:$P,$A4&amp;"*",'來案暨出貨明細表-基因檢測(201904起'!$B:$B,N$1)*$B4+COUNTIFS('來案暨出貨明細表-基因檢測(201904起'!$P:$P,$A4&amp;"*",'來案暨出貨明細表-基因檢測(201904起'!$B:$B,N$1,'來案暨出貨明細表-基因檢測(201904起'!$Q:$Q,"紙本&amp;電子")++COUNTIFS('來案暨出貨明細表-基因檢測(201904起'!$P:$P,$A4&amp;"*",'來案暨出貨明細表-基因檢測(201904起'!$B:$B,N$1,'來案暨出貨明細表-基因檢測(201904起'!$R:$R,"中英")</f>
        <v>0</v>
      </c>
      <c r="O4" s="33">
        <f>COUNTIFS('來案暨出貨明細表-基因檢測(201904起'!$P:$P,$A4&amp;"*",'來案暨出貨明細表-基因檢測(201904起'!$B:$B,O$1)*$B4+COUNTIFS('來案暨出貨明細表-基因檢測(201904起'!$P:$P,$A4&amp;"*",'來案暨出貨明細表-基因檢測(201904起'!$B:$B,O$1,'來案暨出貨明細表-基因檢測(201904起'!$Q:$Q,"紙本&amp;電子")++COUNTIFS('來案暨出貨明細表-基因檢測(201904起'!$P:$P,$A4&amp;"*",'來案暨出貨明細表-基因檢測(201904起'!$B:$B,O$1,'來案暨出貨明細表-基因檢測(201904起'!$R:$R,"中英")</f>
        <v>0</v>
      </c>
      <c r="P4" s="33">
        <f>COUNTIFS('來案暨出貨明細表-基因檢測(201904起'!$P:$P,$A4&amp;"*",'來案暨出貨明細表-基因檢測(201904起'!$B:$B,P$1)*$B4+COUNTIFS('來案暨出貨明細表-基因檢測(201904起'!$P:$P,$A4&amp;"*",'來案暨出貨明細表-基因檢測(201904起'!$B:$B,P$1,'來案暨出貨明細表-基因檢測(201904起'!$Q:$Q,"紙本&amp;電子")++COUNTIFS('來案暨出貨明細表-基因檢測(201904起'!$P:$P,$A4&amp;"*",'來案暨出貨明細表-基因檢測(201904起'!$B:$B,P$1,'來案暨出貨明細表-基因檢測(201904起'!$R:$R,"中英")</f>
        <v>0</v>
      </c>
      <c r="Q4" s="33">
        <f>COUNTIFS('來案暨出貨明細表-基因檢測(201904起'!$P:$P,$A4&amp;"*",'來案暨出貨明細表-基因檢測(201904起'!$B:$B,Q$1)*$B4+COUNTIFS('來案暨出貨明細表-基因檢測(201904起'!$P:$P,$A4&amp;"*",'來案暨出貨明細表-基因檢測(201904起'!$B:$B,Q$1,'來案暨出貨明細表-基因檢測(201904起'!$Q:$Q,"紙本&amp;電子")++COUNTIFS('來案暨出貨明細表-基因檢測(201904起'!$P:$P,$A4&amp;"*",'來案暨出貨明細表-基因檢測(201904起'!$B:$B,Q$1,'來案暨出貨明細表-基因檢測(201904起'!$R:$R,"中英")</f>
        <v>0</v>
      </c>
      <c r="R4" s="33">
        <f>COUNTIFS('來案暨出貨明細表-基因檢測(201904起'!$P:$P,$A4&amp;"*",'來案暨出貨明細表-基因檢測(201904起'!$B:$B,R$1)*$B4+COUNTIFS('來案暨出貨明細表-基因檢測(201904起'!$P:$P,$A4&amp;"*",'來案暨出貨明細表-基因檢測(201904起'!$B:$B,R$1,'來案暨出貨明細表-基因檢測(201904起'!$Q:$Q,"紙本&amp;電子")++COUNTIFS('來案暨出貨明細表-基因檢測(201904起'!$P:$P,$A4&amp;"*",'來案暨出貨明細表-基因檢測(201904起'!$B:$B,R$1,'來案暨出貨明細表-基因檢測(201904起'!$R:$R,"中英")</f>
        <v>0</v>
      </c>
      <c r="S4" s="33">
        <f>COUNTIFS('來案暨出貨明細表-基因檢測(201904起'!$P:$P,$A4&amp;"*",'來案暨出貨明細表-基因檢測(201904起'!$B:$B,S$1)*$B4+COUNTIFS('來案暨出貨明細表-基因檢測(201904起'!$P:$P,$A4&amp;"*",'來案暨出貨明細表-基因檢測(201904起'!$B:$B,S$1,'來案暨出貨明細表-基因檢測(201904起'!$Q:$Q,"紙本&amp;電子")++COUNTIFS('來案暨出貨明細表-基因檢測(201904起'!$P:$P,$A4&amp;"*",'來案暨出貨明細表-基因檢測(201904起'!$B:$B,S$1,'來案暨出貨明細表-基因檢測(201904起'!$R:$R,"中英")</f>
        <v>0</v>
      </c>
      <c r="T4" s="33">
        <f>COUNTIFS('來案暨出貨明細表-基因檢測(201904起'!$P:$P,$A4&amp;"*",'來案暨出貨明細表-基因檢測(201904起'!$B:$B,T$1)*$B4+COUNTIFS('來案暨出貨明細表-基因檢測(201904起'!$P:$P,$A4&amp;"*",'來案暨出貨明細表-基因檢測(201904起'!$B:$B,T$1,'來案暨出貨明細表-基因檢測(201904起'!$Q:$Q,"紙本&amp;電子")++COUNTIFS('來案暨出貨明細表-基因檢測(201904起'!$P:$P,$A4&amp;"*",'來案暨出貨明細表-基因檢測(201904起'!$B:$B,T$1,'來案暨出貨明細表-基因檢測(201904起'!$R:$R,"中英")</f>
        <v>0</v>
      </c>
      <c r="U4" s="33">
        <f>COUNTIFS('來案暨出貨明細表-基因檢測(201904起'!$P:$P,$A4&amp;"*",'來案暨出貨明細表-基因檢測(201904起'!$B:$B,U$1)*$B4+COUNTIFS('來案暨出貨明細表-基因檢測(201904起'!$P:$P,$A4&amp;"*",'來案暨出貨明細表-基因檢測(201904起'!$B:$B,U$1,'來案暨出貨明細表-基因檢測(201904起'!$Q:$Q,"紙本&amp;電子")++COUNTIFS('來案暨出貨明細表-基因檢測(201904起'!$P:$P,$A4&amp;"*",'來案暨出貨明細表-基因檢測(201904起'!$B:$B,U$1,'來案暨出貨明細表-基因檢測(201904起'!$R:$R,"中英")</f>
        <v>0</v>
      </c>
      <c r="V4" s="33">
        <f>COUNTIFS('來案暨出貨明細表-基因檢測(201904起'!$P:$P,$A4&amp;"*",'來案暨出貨明細表-基因檢測(201904起'!$B:$B,V$1)*$B4+COUNTIFS('來案暨出貨明細表-基因檢測(201904起'!$P:$P,$A4&amp;"*",'來案暨出貨明細表-基因檢測(201904起'!$B:$B,V$1,'來案暨出貨明細表-基因檢測(201904起'!$Q:$Q,"紙本&amp;電子")++COUNTIFS('來案暨出貨明細表-基因檢測(201904起'!$P:$P,$A4&amp;"*",'來案暨出貨明細表-基因檢測(201904起'!$B:$B,V$1,'來案暨出貨明細表-基因檢測(201904起'!$R:$R,"中英")</f>
        <v>0</v>
      </c>
      <c r="W4" s="33">
        <f>COUNTIFS('來案暨出貨明細表-基因檢測(201904起'!$P:$P,$A4&amp;"*",'來案暨出貨明細表-基因檢測(201904起'!$B:$B,W$1)*$B4+COUNTIFS('來案暨出貨明細表-基因檢測(201904起'!$P:$P,$A4&amp;"*",'來案暨出貨明細表-基因檢測(201904起'!$B:$B,W$1,'來案暨出貨明細表-基因檢測(201904起'!$Q:$Q,"紙本&amp;電子")++COUNTIFS('來案暨出貨明細表-基因檢測(201904起'!$P:$P,$A4&amp;"*",'來案暨出貨明細表-基因檢測(201904起'!$B:$B,W$1,'來案暨出貨明細表-基因檢測(201904起'!$R:$R,"中英")</f>
        <v>0</v>
      </c>
      <c r="X4" s="33">
        <f>COUNTIFS('來案暨出貨明細表-基因檢測(201904起'!$P:$P,$A4&amp;"*",'來案暨出貨明細表-基因檢測(201904起'!$B:$B,X$1)*$B4+COUNTIFS('來案暨出貨明細表-基因檢測(201904起'!$P:$P,$A4&amp;"*",'來案暨出貨明細表-基因檢測(201904起'!$B:$B,X$1,'來案暨出貨明細表-基因檢測(201904起'!$Q:$Q,"紙本&amp;電子")++COUNTIFS('來案暨出貨明細表-基因檢測(201904起'!$P:$P,$A4&amp;"*",'來案暨出貨明細表-基因檢測(201904起'!$B:$B,X$1,'來案暨出貨明細表-基因檢測(201904起'!$R:$R,"中英")</f>
        <v>0</v>
      </c>
      <c r="Y4" s="33">
        <f>COUNTIFS('來案暨出貨明細表-基因檢測(201904起'!$P:$P,$A4&amp;"*",'來案暨出貨明細表-基因檢測(201904起'!$B:$B,Y$1)*$B4+COUNTIFS('來案暨出貨明細表-基因檢測(201904起'!$P:$P,$A4&amp;"*",'來案暨出貨明細表-基因檢測(201904起'!$B:$B,Y$1,'來案暨出貨明細表-基因檢測(201904起'!$Q:$Q,"紙本&amp;電子")++COUNTIFS('來案暨出貨明細表-基因檢測(201904起'!$P:$P,$A4&amp;"*",'來案暨出貨明細表-基因檢測(201904起'!$B:$B,Y$1,'來案暨出貨明細表-基因檢測(201904起'!$R:$R,"中英")</f>
        <v>0</v>
      </c>
      <c r="Z4" s="33">
        <f>COUNTIFS('來案暨出貨明細表-基因檢測(201904起'!$P:$P,$A4&amp;"*",'來案暨出貨明細表-基因檢測(201904起'!$B:$B,Z$1)*$B4+COUNTIFS('來案暨出貨明細表-基因檢測(201904起'!$P:$P,$A4&amp;"*",'來案暨出貨明細表-基因檢測(201904起'!$B:$B,Z$1,'來案暨出貨明細表-基因檢測(201904起'!$Q:$Q,"紙本&amp;電子")++COUNTIFS('來案暨出貨明細表-基因檢測(201904起'!$P:$P,$A4&amp;"*",'來案暨出貨明細表-基因檢測(201904起'!$B:$B,Z$1,'來案暨出貨明細表-基因檢測(201904起'!$R:$R,"中英")</f>
        <v>0</v>
      </c>
      <c r="AA4" s="33">
        <f>COUNTIFS('來案暨出貨明細表-基因檢測(201904起'!$P:$P,$A4&amp;"*",'來案暨出貨明細表-基因檢測(201904起'!$B:$B,AA$1)*$B4+COUNTIFS('來案暨出貨明細表-基因檢測(201904起'!$P:$P,$A4&amp;"*",'來案暨出貨明細表-基因檢測(201904起'!$B:$B,AA$1,'來案暨出貨明細表-基因檢測(201904起'!$Q:$Q,"紙本&amp;電子")++COUNTIFS('來案暨出貨明細表-基因檢測(201904起'!$P:$P,$A4&amp;"*",'來案暨出貨明細表-基因檢測(201904起'!$B:$B,AA$1,'來案暨出貨明細表-基因檢測(201904起'!$R:$R,"中英")</f>
        <v>0</v>
      </c>
      <c r="AB4" s="33">
        <f>COUNTIFS('來案暨出貨明細表-基因檢測(201904起'!$P:$P,$A4&amp;"*",'來案暨出貨明細表-基因檢測(201904起'!$B:$B,AB$1)*$B4+COUNTIFS('來案暨出貨明細表-基因檢測(201904起'!$P:$P,$A4&amp;"*",'來案暨出貨明細表-基因檢測(201904起'!$B:$B,AB$1,'來案暨出貨明細表-基因檢測(201904起'!$Q:$Q,"紙本&amp;電子")++COUNTIFS('來案暨出貨明細表-基因檢測(201904起'!$P:$P,$A4&amp;"*",'來案暨出貨明細表-基因檢測(201904起'!$B:$B,AB$1,'來案暨出貨明細表-基因檢測(201904起'!$R:$R,"中英")</f>
        <v>0</v>
      </c>
      <c r="AC4" s="33">
        <f>COUNTIFS('來案暨出貨明細表-基因檢測(201904起'!$P:$P,$A4&amp;"*",'來案暨出貨明細表-基因檢測(201904起'!$B:$B,AC$1)*$B4+COUNTIFS('來案暨出貨明細表-基因檢測(201904起'!$P:$P,$A4&amp;"*",'來案暨出貨明細表-基因檢測(201904起'!$B:$B,AC$1,'來案暨出貨明細表-基因檢測(201904起'!$Q:$Q,"紙本&amp;電子")++COUNTIFS('來案暨出貨明細表-基因檢測(201904起'!$P:$P,$A4&amp;"*",'來案暨出貨明細表-基因檢測(201904起'!$B:$B,AC$1,'來案暨出貨明細表-基因檢測(201904起'!$R:$R,"中英")</f>
        <v>0</v>
      </c>
      <c r="AD4" s="33">
        <f>COUNTIFS('來案暨出貨明細表-基因檢測(201904起'!$P:$P,$A4&amp;"*",'來案暨出貨明細表-基因檢測(201904起'!$B:$B,AD$1)*$B4+COUNTIFS('來案暨出貨明細表-基因檢測(201904起'!$P:$P,$A4&amp;"*",'來案暨出貨明細表-基因檢測(201904起'!$B:$B,AD$1,'來案暨出貨明細表-基因檢測(201904起'!$Q:$Q,"紙本&amp;電子")++COUNTIFS('來案暨出貨明細表-基因檢測(201904起'!$P:$P,$A4&amp;"*",'來案暨出貨明細表-基因檢測(201904起'!$B:$B,AD$1,'來案暨出貨明細表-基因檢測(201904起'!$R:$R,"中英")</f>
        <v>0</v>
      </c>
      <c r="AE4" s="33">
        <f>COUNTIFS('來案暨出貨明細表-基因檢測(201904起'!$P:$P,$A4&amp;"*",'來案暨出貨明細表-基因檢測(201904起'!$B:$B,AE$1)*$B4+COUNTIFS('來案暨出貨明細表-基因檢測(201904起'!$P:$P,$A4&amp;"*",'來案暨出貨明細表-基因檢測(201904起'!$B:$B,AE$1,'來案暨出貨明細表-基因檢測(201904起'!$Q:$Q,"紙本&amp;電子")++COUNTIFS('來案暨出貨明細表-基因檢測(201904起'!$P:$P,$A4&amp;"*",'來案暨出貨明細表-基因檢測(201904起'!$B:$B,AE$1,'來案暨出貨明細表-基因檢測(201904起'!$R:$R,"中英")</f>
        <v>0</v>
      </c>
      <c r="AF4" s="33">
        <f>COUNTIFS('來案暨出貨明細表-基因檢測(201904起'!$P:$P,$A4&amp;"*",'來案暨出貨明細表-基因檢測(201904起'!$B:$B,AF$1)*$B4+COUNTIFS('來案暨出貨明細表-基因檢測(201904起'!$P:$P,$A4&amp;"*",'來案暨出貨明細表-基因檢測(201904起'!$B:$B,AF$1,'來案暨出貨明細表-基因檢測(201904起'!$Q:$Q,"紙本&amp;電子")++COUNTIFS('來案暨出貨明細表-基因檢測(201904起'!$P:$P,$A4&amp;"*",'來案暨出貨明細表-基因檢測(201904起'!$B:$B,AF$1,'來案暨出貨明細表-基因檢測(201904起'!$R:$R,"中英")</f>
        <v>0</v>
      </c>
      <c r="AG4" s="33">
        <f>COUNTIFS('來案暨出貨明細表-基因檢測(201904起'!$P:$P,$A4&amp;"*",'來案暨出貨明細表-基因檢測(201904起'!$B:$B,AG$1)*$B4+COUNTIFS('來案暨出貨明細表-基因檢測(201904起'!$P:$P,$A4&amp;"*",'來案暨出貨明細表-基因檢測(201904起'!$B:$B,AG$1,'來案暨出貨明細表-基因檢測(201904起'!$Q:$Q,"紙本&amp;電子")++COUNTIFS('來案暨出貨明細表-基因檢測(201904起'!$P:$P,$A4&amp;"*",'來案暨出貨明細表-基因檢測(201904起'!$B:$B,AG$1,'來案暨出貨明細表-基因檢測(201904起'!$R:$R,"中英")</f>
        <v>0</v>
      </c>
      <c r="AH4" s="33">
        <f>COUNTIFS('來案暨出貨明細表-基因檢測(201904起'!$P:$P,$A4&amp;"*",'來案暨出貨明細表-基因檢測(201904起'!$B:$B,AH$1)*$B4+COUNTIFS('來案暨出貨明細表-基因檢測(201904起'!$P:$P,$A4&amp;"*",'來案暨出貨明細表-基因檢測(201904起'!$B:$B,AH$1,'來案暨出貨明細表-基因檢測(201904起'!$Q:$Q,"紙本&amp;電子")++COUNTIFS('來案暨出貨明細表-基因檢測(201904起'!$P:$P,$A4&amp;"*",'來案暨出貨明細表-基因檢測(201904起'!$B:$B,AH$1,'來案暨出貨明細表-基因檢測(201904起'!$R:$R,"中英")</f>
        <v>0</v>
      </c>
      <c r="AI4" s="33">
        <f>COUNTIFS('來案暨出貨明細表-基因檢測(201904起'!$P:$P,$A4&amp;"*",'來案暨出貨明細表-基因檢測(201904起'!$B:$B,AI$1)*$B4+COUNTIFS('來案暨出貨明細表-基因檢測(201904起'!$P:$P,$A4&amp;"*",'來案暨出貨明細表-基因檢測(201904起'!$B:$B,AI$1,'來案暨出貨明細表-基因檢測(201904起'!$Q:$Q,"紙本&amp;電子")++COUNTIFS('來案暨出貨明細表-基因檢測(201904起'!$P:$P,$A4&amp;"*",'來案暨出貨明細表-基因檢測(201904起'!$B:$B,AI$1,'來案暨出貨明細表-基因檢測(201904起'!$R:$R,"中英")</f>
        <v>0</v>
      </c>
      <c r="AJ4" s="33">
        <f>COUNTIFS('來案暨出貨明細表-基因檢測(201904起'!$P:$P,$A4&amp;"*",'來案暨出貨明細表-基因檢測(201904起'!$B:$B,AJ$1)*$B4+COUNTIFS('來案暨出貨明細表-基因檢測(201904起'!$P:$P,$A4&amp;"*",'來案暨出貨明細表-基因檢測(201904起'!$B:$B,AJ$1,'來案暨出貨明細表-基因檢測(201904起'!$Q:$Q,"紙本&amp;電子")++COUNTIFS('來案暨出貨明細表-基因檢測(201904起'!$P:$P,$A4&amp;"*",'來案暨出貨明細表-基因檢測(201904起'!$B:$B,AJ$1,'來案暨出貨明細表-基因檢測(201904起'!$R:$R,"中英")</f>
        <v>0</v>
      </c>
      <c r="AK4" s="33">
        <f>COUNTIFS('來案暨出貨明細表-基因檢測(201904起'!$P:$P,$A4&amp;"*",'來案暨出貨明細表-基因檢測(201904起'!$B:$B,AK$1)*$B4+COUNTIFS('來案暨出貨明細表-基因檢測(201904起'!$P:$P,$A4&amp;"*",'來案暨出貨明細表-基因檢測(201904起'!$B:$B,AK$1,'來案暨出貨明細表-基因檢測(201904起'!$Q:$Q,"紙本&amp;電子")++COUNTIFS('來案暨出貨明細表-基因檢測(201904起'!$P:$P,$A4&amp;"*",'來案暨出貨明細表-基因檢測(201904起'!$B:$B,AK$1,'來案暨出貨明細表-基因檢測(201904起'!$R:$R,"中英")</f>
        <v>0</v>
      </c>
      <c r="AL4" s="33">
        <f>COUNTIFS('來案暨出貨明細表-基因檢測(201904起'!$P:$P,$A4&amp;"*",'來案暨出貨明細表-基因檢測(201904起'!$B:$B,AL$1)*$B4+COUNTIFS('來案暨出貨明細表-基因檢測(201904起'!$P:$P,$A4&amp;"*",'來案暨出貨明細表-基因檢測(201904起'!$B:$B,AL$1,'來案暨出貨明細表-基因檢測(201904起'!$Q:$Q,"紙本&amp;電子")++COUNTIFS('來案暨出貨明細表-基因檢測(201904起'!$P:$P,$A4&amp;"*",'來案暨出貨明細表-基因檢測(201904起'!$B:$B,AL$1,'來案暨出貨明細表-基因檢測(201904起'!$R:$R,"中英")</f>
        <v>0</v>
      </c>
      <c r="AM4" s="33">
        <f>COUNTIFS('來案暨出貨明細表-基因檢測(201904起'!$P:$P,$A4&amp;"*",'來案暨出貨明細表-基因檢測(201904起'!$B:$B,AM$1)*$B4+COUNTIFS('來案暨出貨明細表-基因檢測(201904起'!$P:$P,$A4&amp;"*",'來案暨出貨明細表-基因檢測(201904起'!$B:$B,AM$1,'來案暨出貨明細表-基因檢測(201904起'!$Q:$Q,"紙本&amp;電子")++COUNTIFS('來案暨出貨明細表-基因檢測(201904起'!$P:$P,$A4&amp;"*",'來案暨出貨明細表-基因檢測(201904起'!$B:$B,AM$1,'來案暨出貨明細表-基因檢測(201904起'!$R:$R,"中英")</f>
        <v>0</v>
      </c>
      <c r="AN4" s="33">
        <f>COUNTIFS('來案暨出貨明細表-基因檢測(201904起'!$P:$P,$A4&amp;"*",'來案暨出貨明細表-基因檢測(201904起'!$B:$B,AN$1)*$B4+COUNTIFS('來案暨出貨明細表-基因檢測(201904起'!$P:$P,$A4&amp;"*",'來案暨出貨明細表-基因檢測(201904起'!$B:$B,AN$1,'來案暨出貨明細表-基因檢測(201904起'!$Q:$Q,"紙本&amp;電子")++COUNTIFS('來案暨出貨明細表-基因檢測(201904起'!$P:$P,$A4&amp;"*",'來案暨出貨明細表-基因檢測(201904起'!$B:$B,AN$1,'來案暨出貨明細表-基因檢測(201904起'!$R:$R,"中英")</f>
        <v>2</v>
      </c>
      <c r="AO4" s="33">
        <f>COUNTIFS('來案暨出貨明細表-基因檢測(201904起'!$P:$P,$A4&amp;"*",'來案暨出貨明細表-基因檢測(201904起'!$B:$B,AO$1)*$B4+COUNTIFS('來案暨出貨明細表-基因檢測(201904起'!$P:$P,$A4&amp;"*",'來案暨出貨明細表-基因檢測(201904起'!$B:$B,AO$1,'來案暨出貨明細表-基因檢測(201904起'!$Q:$Q,"紙本&amp;電子")++COUNTIFS('來案暨出貨明細表-基因檢測(201904起'!$P:$P,$A4&amp;"*",'來案暨出貨明細表-基因檢測(201904起'!$B:$B,AO$1,'來案暨出貨明細表-基因檢測(201904起'!$R:$R,"中英")</f>
        <v>0</v>
      </c>
      <c r="AP4" s="33">
        <f>COUNTIFS('來案暨出貨明細表-基因檢測(201904起'!$P:$P,$A4&amp;"*",'來案暨出貨明細表-基因檢測(201904起'!$B:$B,AP$1)*$B4+COUNTIFS('來案暨出貨明細表-基因檢測(201904起'!$P:$P,$A4&amp;"*",'來案暨出貨明細表-基因檢測(201904起'!$B:$B,AP$1,'來案暨出貨明細表-基因檢測(201904起'!$Q:$Q,"紙本&amp;電子")++COUNTIFS('來案暨出貨明細表-基因檢測(201904起'!$P:$P,$A4&amp;"*",'來案暨出貨明細表-基因檢測(201904起'!$B:$B,AP$1,'來案暨出貨明細表-基因檢測(201904起'!$R:$R,"中英")</f>
        <v>0</v>
      </c>
      <c r="AQ4" s="33">
        <f>COUNTIFS('來案暨出貨明細表-基因檢測(201904起'!$P:$P,$A4&amp;"*",'來案暨出貨明細表-基因檢測(201904起'!$B:$B,AQ$1)*$B4+COUNTIFS('來案暨出貨明細表-基因檢測(201904起'!$P:$P,$A4&amp;"*",'來案暨出貨明細表-基因檢測(201904起'!$B:$B,AQ$1,'來案暨出貨明細表-基因檢測(201904起'!$Q:$Q,"紙本&amp;電子")++COUNTIFS('來案暨出貨明細表-基因檢測(201904起'!$P:$P,$A4&amp;"*",'來案暨出貨明細表-基因檢測(201904起'!$B:$B,AQ$1,'來案暨出貨明細表-基因檢測(201904起'!$R:$R,"中英")</f>
        <v>0</v>
      </c>
      <c r="AR4" s="33">
        <f>COUNTIFS('來案暨出貨明細表-基因檢測(201904起'!$P:$P,$A4&amp;"*",'來案暨出貨明細表-基因檢測(201904起'!$B:$B,AR$1)*$B4+COUNTIFS('來案暨出貨明細表-基因檢測(201904起'!$P:$P,$A4&amp;"*",'來案暨出貨明細表-基因檢測(201904起'!$B:$B,AR$1,'來案暨出貨明細表-基因檢測(201904起'!$Q:$Q,"紙本&amp;電子")++COUNTIFS('來案暨出貨明細表-基因檢測(201904起'!$P:$P,$A4&amp;"*",'來案暨出貨明細表-基因檢測(201904起'!$B:$B,AR$1,'來案暨出貨明細表-基因檢測(201904起'!$R:$R,"中英")</f>
        <v>0</v>
      </c>
      <c r="AS4" s="33">
        <f>COUNTIFS('來案暨出貨明細表-基因檢測(201904起'!$P:$P,$A4&amp;"*",'來案暨出貨明細表-基因檢測(201904起'!$B:$B,AS$1)*$B4+COUNTIFS('來案暨出貨明細表-基因檢測(201904起'!$P:$P,$A4&amp;"*",'來案暨出貨明細表-基因檢測(201904起'!$B:$B,AS$1,'來案暨出貨明細表-基因檢測(201904起'!$Q:$Q,"紙本&amp;電子")++COUNTIFS('來案暨出貨明細表-基因檢測(201904起'!$P:$P,$A4&amp;"*",'來案暨出貨明細表-基因檢測(201904起'!$B:$B,AS$1,'來案暨出貨明細表-基因檢測(201904起'!$R:$R,"中英")</f>
        <v>0</v>
      </c>
      <c r="AT4" s="33">
        <f>COUNTIFS('來案暨出貨明細表-基因檢測(201904起'!$P:$P,$A4&amp;"*",'來案暨出貨明細表-基因檢測(201904起'!$B:$B,AT$1)*$B4+COUNTIFS('來案暨出貨明細表-基因檢測(201904起'!$P:$P,$A4&amp;"*",'來案暨出貨明細表-基因檢測(201904起'!$B:$B,AT$1,'來案暨出貨明細表-基因檢測(201904起'!$Q:$Q,"紙本&amp;電子")++COUNTIFS('來案暨出貨明細表-基因檢測(201904起'!$P:$P,$A4&amp;"*",'來案暨出貨明細表-基因檢測(201904起'!$B:$B,AT$1,'來案暨出貨明細表-基因檢測(201904起'!$R:$R,"中英")</f>
        <v>0</v>
      </c>
      <c r="AU4" s="33">
        <f>COUNTIFS('來案暨出貨明細表-基因檢測(201904起'!$P:$P,$A4&amp;"*",'來案暨出貨明細表-基因檢測(201904起'!$B:$B,AU$1)*$B4+COUNTIFS('來案暨出貨明細表-基因檢測(201904起'!$P:$P,$A4&amp;"*",'來案暨出貨明細表-基因檢測(201904起'!$B:$B,AU$1,'來案暨出貨明細表-基因檢測(201904起'!$Q:$Q,"紙本&amp;電子")++COUNTIFS('來案暨出貨明細表-基因檢測(201904起'!$P:$P,$A4&amp;"*",'來案暨出貨明細表-基因檢測(201904起'!$B:$B,AU$1,'來案暨出貨明細表-基因檢測(201904起'!$R:$R,"中英")</f>
        <v>0</v>
      </c>
      <c r="AV4" s="33">
        <f>COUNTIFS('來案暨出貨明細表-基因檢測(201904起'!$P:$P,$A4&amp;"*",'來案暨出貨明細表-基因檢測(201904起'!$B:$B,AV$1)*$B4+COUNTIFS('來案暨出貨明細表-基因檢測(201904起'!$P:$P,$A4&amp;"*",'來案暨出貨明細表-基因檢測(201904起'!$B:$B,AV$1,'來案暨出貨明細表-基因檢測(201904起'!$Q:$Q,"紙本&amp;電子")++COUNTIFS('來案暨出貨明細表-基因檢測(201904起'!$P:$P,$A4&amp;"*",'來案暨出貨明細表-基因檢測(201904起'!$B:$B,AV$1,'來案暨出貨明細表-基因檢測(201904起'!$R:$R,"中英")</f>
        <v>0</v>
      </c>
      <c r="AW4" s="33">
        <f>COUNTIFS('來案暨出貨明細表-基因檢測(201904起'!$P:$P,$A4&amp;"*",'來案暨出貨明細表-基因檢測(201904起'!$B:$B,AW$1)*$B4+COUNTIFS('來案暨出貨明細表-基因檢測(201904起'!$P:$P,$A4&amp;"*",'來案暨出貨明細表-基因檢測(201904起'!$B:$B,AW$1,'來案暨出貨明細表-基因檢測(201904起'!$Q:$Q,"紙本&amp;電子")++COUNTIFS('來案暨出貨明細表-基因檢測(201904起'!$P:$P,$A4&amp;"*",'來案暨出貨明細表-基因檢測(201904起'!$B:$B,AW$1,'來案暨出貨明細表-基因檢測(201904起'!$R:$R,"中英")</f>
        <v>0</v>
      </c>
      <c r="AX4" s="33">
        <f>COUNTIFS('來案暨出貨明細表-基因檢測(201904起'!$P:$P,$A4&amp;"*",'來案暨出貨明細表-基因檢測(201904起'!$B:$B,AX$1)*$B4+COUNTIFS('來案暨出貨明細表-基因檢測(201904起'!$P:$P,$A4&amp;"*",'來案暨出貨明細表-基因檢測(201904起'!$B:$B,AX$1,'來案暨出貨明細表-基因檢測(201904起'!$Q:$Q,"紙本&amp;電子")++COUNTIFS('來案暨出貨明細表-基因檢測(201904起'!$P:$P,$A4&amp;"*",'來案暨出貨明細表-基因檢測(201904起'!$B:$B,AX$1,'來案暨出貨明細表-基因檢測(201904起'!$R:$R,"中英")</f>
        <v>0</v>
      </c>
      <c r="AY4" s="33">
        <f>COUNTIFS('來案暨出貨明細表-基因檢測(201904起'!$P:$P,$A4&amp;"*",'來案暨出貨明細表-基因檢測(201904起'!$B:$B,AY$1)*$B4+COUNTIFS('來案暨出貨明細表-基因檢測(201904起'!$P:$P,$A4&amp;"*",'來案暨出貨明細表-基因檢測(201904起'!$B:$B,AY$1,'來案暨出貨明細表-基因檢測(201904起'!$Q:$Q,"紙本&amp;電子")++COUNTIFS('來案暨出貨明細表-基因檢測(201904起'!$P:$P,$A4&amp;"*",'來案暨出貨明細表-基因檢測(201904起'!$B:$B,AY$1,'來案暨出貨明細表-基因檢測(201904起'!$R:$R,"中英")</f>
        <v>0</v>
      </c>
      <c r="AZ4" s="33">
        <f>COUNTIFS('來案暨出貨明細表-基因檢測(201904起'!$P:$P,$A4&amp;"*",'來案暨出貨明細表-基因檢測(201904起'!$B:$B,AZ$1)*$B4+COUNTIFS('來案暨出貨明細表-基因檢測(201904起'!$P:$P,$A4&amp;"*",'來案暨出貨明細表-基因檢測(201904起'!$B:$B,AZ$1,'來案暨出貨明細表-基因檢測(201904起'!$Q:$Q,"紙本&amp;電子")++COUNTIFS('來案暨出貨明細表-基因檢測(201904起'!$P:$P,$A4&amp;"*",'來案暨出貨明細表-基因檢測(201904起'!$B:$B,AZ$1,'來案暨出貨明細表-基因檢測(201904起'!$R:$R,"中英")</f>
        <v>0</v>
      </c>
      <c r="BA4" s="33">
        <f>COUNTIFS('來案暨出貨明細表-基因檢測(201904起'!$P:$P,$A4&amp;"*",'來案暨出貨明細表-基因檢測(201904起'!$B:$B,BA$1)*$B4+COUNTIFS('來案暨出貨明細表-基因檢測(201904起'!$P:$P,$A4&amp;"*",'來案暨出貨明細表-基因檢測(201904起'!$B:$B,BA$1,'來案暨出貨明細表-基因檢測(201904起'!$Q:$Q,"紙本&amp;電子")++COUNTIFS('來案暨出貨明細表-基因檢測(201904起'!$P:$P,$A4&amp;"*",'來案暨出貨明細表-基因檢測(201904起'!$B:$B,BA$1,'來案暨出貨明細表-基因檢測(201904起'!$R:$R,"中英")</f>
        <v>0</v>
      </c>
      <c r="BB4" s="33">
        <f>COUNTIFS('來案暨出貨明細表-基因檢測(201904起'!$P:$P,$A4&amp;"*",'來案暨出貨明細表-基因檢測(201904起'!$B:$B,BB$1)*$B4+COUNTIFS('來案暨出貨明細表-基因檢測(201904起'!$P:$P,$A4&amp;"*",'來案暨出貨明細表-基因檢測(201904起'!$B:$B,BB$1,'來案暨出貨明細表-基因檢測(201904起'!$Q:$Q,"紙本&amp;電子")++COUNTIFS('來案暨出貨明細表-基因檢測(201904起'!$P:$P,$A4&amp;"*",'來案暨出貨明細表-基因檢測(201904起'!$B:$B,BB$1,'來案暨出貨明細表-基因檢測(201904起'!$R:$R,"中英")</f>
        <v>0</v>
      </c>
      <c r="BC4" s="33">
        <f>COUNTIFS('來案暨出貨明細表-基因檢測(201904起'!$P:$P,$A4&amp;"*",'來案暨出貨明細表-基因檢測(201904起'!$B:$B,BC$1)*$B4+COUNTIFS('來案暨出貨明細表-基因檢測(201904起'!$P:$P,$A4&amp;"*",'來案暨出貨明細表-基因檢測(201904起'!$B:$B,BC$1,'來案暨出貨明細表-基因檢測(201904起'!$Q:$Q,"紙本&amp;電子")++COUNTIFS('來案暨出貨明細表-基因檢測(201904起'!$P:$P,$A4&amp;"*",'來案暨出貨明細表-基因檢測(201904起'!$B:$B,BC$1,'來案暨出貨明細表-基因檢測(201904起'!$R:$R,"中英")</f>
        <v>0</v>
      </c>
      <c r="BD4" s="33">
        <f>COUNTIFS('來案暨出貨明細表-基因檢測(201904起'!$P:$P,$A4&amp;"*",'來案暨出貨明細表-基因檢測(201904起'!$B:$B,BD$1)*$B4+COUNTIFS('來案暨出貨明細表-基因檢測(201904起'!$P:$P,$A4&amp;"*",'來案暨出貨明細表-基因檢測(201904起'!$B:$B,BD$1,'來案暨出貨明細表-基因檢測(201904起'!$Q:$Q,"紙本&amp;電子")++COUNTIFS('來案暨出貨明細表-基因檢測(201904起'!$P:$P,$A4&amp;"*",'來案暨出貨明細表-基因檢測(201904起'!$B:$B,BD$1,'來案暨出貨明細表-基因檢測(201904起'!$R:$R,"中英")</f>
        <v>0</v>
      </c>
      <c r="BE4" s="33">
        <f>COUNTIFS('來案暨出貨明細表-基因檢測(201904起'!$P:$P,$A4&amp;"*",'來案暨出貨明細表-基因檢測(201904起'!$B:$B,BE$1)*$B4+COUNTIFS('來案暨出貨明細表-基因檢測(201904起'!$P:$P,$A4&amp;"*",'來案暨出貨明細表-基因檢測(201904起'!$B:$B,BE$1,'來案暨出貨明細表-基因檢測(201904起'!$Q:$Q,"紙本&amp;電子")++COUNTIFS('來案暨出貨明細表-基因檢測(201904起'!$P:$P,$A4&amp;"*",'來案暨出貨明細表-基因檢測(201904起'!$B:$B,BE$1,'來案暨出貨明細表-基因檢測(201904起'!$R:$R,"中英")</f>
        <v>0</v>
      </c>
      <c r="BF4" s="33">
        <f>COUNTIFS('來案暨出貨明細表-基因檢測(201904起'!$P:$P,$A4&amp;"*",'來案暨出貨明細表-基因檢測(201904起'!$B:$B,BF$1)*$B4+COUNTIFS('來案暨出貨明細表-基因檢測(201904起'!$P:$P,$A4&amp;"*",'來案暨出貨明細表-基因檢測(201904起'!$B:$B,BF$1,'來案暨出貨明細表-基因檢測(201904起'!$Q:$Q,"紙本&amp;電子")++COUNTIFS('來案暨出貨明細表-基因檢測(201904起'!$P:$P,$A4&amp;"*",'來案暨出貨明細表-基因檢測(201904起'!$B:$B,BF$1,'來案暨出貨明細表-基因檢測(201904起'!$R:$R,"中英")</f>
        <v>0</v>
      </c>
      <c r="BG4" s="33">
        <f>COUNTIFS('來案暨出貨明細表-基因檢測(201904起'!$P:$P,$A4&amp;"*",'來案暨出貨明細表-基因檢測(201904起'!$B:$B,BG$1)*$B4+COUNTIFS('來案暨出貨明細表-基因檢測(201904起'!$P:$P,$A4&amp;"*",'來案暨出貨明細表-基因檢測(201904起'!$B:$B,BG$1,'來案暨出貨明細表-基因檢測(201904起'!$Q:$Q,"紙本&amp;電子")++COUNTIFS('來案暨出貨明細表-基因檢測(201904起'!$P:$P,$A4&amp;"*",'來案暨出貨明細表-基因檢測(201904起'!$B:$B,BG$1,'來案暨出貨明細表-基因檢測(201904起'!$R:$R,"中英")</f>
        <v>0</v>
      </c>
      <c r="BH4" s="33">
        <f>COUNTIFS('來案暨出貨明細表-基因檢測(201904起'!$P:$P,$A4&amp;"*",'來案暨出貨明細表-基因檢測(201904起'!$B:$B,BH$1)*$B4+COUNTIFS('來案暨出貨明細表-基因檢測(201904起'!$P:$P,$A4&amp;"*",'來案暨出貨明細表-基因檢測(201904起'!$B:$B,BH$1,'來案暨出貨明細表-基因檢測(201904起'!$Q:$Q,"紙本&amp;電子")++COUNTIFS('來案暨出貨明細表-基因檢測(201904起'!$P:$P,$A4&amp;"*",'來案暨出貨明細表-基因檢測(201904起'!$B:$B,BH$1,'來案暨出貨明細表-基因檢測(201904起'!$R:$R,"中英")</f>
        <v>0</v>
      </c>
      <c r="BI4" s="33">
        <f>COUNTIFS('來案暨出貨明細表-基因檢測(201904起'!$P:$P,$A4&amp;"*",'來案暨出貨明細表-基因檢測(201904起'!$B:$B,BI$1)*$B4+COUNTIFS('來案暨出貨明細表-基因檢測(201904起'!$P:$P,$A4&amp;"*",'來案暨出貨明細表-基因檢測(201904起'!$B:$B,BI$1,'來案暨出貨明細表-基因檢測(201904起'!$Q:$Q,"紙本&amp;電子")++COUNTIFS('來案暨出貨明細表-基因檢測(201904起'!$P:$P,$A4&amp;"*",'來案暨出貨明細表-基因檢測(201904起'!$B:$B,BI$1,'來案暨出貨明細表-基因檢測(201904起'!$R:$R,"中英")</f>
        <v>0</v>
      </c>
      <c r="BJ4" s="33">
        <f>COUNTIFS('來案暨出貨明細表-基因檢測(201904起'!$P:$P,$A4&amp;"*",'來案暨出貨明細表-基因檢測(201904起'!$B:$B,BJ$1)*$B4+COUNTIFS('來案暨出貨明細表-基因檢測(201904起'!$P:$P,$A4&amp;"*",'來案暨出貨明細表-基因檢測(201904起'!$B:$B,BJ$1,'來案暨出貨明細表-基因檢測(201904起'!$Q:$Q,"紙本&amp;電子")++COUNTIFS('來案暨出貨明細表-基因檢測(201904起'!$P:$P,$A4&amp;"*",'來案暨出貨明細表-基因檢測(201904起'!$B:$B,BJ$1,'來案暨出貨明細表-基因檢測(201904起'!$R:$R,"中英")</f>
        <v>0</v>
      </c>
      <c r="BK4" s="33">
        <f>COUNTIFS('來案暨出貨明細表-基因檢測(201904起'!$P:$P,$A4&amp;"*",'來案暨出貨明細表-基因檢測(201904起'!$B:$B,BK$1)*$B4+COUNTIFS('來案暨出貨明細表-基因檢測(201904起'!$P:$P,$A4&amp;"*",'來案暨出貨明細表-基因檢測(201904起'!$B:$B,BK$1,'來案暨出貨明細表-基因檢測(201904起'!$Q:$Q,"紙本&amp;電子")++COUNTIFS('來案暨出貨明細表-基因檢測(201904起'!$P:$P,$A4&amp;"*",'來案暨出貨明細表-基因檢測(201904起'!$B:$B,BK$1,'來案暨出貨明細表-基因檢測(201904起'!$R:$R,"中英")</f>
        <v>0</v>
      </c>
      <c r="BL4" s="33">
        <f>COUNTIFS('來案暨出貨明細表-基因檢測(201904起'!$P:$P,$A4&amp;"*",'來案暨出貨明細表-基因檢測(201904起'!$B:$B,BL$1)*$B4+COUNTIFS('來案暨出貨明細表-基因檢測(201904起'!$P:$P,$A4&amp;"*",'來案暨出貨明細表-基因檢測(201904起'!$B:$B,BL$1,'來案暨出貨明細表-基因檢測(201904起'!$Q:$Q,"紙本&amp;電子")++COUNTIFS('來案暨出貨明細表-基因檢測(201904起'!$P:$P,$A4&amp;"*",'來案暨出貨明細表-基因檢測(201904起'!$B:$B,BL$1,'來案暨出貨明細表-基因檢測(201904起'!$R:$R,"中英")</f>
        <v>0</v>
      </c>
      <c r="BM4" s="33">
        <f>COUNTIFS('來案暨出貨明細表-基因檢測(201904起'!$P:$P,$A4&amp;"*",'來案暨出貨明細表-基因檢測(201904起'!$B:$B,BM$1)*$B4+COUNTIFS('來案暨出貨明細表-基因檢測(201904起'!$P:$P,$A4&amp;"*",'來案暨出貨明細表-基因檢測(201904起'!$B:$B,BM$1,'來案暨出貨明細表-基因檢測(201904起'!$Q:$Q,"紙本&amp;電子")++COUNTIFS('來案暨出貨明細表-基因檢測(201904起'!$P:$P,$A4&amp;"*",'來案暨出貨明細表-基因檢測(201904起'!$B:$B,BM$1,'來案暨出貨明細表-基因檢測(201904起'!$R:$R,"中英")</f>
        <v>0</v>
      </c>
    </row>
    <row r="5" spans="1:65" ht="15" customHeight="1">
      <c r="A5" s="9" t="s">
        <v>2139</v>
      </c>
      <c r="B5" s="9">
        <v>1</v>
      </c>
      <c r="C5" s="13" t="s">
        <v>2140</v>
      </c>
      <c r="D5" s="142" t="s">
        <v>2143</v>
      </c>
      <c r="E5" s="33">
        <f>COUNTIFS('來案暨出貨明細表-基因檢測(201904起'!$P:$P,$A5&amp;"*",'來案暨出貨明細表-基因檢測(201904起'!$B:$B,E$1)*$B5+COUNTIFS('來案暨出貨明細表-基因檢測(201904起'!$P:$P,$A5&amp;"*",'來案暨出貨明細表-基因檢測(201904起'!$B:$B,E$1,'來案暨出貨明細表-基因檢測(201904起'!$Q:$Q,"紙本&amp;電子")++COUNTIFS('來案暨出貨明細表-基因檢測(201904起'!$P:$P,$A5&amp;"*",'來案暨出貨明細表-基因檢測(201904起'!$B:$B,E$1,'來案暨出貨明細表-基因檢測(201904起'!$R:$R,"中英")</f>
        <v>0</v>
      </c>
      <c r="F5" s="33">
        <f>COUNTIFS('來案暨出貨明細表-基因檢測(201904起'!$P:$P,$A5&amp;"*",'來案暨出貨明細表-基因檢測(201904起'!$B:$B,F$1)*$B5+COUNTIFS('來案暨出貨明細表-基因檢測(201904起'!$P:$P,$A5&amp;"*",'來案暨出貨明細表-基因檢測(201904起'!$B:$B,F$1,'來案暨出貨明細表-基因檢測(201904起'!$Q:$Q,"紙本&amp;電子")++COUNTIFS('來案暨出貨明細表-基因檢測(201904起'!$P:$P,$A5&amp;"*",'來案暨出貨明細表-基因檢測(201904起'!$B:$B,F$1,'來案暨出貨明細表-基因檢測(201904起'!$R:$R,"中英")</f>
        <v>0</v>
      </c>
      <c r="G5" s="33">
        <f>COUNTIFS('來案暨出貨明細表-基因檢測(201904起'!$P:$P,$A5&amp;"*",'來案暨出貨明細表-基因檢測(201904起'!$B:$B,G$1)*$B5+COUNTIFS('來案暨出貨明細表-基因檢測(201904起'!$P:$P,$A5&amp;"*",'來案暨出貨明細表-基因檢測(201904起'!$B:$B,G$1,'來案暨出貨明細表-基因檢測(201904起'!$Q:$Q,"紙本&amp;電子")++COUNTIFS('來案暨出貨明細表-基因檢測(201904起'!$P:$P,$A5&amp;"*",'來案暨出貨明細表-基因檢測(201904起'!$B:$B,G$1,'來案暨出貨明細表-基因檢測(201904起'!$R:$R,"中英")</f>
        <v>0</v>
      </c>
      <c r="H5" s="33">
        <f>COUNTIFS('來案暨出貨明細表-基因檢測(201904起'!$P:$P,$A5&amp;"*",'來案暨出貨明細表-基因檢測(201904起'!$B:$B,H$1)*$B5+COUNTIFS('來案暨出貨明細表-基因檢測(201904起'!$P:$P,$A5&amp;"*",'來案暨出貨明細表-基因檢測(201904起'!$B:$B,H$1,'來案暨出貨明細表-基因檢測(201904起'!$Q:$Q,"紙本&amp;電子")++COUNTIFS('來案暨出貨明細表-基因檢測(201904起'!$P:$P,$A5&amp;"*",'來案暨出貨明細表-基因檢測(201904起'!$B:$B,H$1,'來案暨出貨明細表-基因檢測(201904起'!$R:$R,"中英")</f>
        <v>0</v>
      </c>
      <c r="I5" s="33">
        <f>COUNTIFS('來案暨出貨明細表-基因檢測(201904起'!$P:$P,$A5&amp;"*",'來案暨出貨明細表-基因檢測(201904起'!$B:$B,I$1)*$B5+COUNTIFS('來案暨出貨明細表-基因檢測(201904起'!$P:$P,$A5&amp;"*",'來案暨出貨明細表-基因檢測(201904起'!$B:$B,I$1,'來案暨出貨明細表-基因檢測(201904起'!$Q:$Q,"紙本&amp;電子")++COUNTIFS('來案暨出貨明細表-基因檢測(201904起'!$P:$P,$A5&amp;"*",'來案暨出貨明細表-基因檢測(201904起'!$B:$B,I$1,'來案暨出貨明細表-基因檢測(201904起'!$R:$R,"中英")</f>
        <v>0</v>
      </c>
      <c r="J5" s="33">
        <f>COUNTIFS('來案暨出貨明細表-基因檢測(201904起'!$P:$P,$A5&amp;"*",'來案暨出貨明細表-基因檢測(201904起'!$B:$B,J$1)*$B5+COUNTIFS('來案暨出貨明細表-基因檢測(201904起'!$P:$P,$A5&amp;"*",'來案暨出貨明細表-基因檢測(201904起'!$B:$B,J$1,'來案暨出貨明細表-基因檢測(201904起'!$Q:$Q,"紙本&amp;電子")++COUNTIFS('來案暨出貨明細表-基因檢測(201904起'!$P:$P,$A5&amp;"*",'來案暨出貨明細表-基因檢測(201904起'!$B:$B,J$1,'來案暨出貨明細表-基因檢測(201904起'!$R:$R,"中英")</f>
        <v>0</v>
      </c>
      <c r="K5" s="33">
        <f>COUNTIFS('來案暨出貨明細表-基因檢測(201904起'!$P:$P,$A5&amp;"*",'來案暨出貨明細表-基因檢測(201904起'!$B:$B,K$1)*$B5+COUNTIFS('來案暨出貨明細表-基因檢測(201904起'!$P:$P,$A5&amp;"*",'來案暨出貨明細表-基因檢測(201904起'!$B:$B,K$1,'來案暨出貨明細表-基因檢測(201904起'!$Q:$Q,"紙本&amp;電子")++COUNTIFS('來案暨出貨明細表-基因檢測(201904起'!$P:$P,$A5&amp;"*",'來案暨出貨明細表-基因檢測(201904起'!$B:$B,K$1,'來案暨出貨明細表-基因檢測(201904起'!$R:$R,"中英")</f>
        <v>0</v>
      </c>
      <c r="L5" s="33">
        <f>COUNTIFS('來案暨出貨明細表-基因檢測(201904起'!$P:$P,$A5&amp;"*",'來案暨出貨明細表-基因檢測(201904起'!$B:$B,L$1)*$B5+COUNTIFS('來案暨出貨明細表-基因檢測(201904起'!$P:$P,$A5&amp;"*",'來案暨出貨明細表-基因檢測(201904起'!$B:$B,L$1,'來案暨出貨明細表-基因檢測(201904起'!$Q:$Q,"紙本&amp;電子")++COUNTIFS('來案暨出貨明細表-基因檢測(201904起'!$P:$P,$A5&amp;"*",'來案暨出貨明細表-基因檢測(201904起'!$B:$B,L$1,'來案暨出貨明細表-基因檢測(201904起'!$R:$R,"中英")</f>
        <v>0</v>
      </c>
      <c r="M5" s="33">
        <f>COUNTIFS('來案暨出貨明細表-基因檢測(201904起'!$P:$P,$A5&amp;"*",'來案暨出貨明細表-基因檢測(201904起'!$B:$B,M$1)*$B5+COUNTIFS('來案暨出貨明細表-基因檢測(201904起'!$P:$P,$A5&amp;"*",'來案暨出貨明細表-基因檢測(201904起'!$B:$B,M$1,'來案暨出貨明細表-基因檢測(201904起'!$Q:$Q,"紙本&amp;電子")++COUNTIFS('來案暨出貨明細表-基因檢測(201904起'!$P:$P,$A5&amp;"*",'來案暨出貨明細表-基因檢測(201904起'!$B:$B,M$1,'來案暨出貨明細表-基因檢測(201904起'!$R:$R,"中英")</f>
        <v>0</v>
      </c>
      <c r="N5" s="33">
        <f>COUNTIFS('來案暨出貨明細表-基因檢測(201904起'!$P:$P,$A5&amp;"*",'來案暨出貨明細表-基因檢測(201904起'!$B:$B,N$1)*$B5+COUNTIFS('來案暨出貨明細表-基因檢測(201904起'!$P:$P,$A5&amp;"*",'來案暨出貨明細表-基因檢測(201904起'!$B:$B,N$1,'來案暨出貨明細表-基因檢測(201904起'!$Q:$Q,"紙本&amp;電子")++COUNTIFS('來案暨出貨明細表-基因檢測(201904起'!$P:$P,$A5&amp;"*",'來案暨出貨明細表-基因檢測(201904起'!$B:$B,N$1,'來案暨出貨明細表-基因檢測(201904起'!$R:$R,"中英")</f>
        <v>0</v>
      </c>
      <c r="O5" s="33">
        <f>COUNTIFS('來案暨出貨明細表-基因檢測(201904起'!$P:$P,$A5&amp;"*",'來案暨出貨明細表-基因檢測(201904起'!$B:$B,O$1)*$B5+COUNTIFS('來案暨出貨明細表-基因檢測(201904起'!$P:$P,$A5&amp;"*",'來案暨出貨明細表-基因檢測(201904起'!$B:$B,O$1,'來案暨出貨明細表-基因檢測(201904起'!$Q:$Q,"紙本&amp;電子")++COUNTIFS('來案暨出貨明細表-基因檢測(201904起'!$P:$P,$A5&amp;"*",'來案暨出貨明細表-基因檢測(201904起'!$B:$B,O$1,'來案暨出貨明細表-基因檢測(201904起'!$R:$R,"中英")</f>
        <v>0</v>
      </c>
      <c r="P5" s="33">
        <f>COUNTIFS('來案暨出貨明細表-基因檢測(201904起'!$P:$P,$A5&amp;"*",'來案暨出貨明細表-基因檢測(201904起'!$B:$B,P$1)*$B5+COUNTIFS('來案暨出貨明細表-基因檢測(201904起'!$P:$P,$A5&amp;"*",'來案暨出貨明細表-基因檢測(201904起'!$B:$B,P$1,'來案暨出貨明細表-基因檢測(201904起'!$Q:$Q,"紙本&amp;電子")++COUNTIFS('來案暨出貨明細表-基因檢測(201904起'!$P:$P,$A5&amp;"*",'來案暨出貨明細表-基因檢測(201904起'!$B:$B,P$1,'來案暨出貨明細表-基因檢測(201904起'!$R:$R,"中英")</f>
        <v>0</v>
      </c>
      <c r="Q5" s="33">
        <f>COUNTIFS('來案暨出貨明細表-基因檢測(201904起'!$P:$P,$A5&amp;"*",'來案暨出貨明細表-基因檢測(201904起'!$B:$B,Q$1)*$B5+COUNTIFS('來案暨出貨明細表-基因檢測(201904起'!$P:$P,$A5&amp;"*",'來案暨出貨明細表-基因檢測(201904起'!$B:$B,Q$1,'來案暨出貨明細表-基因檢測(201904起'!$Q:$Q,"紙本&amp;電子")++COUNTIFS('來案暨出貨明細表-基因檢測(201904起'!$P:$P,$A5&amp;"*",'來案暨出貨明細表-基因檢測(201904起'!$B:$B,Q$1,'來案暨出貨明細表-基因檢測(201904起'!$R:$R,"中英")</f>
        <v>0</v>
      </c>
      <c r="R5" s="33">
        <f>COUNTIFS('來案暨出貨明細表-基因檢測(201904起'!$P:$P,$A5&amp;"*",'來案暨出貨明細表-基因檢測(201904起'!$B:$B,R$1)*$B5+COUNTIFS('來案暨出貨明細表-基因檢測(201904起'!$P:$P,$A5&amp;"*",'來案暨出貨明細表-基因檢測(201904起'!$B:$B,R$1,'來案暨出貨明細表-基因檢測(201904起'!$Q:$Q,"紙本&amp;電子")++COUNTIFS('來案暨出貨明細表-基因檢測(201904起'!$P:$P,$A5&amp;"*",'來案暨出貨明細表-基因檢測(201904起'!$B:$B,R$1,'來案暨出貨明細表-基因檢測(201904起'!$R:$R,"中英")</f>
        <v>0</v>
      </c>
      <c r="S5" s="33">
        <f>COUNTIFS('來案暨出貨明細表-基因檢測(201904起'!$P:$P,$A5&amp;"*",'來案暨出貨明細表-基因檢測(201904起'!$B:$B,S$1)*$B5+COUNTIFS('來案暨出貨明細表-基因檢測(201904起'!$P:$P,$A5&amp;"*",'來案暨出貨明細表-基因檢測(201904起'!$B:$B,S$1,'來案暨出貨明細表-基因檢測(201904起'!$Q:$Q,"紙本&amp;電子")++COUNTIFS('來案暨出貨明細表-基因檢測(201904起'!$P:$P,$A5&amp;"*",'來案暨出貨明細表-基因檢測(201904起'!$B:$B,S$1,'來案暨出貨明細表-基因檢測(201904起'!$R:$R,"中英")</f>
        <v>0</v>
      </c>
      <c r="T5" s="33">
        <f>COUNTIFS('來案暨出貨明細表-基因檢測(201904起'!$P:$P,$A5&amp;"*",'來案暨出貨明細表-基因檢測(201904起'!$B:$B,T$1)*$B5+COUNTIFS('來案暨出貨明細表-基因檢測(201904起'!$P:$P,$A5&amp;"*",'來案暨出貨明細表-基因檢測(201904起'!$B:$B,T$1,'來案暨出貨明細表-基因檢測(201904起'!$Q:$Q,"紙本&amp;電子")++COUNTIFS('來案暨出貨明細表-基因檢測(201904起'!$P:$P,$A5&amp;"*",'來案暨出貨明細表-基因檢測(201904起'!$B:$B,T$1,'來案暨出貨明細表-基因檢測(201904起'!$R:$R,"中英")</f>
        <v>0</v>
      </c>
      <c r="U5" s="33">
        <f>COUNTIFS('來案暨出貨明細表-基因檢測(201904起'!$P:$P,$A5&amp;"*",'來案暨出貨明細表-基因檢測(201904起'!$B:$B,U$1)*$B5+COUNTIFS('來案暨出貨明細表-基因檢測(201904起'!$P:$P,$A5&amp;"*",'來案暨出貨明細表-基因檢測(201904起'!$B:$B,U$1,'來案暨出貨明細表-基因檢測(201904起'!$Q:$Q,"紙本&amp;電子")++COUNTIFS('來案暨出貨明細表-基因檢測(201904起'!$P:$P,$A5&amp;"*",'來案暨出貨明細表-基因檢測(201904起'!$B:$B,U$1,'來案暨出貨明細表-基因檢測(201904起'!$R:$R,"中英")</f>
        <v>0</v>
      </c>
      <c r="V5" s="33">
        <f>COUNTIFS('來案暨出貨明細表-基因檢測(201904起'!$P:$P,$A5&amp;"*",'來案暨出貨明細表-基因檢測(201904起'!$B:$B,V$1)*$B5+COUNTIFS('來案暨出貨明細表-基因檢測(201904起'!$P:$P,$A5&amp;"*",'來案暨出貨明細表-基因檢測(201904起'!$B:$B,V$1,'來案暨出貨明細表-基因檢測(201904起'!$Q:$Q,"紙本&amp;電子")++COUNTIFS('來案暨出貨明細表-基因檢測(201904起'!$P:$P,$A5&amp;"*",'來案暨出貨明細表-基因檢測(201904起'!$B:$B,V$1,'來案暨出貨明細表-基因檢測(201904起'!$R:$R,"中英")</f>
        <v>0</v>
      </c>
      <c r="W5" s="33">
        <f>COUNTIFS('來案暨出貨明細表-基因檢測(201904起'!$P:$P,$A5&amp;"*",'來案暨出貨明細表-基因檢測(201904起'!$B:$B,W$1)*$B5+COUNTIFS('來案暨出貨明細表-基因檢測(201904起'!$P:$P,$A5&amp;"*",'來案暨出貨明細表-基因檢測(201904起'!$B:$B,W$1,'來案暨出貨明細表-基因檢測(201904起'!$Q:$Q,"紙本&amp;電子")++COUNTIFS('來案暨出貨明細表-基因檢測(201904起'!$P:$P,$A5&amp;"*",'來案暨出貨明細表-基因檢測(201904起'!$B:$B,W$1,'來案暨出貨明細表-基因檢測(201904起'!$R:$R,"中英")</f>
        <v>0</v>
      </c>
      <c r="X5" s="33">
        <f>COUNTIFS('來案暨出貨明細表-基因檢測(201904起'!$P:$P,$A5&amp;"*",'來案暨出貨明細表-基因檢測(201904起'!$B:$B,X$1)*$B5+COUNTIFS('來案暨出貨明細表-基因檢測(201904起'!$P:$P,$A5&amp;"*",'來案暨出貨明細表-基因檢測(201904起'!$B:$B,X$1,'來案暨出貨明細表-基因檢測(201904起'!$Q:$Q,"紙本&amp;電子")++COUNTIFS('來案暨出貨明細表-基因檢測(201904起'!$P:$P,$A5&amp;"*",'來案暨出貨明細表-基因檢測(201904起'!$B:$B,X$1,'來案暨出貨明細表-基因檢測(201904起'!$R:$R,"中英")</f>
        <v>0</v>
      </c>
      <c r="Y5" s="33">
        <f>COUNTIFS('來案暨出貨明細表-基因檢測(201904起'!$P:$P,$A5&amp;"*",'來案暨出貨明細表-基因檢測(201904起'!$B:$B,Y$1)*$B5+COUNTIFS('來案暨出貨明細表-基因檢測(201904起'!$P:$P,$A5&amp;"*",'來案暨出貨明細表-基因檢測(201904起'!$B:$B,Y$1,'來案暨出貨明細表-基因檢測(201904起'!$Q:$Q,"紙本&amp;電子")++COUNTIFS('來案暨出貨明細表-基因檢測(201904起'!$P:$P,$A5&amp;"*",'來案暨出貨明細表-基因檢測(201904起'!$B:$B,Y$1,'來案暨出貨明細表-基因檢測(201904起'!$R:$R,"中英")</f>
        <v>0</v>
      </c>
      <c r="Z5" s="33">
        <f>COUNTIFS('來案暨出貨明細表-基因檢測(201904起'!$P:$P,$A5&amp;"*",'來案暨出貨明細表-基因檢測(201904起'!$B:$B,Z$1)*$B5+COUNTIFS('來案暨出貨明細表-基因檢測(201904起'!$P:$P,$A5&amp;"*",'來案暨出貨明細表-基因檢測(201904起'!$B:$B,Z$1,'來案暨出貨明細表-基因檢測(201904起'!$Q:$Q,"紙本&amp;電子")++COUNTIFS('來案暨出貨明細表-基因檢測(201904起'!$P:$P,$A5&amp;"*",'來案暨出貨明細表-基因檢測(201904起'!$B:$B,Z$1,'來案暨出貨明細表-基因檢測(201904起'!$R:$R,"中英")</f>
        <v>0</v>
      </c>
      <c r="AA5" s="33">
        <f>COUNTIFS('來案暨出貨明細表-基因檢測(201904起'!$P:$P,$A5&amp;"*",'來案暨出貨明細表-基因檢測(201904起'!$B:$B,AA$1)*$B5+COUNTIFS('來案暨出貨明細表-基因檢測(201904起'!$P:$P,$A5&amp;"*",'來案暨出貨明細表-基因檢測(201904起'!$B:$B,AA$1,'來案暨出貨明細表-基因檢測(201904起'!$Q:$Q,"紙本&amp;電子")++COUNTIFS('來案暨出貨明細表-基因檢測(201904起'!$P:$P,$A5&amp;"*",'來案暨出貨明細表-基因檢測(201904起'!$B:$B,AA$1,'來案暨出貨明細表-基因檢測(201904起'!$R:$R,"中英")</f>
        <v>0</v>
      </c>
      <c r="AB5" s="33">
        <f>COUNTIFS('來案暨出貨明細表-基因檢測(201904起'!$P:$P,$A5&amp;"*",'來案暨出貨明細表-基因檢測(201904起'!$B:$B,AB$1)*$B5+COUNTIFS('來案暨出貨明細表-基因檢測(201904起'!$P:$P,$A5&amp;"*",'來案暨出貨明細表-基因檢測(201904起'!$B:$B,AB$1,'來案暨出貨明細表-基因檢測(201904起'!$Q:$Q,"紙本&amp;電子")++COUNTIFS('來案暨出貨明細表-基因檢測(201904起'!$P:$P,$A5&amp;"*",'來案暨出貨明細表-基因檢測(201904起'!$B:$B,AB$1,'來案暨出貨明細表-基因檢測(201904起'!$R:$R,"中英")</f>
        <v>0</v>
      </c>
      <c r="AC5" s="33">
        <f>COUNTIFS('來案暨出貨明細表-基因檢測(201904起'!$P:$P,$A5&amp;"*",'來案暨出貨明細表-基因檢測(201904起'!$B:$B,AC$1)*$B5+COUNTIFS('來案暨出貨明細表-基因檢測(201904起'!$P:$P,$A5&amp;"*",'來案暨出貨明細表-基因檢測(201904起'!$B:$B,AC$1,'來案暨出貨明細表-基因檢測(201904起'!$Q:$Q,"紙本&amp;電子")++COUNTIFS('來案暨出貨明細表-基因檢測(201904起'!$P:$P,$A5&amp;"*",'來案暨出貨明細表-基因檢測(201904起'!$B:$B,AC$1,'來案暨出貨明細表-基因檢測(201904起'!$R:$R,"中英")</f>
        <v>0</v>
      </c>
      <c r="AD5" s="33">
        <f>COUNTIFS('來案暨出貨明細表-基因檢測(201904起'!$P:$P,$A5&amp;"*",'來案暨出貨明細表-基因檢測(201904起'!$B:$B,AD$1)*$B5+COUNTIFS('來案暨出貨明細表-基因檢測(201904起'!$P:$P,$A5&amp;"*",'來案暨出貨明細表-基因檢測(201904起'!$B:$B,AD$1,'來案暨出貨明細表-基因檢測(201904起'!$Q:$Q,"紙本&amp;電子")++COUNTIFS('來案暨出貨明細表-基因檢測(201904起'!$P:$P,$A5&amp;"*",'來案暨出貨明細表-基因檢測(201904起'!$B:$B,AD$1,'來案暨出貨明細表-基因檢測(201904起'!$R:$R,"中英")</f>
        <v>0</v>
      </c>
      <c r="AE5" s="33">
        <f>COUNTIFS('來案暨出貨明細表-基因檢測(201904起'!$P:$P,$A5&amp;"*",'來案暨出貨明細表-基因檢測(201904起'!$B:$B,AE$1)*$B5+COUNTIFS('來案暨出貨明細表-基因檢測(201904起'!$P:$P,$A5&amp;"*",'來案暨出貨明細表-基因檢測(201904起'!$B:$B,AE$1,'來案暨出貨明細表-基因檢測(201904起'!$Q:$Q,"紙本&amp;電子")++COUNTIFS('來案暨出貨明細表-基因檢測(201904起'!$P:$P,$A5&amp;"*",'來案暨出貨明細表-基因檢測(201904起'!$B:$B,AE$1,'來案暨出貨明細表-基因檢測(201904起'!$R:$R,"中英")</f>
        <v>0</v>
      </c>
      <c r="AF5" s="33">
        <f>COUNTIFS('來案暨出貨明細表-基因檢測(201904起'!$P:$P,$A5&amp;"*",'來案暨出貨明細表-基因檢測(201904起'!$B:$B,AF$1)*$B5+COUNTIFS('來案暨出貨明細表-基因檢測(201904起'!$P:$P,$A5&amp;"*",'來案暨出貨明細表-基因檢測(201904起'!$B:$B,AF$1,'來案暨出貨明細表-基因檢測(201904起'!$Q:$Q,"紙本&amp;電子")++COUNTIFS('來案暨出貨明細表-基因檢測(201904起'!$P:$P,$A5&amp;"*",'來案暨出貨明細表-基因檢測(201904起'!$B:$B,AF$1,'來案暨出貨明細表-基因檢測(201904起'!$R:$R,"中英")</f>
        <v>0</v>
      </c>
      <c r="AG5" s="33">
        <f>COUNTIFS('來案暨出貨明細表-基因檢測(201904起'!$P:$P,$A5&amp;"*",'來案暨出貨明細表-基因檢測(201904起'!$B:$B,AG$1)*$B5+COUNTIFS('來案暨出貨明細表-基因檢測(201904起'!$P:$P,$A5&amp;"*",'來案暨出貨明細表-基因檢測(201904起'!$B:$B,AG$1,'來案暨出貨明細表-基因檢測(201904起'!$Q:$Q,"紙本&amp;電子")++COUNTIFS('來案暨出貨明細表-基因檢測(201904起'!$P:$P,$A5&amp;"*",'來案暨出貨明細表-基因檢測(201904起'!$B:$B,AG$1,'來案暨出貨明細表-基因檢測(201904起'!$R:$R,"中英")</f>
        <v>0</v>
      </c>
      <c r="AH5" s="33">
        <f>COUNTIFS('來案暨出貨明細表-基因檢測(201904起'!$P:$P,$A5&amp;"*",'來案暨出貨明細表-基因檢測(201904起'!$B:$B,AH$1)*$B5+COUNTIFS('來案暨出貨明細表-基因檢測(201904起'!$P:$P,$A5&amp;"*",'來案暨出貨明細表-基因檢測(201904起'!$B:$B,AH$1,'來案暨出貨明細表-基因檢測(201904起'!$Q:$Q,"紙本&amp;電子")++COUNTIFS('來案暨出貨明細表-基因檢測(201904起'!$P:$P,$A5&amp;"*",'來案暨出貨明細表-基因檢測(201904起'!$B:$B,AH$1,'來案暨出貨明細表-基因檢測(201904起'!$R:$R,"中英")</f>
        <v>0</v>
      </c>
      <c r="AI5" s="33">
        <f>COUNTIFS('來案暨出貨明細表-基因檢測(201904起'!$P:$P,$A5&amp;"*",'來案暨出貨明細表-基因檢測(201904起'!$B:$B,AI$1)*$B5+COUNTIFS('來案暨出貨明細表-基因檢測(201904起'!$P:$P,$A5&amp;"*",'來案暨出貨明細表-基因檢測(201904起'!$B:$B,AI$1,'來案暨出貨明細表-基因檢測(201904起'!$Q:$Q,"紙本&amp;電子")++COUNTIFS('來案暨出貨明細表-基因檢測(201904起'!$P:$P,$A5&amp;"*",'來案暨出貨明細表-基因檢測(201904起'!$B:$B,AI$1,'來案暨出貨明細表-基因檢測(201904起'!$R:$R,"中英")</f>
        <v>0</v>
      </c>
      <c r="AJ5" s="33">
        <f>COUNTIFS('來案暨出貨明細表-基因檢測(201904起'!$P:$P,$A5&amp;"*",'來案暨出貨明細表-基因檢測(201904起'!$B:$B,AJ$1)*$B5+COUNTIFS('來案暨出貨明細表-基因檢測(201904起'!$P:$P,$A5&amp;"*",'來案暨出貨明細表-基因檢測(201904起'!$B:$B,AJ$1,'來案暨出貨明細表-基因檢測(201904起'!$Q:$Q,"紙本&amp;電子")++COUNTIFS('來案暨出貨明細表-基因檢測(201904起'!$P:$P,$A5&amp;"*",'來案暨出貨明細表-基因檢測(201904起'!$B:$B,AJ$1,'來案暨出貨明細表-基因檢測(201904起'!$R:$R,"中英")</f>
        <v>0</v>
      </c>
      <c r="AK5" s="33">
        <f>COUNTIFS('來案暨出貨明細表-基因檢測(201904起'!$P:$P,$A5&amp;"*",'來案暨出貨明細表-基因檢測(201904起'!$B:$B,AK$1)*$B5+COUNTIFS('來案暨出貨明細表-基因檢測(201904起'!$P:$P,$A5&amp;"*",'來案暨出貨明細表-基因檢測(201904起'!$B:$B,AK$1,'來案暨出貨明細表-基因檢測(201904起'!$Q:$Q,"紙本&amp;電子")++COUNTIFS('來案暨出貨明細表-基因檢測(201904起'!$P:$P,$A5&amp;"*",'來案暨出貨明細表-基因檢測(201904起'!$B:$B,AK$1,'來案暨出貨明細表-基因檢測(201904起'!$R:$R,"中英")</f>
        <v>0</v>
      </c>
      <c r="AL5" s="33">
        <f>COUNTIFS('來案暨出貨明細表-基因檢測(201904起'!$P:$P,$A5&amp;"*",'來案暨出貨明細表-基因檢測(201904起'!$B:$B,AL$1)*$B5+COUNTIFS('來案暨出貨明細表-基因檢測(201904起'!$P:$P,$A5&amp;"*",'來案暨出貨明細表-基因檢測(201904起'!$B:$B,AL$1,'來案暨出貨明細表-基因檢測(201904起'!$Q:$Q,"紙本&amp;電子")++COUNTIFS('來案暨出貨明細表-基因檢測(201904起'!$P:$P,$A5&amp;"*",'來案暨出貨明細表-基因檢測(201904起'!$B:$B,AL$1,'來案暨出貨明細表-基因檢測(201904起'!$R:$R,"中英")</f>
        <v>0</v>
      </c>
      <c r="AM5" s="33">
        <f>COUNTIFS('來案暨出貨明細表-基因檢測(201904起'!$P:$P,$A5&amp;"*",'來案暨出貨明細表-基因檢測(201904起'!$B:$B,AM$1)*$B5+COUNTIFS('來案暨出貨明細表-基因檢測(201904起'!$P:$P,$A5&amp;"*",'來案暨出貨明細表-基因檢測(201904起'!$B:$B,AM$1,'來案暨出貨明細表-基因檢測(201904起'!$Q:$Q,"紙本&amp;電子")++COUNTIFS('來案暨出貨明細表-基因檢測(201904起'!$P:$P,$A5&amp;"*",'來案暨出貨明細表-基因檢測(201904起'!$B:$B,AM$1,'來案暨出貨明細表-基因檢測(201904起'!$R:$R,"中英")</f>
        <v>0</v>
      </c>
      <c r="AN5" s="33">
        <f>COUNTIFS('來案暨出貨明細表-基因檢測(201904起'!$P:$P,$A5&amp;"*",'來案暨出貨明細表-基因檢測(201904起'!$B:$B,AN$1)*$B5+COUNTIFS('來案暨出貨明細表-基因檢測(201904起'!$P:$P,$A5&amp;"*",'來案暨出貨明細表-基因檢測(201904起'!$B:$B,AN$1,'來案暨出貨明細表-基因檢測(201904起'!$Q:$Q,"紙本&amp;電子")++COUNTIFS('來案暨出貨明細表-基因檢測(201904起'!$P:$P,$A5&amp;"*",'來案暨出貨明細表-基因檢測(201904起'!$B:$B,AN$1,'來案暨出貨明細表-基因檢測(201904起'!$R:$R,"中英")</f>
        <v>0</v>
      </c>
      <c r="AO5" s="33">
        <f>COUNTIFS('來案暨出貨明細表-基因檢測(201904起'!$P:$P,$A5&amp;"*",'來案暨出貨明細表-基因檢測(201904起'!$B:$B,AO$1)*$B5+COUNTIFS('來案暨出貨明細表-基因檢測(201904起'!$P:$P,$A5&amp;"*",'來案暨出貨明細表-基因檢測(201904起'!$B:$B,AO$1,'來案暨出貨明細表-基因檢測(201904起'!$Q:$Q,"紙本&amp;電子")++COUNTIFS('來案暨出貨明細表-基因檢測(201904起'!$P:$P,$A5&amp;"*",'來案暨出貨明細表-基因檢測(201904起'!$B:$B,AO$1,'來案暨出貨明細表-基因檢測(201904起'!$R:$R,"中英")</f>
        <v>0</v>
      </c>
      <c r="AP5" s="33">
        <f>COUNTIFS('來案暨出貨明細表-基因檢測(201904起'!$P:$P,$A5&amp;"*",'來案暨出貨明細表-基因檢測(201904起'!$B:$B,AP$1)*$B5+COUNTIFS('來案暨出貨明細表-基因檢測(201904起'!$P:$P,$A5&amp;"*",'來案暨出貨明細表-基因檢測(201904起'!$B:$B,AP$1,'來案暨出貨明細表-基因檢測(201904起'!$Q:$Q,"紙本&amp;電子")++COUNTIFS('來案暨出貨明細表-基因檢測(201904起'!$P:$P,$A5&amp;"*",'來案暨出貨明細表-基因檢測(201904起'!$B:$B,AP$1,'來案暨出貨明細表-基因檢測(201904起'!$R:$R,"中英")</f>
        <v>0</v>
      </c>
      <c r="AQ5" s="33">
        <f>COUNTIFS('來案暨出貨明細表-基因檢測(201904起'!$P:$P,$A5&amp;"*",'來案暨出貨明細表-基因檢測(201904起'!$B:$B,AQ$1)*$B5+COUNTIFS('來案暨出貨明細表-基因檢測(201904起'!$P:$P,$A5&amp;"*",'來案暨出貨明細表-基因檢測(201904起'!$B:$B,AQ$1,'來案暨出貨明細表-基因檢測(201904起'!$Q:$Q,"紙本&amp;電子")++COUNTIFS('來案暨出貨明細表-基因檢測(201904起'!$P:$P,$A5&amp;"*",'來案暨出貨明細表-基因檢測(201904起'!$B:$B,AQ$1,'來案暨出貨明細表-基因檢測(201904起'!$R:$R,"中英")</f>
        <v>0</v>
      </c>
      <c r="AR5" s="33">
        <f>COUNTIFS('來案暨出貨明細表-基因檢測(201904起'!$P:$P,$A5&amp;"*",'來案暨出貨明細表-基因檢測(201904起'!$B:$B,AR$1)*$B5+COUNTIFS('來案暨出貨明細表-基因檢測(201904起'!$P:$P,$A5&amp;"*",'來案暨出貨明細表-基因檢測(201904起'!$B:$B,AR$1,'來案暨出貨明細表-基因檢測(201904起'!$Q:$Q,"紙本&amp;電子")++COUNTIFS('來案暨出貨明細表-基因檢測(201904起'!$P:$P,$A5&amp;"*",'來案暨出貨明細表-基因檢測(201904起'!$B:$B,AR$1,'來案暨出貨明細表-基因檢測(201904起'!$R:$R,"中英")</f>
        <v>0</v>
      </c>
      <c r="AS5" s="33">
        <f>COUNTIFS('來案暨出貨明細表-基因檢測(201904起'!$P:$P,$A5&amp;"*",'來案暨出貨明細表-基因檢測(201904起'!$B:$B,AS$1)*$B5+COUNTIFS('來案暨出貨明細表-基因檢測(201904起'!$P:$P,$A5&amp;"*",'來案暨出貨明細表-基因檢測(201904起'!$B:$B,AS$1,'來案暨出貨明細表-基因檢測(201904起'!$Q:$Q,"紙本&amp;電子")++COUNTIFS('來案暨出貨明細表-基因檢測(201904起'!$P:$P,$A5&amp;"*",'來案暨出貨明細表-基因檢測(201904起'!$B:$B,AS$1,'來案暨出貨明細表-基因檢測(201904起'!$R:$R,"中英")</f>
        <v>0</v>
      </c>
      <c r="AT5" s="33">
        <f>COUNTIFS('來案暨出貨明細表-基因檢測(201904起'!$P:$P,$A5&amp;"*",'來案暨出貨明細表-基因檢測(201904起'!$B:$B,AT$1)*$B5+COUNTIFS('來案暨出貨明細表-基因檢測(201904起'!$P:$P,$A5&amp;"*",'來案暨出貨明細表-基因檢測(201904起'!$B:$B,AT$1,'來案暨出貨明細表-基因檢測(201904起'!$Q:$Q,"紙本&amp;電子")++COUNTIFS('來案暨出貨明細表-基因檢測(201904起'!$P:$P,$A5&amp;"*",'來案暨出貨明細表-基因檢測(201904起'!$B:$B,AT$1,'來案暨出貨明細表-基因檢測(201904起'!$R:$R,"中英")</f>
        <v>0</v>
      </c>
      <c r="AU5" s="33">
        <f>COUNTIFS('來案暨出貨明細表-基因檢測(201904起'!$P:$P,$A5&amp;"*",'來案暨出貨明細表-基因檢測(201904起'!$B:$B,AU$1)*$B5+COUNTIFS('來案暨出貨明細表-基因檢測(201904起'!$P:$P,$A5&amp;"*",'來案暨出貨明細表-基因檢測(201904起'!$B:$B,AU$1,'來案暨出貨明細表-基因檢測(201904起'!$Q:$Q,"紙本&amp;電子")++COUNTIFS('來案暨出貨明細表-基因檢測(201904起'!$P:$P,$A5&amp;"*",'來案暨出貨明細表-基因檢測(201904起'!$B:$B,AU$1,'來案暨出貨明細表-基因檢測(201904起'!$R:$R,"中英")</f>
        <v>0</v>
      </c>
      <c r="AV5" s="33">
        <f>COUNTIFS('來案暨出貨明細表-基因檢測(201904起'!$P:$P,$A5&amp;"*",'來案暨出貨明細表-基因檢測(201904起'!$B:$B,AV$1)*$B5+COUNTIFS('來案暨出貨明細表-基因檢測(201904起'!$P:$P,$A5&amp;"*",'來案暨出貨明細表-基因檢測(201904起'!$B:$B,AV$1,'來案暨出貨明細表-基因檢測(201904起'!$Q:$Q,"紙本&amp;電子")++COUNTIFS('來案暨出貨明細表-基因檢測(201904起'!$P:$P,$A5&amp;"*",'來案暨出貨明細表-基因檢測(201904起'!$B:$B,AV$1,'來案暨出貨明細表-基因檢測(201904起'!$R:$R,"中英")</f>
        <v>0</v>
      </c>
      <c r="AW5" s="33">
        <f>COUNTIFS('來案暨出貨明細表-基因檢測(201904起'!$P:$P,$A5&amp;"*",'來案暨出貨明細表-基因檢測(201904起'!$B:$B,AW$1)*$B5+COUNTIFS('來案暨出貨明細表-基因檢測(201904起'!$P:$P,$A5&amp;"*",'來案暨出貨明細表-基因檢測(201904起'!$B:$B,AW$1,'來案暨出貨明細表-基因檢測(201904起'!$Q:$Q,"紙本&amp;電子")++COUNTIFS('來案暨出貨明細表-基因檢測(201904起'!$P:$P,$A5&amp;"*",'來案暨出貨明細表-基因檢測(201904起'!$B:$B,AW$1,'來案暨出貨明細表-基因檢測(201904起'!$R:$R,"中英")</f>
        <v>0</v>
      </c>
      <c r="AX5" s="33">
        <f>COUNTIFS('來案暨出貨明細表-基因檢測(201904起'!$P:$P,$A5&amp;"*",'來案暨出貨明細表-基因檢測(201904起'!$B:$B,AX$1)*$B5+COUNTIFS('來案暨出貨明細表-基因檢測(201904起'!$P:$P,$A5&amp;"*",'來案暨出貨明細表-基因檢測(201904起'!$B:$B,AX$1,'來案暨出貨明細表-基因檢測(201904起'!$Q:$Q,"紙本&amp;電子")++COUNTIFS('來案暨出貨明細表-基因檢測(201904起'!$P:$P,$A5&amp;"*",'來案暨出貨明細表-基因檢測(201904起'!$B:$B,AX$1,'來案暨出貨明細表-基因檢測(201904起'!$R:$R,"中英")</f>
        <v>0</v>
      </c>
      <c r="AY5" s="33">
        <f>COUNTIFS('來案暨出貨明細表-基因檢測(201904起'!$P:$P,$A5&amp;"*",'來案暨出貨明細表-基因檢測(201904起'!$B:$B,AY$1)*$B5+COUNTIFS('來案暨出貨明細表-基因檢測(201904起'!$P:$P,$A5&amp;"*",'來案暨出貨明細表-基因檢測(201904起'!$B:$B,AY$1,'來案暨出貨明細表-基因檢測(201904起'!$Q:$Q,"紙本&amp;電子")++COUNTIFS('來案暨出貨明細表-基因檢測(201904起'!$P:$P,$A5&amp;"*",'來案暨出貨明細表-基因檢測(201904起'!$B:$B,AY$1,'來案暨出貨明細表-基因檢測(201904起'!$R:$R,"中英")</f>
        <v>0</v>
      </c>
      <c r="AZ5" s="33">
        <f>COUNTIFS('來案暨出貨明細表-基因檢測(201904起'!$P:$P,$A5&amp;"*",'來案暨出貨明細表-基因檢測(201904起'!$B:$B,AZ$1)*$B5+COUNTIFS('來案暨出貨明細表-基因檢測(201904起'!$P:$P,$A5&amp;"*",'來案暨出貨明細表-基因檢測(201904起'!$B:$B,AZ$1,'來案暨出貨明細表-基因檢測(201904起'!$Q:$Q,"紙本&amp;電子")++COUNTIFS('來案暨出貨明細表-基因檢測(201904起'!$P:$P,$A5&amp;"*",'來案暨出貨明細表-基因檢測(201904起'!$B:$B,AZ$1,'來案暨出貨明細表-基因檢測(201904起'!$R:$R,"中英")</f>
        <v>0</v>
      </c>
      <c r="BA5" s="33">
        <f>COUNTIFS('來案暨出貨明細表-基因檢測(201904起'!$P:$P,$A5&amp;"*",'來案暨出貨明細表-基因檢測(201904起'!$B:$B,BA$1)*$B5+COUNTIFS('來案暨出貨明細表-基因檢測(201904起'!$P:$P,$A5&amp;"*",'來案暨出貨明細表-基因檢測(201904起'!$B:$B,BA$1,'來案暨出貨明細表-基因檢測(201904起'!$Q:$Q,"紙本&amp;電子")++COUNTIFS('來案暨出貨明細表-基因檢測(201904起'!$P:$P,$A5&amp;"*",'來案暨出貨明細表-基因檢測(201904起'!$B:$B,BA$1,'來案暨出貨明細表-基因檢測(201904起'!$R:$R,"中英")</f>
        <v>0</v>
      </c>
      <c r="BB5" s="33">
        <f>COUNTIFS('來案暨出貨明細表-基因檢測(201904起'!$P:$P,$A5&amp;"*",'來案暨出貨明細表-基因檢測(201904起'!$B:$B,BB$1)*$B5+COUNTIFS('來案暨出貨明細表-基因檢測(201904起'!$P:$P,$A5&amp;"*",'來案暨出貨明細表-基因檢測(201904起'!$B:$B,BB$1,'來案暨出貨明細表-基因檢測(201904起'!$Q:$Q,"紙本&amp;電子")++COUNTIFS('來案暨出貨明細表-基因檢測(201904起'!$P:$P,$A5&amp;"*",'來案暨出貨明細表-基因檢測(201904起'!$B:$B,BB$1,'來案暨出貨明細表-基因檢測(201904起'!$R:$R,"中英")</f>
        <v>1</v>
      </c>
      <c r="BC5" s="33">
        <f>COUNTIFS('來案暨出貨明細表-基因檢測(201904起'!$P:$P,$A5&amp;"*",'來案暨出貨明細表-基因檢測(201904起'!$B:$B,BC$1)*$B5+COUNTIFS('來案暨出貨明細表-基因檢測(201904起'!$P:$P,$A5&amp;"*",'來案暨出貨明細表-基因檢測(201904起'!$B:$B,BC$1,'來案暨出貨明細表-基因檢測(201904起'!$Q:$Q,"紙本&amp;電子")++COUNTIFS('來案暨出貨明細表-基因檢測(201904起'!$P:$P,$A5&amp;"*",'來案暨出貨明細表-基因檢測(201904起'!$B:$B,BC$1,'來案暨出貨明細表-基因檢測(201904起'!$R:$R,"中英")</f>
        <v>0</v>
      </c>
      <c r="BD5" s="33">
        <f>COUNTIFS('來案暨出貨明細表-基因檢測(201904起'!$P:$P,$A5&amp;"*",'來案暨出貨明細表-基因檢測(201904起'!$B:$B,BD$1)*$B5+COUNTIFS('來案暨出貨明細表-基因檢測(201904起'!$P:$P,$A5&amp;"*",'來案暨出貨明細表-基因檢測(201904起'!$B:$B,BD$1,'來案暨出貨明細表-基因檢測(201904起'!$Q:$Q,"紙本&amp;電子")++COUNTIFS('來案暨出貨明細表-基因檢測(201904起'!$P:$P,$A5&amp;"*",'來案暨出貨明細表-基因檢測(201904起'!$B:$B,BD$1,'來案暨出貨明細表-基因檢測(201904起'!$R:$R,"中英")</f>
        <v>0</v>
      </c>
      <c r="BE5" s="33">
        <f>COUNTIFS('來案暨出貨明細表-基因檢測(201904起'!$P:$P,$A5&amp;"*",'來案暨出貨明細表-基因檢測(201904起'!$B:$B,BE$1)*$B5+COUNTIFS('來案暨出貨明細表-基因檢測(201904起'!$P:$P,$A5&amp;"*",'來案暨出貨明細表-基因檢測(201904起'!$B:$B,BE$1,'來案暨出貨明細表-基因檢測(201904起'!$Q:$Q,"紙本&amp;電子")++COUNTIFS('來案暨出貨明細表-基因檢測(201904起'!$P:$P,$A5&amp;"*",'來案暨出貨明細表-基因檢測(201904起'!$B:$B,BE$1,'來案暨出貨明細表-基因檢測(201904起'!$R:$R,"中英")</f>
        <v>0</v>
      </c>
      <c r="BF5" s="33">
        <f>COUNTIFS('來案暨出貨明細表-基因檢測(201904起'!$P:$P,$A5&amp;"*",'來案暨出貨明細表-基因檢測(201904起'!$B:$B,BF$1)*$B5+COUNTIFS('來案暨出貨明細表-基因檢測(201904起'!$P:$P,$A5&amp;"*",'來案暨出貨明細表-基因檢測(201904起'!$B:$B,BF$1,'來案暨出貨明細表-基因檢測(201904起'!$Q:$Q,"紙本&amp;電子")++COUNTIFS('來案暨出貨明細表-基因檢測(201904起'!$P:$P,$A5&amp;"*",'來案暨出貨明細表-基因檢測(201904起'!$B:$B,BF$1,'來案暨出貨明細表-基因檢測(201904起'!$R:$R,"中英")</f>
        <v>0</v>
      </c>
      <c r="BG5" s="33">
        <f>COUNTIFS('來案暨出貨明細表-基因檢測(201904起'!$P:$P,$A5&amp;"*",'來案暨出貨明細表-基因檢測(201904起'!$B:$B,BG$1)*$B5+COUNTIFS('來案暨出貨明細表-基因檢測(201904起'!$P:$P,$A5&amp;"*",'來案暨出貨明細表-基因檢測(201904起'!$B:$B,BG$1,'來案暨出貨明細表-基因檢測(201904起'!$Q:$Q,"紙本&amp;電子")++COUNTIFS('來案暨出貨明細表-基因檢測(201904起'!$P:$P,$A5&amp;"*",'來案暨出貨明細表-基因檢測(201904起'!$B:$B,BG$1,'來案暨出貨明細表-基因檢測(201904起'!$R:$R,"中英")</f>
        <v>0</v>
      </c>
      <c r="BH5" s="33">
        <f>COUNTIFS('來案暨出貨明細表-基因檢測(201904起'!$P:$P,$A5&amp;"*",'來案暨出貨明細表-基因檢測(201904起'!$B:$B,BH$1)*$B5+COUNTIFS('來案暨出貨明細表-基因檢測(201904起'!$P:$P,$A5&amp;"*",'來案暨出貨明細表-基因檢測(201904起'!$B:$B,BH$1,'來案暨出貨明細表-基因檢測(201904起'!$Q:$Q,"紙本&amp;電子")++COUNTIFS('來案暨出貨明細表-基因檢測(201904起'!$P:$P,$A5&amp;"*",'來案暨出貨明細表-基因檢測(201904起'!$B:$B,BH$1,'來案暨出貨明細表-基因檢測(201904起'!$R:$R,"中英")</f>
        <v>0</v>
      </c>
      <c r="BI5" s="33">
        <f>COUNTIFS('來案暨出貨明細表-基因檢測(201904起'!$P:$P,$A5&amp;"*",'來案暨出貨明細表-基因檢測(201904起'!$B:$B,BI$1)*$B5+COUNTIFS('來案暨出貨明細表-基因檢測(201904起'!$P:$P,$A5&amp;"*",'來案暨出貨明細表-基因檢測(201904起'!$B:$B,BI$1,'來案暨出貨明細表-基因檢測(201904起'!$Q:$Q,"紙本&amp;電子")++COUNTIFS('來案暨出貨明細表-基因檢測(201904起'!$P:$P,$A5&amp;"*",'來案暨出貨明細表-基因檢測(201904起'!$B:$B,BI$1,'來案暨出貨明細表-基因檢測(201904起'!$R:$R,"中英")</f>
        <v>0</v>
      </c>
      <c r="BJ5" s="33">
        <f>COUNTIFS('來案暨出貨明細表-基因檢測(201904起'!$P:$P,$A5&amp;"*",'來案暨出貨明細表-基因檢測(201904起'!$B:$B,BJ$1)*$B5+COUNTIFS('來案暨出貨明細表-基因檢測(201904起'!$P:$P,$A5&amp;"*",'來案暨出貨明細表-基因檢測(201904起'!$B:$B,BJ$1,'來案暨出貨明細表-基因檢測(201904起'!$Q:$Q,"紙本&amp;電子")++COUNTIFS('來案暨出貨明細表-基因檢測(201904起'!$P:$P,$A5&amp;"*",'來案暨出貨明細表-基因檢測(201904起'!$B:$B,BJ$1,'來案暨出貨明細表-基因檢測(201904起'!$R:$R,"中英")</f>
        <v>0</v>
      </c>
      <c r="BK5" s="33">
        <f>COUNTIFS('來案暨出貨明細表-基因檢測(201904起'!$P:$P,$A5&amp;"*",'來案暨出貨明細表-基因檢測(201904起'!$B:$B,BK$1)*$B5+COUNTIFS('來案暨出貨明細表-基因檢測(201904起'!$P:$P,$A5&amp;"*",'來案暨出貨明細表-基因檢測(201904起'!$B:$B,BK$1,'來案暨出貨明細表-基因檢測(201904起'!$Q:$Q,"紙本&amp;電子")++COUNTIFS('來案暨出貨明細表-基因檢測(201904起'!$P:$P,$A5&amp;"*",'來案暨出貨明細表-基因檢測(201904起'!$B:$B,BK$1,'來案暨出貨明細表-基因檢測(201904起'!$R:$R,"中英")</f>
        <v>0</v>
      </c>
      <c r="BL5" s="33">
        <f>COUNTIFS('來案暨出貨明細表-基因檢測(201904起'!$P:$P,$A5&amp;"*",'來案暨出貨明細表-基因檢測(201904起'!$B:$B,BL$1)*$B5+COUNTIFS('來案暨出貨明細表-基因檢測(201904起'!$P:$P,$A5&amp;"*",'來案暨出貨明細表-基因檢測(201904起'!$B:$B,BL$1,'來案暨出貨明細表-基因檢測(201904起'!$Q:$Q,"紙本&amp;電子")++COUNTIFS('來案暨出貨明細表-基因檢測(201904起'!$P:$P,$A5&amp;"*",'來案暨出貨明細表-基因檢測(201904起'!$B:$B,BL$1,'來案暨出貨明細表-基因檢測(201904起'!$R:$R,"中英")</f>
        <v>0</v>
      </c>
      <c r="BM5" s="33">
        <f>COUNTIFS('來案暨出貨明細表-基因檢測(201904起'!$P:$P,$A5&amp;"*",'來案暨出貨明細表-基因檢測(201904起'!$B:$B,BM$1)*$B5+COUNTIFS('來案暨出貨明細表-基因檢測(201904起'!$P:$P,$A5&amp;"*",'來案暨出貨明細表-基因檢測(201904起'!$B:$B,BM$1,'來案暨出貨明細表-基因檢測(201904起'!$Q:$Q,"紙本&amp;電子")++COUNTIFS('來案暨出貨明細表-基因檢測(201904起'!$P:$P,$A5&amp;"*",'來案暨出貨明細表-基因檢測(201904起'!$B:$B,BM$1,'來案暨出貨明細表-基因檢測(201904起'!$R:$R,"中英")</f>
        <v>0</v>
      </c>
    </row>
    <row r="6" spans="1:65" ht="15" customHeight="1">
      <c r="A6" s="9" t="s">
        <v>2476</v>
      </c>
      <c r="B6" s="9">
        <v>1</v>
      </c>
      <c r="C6" s="13" t="s">
        <v>2477</v>
      </c>
      <c r="D6" s="142" t="s">
        <v>2478</v>
      </c>
      <c r="E6" s="33">
        <f>COUNTIFS('來案暨出貨明細表-基因檢測(201904起'!$P:$P,$A6&amp;"*",'來案暨出貨明細表-基因檢測(201904起'!$B:$B,E$1)*$B6+COUNTIFS('來案暨出貨明細表-基因檢測(201904起'!$P:$P,$A6&amp;"*",'來案暨出貨明細表-基因檢測(201904起'!$B:$B,E$1,'來案暨出貨明細表-基因檢測(201904起'!$Q:$Q,"紙本&amp;電子")++COUNTIFS('來案暨出貨明細表-基因檢測(201904起'!$P:$P,$A6&amp;"*",'來案暨出貨明細表-基因檢測(201904起'!$B:$B,E$1,'來案暨出貨明細表-基因檢測(201904起'!$R:$R,"中英")</f>
        <v>0</v>
      </c>
      <c r="F6" s="33">
        <f>COUNTIFS('來案暨出貨明細表-基因檢測(201904起'!$P:$P,$A6&amp;"*",'來案暨出貨明細表-基因檢測(201904起'!$B:$B,F$1)*$B6+COUNTIFS('來案暨出貨明細表-基因檢測(201904起'!$P:$P,$A6&amp;"*",'來案暨出貨明細表-基因檢測(201904起'!$B:$B,F$1,'來案暨出貨明細表-基因檢測(201904起'!$Q:$Q,"紙本&amp;電子")++COUNTIFS('來案暨出貨明細表-基因檢測(201904起'!$P:$P,$A6&amp;"*",'來案暨出貨明細表-基因檢測(201904起'!$B:$B,F$1,'來案暨出貨明細表-基因檢測(201904起'!$R:$R,"中英")</f>
        <v>0</v>
      </c>
      <c r="G6" s="33">
        <f>COUNTIFS('來案暨出貨明細表-基因檢測(201904起'!$P:$P,$A6&amp;"*",'來案暨出貨明細表-基因檢測(201904起'!$B:$B,G$1)*$B6+COUNTIFS('來案暨出貨明細表-基因檢測(201904起'!$P:$P,$A6&amp;"*",'來案暨出貨明細表-基因檢測(201904起'!$B:$B,G$1,'來案暨出貨明細表-基因檢測(201904起'!$Q:$Q,"紙本&amp;電子")++COUNTIFS('來案暨出貨明細表-基因檢測(201904起'!$P:$P,$A6&amp;"*",'來案暨出貨明細表-基因檢測(201904起'!$B:$B,G$1,'來案暨出貨明細表-基因檢測(201904起'!$R:$R,"中英")</f>
        <v>0</v>
      </c>
      <c r="H6" s="33">
        <f>COUNTIFS('來案暨出貨明細表-基因檢測(201904起'!$P:$P,$A6&amp;"*",'來案暨出貨明細表-基因檢測(201904起'!$B:$B,H$1)*$B6+COUNTIFS('來案暨出貨明細表-基因檢測(201904起'!$P:$P,$A6&amp;"*",'來案暨出貨明細表-基因檢測(201904起'!$B:$B,H$1,'來案暨出貨明細表-基因檢測(201904起'!$Q:$Q,"紙本&amp;電子")++COUNTIFS('來案暨出貨明細表-基因檢測(201904起'!$P:$P,$A6&amp;"*",'來案暨出貨明細表-基因檢測(201904起'!$B:$B,H$1,'來案暨出貨明細表-基因檢測(201904起'!$R:$R,"中英")</f>
        <v>0</v>
      </c>
      <c r="I6" s="33">
        <f>COUNTIFS('來案暨出貨明細表-基因檢測(201904起'!$P:$P,$A6&amp;"*",'來案暨出貨明細表-基因檢測(201904起'!$B:$B,I$1)*$B6+COUNTIFS('來案暨出貨明細表-基因檢測(201904起'!$P:$P,$A6&amp;"*",'來案暨出貨明細表-基因檢測(201904起'!$B:$B,I$1,'來案暨出貨明細表-基因檢測(201904起'!$Q:$Q,"紙本&amp;電子")++COUNTIFS('來案暨出貨明細表-基因檢測(201904起'!$P:$P,$A6&amp;"*",'來案暨出貨明細表-基因檢測(201904起'!$B:$B,I$1,'來案暨出貨明細表-基因檢測(201904起'!$R:$R,"中英")</f>
        <v>0</v>
      </c>
      <c r="J6" s="33">
        <f>COUNTIFS('來案暨出貨明細表-基因檢測(201904起'!$P:$P,$A6&amp;"*",'來案暨出貨明細表-基因檢測(201904起'!$B:$B,J$1)*$B6+COUNTIFS('來案暨出貨明細表-基因檢測(201904起'!$P:$P,$A6&amp;"*",'來案暨出貨明細表-基因檢測(201904起'!$B:$B,J$1,'來案暨出貨明細表-基因檢測(201904起'!$Q:$Q,"紙本&amp;電子")++COUNTIFS('來案暨出貨明細表-基因檢測(201904起'!$P:$P,$A6&amp;"*",'來案暨出貨明細表-基因檢測(201904起'!$B:$B,J$1,'來案暨出貨明細表-基因檢測(201904起'!$R:$R,"中英")</f>
        <v>0</v>
      </c>
      <c r="K6" s="33">
        <f>COUNTIFS('來案暨出貨明細表-基因檢測(201904起'!$P:$P,$A6&amp;"*",'來案暨出貨明細表-基因檢測(201904起'!$B:$B,K$1)*$B6+COUNTIFS('來案暨出貨明細表-基因檢測(201904起'!$P:$P,$A6&amp;"*",'來案暨出貨明細表-基因檢測(201904起'!$B:$B,K$1,'來案暨出貨明細表-基因檢測(201904起'!$Q:$Q,"紙本&amp;電子")++COUNTIFS('來案暨出貨明細表-基因檢測(201904起'!$P:$P,$A6&amp;"*",'來案暨出貨明細表-基因檢測(201904起'!$B:$B,K$1,'來案暨出貨明細表-基因檢測(201904起'!$R:$R,"中英")</f>
        <v>0</v>
      </c>
      <c r="L6" s="33">
        <f>COUNTIFS('來案暨出貨明細表-基因檢測(201904起'!$P:$P,$A6&amp;"*",'來案暨出貨明細表-基因檢測(201904起'!$B:$B,L$1)*$B6+COUNTIFS('來案暨出貨明細表-基因檢測(201904起'!$P:$P,$A6&amp;"*",'來案暨出貨明細表-基因檢測(201904起'!$B:$B,L$1,'來案暨出貨明細表-基因檢測(201904起'!$Q:$Q,"紙本&amp;電子")++COUNTIFS('來案暨出貨明細表-基因檢測(201904起'!$P:$P,$A6&amp;"*",'來案暨出貨明細表-基因檢測(201904起'!$B:$B,L$1,'來案暨出貨明細表-基因檢測(201904起'!$R:$R,"中英")</f>
        <v>0</v>
      </c>
      <c r="M6" s="33">
        <f>COUNTIFS('來案暨出貨明細表-基因檢測(201904起'!$P:$P,$A6&amp;"*",'來案暨出貨明細表-基因檢測(201904起'!$B:$B,M$1)*$B6+COUNTIFS('來案暨出貨明細表-基因檢測(201904起'!$P:$P,$A6&amp;"*",'來案暨出貨明細表-基因檢測(201904起'!$B:$B,M$1,'來案暨出貨明細表-基因檢測(201904起'!$Q:$Q,"紙本&amp;電子")++COUNTIFS('來案暨出貨明細表-基因檢測(201904起'!$P:$P,$A6&amp;"*",'來案暨出貨明細表-基因檢測(201904起'!$B:$B,M$1,'來案暨出貨明細表-基因檢測(201904起'!$R:$R,"中英")</f>
        <v>0</v>
      </c>
      <c r="N6" s="33">
        <f>COUNTIFS('來案暨出貨明細表-基因檢測(201904起'!$P:$P,$A6&amp;"*",'來案暨出貨明細表-基因檢測(201904起'!$B:$B,N$1)*$B6+COUNTIFS('來案暨出貨明細表-基因檢測(201904起'!$P:$P,$A6&amp;"*",'來案暨出貨明細表-基因檢測(201904起'!$B:$B,N$1,'來案暨出貨明細表-基因檢測(201904起'!$Q:$Q,"紙本&amp;電子")++COUNTIFS('來案暨出貨明細表-基因檢測(201904起'!$P:$P,$A6&amp;"*",'來案暨出貨明細表-基因檢測(201904起'!$B:$B,N$1,'來案暨出貨明細表-基因檢測(201904起'!$R:$R,"中英")</f>
        <v>0</v>
      </c>
      <c r="O6" s="33">
        <f>COUNTIFS('來案暨出貨明細表-基因檢測(201904起'!$P:$P,$A6&amp;"*",'來案暨出貨明細表-基因檢測(201904起'!$B:$B,O$1)*$B6+COUNTIFS('來案暨出貨明細表-基因檢測(201904起'!$P:$P,$A6&amp;"*",'來案暨出貨明細表-基因檢測(201904起'!$B:$B,O$1,'來案暨出貨明細表-基因檢測(201904起'!$Q:$Q,"紙本&amp;電子")++COUNTIFS('來案暨出貨明細表-基因檢測(201904起'!$P:$P,$A6&amp;"*",'來案暨出貨明細表-基因檢測(201904起'!$B:$B,O$1,'來案暨出貨明細表-基因檢測(201904起'!$R:$R,"中英")</f>
        <v>0</v>
      </c>
      <c r="P6" s="33">
        <f>COUNTIFS('來案暨出貨明細表-基因檢測(201904起'!$P:$P,$A6&amp;"*",'來案暨出貨明細表-基因檢測(201904起'!$B:$B,P$1)*$B6+COUNTIFS('來案暨出貨明細表-基因檢測(201904起'!$P:$P,$A6&amp;"*",'來案暨出貨明細表-基因檢測(201904起'!$B:$B,P$1,'來案暨出貨明細表-基因檢測(201904起'!$Q:$Q,"紙本&amp;電子")++COUNTIFS('來案暨出貨明細表-基因檢測(201904起'!$P:$P,$A6&amp;"*",'來案暨出貨明細表-基因檢測(201904起'!$B:$B,P$1,'來案暨出貨明細表-基因檢測(201904起'!$R:$R,"中英")</f>
        <v>0</v>
      </c>
      <c r="Q6" s="33">
        <f>COUNTIFS('來案暨出貨明細表-基因檢測(201904起'!$P:$P,$A6&amp;"*",'來案暨出貨明細表-基因檢測(201904起'!$B:$B,Q$1)*$B6+COUNTIFS('來案暨出貨明細表-基因檢測(201904起'!$P:$P,$A6&amp;"*",'來案暨出貨明細表-基因檢測(201904起'!$B:$B,Q$1,'來案暨出貨明細表-基因檢測(201904起'!$Q:$Q,"紙本&amp;電子")++COUNTIFS('來案暨出貨明細表-基因檢測(201904起'!$P:$P,$A6&amp;"*",'來案暨出貨明細表-基因檢測(201904起'!$B:$B,Q$1,'來案暨出貨明細表-基因檢測(201904起'!$R:$R,"中英")</f>
        <v>0</v>
      </c>
      <c r="R6" s="33">
        <f>COUNTIFS('來案暨出貨明細表-基因檢測(201904起'!$P:$P,$A6&amp;"*",'來案暨出貨明細表-基因檢測(201904起'!$B:$B,R$1)*$B6+COUNTIFS('來案暨出貨明細表-基因檢測(201904起'!$P:$P,$A6&amp;"*",'來案暨出貨明細表-基因檢測(201904起'!$B:$B,R$1,'來案暨出貨明細表-基因檢測(201904起'!$Q:$Q,"紙本&amp;電子")++COUNTIFS('來案暨出貨明細表-基因檢測(201904起'!$P:$P,$A6&amp;"*",'來案暨出貨明細表-基因檢測(201904起'!$B:$B,R$1,'來案暨出貨明細表-基因檢測(201904起'!$R:$R,"中英")</f>
        <v>0</v>
      </c>
      <c r="S6" s="33">
        <f>COUNTIFS('來案暨出貨明細表-基因檢測(201904起'!$P:$P,$A6&amp;"*",'來案暨出貨明細表-基因檢測(201904起'!$B:$B,S$1)*$B6+COUNTIFS('來案暨出貨明細表-基因檢測(201904起'!$P:$P,$A6&amp;"*",'來案暨出貨明細表-基因檢測(201904起'!$B:$B,S$1,'來案暨出貨明細表-基因檢測(201904起'!$Q:$Q,"紙本&amp;電子")++COUNTIFS('來案暨出貨明細表-基因檢測(201904起'!$P:$P,$A6&amp;"*",'來案暨出貨明細表-基因檢測(201904起'!$B:$B,S$1,'來案暨出貨明細表-基因檢測(201904起'!$R:$R,"中英")</f>
        <v>0</v>
      </c>
      <c r="T6" s="33">
        <f>COUNTIFS('來案暨出貨明細表-基因檢測(201904起'!$P:$P,$A6&amp;"*",'來案暨出貨明細表-基因檢測(201904起'!$B:$B,T$1)*$B6+COUNTIFS('來案暨出貨明細表-基因檢測(201904起'!$P:$P,$A6&amp;"*",'來案暨出貨明細表-基因檢測(201904起'!$B:$B,T$1,'來案暨出貨明細表-基因檢測(201904起'!$Q:$Q,"紙本&amp;電子")++COUNTIFS('來案暨出貨明細表-基因檢測(201904起'!$P:$P,$A6&amp;"*",'來案暨出貨明細表-基因檢測(201904起'!$B:$B,T$1,'來案暨出貨明細表-基因檢測(201904起'!$R:$R,"中英")</f>
        <v>0</v>
      </c>
      <c r="U6" s="33">
        <f>COUNTIFS('來案暨出貨明細表-基因檢測(201904起'!$P:$P,$A6&amp;"*",'來案暨出貨明細表-基因檢測(201904起'!$B:$B,U$1)*$B6+COUNTIFS('來案暨出貨明細表-基因檢測(201904起'!$P:$P,$A6&amp;"*",'來案暨出貨明細表-基因檢測(201904起'!$B:$B,U$1,'來案暨出貨明細表-基因檢測(201904起'!$Q:$Q,"紙本&amp;電子")++COUNTIFS('來案暨出貨明細表-基因檢測(201904起'!$P:$P,$A6&amp;"*",'來案暨出貨明細表-基因檢測(201904起'!$B:$B,U$1,'來案暨出貨明細表-基因檢測(201904起'!$R:$R,"中英")</f>
        <v>0</v>
      </c>
      <c r="V6" s="33">
        <f>COUNTIFS('來案暨出貨明細表-基因檢測(201904起'!$P:$P,$A6&amp;"*",'來案暨出貨明細表-基因檢測(201904起'!$B:$B,V$1)*$B6+COUNTIFS('來案暨出貨明細表-基因檢測(201904起'!$P:$P,$A6&amp;"*",'來案暨出貨明細表-基因檢測(201904起'!$B:$B,V$1,'來案暨出貨明細表-基因檢測(201904起'!$Q:$Q,"紙本&amp;電子")++COUNTIFS('來案暨出貨明細表-基因檢測(201904起'!$P:$P,$A6&amp;"*",'來案暨出貨明細表-基因檢測(201904起'!$B:$B,V$1,'來案暨出貨明細表-基因檢測(201904起'!$R:$R,"中英")</f>
        <v>0</v>
      </c>
      <c r="W6" s="33">
        <f>COUNTIFS('來案暨出貨明細表-基因檢測(201904起'!$P:$P,$A6&amp;"*",'來案暨出貨明細表-基因檢測(201904起'!$B:$B,W$1)*$B6+COUNTIFS('來案暨出貨明細表-基因檢測(201904起'!$P:$P,$A6&amp;"*",'來案暨出貨明細表-基因檢測(201904起'!$B:$B,W$1,'來案暨出貨明細表-基因檢測(201904起'!$Q:$Q,"紙本&amp;電子")++COUNTIFS('來案暨出貨明細表-基因檢測(201904起'!$P:$P,$A6&amp;"*",'來案暨出貨明細表-基因檢測(201904起'!$B:$B,W$1,'來案暨出貨明細表-基因檢測(201904起'!$R:$R,"中英")</f>
        <v>0</v>
      </c>
      <c r="X6" s="33">
        <f>COUNTIFS('來案暨出貨明細表-基因檢測(201904起'!$P:$P,$A6&amp;"*",'來案暨出貨明細表-基因檢測(201904起'!$B:$B,X$1)*$B6+COUNTIFS('來案暨出貨明細表-基因檢測(201904起'!$P:$P,$A6&amp;"*",'來案暨出貨明細表-基因檢測(201904起'!$B:$B,X$1,'來案暨出貨明細表-基因檢測(201904起'!$Q:$Q,"紙本&amp;電子")++COUNTIFS('來案暨出貨明細表-基因檢測(201904起'!$P:$P,$A6&amp;"*",'來案暨出貨明細表-基因檢測(201904起'!$B:$B,X$1,'來案暨出貨明細表-基因檢測(201904起'!$R:$R,"中英")</f>
        <v>0</v>
      </c>
      <c r="Y6" s="33">
        <f>COUNTIFS('來案暨出貨明細表-基因檢測(201904起'!$P:$P,$A6&amp;"*",'來案暨出貨明細表-基因檢測(201904起'!$B:$B,Y$1)*$B6+COUNTIFS('來案暨出貨明細表-基因檢測(201904起'!$P:$P,$A6&amp;"*",'來案暨出貨明細表-基因檢測(201904起'!$B:$B,Y$1,'來案暨出貨明細表-基因檢測(201904起'!$Q:$Q,"紙本&amp;電子")++COUNTIFS('來案暨出貨明細表-基因檢測(201904起'!$P:$P,$A6&amp;"*",'來案暨出貨明細表-基因檢測(201904起'!$B:$B,Y$1,'來案暨出貨明細表-基因檢測(201904起'!$R:$R,"中英")</f>
        <v>0</v>
      </c>
      <c r="Z6" s="33">
        <f>COUNTIFS('來案暨出貨明細表-基因檢測(201904起'!$P:$P,$A6&amp;"*",'來案暨出貨明細表-基因檢測(201904起'!$B:$B,Z$1)*$B6+COUNTIFS('來案暨出貨明細表-基因檢測(201904起'!$P:$P,$A6&amp;"*",'來案暨出貨明細表-基因檢測(201904起'!$B:$B,Z$1,'來案暨出貨明細表-基因檢測(201904起'!$Q:$Q,"紙本&amp;電子")++COUNTIFS('來案暨出貨明細表-基因檢測(201904起'!$P:$P,$A6&amp;"*",'來案暨出貨明細表-基因檢測(201904起'!$B:$B,Z$1,'來案暨出貨明細表-基因檢測(201904起'!$R:$R,"中英")</f>
        <v>0</v>
      </c>
      <c r="AA6" s="33">
        <f>COUNTIFS('來案暨出貨明細表-基因檢測(201904起'!$P:$P,$A6&amp;"*",'來案暨出貨明細表-基因檢測(201904起'!$B:$B,AA$1)*$B6+COUNTIFS('來案暨出貨明細表-基因檢測(201904起'!$P:$P,$A6&amp;"*",'來案暨出貨明細表-基因檢測(201904起'!$B:$B,AA$1,'來案暨出貨明細表-基因檢測(201904起'!$Q:$Q,"紙本&amp;電子")++COUNTIFS('來案暨出貨明細表-基因檢測(201904起'!$P:$P,$A6&amp;"*",'來案暨出貨明細表-基因檢測(201904起'!$B:$B,AA$1,'來案暨出貨明細表-基因檢測(201904起'!$R:$R,"中英")</f>
        <v>0</v>
      </c>
      <c r="AB6" s="33">
        <f>COUNTIFS('來案暨出貨明細表-基因檢測(201904起'!$P:$P,$A6&amp;"*",'來案暨出貨明細表-基因檢測(201904起'!$B:$B,AB$1)*$B6+COUNTIFS('來案暨出貨明細表-基因檢測(201904起'!$P:$P,$A6&amp;"*",'來案暨出貨明細表-基因檢測(201904起'!$B:$B,AB$1,'來案暨出貨明細表-基因檢測(201904起'!$Q:$Q,"紙本&amp;電子")++COUNTIFS('來案暨出貨明細表-基因檢測(201904起'!$P:$P,$A6&amp;"*",'來案暨出貨明細表-基因檢測(201904起'!$B:$B,AB$1,'來案暨出貨明細表-基因檢測(201904起'!$R:$R,"中英")</f>
        <v>0</v>
      </c>
      <c r="AC6" s="33">
        <f>COUNTIFS('來案暨出貨明細表-基因檢測(201904起'!$P:$P,$A6&amp;"*",'來案暨出貨明細表-基因檢測(201904起'!$B:$B,AC$1)*$B6+COUNTIFS('來案暨出貨明細表-基因檢測(201904起'!$P:$P,$A6&amp;"*",'來案暨出貨明細表-基因檢測(201904起'!$B:$B,AC$1,'來案暨出貨明細表-基因檢測(201904起'!$Q:$Q,"紙本&amp;電子")++COUNTIFS('來案暨出貨明細表-基因檢測(201904起'!$P:$P,$A6&amp;"*",'來案暨出貨明細表-基因檢測(201904起'!$B:$B,AC$1,'來案暨出貨明細表-基因檢測(201904起'!$R:$R,"中英")</f>
        <v>0</v>
      </c>
      <c r="AD6" s="33">
        <f>COUNTIFS('來案暨出貨明細表-基因檢測(201904起'!$P:$P,$A6&amp;"*",'來案暨出貨明細表-基因檢測(201904起'!$B:$B,AD$1)*$B6+COUNTIFS('來案暨出貨明細表-基因檢測(201904起'!$P:$P,$A6&amp;"*",'來案暨出貨明細表-基因檢測(201904起'!$B:$B,AD$1,'來案暨出貨明細表-基因檢測(201904起'!$Q:$Q,"紙本&amp;電子")++COUNTIFS('來案暨出貨明細表-基因檢測(201904起'!$P:$P,$A6&amp;"*",'來案暨出貨明細表-基因檢測(201904起'!$B:$B,AD$1,'來案暨出貨明細表-基因檢測(201904起'!$R:$R,"中英")</f>
        <v>0</v>
      </c>
      <c r="AE6" s="33">
        <f>COUNTIFS('來案暨出貨明細表-基因檢測(201904起'!$P:$P,$A6&amp;"*",'來案暨出貨明細表-基因檢測(201904起'!$B:$B,AE$1)*$B6+COUNTIFS('來案暨出貨明細表-基因檢測(201904起'!$P:$P,$A6&amp;"*",'來案暨出貨明細表-基因檢測(201904起'!$B:$B,AE$1,'來案暨出貨明細表-基因檢測(201904起'!$Q:$Q,"紙本&amp;電子")++COUNTIFS('來案暨出貨明細表-基因檢測(201904起'!$P:$P,$A6&amp;"*",'來案暨出貨明細表-基因檢測(201904起'!$B:$B,AE$1,'來案暨出貨明細表-基因檢測(201904起'!$R:$R,"中英")</f>
        <v>0</v>
      </c>
      <c r="AF6" s="33">
        <f>COUNTIFS('來案暨出貨明細表-基因檢測(201904起'!$P:$P,$A6&amp;"*",'來案暨出貨明細表-基因檢測(201904起'!$B:$B,AF$1)*$B6+COUNTIFS('來案暨出貨明細表-基因檢測(201904起'!$P:$P,$A6&amp;"*",'來案暨出貨明細表-基因檢測(201904起'!$B:$B,AF$1,'來案暨出貨明細表-基因檢測(201904起'!$Q:$Q,"紙本&amp;電子")++COUNTIFS('來案暨出貨明細表-基因檢測(201904起'!$P:$P,$A6&amp;"*",'來案暨出貨明細表-基因檢測(201904起'!$B:$B,AF$1,'來案暨出貨明細表-基因檢測(201904起'!$R:$R,"中英")</f>
        <v>0</v>
      </c>
      <c r="AG6" s="33">
        <f>COUNTIFS('來案暨出貨明細表-基因檢測(201904起'!$P:$P,$A6&amp;"*",'來案暨出貨明細表-基因檢測(201904起'!$B:$B,AG$1)*$B6+COUNTIFS('來案暨出貨明細表-基因檢測(201904起'!$P:$P,$A6&amp;"*",'來案暨出貨明細表-基因檢測(201904起'!$B:$B,AG$1,'來案暨出貨明細表-基因檢測(201904起'!$Q:$Q,"紙本&amp;電子")++COUNTIFS('來案暨出貨明細表-基因檢測(201904起'!$P:$P,$A6&amp;"*",'來案暨出貨明細表-基因檢測(201904起'!$B:$B,AG$1,'來案暨出貨明細表-基因檢測(201904起'!$R:$R,"中英")</f>
        <v>0</v>
      </c>
      <c r="AH6" s="33">
        <f>COUNTIFS('來案暨出貨明細表-基因檢測(201904起'!$P:$P,$A6&amp;"*",'來案暨出貨明細表-基因檢測(201904起'!$B:$B,AH$1)*$B6+COUNTIFS('來案暨出貨明細表-基因檢測(201904起'!$P:$P,$A6&amp;"*",'來案暨出貨明細表-基因檢測(201904起'!$B:$B,AH$1,'來案暨出貨明細表-基因檢測(201904起'!$Q:$Q,"紙本&amp;電子")++COUNTIFS('來案暨出貨明細表-基因檢測(201904起'!$P:$P,$A6&amp;"*",'來案暨出貨明細表-基因檢測(201904起'!$B:$B,AH$1,'來案暨出貨明細表-基因檢測(201904起'!$R:$R,"中英")</f>
        <v>0</v>
      </c>
      <c r="AI6" s="33">
        <f>COUNTIFS('來案暨出貨明細表-基因檢測(201904起'!$P:$P,$A6&amp;"*",'來案暨出貨明細表-基因檢測(201904起'!$B:$B,AI$1)*$B6+COUNTIFS('來案暨出貨明細表-基因檢測(201904起'!$P:$P,$A6&amp;"*",'來案暨出貨明細表-基因檢測(201904起'!$B:$B,AI$1,'來案暨出貨明細表-基因檢測(201904起'!$Q:$Q,"紙本&amp;電子")++COUNTIFS('來案暨出貨明細表-基因檢測(201904起'!$P:$P,$A6&amp;"*",'來案暨出貨明細表-基因檢測(201904起'!$B:$B,AI$1,'來案暨出貨明細表-基因檢測(201904起'!$R:$R,"中英")</f>
        <v>0</v>
      </c>
      <c r="AJ6" s="33">
        <f>COUNTIFS('來案暨出貨明細表-基因檢測(201904起'!$P:$P,$A6&amp;"*",'來案暨出貨明細表-基因檢測(201904起'!$B:$B,AJ$1)*$B6+COUNTIFS('來案暨出貨明細表-基因檢測(201904起'!$P:$P,$A6&amp;"*",'來案暨出貨明細表-基因檢測(201904起'!$B:$B,AJ$1,'來案暨出貨明細表-基因檢測(201904起'!$Q:$Q,"紙本&amp;電子")++COUNTIFS('來案暨出貨明細表-基因檢測(201904起'!$P:$P,$A6&amp;"*",'來案暨出貨明細表-基因檢測(201904起'!$B:$B,AJ$1,'來案暨出貨明細表-基因檢測(201904起'!$R:$R,"中英")</f>
        <v>0</v>
      </c>
      <c r="AK6" s="33">
        <f>COUNTIFS('來案暨出貨明細表-基因檢測(201904起'!$P:$P,$A6&amp;"*",'來案暨出貨明細表-基因檢測(201904起'!$B:$B,AK$1)*$B6+COUNTIFS('來案暨出貨明細表-基因檢測(201904起'!$P:$P,$A6&amp;"*",'來案暨出貨明細表-基因檢測(201904起'!$B:$B,AK$1,'來案暨出貨明細表-基因檢測(201904起'!$Q:$Q,"紙本&amp;電子")++COUNTIFS('來案暨出貨明細表-基因檢測(201904起'!$P:$P,$A6&amp;"*",'來案暨出貨明細表-基因檢測(201904起'!$B:$B,AK$1,'來案暨出貨明細表-基因檢測(201904起'!$R:$R,"中英")</f>
        <v>0</v>
      </c>
      <c r="AL6" s="33">
        <f>COUNTIFS('來案暨出貨明細表-基因檢測(201904起'!$P:$P,$A6&amp;"*",'來案暨出貨明細表-基因檢測(201904起'!$B:$B,AL$1)*$B6+COUNTIFS('來案暨出貨明細表-基因檢測(201904起'!$P:$P,$A6&amp;"*",'來案暨出貨明細表-基因檢測(201904起'!$B:$B,AL$1,'來案暨出貨明細表-基因檢測(201904起'!$Q:$Q,"紙本&amp;電子")++COUNTIFS('來案暨出貨明細表-基因檢測(201904起'!$P:$P,$A6&amp;"*",'來案暨出貨明細表-基因檢測(201904起'!$B:$B,AL$1,'來案暨出貨明細表-基因檢測(201904起'!$R:$R,"中英")</f>
        <v>0</v>
      </c>
      <c r="AM6" s="33">
        <f>COUNTIFS('來案暨出貨明細表-基因檢測(201904起'!$P:$P,$A6&amp;"*",'來案暨出貨明細表-基因檢測(201904起'!$B:$B,AM$1)*$B6+COUNTIFS('來案暨出貨明細表-基因檢測(201904起'!$P:$P,$A6&amp;"*",'來案暨出貨明細表-基因檢測(201904起'!$B:$B,AM$1,'來案暨出貨明細表-基因檢測(201904起'!$Q:$Q,"紙本&amp;電子")++COUNTIFS('來案暨出貨明細表-基因檢測(201904起'!$P:$P,$A6&amp;"*",'來案暨出貨明細表-基因檢測(201904起'!$B:$B,AM$1,'來案暨出貨明細表-基因檢測(201904起'!$R:$R,"中英")</f>
        <v>0</v>
      </c>
      <c r="AN6" s="33">
        <f>COUNTIFS('來案暨出貨明細表-基因檢測(201904起'!$P:$P,$A6&amp;"*",'來案暨出貨明細表-基因檢測(201904起'!$B:$B,AN$1)*$B6+COUNTIFS('來案暨出貨明細表-基因檢測(201904起'!$P:$P,$A6&amp;"*",'來案暨出貨明細表-基因檢測(201904起'!$B:$B,AN$1,'來案暨出貨明細表-基因檢測(201904起'!$Q:$Q,"紙本&amp;電子")++COUNTIFS('來案暨出貨明細表-基因檢測(201904起'!$P:$P,$A6&amp;"*",'來案暨出貨明細表-基因檢測(201904起'!$B:$B,AN$1,'來案暨出貨明細表-基因檢測(201904起'!$R:$R,"中英")</f>
        <v>0</v>
      </c>
      <c r="AO6" s="33">
        <f>COUNTIFS('來案暨出貨明細表-基因檢測(201904起'!$P:$P,$A6&amp;"*",'來案暨出貨明細表-基因檢測(201904起'!$B:$B,AO$1)*$B6+COUNTIFS('來案暨出貨明細表-基因檢測(201904起'!$P:$P,$A6&amp;"*",'來案暨出貨明細表-基因檢測(201904起'!$B:$B,AO$1,'來案暨出貨明細表-基因檢測(201904起'!$Q:$Q,"紙本&amp;電子")++COUNTIFS('來案暨出貨明細表-基因檢測(201904起'!$P:$P,$A6&amp;"*",'來案暨出貨明細表-基因檢測(201904起'!$B:$B,AO$1,'來案暨出貨明細表-基因檢測(201904起'!$R:$R,"中英")</f>
        <v>0</v>
      </c>
      <c r="AP6" s="33">
        <f>COUNTIFS('來案暨出貨明細表-基因檢測(201904起'!$P:$P,$A6&amp;"*",'來案暨出貨明細表-基因檢測(201904起'!$B:$B,AP$1)*$B6+COUNTIFS('來案暨出貨明細表-基因檢測(201904起'!$P:$P,$A6&amp;"*",'來案暨出貨明細表-基因檢測(201904起'!$B:$B,AP$1,'來案暨出貨明細表-基因檢測(201904起'!$Q:$Q,"紙本&amp;電子")++COUNTIFS('來案暨出貨明細表-基因檢測(201904起'!$P:$P,$A6&amp;"*",'來案暨出貨明細表-基因檢測(201904起'!$B:$B,AP$1,'來案暨出貨明細表-基因檢測(201904起'!$R:$R,"中英")</f>
        <v>0</v>
      </c>
      <c r="AQ6" s="33">
        <f>COUNTIFS('來案暨出貨明細表-基因檢測(201904起'!$P:$P,$A6&amp;"*",'來案暨出貨明細表-基因檢測(201904起'!$B:$B,AQ$1)*$B6+COUNTIFS('來案暨出貨明細表-基因檢測(201904起'!$P:$P,$A6&amp;"*",'來案暨出貨明細表-基因檢測(201904起'!$B:$B,AQ$1,'來案暨出貨明細表-基因檢測(201904起'!$Q:$Q,"紙本&amp;電子")++COUNTIFS('來案暨出貨明細表-基因檢測(201904起'!$P:$P,$A6&amp;"*",'來案暨出貨明細表-基因檢測(201904起'!$B:$B,AQ$1,'來案暨出貨明細表-基因檢測(201904起'!$R:$R,"中英")</f>
        <v>0</v>
      </c>
      <c r="AR6" s="33">
        <f>COUNTIFS('來案暨出貨明細表-基因檢測(201904起'!$P:$P,$A6&amp;"*",'來案暨出貨明細表-基因檢測(201904起'!$B:$B,AR$1)*$B6+COUNTIFS('來案暨出貨明細表-基因檢測(201904起'!$P:$P,$A6&amp;"*",'來案暨出貨明細表-基因檢測(201904起'!$B:$B,AR$1,'來案暨出貨明細表-基因檢測(201904起'!$Q:$Q,"紙本&amp;電子")++COUNTIFS('來案暨出貨明細表-基因檢測(201904起'!$P:$P,$A6&amp;"*",'來案暨出貨明細表-基因檢測(201904起'!$B:$B,AR$1,'來案暨出貨明細表-基因檢測(201904起'!$R:$R,"中英")</f>
        <v>0</v>
      </c>
      <c r="AS6" s="33">
        <f>COUNTIFS('來案暨出貨明細表-基因檢測(201904起'!$P:$P,$A6&amp;"*",'來案暨出貨明細表-基因檢測(201904起'!$B:$B,AS$1)*$B6+COUNTIFS('來案暨出貨明細表-基因檢測(201904起'!$P:$P,$A6&amp;"*",'來案暨出貨明細表-基因檢測(201904起'!$B:$B,AS$1,'來案暨出貨明細表-基因檢測(201904起'!$Q:$Q,"紙本&amp;電子")++COUNTIFS('來案暨出貨明細表-基因檢測(201904起'!$P:$P,$A6&amp;"*",'來案暨出貨明細表-基因檢測(201904起'!$B:$B,AS$1,'來案暨出貨明細表-基因檢測(201904起'!$R:$R,"中英")</f>
        <v>0</v>
      </c>
      <c r="AT6" s="33">
        <f>COUNTIFS('來案暨出貨明細表-基因檢測(201904起'!$P:$P,$A6&amp;"*",'來案暨出貨明細表-基因檢測(201904起'!$B:$B,AT$1)*$B6+COUNTIFS('來案暨出貨明細表-基因檢測(201904起'!$P:$P,$A6&amp;"*",'來案暨出貨明細表-基因檢測(201904起'!$B:$B,AT$1,'來案暨出貨明細表-基因檢測(201904起'!$Q:$Q,"紙本&amp;電子")++COUNTIFS('來案暨出貨明細表-基因檢測(201904起'!$P:$P,$A6&amp;"*",'來案暨出貨明細表-基因檢測(201904起'!$B:$B,AT$1,'來案暨出貨明細表-基因檢測(201904起'!$R:$R,"中英")</f>
        <v>0</v>
      </c>
      <c r="AU6" s="33">
        <f>COUNTIFS('來案暨出貨明細表-基因檢測(201904起'!$P:$P,$A6&amp;"*",'來案暨出貨明細表-基因檢測(201904起'!$B:$B,AU$1)*$B6+COUNTIFS('來案暨出貨明細表-基因檢測(201904起'!$P:$P,$A6&amp;"*",'來案暨出貨明細表-基因檢測(201904起'!$B:$B,AU$1,'來案暨出貨明細表-基因檢測(201904起'!$Q:$Q,"紙本&amp;電子")++COUNTIFS('來案暨出貨明細表-基因檢測(201904起'!$P:$P,$A6&amp;"*",'來案暨出貨明細表-基因檢測(201904起'!$B:$B,AU$1,'來案暨出貨明細表-基因檢測(201904起'!$R:$R,"中英")</f>
        <v>0</v>
      </c>
      <c r="AV6" s="33">
        <f>COUNTIFS('來案暨出貨明細表-基因檢測(201904起'!$P:$P,$A6&amp;"*",'來案暨出貨明細表-基因檢測(201904起'!$B:$B,AV$1)*$B6+COUNTIFS('來案暨出貨明細表-基因檢測(201904起'!$P:$P,$A6&amp;"*",'來案暨出貨明細表-基因檢測(201904起'!$B:$B,AV$1,'來案暨出貨明細表-基因檢測(201904起'!$Q:$Q,"紙本&amp;電子")++COUNTIFS('來案暨出貨明細表-基因檢測(201904起'!$P:$P,$A6&amp;"*",'來案暨出貨明細表-基因檢測(201904起'!$B:$B,AV$1,'來案暨出貨明細表-基因檢測(201904起'!$R:$R,"中英")</f>
        <v>0</v>
      </c>
      <c r="AW6" s="33">
        <f>COUNTIFS('來案暨出貨明細表-基因檢測(201904起'!$P:$P,$A6&amp;"*",'來案暨出貨明細表-基因檢測(201904起'!$B:$B,AW$1)*$B6+COUNTIFS('來案暨出貨明細表-基因檢測(201904起'!$P:$P,$A6&amp;"*",'來案暨出貨明細表-基因檢測(201904起'!$B:$B,AW$1,'來案暨出貨明細表-基因檢測(201904起'!$Q:$Q,"紙本&amp;電子")++COUNTIFS('來案暨出貨明細表-基因檢測(201904起'!$P:$P,$A6&amp;"*",'來案暨出貨明細表-基因檢測(201904起'!$B:$B,AW$1,'來案暨出貨明細表-基因檢測(201904起'!$R:$R,"中英")</f>
        <v>0</v>
      </c>
      <c r="AX6" s="33">
        <f>COUNTIFS('來案暨出貨明細表-基因檢測(201904起'!$P:$P,$A6&amp;"*",'來案暨出貨明細表-基因檢測(201904起'!$B:$B,AX$1)*$B6+COUNTIFS('來案暨出貨明細表-基因檢測(201904起'!$P:$P,$A6&amp;"*",'來案暨出貨明細表-基因檢測(201904起'!$B:$B,AX$1,'來案暨出貨明細表-基因檢測(201904起'!$Q:$Q,"紙本&amp;電子")++COUNTIFS('來案暨出貨明細表-基因檢測(201904起'!$P:$P,$A6&amp;"*",'來案暨出貨明細表-基因檢測(201904起'!$B:$B,AX$1,'來案暨出貨明細表-基因檢測(201904起'!$R:$R,"中英")</f>
        <v>0</v>
      </c>
      <c r="AY6" s="33">
        <f>COUNTIFS('來案暨出貨明細表-基因檢測(201904起'!$P:$P,$A6&amp;"*",'來案暨出貨明細表-基因檢測(201904起'!$B:$B,AY$1)*$B6+COUNTIFS('來案暨出貨明細表-基因檢測(201904起'!$P:$P,$A6&amp;"*",'來案暨出貨明細表-基因檢測(201904起'!$B:$B,AY$1,'來案暨出貨明細表-基因檢測(201904起'!$Q:$Q,"紙本&amp;電子")++COUNTIFS('來案暨出貨明細表-基因檢測(201904起'!$P:$P,$A6&amp;"*",'來案暨出貨明細表-基因檢測(201904起'!$B:$B,AY$1,'來案暨出貨明細表-基因檢測(201904起'!$R:$R,"中英")</f>
        <v>0</v>
      </c>
      <c r="AZ6" s="33">
        <f>COUNTIFS('來案暨出貨明細表-基因檢測(201904起'!$P:$P,$A6&amp;"*",'來案暨出貨明細表-基因檢測(201904起'!$B:$B,AZ$1)*$B6+COUNTIFS('來案暨出貨明細表-基因檢測(201904起'!$P:$P,$A6&amp;"*",'來案暨出貨明細表-基因檢測(201904起'!$B:$B,AZ$1,'來案暨出貨明細表-基因檢測(201904起'!$Q:$Q,"紙本&amp;電子")++COUNTIFS('來案暨出貨明細表-基因檢測(201904起'!$P:$P,$A6&amp;"*",'來案暨出貨明細表-基因檢測(201904起'!$B:$B,AZ$1,'來案暨出貨明細表-基因檢測(201904起'!$R:$R,"中英")</f>
        <v>0</v>
      </c>
      <c r="BA6" s="33">
        <f>COUNTIFS('來案暨出貨明細表-基因檢測(201904起'!$P:$P,$A6&amp;"*",'來案暨出貨明細表-基因檢測(201904起'!$B:$B,BA$1)*$B6+COUNTIFS('來案暨出貨明細表-基因檢測(201904起'!$P:$P,$A6&amp;"*",'來案暨出貨明細表-基因檢測(201904起'!$B:$B,BA$1,'來案暨出貨明細表-基因檢測(201904起'!$Q:$Q,"紙本&amp;電子")++COUNTIFS('來案暨出貨明細表-基因檢測(201904起'!$P:$P,$A6&amp;"*",'來案暨出貨明細表-基因檢測(201904起'!$B:$B,BA$1,'來案暨出貨明細表-基因檢測(201904起'!$R:$R,"中英")</f>
        <v>0</v>
      </c>
      <c r="BB6" s="33">
        <f>COUNTIFS('來案暨出貨明細表-基因檢測(201904起'!$P:$P,$A6&amp;"*",'來案暨出貨明細表-基因檢測(201904起'!$B:$B,BB$1)*$B6+COUNTIFS('來案暨出貨明細表-基因檢測(201904起'!$P:$P,$A6&amp;"*",'來案暨出貨明細表-基因檢測(201904起'!$B:$B,BB$1,'來案暨出貨明細表-基因檢測(201904起'!$Q:$Q,"紙本&amp;電子")++COUNTIFS('來案暨出貨明細表-基因檢測(201904起'!$P:$P,$A6&amp;"*",'來案暨出貨明細表-基因檢測(201904起'!$B:$B,BB$1,'來案暨出貨明細表-基因檢測(201904起'!$R:$R,"中英")</f>
        <v>0</v>
      </c>
      <c r="BC6" s="33">
        <f>COUNTIFS('來案暨出貨明細表-基因檢測(201904起'!$P:$P,$A6&amp;"*",'來案暨出貨明細表-基因檢測(201904起'!$B:$B,BC$1)*$B6+COUNTIFS('來案暨出貨明細表-基因檢測(201904起'!$P:$P,$A6&amp;"*",'來案暨出貨明細表-基因檢測(201904起'!$B:$B,BC$1,'來案暨出貨明細表-基因檢測(201904起'!$Q:$Q,"紙本&amp;電子")++COUNTIFS('來案暨出貨明細表-基因檢測(201904起'!$P:$P,$A6&amp;"*",'來案暨出貨明細表-基因檢測(201904起'!$B:$B,BC$1,'來案暨出貨明細表-基因檢測(201904起'!$R:$R,"中英")</f>
        <v>0</v>
      </c>
      <c r="BD6" s="33">
        <f>COUNTIFS('來案暨出貨明細表-基因檢測(201904起'!$P:$P,$A6&amp;"*",'來案暨出貨明細表-基因檢測(201904起'!$B:$B,BD$1)*$B6+COUNTIFS('來案暨出貨明細表-基因檢測(201904起'!$P:$P,$A6&amp;"*",'來案暨出貨明細表-基因檢測(201904起'!$B:$B,BD$1,'來案暨出貨明細表-基因檢測(201904起'!$Q:$Q,"紙本&amp;電子")++COUNTIFS('來案暨出貨明細表-基因檢測(201904起'!$P:$P,$A6&amp;"*",'來案暨出貨明細表-基因檢測(201904起'!$B:$B,BD$1,'來案暨出貨明細表-基因檢測(201904起'!$R:$R,"中英")</f>
        <v>0</v>
      </c>
      <c r="BE6" s="33">
        <f>COUNTIFS('來案暨出貨明細表-基因檢測(201904起'!$P:$P,$A6&amp;"*",'來案暨出貨明細表-基因檢測(201904起'!$B:$B,BE$1)*$B6+COUNTIFS('來案暨出貨明細表-基因檢測(201904起'!$P:$P,$A6&amp;"*",'來案暨出貨明細表-基因檢測(201904起'!$B:$B,BE$1,'來案暨出貨明細表-基因檢測(201904起'!$Q:$Q,"紙本&amp;電子")++COUNTIFS('來案暨出貨明細表-基因檢測(201904起'!$P:$P,$A6&amp;"*",'來案暨出貨明細表-基因檢測(201904起'!$B:$B,BE$1,'來案暨出貨明細表-基因檢測(201904起'!$R:$R,"中英")</f>
        <v>0</v>
      </c>
      <c r="BF6" s="33">
        <f>COUNTIFS('來案暨出貨明細表-基因檢測(201904起'!$P:$P,$A6&amp;"*",'來案暨出貨明細表-基因檢測(201904起'!$B:$B,BF$1)*$B6+COUNTIFS('來案暨出貨明細表-基因檢測(201904起'!$P:$P,$A6&amp;"*",'來案暨出貨明細表-基因檢測(201904起'!$B:$B,BF$1,'來案暨出貨明細表-基因檢測(201904起'!$Q:$Q,"紙本&amp;電子")++COUNTIFS('來案暨出貨明細表-基因檢測(201904起'!$P:$P,$A6&amp;"*",'來案暨出貨明細表-基因檢測(201904起'!$B:$B,BF$1,'來案暨出貨明細表-基因檢測(201904起'!$R:$R,"中英")</f>
        <v>0</v>
      </c>
      <c r="BG6" s="33">
        <f>COUNTIFS('來案暨出貨明細表-基因檢測(201904起'!$P:$P,$A6&amp;"*",'來案暨出貨明細表-基因檢測(201904起'!$B:$B,BG$1)*$B6+COUNTIFS('來案暨出貨明細表-基因檢測(201904起'!$P:$P,$A6&amp;"*",'來案暨出貨明細表-基因檢測(201904起'!$B:$B,BG$1,'來案暨出貨明細表-基因檢測(201904起'!$Q:$Q,"紙本&amp;電子")++COUNTIFS('來案暨出貨明細表-基因檢測(201904起'!$P:$P,$A6&amp;"*",'來案暨出貨明細表-基因檢測(201904起'!$B:$B,BG$1,'來案暨出貨明細表-基因檢測(201904起'!$R:$R,"中英")</f>
        <v>0</v>
      </c>
      <c r="BH6" s="33">
        <f>COUNTIFS('來案暨出貨明細表-基因檢測(201904起'!$P:$P,$A6&amp;"*",'來案暨出貨明細表-基因檢測(201904起'!$B:$B,BH$1)*$B6+COUNTIFS('來案暨出貨明細表-基因檢測(201904起'!$P:$P,$A6&amp;"*",'來案暨出貨明細表-基因檢測(201904起'!$B:$B,BH$1,'來案暨出貨明細表-基因檢測(201904起'!$Q:$Q,"紙本&amp;電子")++COUNTIFS('來案暨出貨明細表-基因檢測(201904起'!$P:$P,$A6&amp;"*",'來案暨出貨明細表-基因檢測(201904起'!$B:$B,BH$1,'來案暨出貨明細表-基因檢測(201904起'!$R:$R,"中英")</f>
        <v>0</v>
      </c>
      <c r="BI6" s="33">
        <f>COUNTIFS('來案暨出貨明細表-基因檢測(201904起'!$P:$P,$A6&amp;"*",'來案暨出貨明細表-基因檢測(201904起'!$B:$B,BI$1)*$B6+COUNTIFS('來案暨出貨明細表-基因檢測(201904起'!$P:$P,$A6&amp;"*",'來案暨出貨明細表-基因檢測(201904起'!$B:$B,BI$1,'來案暨出貨明細表-基因檢測(201904起'!$Q:$Q,"紙本&amp;電子")++COUNTIFS('來案暨出貨明細表-基因檢測(201904起'!$P:$P,$A6&amp;"*",'來案暨出貨明細表-基因檢測(201904起'!$B:$B,BI$1,'來案暨出貨明細表-基因檢測(201904起'!$R:$R,"中英")</f>
        <v>0</v>
      </c>
      <c r="BJ6" s="33">
        <f>COUNTIFS('來案暨出貨明細表-基因檢測(201904起'!$P:$P,$A6&amp;"*",'來案暨出貨明細表-基因檢測(201904起'!$B:$B,BJ$1)*$B6+COUNTIFS('來案暨出貨明細表-基因檢測(201904起'!$P:$P,$A6&amp;"*",'來案暨出貨明細表-基因檢測(201904起'!$B:$B,BJ$1,'來案暨出貨明細表-基因檢測(201904起'!$Q:$Q,"紙本&amp;電子")++COUNTIFS('來案暨出貨明細表-基因檢測(201904起'!$P:$P,$A6&amp;"*",'來案暨出貨明細表-基因檢測(201904起'!$B:$B,BJ$1,'來案暨出貨明細表-基因檢測(201904起'!$R:$R,"中英")</f>
        <v>0</v>
      </c>
      <c r="BK6" s="33">
        <f>COUNTIFS('來案暨出貨明細表-基因檢測(201904起'!$P:$P,$A6&amp;"*",'來案暨出貨明細表-基因檢測(201904起'!$B:$B,BK$1)*$B6+COUNTIFS('來案暨出貨明細表-基因檢測(201904起'!$P:$P,$A6&amp;"*",'來案暨出貨明細表-基因檢測(201904起'!$B:$B,BK$1,'來案暨出貨明細表-基因檢測(201904起'!$Q:$Q,"紙本&amp;電子")++COUNTIFS('來案暨出貨明細表-基因檢測(201904起'!$P:$P,$A6&amp;"*",'來案暨出貨明細表-基因檢測(201904起'!$B:$B,BK$1,'來案暨出貨明細表-基因檢測(201904起'!$R:$R,"中英")</f>
        <v>0</v>
      </c>
      <c r="BL6" s="33">
        <f>COUNTIFS('來案暨出貨明細表-基因檢測(201904起'!$P:$P,$A6&amp;"*",'來案暨出貨明細表-基因檢測(201904起'!$B:$B,BL$1)*$B6+COUNTIFS('來案暨出貨明細表-基因檢測(201904起'!$P:$P,$A6&amp;"*",'來案暨出貨明細表-基因檢測(201904起'!$B:$B,BL$1,'來案暨出貨明細表-基因檢測(201904起'!$Q:$Q,"紙本&amp;電子")++COUNTIFS('來案暨出貨明細表-基因檢測(201904起'!$P:$P,$A6&amp;"*",'來案暨出貨明細表-基因檢測(201904起'!$B:$B,BL$1,'來案暨出貨明細表-基因檢測(201904起'!$R:$R,"中英")</f>
        <v>0</v>
      </c>
      <c r="BM6" s="33">
        <f>COUNTIFS('來案暨出貨明細表-基因檢測(201904起'!$P:$P,$A6&amp;"*",'來案暨出貨明細表-基因檢測(201904起'!$B:$B,BM$1)*$B6+COUNTIFS('來案暨出貨明細表-基因檢測(201904起'!$P:$P,$A6&amp;"*",'來案暨出貨明細表-基因檢測(201904起'!$B:$B,BM$1,'來案暨出貨明細表-基因檢測(201904起'!$Q:$Q,"紙本&amp;電子")++COUNTIFS('來案暨出貨明細表-基因檢測(201904起'!$P:$P,$A6&amp;"*",'來案暨出貨明細表-基因檢測(201904起'!$B:$B,BM$1,'來案暨出貨明細表-基因檢測(201904起'!$R:$R,"中英")</f>
        <v>0</v>
      </c>
    </row>
    <row r="7" spans="1:65" ht="15" customHeight="1">
      <c r="A7" s="9" t="s">
        <v>2863</v>
      </c>
      <c r="B7" s="9">
        <v>2</v>
      </c>
      <c r="C7" s="13" t="s">
        <v>2864</v>
      </c>
      <c r="D7" s="142" t="s">
        <v>2865</v>
      </c>
      <c r="E7" s="33">
        <f>COUNTIFS('來案暨出貨明細表-基因檢測(201904起'!$P:$P,$A7&amp;"*",'來案暨出貨明細表-基因檢測(201904起'!$B:$B,E$1)*$B7+COUNTIFS('來案暨出貨明細表-基因檢測(201904起'!$P:$P,$A7&amp;"*",'來案暨出貨明細表-基因檢測(201904起'!$B:$B,E$1,'來案暨出貨明細表-基因檢測(201904起'!$Q:$Q,"紙本&amp;電子")++COUNTIFS('來案暨出貨明細表-基因檢測(201904起'!$P:$P,$A7&amp;"*",'來案暨出貨明細表-基因檢測(201904起'!$B:$B,E$1,'來案暨出貨明細表-基因檢測(201904起'!$R:$R,"中英")-COUNTIFS('來案暨出貨明細表-基因檢測(201904起'!$P:$P,$A9&amp;"*",'來案暨出貨明細表-基因檢測(201904起'!$B:$B,E$1)*$B9</f>
        <v>0</v>
      </c>
      <c r="F7" s="33">
        <f>COUNTIFS('來案暨出貨明細表-基因檢測(201904起'!$P:$P,$A7&amp;"*",'來案暨出貨明細表-基因檢測(201904起'!$B:$B,F$1)*$B7+COUNTIFS('來案暨出貨明細表-基因檢測(201904起'!$P:$P,$A7&amp;"*",'來案暨出貨明細表-基因檢測(201904起'!$B:$B,F$1,'來案暨出貨明細表-基因檢測(201904起'!$Q:$Q,"紙本&amp;電子")++COUNTIFS('來案暨出貨明細表-基因檢測(201904起'!$P:$P,$A7&amp;"*",'來案暨出貨明細表-基因檢測(201904起'!$B:$B,F$1,'來案暨出貨明細表-基因檢測(201904起'!$R:$R,"中英")-COUNTIFS('來案暨出貨明細表-基因檢測(201904起'!$P:$P,$A9&amp;"*",'來案暨出貨明細表-基因檢測(201904起'!$B:$B,F$1)*$B9</f>
        <v>0</v>
      </c>
      <c r="G7" s="33">
        <f>COUNTIFS('來案暨出貨明細表-基因檢測(201904起'!$P:$P,$A7&amp;"*",'來案暨出貨明細表-基因檢測(201904起'!$B:$B,G$1)*$B7+COUNTIFS('來案暨出貨明細表-基因檢測(201904起'!$P:$P,$A7&amp;"*",'來案暨出貨明細表-基因檢測(201904起'!$B:$B,G$1,'來案暨出貨明細表-基因檢測(201904起'!$Q:$Q,"紙本&amp;電子")++COUNTIFS('來案暨出貨明細表-基因檢測(201904起'!$P:$P,$A7&amp;"*",'來案暨出貨明細表-基因檢測(201904起'!$B:$B,G$1,'來案暨出貨明細表-基因檢測(201904起'!$R:$R,"中英")-COUNTIFS('來案暨出貨明細表-基因檢測(201904起'!$P:$P,$A9&amp;"*",'來案暨出貨明細表-基因檢測(201904起'!$B:$B,G$1)*$B9</f>
        <v>0</v>
      </c>
      <c r="H7" s="33">
        <f>COUNTIFS('來案暨出貨明細表-基因檢測(201904起'!$P:$P,$A7&amp;"*",'來案暨出貨明細表-基因檢測(201904起'!$B:$B,H$1)*$B7+COUNTIFS('來案暨出貨明細表-基因檢測(201904起'!$P:$P,$A7&amp;"*",'來案暨出貨明細表-基因檢測(201904起'!$B:$B,H$1,'來案暨出貨明細表-基因檢測(201904起'!$Q:$Q,"紙本&amp;電子")++COUNTIFS('來案暨出貨明細表-基因檢測(201904起'!$P:$P,$A7&amp;"*",'來案暨出貨明細表-基因檢測(201904起'!$B:$B,H$1,'來案暨出貨明細表-基因檢測(201904起'!$R:$R,"中英")-COUNTIFS('來案暨出貨明細表-基因檢測(201904起'!$P:$P,$A9&amp;"*",'來案暨出貨明細表-基因檢測(201904起'!$B:$B,H$1)*$B9</f>
        <v>0</v>
      </c>
      <c r="I7" s="33">
        <f>COUNTIFS('來案暨出貨明細表-基因檢測(201904起'!$P:$P,$A7&amp;"*",'來案暨出貨明細表-基因檢測(201904起'!$B:$B,I$1)*$B7+COUNTIFS('來案暨出貨明細表-基因檢測(201904起'!$P:$P,$A7&amp;"*",'來案暨出貨明細表-基因檢測(201904起'!$B:$B,I$1,'來案暨出貨明細表-基因檢測(201904起'!$Q:$Q,"紙本&amp;電子")++COUNTIFS('來案暨出貨明細表-基因檢測(201904起'!$P:$P,$A7&amp;"*",'來案暨出貨明細表-基因檢測(201904起'!$B:$B,I$1,'來案暨出貨明細表-基因檢測(201904起'!$R:$R,"中英")-COUNTIFS('來案暨出貨明細表-基因檢測(201904起'!$P:$P,$A9&amp;"*",'來案暨出貨明細表-基因檢測(201904起'!$B:$B,I$1)*$B9</f>
        <v>0</v>
      </c>
      <c r="J7" s="33">
        <f>COUNTIFS('來案暨出貨明細表-基因檢測(201904起'!$P:$P,$A7&amp;"*",'來案暨出貨明細表-基因檢測(201904起'!$B:$B,J$1)*$B7+COUNTIFS('來案暨出貨明細表-基因檢測(201904起'!$P:$P,$A7&amp;"*",'來案暨出貨明細表-基因檢測(201904起'!$B:$B,J$1,'來案暨出貨明細表-基因檢測(201904起'!$Q:$Q,"紙本&amp;電子")++COUNTIFS('來案暨出貨明細表-基因檢測(201904起'!$P:$P,$A7&amp;"*",'來案暨出貨明細表-基因檢測(201904起'!$B:$B,J$1,'來案暨出貨明細表-基因檢測(201904起'!$R:$R,"中英")-COUNTIFS('來案暨出貨明細表-基因檢測(201904起'!$P:$P,$A9&amp;"*",'來案暨出貨明細表-基因檢測(201904起'!$B:$B,J$1)*$B9</f>
        <v>0</v>
      </c>
      <c r="K7" s="33">
        <f>COUNTIFS('來案暨出貨明細表-基因檢測(201904起'!$P:$P,$A7&amp;"*",'來案暨出貨明細表-基因檢測(201904起'!$B:$B,K$1)*$B7+COUNTIFS('來案暨出貨明細表-基因檢測(201904起'!$P:$P,$A7&amp;"*",'來案暨出貨明細表-基因檢測(201904起'!$B:$B,K$1,'來案暨出貨明細表-基因檢測(201904起'!$Q:$Q,"紙本&amp;電子")++COUNTIFS('來案暨出貨明細表-基因檢測(201904起'!$P:$P,$A7&amp;"*",'來案暨出貨明細表-基因檢測(201904起'!$B:$B,K$1,'來案暨出貨明細表-基因檢測(201904起'!$R:$R,"中英")-COUNTIFS('來案暨出貨明細表-基因檢測(201904起'!$P:$P,$A9&amp;"*",'來案暨出貨明細表-基因檢測(201904起'!$B:$B,K$1)*$B9</f>
        <v>0</v>
      </c>
      <c r="L7" s="33">
        <f>COUNTIFS('來案暨出貨明細表-基因檢測(201904起'!$P:$P,$A7&amp;"*",'來案暨出貨明細表-基因檢測(201904起'!$B:$B,L$1)*$B7+COUNTIFS('來案暨出貨明細表-基因檢測(201904起'!$P:$P,$A7&amp;"*",'來案暨出貨明細表-基因檢測(201904起'!$B:$B,L$1,'來案暨出貨明細表-基因檢測(201904起'!$Q:$Q,"紙本&amp;電子")++COUNTIFS('來案暨出貨明細表-基因檢測(201904起'!$P:$P,$A7&amp;"*",'來案暨出貨明細表-基因檢測(201904起'!$B:$B,L$1,'來案暨出貨明細表-基因檢測(201904起'!$R:$R,"中英")-COUNTIFS('來案暨出貨明細表-基因檢測(201904起'!$P:$P,$A9&amp;"*",'來案暨出貨明細表-基因檢測(201904起'!$B:$B,L$1)*$B9</f>
        <v>0</v>
      </c>
      <c r="M7" s="33">
        <f>COUNTIFS('來案暨出貨明細表-基因檢測(201904起'!$P:$P,$A7&amp;"*",'來案暨出貨明細表-基因檢測(201904起'!$B:$B,M$1)*$B7+COUNTIFS('來案暨出貨明細表-基因檢測(201904起'!$P:$P,$A7&amp;"*",'來案暨出貨明細表-基因檢測(201904起'!$B:$B,M$1,'來案暨出貨明細表-基因檢測(201904起'!$Q:$Q,"紙本&amp;電子")++COUNTIFS('來案暨出貨明細表-基因檢測(201904起'!$P:$P,$A7&amp;"*",'來案暨出貨明細表-基因檢測(201904起'!$B:$B,M$1,'來案暨出貨明細表-基因檢測(201904起'!$R:$R,"中英")-COUNTIFS('來案暨出貨明細表-基因檢測(201904起'!$P:$P,$A9&amp;"*",'來案暨出貨明細表-基因檢測(201904起'!$B:$B,M$1)*$B9</f>
        <v>0</v>
      </c>
      <c r="N7" s="33">
        <f>COUNTIFS('來案暨出貨明細表-基因檢測(201904起'!$P:$P,$A7&amp;"*",'來案暨出貨明細表-基因檢測(201904起'!$B:$B,N$1)*$B7+COUNTIFS('來案暨出貨明細表-基因檢測(201904起'!$P:$P,$A7&amp;"*",'來案暨出貨明細表-基因檢測(201904起'!$B:$B,N$1,'來案暨出貨明細表-基因檢測(201904起'!$Q:$Q,"紙本&amp;電子")++COUNTIFS('來案暨出貨明細表-基因檢測(201904起'!$P:$P,$A7&amp;"*",'來案暨出貨明細表-基因檢測(201904起'!$B:$B,N$1,'來案暨出貨明細表-基因檢測(201904起'!$R:$R,"中英")-COUNTIFS('來案暨出貨明細表-基因檢測(201904起'!$P:$P,$A9&amp;"*",'來案暨出貨明細表-基因檢測(201904起'!$B:$B,N$1)*$B9</f>
        <v>0</v>
      </c>
      <c r="O7" s="33">
        <f>COUNTIFS('來案暨出貨明細表-基因檢測(201904起'!$P:$P,$A7&amp;"*",'來案暨出貨明細表-基因檢測(201904起'!$B:$B,O$1)*$B7+COUNTIFS('來案暨出貨明細表-基因檢測(201904起'!$P:$P,$A7&amp;"*",'來案暨出貨明細表-基因檢測(201904起'!$B:$B,O$1,'來案暨出貨明細表-基因檢測(201904起'!$Q:$Q,"紙本&amp;電子")++COUNTIFS('來案暨出貨明細表-基因檢測(201904起'!$P:$P,$A7&amp;"*",'來案暨出貨明細表-基因檢測(201904起'!$B:$B,O$1,'來案暨出貨明細表-基因檢測(201904起'!$R:$R,"中英")-COUNTIFS('來案暨出貨明細表-基因檢測(201904起'!$P:$P,$A9&amp;"*",'來案暨出貨明細表-基因檢測(201904起'!$B:$B,O$1)*$B9</f>
        <v>0</v>
      </c>
      <c r="P7" s="33">
        <f>COUNTIFS('來案暨出貨明細表-基因檢測(201904起'!$P:$P,$A7&amp;"*",'來案暨出貨明細表-基因檢測(201904起'!$B:$B,P$1)*$B7+COUNTIFS('來案暨出貨明細表-基因檢測(201904起'!$P:$P,$A7&amp;"*",'來案暨出貨明細表-基因檢測(201904起'!$B:$B,P$1,'來案暨出貨明細表-基因檢測(201904起'!$Q:$Q,"紙本&amp;電子")++COUNTIFS('來案暨出貨明細表-基因檢測(201904起'!$P:$P,$A7&amp;"*",'來案暨出貨明細表-基因檢測(201904起'!$B:$B,P$1,'來案暨出貨明細表-基因檢測(201904起'!$R:$R,"中英")-COUNTIFS('來案暨出貨明細表-基因檢測(201904起'!$P:$P,$A9&amp;"*",'來案暨出貨明細表-基因檢測(201904起'!$B:$B,P$1)*$B9</f>
        <v>0</v>
      </c>
      <c r="Q7" s="33">
        <f>COUNTIFS('來案暨出貨明細表-基因檢測(201904起'!$P:$P,$A7&amp;"*",'來案暨出貨明細表-基因檢測(201904起'!$B:$B,Q$1)*$B7+COUNTIFS('來案暨出貨明細表-基因檢測(201904起'!$P:$P,$A7&amp;"*",'來案暨出貨明細表-基因檢測(201904起'!$B:$B,Q$1,'來案暨出貨明細表-基因檢測(201904起'!$Q:$Q,"紙本&amp;電子")++COUNTIFS('來案暨出貨明細表-基因檢測(201904起'!$P:$P,$A7&amp;"*",'來案暨出貨明細表-基因檢測(201904起'!$B:$B,Q$1,'來案暨出貨明細表-基因檢測(201904起'!$R:$R,"中英")-COUNTIFS('來案暨出貨明細表-基因檢測(201904起'!$P:$P,$A9&amp;"*",'來案暨出貨明細表-基因檢測(201904起'!$B:$B,Q$1)*$B9</f>
        <v>0</v>
      </c>
      <c r="R7" s="33">
        <f>COUNTIFS('來案暨出貨明細表-基因檢測(201904起'!$P:$P,$A7&amp;"*",'來案暨出貨明細表-基因檢測(201904起'!$B:$B,R$1)*$B7+COUNTIFS('來案暨出貨明細表-基因檢測(201904起'!$P:$P,$A7&amp;"*",'來案暨出貨明細表-基因檢測(201904起'!$B:$B,R$1,'來案暨出貨明細表-基因檢測(201904起'!$Q:$Q,"紙本&amp;電子")++COUNTIFS('來案暨出貨明細表-基因檢測(201904起'!$P:$P,$A7&amp;"*",'來案暨出貨明細表-基因檢測(201904起'!$B:$B,R$1,'來案暨出貨明細表-基因檢測(201904起'!$R:$R,"中英")-COUNTIFS('來案暨出貨明細表-基因檢測(201904起'!$P:$P,$A9&amp;"*",'來案暨出貨明細表-基因檢測(201904起'!$B:$B,R$1)*$B9</f>
        <v>0</v>
      </c>
      <c r="S7" s="33">
        <f>COUNTIFS('來案暨出貨明細表-基因檢測(201904起'!$P:$P,$A7&amp;"*",'來案暨出貨明細表-基因檢測(201904起'!$B:$B,S$1)*$B7+COUNTIFS('來案暨出貨明細表-基因檢測(201904起'!$P:$P,$A7&amp;"*",'來案暨出貨明細表-基因檢測(201904起'!$B:$B,S$1,'來案暨出貨明細表-基因檢測(201904起'!$Q:$Q,"紙本&amp;電子")++COUNTIFS('來案暨出貨明細表-基因檢測(201904起'!$P:$P,$A7&amp;"*",'來案暨出貨明細表-基因檢測(201904起'!$B:$B,S$1,'來案暨出貨明細表-基因檢測(201904起'!$R:$R,"中英")-COUNTIFS('來案暨出貨明細表-基因檢測(201904起'!$P:$P,$A9&amp;"*",'來案暨出貨明細表-基因檢測(201904起'!$B:$B,S$1)*$B9</f>
        <v>0</v>
      </c>
      <c r="T7" s="33">
        <f>COUNTIFS('來案暨出貨明細表-基因檢測(201904起'!$P:$P,$A7&amp;"*",'來案暨出貨明細表-基因檢測(201904起'!$B:$B,T$1)*$B7+COUNTIFS('來案暨出貨明細表-基因檢測(201904起'!$P:$P,$A7&amp;"*",'來案暨出貨明細表-基因檢測(201904起'!$B:$B,T$1,'來案暨出貨明細表-基因檢測(201904起'!$Q:$Q,"紙本&amp;電子")++COUNTIFS('來案暨出貨明細表-基因檢測(201904起'!$P:$P,$A7&amp;"*",'來案暨出貨明細表-基因檢測(201904起'!$B:$B,T$1,'來案暨出貨明細表-基因檢測(201904起'!$R:$R,"中英")-COUNTIFS('來案暨出貨明細表-基因檢測(201904起'!$P:$P,$A9&amp;"*",'來案暨出貨明細表-基因檢測(201904起'!$B:$B,T$1)*$B9</f>
        <v>0</v>
      </c>
      <c r="U7" s="33">
        <f>COUNTIFS('來案暨出貨明細表-基因檢測(201904起'!$P:$P,$A7&amp;"*",'來案暨出貨明細表-基因檢測(201904起'!$B:$B,U$1)*$B7+COUNTIFS('來案暨出貨明細表-基因檢測(201904起'!$P:$P,$A7&amp;"*",'來案暨出貨明細表-基因檢測(201904起'!$B:$B,U$1,'來案暨出貨明細表-基因檢測(201904起'!$Q:$Q,"紙本&amp;電子")++COUNTIFS('來案暨出貨明細表-基因檢測(201904起'!$P:$P,$A7&amp;"*",'來案暨出貨明細表-基因檢測(201904起'!$B:$B,U$1,'來案暨出貨明細表-基因檢測(201904起'!$R:$R,"中英")-COUNTIFS('來案暨出貨明細表-基因檢測(201904起'!$P:$P,$A9&amp;"*",'來案暨出貨明細表-基因檢測(201904起'!$B:$B,U$1)*$B9</f>
        <v>0</v>
      </c>
      <c r="V7" s="33">
        <f>COUNTIFS('來案暨出貨明細表-基因檢測(201904起'!$P:$P,$A7&amp;"*",'來案暨出貨明細表-基因檢測(201904起'!$B:$B,V$1)*$B7+COUNTIFS('來案暨出貨明細表-基因檢測(201904起'!$P:$P,$A7&amp;"*",'來案暨出貨明細表-基因檢測(201904起'!$B:$B,V$1,'來案暨出貨明細表-基因檢測(201904起'!$Q:$Q,"紙本&amp;電子")++COUNTIFS('來案暨出貨明細表-基因檢測(201904起'!$P:$P,$A7&amp;"*",'來案暨出貨明細表-基因檢測(201904起'!$B:$B,V$1,'來案暨出貨明細表-基因檢測(201904起'!$R:$R,"中英")-COUNTIFS('來案暨出貨明細表-基因檢測(201904起'!$P:$P,$A9&amp;"*",'來案暨出貨明細表-基因檢測(201904起'!$B:$B,V$1)*$B9</f>
        <v>0</v>
      </c>
      <c r="W7" s="33">
        <f>COUNTIFS('來案暨出貨明細表-基因檢測(201904起'!$P:$P,$A7&amp;"*",'來案暨出貨明細表-基因檢測(201904起'!$B:$B,W$1)*$B7+COUNTIFS('來案暨出貨明細表-基因檢測(201904起'!$P:$P,$A7&amp;"*",'來案暨出貨明細表-基因檢測(201904起'!$B:$B,W$1,'來案暨出貨明細表-基因檢測(201904起'!$Q:$Q,"紙本&amp;電子")++COUNTIFS('來案暨出貨明細表-基因檢測(201904起'!$P:$P,$A7&amp;"*",'來案暨出貨明細表-基因檢測(201904起'!$B:$B,W$1,'來案暨出貨明細表-基因檢測(201904起'!$R:$R,"中英")-COUNTIFS('來案暨出貨明細表-基因檢測(201904起'!$P:$P,$A9&amp;"*",'來案暨出貨明細表-基因檢測(201904起'!$B:$B,W$1)*$B9</f>
        <v>0</v>
      </c>
      <c r="X7" s="33">
        <f>COUNTIFS('來案暨出貨明細表-基因檢測(201904起'!$P:$P,$A7&amp;"*",'來案暨出貨明細表-基因檢測(201904起'!$B:$B,X$1)*$B7+COUNTIFS('來案暨出貨明細表-基因檢測(201904起'!$P:$P,$A7&amp;"*",'來案暨出貨明細表-基因檢測(201904起'!$B:$B,X$1,'來案暨出貨明細表-基因檢測(201904起'!$Q:$Q,"紙本&amp;電子")++COUNTIFS('來案暨出貨明細表-基因檢測(201904起'!$P:$P,$A7&amp;"*",'來案暨出貨明細表-基因檢測(201904起'!$B:$B,X$1,'來案暨出貨明細表-基因檢測(201904起'!$R:$R,"中英")-COUNTIFS('來案暨出貨明細表-基因檢測(201904起'!$P:$P,$A9&amp;"*",'來案暨出貨明細表-基因檢測(201904起'!$B:$B,X$1)*$B9</f>
        <v>0</v>
      </c>
      <c r="Y7" s="33">
        <f>COUNTIFS('來案暨出貨明細表-基因檢測(201904起'!$P:$P,$A7&amp;"*",'來案暨出貨明細表-基因檢測(201904起'!$B:$B,Y$1)*$B7+COUNTIFS('來案暨出貨明細表-基因檢測(201904起'!$P:$P,$A7&amp;"*",'來案暨出貨明細表-基因檢測(201904起'!$B:$B,Y$1,'來案暨出貨明細表-基因檢測(201904起'!$Q:$Q,"紙本&amp;電子")++COUNTIFS('來案暨出貨明細表-基因檢測(201904起'!$P:$P,$A7&amp;"*",'來案暨出貨明細表-基因檢測(201904起'!$B:$B,Y$1,'來案暨出貨明細表-基因檢測(201904起'!$R:$R,"中英")-COUNTIFS('來案暨出貨明細表-基因檢測(201904起'!$P:$P,$A9&amp;"*",'來案暨出貨明細表-基因檢測(201904起'!$B:$B,Y$1)*$B9</f>
        <v>0</v>
      </c>
      <c r="Z7" s="33">
        <f>COUNTIFS('來案暨出貨明細表-基因檢測(201904起'!$P:$P,$A7&amp;"*",'來案暨出貨明細表-基因檢測(201904起'!$B:$B,Z$1)*$B7+COUNTIFS('來案暨出貨明細表-基因檢測(201904起'!$P:$P,$A7&amp;"*",'來案暨出貨明細表-基因檢測(201904起'!$B:$B,Z$1,'來案暨出貨明細表-基因檢測(201904起'!$Q:$Q,"紙本&amp;電子")++COUNTIFS('來案暨出貨明細表-基因檢測(201904起'!$P:$P,$A7&amp;"*",'來案暨出貨明細表-基因檢測(201904起'!$B:$B,Z$1,'來案暨出貨明細表-基因檢測(201904起'!$R:$R,"中英")-COUNTIFS('來案暨出貨明細表-基因檢測(201904起'!$P:$P,$A9&amp;"*",'來案暨出貨明細表-基因檢測(201904起'!$B:$B,Z$1)*$B9</f>
        <v>0</v>
      </c>
      <c r="AA7" s="33">
        <f>COUNTIFS('來案暨出貨明細表-基因檢測(201904起'!$P:$P,$A7&amp;"*",'來案暨出貨明細表-基因檢測(201904起'!$B:$B,AA$1)*$B7+COUNTIFS('來案暨出貨明細表-基因檢測(201904起'!$P:$P,$A7&amp;"*",'來案暨出貨明細表-基因檢測(201904起'!$B:$B,AA$1,'來案暨出貨明細表-基因檢測(201904起'!$Q:$Q,"紙本&amp;電子")++COUNTIFS('來案暨出貨明細表-基因檢測(201904起'!$P:$P,$A7&amp;"*",'來案暨出貨明細表-基因檢測(201904起'!$B:$B,AA$1,'來案暨出貨明細表-基因檢測(201904起'!$R:$R,"中英")-COUNTIFS('來案暨出貨明細表-基因檢測(201904起'!$P:$P,$A9&amp;"*",'來案暨出貨明細表-基因檢測(201904起'!$B:$B,AA$1)*$B9</f>
        <v>0</v>
      </c>
      <c r="AB7" s="33">
        <f>COUNTIFS('來案暨出貨明細表-基因檢測(201904起'!$P:$P,$A7&amp;"*",'來案暨出貨明細表-基因檢測(201904起'!$B:$B,AB$1)*$B7+COUNTIFS('來案暨出貨明細表-基因檢測(201904起'!$P:$P,$A7&amp;"*",'來案暨出貨明細表-基因檢測(201904起'!$B:$B,AB$1,'來案暨出貨明細表-基因檢測(201904起'!$Q:$Q,"紙本&amp;電子")++COUNTIFS('來案暨出貨明細表-基因檢測(201904起'!$P:$P,$A7&amp;"*",'來案暨出貨明細表-基因檢測(201904起'!$B:$B,AB$1,'來案暨出貨明細表-基因檢測(201904起'!$R:$R,"中英")-COUNTIFS('來案暨出貨明細表-基因檢測(201904起'!$P:$P,$A9&amp;"*",'來案暨出貨明細表-基因檢測(201904起'!$B:$B,AB$1)*$B9</f>
        <v>0</v>
      </c>
      <c r="AC7" s="33">
        <f>COUNTIFS('來案暨出貨明細表-基因檢測(201904起'!$P:$P,$A7&amp;"*",'來案暨出貨明細表-基因檢測(201904起'!$B:$B,AC$1)*$B7+COUNTIFS('來案暨出貨明細表-基因檢測(201904起'!$P:$P,$A7&amp;"*",'來案暨出貨明細表-基因檢測(201904起'!$B:$B,AC$1,'來案暨出貨明細表-基因檢測(201904起'!$Q:$Q,"紙本&amp;電子")++COUNTIFS('來案暨出貨明細表-基因檢測(201904起'!$P:$P,$A7&amp;"*",'來案暨出貨明細表-基因檢測(201904起'!$B:$B,AC$1,'來案暨出貨明細表-基因檢測(201904起'!$R:$R,"中英")-COUNTIFS('來案暨出貨明細表-基因檢測(201904起'!$P:$P,$A9&amp;"*",'來案暨出貨明細表-基因檢測(201904起'!$B:$B,AC$1)*$B9</f>
        <v>0</v>
      </c>
      <c r="AD7" s="33">
        <f>COUNTIFS('來案暨出貨明細表-基因檢測(201904起'!$P:$P,$A7&amp;"*",'來案暨出貨明細表-基因檢測(201904起'!$B:$B,AD$1)*$B7+COUNTIFS('來案暨出貨明細表-基因檢測(201904起'!$P:$P,$A7&amp;"*",'來案暨出貨明細表-基因檢測(201904起'!$B:$B,AD$1,'來案暨出貨明細表-基因檢測(201904起'!$Q:$Q,"紙本&amp;電子")++COUNTIFS('來案暨出貨明細表-基因檢測(201904起'!$P:$P,$A7&amp;"*",'來案暨出貨明細表-基因檢測(201904起'!$B:$B,AD$1,'來案暨出貨明細表-基因檢測(201904起'!$R:$R,"中英")-COUNTIFS('來案暨出貨明細表-基因檢測(201904起'!$P:$P,$A9&amp;"*",'來案暨出貨明細表-基因檢測(201904起'!$B:$B,AD$1)*$B9</f>
        <v>0</v>
      </c>
      <c r="AE7" s="33">
        <f>COUNTIFS('來案暨出貨明細表-基因檢測(201904起'!$P:$P,$A7&amp;"*",'來案暨出貨明細表-基因檢測(201904起'!$B:$B,AE$1)*$B7+COUNTIFS('來案暨出貨明細表-基因檢測(201904起'!$P:$P,$A7&amp;"*",'來案暨出貨明細表-基因檢測(201904起'!$B:$B,AE$1,'來案暨出貨明細表-基因檢測(201904起'!$Q:$Q,"紙本&amp;電子")++COUNTIFS('來案暨出貨明細表-基因檢測(201904起'!$P:$P,$A7&amp;"*",'來案暨出貨明細表-基因檢測(201904起'!$B:$B,AE$1,'來案暨出貨明細表-基因檢測(201904起'!$R:$R,"中英")-COUNTIFS('來案暨出貨明細表-基因檢測(201904起'!$P:$P,$A9&amp;"*",'來案暨出貨明細表-基因檢測(201904起'!$B:$B,AE$1)*$B9</f>
        <v>0</v>
      </c>
      <c r="AF7" s="33">
        <f>COUNTIFS('來案暨出貨明細表-基因檢測(201904起'!$P:$P,$A7&amp;"*",'來案暨出貨明細表-基因檢測(201904起'!$B:$B,AF$1)*$B7+COUNTIFS('來案暨出貨明細表-基因檢測(201904起'!$P:$P,$A7&amp;"*",'來案暨出貨明細表-基因檢測(201904起'!$B:$B,AF$1,'來案暨出貨明細表-基因檢測(201904起'!$Q:$Q,"紙本&amp;電子")++COUNTIFS('來案暨出貨明細表-基因檢測(201904起'!$P:$P,$A7&amp;"*",'來案暨出貨明細表-基因檢測(201904起'!$B:$B,AF$1,'來案暨出貨明細表-基因檢測(201904起'!$R:$R,"中英")-COUNTIFS('來案暨出貨明細表-基因檢測(201904起'!$P:$P,$A9&amp;"*",'來案暨出貨明細表-基因檢測(201904起'!$B:$B,AF$1)*$B9</f>
        <v>0</v>
      </c>
      <c r="AG7" s="33">
        <f>COUNTIFS('來案暨出貨明細表-基因檢測(201904起'!$P:$P,$A7&amp;"*",'來案暨出貨明細表-基因檢測(201904起'!$B:$B,AG$1)*$B7+COUNTIFS('來案暨出貨明細表-基因檢測(201904起'!$P:$P,$A7&amp;"*",'來案暨出貨明細表-基因檢測(201904起'!$B:$B,AG$1,'來案暨出貨明細表-基因檢測(201904起'!$Q:$Q,"紙本&amp;電子")++COUNTIFS('來案暨出貨明細表-基因檢測(201904起'!$P:$P,$A7&amp;"*",'來案暨出貨明細表-基因檢測(201904起'!$B:$B,AG$1,'來案暨出貨明細表-基因檢測(201904起'!$R:$R,"中英")-COUNTIFS('來案暨出貨明細表-基因檢測(201904起'!$P:$P,$A9&amp;"*",'來案暨出貨明細表-基因檢測(201904起'!$B:$B,AG$1)*$B9</f>
        <v>0</v>
      </c>
      <c r="AH7" s="33">
        <f>COUNTIFS('來案暨出貨明細表-基因檢測(201904起'!$P:$P,$A7&amp;"*",'來案暨出貨明細表-基因檢測(201904起'!$B:$B,AH$1)*$B7+COUNTIFS('來案暨出貨明細表-基因檢測(201904起'!$P:$P,$A7&amp;"*",'來案暨出貨明細表-基因檢測(201904起'!$B:$B,AH$1,'來案暨出貨明細表-基因檢測(201904起'!$Q:$Q,"紙本&amp;電子")++COUNTIFS('來案暨出貨明細表-基因檢測(201904起'!$P:$P,$A7&amp;"*",'來案暨出貨明細表-基因檢測(201904起'!$B:$B,AH$1,'來案暨出貨明細表-基因檢測(201904起'!$R:$R,"中英")-COUNTIFS('來案暨出貨明細表-基因檢測(201904起'!$P:$P,$A9&amp;"*",'來案暨出貨明細表-基因檢測(201904起'!$B:$B,AH$1)*$B9</f>
        <v>0</v>
      </c>
      <c r="AI7" s="33">
        <f>COUNTIFS('來案暨出貨明細表-基因檢測(201904起'!$P:$P,$A7&amp;"*",'來案暨出貨明細表-基因檢測(201904起'!$B:$B,AI$1)*$B7+COUNTIFS('來案暨出貨明細表-基因檢測(201904起'!$P:$P,$A7&amp;"*",'來案暨出貨明細表-基因檢測(201904起'!$B:$B,AI$1,'來案暨出貨明細表-基因檢測(201904起'!$Q:$Q,"紙本&amp;電子")++COUNTIFS('來案暨出貨明細表-基因檢測(201904起'!$P:$P,$A7&amp;"*",'來案暨出貨明細表-基因檢測(201904起'!$B:$B,AI$1,'來案暨出貨明細表-基因檢測(201904起'!$R:$R,"中英")-COUNTIFS('來案暨出貨明細表-基因檢測(201904起'!$P:$P,$A9&amp;"*",'來案暨出貨明細表-基因檢測(201904起'!$B:$B,AI$1)*$B9</f>
        <v>0</v>
      </c>
      <c r="AJ7" s="33">
        <f>COUNTIFS('來案暨出貨明細表-基因檢測(201904起'!$P:$P,$A7&amp;"*",'來案暨出貨明細表-基因檢測(201904起'!$B:$B,AJ$1)*$B7+COUNTIFS('來案暨出貨明細表-基因檢測(201904起'!$P:$P,$A7&amp;"*",'來案暨出貨明細表-基因檢測(201904起'!$B:$B,AJ$1,'來案暨出貨明細表-基因檢測(201904起'!$Q:$Q,"紙本&amp;電子")++COUNTIFS('來案暨出貨明細表-基因檢測(201904起'!$P:$P,$A7&amp;"*",'來案暨出貨明細表-基因檢測(201904起'!$B:$B,AJ$1,'來案暨出貨明細表-基因檢測(201904起'!$R:$R,"中英")-COUNTIFS('來案暨出貨明細表-基因檢測(201904起'!$P:$P,$A9&amp;"*",'來案暨出貨明細表-基因檢測(201904起'!$B:$B,AJ$1)*$B9</f>
        <v>0</v>
      </c>
      <c r="AK7" s="33">
        <f>COUNTIFS('來案暨出貨明細表-基因檢測(201904起'!$P:$P,$A7&amp;"*",'來案暨出貨明細表-基因檢測(201904起'!$B:$B,AK$1)*$B7+COUNTIFS('來案暨出貨明細表-基因檢測(201904起'!$P:$P,$A7&amp;"*",'來案暨出貨明細表-基因檢測(201904起'!$B:$B,AK$1,'來案暨出貨明細表-基因檢測(201904起'!$Q:$Q,"紙本&amp;電子")++COUNTIFS('來案暨出貨明細表-基因檢測(201904起'!$P:$P,$A7&amp;"*",'來案暨出貨明細表-基因檢測(201904起'!$B:$B,AK$1,'來案暨出貨明細表-基因檢測(201904起'!$R:$R,"中英")-COUNTIFS('來案暨出貨明細表-基因檢測(201904起'!$P:$P,$A9&amp;"*",'來案暨出貨明細表-基因檢測(201904起'!$B:$B,AK$1)*$B9</f>
        <v>0</v>
      </c>
      <c r="AL7" s="33">
        <f>COUNTIFS('來案暨出貨明細表-基因檢測(201904起'!$P:$P,$A7&amp;"*",'來案暨出貨明細表-基因檢測(201904起'!$B:$B,AL$1)*$B7+COUNTIFS('來案暨出貨明細表-基因檢測(201904起'!$P:$P,$A7&amp;"*",'來案暨出貨明細表-基因檢測(201904起'!$B:$B,AL$1,'來案暨出貨明細表-基因檢測(201904起'!$Q:$Q,"紙本&amp;電子")++COUNTIFS('來案暨出貨明細表-基因檢測(201904起'!$P:$P,$A7&amp;"*",'來案暨出貨明細表-基因檢測(201904起'!$B:$B,AL$1,'來案暨出貨明細表-基因檢測(201904起'!$R:$R,"中英")-COUNTIFS('來案暨出貨明細表-基因檢測(201904起'!$P:$P,$A9&amp;"*",'來案暨出貨明細表-基因檢測(201904起'!$B:$B,AL$1)*$B9</f>
        <v>0</v>
      </c>
      <c r="AM7" s="33">
        <f>COUNTIFS('來案暨出貨明細表-基因檢測(201904起'!$P:$P,$A7&amp;"*",'來案暨出貨明細表-基因檢測(201904起'!$B:$B,AM$1)*$B7+COUNTIFS('來案暨出貨明細表-基因檢測(201904起'!$P:$P,$A7&amp;"*",'來案暨出貨明細表-基因檢測(201904起'!$B:$B,AM$1,'來案暨出貨明細表-基因檢測(201904起'!$Q:$Q,"紙本&amp;電子")++COUNTIFS('來案暨出貨明細表-基因檢測(201904起'!$P:$P,$A7&amp;"*",'來案暨出貨明細表-基因檢測(201904起'!$B:$B,AM$1,'來案暨出貨明細表-基因檢測(201904起'!$R:$R,"中英")-COUNTIFS('來案暨出貨明細表-基因檢測(201904起'!$P:$P,$A9&amp;"*",'來案暨出貨明細表-基因檢測(201904起'!$B:$B,AM$1)*$B9</f>
        <v>0</v>
      </c>
      <c r="AN7" s="33">
        <f>COUNTIFS('來案暨出貨明細表-基因檢測(201904起'!$P:$P,$A7&amp;"*",'來案暨出貨明細表-基因檢測(201904起'!$B:$B,AN$1)*$B7+COUNTIFS('來案暨出貨明細表-基因檢測(201904起'!$P:$P,$A7&amp;"*",'來案暨出貨明細表-基因檢測(201904起'!$B:$B,AN$1,'來案暨出貨明細表-基因檢測(201904起'!$Q:$Q,"紙本&amp;電子")++COUNTIFS('來案暨出貨明細表-基因檢測(201904起'!$P:$P,$A7&amp;"*",'來案暨出貨明細表-基因檢測(201904起'!$B:$B,AN$1,'來案暨出貨明細表-基因檢測(201904起'!$R:$R,"中英")-COUNTIFS('來案暨出貨明細表-基因檢測(201904起'!$P:$P,$A9&amp;"*",'來案暨出貨明細表-基因檢測(201904起'!$B:$B,AN$1)*$B9</f>
        <v>0</v>
      </c>
      <c r="AO7" s="33">
        <f>COUNTIFS('來案暨出貨明細表-基因檢測(201904起'!$P:$P,$A7&amp;"*",'來案暨出貨明細表-基因檢測(201904起'!$B:$B,AO$1)*$B7+COUNTIFS('來案暨出貨明細表-基因檢測(201904起'!$P:$P,$A7&amp;"*",'來案暨出貨明細表-基因檢測(201904起'!$B:$B,AO$1,'來案暨出貨明細表-基因檢測(201904起'!$Q:$Q,"紙本&amp;電子")++COUNTIFS('來案暨出貨明細表-基因檢測(201904起'!$P:$P,$A7&amp;"*",'來案暨出貨明細表-基因檢測(201904起'!$B:$B,AO$1,'來案暨出貨明細表-基因檢測(201904起'!$R:$R,"中英")-COUNTIFS('來案暨出貨明細表-基因檢測(201904起'!$P:$P,$A9&amp;"*",'來案暨出貨明細表-基因檢測(201904起'!$B:$B,AO$1)*$B9</f>
        <v>0</v>
      </c>
      <c r="AP7" s="33">
        <f>COUNTIFS('來案暨出貨明細表-基因檢測(201904起'!$P:$P,$A7&amp;"*",'來案暨出貨明細表-基因檢測(201904起'!$B:$B,AP$1)*$B7+COUNTIFS('來案暨出貨明細表-基因檢測(201904起'!$P:$P,$A7&amp;"*",'來案暨出貨明細表-基因檢測(201904起'!$B:$B,AP$1,'來案暨出貨明細表-基因檢測(201904起'!$Q:$Q,"紙本&amp;電子")++COUNTIFS('來案暨出貨明細表-基因檢測(201904起'!$P:$P,$A7&amp;"*",'來案暨出貨明細表-基因檢測(201904起'!$B:$B,AP$1,'來案暨出貨明細表-基因檢測(201904起'!$R:$R,"中英")-COUNTIFS('來案暨出貨明細表-基因檢測(201904起'!$P:$P,$A9&amp;"*",'來案暨出貨明細表-基因檢測(201904起'!$B:$B,AP$1)*$B9</f>
        <v>0</v>
      </c>
      <c r="AQ7" s="33">
        <f>COUNTIFS('來案暨出貨明細表-基因檢測(201904起'!$P:$P,$A7&amp;"*",'來案暨出貨明細表-基因檢測(201904起'!$B:$B,AQ$1)*$B7+COUNTIFS('來案暨出貨明細表-基因檢測(201904起'!$P:$P,$A7&amp;"*",'來案暨出貨明細表-基因檢測(201904起'!$B:$B,AQ$1,'來案暨出貨明細表-基因檢測(201904起'!$Q:$Q,"紙本&amp;電子")++COUNTIFS('來案暨出貨明細表-基因檢測(201904起'!$P:$P,$A7&amp;"*",'來案暨出貨明細表-基因檢測(201904起'!$B:$B,AQ$1,'來案暨出貨明細表-基因檢測(201904起'!$R:$R,"中英")-COUNTIFS('來案暨出貨明細表-基因檢測(201904起'!$P:$P,$A9&amp;"*",'來案暨出貨明細表-基因檢測(201904起'!$B:$B,AQ$1)*$B9</f>
        <v>3</v>
      </c>
      <c r="AR7" s="33">
        <f>COUNTIFS('來案暨出貨明細表-基因檢測(201904起'!$P:$P,$A7&amp;"*",'來案暨出貨明細表-基因檢測(201904起'!$B:$B,AR$1)*$B7+COUNTIFS('來案暨出貨明細表-基因檢測(201904起'!$P:$P,$A7&amp;"*",'來案暨出貨明細表-基因檢測(201904起'!$B:$B,AR$1,'來案暨出貨明細表-基因檢測(201904起'!$Q:$Q,"紙本&amp;電子")++COUNTIFS('來案暨出貨明細表-基因檢測(201904起'!$P:$P,$A7&amp;"*",'來案暨出貨明細表-基因檢測(201904起'!$B:$B,AR$1,'來案暨出貨明細表-基因檢測(201904起'!$R:$R,"中英")-COUNTIFS('來案暨出貨明細表-基因檢測(201904起'!$P:$P,$A9&amp;"*",'來案暨出貨明細表-基因檢測(201904起'!$B:$B,AR$1)*$B9</f>
        <v>0</v>
      </c>
      <c r="AS7" s="33">
        <f>COUNTIFS('來案暨出貨明細表-基因檢測(201904起'!$P:$P,$A7&amp;"*",'來案暨出貨明細表-基因檢測(201904起'!$B:$B,AS$1)*$B7+COUNTIFS('來案暨出貨明細表-基因檢測(201904起'!$P:$P,$A7&amp;"*",'來案暨出貨明細表-基因檢測(201904起'!$B:$B,AS$1,'來案暨出貨明細表-基因檢測(201904起'!$Q:$Q,"紙本&amp;電子")++COUNTIFS('來案暨出貨明細表-基因檢測(201904起'!$P:$P,$A7&amp;"*",'來案暨出貨明細表-基因檢測(201904起'!$B:$B,AS$1,'來案暨出貨明細表-基因檢測(201904起'!$R:$R,"中英")-COUNTIFS('來案暨出貨明細表-基因檢測(201904起'!$P:$P,$A9&amp;"*",'來案暨出貨明細表-基因檢測(201904起'!$B:$B,AS$1)*$B9</f>
        <v>0</v>
      </c>
      <c r="AT7" s="33">
        <f>COUNTIFS('來案暨出貨明細表-基因檢測(201904起'!$P:$P,$A7&amp;"*",'來案暨出貨明細表-基因檢測(201904起'!$B:$B,AT$1)*$B7+COUNTIFS('來案暨出貨明細表-基因檢測(201904起'!$P:$P,$A7&amp;"*",'來案暨出貨明細表-基因檢測(201904起'!$B:$B,AT$1,'來案暨出貨明細表-基因檢測(201904起'!$Q:$Q,"紙本&amp;電子")++COUNTIFS('來案暨出貨明細表-基因檢測(201904起'!$P:$P,$A7&amp;"*",'來案暨出貨明細表-基因檢測(201904起'!$B:$B,AT$1,'來案暨出貨明細表-基因檢測(201904起'!$R:$R,"中英")-COUNTIFS('來案暨出貨明細表-基因檢測(201904起'!$P:$P,$A9&amp;"*",'來案暨出貨明細表-基因檢測(201904起'!$B:$B,AT$1)*$B9</f>
        <v>0</v>
      </c>
      <c r="AU7" s="33">
        <f>COUNTIFS('來案暨出貨明細表-基因檢測(201904起'!$P:$P,$A7&amp;"*",'來案暨出貨明細表-基因檢測(201904起'!$B:$B,AU$1)*$B7+COUNTIFS('來案暨出貨明細表-基因檢測(201904起'!$P:$P,$A7&amp;"*",'來案暨出貨明細表-基因檢測(201904起'!$B:$B,AU$1,'來案暨出貨明細表-基因檢測(201904起'!$Q:$Q,"紙本&amp;電子")++COUNTIFS('來案暨出貨明細表-基因檢測(201904起'!$P:$P,$A7&amp;"*",'來案暨出貨明細表-基因檢測(201904起'!$B:$B,AU$1,'來案暨出貨明細表-基因檢測(201904起'!$R:$R,"中英")-COUNTIFS('來案暨出貨明細表-基因檢測(201904起'!$P:$P,$A9&amp;"*",'來案暨出貨明細表-基因檢測(201904起'!$B:$B,AU$1)*$B9</f>
        <v>0</v>
      </c>
      <c r="AV7" s="33">
        <f>COUNTIFS('來案暨出貨明細表-基因檢測(201904起'!$P:$P,$A7&amp;"*",'來案暨出貨明細表-基因檢測(201904起'!$B:$B,AV$1)*$B7+COUNTIFS('來案暨出貨明細表-基因檢測(201904起'!$P:$P,$A7&amp;"*",'來案暨出貨明細表-基因檢測(201904起'!$B:$B,AV$1,'來案暨出貨明細表-基因檢測(201904起'!$Q:$Q,"紙本&amp;電子")++COUNTIFS('來案暨出貨明細表-基因檢測(201904起'!$P:$P,$A7&amp;"*",'來案暨出貨明細表-基因檢測(201904起'!$B:$B,AV$1,'來案暨出貨明細表-基因檢測(201904起'!$R:$R,"中英")-COUNTIFS('來案暨出貨明細表-基因檢測(201904起'!$P:$P,$A9&amp;"*",'來案暨出貨明細表-基因檢測(201904起'!$B:$B,AV$1)*$B9</f>
        <v>0</v>
      </c>
      <c r="AW7" s="33">
        <f>COUNTIFS('來案暨出貨明細表-基因檢測(201904起'!$P:$P,$A7&amp;"*",'來案暨出貨明細表-基因檢測(201904起'!$B:$B,AW$1)*$B7+COUNTIFS('來案暨出貨明細表-基因檢測(201904起'!$P:$P,$A7&amp;"*",'來案暨出貨明細表-基因檢測(201904起'!$B:$B,AW$1,'來案暨出貨明細表-基因檢測(201904起'!$Q:$Q,"紙本&amp;電子")++COUNTIFS('來案暨出貨明細表-基因檢測(201904起'!$P:$P,$A7&amp;"*",'來案暨出貨明細表-基因檢測(201904起'!$B:$B,AW$1,'來案暨出貨明細表-基因檢測(201904起'!$R:$R,"中英")-COUNTIFS('來案暨出貨明細表-基因檢測(201904起'!$P:$P,$A9&amp;"*",'來案暨出貨明細表-基因檢測(201904起'!$B:$B,AW$1)*$B9</f>
        <v>0</v>
      </c>
      <c r="AX7" s="33">
        <f>COUNTIFS('來案暨出貨明細表-基因檢測(201904起'!$P:$P,$A7&amp;"*",'來案暨出貨明細表-基因檢測(201904起'!$B:$B,AX$1)*$B7+COUNTIFS('來案暨出貨明細表-基因檢測(201904起'!$P:$P,$A7&amp;"*",'來案暨出貨明細表-基因檢測(201904起'!$B:$B,AX$1,'來案暨出貨明細表-基因檢測(201904起'!$Q:$Q,"紙本&amp;電子")++COUNTIFS('來案暨出貨明細表-基因檢測(201904起'!$P:$P,$A7&amp;"*",'來案暨出貨明細表-基因檢測(201904起'!$B:$B,AX$1,'來案暨出貨明細表-基因檢測(201904起'!$R:$R,"中英")-COUNTIFS('來案暨出貨明細表-基因檢測(201904起'!$P:$P,$A9&amp;"*",'來案暨出貨明細表-基因檢測(201904起'!$B:$B,AX$1)*$B9</f>
        <v>0</v>
      </c>
      <c r="AY7" s="33">
        <f>COUNTIFS('來案暨出貨明細表-基因檢測(201904起'!$P:$P,$A7&amp;"*",'來案暨出貨明細表-基因檢測(201904起'!$B:$B,AY$1)*$B7+COUNTIFS('來案暨出貨明細表-基因檢測(201904起'!$P:$P,$A7&amp;"*",'來案暨出貨明細表-基因檢測(201904起'!$B:$B,AY$1,'來案暨出貨明細表-基因檢測(201904起'!$Q:$Q,"紙本&amp;電子")++COUNTIFS('來案暨出貨明細表-基因檢測(201904起'!$P:$P,$A7&amp;"*",'來案暨出貨明細表-基因檢測(201904起'!$B:$B,AY$1,'來案暨出貨明細表-基因檢測(201904起'!$R:$R,"中英")-COUNTIFS('來案暨出貨明細表-基因檢測(201904起'!$P:$P,$A9&amp;"*",'來案暨出貨明細表-基因檢測(201904起'!$B:$B,AY$1)*$B9</f>
        <v>0</v>
      </c>
      <c r="AZ7" s="33">
        <f>COUNTIFS('來案暨出貨明細表-基因檢測(201904起'!$P:$P,$A7&amp;"*",'來案暨出貨明細表-基因檢測(201904起'!$B:$B,AZ$1)*$B7+COUNTIFS('來案暨出貨明細表-基因檢測(201904起'!$P:$P,$A7&amp;"*",'來案暨出貨明細表-基因檢測(201904起'!$B:$B,AZ$1,'來案暨出貨明細表-基因檢測(201904起'!$Q:$Q,"紙本&amp;電子")++COUNTIFS('來案暨出貨明細表-基因檢測(201904起'!$P:$P,$A7&amp;"*",'來案暨出貨明細表-基因檢測(201904起'!$B:$B,AZ$1,'來案暨出貨明細表-基因檢測(201904起'!$R:$R,"中英")-COUNTIFS('來案暨出貨明細表-基因檢測(201904起'!$P:$P,$A9&amp;"*",'來案暨出貨明細表-基因檢測(201904起'!$B:$B,AZ$1)*$B9</f>
        <v>0</v>
      </c>
      <c r="BA7" s="33">
        <f>COUNTIFS('來案暨出貨明細表-基因檢測(201904起'!$P:$P,$A7&amp;"*",'來案暨出貨明細表-基因檢測(201904起'!$B:$B,BA$1)*$B7+COUNTIFS('來案暨出貨明細表-基因檢測(201904起'!$P:$P,$A7&amp;"*",'來案暨出貨明細表-基因檢測(201904起'!$B:$B,BA$1,'來案暨出貨明細表-基因檢測(201904起'!$Q:$Q,"紙本&amp;電子")++COUNTIFS('來案暨出貨明細表-基因檢測(201904起'!$P:$P,$A7&amp;"*",'來案暨出貨明細表-基因檢測(201904起'!$B:$B,BA$1,'來案暨出貨明細表-基因檢測(201904起'!$R:$R,"中英")-COUNTIFS('來案暨出貨明細表-基因檢測(201904起'!$P:$P,$A9&amp;"*",'來案暨出貨明細表-基因檢測(201904起'!$B:$B,BA$1)*$B9</f>
        <v>0</v>
      </c>
      <c r="BB7" s="33">
        <f>COUNTIFS('來案暨出貨明細表-基因檢測(201904起'!$P:$P,$A7&amp;"*",'來案暨出貨明細表-基因檢測(201904起'!$B:$B,BB$1)*$B7+COUNTIFS('來案暨出貨明細表-基因檢測(201904起'!$P:$P,$A7&amp;"*",'來案暨出貨明細表-基因檢測(201904起'!$B:$B,BB$1,'來案暨出貨明細表-基因檢測(201904起'!$Q:$Q,"紙本&amp;電子")++COUNTIFS('來案暨出貨明細表-基因檢測(201904起'!$P:$P,$A7&amp;"*",'來案暨出貨明細表-基因檢測(201904起'!$B:$B,BB$1,'來案暨出貨明細表-基因檢測(201904起'!$R:$R,"中英")-COUNTIFS('來案暨出貨明細表-基因檢測(201904起'!$P:$P,$A9&amp;"*",'來案暨出貨明細表-基因檢測(201904起'!$B:$B,BB$1)*$B9</f>
        <v>0</v>
      </c>
      <c r="BC7" s="33">
        <f>COUNTIFS('來案暨出貨明細表-基因檢測(201904起'!$P:$P,$A7&amp;"*",'來案暨出貨明細表-基因檢測(201904起'!$B:$B,BC$1)*$B7+COUNTIFS('來案暨出貨明細表-基因檢測(201904起'!$P:$P,$A7&amp;"*",'來案暨出貨明細表-基因檢測(201904起'!$B:$B,BC$1,'來案暨出貨明細表-基因檢測(201904起'!$Q:$Q,"紙本&amp;電子")++COUNTIFS('來案暨出貨明細表-基因檢測(201904起'!$P:$P,$A7&amp;"*",'來案暨出貨明細表-基因檢測(201904起'!$B:$B,BC$1,'來案暨出貨明細表-基因檢測(201904起'!$R:$R,"中英")-COUNTIFS('來案暨出貨明細表-基因檢測(201904起'!$P:$P,$A9&amp;"*",'來案暨出貨明細表-基因檢測(201904起'!$B:$B,BC$1)*$B9</f>
        <v>0</v>
      </c>
      <c r="BD7" s="33">
        <f>COUNTIFS('來案暨出貨明細表-基因檢測(201904起'!$P:$P,$A7&amp;"*",'來案暨出貨明細表-基因檢測(201904起'!$B:$B,BD$1)*$B7+COUNTIFS('來案暨出貨明細表-基因檢測(201904起'!$P:$P,$A7&amp;"*",'來案暨出貨明細表-基因檢測(201904起'!$B:$B,BD$1,'來案暨出貨明細表-基因檢測(201904起'!$Q:$Q,"紙本&amp;電子")++COUNTIFS('來案暨出貨明細表-基因檢測(201904起'!$P:$P,$A7&amp;"*",'來案暨出貨明細表-基因檢測(201904起'!$B:$B,BD$1,'來案暨出貨明細表-基因檢測(201904起'!$R:$R,"中英")-COUNTIFS('來案暨出貨明細表-基因檢測(201904起'!$P:$P,$A9&amp;"*",'來案暨出貨明細表-基因檢測(201904起'!$B:$B,BD$1)*$B9</f>
        <v>0</v>
      </c>
      <c r="BE7" s="33">
        <f>COUNTIFS('來案暨出貨明細表-基因檢測(201904起'!$P:$P,$A7&amp;"*",'來案暨出貨明細表-基因檢測(201904起'!$B:$B,BE$1)*$B7+COUNTIFS('來案暨出貨明細表-基因檢測(201904起'!$P:$P,$A7&amp;"*",'來案暨出貨明細表-基因檢測(201904起'!$B:$B,BE$1,'來案暨出貨明細表-基因檢測(201904起'!$Q:$Q,"紙本&amp;電子")++COUNTIFS('來案暨出貨明細表-基因檢測(201904起'!$P:$P,$A7&amp;"*",'來案暨出貨明細表-基因檢測(201904起'!$B:$B,BE$1,'來案暨出貨明細表-基因檢測(201904起'!$R:$R,"中英")-COUNTIFS('來案暨出貨明細表-基因檢測(201904起'!$P:$P,$A9&amp;"*",'來案暨出貨明細表-基因檢測(201904起'!$B:$B,BE$1)*$B9</f>
        <v>0</v>
      </c>
      <c r="BF7" s="33">
        <f>COUNTIFS('來案暨出貨明細表-基因檢測(201904起'!$P:$P,$A7&amp;"*",'來案暨出貨明細表-基因檢測(201904起'!$B:$B,BF$1)*$B7+COUNTIFS('來案暨出貨明細表-基因檢測(201904起'!$P:$P,$A7&amp;"*",'來案暨出貨明細表-基因檢測(201904起'!$B:$B,BF$1,'來案暨出貨明細表-基因檢測(201904起'!$Q:$Q,"紙本&amp;電子")++COUNTIFS('來案暨出貨明細表-基因檢測(201904起'!$P:$P,$A7&amp;"*",'來案暨出貨明細表-基因檢測(201904起'!$B:$B,BF$1,'來案暨出貨明細表-基因檢測(201904起'!$R:$R,"中英")-COUNTIFS('來案暨出貨明細表-基因檢測(201904起'!$P:$P,$A9&amp;"*",'來案暨出貨明細表-基因檢測(201904起'!$B:$B,BF$1)*$B9</f>
        <v>0</v>
      </c>
      <c r="BG7" s="33">
        <f>COUNTIFS('來案暨出貨明細表-基因檢測(201904起'!$P:$P,$A7&amp;"*",'來案暨出貨明細表-基因檢測(201904起'!$B:$B,BG$1)*$B7+COUNTIFS('來案暨出貨明細表-基因檢測(201904起'!$P:$P,$A7&amp;"*",'來案暨出貨明細表-基因檢測(201904起'!$B:$B,BG$1,'來案暨出貨明細表-基因檢測(201904起'!$Q:$Q,"紙本&amp;電子")++COUNTIFS('來案暨出貨明細表-基因檢測(201904起'!$P:$P,$A7&amp;"*",'來案暨出貨明細表-基因檢測(201904起'!$B:$B,BG$1,'來案暨出貨明細表-基因檢測(201904起'!$R:$R,"中英")-COUNTIFS('來案暨出貨明細表-基因檢測(201904起'!$P:$P,$A9&amp;"*",'來案暨出貨明細表-基因檢測(201904起'!$B:$B,BG$1)*$B9</f>
        <v>0</v>
      </c>
      <c r="BH7" s="33">
        <f>COUNTIFS('來案暨出貨明細表-基因檢測(201904起'!$P:$P,$A7&amp;"*",'來案暨出貨明細表-基因檢測(201904起'!$B:$B,BH$1)*$B7+COUNTIFS('來案暨出貨明細表-基因檢測(201904起'!$P:$P,$A7&amp;"*",'來案暨出貨明細表-基因檢測(201904起'!$B:$B,BH$1,'來案暨出貨明細表-基因檢測(201904起'!$Q:$Q,"紙本&amp;電子")++COUNTIFS('來案暨出貨明細表-基因檢測(201904起'!$P:$P,$A7&amp;"*",'來案暨出貨明細表-基因檢測(201904起'!$B:$B,BH$1,'來案暨出貨明細表-基因檢測(201904起'!$R:$R,"中英")-COUNTIFS('來案暨出貨明細表-基因檢測(201904起'!$P:$P,$A9&amp;"*",'來案暨出貨明細表-基因檢測(201904起'!$B:$B,BH$1)*$B9</f>
        <v>0</v>
      </c>
      <c r="BI7" s="33">
        <f>COUNTIFS('來案暨出貨明細表-基因檢測(201904起'!$P:$P,$A7&amp;"*",'來案暨出貨明細表-基因檢測(201904起'!$B:$B,BI$1)*$B7+COUNTIFS('來案暨出貨明細表-基因檢測(201904起'!$P:$P,$A7&amp;"*",'來案暨出貨明細表-基因檢測(201904起'!$B:$B,BI$1,'來案暨出貨明細表-基因檢測(201904起'!$Q:$Q,"紙本&amp;電子")++COUNTIFS('來案暨出貨明細表-基因檢測(201904起'!$P:$P,$A7&amp;"*",'來案暨出貨明細表-基因檢測(201904起'!$B:$B,BI$1,'來案暨出貨明細表-基因檢測(201904起'!$R:$R,"中英")-COUNTIFS('來案暨出貨明細表-基因檢測(201904起'!$P:$P,$A9&amp;"*",'來案暨出貨明細表-基因檢測(201904起'!$B:$B,BI$1)*$B9</f>
        <v>0</v>
      </c>
      <c r="BJ7" s="33">
        <f>COUNTIFS('來案暨出貨明細表-基因檢測(201904起'!$P:$P,$A7&amp;"*",'來案暨出貨明細表-基因檢測(201904起'!$B:$B,BJ$1)*$B7+COUNTIFS('來案暨出貨明細表-基因檢測(201904起'!$P:$P,$A7&amp;"*",'來案暨出貨明細表-基因檢測(201904起'!$B:$B,BJ$1,'來案暨出貨明細表-基因檢測(201904起'!$Q:$Q,"紙本&amp;電子")++COUNTIFS('來案暨出貨明細表-基因檢測(201904起'!$P:$P,$A7&amp;"*",'來案暨出貨明細表-基因檢測(201904起'!$B:$B,BJ$1,'來案暨出貨明細表-基因檢測(201904起'!$R:$R,"中英")-COUNTIFS('來案暨出貨明細表-基因檢測(201904起'!$P:$P,$A9&amp;"*",'來案暨出貨明細表-基因檢測(201904起'!$B:$B,BJ$1)*$B9</f>
        <v>0</v>
      </c>
      <c r="BK7" s="33">
        <f>COUNTIFS('來案暨出貨明細表-基因檢測(201904起'!$P:$P,$A7&amp;"*",'來案暨出貨明細表-基因檢測(201904起'!$B:$B,BK$1)*$B7+COUNTIFS('來案暨出貨明細表-基因檢測(201904起'!$P:$P,$A7&amp;"*",'來案暨出貨明細表-基因檢測(201904起'!$B:$B,BK$1,'來案暨出貨明細表-基因檢測(201904起'!$Q:$Q,"紙本&amp;電子")++COUNTIFS('來案暨出貨明細表-基因檢測(201904起'!$P:$P,$A7&amp;"*",'來案暨出貨明細表-基因檢測(201904起'!$B:$B,BK$1,'來案暨出貨明細表-基因檢測(201904起'!$R:$R,"中英")-COUNTIFS('來案暨出貨明細表-基因檢測(201904起'!$P:$P,$A9&amp;"*",'來案暨出貨明細表-基因檢測(201904起'!$B:$B,BK$1)*$B9</f>
        <v>0</v>
      </c>
      <c r="BL7" s="33">
        <f>COUNTIFS('來案暨出貨明細表-基因檢測(201904起'!$P:$P,$A7&amp;"*",'來案暨出貨明細表-基因檢測(201904起'!$B:$B,BL$1)*$B7+COUNTIFS('來案暨出貨明細表-基因檢測(201904起'!$P:$P,$A7&amp;"*",'來案暨出貨明細表-基因檢測(201904起'!$B:$B,BL$1,'來案暨出貨明細表-基因檢測(201904起'!$Q:$Q,"紙本&amp;電子")++COUNTIFS('來案暨出貨明細表-基因檢測(201904起'!$P:$P,$A7&amp;"*",'來案暨出貨明細表-基因檢測(201904起'!$B:$B,BL$1,'來案暨出貨明細表-基因檢測(201904起'!$R:$R,"中英")-COUNTIFS('來案暨出貨明細表-基因檢測(201904起'!$P:$P,$A9&amp;"*",'來案暨出貨明細表-基因檢測(201904起'!$B:$B,BL$1)*$B9</f>
        <v>0</v>
      </c>
      <c r="BM7" s="33">
        <f>COUNTIFS('來案暨出貨明細表-基因檢測(201904起'!$P:$P,$A7&amp;"*",'來案暨出貨明細表-基因檢測(201904起'!$B:$B,BM$1)*$B7+COUNTIFS('來案暨出貨明細表-基因檢測(201904起'!$P:$P,$A7&amp;"*",'來案暨出貨明細表-基因檢測(201904起'!$B:$B,BM$1,'來案暨出貨明細表-基因檢測(201904起'!$Q:$Q,"紙本&amp;電子")++COUNTIFS('來案暨出貨明細表-基因檢測(201904起'!$P:$P,$A7&amp;"*",'來案暨出貨明細表-基因檢測(201904起'!$B:$B,BM$1,'來案暨出貨明細表-基因檢測(201904起'!$R:$R,"中英")-COUNTIFS('來案暨出貨明細表-基因檢測(201904起'!$P:$P,$A9&amp;"*",'來案暨出貨明細表-基因檢測(201904起'!$B:$B,BM$1)*$B9</f>
        <v>0</v>
      </c>
    </row>
    <row r="8" spans="1:65" ht="15" customHeight="1">
      <c r="A8" s="9" t="s">
        <v>3217</v>
      </c>
      <c r="B8" s="9">
        <v>2</v>
      </c>
      <c r="C8" s="13" t="s">
        <v>3218</v>
      </c>
      <c r="D8" s="142" t="s">
        <v>3219</v>
      </c>
      <c r="E8" s="33">
        <f>COUNTIFS('來案暨出貨明細表-基因檢測(201904起'!$P:$P,$A8&amp;"*",'來案暨出貨明細表-基因檢測(201904起'!$B:$B,E$1)*$B8+COUNTIFS('來案暨出貨明細表-基因檢測(201904起'!$P:$P,$A8&amp;"*",'來案暨出貨明細表-基因檢測(201904起'!$B:$B,E$1,'來案暨出貨明細表-基因檢測(201904起'!$Q:$Q,"紙本&amp;電子")++COUNTIFS('來案暨出貨明細表-基因檢測(201904起'!$P:$P,$A8&amp;"*",'來案暨出貨明細表-基因檢測(201904起'!$B:$B,E$1,'來案暨出貨明細表-基因檢測(201904起'!$R:$R,"中英")</f>
        <v>0</v>
      </c>
      <c r="F8" s="33">
        <f>COUNTIFS('來案暨出貨明細表-基因檢測(201904起'!$P:$P,$A8&amp;"*",'來案暨出貨明細表-基因檢測(201904起'!$B:$B,F$1)*$B8+COUNTIFS('來案暨出貨明細表-基因檢測(201904起'!$P:$P,$A8&amp;"*",'來案暨出貨明細表-基因檢測(201904起'!$B:$B,F$1,'來案暨出貨明細表-基因檢測(201904起'!$Q:$Q,"紙本&amp;電子")++COUNTIFS('來案暨出貨明細表-基因檢測(201904起'!$P:$P,$A8&amp;"*",'來案暨出貨明細表-基因檢測(201904起'!$B:$B,F$1,'來案暨出貨明細表-基因檢測(201904起'!$R:$R,"中英")</f>
        <v>0</v>
      </c>
      <c r="G8" s="33">
        <f>COUNTIFS('來案暨出貨明細表-基因檢測(201904起'!$P:$P,$A8&amp;"*",'來案暨出貨明細表-基因檢測(201904起'!$B:$B,G$1)*$B8+COUNTIFS('來案暨出貨明細表-基因檢測(201904起'!$P:$P,$A8&amp;"*",'來案暨出貨明細表-基因檢測(201904起'!$B:$B,G$1,'來案暨出貨明細表-基因檢測(201904起'!$Q:$Q,"紙本&amp;電子")++COUNTIFS('來案暨出貨明細表-基因檢測(201904起'!$P:$P,$A8&amp;"*",'來案暨出貨明細表-基因檢測(201904起'!$B:$B,G$1,'來案暨出貨明細表-基因檢測(201904起'!$R:$R,"中英")</f>
        <v>0</v>
      </c>
      <c r="H8" s="33">
        <f>COUNTIFS('來案暨出貨明細表-基因檢測(201904起'!$P:$P,$A8&amp;"*",'來案暨出貨明細表-基因檢測(201904起'!$B:$B,H$1)*$B8+COUNTIFS('來案暨出貨明細表-基因檢測(201904起'!$P:$P,$A8&amp;"*",'來案暨出貨明細表-基因檢測(201904起'!$B:$B,H$1,'來案暨出貨明細表-基因檢測(201904起'!$Q:$Q,"紙本&amp;電子")++COUNTIFS('來案暨出貨明細表-基因檢測(201904起'!$P:$P,$A8&amp;"*",'來案暨出貨明細表-基因檢測(201904起'!$B:$B,H$1,'來案暨出貨明細表-基因檢測(201904起'!$R:$R,"中英")</f>
        <v>0</v>
      </c>
      <c r="I8" s="33">
        <f>COUNTIFS('來案暨出貨明細表-基因檢測(201904起'!$P:$P,$A8&amp;"*",'來案暨出貨明細表-基因檢測(201904起'!$B:$B,I$1)*$B8+COUNTIFS('來案暨出貨明細表-基因檢測(201904起'!$P:$P,$A8&amp;"*",'來案暨出貨明細表-基因檢測(201904起'!$B:$B,I$1,'來案暨出貨明細表-基因檢測(201904起'!$Q:$Q,"紙本&amp;電子")++COUNTIFS('來案暨出貨明細表-基因檢測(201904起'!$P:$P,$A8&amp;"*",'來案暨出貨明細表-基因檢測(201904起'!$B:$B,I$1,'來案暨出貨明細表-基因檢測(201904起'!$R:$R,"中英")</f>
        <v>0</v>
      </c>
      <c r="J8" s="33">
        <f>COUNTIFS('來案暨出貨明細表-基因檢測(201904起'!$P:$P,$A8&amp;"*",'來案暨出貨明細表-基因檢測(201904起'!$B:$B,J$1)*$B8+COUNTIFS('來案暨出貨明細表-基因檢測(201904起'!$P:$P,$A8&amp;"*",'來案暨出貨明細表-基因檢測(201904起'!$B:$B,J$1,'來案暨出貨明細表-基因檢測(201904起'!$Q:$Q,"紙本&amp;電子")++COUNTIFS('來案暨出貨明細表-基因檢測(201904起'!$P:$P,$A8&amp;"*",'來案暨出貨明細表-基因檢測(201904起'!$B:$B,J$1,'來案暨出貨明細表-基因檢測(201904起'!$R:$R,"中英")</f>
        <v>0</v>
      </c>
      <c r="K8" s="33">
        <f>COUNTIFS('來案暨出貨明細表-基因檢測(201904起'!$P:$P,$A8&amp;"*",'來案暨出貨明細表-基因檢測(201904起'!$B:$B,K$1)*$B8+COUNTIFS('來案暨出貨明細表-基因檢測(201904起'!$P:$P,$A8&amp;"*",'來案暨出貨明細表-基因檢測(201904起'!$B:$B,K$1,'來案暨出貨明細表-基因檢測(201904起'!$Q:$Q,"紙本&amp;電子")++COUNTIFS('來案暨出貨明細表-基因檢測(201904起'!$P:$P,$A8&amp;"*",'來案暨出貨明細表-基因檢測(201904起'!$B:$B,K$1,'來案暨出貨明細表-基因檢測(201904起'!$R:$R,"中英")</f>
        <v>0</v>
      </c>
      <c r="L8" s="33">
        <f>COUNTIFS('來案暨出貨明細表-基因檢測(201904起'!$P:$P,$A8&amp;"*",'來案暨出貨明細表-基因檢測(201904起'!$B:$B,L$1)*$B8+COUNTIFS('來案暨出貨明細表-基因檢測(201904起'!$P:$P,$A8&amp;"*",'來案暨出貨明細表-基因檢測(201904起'!$B:$B,L$1,'來案暨出貨明細表-基因檢測(201904起'!$Q:$Q,"紙本&amp;電子")++COUNTIFS('來案暨出貨明細表-基因檢測(201904起'!$P:$P,$A8&amp;"*",'來案暨出貨明細表-基因檢測(201904起'!$B:$B,L$1,'來案暨出貨明細表-基因檢測(201904起'!$R:$R,"中英")</f>
        <v>0</v>
      </c>
      <c r="M8" s="33">
        <f>COUNTIFS('來案暨出貨明細表-基因檢測(201904起'!$P:$P,$A8&amp;"*",'來案暨出貨明細表-基因檢測(201904起'!$B:$B,M$1)*$B8+COUNTIFS('來案暨出貨明細表-基因檢測(201904起'!$P:$P,$A8&amp;"*",'來案暨出貨明細表-基因檢測(201904起'!$B:$B,M$1,'來案暨出貨明細表-基因檢測(201904起'!$Q:$Q,"紙本&amp;電子")++COUNTIFS('來案暨出貨明細表-基因檢測(201904起'!$P:$P,$A8&amp;"*",'來案暨出貨明細表-基因檢測(201904起'!$B:$B,M$1,'來案暨出貨明細表-基因檢測(201904起'!$R:$R,"中英")</f>
        <v>0</v>
      </c>
      <c r="N8" s="33">
        <f>COUNTIFS('來案暨出貨明細表-基因檢測(201904起'!$P:$P,$A8&amp;"*",'來案暨出貨明細表-基因檢測(201904起'!$B:$B,N$1)*$B8+COUNTIFS('來案暨出貨明細表-基因檢測(201904起'!$P:$P,$A8&amp;"*",'來案暨出貨明細表-基因檢測(201904起'!$B:$B,N$1,'來案暨出貨明細表-基因檢測(201904起'!$Q:$Q,"紙本&amp;電子")++COUNTIFS('來案暨出貨明細表-基因檢測(201904起'!$P:$P,$A8&amp;"*",'來案暨出貨明細表-基因檢測(201904起'!$B:$B,N$1,'來案暨出貨明細表-基因檢測(201904起'!$R:$R,"中英")</f>
        <v>0</v>
      </c>
      <c r="O8" s="33">
        <f>COUNTIFS('來案暨出貨明細表-基因檢測(201904起'!$P:$P,$A8&amp;"*",'來案暨出貨明細表-基因檢測(201904起'!$B:$B,O$1)*$B8+COUNTIFS('來案暨出貨明細表-基因檢測(201904起'!$P:$P,$A8&amp;"*",'來案暨出貨明細表-基因檢測(201904起'!$B:$B,O$1,'來案暨出貨明細表-基因檢測(201904起'!$Q:$Q,"紙本&amp;電子")++COUNTIFS('來案暨出貨明細表-基因檢測(201904起'!$P:$P,$A8&amp;"*",'來案暨出貨明細表-基因檢測(201904起'!$B:$B,O$1,'來案暨出貨明細表-基因檢測(201904起'!$R:$R,"中英")</f>
        <v>0</v>
      </c>
      <c r="P8" s="33">
        <f>COUNTIFS('來案暨出貨明細表-基因檢測(201904起'!$P:$P,$A8&amp;"*",'來案暨出貨明細表-基因檢測(201904起'!$B:$B,P$1)*$B8+COUNTIFS('來案暨出貨明細表-基因檢測(201904起'!$P:$P,$A8&amp;"*",'來案暨出貨明細表-基因檢測(201904起'!$B:$B,P$1,'來案暨出貨明細表-基因檢測(201904起'!$Q:$Q,"紙本&amp;電子")++COUNTIFS('來案暨出貨明細表-基因檢測(201904起'!$P:$P,$A8&amp;"*",'來案暨出貨明細表-基因檢測(201904起'!$B:$B,P$1,'來案暨出貨明細表-基因檢測(201904起'!$R:$R,"中英")</f>
        <v>0</v>
      </c>
      <c r="Q8" s="33">
        <f>COUNTIFS('來案暨出貨明細表-基因檢測(201904起'!$P:$P,$A8&amp;"*",'來案暨出貨明細表-基因檢測(201904起'!$B:$B,Q$1)*$B8+COUNTIFS('來案暨出貨明細表-基因檢測(201904起'!$P:$P,$A8&amp;"*",'來案暨出貨明細表-基因檢測(201904起'!$B:$B,Q$1,'來案暨出貨明細表-基因檢測(201904起'!$Q:$Q,"紙本&amp;電子")++COUNTIFS('來案暨出貨明細表-基因檢測(201904起'!$P:$P,$A8&amp;"*",'來案暨出貨明細表-基因檢測(201904起'!$B:$B,Q$1,'來案暨出貨明細表-基因檢測(201904起'!$R:$R,"中英")</f>
        <v>0</v>
      </c>
      <c r="R8" s="33">
        <f>COUNTIFS('來案暨出貨明細表-基因檢測(201904起'!$P:$P,$A8&amp;"*",'來案暨出貨明細表-基因檢測(201904起'!$B:$B,R$1)*$B8+COUNTIFS('來案暨出貨明細表-基因檢測(201904起'!$P:$P,$A8&amp;"*",'來案暨出貨明細表-基因檢測(201904起'!$B:$B,R$1,'來案暨出貨明細表-基因檢測(201904起'!$Q:$Q,"紙本&amp;電子")++COUNTIFS('來案暨出貨明細表-基因檢測(201904起'!$P:$P,$A8&amp;"*",'來案暨出貨明細表-基因檢測(201904起'!$B:$B,R$1,'來案暨出貨明細表-基因檢測(201904起'!$R:$R,"中英")</f>
        <v>0</v>
      </c>
      <c r="S8" s="33">
        <f>COUNTIFS('來案暨出貨明細表-基因檢測(201904起'!$P:$P,$A8&amp;"*",'來案暨出貨明細表-基因檢測(201904起'!$B:$B,S$1)*$B8+COUNTIFS('來案暨出貨明細表-基因檢測(201904起'!$P:$P,$A8&amp;"*",'來案暨出貨明細表-基因檢測(201904起'!$B:$B,S$1,'來案暨出貨明細表-基因檢測(201904起'!$Q:$Q,"紙本&amp;電子")++COUNTIFS('來案暨出貨明細表-基因檢測(201904起'!$P:$P,$A8&amp;"*",'來案暨出貨明細表-基因檢測(201904起'!$B:$B,S$1,'來案暨出貨明細表-基因檢測(201904起'!$R:$R,"中英")</f>
        <v>0</v>
      </c>
      <c r="T8" s="33">
        <f>COUNTIFS('來案暨出貨明細表-基因檢測(201904起'!$P:$P,$A8&amp;"*",'來案暨出貨明細表-基因檢測(201904起'!$B:$B,T$1)*$B8+COUNTIFS('來案暨出貨明細表-基因檢測(201904起'!$P:$P,$A8&amp;"*",'來案暨出貨明細表-基因檢測(201904起'!$B:$B,T$1,'來案暨出貨明細表-基因檢測(201904起'!$Q:$Q,"紙本&amp;電子")++COUNTIFS('來案暨出貨明細表-基因檢測(201904起'!$P:$P,$A8&amp;"*",'來案暨出貨明細表-基因檢測(201904起'!$B:$B,T$1,'來案暨出貨明細表-基因檢測(201904起'!$R:$R,"中英")</f>
        <v>0</v>
      </c>
      <c r="U8" s="33">
        <f>COUNTIFS('來案暨出貨明細表-基因檢測(201904起'!$P:$P,$A8&amp;"*",'來案暨出貨明細表-基因檢測(201904起'!$B:$B,U$1)*$B8+COUNTIFS('來案暨出貨明細表-基因檢測(201904起'!$P:$P,$A8&amp;"*",'來案暨出貨明細表-基因檢測(201904起'!$B:$B,U$1,'來案暨出貨明細表-基因檢測(201904起'!$Q:$Q,"紙本&amp;電子")++COUNTIFS('來案暨出貨明細表-基因檢測(201904起'!$P:$P,$A8&amp;"*",'來案暨出貨明細表-基因檢測(201904起'!$B:$B,U$1,'來案暨出貨明細表-基因檢測(201904起'!$R:$R,"中英")</f>
        <v>0</v>
      </c>
      <c r="V8" s="33">
        <f>COUNTIFS('來案暨出貨明細表-基因檢測(201904起'!$P:$P,$A8&amp;"*",'來案暨出貨明細表-基因檢測(201904起'!$B:$B,V$1)*$B8+COUNTIFS('來案暨出貨明細表-基因檢測(201904起'!$P:$P,$A8&amp;"*",'來案暨出貨明細表-基因檢測(201904起'!$B:$B,V$1,'來案暨出貨明細表-基因檢測(201904起'!$Q:$Q,"紙本&amp;電子")++COUNTIFS('來案暨出貨明細表-基因檢測(201904起'!$P:$P,$A8&amp;"*",'來案暨出貨明細表-基因檢測(201904起'!$B:$B,V$1,'來案暨出貨明細表-基因檢測(201904起'!$R:$R,"中英")</f>
        <v>0</v>
      </c>
      <c r="W8" s="33">
        <f>COUNTIFS('來案暨出貨明細表-基因檢測(201904起'!$P:$P,$A8&amp;"*",'來案暨出貨明細表-基因檢測(201904起'!$B:$B,W$1)*$B8+COUNTIFS('來案暨出貨明細表-基因檢測(201904起'!$P:$P,$A8&amp;"*",'來案暨出貨明細表-基因檢測(201904起'!$B:$B,W$1,'來案暨出貨明細表-基因檢測(201904起'!$Q:$Q,"紙本&amp;電子")++COUNTIFS('來案暨出貨明細表-基因檢測(201904起'!$P:$P,$A8&amp;"*",'來案暨出貨明細表-基因檢測(201904起'!$B:$B,W$1,'來案暨出貨明細表-基因檢測(201904起'!$R:$R,"中英")</f>
        <v>0</v>
      </c>
      <c r="X8" s="33">
        <f>COUNTIFS('來案暨出貨明細表-基因檢測(201904起'!$P:$P,$A8&amp;"*",'來案暨出貨明細表-基因檢測(201904起'!$B:$B,X$1)*$B8+COUNTIFS('來案暨出貨明細表-基因檢測(201904起'!$P:$P,$A8&amp;"*",'來案暨出貨明細表-基因檢測(201904起'!$B:$B,X$1,'來案暨出貨明細表-基因檢測(201904起'!$Q:$Q,"紙本&amp;電子")++COUNTIFS('來案暨出貨明細表-基因檢測(201904起'!$P:$P,$A8&amp;"*",'來案暨出貨明細表-基因檢測(201904起'!$B:$B,X$1,'來案暨出貨明細表-基因檢測(201904起'!$R:$R,"中英")</f>
        <v>0</v>
      </c>
      <c r="Y8" s="33">
        <f>COUNTIFS('來案暨出貨明細表-基因檢測(201904起'!$P:$P,$A8&amp;"*",'來案暨出貨明細表-基因檢測(201904起'!$B:$B,Y$1)*$B8+COUNTIFS('來案暨出貨明細表-基因檢測(201904起'!$P:$P,$A8&amp;"*",'來案暨出貨明細表-基因檢測(201904起'!$B:$B,Y$1,'來案暨出貨明細表-基因檢測(201904起'!$Q:$Q,"紙本&amp;電子")++COUNTIFS('來案暨出貨明細表-基因檢測(201904起'!$P:$P,$A8&amp;"*",'來案暨出貨明細表-基因檢測(201904起'!$B:$B,Y$1,'來案暨出貨明細表-基因檢測(201904起'!$R:$R,"中英")</f>
        <v>0</v>
      </c>
      <c r="Z8" s="33">
        <f>COUNTIFS('來案暨出貨明細表-基因檢測(201904起'!$P:$P,$A8&amp;"*",'來案暨出貨明細表-基因檢測(201904起'!$B:$B,Z$1)*$B8+COUNTIFS('來案暨出貨明細表-基因檢測(201904起'!$P:$P,$A8&amp;"*",'來案暨出貨明細表-基因檢測(201904起'!$B:$B,Z$1,'來案暨出貨明細表-基因檢測(201904起'!$Q:$Q,"紙本&amp;電子")++COUNTIFS('來案暨出貨明細表-基因檢測(201904起'!$P:$P,$A8&amp;"*",'來案暨出貨明細表-基因檢測(201904起'!$B:$B,Z$1,'來案暨出貨明細表-基因檢測(201904起'!$R:$R,"中英")</f>
        <v>0</v>
      </c>
      <c r="AA8" s="33">
        <f>COUNTIFS('來案暨出貨明細表-基因檢測(201904起'!$P:$P,$A8&amp;"*",'來案暨出貨明細表-基因檢測(201904起'!$B:$B,AA$1)*$B8+COUNTIFS('來案暨出貨明細表-基因檢測(201904起'!$P:$P,$A8&amp;"*",'來案暨出貨明細表-基因檢測(201904起'!$B:$B,AA$1,'來案暨出貨明細表-基因檢測(201904起'!$Q:$Q,"紙本&amp;電子")++COUNTIFS('來案暨出貨明細表-基因檢測(201904起'!$P:$P,$A8&amp;"*",'來案暨出貨明細表-基因檢測(201904起'!$B:$B,AA$1,'來案暨出貨明細表-基因檢測(201904起'!$R:$R,"中英")</f>
        <v>0</v>
      </c>
      <c r="AB8" s="33">
        <f>COUNTIFS('來案暨出貨明細表-基因檢測(201904起'!$P:$P,$A8&amp;"*",'來案暨出貨明細表-基因檢測(201904起'!$B:$B,AB$1)*$B8+COUNTIFS('來案暨出貨明細表-基因檢測(201904起'!$P:$P,$A8&amp;"*",'來案暨出貨明細表-基因檢測(201904起'!$B:$B,AB$1,'來案暨出貨明細表-基因檢測(201904起'!$Q:$Q,"紙本&amp;電子")++COUNTIFS('來案暨出貨明細表-基因檢測(201904起'!$P:$P,$A8&amp;"*",'來案暨出貨明細表-基因檢測(201904起'!$B:$B,AB$1,'來案暨出貨明細表-基因檢測(201904起'!$R:$R,"中英")</f>
        <v>0</v>
      </c>
      <c r="AC8" s="33">
        <f>COUNTIFS('來案暨出貨明細表-基因檢測(201904起'!$P:$P,$A8&amp;"*",'來案暨出貨明細表-基因檢測(201904起'!$B:$B,AC$1)*$B8+COUNTIFS('來案暨出貨明細表-基因檢測(201904起'!$P:$P,$A8&amp;"*",'來案暨出貨明細表-基因檢測(201904起'!$B:$B,AC$1,'來案暨出貨明細表-基因檢測(201904起'!$Q:$Q,"紙本&amp;電子")++COUNTIFS('來案暨出貨明細表-基因檢測(201904起'!$P:$P,$A8&amp;"*",'來案暨出貨明細表-基因檢測(201904起'!$B:$B,AC$1,'來案暨出貨明細表-基因檢測(201904起'!$R:$R,"中英")</f>
        <v>0</v>
      </c>
      <c r="AD8" s="33">
        <f>COUNTIFS('來案暨出貨明細表-基因檢測(201904起'!$P:$P,$A8&amp;"*",'來案暨出貨明細表-基因檢測(201904起'!$B:$B,AD$1)*$B8+COUNTIFS('來案暨出貨明細表-基因檢測(201904起'!$P:$P,$A8&amp;"*",'來案暨出貨明細表-基因檢測(201904起'!$B:$B,AD$1,'來案暨出貨明細表-基因檢測(201904起'!$Q:$Q,"紙本&amp;電子")++COUNTIFS('來案暨出貨明細表-基因檢測(201904起'!$P:$P,$A8&amp;"*",'來案暨出貨明細表-基因檢測(201904起'!$B:$B,AD$1,'來案暨出貨明細表-基因檢測(201904起'!$R:$R,"中英")</f>
        <v>0</v>
      </c>
      <c r="AE8" s="33">
        <f>COUNTIFS('來案暨出貨明細表-基因檢測(201904起'!$P:$P,$A8&amp;"*",'來案暨出貨明細表-基因檢測(201904起'!$B:$B,AE$1)*$B8+COUNTIFS('來案暨出貨明細表-基因檢測(201904起'!$P:$P,$A8&amp;"*",'來案暨出貨明細表-基因檢測(201904起'!$B:$B,AE$1,'來案暨出貨明細表-基因檢測(201904起'!$Q:$Q,"紙本&amp;電子")++COUNTIFS('來案暨出貨明細表-基因檢測(201904起'!$P:$P,$A8&amp;"*",'來案暨出貨明細表-基因檢測(201904起'!$B:$B,AE$1,'來案暨出貨明細表-基因檢測(201904起'!$R:$R,"中英")</f>
        <v>0</v>
      </c>
      <c r="AF8" s="33">
        <f>COUNTIFS('來案暨出貨明細表-基因檢測(201904起'!$P:$P,$A8&amp;"*",'來案暨出貨明細表-基因檢測(201904起'!$B:$B,AF$1)*$B8+COUNTIFS('來案暨出貨明細表-基因檢測(201904起'!$P:$P,$A8&amp;"*",'來案暨出貨明細表-基因檢測(201904起'!$B:$B,AF$1,'來案暨出貨明細表-基因檢測(201904起'!$Q:$Q,"紙本&amp;電子")++COUNTIFS('來案暨出貨明細表-基因檢測(201904起'!$P:$P,$A8&amp;"*",'來案暨出貨明細表-基因檢測(201904起'!$B:$B,AF$1,'來案暨出貨明細表-基因檢測(201904起'!$R:$R,"中英")</f>
        <v>0</v>
      </c>
      <c r="AG8" s="33">
        <f>COUNTIFS('來案暨出貨明細表-基因檢測(201904起'!$P:$P,$A8&amp;"*",'來案暨出貨明細表-基因檢測(201904起'!$B:$B,AG$1)*$B8+COUNTIFS('來案暨出貨明細表-基因檢測(201904起'!$P:$P,$A8&amp;"*",'來案暨出貨明細表-基因檢測(201904起'!$B:$B,AG$1,'來案暨出貨明細表-基因檢測(201904起'!$Q:$Q,"紙本&amp;電子")++COUNTIFS('來案暨出貨明細表-基因檢測(201904起'!$P:$P,$A8&amp;"*",'來案暨出貨明細表-基因檢測(201904起'!$B:$B,AG$1,'來案暨出貨明細表-基因檢測(201904起'!$R:$R,"中英")</f>
        <v>0</v>
      </c>
      <c r="AH8" s="33">
        <f>COUNTIFS('來案暨出貨明細表-基因檢測(201904起'!$P:$P,$A8&amp;"*",'來案暨出貨明細表-基因檢測(201904起'!$B:$B,AH$1)*$B8+COUNTIFS('來案暨出貨明細表-基因檢測(201904起'!$P:$P,$A8&amp;"*",'來案暨出貨明細表-基因檢測(201904起'!$B:$B,AH$1,'來案暨出貨明細表-基因檢測(201904起'!$Q:$Q,"紙本&amp;電子")++COUNTIFS('來案暨出貨明細表-基因檢測(201904起'!$P:$P,$A8&amp;"*",'來案暨出貨明細表-基因檢測(201904起'!$B:$B,AH$1,'來案暨出貨明細表-基因檢測(201904起'!$R:$R,"中英")</f>
        <v>0</v>
      </c>
      <c r="AI8" s="33">
        <f>COUNTIFS('來案暨出貨明細表-基因檢測(201904起'!$P:$P,$A8&amp;"*",'來案暨出貨明細表-基因檢測(201904起'!$B:$B,AI$1)*$B8+COUNTIFS('來案暨出貨明細表-基因檢測(201904起'!$P:$P,$A8&amp;"*",'來案暨出貨明細表-基因檢測(201904起'!$B:$B,AI$1,'來案暨出貨明細表-基因檢測(201904起'!$Q:$Q,"紙本&amp;電子")++COUNTIFS('來案暨出貨明細表-基因檢測(201904起'!$P:$P,$A8&amp;"*",'來案暨出貨明細表-基因檢測(201904起'!$B:$B,AI$1,'來案暨出貨明細表-基因檢測(201904起'!$R:$R,"中英")</f>
        <v>0</v>
      </c>
      <c r="AJ8" s="33">
        <f>COUNTIFS('來案暨出貨明細表-基因檢測(201904起'!$P:$P,$A8&amp;"*",'來案暨出貨明細表-基因檢測(201904起'!$B:$B,AJ$1)*$B8+COUNTIFS('來案暨出貨明細表-基因檢測(201904起'!$P:$P,$A8&amp;"*",'來案暨出貨明細表-基因檢測(201904起'!$B:$B,AJ$1,'來案暨出貨明細表-基因檢測(201904起'!$Q:$Q,"紙本&amp;電子")++COUNTIFS('來案暨出貨明細表-基因檢測(201904起'!$P:$P,$A8&amp;"*",'來案暨出貨明細表-基因檢測(201904起'!$B:$B,AJ$1,'來案暨出貨明細表-基因檢測(201904起'!$R:$R,"中英")</f>
        <v>0</v>
      </c>
      <c r="AK8" s="33">
        <f>COUNTIFS('來案暨出貨明細表-基因檢測(201904起'!$P:$P,$A8&amp;"*",'來案暨出貨明細表-基因檢測(201904起'!$B:$B,AK$1)*$B8+COUNTIFS('來案暨出貨明細表-基因檢測(201904起'!$P:$P,$A8&amp;"*",'來案暨出貨明細表-基因檢測(201904起'!$B:$B,AK$1,'來案暨出貨明細表-基因檢測(201904起'!$Q:$Q,"紙本&amp;電子")++COUNTIFS('來案暨出貨明細表-基因檢測(201904起'!$P:$P,$A8&amp;"*",'來案暨出貨明細表-基因檢測(201904起'!$B:$B,AK$1,'來案暨出貨明細表-基因檢測(201904起'!$R:$R,"中英")</f>
        <v>0</v>
      </c>
      <c r="AL8" s="33">
        <f>COUNTIFS('來案暨出貨明細表-基因檢測(201904起'!$P:$P,$A8&amp;"*",'來案暨出貨明細表-基因檢測(201904起'!$B:$B,AL$1)*$B8+COUNTIFS('來案暨出貨明細表-基因檢測(201904起'!$P:$P,$A8&amp;"*",'來案暨出貨明細表-基因檢測(201904起'!$B:$B,AL$1,'來案暨出貨明細表-基因檢測(201904起'!$Q:$Q,"紙本&amp;電子")++COUNTIFS('來案暨出貨明細表-基因檢測(201904起'!$P:$P,$A8&amp;"*",'來案暨出貨明細表-基因檢測(201904起'!$B:$B,AL$1,'來案暨出貨明細表-基因檢測(201904起'!$R:$R,"中英")</f>
        <v>0</v>
      </c>
      <c r="AM8" s="33">
        <f>COUNTIFS('來案暨出貨明細表-基因檢測(201904起'!$P:$P,$A8&amp;"*",'來案暨出貨明細表-基因檢測(201904起'!$B:$B,AM$1)*$B8+COUNTIFS('來案暨出貨明細表-基因檢測(201904起'!$P:$P,$A8&amp;"*",'來案暨出貨明細表-基因檢測(201904起'!$B:$B,AM$1,'來案暨出貨明細表-基因檢測(201904起'!$Q:$Q,"紙本&amp;電子")++COUNTIFS('來案暨出貨明細表-基因檢測(201904起'!$P:$P,$A8&amp;"*",'來案暨出貨明細表-基因檢測(201904起'!$B:$B,AM$1,'來案暨出貨明細表-基因檢測(201904起'!$R:$R,"中英")</f>
        <v>0</v>
      </c>
      <c r="AN8" s="33">
        <f>COUNTIFS('來案暨出貨明細表-基因檢測(201904起'!$P:$P,$A8&amp;"*",'來案暨出貨明細表-基因檢測(201904起'!$B:$B,AN$1)*$B8+COUNTIFS('來案暨出貨明細表-基因檢測(201904起'!$P:$P,$A8&amp;"*",'來案暨出貨明細表-基因檢測(201904起'!$B:$B,AN$1,'來案暨出貨明細表-基因檢測(201904起'!$Q:$Q,"紙本&amp;電子")++COUNTIFS('來案暨出貨明細表-基因檢測(201904起'!$P:$P,$A8&amp;"*",'來案暨出貨明細表-基因檢測(201904起'!$B:$B,AN$1,'來案暨出貨明細表-基因檢測(201904起'!$R:$R,"中英")</f>
        <v>0</v>
      </c>
      <c r="AO8" s="33">
        <f>COUNTIFS('來案暨出貨明細表-基因檢測(201904起'!$P:$P,$A8&amp;"*",'來案暨出貨明細表-基因檢測(201904起'!$B:$B,AO$1)*$B8+COUNTIFS('來案暨出貨明細表-基因檢測(201904起'!$P:$P,$A8&amp;"*",'來案暨出貨明細表-基因檢測(201904起'!$B:$B,AO$1,'來案暨出貨明細表-基因檢測(201904起'!$Q:$Q,"紙本&amp;電子")++COUNTIFS('來案暨出貨明細表-基因檢測(201904起'!$P:$P,$A8&amp;"*",'來案暨出貨明細表-基因檢測(201904起'!$B:$B,AO$1,'來案暨出貨明細表-基因檢測(201904起'!$R:$R,"中英")</f>
        <v>0</v>
      </c>
      <c r="AP8" s="33">
        <f>COUNTIFS('來案暨出貨明細表-基因檢測(201904起'!$P:$P,$A8&amp;"*",'來案暨出貨明細表-基因檢測(201904起'!$B:$B,AP$1)*$B8+COUNTIFS('來案暨出貨明細表-基因檢測(201904起'!$P:$P,$A8&amp;"*",'來案暨出貨明細表-基因檢測(201904起'!$B:$B,AP$1,'來案暨出貨明細表-基因檢測(201904起'!$Q:$Q,"紙本&amp;電子")++COUNTIFS('來案暨出貨明細表-基因檢測(201904起'!$P:$P,$A8&amp;"*",'來案暨出貨明細表-基因檢測(201904起'!$B:$B,AP$1,'來案暨出貨明細表-基因檢測(201904起'!$R:$R,"中英")</f>
        <v>0</v>
      </c>
      <c r="AQ8" s="33">
        <f>COUNTIFS('來案暨出貨明細表-基因檢測(201904起'!$P:$P,$A8&amp;"*",'來案暨出貨明細表-基因檢測(201904起'!$B:$B,AQ$1)*$B8+COUNTIFS('來案暨出貨明細表-基因檢測(201904起'!$P:$P,$A8&amp;"*",'來案暨出貨明細表-基因檢測(201904起'!$B:$B,AQ$1,'來案暨出貨明細表-基因檢測(201904起'!$Q:$Q,"紙本&amp;電子")++COUNTIFS('來案暨出貨明細表-基因檢測(201904起'!$P:$P,$A8&amp;"*",'來案暨出貨明細表-基因檢測(201904起'!$B:$B,AQ$1,'來案暨出貨明細表-基因檢測(201904起'!$R:$R,"中英")</f>
        <v>0</v>
      </c>
      <c r="AR8" s="33">
        <f>COUNTIFS('來案暨出貨明細表-基因檢測(201904起'!$P:$P,$A8&amp;"*",'來案暨出貨明細表-基因檢測(201904起'!$B:$B,AR$1)*$B8+COUNTIFS('來案暨出貨明細表-基因檢測(201904起'!$P:$P,$A8&amp;"*",'來案暨出貨明細表-基因檢測(201904起'!$B:$B,AR$1,'來案暨出貨明細表-基因檢測(201904起'!$Q:$Q,"紙本&amp;電子")++COUNTIFS('來案暨出貨明細表-基因檢測(201904起'!$P:$P,$A8&amp;"*",'來案暨出貨明細表-基因檢測(201904起'!$B:$B,AR$1,'來案暨出貨明細表-基因檢測(201904起'!$R:$R,"中英")</f>
        <v>0</v>
      </c>
      <c r="AS8" s="33">
        <f>COUNTIFS('來案暨出貨明細表-基因檢測(201904起'!$P:$P,$A8&amp;"*",'來案暨出貨明細表-基因檢測(201904起'!$B:$B,AS$1)*$B8+COUNTIFS('來案暨出貨明細表-基因檢測(201904起'!$P:$P,$A8&amp;"*",'來案暨出貨明細表-基因檢測(201904起'!$B:$B,AS$1,'來案暨出貨明細表-基因檢測(201904起'!$Q:$Q,"紙本&amp;電子")++COUNTIFS('來案暨出貨明細表-基因檢測(201904起'!$P:$P,$A8&amp;"*",'來案暨出貨明細表-基因檢測(201904起'!$B:$B,AS$1,'來案暨出貨明細表-基因檢測(201904起'!$R:$R,"中英")</f>
        <v>0</v>
      </c>
      <c r="AT8" s="33">
        <f>COUNTIFS('來案暨出貨明細表-基因檢測(201904起'!$P:$P,$A8&amp;"*",'來案暨出貨明細表-基因檢測(201904起'!$B:$B,AT$1)*$B8+COUNTIFS('來案暨出貨明細表-基因檢測(201904起'!$P:$P,$A8&amp;"*",'來案暨出貨明細表-基因檢測(201904起'!$B:$B,AT$1,'來案暨出貨明細表-基因檢測(201904起'!$Q:$Q,"紙本&amp;電子")++COUNTIFS('來案暨出貨明細表-基因檢測(201904起'!$P:$P,$A8&amp;"*",'來案暨出貨明細表-基因檢測(201904起'!$B:$B,AT$1,'來案暨出貨明細表-基因檢測(201904起'!$R:$R,"中英")</f>
        <v>0</v>
      </c>
      <c r="AU8" s="33">
        <f>COUNTIFS('來案暨出貨明細表-基因檢測(201904起'!$P:$P,$A8&amp;"*",'來案暨出貨明細表-基因檢測(201904起'!$B:$B,AU$1)*$B8+COUNTIFS('來案暨出貨明細表-基因檢測(201904起'!$P:$P,$A8&amp;"*",'來案暨出貨明細表-基因檢測(201904起'!$B:$B,AU$1,'來案暨出貨明細表-基因檢測(201904起'!$Q:$Q,"紙本&amp;電子")++COUNTIFS('來案暨出貨明細表-基因檢測(201904起'!$P:$P,$A8&amp;"*",'來案暨出貨明細表-基因檢測(201904起'!$B:$B,AU$1,'來案暨出貨明細表-基因檢測(201904起'!$R:$R,"中英")</f>
        <v>0</v>
      </c>
      <c r="AV8" s="33">
        <f>COUNTIFS('來案暨出貨明細表-基因檢測(201904起'!$P:$P,$A8&amp;"*",'來案暨出貨明細表-基因檢測(201904起'!$B:$B,AV$1)*$B8+COUNTIFS('來案暨出貨明細表-基因檢測(201904起'!$P:$P,$A8&amp;"*",'來案暨出貨明細表-基因檢測(201904起'!$B:$B,AV$1,'來案暨出貨明細表-基因檢測(201904起'!$Q:$Q,"紙本&amp;電子")++COUNTIFS('來案暨出貨明細表-基因檢測(201904起'!$P:$P,$A8&amp;"*",'來案暨出貨明細表-基因檢測(201904起'!$B:$B,AV$1,'來案暨出貨明細表-基因檢測(201904起'!$R:$R,"中英")</f>
        <v>0</v>
      </c>
      <c r="AW8" s="33">
        <f>COUNTIFS('來案暨出貨明細表-基因檢測(201904起'!$P:$P,$A8&amp;"*",'來案暨出貨明細表-基因檢測(201904起'!$B:$B,AW$1)*$B8+COUNTIFS('來案暨出貨明細表-基因檢測(201904起'!$P:$P,$A8&amp;"*",'來案暨出貨明細表-基因檢測(201904起'!$B:$B,AW$1,'來案暨出貨明細表-基因檢測(201904起'!$Q:$Q,"紙本&amp;電子")++COUNTIFS('來案暨出貨明細表-基因檢測(201904起'!$P:$P,$A8&amp;"*",'來案暨出貨明細表-基因檢測(201904起'!$B:$B,AW$1,'來案暨出貨明細表-基因檢測(201904起'!$R:$R,"中英")</f>
        <v>0</v>
      </c>
      <c r="AX8" s="33">
        <f>COUNTIFS('來案暨出貨明細表-基因檢測(201904起'!$P:$P,$A8&amp;"*",'來案暨出貨明細表-基因檢測(201904起'!$B:$B,AX$1)*$B8+COUNTIFS('來案暨出貨明細表-基因檢測(201904起'!$P:$P,$A8&amp;"*",'來案暨出貨明細表-基因檢測(201904起'!$B:$B,AX$1,'來案暨出貨明細表-基因檢測(201904起'!$Q:$Q,"紙本&amp;電子")++COUNTIFS('來案暨出貨明細表-基因檢測(201904起'!$P:$P,$A8&amp;"*",'來案暨出貨明細表-基因檢測(201904起'!$B:$B,AX$1,'來案暨出貨明細表-基因檢測(201904起'!$R:$R,"中英")</f>
        <v>0</v>
      </c>
      <c r="AY8" s="33">
        <f>COUNTIFS('來案暨出貨明細表-基因檢測(201904起'!$P:$P,$A8&amp;"*",'來案暨出貨明細表-基因檢測(201904起'!$B:$B,AY$1)*$B8+COUNTIFS('來案暨出貨明細表-基因檢測(201904起'!$P:$P,$A8&amp;"*",'來案暨出貨明細表-基因檢測(201904起'!$B:$B,AY$1,'來案暨出貨明細表-基因檢測(201904起'!$Q:$Q,"紙本&amp;電子")++COUNTIFS('來案暨出貨明細表-基因檢測(201904起'!$P:$P,$A8&amp;"*",'來案暨出貨明細表-基因檢測(201904起'!$B:$B,AY$1,'來案暨出貨明細表-基因檢測(201904起'!$R:$R,"中英")</f>
        <v>0</v>
      </c>
      <c r="AZ8" s="33">
        <f>COUNTIFS('來案暨出貨明細表-基因檢測(201904起'!$P:$P,$A8&amp;"*",'來案暨出貨明細表-基因檢測(201904起'!$B:$B,AZ$1)*$B8+COUNTIFS('來案暨出貨明細表-基因檢測(201904起'!$P:$P,$A8&amp;"*",'來案暨出貨明細表-基因檢測(201904起'!$B:$B,AZ$1,'來案暨出貨明細表-基因檢測(201904起'!$Q:$Q,"紙本&amp;電子")++COUNTIFS('來案暨出貨明細表-基因檢測(201904起'!$P:$P,$A8&amp;"*",'來案暨出貨明細表-基因檢測(201904起'!$B:$B,AZ$1,'來案暨出貨明細表-基因檢測(201904起'!$R:$R,"中英")</f>
        <v>0</v>
      </c>
      <c r="BA8" s="33">
        <f>COUNTIFS('來案暨出貨明細表-基因檢測(201904起'!$P:$P,$A8&amp;"*",'來案暨出貨明細表-基因檢測(201904起'!$B:$B,BA$1)*$B8+COUNTIFS('來案暨出貨明細表-基因檢測(201904起'!$P:$P,$A8&amp;"*",'來案暨出貨明細表-基因檢測(201904起'!$B:$B,BA$1,'來案暨出貨明細表-基因檢測(201904起'!$Q:$Q,"紙本&amp;電子")++COUNTIFS('來案暨出貨明細表-基因檢測(201904起'!$P:$P,$A8&amp;"*",'來案暨出貨明細表-基因檢測(201904起'!$B:$B,BA$1,'來案暨出貨明細表-基因檢測(201904起'!$R:$R,"中英")</f>
        <v>0</v>
      </c>
      <c r="BB8" s="33">
        <f>COUNTIFS('來案暨出貨明細表-基因檢測(201904起'!$P:$P,$A8&amp;"*",'來案暨出貨明細表-基因檢測(201904起'!$B:$B,BB$1)*$B8+COUNTIFS('來案暨出貨明細表-基因檢測(201904起'!$P:$P,$A8&amp;"*",'來案暨出貨明細表-基因檢測(201904起'!$B:$B,BB$1,'來案暨出貨明細表-基因檢測(201904起'!$Q:$Q,"紙本&amp;電子")++COUNTIFS('來案暨出貨明細表-基因檢測(201904起'!$P:$P,$A8&amp;"*",'來案暨出貨明細表-基因檢測(201904起'!$B:$B,BB$1,'來案暨出貨明細表-基因檢測(201904起'!$R:$R,"中英")</f>
        <v>0</v>
      </c>
      <c r="BC8" s="33">
        <f>COUNTIFS('來案暨出貨明細表-基因檢測(201904起'!$P:$P,$A8&amp;"*",'來案暨出貨明細表-基因檢測(201904起'!$B:$B,BC$1)*$B8+COUNTIFS('來案暨出貨明細表-基因檢測(201904起'!$P:$P,$A8&amp;"*",'來案暨出貨明細表-基因檢測(201904起'!$B:$B,BC$1,'來案暨出貨明細表-基因檢測(201904起'!$Q:$Q,"紙本&amp;電子")++COUNTIFS('來案暨出貨明細表-基因檢測(201904起'!$P:$P,$A8&amp;"*",'來案暨出貨明細表-基因檢測(201904起'!$B:$B,BC$1,'來案暨出貨明細表-基因檢測(201904起'!$R:$R,"中英")</f>
        <v>0</v>
      </c>
      <c r="BD8" s="33">
        <f>COUNTIFS('來案暨出貨明細表-基因檢測(201904起'!$P:$P,$A8&amp;"*",'來案暨出貨明細表-基因檢測(201904起'!$B:$B,BD$1)*$B8+COUNTIFS('來案暨出貨明細表-基因檢測(201904起'!$P:$P,$A8&amp;"*",'來案暨出貨明細表-基因檢測(201904起'!$B:$B,BD$1,'來案暨出貨明細表-基因檢測(201904起'!$Q:$Q,"紙本&amp;電子")++COUNTIFS('來案暨出貨明細表-基因檢測(201904起'!$P:$P,$A8&amp;"*",'來案暨出貨明細表-基因檢測(201904起'!$B:$B,BD$1,'來案暨出貨明細表-基因檢測(201904起'!$R:$R,"中英")</f>
        <v>0</v>
      </c>
      <c r="BE8" s="33">
        <f>COUNTIFS('來案暨出貨明細表-基因檢測(201904起'!$P:$P,$A8&amp;"*",'來案暨出貨明細表-基因檢測(201904起'!$B:$B,BE$1)*$B8+COUNTIFS('來案暨出貨明細表-基因檢測(201904起'!$P:$P,$A8&amp;"*",'來案暨出貨明細表-基因檢測(201904起'!$B:$B,BE$1,'來案暨出貨明細表-基因檢測(201904起'!$Q:$Q,"紙本&amp;電子")++COUNTIFS('來案暨出貨明細表-基因檢測(201904起'!$P:$P,$A8&amp;"*",'來案暨出貨明細表-基因檢測(201904起'!$B:$B,BE$1,'來案暨出貨明細表-基因檢測(201904起'!$R:$R,"中英")</f>
        <v>0</v>
      </c>
      <c r="BF8" s="33">
        <f>COUNTIFS('來案暨出貨明細表-基因檢測(201904起'!$P:$P,$A8&amp;"*",'來案暨出貨明細表-基因檢測(201904起'!$B:$B,BF$1)*$B8+COUNTIFS('來案暨出貨明細表-基因檢測(201904起'!$P:$P,$A8&amp;"*",'來案暨出貨明細表-基因檢測(201904起'!$B:$B,BF$1,'來案暨出貨明細表-基因檢測(201904起'!$Q:$Q,"紙本&amp;電子")++COUNTIFS('來案暨出貨明細表-基因檢測(201904起'!$P:$P,$A8&amp;"*",'來案暨出貨明細表-基因檢測(201904起'!$B:$B,BF$1,'來案暨出貨明細表-基因檢測(201904起'!$R:$R,"中英")</f>
        <v>0</v>
      </c>
      <c r="BG8" s="33">
        <f>COUNTIFS('來案暨出貨明細表-基因檢測(201904起'!$P:$P,$A8&amp;"*",'來案暨出貨明細表-基因檢測(201904起'!$B:$B,BG$1)*$B8+COUNTIFS('來案暨出貨明細表-基因檢測(201904起'!$P:$P,$A8&amp;"*",'來案暨出貨明細表-基因檢測(201904起'!$B:$B,BG$1,'來案暨出貨明細表-基因檢測(201904起'!$Q:$Q,"紙本&amp;電子")++COUNTIFS('來案暨出貨明細表-基因檢測(201904起'!$P:$P,$A8&amp;"*",'來案暨出貨明細表-基因檢測(201904起'!$B:$B,BG$1,'來案暨出貨明細表-基因檢測(201904起'!$R:$R,"中英")</f>
        <v>0</v>
      </c>
      <c r="BH8" s="33">
        <f>COUNTIFS('來案暨出貨明細表-基因檢測(201904起'!$P:$P,$A8&amp;"*",'來案暨出貨明細表-基因檢測(201904起'!$B:$B,BH$1)*$B8+COUNTIFS('來案暨出貨明細表-基因檢測(201904起'!$P:$P,$A8&amp;"*",'來案暨出貨明細表-基因檢測(201904起'!$B:$B,BH$1,'來案暨出貨明細表-基因檢測(201904起'!$Q:$Q,"紙本&amp;電子")++COUNTIFS('來案暨出貨明細表-基因檢測(201904起'!$P:$P,$A8&amp;"*",'來案暨出貨明細表-基因檢測(201904起'!$B:$B,BH$1,'來案暨出貨明細表-基因檢測(201904起'!$R:$R,"中英")</f>
        <v>0</v>
      </c>
      <c r="BI8" s="33">
        <f>COUNTIFS('來案暨出貨明細表-基因檢測(201904起'!$P:$P,$A8&amp;"*",'來案暨出貨明細表-基因檢測(201904起'!$B:$B,BI$1)*$B8+COUNTIFS('來案暨出貨明細表-基因檢測(201904起'!$P:$P,$A8&amp;"*",'來案暨出貨明細表-基因檢測(201904起'!$B:$B,BI$1,'來案暨出貨明細表-基因檢測(201904起'!$Q:$Q,"紙本&amp;電子")++COUNTIFS('來案暨出貨明細表-基因檢測(201904起'!$P:$P,$A8&amp;"*",'來案暨出貨明細表-基因檢測(201904起'!$B:$B,BI$1,'來案暨出貨明細表-基因檢測(201904起'!$R:$R,"中英")</f>
        <v>0</v>
      </c>
      <c r="BJ8" s="33">
        <f>COUNTIFS('來案暨出貨明細表-基因檢測(201904起'!$P:$P,$A8&amp;"*",'來案暨出貨明細表-基因檢測(201904起'!$B:$B,BJ$1)*$B8+COUNTIFS('來案暨出貨明細表-基因檢測(201904起'!$P:$P,$A8&amp;"*",'來案暨出貨明細表-基因檢測(201904起'!$B:$B,BJ$1,'來案暨出貨明細表-基因檢測(201904起'!$Q:$Q,"紙本&amp;電子")++COUNTIFS('來案暨出貨明細表-基因檢測(201904起'!$P:$P,$A8&amp;"*",'來案暨出貨明細表-基因檢測(201904起'!$B:$B,BJ$1,'來案暨出貨明細表-基因檢測(201904起'!$R:$R,"中英")</f>
        <v>0</v>
      </c>
      <c r="BK8" s="33">
        <f>COUNTIFS('來案暨出貨明細表-基因檢測(201904起'!$P:$P,$A8&amp;"*",'來案暨出貨明細表-基因檢測(201904起'!$B:$B,BK$1)*$B8+COUNTIFS('來案暨出貨明細表-基因檢測(201904起'!$P:$P,$A8&amp;"*",'來案暨出貨明細表-基因檢測(201904起'!$B:$B,BK$1,'來案暨出貨明細表-基因檢測(201904起'!$Q:$Q,"紙本&amp;電子")++COUNTIFS('來案暨出貨明細表-基因檢測(201904起'!$P:$P,$A8&amp;"*",'來案暨出貨明細表-基因檢測(201904起'!$B:$B,BK$1,'來案暨出貨明細表-基因檢測(201904起'!$R:$R,"中英")</f>
        <v>0</v>
      </c>
      <c r="BL8" s="33">
        <f>COUNTIFS('來案暨出貨明細表-基因檢測(201904起'!$P:$P,$A8&amp;"*",'來案暨出貨明細表-基因檢測(201904起'!$B:$B,BL$1)*$B8+COUNTIFS('來案暨出貨明細表-基因檢測(201904起'!$P:$P,$A8&amp;"*",'來案暨出貨明細表-基因檢測(201904起'!$B:$B,BL$1,'來案暨出貨明細表-基因檢測(201904起'!$Q:$Q,"紙本&amp;電子")++COUNTIFS('來案暨出貨明細表-基因檢測(201904起'!$P:$P,$A8&amp;"*",'來案暨出貨明細表-基因檢測(201904起'!$B:$B,BL$1,'來案暨出貨明細表-基因檢測(201904起'!$R:$R,"中英")</f>
        <v>0</v>
      </c>
      <c r="BM8" s="33">
        <f>COUNTIFS('來案暨出貨明細表-基因檢測(201904起'!$P:$P,$A8&amp;"*",'來案暨出貨明細表-基因檢測(201904起'!$B:$B,BM$1)*$B8+COUNTIFS('來案暨出貨明細表-基因檢測(201904起'!$P:$P,$A8&amp;"*",'來案暨出貨明細表-基因檢測(201904起'!$B:$B,BM$1,'來案暨出貨明細表-基因檢測(201904起'!$Q:$Q,"紙本&amp;電子")++COUNTIFS('來案暨出貨明細表-基因檢測(201904起'!$P:$P,$A8&amp;"*",'來案暨出貨明細表-基因檢測(201904起'!$B:$B,BM$1,'來案暨出貨明細表-基因檢測(201904起'!$R:$R,"中英")</f>
        <v>0</v>
      </c>
    </row>
    <row r="9" spans="1:65" ht="15" customHeight="1">
      <c r="A9" s="9" t="s">
        <v>3504</v>
      </c>
      <c r="B9" s="9">
        <v>3</v>
      </c>
      <c r="C9" s="13" t="s">
        <v>3505</v>
      </c>
      <c r="D9" s="142" t="s">
        <v>3506</v>
      </c>
      <c r="E9" s="33">
        <f>COUNTIFS('來案暨出貨明細表-基因檢測(201904起'!$P:$P,$A9&amp;"*",'來案暨出貨明細表-基因檢測(201904起'!$B:$B,E$1)*$B9+COUNTIFS('來案暨出貨明細表-基因檢測(201904起'!$P:$P,$A9&amp;"*",'來案暨出貨明細表-基因檢測(201904起'!$B:$B,E$1,'來案暨出貨明細表-基因檢測(201904起'!$Q:$Q,"紙本&amp;電子")++COUNTIFS('來案暨出貨明細表-基因檢測(201904起'!$P:$P,$A9&amp;"*",'來案暨出貨明細表-基因檢測(201904起'!$B:$B,E$1,'來案暨出貨明細表-基因檢測(201904起'!$R:$R,"中英")</f>
        <v>0</v>
      </c>
      <c r="F9" s="33">
        <f>COUNTIFS('來案暨出貨明細表-基因檢測(201904起'!$P:$P,$A9&amp;"*",'來案暨出貨明細表-基因檢測(201904起'!$B:$B,F$1)*$B9+COUNTIFS('來案暨出貨明細表-基因檢測(201904起'!$P:$P,$A9&amp;"*",'來案暨出貨明細表-基因檢測(201904起'!$B:$B,F$1,'來案暨出貨明細表-基因檢測(201904起'!$Q:$Q,"紙本&amp;電子")++COUNTIFS('來案暨出貨明細表-基因檢測(201904起'!$P:$P,$A9&amp;"*",'來案暨出貨明細表-基因檢測(201904起'!$B:$B,F$1,'來案暨出貨明細表-基因檢測(201904起'!$R:$R,"中英")</f>
        <v>0</v>
      </c>
      <c r="G9" s="33">
        <f>COUNTIFS('來案暨出貨明細表-基因檢測(201904起'!$P:$P,$A9&amp;"*",'來案暨出貨明細表-基因檢測(201904起'!$B:$B,G$1)*$B9+COUNTIFS('來案暨出貨明細表-基因檢測(201904起'!$P:$P,$A9&amp;"*",'來案暨出貨明細表-基因檢測(201904起'!$B:$B,G$1,'來案暨出貨明細表-基因檢測(201904起'!$Q:$Q,"紙本&amp;電子")++COUNTIFS('來案暨出貨明細表-基因檢測(201904起'!$P:$P,$A9&amp;"*",'來案暨出貨明細表-基因檢測(201904起'!$B:$B,G$1,'來案暨出貨明細表-基因檢測(201904起'!$R:$R,"中英")</f>
        <v>0</v>
      </c>
      <c r="H9" s="33">
        <f>COUNTIFS('來案暨出貨明細表-基因檢測(201904起'!$P:$P,$A9&amp;"*",'來案暨出貨明細表-基因檢測(201904起'!$B:$B,H$1)*$B9+COUNTIFS('來案暨出貨明細表-基因檢測(201904起'!$P:$P,$A9&amp;"*",'來案暨出貨明細表-基因檢測(201904起'!$B:$B,H$1,'來案暨出貨明細表-基因檢測(201904起'!$Q:$Q,"紙本&amp;電子")++COUNTIFS('來案暨出貨明細表-基因檢測(201904起'!$P:$P,$A9&amp;"*",'來案暨出貨明細表-基因檢測(201904起'!$B:$B,H$1,'來案暨出貨明細表-基因檢測(201904起'!$R:$R,"中英")</f>
        <v>0</v>
      </c>
      <c r="I9" s="33">
        <f>COUNTIFS('來案暨出貨明細表-基因檢測(201904起'!$P:$P,$A9&amp;"*",'來案暨出貨明細表-基因檢測(201904起'!$B:$B,I$1)*$B9+COUNTIFS('來案暨出貨明細表-基因檢測(201904起'!$P:$P,$A9&amp;"*",'來案暨出貨明細表-基因檢測(201904起'!$B:$B,I$1,'來案暨出貨明細表-基因檢測(201904起'!$Q:$Q,"紙本&amp;電子")++COUNTIFS('來案暨出貨明細表-基因檢測(201904起'!$P:$P,$A9&amp;"*",'來案暨出貨明細表-基因檢測(201904起'!$B:$B,I$1,'來案暨出貨明細表-基因檢測(201904起'!$R:$R,"中英")</f>
        <v>0</v>
      </c>
      <c r="J9" s="33">
        <f>COUNTIFS('來案暨出貨明細表-基因檢測(201904起'!$P:$P,$A9&amp;"*",'來案暨出貨明細表-基因檢測(201904起'!$B:$B,J$1)*$B9+COUNTIFS('來案暨出貨明細表-基因檢測(201904起'!$P:$P,$A9&amp;"*",'來案暨出貨明細表-基因檢測(201904起'!$B:$B,J$1,'來案暨出貨明細表-基因檢測(201904起'!$Q:$Q,"紙本&amp;電子")++COUNTIFS('來案暨出貨明細表-基因檢測(201904起'!$P:$P,$A9&amp;"*",'來案暨出貨明細表-基因檢測(201904起'!$B:$B,J$1,'來案暨出貨明細表-基因檢測(201904起'!$R:$R,"中英")</f>
        <v>0</v>
      </c>
      <c r="K9" s="33">
        <f>COUNTIFS('來案暨出貨明細表-基因檢測(201904起'!$P:$P,$A9&amp;"*",'來案暨出貨明細表-基因檢測(201904起'!$B:$B,K$1)*$B9+COUNTIFS('來案暨出貨明細表-基因檢測(201904起'!$P:$P,$A9&amp;"*",'來案暨出貨明細表-基因檢測(201904起'!$B:$B,K$1,'來案暨出貨明細表-基因檢測(201904起'!$Q:$Q,"紙本&amp;電子")++COUNTIFS('來案暨出貨明細表-基因檢測(201904起'!$P:$P,$A9&amp;"*",'來案暨出貨明細表-基因檢測(201904起'!$B:$B,K$1,'來案暨出貨明細表-基因檢測(201904起'!$R:$R,"中英")</f>
        <v>0</v>
      </c>
      <c r="L9" s="33">
        <f>COUNTIFS('來案暨出貨明細表-基因檢測(201904起'!$P:$P,$A9&amp;"*",'來案暨出貨明細表-基因檢測(201904起'!$B:$B,L$1)*$B9+COUNTIFS('來案暨出貨明細表-基因檢測(201904起'!$P:$P,$A9&amp;"*",'來案暨出貨明細表-基因檢測(201904起'!$B:$B,L$1,'來案暨出貨明細表-基因檢測(201904起'!$Q:$Q,"紙本&amp;電子")++COUNTIFS('來案暨出貨明細表-基因檢測(201904起'!$P:$P,$A9&amp;"*",'來案暨出貨明細表-基因檢測(201904起'!$B:$B,L$1,'來案暨出貨明細表-基因檢測(201904起'!$R:$R,"中英")</f>
        <v>0</v>
      </c>
      <c r="M9" s="33">
        <f>COUNTIFS('來案暨出貨明細表-基因檢測(201904起'!$P:$P,$A9&amp;"*",'來案暨出貨明細表-基因檢測(201904起'!$B:$B,M$1)*$B9+COUNTIFS('來案暨出貨明細表-基因檢測(201904起'!$P:$P,$A9&amp;"*",'來案暨出貨明細表-基因檢測(201904起'!$B:$B,M$1,'來案暨出貨明細表-基因檢測(201904起'!$Q:$Q,"紙本&amp;電子")++COUNTIFS('來案暨出貨明細表-基因檢測(201904起'!$P:$P,$A9&amp;"*",'來案暨出貨明細表-基因檢測(201904起'!$B:$B,M$1,'來案暨出貨明細表-基因檢測(201904起'!$R:$R,"中英")</f>
        <v>0</v>
      </c>
      <c r="N9" s="33">
        <f>COUNTIFS('來案暨出貨明細表-基因檢測(201904起'!$P:$P,$A9&amp;"*",'來案暨出貨明細表-基因檢測(201904起'!$B:$B,N$1)*$B9+COUNTIFS('來案暨出貨明細表-基因檢測(201904起'!$P:$P,$A9&amp;"*",'來案暨出貨明細表-基因檢測(201904起'!$B:$B,N$1,'來案暨出貨明細表-基因檢測(201904起'!$Q:$Q,"紙本&amp;電子")++COUNTIFS('來案暨出貨明細表-基因檢測(201904起'!$P:$P,$A9&amp;"*",'來案暨出貨明細表-基因檢測(201904起'!$B:$B,N$1,'來案暨出貨明細表-基因檢測(201904起'!$R:$R,"中英")</f>
        <v>0</v>
      </c>
      <c r="O9" s="33">
        <f>COUNTIFS('來案暨出貨明細表-基因檢測(201904起'!$P:$P,$A9&amp;"*",'來案暨出貨明細表-基因檢測(201904起'!$B:$B,O$1)*$B9+COUNTIFS('來案暨出貨明細表-基因檢測(201904起'!$P:$P,$A9&amp;"*",'來案暨出貨明細表-基因檢測(201904起'!$B:$B,O$1,'來案暨出貨明細表-基因檢測(201904起'!$Q:$Q,"紙本&amp;電子")++COUNTIFS('來案暨出貨明細表-基因檢測(201904起'!$P:$P,$A9&amp;"*",'來案暨出貨明細表-基因檢測(201904起'!$B:$B,O$1,'來案暨出貨明細表-基因檢測(201904起'!$R:$R,"中英")</f>
        <v>0</v>
      </c>
      <c r="P9" s="33">
        <f>COUNTIFS('來案暨出貨明細表-基因檢測(201904起'!$P:$P,$A9&amp;"*",'來案暨出貨明細表-基因檢測(201904起'!$B:$B,P$1)*$B9+COUNTIFS('來案暨出貨明細表-基因檢測(201904起'!$P:$P,$A9&amp;"*",'來案暨出貨明細表-基因檢測(201904起'!$B:$B,P$1,'來案暨出貨明細表-基因檢測(201904起'!$Q:$Q,"紙本&amp;電子")++COUNTIFS('來案暨出貨明細表-基因檢測(201904起'!$P:$P,$A9&amp;"*",'來案暨出貨明細表-基因檢測(201904起'!$B:$B,P$1,'來案暨出貨明細表-基因檢測(201904起'!$R:$R,"中英")</f>
        <v>0</v>
      </c>
      <c r="Q9" s="33">
        <f>COUNTIFS('來案暨出貨明細表-基因檢測(201904起'!$P:$P,$A9&amp;"*",'來案暨出貨明細表-基因檢測(201904起'!$B:$B,Q$1)*$B9+COUNTIFS('來案暨出貨明細表-基因檢測(201904起'!$P:$P,$A9&amp;"*",'來案暨出貨明細表-基因檢測(201904起'!$B:$B,Q$1,'來案暨出貨明細表-基因檢測(201904起'!$Q:$Q,"紙本&amp;電子")++COUNTIFS('來案暨出貨明細表-基因檢測(201904起'!$P:$P,$A9&amp;"*",'來案暨出貨明細表-基因檢測(201904起'!$B:$B,Q$1,'來案暨出貨明細表-基因檢測(201904起'!$R:$R,"中英")</f>
        <v>0</v>
      </c>
      <c r="R9" s="33">
        <f>COUNTIFS('來案暨出貨明細表-基因檢測(201904起'!$P:$P,$A9&amp;"*",'來案暨出貨明細表-基因檢測(201904起'!$B:$B,R$1)*$B9+COUNTIFS('來案暨出貨明細表-基因檢測(201904起'!$P:$P,$A9&amp;"*",'來案暨出貨明細表-基因檢測(201904起'!$B:$B,R$1,'來案暨出貨明細表-基因檢測(201904起'!$Q:$Q,"紙本&amp;電子")++COUNTIFS('來案暨出貨明細表-基因檢測(201904起'!$P:$P,$A9&amp;"*",'來案暨出貨明細表-基因檢測(201904起'!$B:$B,R$1,'來案暨出貨明細表-基因檢測(201904起'!$R:$R,"中英")</f>
        <v>0</v>
      </c>
      <c r="S9" s="33">
        <f>COUNTIFS('來案暨出貨明細表-基因檢測(201904起'!$P:$P,$A9&amp;"*",'來案暨出貨明細表-基因檢測(201904起'!$B:$B,S$1)*$B9+COUNTIFS('來案暨出貨明細表-基因檢測(201904起'!$P:$P,$A9&amp;"*",'來案暨出貨明細表-基因檢測(201904起'!$B:$B,S$1,'來案暨出貨明細表-基因檢測(201904起'!$Q:$Q,"紙本&amp;電子")++COUNTIFS('來案暨出貨明細表-基因檢測(201904起'!$P:$P,$A9&amp;"*",'來案暨出貨明細表-基因檢測(201904起'!$B:$B,S$1,'來案暨出貨明細表-基因檢測(201904起'!$R:$R,"中英")</f>
        <v>0</v>
      </c>
      <c r="T9" s="33">
        <f>COUNTIFS('來案暨出貨明細表-基因檢測(201904起'!$P:$P,$A9&amp;"*",'來案暨出貨明細表-基因檢測(201904起'!$B:$B,T$1)*$B9+COUNTIFS('來案暨出貨明細表-基因檢測(201904起'!$P:$P,$A9&amp;"*",'來案暨出貨明細表-基因檢測(201904起'!$B:$B,T$1,'來案暨出貨明細表-基因檢測(201904起'!$Q:$Q,"紙本&amp;電子")++COUNTIFS('來案暨出貨明細表-基因檢測(201904起'!$P:$P,$A9&amp;"*",'來案暨出貨明細表-基因檢測(201904起'!$B:$B,T$1,'來案暨出貨明細表-基因檢測(201904起'!$R:$R,"中英")</f>
        <v>0</v>
      </c>
      <c r="U9" s="33">
        <f>COUNTIFS('來案暨出貨明細表-基因檢測(201904起'!$P:$P,$A9&amp;"*",'來案暨出貨明細表-基因檢測(201904起'!$B:$B,U$1)*$B9+COUNTIFS('來案暨出貨明細表-基因檢測(201904起'!$P:$P,$A9&amp;"*",'來案暨出貨明細表-基因檢測(201904起'!$B:$B,U$1,'來案暨出貨明細表-基因檢測(201904起'!$Q:$Q,"紙本&amp;電子")++COUNTIFS('來案暨出貨明細表-基因檢測(201904起'!$P:$P,$A9&amp;"*",'來案暨出貨明細表-基因檢測(201904起'!$B:$B,U$1,'來案暨出貨明細表-基因檢測(201904起'!$R:$R,"中英")</f>
        <v>0</v>
      </c>
      <c r="V9" s="33">
        <f>COUNTIFS('來案暨出貨明細表-基因檢測(201904起'!$P:$P,$A9&amp;"*",'來案暨出貨明細表-基因檢測(201904起'!$B:$B,V$1)*$B9+COUNTIFS('來案暨出貨明細表-基因檢測(201904起'!$P:$P,$A9&amp;"*",'來案暨出貨明細表-基因檢測(201904起'!$B:$B,V$1,'來案暨出貨明細表-基因檢測(201904起'!$Q:$Q,"紙本&amp;電子")++COUNTIFS('來案暨出貨明細表-基因檢測(201904起'!$P:$P,$A9&amp;"*",'來案暨出貨明細表-基因檢測(201904起'!$B:$B,V$1,'來案暨出貨明細表-基因檢測(201904起'!$R:$R,"中英")</f>
        <v>0</v>
      </c>
      <c r="W9" s="33">
        <f>COUNTIFS('來案暨出貨明細表-基因檢測(201904起'!$P:$P,$A9&amp;"*",'來案暨出貨明細表-基因檢測(201904起'!$B:$B,W$1)*$B9+COUNTIFS('來案暨出貨明細表-基因檢測(201904起'!$P:$P,$A9&amp;"*",'來案暨出貨明細表-基因檢測(201904起'!$B:$B,W$1,'來案暨出貨明細表-基因檢測(201904起'!$Q:$Q,"紙本&amp;電子")++COUNTIFS('來案暨出貨明細表-基因檢測(201904起'!$P:$P,$A9&amp;"*",'來案暨出貨明細表-基因檢測(201904起'!$B:$B,W$1,'來案暨出貨明細表-基因檢測(201904起'!$R:$R,"中英")</f>
        <v>0</v>
      </c>
      <c r="X9" s="33">
        <f>COUNTIFS('來案暨出貨明細表-基因檢測(201904起'!$P:$P,$A9&amp;"*",'來案暨出貨明細表-基因檢測(201904起'!$B:$B,X$1)*$B9+COUNTIFS('來案暨出貨明細表-基因檢測(201904起'!$P:$P,$A9&amp;"*",'來案暨出貨明細表-基因檢測(201904起'!$B:$B,X$1,'來案暨出貨明細表-基因檢測(201904起'!$Q:$Q,"紙本&amp;電子")++COUNTIFS('來案暨出貨明細表-基因檢測(201904起'!$P:$P,$A9&amp;"*",'來案暨出貨明細表-基因檢測(201904起'!$B:$B,X$1,'來案暨出貨明細表-基因檢測(201904起'!$R:$R,"中英")</f>
        <v>0</v>
      </c>
      <c r="Y9" s="33">
        <f>COUNTIFS('來案暨出貨明細表-基因檢測(201904起'!$P:$P,$A9&amp;"*",'來案暨出貨明細表-基因檢測(201904起'!$B:$B,Y$1)*$B9+COUNTIFS('來案暨出貨明細表-基因檢測(201904起'!$P:$P,$A9&amp;"*",'來案暨出貨明細表-基因檢測(201904起'!$B:$B,Y$1,'來案暨出貨明細表-基因檢測(201904起'!$Q:$Q,"紙本&amp;電子")++COUNTIFS('來案暨出貨明細表-基因檢測(201904起'!$P:$P,$A9&amp;"*",'來案暨出貨明細表-基因檢測(201904起'!$B:$B,Y$1,'來案暨出貨明細表-基因檢測(201904起'!$R:$R,"中英")</f>
        <v>0</v>
      </c>
      <c r="Z9" s="33">
        <f>COUNTIFS('來案暨出貨明細表-基因檢測(201904起'!$P:$P,$A9&amp;"*",'來案暨出貨明細表-基因檢測(201904起'!$B:$B,Z$1)*$B9+COUNTIFS('來案暨出貨明細表-基因檢測(201904起'!$P:$P,$A9&amp;"*",'來案暨出貨明細表-基因檢測(201904起'!$B:$B,Z$1,'來案暨出貨明細表-基因檢測(201904起'!$Q:$Q,"紙本&amp;電子")++COUNTIFS('來案暨出貨明細表-基因檢測(201904起'!$P:$P,$A9&amp;"*",'來案暨出貨明細表-基因檢測(201904起'!$B:$B,Z$1,'來案暨出貨明細表-基因檢測(201904起'!$R:$R,"中英")</f>
        <v>0</v>
      </c>
      <c r="AA9" s="33">
        <f>COUNTIFS('來案暨出貨明細表-基因檢測(201904起'!$P:$P,$A9&amp;"*",'來案暨出貨明細表-基因檢測(201904起'!$B:$B,AA$1)*$B9+COUNTIFS('來案暨出貨明細表-基因檢測(201904起'!$P:$P,$A9&amp;"*",'來案暨出貨明細表-基因檢測(201904起'!$B:$B,AA$1,'來案暨出貨明細表-基因檢測(201904起'!$Q:$Q,"紙本&amp;電子")++COUNTIFS('來案暨出貨明細表-基因檢測(201904起'!$P:$P,$A9&amp;"*",'來案暨出貨明細表-基因檢測(201904起'!$B:$B,AA$1,'來案暨出貨明細表-基因檢測(201904起'!$R:$R,"中英")</f>
        <v>0</v>
      </c>
      <c r="AB9" s="33">
        <f>COUNTIFS('來案暨出貨明細表-基因檢測(201904起'!$P:$P,$A9&amp;"*",'來案暨出貨明細表-基因檢測(201904起'!$B:$B,AB$1)*$B9+COUNTIFS('來案暨出貨明細表-基因檢測(201904起'!$P:$P,$A9&amp;"*",'來案暨出貨明細表-基因檢測(201904起'!$B:$B,AB$1,'來案暨出貨明細表-基因檢測(201904起'!$Q:$Q,"紙本&amp;電子")+COUNTIFS('來案暨出貨明細表-基因檢測(201904起'!$P:$P,$A9&amp;"*",'來案暨出貨明細表-基因檢測(201904起'!$B:$B,AB$1,'來案暨出貨明細表-基因檢測(201904起'!$R:$R,"中英")</f>
        <v>8</v>
      </c>
      <c r="AC9" s="33">
        <f>COUNTIFS('來案暨出貨明細表-基因檢測(201904起'!$P:$P,$A9&amp;"*",'來案暨出貨明細表-基因檢測(201904起'!$B:$B,AC$1)*$B9+COUNTIFS('來案暨出貨明細表-基因檢測(201904起'!$P:$P,$A9&amp;"*",'來案暨出貨明細表-基因檢測(201904起'!$B:$B,AC$1,'來案暨出貨明細表-基因檢測(201904起'!$Q:$Q,"紙本&amp;電子")++COUNTIFS('來案暨出貨明細表-基因檢測(201904起'!$P:$P,$A9&amp;"*",'來案暨出貨明細表-基因檢測(201904起'!$B:$B,AC$1,'來案暨出貨明細表-基因檢測(201904起'!$R:$R,"中英")</f>
        <v>0</v>
      </c>
      <c r="AD9" s="33">
        <f>COUNTIFS('來案暨出貨明細表-基因檢測(201904起'!$P:$P,$A9&amp;"*",'來案暨出貨明細表-基因檢測(201904起'!$B:$B,AD$1)*$B9+COUNTIFS('來案暨出貨明細表-基因檢測(201904起'!$P:$P,$A9&amp;"*",'來案暨出貨明細表-基因檢測(201904起'!$B:$B,AD$1,'來案暨出貨明細表-基因檢測(201904起'!$Q:$Q,"紙本&amp;電子")++COUNTIFS('來案暨出貨明細表-基因檢測(201904起'!$P:$P,$A9&amp;"*",'來案暨出貨明細表-基因檢測(201904起'!$B:$B,AD$1,'來案暨出貨明細表-基因檢測(201904起'!$R:$R,"中英")</f>
        <v>0</v>
      </c>
      <c r="AE9" s="33">
        <f>COUNTIFS('來案暨出貨明細表-基因檢測(201904起'!$P:$P,$A9&amp;"*",'來案暨出貨明細表-基因檢測(201904起'!$B:$B,AE$1)*$B9+COUNTIFS('來案暨出貨明細表-基因檢測(201904起'!$P:$P,$A9&amp;"*",'來案暨出貨明細表-基因檢測(201904起'!$B:$B,AE$1,'來案暨出貨明細表-基因檢測(201904起'!$Q:$Q,"紙本&amp;電子")++COUNTIFS('來案暨出貨明細表-基因檢測(201904起'!$P:$P,$A9&amp;"*",'來案暨出貨明細表-基因檢測(201904起'!$B:$B,AE$1,'來案暨出貨明細表-基因檢測(201904起'!$R:$R,"中英")</f>
        <v>0</v>
      </c>
      <c r="AF9" s="33">
        <f>COUNTIFS('來案暨出貨明細表-基因檢測(201904起'!$P:$P,$A9&amp;"*",'來案暨出貨明細表-基因檢測(201904起'!$B:$B,AF$1)*$B9+COUNTIFS('來案暨出貨明細表-基因檢測(201904起'!$P:$P,$A9&amp;"*",'來案暨出貨明細表-基因檢測(201904起'!$B:$B,AF$1,'來案暨出貨明細表-基因檢測(201904起'!$Q:$Q,"紙本&amp;電子")++COUNTIFS('來案暨出貨明細表-基因檢測(201904起'!$P:$P,$A9&amp;"*",'來案暨出貨明細表-基因檢測(201904起'!$B:$B,AF$1,'來案暨出貨明細表-基因檢測(201904起'!$R:$R,"中英")</f>
        <v>0</v>
      </c>
      <c r="AG9" s="33">
        <f>COUNTIFS('來案暨出貨明細表-基因檢測(201904起'!$P:$P,$A9&amp;"*",'來案暨出貨明細表-基因檢測(201904起'!$B:$B,AG$1)*$B9+COUNTIFS('來案暨出貨明細表-基因檢測(201904起'!$P:$P,$A9&amp;"*",'來案暨出貨明細表-基因檢測(201904起'!$B:$B,AG$1,'來案暨出貨明細表-基因檢測(201904起'!$Q:$Q,"紙本&amp;電子")++COUNTIFS('來案暨出貨明細表-基因檢測(201904起'!$P:$P,$A9&amp;"*",'來案暨出貨明細表-基因檢測(201904起'!$B:$B,AG$1,'來案暨出貨明細表-基因檢測(201904起'!$R:$R,"中英")</f>
        <v>0</v>
      </c>
      <c r="AH9" s="33">
        <f>COUNTIFS('來案暨出貨明細表-基因檢測(201904起'!$P:$P,$A9&amp;"*",'來案暨出貨明細表-基因檢測(201904起'!$B:$B,AH$1)*$B9+COUNTIFS('來案暨出貨明細表-基因檢測(201904起'!$P:$P,$A9&amp;"*",'來案暨出貨明細表-基因檢測(201904起'!$B:$B,AH$1,'來案暨出貨明細表-基因檢測(201904起'!$Q:$Q,"紙本&amp;電子")++COUNTIFS('來案暨出貨明細表-基因檢測(201904起'!$P:$P,$A9&amp;"*",'來案暨出貨明細表-基因檢測(201904起'!$B:$B,AH$1,'來案暨出貨明細表-基因檢測(201904起'!$R:$R,"中英")</f>
        <v>0</v>
      </c>
      <c r="AI9" s="33">
        <f>COUNTIFS('來案暨出貨明細表-基因檢測(201904起'!$P:$P,$A9&amp;"*",'來案暨出貨明細表-基因檢測(201904起'!$B:$B,AI$1)*$B9+COUNTIFS('來案暨出貨明細表-基因檢測(201904起'!$P:$P,$A9&amp;"*",'來案暨出貨明細表-基因檢測(201904起'!$B:$B,AI$1,'來案暨出貨明細表-基因檢測(201904起'!$Q:$Q,"紙本&amp;電子")++COUNTIFS('來案暨出貨明細表-基因檢測(201904起'!$P:$P,$A9&amp;"*",'來案暨出貨明細表-基因檢測(201904起'!$B:$B,AI$1,'來案暨出貨明細表-基因檢測(201904起'!$R:$R,"中英")</f>
        <v>0</v>
      </c>
      <c r="AJ9" s="33">
        <f>COUNTIFS('來案暨出貨明細表-基因檢測(201904起'!$P:$P,$A9&amp;"*",'來案暨出貨明細表-基因檢測(201904起'!$B:$B,AJ$1)*$B9+COUNTIFS('來案暨出貨明細表-基因檢測(201904起'!$P:$P,$A9&amp;"*",'來案暨出貨明細表-基因檢測(201904起'!$B:$B,AJ$1,'來案暨出貨明細表-基因檢測(201904起'!$Q:$Q,"紙本&amp;電子")++COUNTIFS('來案暨出貨明細表-基因檢測(201904起'!$P:$P,$A9&amp;"*",'來案暨出貨明細表-基因檢測(201904起'!$B:$B,AJ$1,'來案暨出貨明細表-基因檢測(201904起'!$R:$R,"中英")</f>
        <v>0</v>
      </c>
      <c r="AK9" s="33">
        <f>COUNTIFS('來案暨出貨明細表-基因檢測(201904起'!$P:$P,$A9&amp;"*",'來案暨出貨明細表-基因檢測(201904起'!$B:$B,AK$1)*$B9+COUNTIFS('來案暨出貨明細表-基因檢測(201904起'!$P:$P,$A9&amp;"*",'來案暨出貨明細表-基因檢測(201904起'!$B:$B,AK$1,'來案暨出貨明細表-基因檢測(201904起'!$Q:$Q,"紙本&amp;電子")++COUNTIFS('來案暨出貨明細表-基因檢測(201904起'!$P:$P,$A9&amp;"*",'來案暨出貨明細表-基因檢測(201904起'!$B:$B,AK$1,'來案暨出貨明細表-基因檢測(201904起'!$R:$R,"中英")</f>
        <v>0</v>
      </c>
      <c r="AL9" s="33">
        <f>COUNTIFS('來案暨出貨明細表-基因檢測(201904起'!$P:$P,$A9&amp;"*",'來案暨出貨明細表-基因檢測(201904起'!$B:$B,AL$1)*$B9+COUNTIFS('來案暨出貨明細表-基因檢測(201904起'!$P:$P,$A9&amp;"*",'來案暨出貨明細表-基因檢測(201904起'!$B:$B,AL$1,'來案暨出貨明細表-基因檢測(201904起'!$Q:$Q,"紙本&amp;電子")++COUNTIFS('來案暨出貨明細表-基因檢測(201904起'!$P:$P,$A9&amp;"*",'來案暨出貨明細表-基因檢測(201904起'!$B:$B,AL$1,'來案暨出貨明細表-基因檢測(201904起'!$R:$R,"中英")</f>
        <v>0</v>
      </c>
      <c r="AM9" s="33">
        <f>COUNTIFS('來案暨出貨明細表-基因檢測(201904起'!$P:$P,$A9&amp;"*",'來案暨出貨明細表-基因檢測(201904起'!$B:$B,AM$1)*$B9+COUNTIFS('來案暨出貨明細表-基因檢測(201904起'!$P:$P,$A9&amp;"*",'來案暨出貨明細表-基因檢測(201904起'!$B:$B,AM$1,'來案暨出貨明細表-基因檢測(201904起'!$Q:$Q,"紙本&amp;電子")++COUNTIFS('來案暨出貨明細表-基因檢測(201904起'!$P:$P,$A9&amp;"*",'來案暨出貨明細表-基因檢測(201904起'!$B:$B,AM$1,'來案暨出貨明細表-基因檢測(201904起'!$R:$R,"中英")</f>
        <v>0</v>
      </c>
      <c r="AN9" s="33">
        <f>COUNTIFS('來案暨出貨明細表-基因檢測(201904起'!$P:$P,$A9&amp;"*",'來案暨出貨明細表-基因檢測(201904起'!$B:$B,AN$1)*$B9+COUNTIFS('來案暨出貨明細表-基因檢測(201904起'!$P:$P,$A9&amp;"*",'來案暨出貨明細表-基因檢測(201904起'!$B:$B,AN$1,'來案暨出貨明細表-基因檢測(201904起'!$Q:$Q,"紙本&amp;電子")++COUNTIFS('來案暨出貨明細表-基因檢測(201904起'!$P:$P,$A9&amp;"*",'來案暨出貨明細表-基因檢測(201904起'!$B:$B,AN$1,'來案暨出貨明細表-基因檢測(201904起'!$R:$R,"中英")</f>
        <v>0</v>
      </c>
      <c r="AO9" s="33">
        <f>COUNTIFS('來案暨出貨明細表-基因檢測(201904起'!$P:$P,$A9&amp;"*",'來案暨出貨明細表-基因檢測(201904起'!$B:$B,AO$1)*$B9+COUNTIFS('來案暨出貨明細表-基因檢測(201904起'!$P:$P,$A9&amp;"*",'來案暨出貨明細表-基因檢測(201904起'!$B:$B,AO$1,'來案暨出貨明細表-基因檢測(201904起'!$Q:$Q,"紙本&amp;電子")++COUNTIFS('來案暨出貨明細表-基因檢測(201904起'!$P:$P,$A9&amp;"*",'來案暨出貨明細表-基因檢測(201904起'!$B:$B,AO$1,'來案暨出貨明細表-基因檢測(201904起'!$R:$R,"中英")</f>
        <v>0</v>
      </c>
      <c r="AP9" s="33">
        <f>COUNTIFS('來案暨出貨明細表-基因檢測(201904起'!$P:$P,$A9&amp;"*",'來案暨出貨明細表-基因檢測(201904起'!$B:$B,AP$1)*$B9+COUNTIFS('來案暨出貨明細表-基因檢測(201904起'!$P:$P,$A9&amp;"*",'來案暨出貨明細表-基因檢測(201904起'!$B:$B,AP$1,'來案暨出貨明細表-基因檢測(201904起'!$Q:$Q,"紙本&amp;電子")++COUNTIFS('來案暨出貨明細表-基因檢測(201904起'!$P:$P,$A9&amp;"*",'來案暨出貨明細表-基因檢測(201904起'!$B:$B,AP$1,'來案暨出貨明細表-基因檢測(201904起'!$R:$R,"中英")</f>
        <v>0</v>
      </c>
      <c r="AQ9" s="33">
        <f>COUNTIFS('來案暨出貨明細表-基因檢測(201904起'!$P:$P,$A9&amp;"*",'來案暨出貨明細表-基因檢測(201904起'!$B:$B,AQ$1)*$B9+COUNTIFS('來案暨出貨明細表-基因檢測(201904起'!$P:$P,$A9&amp;"*",'來案暨出貨明細表-基因檢測(201904起'!$B:$B,AQ$1,'來案暨出貨明細表-基因檢測(201904起'!$Q:$Q,"紙本&amp;電子")++COUNTIFS('來案暨出貨明細表-基因檢測(201904起'!$P:$P,$A9&amp;"*",'來案暨出貨明細表-基因檢測(201904起'!$B:$B,AQ$1,'來案暨出貨明細表-基因檢測(201904起'!$R:$R,"中英")</f>
        <v>0</v>
      </c>
      <c r="AR9" s="33">
        <f>COUNTIFS('來案暨出貨明細表-基因檢測(201904起'!$P:$P,$A9&amp;"*",'來案暨出貨明細表-基因檢測(201904起'!$B:$B,AR$1)*$B9+COUNTIFS('來案暨出貨明細表-基因檢測(201904起'!$P:$P,$A9&amp;"*",'來案暨出貨明細表-基因檢測(201904起'!$B:$B,AR$1,'來案暨出貨明細表-基因檢測(201904起'!$Q:$Q,"紙本&amp;電子")++COUNTIFS('來案暨出貨明細表-基因檢測(201904起'!$P:$P,$A9&amp;"*",'來案暨出貨明細表-基因檢測(201904起'!$B:$B,AR$1,'來案暨出貨明細表-基因檢測(201904起'!$R:$R,"中英")</f>
        <v>0</v>
      </c>
      <c r="AS9" s="33">
        <f>COUNTIFS('來案暨出貨明細表-基因檢測(201904起'!$P:$P,$A9&amp;"*",'來案暨出貨明細表-基因檢測(201904起'!$B:$B,AS$1)*$B9+COUNTIFS('來案暨出貨明細表-基因檢測(201904起'!$P:$P,$A9&amp;"*",'來案暨出貨明細表-基因檢測(201904起'!$B:$B,AS$1,'來案暨出貨明細表-基因檢測(201904起'!$Q:$Q,"紙本&amp;電子")++COUNTIFS('來案暨出貨明細表-基因檢測(201904起'!$P:$P,$A9&amp;"*",'來案暨出貨明細表-基因檢測(201904起'!$B:$B,AS$1,'來案暨出貨明細表-基因檢測(201904起'!$R:$R,"中英")</f>
        <v>0</v>
      </c>
      <c r="AT9" s="33">
        <f>COUNTIFS('來案暨出貨明細表-基因檢測(201904起'!$P:$P,$A9&amp;"*",'來案暨出貨明細表-基因檢測(201904起'!$B:$B,AT$1)*$B9+COUNTIFS('來案暨出貨明細表-基因檢測(201904起'!$P:$P,$A9&amp;"*",'來案暨出貨明細表-基因檢測(201904起'!$B:$B,AT$1,'來案暨出貨明細表-基因檢測(201904起'!$Q:$Q,"紙本&amp;電子")++COUNTIFS('來案暨出貨明細表-基因檢測(201904起'!$P:$P,$A9&amp;"*",'來案暨出貨明細表-基因檢測(201904起'!$B:$B,AT$1,'來案暨出貨明細表-基因檢測(201904起'!$R:$R,"中英")</f>
        <v>0</v>
      </c>
      <c r="AU9" s="33">
        <f>COUNTIFS('來案暨出貨明細表-基因檢測(201904起'!$P:$P,$A9&amp;"*",'來案暨出貨明細表-基因檢測(201904起'!$B:$B,AU$1)*$B9+COUNTIFS('來案暨出貨明細表-基因檢測(201904起'!$P:$P,$A9&amp;"*",'來案暨出貨明細表-基因檢測(201904起'!$B:$B,AU$1,'來案暨出貨明細表-基因檢測(201904起'!$Q:$Q,"紙本&amp;電子")++COUNTIFS('來案暨出貨明細表-基因檢測(201904起'!$P:$P,$A9&amp;"*",'來案暨出貨明細表-基因檢測(201904起'!$B:$B,AU$1,'來案暨出貨明細表-基因檢測(201904起'!$R:$R,"中英")</f>
        <v>0</v>
      </c>
      <c r="AV9" s="33">
        <f>COUNTIFS('來案暨出貨明細表-基因檢測(201904起'!$P:$P,$A9&amp;"*",'來案暨出貨明細表-基因檢測(201904起'!$B:$B,AV$1)*$B9+COUNTIFS('來案暨出貨明細表-基因檢測(201904起'!$P:$P,$A9&amp;"*",'來案暨出貨明細表-基因檢測(201904起'!$B:$B,AV$1,'來案暨出貨明細表-基因檢測(201904起'!$Q:$Q,"紙本&amp;電子")++COUNTIFS('來案暨出貨明細表-基因檢測(201904起'!$P:$P,$A9&amp;"*",'來案暨出貨明細表-基因檢測(201904起'!$B:$B,AV$1,'來案暨出貨明細表-基因檢測(201904起'!$R:$R,"中英")</f>
        <v>0</v>
      </c>
      <c r="AW9" s="33">
        <f>COUNTIFS('來案暨出貨明細表-基因檢測(201904起'!$P:$P,$A9&amp;"*",'來案暨出貨明細表-基因檢測(201904起'!$B:$B,AW$1)*$B9+COUNTIFS('來案暨出貨明細表-基因檢測(201904起'!$P:$P,$A9&amp;"*",'來案暨出貨明細表-基因檢測(201904起'!$B:$B,AW$1,'來案暨出貨明細表-基因檢測(201904起'!$Q:$Q,"紙本&amp;電子")++COUNTIFS('來案暨出貨明細表-基因檢測(201904起'!$P:$P,$A9&amp;"*",'來案暨出貨明細表-基因檢測(201904起'!$B:$B,AW$1,'來案暨出貨明細表-基因檢測(201904起'!$R:$R,"中英")</f>
        <v>0</v>
      </c>
      <c r="AX9" s="33">
        <f>COUNTIFS('來案暨出貨明細表-基因檢測(201904起'!$P:$P,$A9&amp;"*",'來案暨出貨明細表-基因檢測(201904起'!$B:$B,AX$1)*$B9+COUNTIFS('來案暨出貨明細表-基因檢測(201904起'!$P:$P,$A9&amp;"*",'來案暨出貨明細表-基因檢測(201904起'!$B:$B,AX$1,'來案暨出貨明細表-基因檢測(201904起'!$Q:$Q,"紙本&amp;電子")++COUNTIFS('來案暨出貨明細表-基因檢測(201904起'!$P:$P,$A9&amp;"*",'來案暨出貨明細表-基因檢測(201904起'!$B:$B,AX$1,'來案暨出貨明細表-基因檢測(201904起'!$R:$R,"中英")</f>
        <v>0</v>
      </c>
      <c r="AY9" s="33">
        <f>COUNTIFS('來案暨出貨明細表-基因檢測(201904起'!$P:$P,$A9&amp;"*",'來案暨出貨明細表-基因檢測(201904起'!$B:$B,AY$1)*$B9+COUNTIFS('來案暨出貨明細表-基因檢測(201904起'!$P:$P,$A9&amp;"*",'來案暨出貨明細表-基因檢測(201904起'!$B:$B,AY$1,'來案暨出貨明細表-基因檢測(201904起'!$Q:$Q,"紙本&amp;電子")++COUNTIFS('來案暨出貨明細表-基因檢測(201904起'!$P:$P,$A9&amp;"*",'來案暨出貨明細表-基因檢測(201904起'!$B:$B,AY$1,'來案暨出貨明細表-基因檢測(201904起'!$R:$R,"中英")</f>
        <v>0</v>
      </c>
      <c r="AZ9" s="33">
        <f>COUNTIFS('來案暨出貨明細表-基因檢測(201904起'!$P:$P,$A9&amp;"*",'來案暨出貨明細表-基因檢測(201904起'!$B:$B,AZ$1)*$B9+COUNTIFS('來案暨出貨明細表-基因檢測(201904起'!$P:$P,$A9&amp;"*",'來案暨出貨明細表-基因檢測(201904起'!$B:$B,AZ$1,'來案暨出貨明細表-基因檢測(201904起'!$Q:$Q,"紙本&amp;電子")++COUNTIFS('來案暨出貨明細表-基因檢測(201904起'!$P:$P,$A9&amp;"*",'來案暨出貨明細表-基因檢測(201904起'!$B:$B,AZ$1,'來案暨出貨明細表-基因檢測(201904起'!$R:$R,"中英")</f>
        <v>0</v>
      </c>
      <c r="BA9" s="33">
        <f>COUNTIFS('來案暨出貨明細表-基因檢測(201904起'!$P:$P,$A9&amp;"*",'來案暨出貨明細表-基因檢測(201904起'!$B:$B,BA$1)*$B9+COUNTIFS('來案暨出貨明細表-基因檢測(201904起'!$P:$P,$A9&amp;"*",'來案暨出貨明細表-基因檢測(201904起'!$B:$B,BA$1,'來案暨出貨明細表-基因檢測(201904起'!$Q:$Q,"紙本&amp;電子")++COUNTIFS('來案暨出貨明細表-基因檢測(201904起'!$P:$P,$A9&amp;"*",'來案暨出貨明細表-基因檢測(201904起'!$B:$B,BA$1,'來案暨出貨明細表-基因檢測(201904起'!$R:$R,"中英")</f>
        <v>0</v>
      </c>
      <c r="BB9" s="33">
        <f>COUNTIFS('來案暨出貨明細表-基因檢測(201904起'!$P:$P,$A9&amp;"*",'來案暨出貨明細表-基因檢測(201904起'!$B:$B,BB$1)*$B9+COUNTIFS('來案暨出貨明細表-基因檢測(201904起'!$P:$P,$A9&amp;"*",'來案暨出貨明細表-基因檢測(201904起'!$B:$B,BB$1,'來案暨出貨明細表-基因檢測(201904起'!$Q:$Q,"紙本&amp;電子")++COUNTIFS('來案暨出貨明細表-基因檢測(201904起'!$P:$P,$A9&amp;"*",'來案暨出貨明細表-基因檢測(201904起'!$B:$B,BB$1,'來案暨出貨明細表-基因檢測(201904起'!$R:$R,"中英")</f>
        <v>0</v>
      </c>
      <c r="BC9" s="33">
        <f>COUNTIFS('來案暨出貨明細表-基因檢測(201904起'!$P:$P,$A9&amp;"*",'來案暨出貨明細表-基因檢測(201904起'!$B:$B,BC$1)*$B9+COUNTIFS('來案暨出貨明細表-基因檢測(201904起'!$P:$P,$A9&amp;"*",'來案暨出貨明細表-基因檢測(201904起'!$B:$B,BC$1,'來案暨出貨明細表-基因檢測(201904起'!$Q:$Q,"紙本&amp;電子")++COUNTIFS('來案暨出貨明細表-基因檢測(201904起'!$P:$P,$A9&amp;"*",'來案暨出貨明細表-基因檢測(201904起'!$B:$B,BC$1,'來案暨出貨明細表-基因檢測(201904起'!$R:$R,"中英")</f>
        <v>0</v>
      </c>
      <c r="BD9" s="33">
        <f>COUNTIFS('來案暨出貨明細表-基因檢測(201904起'!$P:$P,$A9&amp;"*",'來案暨出貨明細表-基因檢測(201904起'!$B:$B,BD$1)*$B9+COUNTIFS('來案暨出貨明細表-基因檢測(201904起'!$P:$P,$A9&amp;"*",'來案暨出貨明細表-基因檢測(201904起'!$B:$B,BD$1,'來案暨出貨明細表-基因檢測(201904起'!$Q:$Q,"紙本&amp;電子")++COUNTIFS('來案暨出貨明細表-基因檢測(201904起'!$P:$P,$A9&amp;"*",'來案暨出貨明細表-基因檢測(201904起'!$B:$B,BD$1,'來案暨出貨明細表-基因檢測(201904起'!$R:$R,"中英")</f>
        <v>0</v>
      </c>
      <c r="BE9" s="33">
        <f>COUNTIFS('來案暨出貨明細表-基因檢測(201904起'!$P:$P,$A9&amp;"*",'來案暨出貨明細表-基因檢測(201904起'!$B:$B,BE$1)*$B9+COUNTIFS('來案暨出貨明細表-基因檢測(201904起'!$P:$P,$A9&amp;"*",'來案暨出貨明細表-基因檢測(201904起'!$B:$B,BE$1,'來案暨出貨明細表-基因檢測(201904起'!$Q:$Q,"紙本&amp;電子")++COUNTIFS('來案暨出貨明細表-基因檢測(201904起'!$P:$P,$A9&amp;"*",'來案暨出貨明細表-基因檢測(201904起'!$B:$B,BE$1,'來案暨出貨明細表-基因檢測(201904起'!$R:$R,"中英")</f>
        <v>0</v>
      </c>
      <c r="BF9" s="33">
        <f>COUNTIFS('來案暨出貨明細表-基因檢測(201904起'!$P:$P,$A9&amp;"*",'來案暨出貨明細表-基因檢測(201904起'!$B:$B,BF$1)*$B9+COUNTIFS('來案暨出貨明細表-基因檢測(201904起'!$P:$P,$A9&amp;"*",'來案暨出貨明細表-基因檢測(201904起'!$B:$B,BF$1,'來案暨出貨明細表-基因檢測(201904起'!$Q:$Q,"紙本&amp;電子")++COUNTIFS('來案暨出貨明細表-基因檢測(201904起'!$P:$P,$A9&amp;"*",'來案暨出貨明細表-基因檢測(201904起'!$B:$B,BF$1,'來案暨出貨明細表-基因檢測(201904起'!$R:$R,"中英")</f>
        <v>0</v>
      </c>
      <c r="BG9" s="33">
        <f>COUNTIFS('來案暨出貨明細表-基因檢測(201904起'!$P:$P,$A9&amp;"*",'來案暨出貨明細表-基因檢測(201904起'!$B:$B,BG$1)*$B9+COUNTIFS('來案暨出貨明細表-基因檢測(201904起'!$P:$P,$A9&amp;"*",'來案暨出貨明細表-基因檢測(201904起'!$B:$B,BG$1,'來案暨出貨明細表-基因檢測(201904起'!$Q:$Q,"紙本&amp;電子")++COUNTIFS('來案暨出貨明細表-基因檢測(201904起'!$P:$P,$A9&amp;"*",'來案暨出貨明細表-基因檢測(201904起'!$B:$B,BG$1,'來案暨出貨明細表-基因檢測(201904起'!$R:$R,"中英")</f>
        <v>0</v>
      </c>
      <c r="BH9" s="33">
        <f>COUNTIFS('來案暨出貨明細表-基因檢測(201904起'!$P:$P,$A9&amp;"*",'來案暨出貨明細表-基因檢測(201904起'!$B:$B,BH$1)*$B9+COUNTIFS('來案暨出貨明細表-基因檢測(201904起'!$P:$P,$A9&amp;"*",'來案暨出貨明細表-基因檢測(201904起'!$B:$B,BH$1,'來案暨出貨明細表-基因檢測(201904起'!$Q:$Q,"紙本&amp;電子")++COUNTIFS('來案暨出貨明細表-基因檢測(201904起'!$P:$P,$A9&amp;"*",'來案暨出貨明細表-基因檢測(201904起'!$B:$B,BH$1,'來案暨出貨明細表-基因檢測(201904起'!$R:$R,"中英")</f>
        <v>0</v>
      </c>
      <c r="BI9" s="33">
        <f>COUNTIFS('來案暨出貨明細表-基因檢測(201904起'!$P:$P,$A9&amp;"*",'來案暨出貨明細表-基因檢測(201904起'!$B:$B,BI$1)*$B9+COUNTIFS('來案暨出貨明細表-基因檢測(201904起'!$P:$P,$A9&amp;"*",'來案暨出貨明細表-基因檢測(201904起'!$B:$B,BI$1,'來案暨出貨明細表-基因檢測(201904起'!$Q:$Q,"紙本&amp;電子")++COUNTIFS('來案暨出貨明細表-基因檢測(201904起'!$P:$P,$A9&amp;"*",'來案暨出貨明細表-基因檢測(201904起'!$B:$B,BI$1,'來案暨出貨明細表-基因檢測(201904起'!$R:$R,"中英")</f>
        <v>0</v>
      </c>
      <c r="BJ9" s="33">
        <f>COUNTIFS('來案暨出貨明細表-基因檢測(201904起'!$P:$P,$A9&amp;"*",'來案暨出貨明細表-基因檢測(201904起'!$B:$B,BJ$1)*$B9+COUNTIFS('來案暨出貨明細表-基因檢測(201904起'!$P:$P,$A9&amp;"*",'來案暨出貨明細表-基因檢測(201904起'!$B:$B,BJ$1,'來案暨出貨明細表-基因檢測(201904起'!$Q:$Q,"紙本&amp;電子")++COUNTIFS('來案暨出貨明細表-基因檢測(201904起'!$P:$P,$A9&amp;"*",'來案暨出貨明細表-基因檢測(201904起'!$B:$B,BJ$1,'來案暨出貨明細表-基因檢測(201904起'!$R:$R,"中英")</f>
        <v>0</v>
      </c>
      <c r="BK9" s="33">
        <f>COUNTIFS('來案暨出貨明細表-基因檢測(201904起'!$P:$P,$A9&amp;"*",'來案暨出貨明細表-基因檢測(201904起'!$B:$B,BK$1)*$B9+COUNTIFS('來案暨出貨明細表-基因檢測(201904起'!$P:$P,$A9&amp;"*",'來案暨出貨明細表-基因檢測(201904起'!$B:$B,BK$1,'來案暨出貨明細表-基因檢測(201904起'!$Q:$Q,"紙本&amp;電子")++COUNTIFS('來案暨出貨明細表-基因檢測(201904起'!$P:$P,$A9&amp;"*",'來案暨出貨明細表-基因檢測(201904起'!$B:$B,BK$1,'來案暨出貨明細表-基因檢測(201904起'!$R:$R,"中英")</f>
        <v>0</v>
      </c>
      <c r="BL9" s="33">
        <f>COUNTIFS('來案暨出貨明細表-基因檢測(201904起'!$P:$P,$A9&amp;"*",'來案暨出貨明細表-基因檢測(201904起'!$B:$B,BL$1)*$B9+COUNTIFS('來案暨出貨明細表-基因檢測(201904起'!$P:$P,$A9&amp;"*",'來案暨出貨明細表-基因檢測(201904起'!$B:$B,BL$1,'來案暨出貨明細表-基因檢測(201904起'!$Q:$Q,"紙本&amp;電子")++COUNTIFS('來案暨出貨明細表-基因檢測(201904起'!$P:$P,$A9&amp;"*",'來案暨出貨明細表-基因檢測(201904起'!$B:$B,BL$1,'來案暨出貨明細表-基因檢測(201904起'!$R:$R,"中英")</f>
        <v>0</v>
      </c>
      <c r="BM9" s="33">
        <f>COUNTIFS('來案暨出貨明細表-基因檢測(201904起'!$P:$P,$A9&amp;"*",'來案暨出貨明細表-基因檢測(201904起'!$B:$B,BM$1)*$B9+COUNTIFS('來案暨出貨明細表-基因檢測(201904起'!$P:$P,$A9&amp;"*",'來案暨出貨明細表-基因檢測(201904起'!$B:$B,BM$1,'來案暨出貨明細表-基因檢測(201904起'!$Q:$Q,"紙本&amp;電子")++COUNTIFS('來案暨出貨明細表-基因檢測(201904起'!$P:$P,$A9&amp;"*",'來案暨出貨明細表-基因檢測(201904起'!$B:$B,BM$1,'來案暨出貨明細表-基因檢測(201904起'!$R:$R,"中英")</f>
        <v>0</v>
      </c>
    </row>
    <row r="10" spans="1:65" ht="15" customHeight="1">
      <c r="A10" s="9" t="s">
        <v>3644</v>
      </c>
      <c r="B10" s="9">
        <v>1</v>
      </c>
      <c r="C10" s="13" t="s">
        <v>3645</v>
      </c>
      <c r="D10" s="142" t="s">
        <v>3648</v>
      </c>
      <c r="E10" s="33">
        <f>COUNTIFS('來案暨出貨明細表-基因檢測(201904起'!$P:$P,$A10&amp;"*",'來案暨出貨明細表-基因檢測(201904起'!$B:$B,E$1)*$B10+COUNTIFS('來案暨出貨明細表-基因檢測(201904起'!$P:$P,$A10&amp;"*",'來案暨出貨明細表-基因檢測(201904起'!$B:$B,E$1,'來案暨出貨明細表-基因檢測(201904起'!$Q:$Q,"紙本&amp;電子")++COUNTIFS('來案暨出貨明細表-基因檢測(201904起'!$P:$P,$A10&amp;"*",'來案暨出貨明細表-基因檢測(201904起'!$B:$B,E$1,'來案暨出貨明細表-基因檢測(201904起'!$R:$R,"中英")</f>
        <v>0</v>
      </c>
      <c r="F10" s="33">
        <f>COUNTIFS('來案暨出貨明細表-基因檢測(201904起'!$P:$P,$A10&amp;"*",'來案暨出貨明細表-基因檢測(201904起'!$B:$B,F$1)*$B10+COUNTIFS('來案暨出貨明細表-基因檢測(201904起'!$P:$P,$A10&amp;"*",'來案暨出貨明細表-基因檢測(201904起'!$B:$B,F$1,'來案暨出貨明細表-基因檢測(201904起'!$Q:$Q,"紙本&amp;電子")++COUNTIFS('來案暨出貨明細表-基因檢測(201904起'!$P:$P,$A10&amp;"*",'來案暨出貨明細表-基因檢測(201904起'!$B:$B,F$1,'來案暨出貨明細表-基因檢測(201904起'!$R:$R,"中英")</f>
        <v>0</v>
      </c>
      <c r="G10" s="33">
        <f>COUNTIFS('來案暨出貨明細表-基因檢測(201904起'!$P:$P,$A10&amp;"*",'來案暨出貨明細表-基因檢測(201904起'!$B:$B,G$1)*$B10+COUNTIFS('來案暨出貨明細表-基因檢測(201904起'!$P:$P,$A10&amp;"*",'來案暨出貨明細表-基因檢測(201904起'!$B:$B,G$1,'來案暨出貨明細表-基因檢測(201904起'!$Q:$Q,"紙本&amp;電子")++COUNTIFS('來案暨出貨明細表-基因檢測(201904起'!$P:$P,$A10&amp;"*",'來案暨出貨明細表-基因檢測(201904起'!$B:$B,G$1,'來案暨出貨明細表-基因檢測(201904起'!$R:$R,"中英")</f>
        <v>0</v>
      </c>
      <c r="H10" s="33">
        <f>COUNTIFS('來案暨出貨明細表-基因檢測(201904起'!$P:$P,$A10&amp;"*",'來案暨出貨明細表-基因檢測(201904起'!$B:$B,H$1)*$B10+COUNTIFS('來案暨出貨明細表-基因檢測(201904起'!$P:$P,$A10&amp;"*",'來案暨出貨明細表-基因檢測(201904起'!$B:$B,H$1,'來案暨出貨明細表-基因檢測(201904起'!$Q:$Q,"紙本&amp;電子")++COUNTIFS('來案暨出貨明細表-基因檢測(201904起'!$P:$P,$A10&amp;"*",'來案暨出貨明細表-基因檢測(201904起'!$B:$B,H$1,'來案暨出貨明細表-基因檢測(201904起'!$R:$R,"中英")</f>
        <v>0</v>
      </c>
      <c r="I10" s="33">
        <f>COUNTIFS('來案暨出貨明細表-基因檢測(201904起'!$P:$P,$A10&amp;"*",'來案暨出貨明細表-基因檢測(201904起'!$B:$B,I$1)*$B10+COUNTIFS('來案暨出貨明細表-基因檢測(201904起'!$P:$P,$A10&amp;"*",'來案暨出貨明細表-基因檢測(201904起'!$B:$B,I$1,'來案暨出貨明細表-基因檢測(201904起'!$Q:$Q,"紙本&amp;電子")++COUNTIFS('來案暨出貨明細表-基因檢測(201904起'!$P:$P,$A10&amp;"*",'來案暨出貨明細表-基因檢測(201904起'!$B:$B,I$1,'來案暨出貨明細表-基因檢測(201904起'!$R:$R,"中英")</f>
        <v>0</v>
      </c>
      <c r="J10" s="33">
        <f>COUNTIFS('來案暨出貨明細表-基因檢測(201904起'!$P:$P,$A10&amp;"*",'來案暨出貨明細表-基因檢測(201904起'!$B:$B,J$1)*$B10+COUNTIFS('來案暨出貨明細表-基因檢測(201904起'!$P:$P,$A10&amp;"*",'來案暨出貨明細表-基因檢測(201904起'!$B:$B,J$1,'來案暨出貨明細表-基因檢測(201904起'!$Q:$Q,"紙本&amp;電子")++COUNTIFS('來案暨出貨明細表-基因檢測(201904起'!$P:$P,$A10&amp;"*",'來案暨出貨明細表-基因檢測(201904起'!$B:$B,J$1,'來案暨出貨明細表-基因檢測(201904起'!$R:$R,"中英")</f>
        <v>0</v>
      </c>
      <c r="K10" s="33">
        <f>COUNTIFS('來案暨出貨明細表-基因檢測(201904起'!$P:$P,$A10&amp;"*",'來案暨出貨明細表-基因檢測(201904起'!$B:$B,K$1)*$B10+COUNTIFS('來案暨出貨明細表-基因檢測(201904起'!$P:$P,$A10&amp;"*",'來案暨出貨明細表-基因檢測(201904起'!$B:$B,K$1,'來案暨出貨明細表-基因檢測(201904起'!$Q:$Q,"紙本&amp;電子")++COUNTIFS('來案暨出貨明細表-基因檢測(201904起'!$P:$P,$A10&amp;"*",'來案暨出貨明細表-基因檢測(201904起'!$B:$B,K$1,'來案暨出貨明細表-基因檢測(201904起'!$R:$R,"中英")</f>
        <v>0</v>
      </c>
      <c r="L10" s="33">
        <f>COUNTIFS('來案暨出貨明細表-基因檢測(201904起'!$P:$P,$A10&amp;"*",'來案暨出貨明細表-基因檢測(201904起'!$B:$B,L$1)*$B10+COUNTIFS('來案暨出貨明細表-基因檢測(201904起'!$P:$P,$A10&amp;"*",'來案暨出貨明細表-基因檢測(201904起'!$B:$B,L$1,'來案暨出貨明細表-基因檢測(201904起'!$Q:$Q,"紙本&amp;電子")++COUNTIFS('來案暨出貨明細表-基因檢測(201904起'!$P:$P,$A10&amp;"*",'來案暨出貨明細表-基因檢測(201904起'!$B:$B,L$1,'來案暨出貨明細表-基因檢測(201904起'!$R:$R,"中英")</f>
        <v>0</v>
      </c>
      <c r="M10" s="33">
        <f>COUNTIFS('來案暨出貨明細表-基因檢測(201904起'!$P:$P,$A10&amp;"*",'來案暨出貨明細表-基因檢測(201904起'!$B:$B,M$1)*$B10+COUNTIFS('來案暨出貨明細表-基因檢測(201904起'!$P:$P,$A10&amp;"*",'來案暨出貨明細表-基因檢測(201904起'!$B:$B,M$1,'來案暨出貨明細表-基因檢測(201904起'!$Q:$Q,"紙本&amp;電子")++COUNTIFS('來案暨出貨明細表-基因檢測(201904起'!$P:$P,$A10&amp;"*",'來案暨出貨明細表-基因檢測(201904起'!$B:$B,M$1,'來案暨出貨明細表-基因檢測(201904起'!$R:$R,"中英")</f>
        <v>0</v>
      </c>
      <c r="N10" s="33">
        <f>COUNTIFS('來案暨出貨明細表-基因檢測(201904起'!$P:$P,$A10&amp;"*",'來案暨出貨明細表-基因檢測(201904起'!$B:$B,N$1)*$B10+COUNTIFS('來案暨出貨明細表-基因檢測(201904起'!$P:$P,$A10&amp;"*",'來案暨出貨明細表-基因檢測(201904起'!$B:$B,N$1,'來案暨出貨明細表-基因檢測(201904起'!$Q:$Q,"紙本&amp;電子")++COUNTIFS('來案暨出貨明細表-基因檢測(201904起'!$P:$P,$A10&amp;"*",'來案暨出貨明細表-基因檢測(201904起'!$B:$B,N$1,'來案暨出貨明細表-基因檢測(201904起'!$R:$R,"中英")</f>
        <v>0</v>
      </c>
      <c r="O10" s="33">
        <f>COUNTIFS('來案暨出貨明細表-基因檢測(201904起'!$P:$P,$A10&amp;"*",'來案暨出貨明細表-基因檢測(201904起'!$B:$B,O$1)*$B10+COUNTIFS('來案暨出貨明細表-基因檢測(201904起'!$P:$P,$A10&amp;"*",'來案暨出貨明細表-基因檢測(201904起'!$B:$B,O$1,'來案暨出貨明細表-基因檢測(201904起'!$Q:$Q,"紙本&amp;電子")++COUNTIFS('來案暨出貨明細表-基因檢測(201904起'!$P:$P,$A10&amp;"*",'來案暨出貨明細表-基因檢測(201904起'!$B:$B,O$1,'來案暨出貨明細表-基因檢測(201904起'!$R:$R,"中英")</f>
        <v>0</v>
      </c>
      <c r="P10" s="33">
        <f>COUNTIFS('來案暨出貨明細表-基因檢測(201904起'!$P:$P,$A10&amp;"*",'來案暨出貨明細表-基因檢測(201904起'!$B:$B,P$1)*$B10+COUNTIFS('來案暨出貨明細表-基因檢測(201904起'!$P:$P,$A10&amp;"*",'來案暨出貨明細表-基因檢測(201904起'!$B:$B,P$1,'來案暨出貨明細表-基因檢測(201904起'!$Q:$Q,"紙本&amp;電子")++COUNTIFS('來案暨出貨明細表-基因檢測(201904起'!$P:$P,$A10&amp;"*",'來案暨出貨明細表-基因檢測(201904起'!$B:$B,P$1,'來案暨出貨明細表-基因檢測(201904起'!$R:$R,"中英")</f>
        <v>0</v>
      </c>
      <c r="Q10" s="33">
        <f>COUNTIFS('來案暨出貨明細表-基因檢測(201904起'!$P:$P,$A10&amp;"*",'來案暨出貨明細表-基因檢測(201904起'!$B:$B,Q$1)*$B10+COUNTIFS('來案暨出貨明細表-基因檢測(201904起'!$P:$P,$A10&amp;"*",'來案暨出貨明細表-基因檢測(201904起'!$B:$B,Q$1,'來案暨出貨明細表-基因檢測(201904起'!$Q:$Q,"紙本&amp;電子")++COUNTIFS('來案暨出貨明細表-基因檢測(201904起'!$P:$P,$A10&amp;"*",'來案暨出貨明細表-基因檢測(201904起'!$B:$B,Q$1,'來案暨出貨明細表-基因檢測(201904起'!$R:$R,"中英")</f>
        <v>0</v>
      </c>
      <c r="R10" s="33">
        <f>COUNTIFS('來案暨出貨明細表-基因檢測(201904起'!$P:$P,$A10&amp;"*",'來案暨出貨明細表-基因檢測(201904起'!$B:$B,R$1)*$B10+COUNTIFS('來案暨出貨明細表-基因檢測(201904起'!$P:$P,$A10&amp;"*",'來案暨出貨明細表-基因檢測(201904起'!$B:$B,R$1,'來案暨出貨明細表-基因檢測(201904起'!$Q:$Q,"紙本&amp;電子")++COUNTIFS('來案暨出貨明細表-基因檢測(201904起'!$P:$P,$A10&amp;"*",'來案暨出貨明細表-基因檢測(201904起'!$B:$B,R$1,'來案暨出貨明細表-基因檢測(201904起'!$R:$R,"中英")</f>
        <v>0</v>
      </c>
      <c r="S10" s="33">
        <f>COUNTIFS('來案暨出貨明細表-基因檢測(201904起'!$P:$P,$A10&amp;"*",'來案暨出貨明細表-基因檢測(201904起'!$B:$B,S$1)*$B10+COUNTIFS('來案暨出貨明細表-基因檢測(201904起'!$P:$P,$A10&amp;"*",'來案暨出貨明細表-基因檢測(201904起'!$B:$B,S$1,'來案暨出貨明細表-基因檢測(201904起'!$Q:$Q,"紙本&amp;電子")++COUNTIFS('來案暨出貨明細表-基因檢測(201904起'!$P:$P,$A10&amp;"*",'來案暨出貨明細表-基因檢測(201904起'!$B:$B,S$1,'來案暨出貨明細表-基因檢測(201904起'!$R:$R,"中英")</f>
        <v>0</v>
      </c>
      <c r="T10" s="33">
        <f>COUNTIFS('來案暨出貨明細表-基因檢測(201904起'!$P:$P,$A10&amp;"*",'來案暨出貨明細表-基因檢測(201904起'!$B:$B,T$1)*$B10+COUNTIFS('來案暨出貨明細表-基因檢測(201904起'!$P:$P,$A10&amp;"*",'來案暨出貨明細表-基因檢測(201904起'!$B:$B,T$1,'來案暨出貨明細表-基因檢測(201904起'!$Q:$Q,"紙本&amp;電子")++COUNTIFS('來案暨出貨明細表-基因檢測(201904起'!$P:$P,$A10&amp;"*",'來案暨出貨明細表-基因檢測(201904起'!$B:$B,T$1,'來案暨出貨明細表-基因檢測(201904起'!$R:$R,"中英")</f>
        <v>2</v>
      </c>
      <c r="U10" s="33">
        <f>COUNTIFS('來案暨出貨明細表-基因檢測(201904起'!$P:$P,$A10&amp;"*",'來案暨出貨明細表-基因檢測(201904起'!$B:$B,U$1)*$B10+COUNTIFS('來案暨出貨明細表-基因檢測(201904起'!$P:$P,$A10&amp;"*",'來案暨出貨明細表-基因檢測(201904起'!$B:$B,U$1,'來案暨出貨明細表-基因檢測(201904起'!$Q:$Q,"紙本&amp;電子")++COUNTIFS('來案暨出貨明細表-基因檢測(201904起'!$P:$P,$A10&amp;"*",'來案暨出貨明細表-基因檢測(201904起'!$B:$B,U$1,'來案暨出貨明細表-基因檢測(201904起'!$R:$R,"中英")</f>
        <v>0</v>
      </c>
      <c r="V10" s="33">
        <f>COUNTIFS('來案暨出貨明細表-基因檢測(201904起'!$P:$P,$A10&amp;"*",'來案暨出貨明細表-基因檢測(201904起'!$B:$B,V$1)*$B10+COUNTIFS('來案暨出貨明細表-基因檢測(201904起'!$P:$P,$A10&amp;"*",'來案暨出貨明細表-基因檢測(201904起'!$B:$B,V$1,'來案暨出貨明細表-基因檢測(201904起'!$Q:$Q,"紙本&amp;電子")++COUNTIFS('來案暨出貨明細表-基因檢測(201904起'!$P:$P,$A10&amp;"*",'來案暨出貨明細表-基因檢測(201904起'!$B:$B,V$1,'來案暨出貨明細表-基因檢測(201904起'!$R:$R,"中英")</f>
        <v>0</v>
      </c>
      <c r="W10" s="33">
        <f>COUNTIFS('來案暨出貨明細表-基因檢測(201904起'!$P:$P,$A10&amp;"*",'來案暨出貨明細表-基因檢測(201904起'!$B:$B,W$1)*$B10+COUNTIFS('來案暨出貨明細表-基因檢測(201904起'!$P:$P,$A10&amp;"*",'來案暨出貨明細表-基因檢測(201904起'!$B:$B,W$1,'來案暨出貨明細表-基因檢測(201904起'!$Q:$Q,"紙本&amp;電子")++COUNTIFS('來案暨出貨明細表-基因檢測(201904起'!$P:$P,$A10&amp;"*",'來案暨出貨明細表-基因檢測(201904起'!$B:$B,W$1,'來案暨出貨明細表-基因檢測(201904起'!$R:$R,"中英")</f>
        <v>0</v>
      </c>
      <c r="X10" s="33">
        <f>COUNTIFS('來案暨出貨明細表-基因檢測(201904起'!$P:$P,$A10&amp;"*",'來案暨出貨明細表-基因檢測(201904起'!$B:$B,X$1)*$B10+COUNTIFS('來案暨出貨明細表-基因檢測(201904起'!$P:$P,$A10&amp;"*",'來案暨出貨明細表-基因檢測(201904起'!$B:$B,X$1,'來案暨出貨明細表-基因檢測(201904起'!$Q:$Q,"紙本&amp;電子")++COUNTIFS('來案暨出貨明細表-基因檢測(201904起'!$P:$P,$A10&amp;"*",'來案暨出貨明細表-基因檢測(201904起'!$B:$B,X$1,'來案暨出貨明細表-基因檢測(201904起'!$R:$R,"中英")</f>
        <v>0</v>
      </c>
      <c r="Y10" s="33">
        <f>COUNTIFS('來案暨出貨明細表-基因檢測(201904起'!$P:$P,$A10&amp;"*",'來案暨出貨明細表-基因檢測(201904起'!$B:$B,Y$1)*$B10+COUNTIFS('來案暨出貨明細表-基因檢測(201904起'!$P:$P,$A10&amp;"*",'來案暨出貨明細表-基因檢測(201904起'!$B:$B,Y$1,'來案暨出貨明細表-基因檢測(201904起'!$Q:$Q,"紙本&amp;電子")++COUNTIFS('來案暨出貨明細表-基因檢測(201904起'!$P:$P,$A10&amp;"*",'來案暨出貨明細表-基因檢測(201904起'!$B:$B,Y$1,'來案暨出貨明細表-基因檢測(201904起'!$R:$R,"中英")</f>
        <v>0</v>
      </c>
      <c r="Z10" s="33">
        <f>COUNTIFS('來案暨出貨明細表-基因檢測(201904起'!$P:$P,$A10&amp;"*",'來案暨出貨明細表-基因檢測(201904起'!$B:$B,Z$1)*$B10+COUNTIFS('來案暨出貨明細表-基因檢測(201904起'!$P:$P,$A10&amp;"*",'來案暨出貨明細表-基因檢測(201904起'!$B:$B,Z$1,'來案暨出貨明細表-基因檢測(201904起'!$Q:$Q,"紙本&amp;電子")++COUNTIFS('來案暨出貨明細表-基因檢測(201904起'!$P:$P,$A10&amp;"*",'來案暨出貨明細表-基因檢測(201904起'!$B:$B,Z$1,'來案暨出貨明細表-基因檢測(201904起'!$R:$R,"中英")</f>
        <v>0</v>
      </c>
      <c r="AA10" s="33">
        <f>COUNTIFS('來案暨出貨明細表-基因檢測(201904起'!$P:$P,$A10&amp;"*",'來案暨出貨明細表-基因檢測(201904起'!$B:$B,AA$1)*$B10+COUNTIFS('來案暨出貨明細表-基因檢測(201904起'!$P:$P,$A10&amp;"*",'來案暨出貨明細表-基因檢測(201904起'!$B:$B,AA$1,'來案暨出貨明細表-基因檢測(201904起'!$Q:$Q,"紙本&amp;電子")++COUNTIFS('來案暨出貨明細表-基因檢測(201904起'!$P:$P,$A10&amp;"*",'來案暨出貨明細表-基因檢測(201904起'!$B:$B,AA$1,'來案暨出貨明細表-基因檢測(201904起'!$R:$R,"中英")</f>
        <v>0</v>
      </c>
      <c r="AB10" s="33">
        <f>COUNTIFS('來案暨出貨明細表-基因檢測(201904起'!$P:$P,$A10&amp;"*",'來案暨出貨明細表-基因檢測(201904起'!$B:$B,AB$1)*$B10+COUNTIFS('來案暨出貨明細表-基因檢測(201904起'!$P:$P,$A10&amp;"*",'來案暨出貨明細表-基因檢測(201904起'!$B:$B,AB$1,'來案暨出貨明細表-基因檢測(201904起'!$Q:$Q,"紙本&amp;電子")++COUNTIFS('來案暨出貨明細表-基因檢測(201904起'!$P:$P,$A10&amp;"*",'來案暨出貨明細表-基因檢測(201904起'!$B:$B,AB$1,'來案暨出貨明細表-基因檢測(201904起'!$R:$R,"中英")</f>
        <v>6</v>
      </c>
      <c r="AC10" s="33">
        <f>COUNTIFS('來案暨出貨明細表-基因檢測(201904起'!$P:$P,$A10&amp;"*",'來案暨出貨明細表-基因檢測(201904起'!$B:$B,AC$1)*$B10+COUNTIFS('來案暨出貨明細表-基因檢測(201904起'!$P:$P,$A10&amp;"*",'來案暨出貨明細表-基因檢測(201904起'!$B:$B,AC$1,'來案暨出貨明細表-基因檢測(201904起'!$Q:$Q,"紙本&amp;電子")++COUNTIFS('來案暨出貨明細表-基因檢測(201904起'!$P:$P,$A10&amp;"*",'來案暨出貨明細表-基因檢測(201904起'!$B:$B,AC$1,'來案暨出貨明細表-基因檢測(201904起'!$R:$R,"中英")</f>
        <v>0</v>
      </c>
      <c r="AD10" s="33">
        <f>COUNTIFS('來案暨出貨明細表-基因檢測(201904起'!$P:$P,$A10&amp;"*",'來案暨出貨明細表-基因檢測(201904起'!$B:$B,AD$1)*$B10+COUNTIFS('來案暨出貨明細表-基因檢測(201904起'!$P:$P,$A10&amp;"*",'來案暨出貨明細表-基因檢測(201904起'!$B:$B,AD$1,'來案暨出貨明細表-基因檢測(201904起'!$Q:$Q,"紙本&amp;電子")++COUNTIFS('來案暨出貨明細表-基因檢測(201904起'!$P:$P,$A10&amp;"*",'來案暨出貨明細表-基因檢測(201904起'!$B:$B,AD$1,'來案暨出貨明細表-基因檢測(201904起'!$R:$R,"中英")</f>
        <v>0</v>
      </c>
      <c r="AE10" s="33">
        <f>COUNTIFS('來案暨出貨明細表-基因檢測(201904起'!$P:$P,$A10&amp;"*",'來案暨出貨明細表-基因檢測(201904起'!$B:$B,AE$1)*$B10+COUNTIFS('來案暨出貨明細表-基因檢測(201904起'!$P:$P,$A10&amp;"*",'來案暨出貨明細表-基因檢測(201904起'!$B:$B,AE$1,'來案暨出貨明細表-基因檢測(201904起'!$Q:$Q,"紙本&amp;電子")++COUNTIFS('來案暨出貨明細表-基因檢測(201904起'!$P:$P,$A10&amp;"*",'來案暨出貨明細表-基因檢測(201904起'!$B:$B,AE$1,'來案暨出貨明細表-基因檢測(201904起'!$R:$R,"中英")</f>
        <v>0</v>
      </c>
      <c r="AF10" s="33">
        <f>COUNTIFS('來案暨出貨明細表-基因檢測(201904起'!$P:$P,$A10&amp;"*",'來案暨出貨明細表-基因檢測(201904起'!$B:$B,AF$1)*$B10+COUNTIFS('來案暨出貨明細表-基因檢測(201904起'!$P:$P,$A10&amp;"*",'來案暨出貨明細表-基因檢測(201904起'!$B:$B,AF$1,'來案暨出貨明細表-基因檢測(201904起'!$Q:$Q,"紙本&amp;電子")++COUNTIFS('來案暨出貨明細表-基因檢測(201904起'!$P:$P,$A10&amp;"*",'來案暨出貨明細表-基因檢測(201904起'!$B:$B,AF$1,'來案暨出貨明細表-基因檢測(201904起'!$R:$R,"中英")</f>
        <v>1</v>
      </c>
      <c r="AG10" s="33">
        <f>COUNTIFS('來案暨出貨明細表-基因檢測(201904起'!$P:$P,$A10&amp;"*",'來案暨出貨明細表-基因檢測(201904起'!$B:$B,AG$1)*$B10+COUNTIFS('來案暨出貨明細表-基因檢測(201904起'!$P:$P,$A10&amp;"*",'來案暨出貨明細表-基因檢測(201904起'!$B:$B,AG$1,'來案暨出貨明細表-基因檢測(201904起'!$Q:$Q,"紙本&amp;電子")++COUNTIFS('來案暨出貨明細表-基因檢測(201904起'!$P:$P,$A10&amp;"*",'來案暨出貨明細表-基因檢測(201904起'!$B:$B,AG$1,'來案暨出貨明細表-基因檢測(201904起'!$R:$R,"中英")</f>
        <v>0</v>
      </c>
      <c r="AH10" s="33">
        <f>COUNTIFS('來案暨出貨明細表-基因檢測(201904起'!$P:$P,$A10&amp;"*",'來案暨出貨明細表-基因檢測(201904起'!$B:$B,AH$1)*$B10+COUNTIFS('來案暨出貨明細表-基因檢測(201904起'!$P:$P,$A10&amp;"*",'來案暨出貨明細表-基因檢測(201904起'!$B:$B,AH$1,'來案暨出貨明細表-基因檢測(201904起'!$Q:$Q,"紙本&amp;電子")++COUNTIFS('來案暨出貨明細表-基因檢測(201904起'!$P:$P,$A10&amp;"*",'來案暨出貨明細表-基因檢測(201904起'!$B:$B,AH$1,'來案暨出貨明細表-基因檢測(201904起'!$R:$R,"中英")</f>
        <v>0</v>
      </c>
      <c r="AI10" s="33">
        <f>COUNTIFS('來案暨出貨明細表-基因檢測(201904起'!$P:$P,$A10&amp;"*",'來案暨出貨明細表-基因檢測(201904起'!$B:$B,AI$1)*$B10+COUNTIFS('來案暨出貨明細表-基因檢測(201904起'!$P:$P,$A10&amp;"*",'來案暨出貨明細表-基因檢測(201904起'!$B:$B,AI$1,'來案暨出貨明細表-基因檢測(201904起'!$Q:$Q,"紙本&amp;電子")++COUNTIFS('來案暨出貨明細表-基因檢測(201904起'!$P:$P,$A10&amp;"*",'來案暨出貨明細表-基因檢測(201904起'!$B:$B,AI$1,'來案暨出貨明細表-基因檢測(201904起'!$R:$R,"中英")</f>
        <v>0</v>
      </c>
      <c r="AJ10" s="33">
        <f>COUNTIFS('來案暨出貨明細表-基因檢測(201904起'!$P:$P,$A10&amp;"*",'來案暨出貨明細表-基因檢測(201904起'!$B:$B,AJ$1)*$B10+COUNTIFS('來案暨出貨明細表-基因檢測(201904起'!$P:$P,$A10&amp;"*",'來案暨出貨明細表-基因檢測(201904起'!$B:$B,AJ$1,'來案暨出貨明細表-基因檢測(201904起'!$Q:$Q,"紙本&amp;電子")++COUNTIFS('來案暨出貨明細表-基因檢測(201904起'!$P:$P,$A10&amp;"*",'來案暨出貨明細表-基因檢測(201904起'!$B:$B,AJ$1,'來案暨出貨明細表-基因檢測(201904起'!$R:$R,"中英")</f>
        <v>0</v>
      </c>
      <c r="AK10" s="33">
        <f>COUNTIFS('來案暨出貨明細表-基因檢測(201904起'!$P:$P,$A10&amp;"*",'來案暨出貨明細表-基因檢測(201904起'!$B:$B,AK$1)*$B10+COUNTIFS('來案暨出貨明細表-基因檢測(201904起'!$P:$P,$A10&amp;"*",'來案暨出貨明細表-基因檢測(201904起'!$B:$B,AK$1,'來案暨出貨明細表-基因檢測(201904起'!$Q:$Q,"紙本&amp;電子")++COUNTIFS('來案暨出貨明細表-基因檢測(201904起'!$P:$P,$A10&amp;"*",'來案暨出貨明細表-基因檢測(201904起'!$B:$B,AK$1,'來案暨出貨明細表-基因檢測(201904起'!$R:$R,"中英")</f>
        <v>0</v>
      </c>
      <c r="AL10" s="33">
        <f>COUNTIFS('來案暨出貨明細表-基因檢測(201904起'!$P:$P,$A10&amp;"*",'來案暨出貨明細表-基因檢測(201904起'!$B:$B,AL$1)*$B10+COUNTIFS('來案暨出貨明細表-基因檢測(201904起'!$P:$P,$A10&amp;"*",'來案暨出貨明細表-基因檢測(201904起'!$B:$B,AL$1,'來案暨出貨明細表-基因檢測(201904起'!$Q:$Q,"紙本&amp;電子")++COUNTIFS('來案暨出貨明細表-基因檢測(201904起'!$P:$P,$A10&amp;"*",'來案暨出貨明細表-基因檢測(201904起'!$B:$B,AL$1,'來案暨出貨明細表-基因檢測(201904起'!$R:$R,"中英")</f>
        <v>0</v>
      </c>
      <c r="AM10" s="33">
        <f>COUNTIFS('來案暨出貨明細表-基因檢測(201904起'!$P:$P,$A10&amp;"*",'來案暨出貨明細表-基因檢測(201904起'!$B:$B,AM$1)*$B10+COUNTIFS('來案暨出貨明細表-基因檢測(201904起'!$P:$P,$A10&amp;"*",'來案暨出貨明細表-基因檢測(201904起'!$B:$B,AM$1,'來案暨出貨明細表-基因檢測(201904起'!$Q:$Q,"紙本&amp;電子")++COUNTIFS('來案暨出貨明細表-基因檢測(201904起'!$P:$P,$A10&amp;"*",'來案暨出貨明細表-基因檢測(201904起'!$B:$B,AM$1,'來案暨出貨明細表-基因檢測(201904起'!$R:$R,"中英")</f>
        <v>0</v>
      </c>
      <c r="AN10" s="33">
        <f>COUNTIFS('來案暨出貨明細表-基因檢測(201904起'!$P:$P,$A10&amp;"*",'來案暨出貨明細表-基因檢測(201904起'!$B:$B,AN$1)*$B10+COUNTIFS('來案暨出貨明細表-基因檢測(201904起'!$P:$P,$A10&amp;"*",'來案暨出貨明細表-基因檢測(201904起'!$B:$B,AN$1,'來案暨出貨明細表-基因檢測(201904起'!$Q:$Q,"紙本&amp;電子")++COUNTIFS('來案暨出貨明細表-基因檢測(201904起'!$P:$P,$A10&amp;"*",'來案暨出貨明細表-基因檢測(201904起'!$B:$B,AN$1,'來案暨出貨明細表-基因檢測(201904起'!$R:$R,"中英")</f>
        <v>0</v>
      </c>
      <c r="AO10" s="33">
        <f>COUNTIFS('來案暨出貨明細表-基因檢測(201904起'!$P:$P,$A10&amp;"*",'來案暨出貨明細表-基因檢測(201904起'!$B:$B,AO$1)*$B10+COUNTIFS('來案暨出貨明細表-基因檢測(201904起'!$P:$P,$A10&amp;"*",'來案暨出貨明細表-基因檢測(201904起'!$B:$B,AO$1,'來案暨出貨明細表-基因檢測(201904起'!$Q:$Q,"紙本&amp;電子")++COUNTIFS('來案暨出貨明細表-基因檢測(201904起'!$P:$P,$A10&amp;"*",'來案暨出貨明細表-基因檢測(201904起'!$B:$B,AO$1,'來案暨出貨明細表-基因檢測(201904起'!$R:$R,"中英")</f>
        <v>2</v>
      </c>
      <c r="AP10" s="33">
        <f>COUNTIFS('來案暨出貨明細表-基因檢測(201904起'!$P:$P,$A10&amp;"*",'來案暨出貨明細表-基因檢測(201904起'!$B:$B,AP$1)*$B10+COUNTIFS('來案暨出貨明細表-基因檢測(201904起'!$P:$P,$A10&amp;"*",'來案暨出貨明細表-基因檢測(201904起'!$B:$B,AP$1,'來案暨出貨明細表-基因檢測(201904起'!$Q:$Q,"紙本&amp;電子")++COUNTIFS('來案暨出貨明細表-基因檢測(201904起'!$P:$P,$A10&amp;"*",'來案暨出貨明細表-基因檢測(201904起'!$B:$B,AP$1,'來案暨出貨明細表-基因檢測(201904起'!$R:$R,"中英")</f>
        <v>0</v>
      </c>
      <c r="AQ10" s="33">
        <f>COUNTIFS('來案暨出貨明細表-基因檢測(201904起'!$P:$P,$A10&amp;"*",'來案暨出貨明細表-基因檢測(201904起'!$B:$B,AQ$1)*$B10+COUNTIFS('來案暨出貨明細表-基因檢測(201904起'!$P:$P,$A10&amp;"*",'來案暨出貨明細表-基因檢測(201904起'!$B:$B,AQ$1,'來案暨出貨明細表-基因檢測(201904起'!$Q:$Q,"紙本&amp;電子")++COUNTIFS('來案暨出貨明細表-基因檢測(201904起'!$P:$P,$A10&amp;"*",'來案暨出貨明細表-基因檢測(201904起'!$B:$B,AQ$1,'來案暨出貨明細表-基因檢測(201904起'!$R:$R,"中英")</f>
        <v>2</v>
      </c>
      <c r="AR10" s="33">
        <f>COUNTIFS('來案暨出貨明細表-基因檢測(201904起'!$P:$P,$A10&amp;"*",'來案暨出貨明細表-基因檢測(201904起'!$B:$B,AR$1)*$B10+COUNTIFS('來案暨出貨明細表-基因檢測(201904起'!$P:$P,$A10&amp;"*",'來案暨出貨明細表-基因檢測(201904起'!$B:$B,AR$1,'來案暨出貨明細表-基因檢測(201904起'!$Q:$Q,"紙本&amp;電子")++COUNTIFS('來案暨出貨明細表-基因檢測(201904起'!$P:$P,$A10&amp;"*",'來案暨出貨明細表-基因檢測(201904起'!$B:$B,AR$1,'來案暨出貨明細表-基因檢測(201904起'!$R:$R,"中英")</f>
        <v>0</v>
      </c>
      <c r="AS10" s="33">
        <f>COUNTIFS('來案暨出貨明細表-基因檢測(201904起'!$P:$P,$A10&amp;"*",'來案暨出貨明細表-基因檢測(201904起'!$B:$B,AS$1)*$B10+COUNTIFS('來案暨出貨明細表-基因檢測(201904起'!$P:$P,$A10&amp;"*",'來案暨出貨明細表-基因檢測(201904起'!$B:$B,AS$1,'來案暨出貨明細表-基因檢測(201904起'!$Q:$Q,"紙本&amp;電子")++COUNTIFS('來案暨出貨明細表-基因檢測(201904起'!$P:$P,$A10&amp;"*",'來案暨出貨明細表-基因檢測(201904起'!$B:$B,AS$1,'來案暨出貨明細表-基因檢測(201904起'!$R:$R,"中英")</f>
        <v>0</v>
      </c>
      <c r="AT10" s="33">
        <f>COUNTIFS('來案暨出貨明細表-基因檢測(201904起'!$P:$P,$A10&amp;"*",'來案暨出貨明細表-基因檢測(201904起'!$B:$B,AT$1)*$B10+COUNTIFS('來案暨出貨明細表-基因檢測(201904起'!$P:$P,$A10&amp;"*",'來案暨出貨明細表-基因檢測(201904起'!$B:$B,AT$1,'來案暨出貨明細表-基因檢測(201904起'!$Q:$Q,"紙本&amp;電子")++COUNTIFS('來案暨出貨明細表-基因檢測(201904起'!$P:$P,$A10&amp;"*",'來案暨出貨明細表-基因檢測(201904起'!$B:$B,AT$1,'來案暨出貨明細表-基因檢測(201904起'!$R:$R,"中英")</f>
        <v>0</v>
      </c>
      <c r="AU10" s="33">
        <f>COUNTIFS('來案暨出貨明細表-基因檢測(201904起'!$P:$P,$A10&amp;"*",'來案暨出貨明細表-基因檢測(201904起'!$B:$B,AU$1)*$B10+COUNTIFS('來案暨出貨明細表-基因檢測(201904起'!$P:$P,$A10&amp;"*",'來案暨出貨明細表-基因檢測(201904起'!$B:$B,AU$1,'來案暨出貨明細表-基因檢測(201904起'!$Q:$Q,"紙本&amp;電子")++COUNTIFS('來案暨出貨明細表-基因檢測(201904起'!$P:$P,$A10&amp;"*",'來案暨出貨明細表-基因檢測(201904起'!$B:$B,AU$1,'來案暨出貨明細表-基因檢測(201904起'!$R:$R,"中英")</f>
        <v>0</v>
      </c>
      <c r="AV10" s="33">
        <f>COUNTIFS('來案暨出貨明細表-基因檢測(201904起'!$P:$P,$A10&amp;"*",'來案暨出貨明細表-基因檢測(201904起'!$B:$B,AV$1)*$B10+COUNTIFS('來案暨出貨明細表-基因檢測(201904起'!$P:$P,$A10&amp;"*",'來案暨出貨明細表-基因檢測(201904起'!$B:$B,AV$1,'來案暨出貨明細表-基因檢測(201904起'!$Q:$Q,"紙本&amp;電子")++COUNTIFS('來案暨出貨明細表-基因檢測(201904起'!$P:$P,$A10&amp;"*",'來案暨出貨明細表-基因檢測(201904起'!$B:$B,AV$1,'來案暨出貨明細表-基因檢測(201904起'!$R:$R,"中英")</f>
        <v>0</v>
      </c>
      <c r="AW10" s="33">
        <f>COUNTIFS('來案暨出貨明細表-基因檢測(201904起'!$P:$P,$A10&amp;"*",'來案暨出貨明細表-基因檢測(201904起'!$B:$B,AW$1)*$B10+COUNTIFS('來案暨出貨明細表-基因檢測(201904起'!$P:$P,$A10&amp;"*",'來案暨出貨明細表-基因檢測(201904起'!$B:$B,AW$1,'來案暨出貨明細表-基因檢測(201904起'!$Q:$Q,"紙本&amp;電子")++COUNTIFS('來案暨出貨明細表-基因檢測(201904起'!$P:$P,$A10&amp;"*",'來案暨出貨明細表-基因檢測(201904起'!$B:$B,AW$1,'來案暨出貨明細表-基因檢測(201904起'!$R:$R,"中英")</f>
        <v>0</v>
      </c>
      <c r="AX10" s="33">
        <f>COUNTIFS('來案暨出貨明細表-基因檢測(201904起'!$P:$P,$A10&amp;"*",'來案暨出貨明細表-基因檢測(201904起'!$B:$B,AX$1)*$B10+COUNTIFS('來案暨出貨明細表-基因檢測(201904起'!$P:$P,$A10&amp;"*",'來案暨出貨明細表-基因檢測(201904起'!$B:$B,AX$1,'來案暨出貨明細表-基因檢測(201904起'!$Q:$Q,"紙本&amp;電子")++COUNTIFS('來案暨出貨明細表-基因檢測(201904起'!$P:$P,$A10&amp;"*",'來案暨出貨明細表-基因檢測(201904起'!$B:$B,AX$1,'來案暨出貨明細表-基因檢測(201904起'!$R:$R,"中英")</f>
        <v>0</v>
      </c>
      <c r="AY10" s="33">
        <f>COUNTIFS('來案暨出貨明細表-基因檢測(201904起'!$P:$P,$A10&amp;"*",'來案暨出貨明細表-基因檢測(201904起'!$B:$B,AY$1)*$B10+COUNTIFS('來案暨出貨明細表-基因檢測(201904起'!$P:$P,$A10&amp;"*",'來案暨出貨明細表-基因檢測(201904起'!$B:$B,AY$1,'來案暨出貨明細表-基因檢測(201904起'!$Q:$Q,"紙本&amp;電子")++COUNTIFS('來案暨出貨明細表-基因檢測(201904起'!$P:$P,$A10&amp;"*",'來案暨出貨明細表-基因檢測(201904起'!$B:$B,AY$1,'來案暨出貨明細表-基因檢測(201904起'!$R:$R,"中英")</f>
        <v>0</v>
      </c>
      <c r="AZ10" s="33">
        <f>COUNTIFS('來案暨出貨明細表-基因檢測(201904起'!$P:$P,$A10&amp;"*",'來案暨出貨明細表-基因檢測(201904起'!$B:$B,AZ$1)*$B10+COUNTIFS('來案暨出貨明細表-基因檢測(201904起'!$P:$P,$A10&amp;"*",'來案暨出貨明細表-基因檢測(201904起'!$B:$B,AZ$1,'來案暨出貨明細表-基因檢測(201904起'!$Q:$Q,"紙本&amp;電子")++COUNTIFS('來案暨出貨明細表-基因檢測(201904起'!$P:$P,$A10&amp;"*",'來案暨出貨明細表-基因檢測(201904起'!$B:$B,AZ$1,'來案暨出貨明細表-基因檢測(201904起'!$R:$R,"中英")</f>
        <v>0</v>
      </c>
      <c r="BA10" s="33">
        <f>COUNTIFS('來案暨出貨明細表-基因檢測(201904起'!$P:$P,$A10&amp;"*",'來案暨出貨明細表-基因檢測(201904起'!$B:$B,BA$1)*$B10+COUNTIFS('來案暨出貨明細表-基因檢測(201904起'!$P:$P,$A10&amp;"*",'來案暨出貨明細表-基因檢測(201904起'!$B:$B,BA$1,'來案暨出貨明細表-基因檢測(201904起'!$Q:$Q,"紙本&amp;電子")++COUNTIFS('來案暨出貨明細表-基因檢測(201904起'!$P:$P,$A10&amp;"*",'來案暨出貨明細表-基因檢測(201904起'!$B:$B,BA$1,'來案暨出貨明細表-基因檢測(201904起'!$R:$R,"中英")</f>
        <v>0</v>
      </c>
      <c r="BB10" s="33">
        <f>COUNTIFS('來案暨出貨明細表-基因檢測(201904起'!$P:$P,$A10&amp;"*",'來案暨出貨明細表-基因檢測(201904起'!$B:$B,BB$1)*$B10+COUNTIFS('來案暨出貨明細表-基因檢測(201904起'!$P:$P,$A10&amp;"*",'來案暨出貨明細表-基因檢測(201904起'!$B:$B,BB$1,'來案暨出貨明細表-基因檢測(201904起'!$Q:$Q,"紙本&amp;電子")++COUNTIFS('來案暨出貨明細表-基因檢測(201904起'!$P:$P,$A10&amp;"*",'來案暨出貨明細表-基因檢測(201904起'!$B:$B,BB$1,'來案暨出貨明細表-基因檢測(201904起'!$R:$R,"中英")</f>
        <v>1</v>
      </c>
      <c r="BC10" s="33">
        <f>COUNTIFS('來案暨出貨明細表-基因檢測(201904起'!$P:$P,$A10&amp;"*",'來案暨出貨明細表-基因檢測(201904起'!$B:$B,BC$1)*$B10+COUNTIFS('來案暨出貨明細表-基因檢測(201904起'!$P:$P,$A10&amp;"*",'來案暨出貨明細表-基因檢測(201904起'!$B:$B,BC$1,'來案暨出貨明細表-基因檢測(201904起'!$Q:$Q,"紙本&amp;電子")++COUNTIFS('來案暨出貨明細表-基因檢測(201904起'!$P:$P,$A10&amp;"*",'來案暨出貨明細表-基因檢測(201904起'!$B:$B,BC$1,'來案暨出貨明細表-基因檢測(201904起'!$R:$R,"中英")</f>
        <v>0</v>
      </c>
      <c r="BD10" s="33">
        <f>COUNTIFS('來案暨出貨明細表-基因檢測(201904起'!$P:$P,$A10&amp;"*",'來案暨出貨明細表-基因檢測(201904起'!$B:$B,BD$1)*$B10+COUNTIFS('來案暨出貨明細表-基因檢測(201904起'!$P:$P,$A10&amp;"*",'來案暨出貨明細表-基因檢測(201904起'!$B:$B,BD$1,'來案暨出貨明細表-基因檢測(201904起'!$Q:$Q,"紙本&amp;電子")++COUNTIFS('來案暨出貨明細表-基因檢測(201904起'!$P:$P,$A10&amp;"*",'來案暨出貨明細表-基因檢測(201904起'!$B:$B,BD$1,'來案暨出貨明細表-基因檢測(201904起'!$R:$R,"中英")</f>
        <v>0</v>
      </c>
      <c r="BE10" s="33">
        <f>COUNTIFS('來案暨出貨明細表-基因檢測(201904起'!$P:$P,$A10&amp;"*",'來案暨出貨明細表-基因檢測(201904起'!$B:$B,BE$1)*$B10+COUNTIFS('來案暨出貨明細表-基因檢測(201904起'!$P:$P,$A10&amp;"*",'來案暨出貨明細表-基因檢測(201904起'!$B:$B,BE$1,'來案暨出貨明細表-基因檢測(201904起'!$Q:$Q,"紙本&amp;電子")++COUNTIFS('來案暨出貨明細表-基因檢測(201904起'!$P:$P,$A10&amp;"*",'來案暨出貨明細表-基因檢測(201904起'!$B:$B,BE$1,'來案暨出貨明細表-基因檢測(201904起'!$R:$R,"中英")</f>
        <v>0</v>
      </c>
      <c r="BF10" s="33">
        <f>COUNTIFS('來案暨出貨明細表-基因檢測(201904起'!$P:$P,$A10&amp;"*",'來案暨出貨明細表-基因檢測(201904起'!$B:$B,BF$1)*$B10+COUNTIFS('來案暨出貨明細表-基因檢測(201904起'!$P:$P,$A10&amp;"*",'來案暨出貨明細表-基因檢測(201904起'!$B:$B,BF$1,'來案暨出貨明細表-基因檢測(201904起'!$Q:$Q,"紙本&amp;電子")++COUNTIFS('來案暨出貨明細表-基因檢測(201904起'!$P:$P,$A10&amp;"*",'來案暨出貨明細表-基因檢測(201904起'!$B:$B,BF$1,'來案暨出貨明細表-基因檢測(201904起'!$R:$R,"中英")</f>
        <v>0</v>
      </c>
      <c r="BG10" s="33">
        <f>COUNTIFS('來案暨出貨明細表-基因檢測(201904起'!$P:$P,$A10&amp;"*",'來案暨出貨明細表-基因檢測(201904起'!$B:$B,BG$1)*$B10+COUNTIFS('來案暨出貨明細表-基因檢測(201904起'!$P:$P,$A10&amp;"*",'來案暨出貨明細表-基因檢測(201904起'!$B:$B,BG$1,'來案暨出貨明細表-基因檢測(201904起'!$Q:$Q,"紙本&amp;電子")++COUNTIFS('來案暨出貨明細表-基因檢測(201904起'!$P:$P,$A10&amp;"*",'來案暨出貨明細表-基因檢測(201904起'!$B:$B,BG$1,'來案暨出貨明細表-基因檢測(201904起'!$R:$R,"中英")</f>
        <v>0</v>
      </c>
      <c r="BH10" s="33">
        <f>COUNTIFS('來案暨出貨明細表-基因檢測(201904起'!$P:$P,$A10&amp;"*",'來案暨出貨明細表-基因檢測(201904起'!$B:$B,BH$1)*$B10+COUNTIFS('來案暨出貨明細表-基因檢測(201904起'!$P:$P,$A10&amp;"*",'來案暨出貨明細表-基因檢測(201904起'!$B:$B,BH$1,'來案暨出貨明細表-基因檢測(201904起'!$Q:$Q,"紙本&amp;電子")++COUNTIFS('來案暨出貨明細表-基因檢測(201904起'!$P:$P,$A10&amp;"*",'來案暨出貨明細表-基因檢測(201904起'!$B:$B,BH$1,'來案暨出貨明細表-基因檢測(201904起'!$R:$R,"中英")</f>
        <v>0</v>
      </c>
      <c r="BI10" s="33">
        <f>COUNTIFS('來案暨出貨明細表-基因檢測(201904起'!$P:$P,$A10&amp;"*",'來案暨出貨明細表-基因檢測(201904起'!$B:$B,BI$1)*$B10+COUNTIFS('來案暨出貨明細表-基因檢測(201904起'!$P:$P,$A10&amp;"*",'來案暨出貨明細表-基因檢測(201904起'!$B:$B,BI$1,'來案暨出貨明細表-基因檢測(201904起'!$Q:$Q,"紙本&amp;電子")++COUNTIFS('來案暨出貨明細表-基因檢測(201904起'!$P:$P,$A10&amp;"*",'來案暨出貨明細表-基因檢測(201904起'!$B:$B,BI$1,'來案暨出貨明細表-基因檢測(201904起'!$R:$R,"中英")</f>
        <v>0</v>
      </c>
      <c r="BJ10" s="33">
        <f>COUNTIFS('來案暨出貨明細表-基因檢測(201904起'!$P:$P,$A10&amp;"*",'來案暨出貨明細表-基因檢測(201904起'!$B:$B,BJ$1)*$B10+COUNTIFS('來案暨出貨明細表-基因檢測(201904起'!$P:$P,$A10&amp;"*",'來案暨出貨明細表-基因檢測(201904起'!$B:$B,BJ$1,'來案暨出貨明細表-基因檢測(201904起'!$Q:$Q,"紙本&amp;電子")++COUNTIFS('來案暨出貨明細表-基因檢測(201904起'!$P:$P,$A10&amp;"*",'來案暨出貨明細表-基因檢測(201904起'!$B:$B,BJ$1,'來案暨出貨明細表-基因檢測(201904起'!$R:$R,"中英")</f>
        <v>0</v>
      </c>
      <c r="BK10" s="33">
        <f>COUNTIFS('來案暨出貨明細表-基因檢測(201904起'!$P:$P,$A10&amp;"*",'來案暨出貨明細表-基因檢測(201904起'!$B:$B,BK$1)*$B10+COUNTIFS('來案暨出貨明細表-基因檢測(201904起'!$P:$P,$A10&amp;"*",'來案暨出貨明細表-基因檢測(201904起'!$B:$B,BK$1,'來案暨出貨明細表-基因檢測(201904起'!$Q:$Q,"紙本&amp;電子")++COUNTIFS('來案暨出貨明細表-基因檢測(201904起'!$P:$P,$A10&amp;"*",'來案暨出貨明細表-基因檢測(201904起'!$B:$B,BK$1,'來案暨出貨明細表-基因檢測(201904起'!$R:$R,"中英")</f>
        <v>0</v>
      </c>
      <c r="BL10" s="33">
        <f>COUNTIFS('來案暨出貨明細表-基因檢測(201904起'!$P:$P,$A10&amp;"*",'來案暨出貨明細表-基因檢測(201904起'!$B:$B,BL$1)*$B10+COUNTIFS('來案暨出貨明細表-基因檢測(201904起'!$P:$P,$A10&amp;"*",'來案暨出貨明細表-基因檢測(201904起'!$B:$B,BL$1,'來案暨出貨明細表-基因檢測(201904起'!$Q:$Q,"紙本&amp;電子")++COUNTIFS('來案暨出貨明細表-基因檢測(201904起'!$P:$P,$A10&amp;"*",'來案暨出貨明細表-基因檢測(201904起'!$B:$B,BL$1,'來案暨出貨明細表-基因檢測(201904起'!$R:$R,"中英")</f>
        <v>0</v>
      </c>
      <c r="BM10" s="33">
        <f>COUNTIFS('來案暨出貨明細表-基因檢測(201904起'!$P:$P,$A10&amp;"*",'來案暨出貨明細表-基因檢測(201904起'!$B:$B,BM$1)*$B10+COUNTIFS('來案暨出貨明細表-基因檢測(201904起'!$P:$P,$A10&amp;"*",'來案暨出貨明細表-基因檢測(201904起'!$B:$B,BM$1,'來案暨出貨明細表-基因檢測(201904起'!$Q:$Q,"紙本&amp;電子")++COUNTIFS('來案暨出貨明細表-基因檢測(201904起'!$P:$P,$A10&amp;"*",'來案暨出貨明細表-基因檢測(201904起'!$B:$B,BM$1,'來案暨出貨明細表-基因檢測(201904起'!$R:$R,"中英")</f>
        <v>0</v>
      </c>
    </row>
    <row r="11" spans="1:65" ht="15" customHeight="1">
      <c r="A11" s="9" t="s">
        <v>3809</v>
      </c>
      <c r="B11" s="9">
        <v>1</v>
      </c>
      <c r="C11" s="13" t="s">
        <v>3810</v>
      </c>
      <c r="D11" s="142" t="s">
        <v>3809</v>
      </c>
      <c r="E11" s="33">
        <f>COUNTIFS('來案暨出貨明細表-基因檢測(201904起'!$P:$P,$A11&amp;"*",'來案暨出貨明細表-基因檢測(201904起'!$B:$B,E$1)*$B11+COUNTIFS('來案暨出貨明細表-基因檢測(201904起'!$P:$P,$A11&amp;"*",'來案暨出貨明細表-基因檢測(201904起'!$B:$B,E$1,'來案暨出貨明細表-基因檢測(201904起'!$Q:$Q,"紙本&amp;電子")++COUNTIFS('來案暨出貨明細表-基因檢測(201904起'!$P:$P,$A11&amp;"*",'來案暨出貨明細表-基因檢測(201904起'!$B:$B,E$1,'來案暨出貨明細表-基因檢測(201904起'!$R:$R,"中英")</f>
        <v>0</v>
      </c>
      <c r="F11" s="33">
        <f>COUNTIFS('來案暨出貨明細表-基因檢測(201904起'!$P:$P,$A11&amp;"*",'來案暨出貨明細表-基因檢測(201904起'!$B:$B,F$1)*$B11+COUNTIFS('來案暨出貨明細表-基因檢測(201904起'!$P:$P,$A11&amp;"*",'來案暨出貨明細表-基因檢測(201904起'!$B:$B,F$1,'來案暨出貨明細表-基因檢測(201904起'!$Q:$Q,"紙本&amp;電子")++COUNTIFS('來案暨出貨明細表-基因檢測(201904起'!$P:$P,$A11&amp;"*",'來案暨出貨明細表-基因檢測(201904起'!$B:$B,F$1,'來案暨出貨明細表-基因檢測(201904起'!$R:$R,"中英")</f>
        <v>0</v>
      </c>
      <c r="G11" s="33">
        <f>COUNTIFS('來案暨出貨明細表-基因檢測(201904起'!$P:$P,$A11&amp;"*",'來案暨出貨明細表-基因檢測(201904起'!$B:$B,G$1)*$B11+COUNTIFS('來案暨出貨明細表-基因檢測(201904起'!$P:$P,$A11&amp;"*",'來案暨出貨明細表-基因檢測(201904起'!$B:$B,G$1,'來案暨出貨明細表-基因檢測(201904起'!$Q:$Q,"紙本&amp;電子")++COUNTIFS('來案暨出貨明細表-基因檢測(201904起'!$P:$P,$A11&amp;"*",'來案暨出貨明細表-基因檢測(201904起'!$B:$B,G$1,'來案暨出貨明細表-基因檢測(201904起'!$R:$R,"中英")</f>
        <v>0</v>
      </c>
      <c r="H11" s="33">
        <f>COUNTIFS('來案暨出貨明細表-基因檢測(201904起'!$P:$P,$A11&amp;"*",'來案暨出貨明細表-基因檢測(201904起'!$B:$B,H$1)*$B11+COUNTIFS('來案暨出貨明細表-基因檢測(201904起'!$P:$P,$A11&amp;"*",'來案暨出貨明細表-基因檢測(201904起'!$B:$B,H$1,'來案暨出貨明細表-基因檢測(201904起'!$Q:$Q,"紙本&amp;電子")++COUNTIFS('來案暨出貨明細表-基因檢測(201904起'!$P:$P,$A11&amp;"*",'來案暨出貨明細表-基因檢測(201904起'!$B:$B,H$1,'來案暨出貨明細表-基因檢測(201904起'!$R:$R,"中英")</f>
        <v>0</v>
      </c>
      <c r="I11" s="33">
        <f>COUNTIFS('來案暨出貨明細表-基因檢測(201904起'!$P:$P,$A11&amp;"*",'來案暨出貨明細表-基因檢測(201904起'!$B:$B,I$1)*$B11+COUNTIFS('來案暨出貨明細表-基因檢測(201904起'!$P:$P,$A11&amp;"*",'來案暨出貨明細表-基因檢測(201904起'!$B:$B,I$1,'來案暨出貨明細表-基因檢測(201904起'!$Q:$Q,"紙本&amp;電子")++COUNTIFS('來案暨出貨明細表-基因檢測(201904起'!$P:$P,$A11&amp;"*",'來案暨出貨明細表-基因檢測(201904起'!$B:$B,I$1,'來案暨出貨明細表-基因檢測(201904起'!$R:$R,"中英")</f>
        <v>0</v>
      </c>
      <c r="J11" s="33">
        <f>COUNTIFS('來案暨出貨明細表-基因檢測(201904起'!$P:$P,$A11&amp;"*",'來案暨出貨明細表-基因檢測(201904起'!$B:$B,J$1)*$B11+COUNTIFS('來案暨出貨明細表-基因檢測(201904起'!$P:$P,$A11&amp;"*",'來案暨出貨明細表-基因檢測(201904起'!$B:$B,J$1,'來案暨出貨明細表-基因檢測(201904起'!$Q:$Q,"紙本&amp;電子")++COUNTIFS('來案暨出貨明細表-基因檢測(201904起'!$P:$P,$A11&amp;"*",'來案暨出貨明細表-基因檢測(201904起'!$B:$B,J$1,'來案暨出貨明細表-基因檢測(201904起'!$R:$R,"中英")</f>
        <v>0</v>
      </c>
      <c r="K11" s="33">
        <f>COUNTIFS('來案暨出貨明細表-基因檢測(201904起'!$P:$P,$A11&amp;"*",'來案暨出貨明細表-基因檢測(201904起'!$B:$B,K$1)*$B11+COUNTIFS('來案暨出貨明細表-基因檢測(201904起'!$P:$P,$A11&amp;"*",'來案暨出貨明細表-基因檢測(201904起'!$B:$B,K$1,'來案暨出貨明細表-基因檢測(201904起'!$Q:$Q,"紙本&amp;電子")++COUNTIFS('來案暨出貨明細表-基因檢測(201904起'!$P:$P,$A11&amp;"*",'來案暨出貨明細表-基因檢測(201904起'!$B:$B,K$1,'來案暨出貨明細表-基因檢測(201904起'!$R:$R,"中英")</f>
        <v>0</v>
      </c>
      <c r="L11" s="33">
        <f>COUNTIFS('來案暨出貨明細表-基因檢測(201904起'!$P:$P,$A11&amp;"*",'來案暨出貨明細表-基因檢測(201904起'!$B:$B,L$1)*$B11+COUNTIFS('來案暨出貨明細表-基因檢測(201904起'!$P:$P,$A11&amp;"*",'來案暨出貨明細表-基因檢測(201904起'!$B:$B,L$1,'來案暨出貨明細表-基因檢測(201904起'!$Q:$Q,"紙本&amp;電子")++COUNTIFS('來案暨出貨明細表-基因檢測(201904起'!$P:$P,$A11&amp;"*",'來案暨出貨明細表-基因檢測(201904起'!$B:$B,L$1,'來案暨出貨明細表-基因檢測(201904起'!$R:$R,"中英")</f>
        <v>0</v>
      </c>
      <c r="M11" s="33">
        <f>COUNTIFS('來案暨出貨明細表-基因檢測(201904起'!$P:$P,$A11&amp;"*",'來案暨出貨明細表-基因檢測(201904起'!$B:$B,M$1)*$B11+COUNTIFS('來案暨出貨明細表-基因檢測(201904起'!$P:$P,$A11&amp;"*",'來案暨出貨明細表-基因檢測(201904起'!$B:$B,M$1,'來案暨出貨明細表-基因檢測(201904起'!$Q:$Q,"紙本&amp;電子")++COUNTIFS('來案暨出貨明細表-基因檢測(201904起'!$P:$P,$A11&amp;"*",'來案暨出貨明細表-基因檢測(201904起'!$B:$B,M$1,'來案暨出貨明細表-基因檢測(201904起'!$R:$R,"中英")</f>
        <v>0</v>
      </c>
      <c r="N11" s="33">
        <f>COUNTIFS('來案暨出貨明細表-基因檢測(201904起'!$P:$P,$A11&amp;"*",'來案暨出貨明細表-基因檢測(201904起'!$B:$B,N$1)*$B11+COUNTIFS('來案暨出貨明細表-基因檢測(201904起'!$P:$P,$A11&amp;"*",'來案暨出貨明細表-基因檢測(201904起'!$B:$B,N$1,'來案暨出貨明細表-基因檢測(201904起'!$Q:$Q,"紙本&amp;電子")++COUNTIFS('來案暨出貨明細表-基因檢測(201904起'!$P:$P,$A11&amp;"*",'來案暨出貨明細表-基因檢測(201904起'!$B:$B,N$1,'來案暨出貨明細表-基因檢測(201904起'!$R:$R,"中英")</f>
        <v>0</v>
      </c>
      <c r="O11" s="33">
        <f>COUNTIFS('來案暨出貨明細表-基因檢測(201904起'!$P:$P,$A11&amp;"*",'來案暨出貨明細表-基因檢測(201904起'!$B:$B,O$1)*$B11+COUNTIFS('來案暨出貨明細表-基因檢測(201904起'!$P:$P,$A11&amp;"*",'來案暨出貨明細表-基因檢測(201904起'!$B:$B,O$1,'來案暨出貨明細表-基因檢測(201904起'!$Q:$Q,"紙本&amp;電子")++COUNTIFS('來案暨出貨明細表-基因檢測(201904起'!$P:$P,$A11&amp;"*",'來案暨出貨明細表-基因檢測(201904起'!$B:$B,O$1,'來案暨出貨明細表-基因檢測(201904起'!$R:$R,"中英")</f>
        <v>0</v>
      </c>
      <c r="P11" s="33">
        <f>COUNTIFS('來案暨出貨明細表-基因檢測(201904起'!$P:$P,$A11&amp;"*",'來案暨出貨明細表-基因檢測(201904起'!$B:$B,P$1)*$B11+COUNTIFS('來案暨出貨明細表-基因檢測(201904起'!$P:$P,$A11&amp;"*",'來案暨出貨明細表-基因檢測(201904起'!$B:$B,P$1,'來案暨出貨明細表-基因檢測(201904起'!$Q:$Q,"紙本&amp;電子")++COUNTIFS('來案暨出貨明細表-基因檢測(201904起'!$P:$P,$A11&amp;"*",'來案暨出貨明細表-基因檢測(201904起'!$B:$B,P$1,'來案暨出貨明細表-基因檢測(201904起'!$R:$R,"中英")</f>
        <v>0</v>
      </c>
      <c r="Q11" s="33">
        <f>COUNTIFS('來案暨出貨明細表-基因檢測(201904起'!$P:$P,$A11&amp;"*",'來案暨出貨明細表-基因檢測(201904起'!$B:$B,Q$1)*$B11+COUNTIFS('來案暨出貨明細表-基因檢測(201904起'!$P:$P,$A11&amp;"*",'來案暨出貨明細表-基因檢測(201904起'!$B:$B,Q$1,'來案暨出貨明細表-基因檢測(201904起'!$Q:$Q,"紙本&amp;電子")++COUNTIFS('來案暨出貨明細表-基因檢測(201904起'!$P:$P,$A11&amp;"*",'來案暨出貨明細表-基因檢測(201904起'!$B:$B,Q$1,'來案暨出貨明細表-基因檢測(201904起'!$R:$R,"中英")</f>
        <v>0</v>
      </c>
      <c r="R11" s="33">
        <f>COUNTIFS('來案暨出貨明細表-基因檢測(201904起'!$P:$P,$A11&amp;"*",'來案暨出貨明細表-基因檢測(201904起'!$B:$B,R$1)*$B11+COUNTIFS('來案暨出貨明細表-基因檢測(201904起'!$P:$P,$A11&amp;"*",'來案暨出貨明細表-基因檢測(201904起'!$B:$B,R$1,'來案暨出貨明細表-基因檢測(201904起'!$Q:$Q,"紙本&amp;電子")++COUNTIFS('來案暨出貨明細表-基因檢測(201904起'!$P:$P,$A11&amp;"*",'來案暨出貨明細表-基因檢測(201904起'!$B:$B,R$1,'來案暨出貨明細表-基因檢測(201904起'!$R:$R,"中英")</f>
        <v>0</v>
      </c>
      <c r="S11" s="33">
        <f>COUNTIFS('來案暨出貨明細表-基因檢測(201904起'!$P:$P,$A11&amp;"*",'來案暨出貨明細表-基因檢測(201904起'!$B:$B,S$1)*$B11+COUNTIFS('來案暨出貨明細表-基因檢測(201904起'!$P:$P,$A11&amp;"*",'來案暨出貨明細表-基因檢測(201904起'!$B:$B,S$1,'來案暨出貨明細表-基因檢測(201904起'!$Q:$Q,"紙本&amp;電子")++COUNTIFS('來案暨出貨明細表-基因檢測(201904起'!$P:$P,$A11&amp;"*",'來案暨出貨明細表-基因檢測(201904起'!$B:$B,S$1,'來案暨出貨明細表-基因檢測(201904起'!$R:$R,"中英")</f>
        <v>0</v>
      </c>
      <c r="T11" s="33">
        <f>COUNTIFS('來案暨出貨明細表-基因檢測(201904起'!$P:$P,$A11&amp;"*",'來案暨出貨明細表-基因檢測(201904起'!$B:$B,T$1)*$B11+COUNTIFS('來案暨出貨明細表-基因檢測(201904起'!$P:$P,$A11&amp;"*",'來案暨出貨明細表-基因檢測(201904起'!$B:$B,T$1,'來案暨出貨明細表-基因檢測(201904起'!$Q:$Q,"紙本&amp;電子")++COUNTIFS('來案暨出貨明細表-基因檢測(201904起'!$P:$P,$A11&amp;"*",'來案暨出貨明細表-基因檢測(201904起'!$B:$B,T$1,'來案暨出貨明細表-基因檢測(201904起'!$R:$R,"中英")</f>
        <v>0</v>
      </c>
      <c r="U11" s="33">
        <f>COUNTIFS('來案暨出貨明細表-基因檢測(201904起'!$P:$P,$A11&amp;"*",'來案暨出貨明細表-基因檢測(201904起'!$B:$B,U$1)*$B11+COUNTIFS('來案暨出貨明細表-基因檢測(201904起'!$P:$P,$A11&amp;"*",'來案暨出貨明細表-基因檢測(201904起'!$B:$B,U$1,'來案暨出貨明細表-基因檢測(201904起'!$Q:$Q,"紙本&amp;電子")++COUNTIFS('來案暨出貨明細表-基因檢測(201904起'!$P:$P,$A11&amp;"*",'來案暨出貨明細表-基因檢測(201904起'!$B:$B,U$1,'來案暨出貨明細表-基因檢測(201904起'!$R:$R,"中英")</f>
        <v>0</v>
      </c>
      <c r="V11" s="33">
        <f>COUNTIFS('來案暨出貨明細表-基因檢測(201904起'!$P:$P,$A11&amp;"*",'來案暨出貨明細表-基因檢測(201904起'!$B:$B,V$1)*$B11+COUNTIFS('來案暨出貨明細表-基因檢測(201904起'!$P:$P,$A11&amp;"*",'來案暨出貨明細表-基因檢測(201904起'!$B:$B,V$1,'來案暨出貨明細表-基因檢測(201904起'!$Q:$Q,"紙本&amp;電子")++COUNTIFS('來案暨出貨明細表-基因檢測(201904起'!$P:$P,$A11&amp;"*",'來案暨出貨明細表-基因檢測(201904起'!$B:$B,V$1,'來案暨出貨明細表-基因檢測(201904起'!$R:$R,"中英")</f>
        <v>0</v>
      </c>
      <c r="W11" s="33">
        <f>COUNTIFS('來案暨出貨明細表-基因檢測(201904起'!$P:$P,$A11&amp;"*",'來案暨出貨明細表-基因檢測(201904起'!$B:$B,W$1)*$B11+COUNTIFS('來案暨出貨明細表-基因檢測(201904起'!$P:$P,$A11&amp;"*",'來案暨出貨明細表-基因檢測(201904起'!$B:$B,W$1,'來案暨出貨明細表-基因檢測(201904起'!$Q:$Q,"紙本&amp;電子")++COUNTIFS('來案暨出貨明細表-基因檢測(201904起'!$P:$P,$A11&amp;"*",'來案暨出貨明細表-基因檢測(201904起'!$B:$B,W$1,'來案暨出貨明細表-基因檢測(201904起'!$R:$R,"中英")</f>
        <v>0</v>
      </c>
      <c r="X11" s="33">
        <f>COUNTIFS('來案暨出貨明細表-基因檢測(201904起'!$P:$P,$A11&amp;"*",'來案暨出貨明細表-基因檢測(201904起'!$B:$B,X$1)*$B11+COUNTIFS('來案暨出貨明細表-基因檢測(201904起'!$P:$P,$A11&amp;"*",'來案暨出貨明細表-基因檢測(201904起'!$B:$B,X$1,'來案暨出貨明細表-基因檢測(201904起'!$Q:$Q,"紙本&amp;電子")++COUNTIFS('來案暨出貨明細表-基因檢測(201904起'!$P:$P,$A11&amp;"*",'來案暨出貨明細表-基因檢測(201904起'!$B:$B,X$1,'來案暨出貨明細表-基因檢測(201904起'!$R:$R,"中英")</f>
        <v>0</v>
      </c>
      <c r="Y11" s="33">
        <f>COUNTIFS('來案暨出貨明細表-基因檢測(201904起'!$P:$P,$A11&amp;"*",'來案暨出貨明細表-基因檢測(201904起'!$B:$B,Y$1)*$B11+COUNTIFS('來案暨出貨明細表-基因檢測(201904起'!$P:$P,$A11&amp;"*",'來案暨出貨明細表-基因檢測(201904起'!$B:$B,Y$1,'來案暨出貨明細表-基因檢測(201904起'!$Q:$Q,"紙本&amp;電子")++COUNTIFS('來案暨出貨明細表-基因檢測(201904起'!$P:$P,$A11&amp;"*",'來案暨出貨明細表-基因檢測(201904起'!$B:$B,Y$1,'來案暨出貨明細表-基因檢測(201904起'!$R:$R,"中英")</f>
        <v>0</v>
      </c>
      <c r="Z11" s="33">
        <f>COUNTIFS('來案暨出貨明細表-基因檢測(201904起'!$P:$P,$A11&amp;"*",'來案暨出貨明細表-基因檢測(201904起'!$B:$B,Z$1)*$B11+COUNTIFS('來案暨出貨明細表-基因檢測(201904起'!$P:$P,$A11&amp;"*",'來案暨出貨明細表-基因檢測(201904起'!$B:$B,Z$1,'來案暨出貨明細表-基因檢測(201904起'!$Q:$Q,"紙本&amp;電子")++COUNTIFS('來案暨出貨明細表-基因檢測(201904起'!$P:$P,$A11&amp;"*",'來案暨出貨明細表-基因檢測(201904起'!$B:$B,Z$1,'來案暨出貨明細表-基因檢測(201904起'!$R:$R,"中英")</f>
        <v>0</v>
      </c>
      <c r="AA11" s="33">
        <f>COUNTIFS('來案暨出貨明細表-基因檢測(201904起'!$P:$P,$A11&amp;"*",'來案暨出貨明細表-基因檢測(201904起'!$B:$B,AA$1)*$B11+COUNTIFS('來案暨出貨明細表-基因檢測(201904起'!$P:$P,$A11&amp;"*",'來案暨出貨明細表-基因檢測(201904起'!$B:$B,AA$1,'來案暨出貨明細表-基因檢測(201904起'!$Q:$Q,"紙本&amp;電子")++COUNTIFS('來案暨出貨明細表-基因檢測(201904起'!$P:$P,$A11&amp;"*",'來案暨出貨明細表-基因檢測(201904起'!$B:$B,AA$1,'來案暨出貨明細表-基因檢測(201904起'!$R:$R,"中英")</f>
        <v>0</v>
      </c>
      <c r="AB11" s="33">
        <f>COUNTIFS('來案暨出貨明細表-基因檢測(201904起'!$P:$P,$A11&amp;"*",'來案暨出貨明細表-基因檢測(201904起'!$B:$B,AB$1)*$B11+COUNTIFS('來案暨出貨明細表-基因檢測(201904起'!$P:$P,$A11&amp;"*",'來案暨出貨明細表-基因檢測(201904起'!$B:$B,AB$1,'來案暨出貨明細表-基因檢測(201904起'!$Q:$Q,"紙本&amp;電子")++COUNTIFS('來案暨出貨明細表-基因檢測(201904起'!$P:$P,$A11&amp;"*",'來案暨出貨明細表-基因檢測(201904起'!$B:$B,AB$1,'來案暨出貨明細表-基因檢測(201904起'!$R:$R,"中英")</f>
        <v>0</v>
      </c>
      <c r="AC11" s="33">
        <f>COUNTIFS('來案暨出貨明細表-基因檢測(201904起'!$P:$P,$A11&amp;"*",'來案暨出貨明細表-基因檢測(201904起'!$B:$B,AC$1)*$B11+COUNTIFS('來案暨出貨明細表-基因檢測(201904起'!$P:$P,$A11&amp;"*",'來案暨出貨明細表-基因檢測(201904起'!$B:$B,AC$1,'來案暨出貨明細表-基因檢測(201904起'!$Q:$Q,"紙本&amp;電子")++COUNTIFS('來案暨出貨明細表-基因檢測(201904起'!$P:$P,$A11&amp;"*",'來案暨出貨明細表-基因檢測(201904起'!$B:$B,AC$1,'來案暨出貨明細表-基因檢測(201904起'!$R:$R,"中英")</f>
        <v>0</v>
      </c>
      <c r="AD11" s="33">
        <f>COUNTIFS('來案暨出貨明細表-基因檢測(201904起'!$P:$P,$A11&amp;"*",'來案暨出貨明細表-基因檢測(201904起'!$B:$B,AD$1)*$B11+COUNTIFS('來案暨出貨明細表-基因檢測(201904起'!$P:$P,$A11&amp;"*",'來案暨出貨明細表-基因檢測(201904起'!$B:$B,AD$1,'來案暨出貨明細表-基因檢測(201904起'!$Q:$Q,"紙本&amp;電子")++COUNTIFS('來案暨出貨明細表-基因檢測(201904起'!$P:$P,$A11&amp;"*",'來案暨出貨明細表-基因檢測(201904起'!$B:$B,AD$1,'來案暨出貨明細表-基因檢測(201904起'!$R:$R,"中英")</f>
        <v>0</v>
      </c>
      <c r="AE11" s="33">
        <f>COUNTIFS('來案暨出貨明細表-基因檢測(201904起'!$P:$P,$A11&amp;"*",'來案暨出貨明細表-基因檢測(201904起'!$B:$B,AE$1)*$B11+COUNTIFS('來案暨出貨明細表-基因檢測(201904起'!$P:$P,$A11&amp;"*",'來案暨出貨明細表-基因檢測(201904起'!$B:$B,AE$1,'來案暨出貨明細表-基因檢測(201904起'!$Q:$Q,"紙本&amp;電子")++COUNTIFS('來案暨出貨明細表-基因檢測(201904起'!$P:$P,$A11&amp;"*",'來案暨出貨明細表-基因檢測(201904起'!$B:$B,AE$1,'來案暨出貨明細表-基因檢測(201904起'!$R:$R,"中英")</f>
        <v>0</v>
      </c>
      <c r="AF11" s="33">
        <f>COUNTIFS('來案暨出貨明細表-基因檢測(201904起'!$P:$P,$A11&amp;"*",'來案暨出貨明細表-基因檢測(201904起'!$B:$B,AF$1)*$B11+COUNTIFS('來案暨出貨明細表-基因檢測(201904起'!$P:$P,$A11&amp;"*",'來案暨出貨明細表-基因檢測(201904起'!$B:$B,AF$1,'來案暨出貨明細表-基因檢測(201904起'!$Q:$Q,"紙本&amp;電子")++COUNTIFS('來案暨出貨明細表-基因檢測(201904起'!$P:$P,$A11&amp;"*",'來案暨出貨明細表-基因檢測(201904起'!$B:$B,AF$1,'來案暨出貨明細表-基因檢測(201904起'!$R:$R,"中英")</f>
        <v>0</v>
      </c>
      <c r="AG11" s="33">
        <f>COUNTIFS('來案暨出貨明細表-基因檢測(201904起'!$P:$P,$A11&amp;"*",'來案暨出貨明細表-基因檢測(201904起'!$B:$B,AG$1)*$B11+COUNTIFS('來案暨出貨明細表-基因檢測(201904起'!$P:$P,$A11&amp;"*",'來案暨出貨明細表-基因檢測(201904起'!$B:$B,AG$1,'來案暨出貨明細表-基因檢測(201904起'!$Q:$Q,"紙本&amp;電子")++COUNTIFS('來案暨出貨明細表-基因檢測(201904起'!$P:$P,$A11&amp;"*",'來案暨出貨明細表-基因檢測(201904起'!$B:$B,AG$1,'來案暨出貨明細表-基因檢測(201904起'!$R:$R,"中英")</f>
        <v>0</v>
      </c>
      <c r="AH11" s="33">
        <f>COUNTIFS('來案暨出貨明細表-基因檢測(201904起'!$P:$P,$A11&amp;"*",'來案暨出貨明細表-基因檢測(201904起'!$B:$B,AH$1)*$B11+COUNTIFS('來案暨出貨明細表-基因檢測(201904起'!$P:$P,$A11&amp;"*",'來案暨出貨明細表-基因檢測(201904起'!$B:$B,AH$1,'來案暨出貨明細表-基因檢測(201904起'!$Q:$Q,"紙本&amp;電子")++COUNTIFS('來案暨出貨明細表-基因檢測(201904起'!$P:$P,$A11&amp;"*",'來案暨出貨明細表-基因檢測(201904起'!$B:$B,AH$1,'來案暨出貨明細表-基因檢測(201904起'!$R:$R,"中英")</f>
        <v>0</v>
      </c>
      <c r="AI11" s="33">
        <f>COUNTIFS('來案暨出貨明細表-基因檢測(201904起'!$P:$P,$A11&amp;"*",'來案暨出貨明細表-基因檢測(201904起'!$B:$B,AI$1)*$B11+COUNTIFS('來案暨出貨明細表-基因檢測(201904起'!$P:$P,$A11&amp;"*",'來案暨出貨明細表-基因檢測(201904起'!$B:$B,AI$1,'來案暨出貨明細表-基因檢測(201904起'!$Q:$Q,"紙本&amp;電子")++COUNTIFS('來案暨出貨明細表-基因檢測(201904起'!$P:$P,$A11&amp;"*",'來案暨出貨明細表-基因檢測(201904起'!$B:$B,AI$1,'來案暨出貨明細表-基因檢測(201904起'!$R:$R,"中英")</f>
        <v>0</v>
      </c>
      <c r="AJ11" s="33">
        <f>COUNTIFS('來案暨出貨明細表-基因檢測(201904起'!$P:$P,$A11&amp;"*",'來案暨出貨明細表-基因檢測(201904起'!$B:$B,AJ$1)*$B11+COUNTIFS('來案暨出貨明細表-基因檢測(201904起'!$P:$P,$A11&amp;"*",'來案暨出貨明細表-基因檢測(201904起'!$B:$B,AJ$1,'來案暨出貨明細表-基因檢測(201904起'!$Q:$Q,"紙本&amp;電子")++COUNTIFS('來案暨出貨明細表-基因檢測(201904起'!$P:$P,$A11&amp;"*",'來案暨出貨明細表-基因檢測(201904起'!$B:$B,AJ$1,'來案暨出貨明細表-基因檢測(201904起'!$R:$R,"中英")</f>
        <v>0</v>
      </c>
      <c r="AK11" s="33">
        <f>COUNTIFS('來案暨出貨明細表-基因檢測(201904起'!$P:$P,$A11&amp;"*",'來案暨出貨明細表-基因檢測(201904起'!$B:$B,AK$1)*$B11+COUNTIFS('來案暨出貨明細表-基因檢測(201904起'!$P:$P,$A11&amp;"*",'來案暨出貨明細表-基因檢測(201904起'!$B:$B,AK$1,'來案暨出貨明細表-基因檢測(201904起'!$Q:$Q,"紙本&amp;電子")++COUNTIFS('來案暨出貨明細表-基因檢測(201904起'!$P:$P,$A11&amp;"*",'來案暨出貨明細表-基因檢測(201904起'!$B:$B,AK$1,'來案暨出貨明細表-基因檢測(201904起'!$R:$R,"中英")</f>
        <v>0</v>
      </c>
      <c r="AL11" s="33">
        <f>COUNTIFS('來案暨出貨明細表-基因檢測(201904起'!$P:$P,$A11&amp;"*",'來案暨出貨明細表-基因檢測(201904起'!$B:$B,AL$1)*$B11+COUNTIFS('來案暨出貨明細表-基因檢測(201904起'!$P:$P,$A11&amp;"*",'來案暨出貨明細表-基因檢測(201904起'!$B:$B,AL$1,'來案暨出貨明細表-基因檢測(201904起'!$Q:$Q,"紙本&amp;電子")++COUNTIFS('來案暨出貨明細表-基因檢測(201904起'!$P:$P,$A11&amp;"*",'來案暨出貨明細表-基因檢測(201904起'!$B:$B,AL$1,'來案暨出貨明細表-基因檢測(201904起'!$R:$R,"中英")</f>
        <v>0</v>
      </c>
      <c r="AM11" s="33">
        <f>COUNTIFS('來案暨出貨明細表-基因檢測(201904起'!$P:$P,$A11&amp;"*",'來案暨出貨明細表-基因檢測(201904起'!$B:$B,AM$1)*$B11+COUNTIFS('來案暨出貨明細表-基因檢測(201904起'!$P:$P,$A11&amp;"*",'來案暨出貨明細表-基因檢測(201904起'!$B:$B,AM$1,'來案暨出貨明細表-基因檢測(201904起'!$Q:$Q,"紙本&amp;電子")++COUNTIFS('來案暨出貨明細表-基因檢測(201904起'!$P:$P,$A11&amp;"*",'來案暨出貨明細表-基因檢測(201904起'!$B:$B,AM$1,'來案暨出貨明細表-基因檢測(201904起'!$R:$R,"中英")</f>
        <v>0</v>
      </c>
      <c r="AN11" s="33">
        <f>COUNTIFS('來案暨出貨明細表-基因檢測(201904起'!$P:$P,$A11&amp;"*",'來案暨出貨明細表-基因檢測(201904起'!$B:$B,AN$1)*$B11+COUNTIFS('來案暨出貨明細表-基因檢測(201904起'!$P:$P,$A11&amp;"*",'來案暨出貨明細表-基因檢測(201904起'!$B:$B,AN$1,'來案暨出貨明細表-基因檢測(201904起'!$Q:$Q,"紙本&amp;電子")++COUNTIFS('來案暨出貨明細表-基因檢測(201904起'!$P:$P,$A11&amp;"*",'來案暨出貨明細表-基因檢測(201904起'!$B:$B,AN$1,'來案暨出貨明細表-基因檢測(201904起'!$R:$R,"中英")</f>
        <v>0</v>
      </c>
      <c r="AO11" s="33">
        <f>COUNTIFS('來案暨出貨明細表-基因檢測(201904起'!$P:$P,$A11&amp;"*",'來案暨出貨明細表-基因檢測(201904起'!$B:$B,AO$1)*$B11+COUNTIFS('來案暨出貨明細表-基因檢測(201904起'!$P:$P,$A11&amp;"*",'來案暨出貨明細表-基因檢測(201904起'!$B:$B,AO$1,'來案暨出貨明細表-基因檢測(201904起'!$Q:$Q,"紙本&amp;電子")++COUNTIFS('來案暨出貨明細表-基因檢測(201904起'!$P:$P,$A11&amp;"*",'來案暨出貨明細表-基因檢測(201904起'!$B:$B,AO$1,'來案暨出貨明細表-基因檢測(201904起'!$R:$R,"中英")</f>
        <v>0</v>
      </c>
      <c r="AP11" s="33">
        <f>COUNTIFS('來案暨出貨明細表-基因檢測(201904起'!$P:$P,$A11&amp;"*",'來案暨出貨明細表-基因檢測(201904起'!$B:$B,AP$1)*$B11+COUNTIFS('來案暨出貨明細表-基因檢測(201904起'!$P:$P,$A11&amp;"*",'來案暨出貨明細表-基因檢測(201904起'!$B:$B,AP$1,'來案暨出貨明細表-基因檢測(201904起'!$Q:$Q,"紙本&amp;電子")++COUNTIFS('來案暨出貨明細表-基因檢測(201904起'!$P:$P,$A11&amp;"*",'來案暨出貨明細表-基因檢測(201904起'!$B:$B,AP$1,'來案暨出貨明細表-基因檢測(201904起'!$R:$R,"中英")</f>
        <v>0</v>
      </c>
      <c r="AQ11" s="33">
        <f>COUNTIFS('來案暨出貨明細表-基因檢測(201904起'!$P:$P,$A11&amp;"*",'來案暨出貨明細表-基因檢測(201904起'!$B:$B,AQ$1)*$B11+COUNTIFS('來案暨出貨明細表-基因檢測(201904起'!$P:$P,$A11&amp;"*",'來案暨出貨明細表-基因檢測(201904起'!$B:$B,AQ$1,'來案暨出貨明細表-基因檢測(201904起'!$Q:$Q,"紙本&amp;電子")++COUNTIFS('來案暨出貨明細表-基因檢測(201904起'!$P:$P,$A11&amp;"*",'來案暨出貨明細表-基因檢測(201904起'!$B:$B,AQ$1,'來案暨出貨明細表-基因檢測(201904起'!$R:$R,"中英")</f>
        <v>0</v>
      </c>
      <c r="AR11" s="33">
        <f>COUNTIFS('來案暨出貨明細表-基因檢測(201904起'!$P:$P,$A11&amp;"*",'來案暨出貨明細表-基因檢測(201904起'!$B:$B,AR$1)*$B11+COUNTIFS('來案暨出貨明細表-基因檢測(201904起'!$P:$P,$A11&amp;"*",'來案暨出貨明細表-基因檢測(201904起'!$B:$B,AR$1,'來案暨出貨明細表-基因檢測(201904起'!$Q:$Q,"紙本&amp;電子")++COUNTIFS('來案暨出貨明細表-基因檢測(201904起'!$P:$P,$A11&amp;"*",'來案暨出貨明細表-基因檢測(201904起'!$B:$B,AR$1,'來案暨出貨明細表-基因檢測(201904起'!$R:$R,"中英")</f>
        <v>0</v>
      </c>
      <c r="AS11" s="33">
        <f>COUNTIFS('來案暨出貨明細表-基因檢測(201904起'!$P:$P,$A11&amp;"*",'來案暨出貨明細表-基因檢測(201904起'!$B:$B,AS$1)*$B11+COUNTIFS('來案暨出貨明細表-基因檢測(201904起'!$P:$P,$A11&amp;"*",'來案暨出貨明細表-基因檢測(201904起'!$B:$B,AS$1,'來案暨出貨明細表-基因檢測(201904起'!$Q:$Q,"紙本&amp;電子")++COUNTIFS('來案暨出貨明細表-基因檢測(201904起'!$P:$P,$A11&amp;"*",'來案暨出貨明細表-基因檢測(201904起'!$B:$B,AS$1,'來案暨出貨明細表-基因檢測(201904起'!$R:$R,"中英")</f>
        <v>0</v>
      </c>
      <c r="AT11" s="33">
        <f>COUNTIFS('來案暨出貨明細表-基因檢測(201904起'!$P:$P,$A11&amp;"*",'來案暨出貨明細表-基因檢測(201904起'!$B:$B,AT$1)*$B11+COUNTIFS('來案暨出貨明細表-基因檢測(201904起'!$P:$P,$A11&amp;"*",'來案暨出貨明細表-基因檢測(201904起'!$B:$B,AT$1,'來案暨出貨明細表-基因檢測(201904起'!$Q:$Q,"紙本&amp;電子")++COUNTIFS('來案暨出貨明細表-基因檢測(201904起'!$P:$P,$A11&amp;"*",'來案暨出貨明細表-基因檢測(201904起'!$B:$B,AT$1,'來案暨出貨明細表-基因檢測(201904起'!$R:$R,"中英")</f>
        <v>0</v>
      </c>
      <c r="AU11" s="33">
        <f>COUNTIFS('來案暨出貨明細表-基因檢測(201904起'!$P:$P,$A11&amp;"*",'來案暨出貨明細表-基因檢測(201904起'!$B:$B,AU$1)*$B11+COUNTIFS('來案暨出貨明細表-基因檢測(201904起'!$P:$P,$A11&amp;"*",'來案暨出貨明細表-基因檢測(201904起'!$B:$B,AU$1,'來案暨出貨明細表-基因檢測(201904起'!$Q:$Q,"紙本&amp;電子")++COUNTIFS('來案暨出貨明細表-基因檢測(201904起'!$P:$P,$A11&amp;"*",'來案暨出貨明細表-基因檢測(201904起'!$B:$B,AU$1,'來案暨出貨明細表-基因檢測(201904起'!$R:$R,"中英")</f>
        <v>0</v>
      </c>
      <c r="AV11" s="33">
        <f>COUNTIFS('來案暨出貨明細表-基因檢測(201904起'!$P:$P,$A11&amp;"*",'來案暨出貨明細表-基因檢測(201904起'!$B:$B,AV$1)*$B11+COUNTIFS('來案暨出貨明細表-基因檢測(201904起'!$P:$P,$A11&amp;"*",'來案暨出貨明細表-基因檢測(201904起'!$B:$B,AV$1,'來案暨出貨明細表-基因檢測(201904起'!$Q:$Q,"紙本&amp;電子")++COUNTIFS('來案暨出貨明細表-基因檢測(201904起'!$P:$P,$A11&amp;"*",'來案暨出貨明細表-基因檢測(201904起'!$B:$B,AV$1,'來案暨出貨明細表-基因檢測(201904起'!$R:$R,"中英")</f>
        <v>19</v>
      </c>
      <c r="AW11" s="33">
        <f>COUNTIFS('來案暨出貨明細表-基因檢測(201904起'!$P:$P,$A11&amp;"*",'來案暨出貨明細表-基因檢測(201904起'!$B:$B,AW$1)*$B11+COUNTIFS('來案暨出貨明細表-基因檢測(201904起'!$P:$P,$A11&amp;"*",'來案暨出貨明細表-基因檢測(201904起'!$B:$B,AW$1,'來案暨出貨明細表-基因檢測(201904起'!$Q:$Q,"紙本&amp;電子")++COUNTIFS('來案暨出貨明細表-基因檢測(201904起'!$P:$P,$A11&amp;"*",'來案暨出貨明細表-基因檢測(201904起'!$B:$B,AW$1,'來案暨出貨明細表-基因檢測(201904起'!$R:$R,"中英")</f>
        <v>0</v>
      </c>
      <c r="AX11" s="33">
        <f>COUNTIFS('來案暨出貨明細表-基因檢測(201904起'!$P:$P,$A11&amp;"*",'來案暨出貨明細表-基因檢測(201904起'!$B:$B,AX$1)*$B11+COUNTIFS('來案暨出貨明細表-基因檢測(201904起'!$P:$P,$A11&amp;"*",'來案暨出貨明細表-基因檢測(201904起'!$B:$B,AX$1,'來案暨出貨明細表-基因檢測(201904起'!$Q:$Q,"紙本&amp;電子")++COUNTIFS('來案暨出貨明細表-基因檢測(201904起'!$P:$P,$A11&amp;"*",'來案暨出貨明細表-基因檢測(201904起'!$B:$B,AX$1,'來案暨出貨明細表-基因檢測(201904起'!$R:$R,"中英")</f>
        <v>0</v>
      </c>
      <c r="AY11" s="33">
        <f>COUNTIFS('來案暨出貨明細表-基因檢測(201904起'!$P:$P,$A11&amp;"*",'來案暨出貨明細表-基因檢測(201904起'!$B:$B,AY$1)*$B11+COUNTIFS('來案暨出貨明細表-基因檢測(201904起'!$P:$P,$A11&amp;"*",'來案暨出貨明細表-基因檢測(201904起'!$B:$B,AY$1,'來案暨出貨明細表-基因檢測(201904起'!$Q:$Q,"紙本&amp;電子")++COUNTIFS('來案暨出貨明細表-基因檢測(201904起'!$P:$P,$A11&amp;"*",'來案暨出貨明細表-基因檢測(201904起'!$B:$B,AY$1,'來案暨出貨明細表-基因檢測(201904起'!$R:$R,"中英")</f>
        <v>0</v>
      </c>
      <c r="AZ11" s="33">
        <f>COUNTIFS('來案暨出貨明細表-基因檢測(201904起'!$P:$P,$A11&amp;"*",'來案暨出貨明細表-基因檢測(201904起'!$B:$B,AZ$1)*$B11+COUNTIFS('來案暨出貨明細表-基因檢測(201904起'!$P:$P,$A11&amp;"*",'來案暨出貨明細表-基因檢測(201904起'!$B:$B,AZ$1,'來案暨出貨明細表-基因檢測(201904起'!$Q:$Q,"紙本&amp;電子")++COUNTIFS('來案暨出貨明細表-基因檢測(201904起'!$P:$P,$A11&amp;"*",'來案暨出貨明細表-基因檢測(201904起'!$B:$B,AZ$1,'來案暨出貨明細表-基因檢測(201904起'!$R:$R,"中英")</f>
        <v>0</v>
      </c>
      <c r="BA11" s="33">
        <f>COUNTIFS('來案暨出貨明細表-基因檢測(201904起'!$P:$P,$A11&amp;"*",'來案暨出貨明細表-基因檢測(201904起'!$B:$B,BA$1)*$B11+COUNTIFS('來案暨出貨明細表-基因檢測(201904起'!$P:$P,$A11&amp;"*",'來案暨出貨明細表-基因檢測(201904起'!$B:$B,BA$1,'來案暨出貨明細表-基因檢測(201904起'!$Q:$Q,"紙本&amp;電子")++COUNTIFS('來案暨出貨明細表-基因檢測(201904起'!$P:$P,$A11&amp;"*",'來案暨出貨明細表-基因檢測(201904起'!$B:$B,BA$1,'來案暨出貨明細表-基因檢測(201904起'!$R:$R,"中英")</f>
        <v>0</v>
      </c>
      <c r="BB11" s="33">
        <f>COUNTIFS('來案暨出貨明細表-基因檢測(201904起'!$P:$P,$A11&amp;"*",'來案暨出貨明細表-基因檢測(201904起'!$B:$B,BB$1)*$B11+COUNTIFS('來案暨出貨明細表-基因檢測(201904起'!$P:$P,$A11&amp;"*",'來案暨出貨明細表-基因檢測(201904起'!$B:$B,BB$1,'來案暨出貨明細表-基因檢測(201904起'!$Q:$Q,"紙本&amp;電子")++COUNTIFS('來案暨出貨明細表-基因檢測(201904起'!$P:$P,$A11&amp;"*",'來案暨出貨明細表-基因檢測(201904起'!$B:$B,BB$1,'來案暨出貨明細表-基因檢測(201904起'!$R:$R,"中英")</f>
        <v>0</v>
      </c>
      <c r="BC11" s="33">
        <f>COUNTIFS('來案暨出貨明細表-基因檢測(201904起'!$P:$P,$A11&amp;"*",'來案暨出貨明細表-基因檢測(201904起'!$B:$B,BC$1)*$B11+COUNTIFS('來案暨出貨明細表-基因檢測(201904起'!$P:$P,$A11&amp;"*",'來案暨出貨明細表-基因檢測(201904起'!$B:$B,BC$1,'來案暨出貨明細表-基因檢測(201904起'!$Q:$Q,"紙本&amp;電子")++COUNTIFS('來案暨出貨明細表-基因檢測(201904起'!$P:$P,$A11&amp;"*",'來案暨出貨明細表-基因檢測(201904起'!$B:$B,BC$1,'來案暨出貨明細表-基因檢測(201904起'!$R:$R,"中英")</f>
        <v>0</v>
      </c>
      <c r="BD11" s="33">
        <f>COUNTIFS('來案暨出貨明細表-基因檢測(201904起'!$P:$P,$A11&amp;"*",'來案暨出貨明細表-基因檢測(201904起'!$B:$B,BD$1)*$B11+COUNTIFS('來案暨出貨明細表-基因檢測(201904起'!$P:$P,$A11&amp;"*",'來案暨出貨明細表-基因檢測(201904起'!$B:$B,BD$1,'來案暨出貨明細表-基因檢測(201904起'!$Q:$Q,"紙本&amp;電子")++COUNTIFS('來案暨出貨明細表-基因檢測(201904起'!$P:$P,$A11&amp;"*",'來案暨出貨明細表-基因檢測(201904起'!$B:$B,BD$1,'來案暨出貨明細表-基因檢測(201904起'!$R:$R,"中英")</f>
        <v>0</v>
      </c>
      <c r="BE11" s="33">
        <f>COUNTIFS('來案暨出貨明細表-基因檢測(201904起'!$P:$P,$A11&amp;"*",'來案暨出貨明細表-基因檢測(201904起'!$B:$B,BE$1)*$B11+COUNTIFS('來案暨出貨明細表-基因檢測(201904起'!$P:$P,$A11&amp;"*",'來案暨出貨明細表-基因檢測(201904起'!$B:$B,BE$1,'來案暨出貨明細表-基因檢測(201904起'!$Q:$Q,"紙本&amp;電子")++COUNTIFS('來案暨出貨明細表-基因檢測(201904起'!$P:$P,$A11&amp;"*",'來案暨出貨明細表-基因檢測(201904起'!$B:$B,BE$1,'來案暨出貨明細表-基因檢測(201904起'!$R:$R,"中英")</f>
        <v>0</v>
      </c>
      <c r="BF11" s="33">
        <f>COUNTIFS('來案暨出貨明細表-基因檢測(201904起'!$P:$P,$A11&amp;"*",'來案暨出貨明細表-基因檢測(201904起'!$B:$B,BF$1)*$B11+COUNTIFS('來案暨出貨明細表-基因檢測(201904起'!$P:$P,$A11&amp;"*",'來案暨出貨明細表-基因檢測(201904起'!$B:$B,BF$1,'來案暨出貨明細表-基因檢測(201904起'!$Q:$Q,"紙本&amp;電子")++COUNTIFS('來案暨出貨明細表-基因檢測(201904起'!$P:$P,$A11&amp;"*",'來案暨出貨明細表-基因檢測(201904起'!$B:$B,BF$1,'來案暨出貨明細表-基因檢測(201904起'!$R:$R,"中英")</f>
        <v>0</v>
      </c>
      <c r="BG11" s="33">
        <f>COUNTIFS('來案暨出貨明細表-基因檢測(201904起'!$P:$P,$A11&amp;"*",'來案暨出貨明細表-基因檢測(201904起'!$B:$B,BG$1)*$B11+COUNTIFS('來案暨出貨明細表-基因檢測(201904起'!$P:$P,$A11&amp;"*",'來案暨出貨明細表-基因檢測(201904起'!$B:$B,BG$1,'來案暨出貨明細表-基因檢測(201904起'!$Q:$Q,"紙本&amp;電子")++COUNTIFS('來案暨出貨明細表-基因檢測(201904起'!$P:$P,$A11&amp;"*",'來案暨出貨明細表-基因檢測(201904起'!$B:$B,BG$1,'來案暨出貨明細表-基因檢測(201904起'!$R:$R,"中英")</f>
        <v>0</v>
      </c>
      <c r="BH11" s="33">
        <f>COUNTIFS('來案暨出貨明細表-基因檢測(201904起'!$P:$P,$A11&amp;"*",'來案暨出貨明細表-基因檢測(201904起'!$B:$B,BH$1)*$B11+COUNTIFS('來案暨出貨明細表-基因檢測(201904起'!$P:$P,$A11&amp;"*",'來案暨出貨明細表-基因檢測(201904起'!$B:$B,BH$1,'來案暨出貨明細表-基因檢測(201904起'!$Q:$Q,"紙本&amp;電子")++COUNTIFS('來案暨出貨明細表-基因檢測(201904起'!$P:$P,$A11&amp;"*",'來案暨出貨明細表-基因檢測(201904起'!$B:$B,BH$1,'來案暨出貨明細表-基因檢測(201904起'!$R:$R,"中英")</f>
        <v>0</v>
      </c>
      <c r="BI11" s="33">
        <f>COUNTIFS('來案暨出貨明細表-基因檢測(201904起'!$P:$P,$A11&amp;"*",'來案暨出貨明細表-基因檢測(201904起'!$B:$B,BI$1)*$B11+COUNTIFS('來案暨出貨明細表-基因檢測(201904起'!$P:$P,$A11&amp;"*",'來案暨出貨明細表-基因檢測(201904起'!$B:$B,BI$1,'來案暨出貨明細表-基因檢測(201904起'!$Q:$Q,"紙本&amp;電子")++COUNTIFS('來案暨出貨明細表-基因檢測(201904起'!$P:$P,$A11&amp;"*",'來案暨出貨明細表-基因檢測(201904起'!$B:$B,BI$1,'來案暨出貨明細表-基因檢測(201904起'!$R:$R,"中英")</f>
        <v>0</v>
      </c>
      <c r="BJ11" s="33">
        <f>COUNTIFS('來案暨出貨明細表-基因檢測(201904起'!$P:$P,$A11&amp;"*",'來案暨出貨明細表-基因檢測(201904起'!$B:$B,BJ$1)*$B11+COUNTIFS('來案暨出貨明細表-基因檢測(201904起'!$P:$P,$A11&amp;"*",'來案暨出貨明細表-基因檢測(201904起'!$B:$B,BJ$1,'來案暨出貨明細表-基因檢測(201904起'!$Q:$Q,"紙本&amp;電子")++COUNTIFS('來案暨出貨明細表-基因檢測(201904起'!$P:$P,$A11&amp;"*",'來案暨出貨明細表-基因檢測(201904起'!$B:$B,BJ$1,'來案暨出貨明細表-基因檢測(201904起'!$R:$R,"中英")</f>
        <v>0</v>
      </c>
      <c r="BK11" s="33">
        <f>COUNTIFS('來案暨出貨明細表-基因檢測(201904起'!$P:$P,$A11&amp;"*",'來案暨出貨明細表-基因檢測(201904起'!$B:$B,BK$1)*$B11+COUNTIFS('來案暨出貨明細表-基因檢測(201904起'!$P:$P,$A11&amp;"*",'來案暨出貨明細表-基因檢測(201904起'!$B:$B,BK$1,'來案暨出貨明細表-基因檢測(201904起'!$Q:$Q,"紙本&amp;電子")++COUNTIFS('來案暨出貨明細表-基因檢測(201904起'!$P:$P,$A11&amp;"*",'來案暨出貨明細表-基因檢測(201904起'!$B:$B,BK$1,'來案暨出貨明細表-基因檢測(201904起'!$R:$R,"中英")</f>
        <v>0</v>
      </c>
      <c r="BL11" s="33">
        <f>COUNTIFS('來案暨出貨明細表-基因檢測(201904起'!$P:$P,$A11&amp;"*",'來案暨出貨明細表-基因檢測(201904起'!$B:$B,BL$1)*$B11+COUNTIFS('來案暨出貨明細表-基因檢測(201904起'!$P:$P,$A11&amp;"*",'來案暨出貨明細表-基因檢測(201904起'!$B:$B,BL$1,'來案暨出貨明細表-基因檢測(201904起'!$Q:$Q,"紙本&amp;電子")++COUNTIFS('來案暨出貨明細表-基因檢測(201904起'!$P:$P,$A11&amp;"*",'來案暨出貨明細表-基因檢測(201904起'!$B:$B,BL$1,'來案暨出貨明細表-基因檢測(201904起'!$R:$R,"中英")</f>
        <v>0</v>
      </c>
      <c r="BM11" s="33">
        <f>COUNTIFS('來案暨出貨明細表-基因檢測(201904起'!$P:$P,$A11&amp;"*",'來案暨出貨明細表-基因檢測(201904起'!$B:$B,BM$1)*$B11+COUNTIFS('來案暨出貨明細表-基因檢測(201904起'!$P:$P,$A11&amp;"*",'來案暨出貨明細表-基因檢測(201904起'!$B:$B,BM$1,'來案暨出貨明細表-基因檢測(201904起'!$Q:$Q,"紙本&amp;電子")++COUNTIFS('來案暨出貨明細表-基因檢測(201904起'!$P:$P,$A11&amp;"*",'來案暨出貨明細表-基因檢測(201904起'!$B:$B,BM$1,'來案暨出貨明細表-基因檢測(201904起'!$R:$R,"中英")</f>
        <v>0</v>
      </c>
    </row>
    <row r="12" spans="1:65" ht="15" customHeight="1">
      <c r="A12" s="9" t="s">
        <v>3992</v>
      </c>
      <c r="B12" s="9">
        <v>1</v>
      </c>
      <c r="C12" s="13" t="s">
        <v>3993</v>
      </c>
      <c r="D12" s="142" t="s">
        <v>3994</v>
      </c>
      <c r="E12" s="33">
        <f>COUNTIFS('來案暨出貨明細表-基因檢測(201904起'!$P:$P,$A12&amp;"*",'來案暨出貨明細表-基因檢測(201904起'!$B:$B,E$1)*$B12+COUNTIFS('來案暨出貨明細表-基因檢測(201904起'!$P:$P,$A12&amp;"*",'來案暨出貨明細表-基因檢測(201904起'!$B:$B,E$1,'來案暨出貨明細表-基因檢測(201904起'!$Q:$Q,"紙本&amp;電子")++COUNTIFS('來案暨出貨明細表-基因檢測(201904起'!$P:$P,$A12&amp;"*",'來案暨出貨明細表-基因檢測(201904起'!$B:$B,E$1,'來案暨出貨明細表-基因檢測(201904起'!$R:$R,"中英")</f>
        <v>0</v>
      </c>
      <c r="F12" s="33">
        <f>COUNTIFS('來案暨出貨明細表-基因檢測(201904起'!$P:$P,$A12&amp;"*",'來案暨出貨明細表-基因檢測(201904起'!$B:$B,F$1)*$B12+COUNTIFS('來案暨出貨明細表-基因檢測(201904起'!$P:$P,$A12&amp;"*",'來案暨出貨明細表-基因檢測(201904起'!$B:$B,F$1,'來案暨出貨明細表-基因檢測(201904起'!$Q:$Q,"紙本&amp;電子")++COUNTIFS('來案暨出貨明細表-基因檢測(201904起'!$P:$P,$A12&amp;"*",'來案暨出貨明細表-基因檢測(201904起'!$B:$B,F$1,'來案暨出貨明細表-基因檢測(201904起'!$R:$R,"中英")</f>
        <v>0</v>
      </c>
      <c r="G12" s="33">
        <f>COUNTIFS('來案暨出貨明細表-基因檢測(201904起'!$P:$P,$A12&amp;"*",'來案暨出貨明細表-基因檢測(201904起'!$B:$B,G$1)*$B12+COUNTIFS('來案暨出貨明細表-基因檢測(201904起'!$P:$P,$A12&amp;"*",'來案暨出貨明細表-基因檢測(201904起'!$B:$B,G$1,'來案暨出貨明細表-基因檢測(201904起'!$Q:$Q,"紙本&amp;電子")++COUNTIFS('來案暨出貨明細表-基因檢測(201904起'!$P:$P,$A12&amp;"*",'來案暨出貨明細表-基因檢測(201904起'!$B:$B,G$1,'來案暨出貨明細表-基因檢測(201904起'!$R:$R,"中英")</f>
        <v>0</v>
      </c>
      <c r="H12" s="33">
        <f>COUNTIFS('來案暨出貨明細表-基因檢測(201904起'!$P:$P,$A12&amp;"*",'來案暨出貨明細表-基因檢測(201904起'!$B:$B,H$1)*$B12+COUNTIFS('來案暨出貨明細表-基因檢測(201904起'!$P:$P,$A12&amp;"*",'來案暨出貨明細表-基因檢測(201904起'!$B:$B,H$1,'來案暨出貨明細表-基因檢測(201904起'!$Q:$Q,"紙本&amp;電子")++COUNTIFS('來案暨出貨明細表-基因檢測(201904起'!$P:$P,$A12&amp;"*",'來案暨出貨明細表-基因檢測(201904起'!$B:$B,H$1,'來案暨出貨明細表-基因檢測(201904起'!$R:$R,"中英")</f>
        <v>0</v>
      </c>
      <c r="I12" s="33">
        <f>COUNTIFS('來案暨出貨明細表-基因檢測(201904起'!$P:$P,$A12&amp;"*",'來案暨出貨明細表-基因檢測(201904起'!$B:$B,I$1)*$B12+COUNTIFS('來案暨出貨明細表-基因檢測(201904起'!$P:$P,$A12&amp;"*",'來案暨出貨明細表-基因檢測(201904起'!$B:$B,I$1,'來案暨出貨明細表-基因檢測(201904起'!$Q:$Q,"紙本&amp;電子")++COUNTIFS('來案暨出貨明細表-基因檢測(201904起'!$P:$P,$A12&amp;"*",'來案暨出貨明細表-基因檢測(201904起'!$B:$B,I$1,'來案暨出貨明細表-基因檢測(201904起'!$R:$R,"中英")</f>
        <v>0</v>
      </c>
      <c r="J12" s="33">
        <f>COUNTIFS('來案暨出貨明細表-基因檢測(201904起'!$P:$P,$A12&amp;"*",'來案暨出貨明細表-基因檢測(201904起'!$B:$B,J$1)*$B12+COUNTIFS('來案暨出貨明細表-基因檢測(201904起'!$P:$P,$A12&amp;"*",'來案暨出貨明細表-基因檢測(201904起'!$B:$B,J$1,'來案暨出貨明細表-基因檢測(201904起'!$Q:$Q,"紙本&amp;電子")++COUNTIFS('來案暨出貨明細表-基因檢測(201904起'!$P:$P,$A12&amp;"*",'來案暨出貨明細表-基因檢測(201904起'!$B:$B,J$1,'來案暨出貨明細表-基因檢測(201904起'!$R:$R,"中英")</f>
        <v>0</v>
      </c>
      <c r="K12" s="33">
        <f>COUNTIFS('來案暨出貨明細表-基因檢測(201904起'!$P:$P,$A12&amp;"*",'來案暨出貨明細表-基因檢測(201904起'!$B:$B,K$1)*$B12+COUNTIFS('來案暨出貨明細表-基因檢測(201904起'!$P:$P,$A12&amp;"*",'來案暨出貨明細表-基因檢測(201904起'!$B:$B,K$1,'來案暨出貨明細表-基因檢測(201904起'!$Q:$Q,"紙本&amp;電子")++COUNTIFS('來案暨出貨明細表-基因檢測(201904起'!$P:$P,$A12&amp;"*",'來案暨出貨明細表-基因檢測(201904起'!$B:$B,K$1,'來案暨出貨明細表-基因檢測(201904起'!$R:$R,"中英")</f>
        <v>0</v>
      </c>
      <c r="L12" s="33">
        <f>COUNTIFS('來案暨出貨明細表-基因檢測(201904起'!$P:$P,$A12&amp;"*",'來案暨出貨明細表-基因檢測(201904起'!$B:$B,L$1)*$B12+COUNTIFS('來案暨出貨明細表-基因檢測(201904起'!$P:$P,$A12&amp;"*",'來案暨出貨明細表-基因檢測(201904起'!$B:$B,L$1,'來案暨出貨明細表-基因檢測(201904起'!$Q:$Q,"紙本&amp;電子")++COUNTIFS('來案暨出貨明細表-基因檢測(201904起'!$P:$P,$A12&amp;"*",'來案暨出貨明細表-基因檢測(201904起'!$B:$B,L$1,'來案暨出貨明細表-基因檢測(201904起'!$R:$R,"中英")</f>
        <v>0</v>
      </c>
      <c r="M12" s="33">
        <f>COUNTIFS('來案暨出貨明細表-基因檢測(201904起'!$P:$P,$A12&amp;"*",'來案暨出貨明細表-基因檢測(201904起'!$B:$B,M$1)*$B12+COUNTIFS('來案暨出貨明細表-基因檢測(201904起'!$P:$P,$A12&amp;"*",'來案暨出貨明細表-基因檢測(201904起'!$B:$B,M$1,'來案暨出貨明細表-基因檢測(201904起'!$Q:$Q,"紙本&amp;電子")++COUNTIFS('來案暨出貨明細表-基因檢測(201904起'!$P:$P,$A12&amp;"*",'來案暨出貨明細表-基因檢測(201904起'!$B:$B,M$1,'來案暨出貨明細表-基因檢測(201904起'!$R:$R,"中英")</f>
        <v>0</v>
      </c>
      <c r="N12" s="33">
        <f>COUNTIFS('來案暨出貨明細表-基因檢測(201904起'!$P:$P,$A12&amp;"*",'來案暨出貨明細表-基因檢測(201904起'!$B:$B,N$1)*$B12+COUNTIFS('來案暨出貨明細表-基因檢測(201904起'!$P:$P,$A12&amp;"*",'來案暨出貨明細表-基因檢測(201904起'!$B:$B,N$1,'來案暨出貨明細表-基因檢測(201904起'!$Q:$Q,"紙本&amp;電子")++COUNTIFS('來案暨出貨明細表-基因檢測(201904起'!$P:$P,$A12&amp;"*",'來案暨出貨明細表-基因檢測(201904起'!$B:$B,N$1,'來案暨出貨明細表-基因檢測(201904起'!$R:$R,"中英")</f>
        <v>0</v>
      </c>
      <c r="O12" s="33">
        <f>COUNTIFS('來案暨出貨明細表-基因檢測(201904起'!$P:$P,$A12&amp;"*",'來案暨出貨明細表-基因檢測(201904起'!$B:$B,O$1)*$B12+COUNTIFS('來案暨出貨明細表-基因檢測(201904起'!$P:$P,$A12&amp;"*",'來案暨出貨明細表-基因檢測(201904起'!$B:$B,O$1,'來案暨出貨明細表-基因檢測(201904起'!$Q:$Q,"紙本&amp;電子")++COUNTIFS('來案暨出貨明細表-基因檢測(201904起'!$P:$P,$A12&amp;"*",'來案暨出貨明細表-基因檢測(201904起'!$B:$B,O$1,'來案暨出貨明細表-基因檢測(201904起'!$R:$R,"中英")</f>
        <v>0</v>
      </c>
      <c r="P12" s="33">
        <f>COUNTIFS('來案暨出貨明細表-基因檢測(201904起'!$P:$P,$A12&amp;"*",'來案暨出貨明細表-基因檢測(201904起'!$B:$B,P$1)*$B12+COUNTIFS('來案暨出貨明細表-基因檢測(201904起'!$P:$P,$A12&amp;"*",'來案暨出貨明細表-基因檢測(201904起'!$B:$B,P$1,'來案暨出貨明細表-基因檢測(201904起'!$Q:$Q,"紙本&amp;電子")++COUNTIFS('來案暨出貨明細表-基因檢測(201904起'!$P:$P,$A12&amp;"*",'來案暨出貨明細表-基因檢測(201904起'!$B:$B,P$1,'來案暨出貨明細表-基因檢測(201904起'!$R:$R,"中英")</f>
        <v>0</v>
      </c>
      <c r="Q12" s="33">
        <f>COUNTIFS('來案暨出貨明細表-基因檢測(201904起'!$P:$P,$A12&amp;"*",'來案暨出貨明細表-基因檢測(201904起'!$B:$B,Q$1)*$B12+COUNTIFS('來案暨出貨明細表-基因檢測(201904起'!$P:$P,$A12&amp;"*",'來案暨出貨明細表-基因檢測(201904起'!$B:$B,Q$1,'來案暨出貨明細表-基因檢測(201904起'!$Q:$Q,"紙本&amp;電子")++COUNTIFS('來案暨出貨明細表-基因檢測(201904起'!$P:$P,$A12&amp;"*",'來案暨出貨明細表-基因檢測(201904起'!$B:$B,Q$1,'來案暨出貨明細表-基因檢測(201904起'!$R:$R,"中英")</f>
        <v>0</v>
      </c>
      <c r="R12" s="33">
        <f>COUNTIFS('來案暨出貨明細表-基因檢測(201904起'!$P:$P,$A12&amp;"*",'來案暨出貨明細表-基因檢測(201904起'!$B:$B,R$1)*$B12+COUNTIFS('來案暨出貨明細表-基因檢測(201904起'!$P:$P,$A12&amp;"*",'來案暨出貨明細表-基因檢測(201904起'!$B:$B,R$1,'來案暨出貨明細表-基因檢測(201904起'!$Q:$Q,"紙本&amp;電子")++COUNTIFS('來案暨出貨明細表-基因檢測(201904起'!$P:$P,$A12&amp;"*",'來案暨出貨明細表-基因檢測(201904起'!$B:$B,R$1,'來案暨出貨明細表-基因檢測(201904起'!$R:$R,"中英")</f>
        <v>0</v>
      </c>
      <c r="S12" s="33">
        <f>COUNTIFS('來案暨出貨明細表-基因檢測(201904起'!$P:$P,$A12&amp;"*",'來案暨出貨明細表-基因檢測(201904起'!$B:$B,S$1)*$B12+COUNTIFS('來案暨出貨明細表-基因檢測(201904起'!$P:$P,$A12&amp;"*",'來案暨出貨明細表-基因檢測(201904起'!$B:$B,S$1,'來案暨出貨明細表-基因檢測(201904起'!$Q:$Q,"紙本&amp;電子")++COUNTIFS('來案暨出貨明細表-基因檢測(201904起'!$P:$P,$A12&amp;"*",'來案暨出貨明細表-基因檢測(201904起'!$B:$B,S$1,'來案暨出貨明細表-基因檢測(201904起'!$R:$R,"中英")</f>
        <v>0</v>
      </c>
      <c r="T12" s="33">
        <f>COUNTIFS('來案暨出貨明細表-基因檢測(201904起'!$P:$P,$A12&amp;"*",'來案暨出貨明細表-基因檢測(201904起'!$B:$B,T$1)*$B12+COUNTIFS('來案暨出貨明細表-基因檢測(201904起'!$P:$P,$A12&amp;"*",'來案暨出貨明細表-基因檢測(201904起'!$B:$B,T$1,'來案暨出貨明細表-基因檢測(201904起'!$Q:$Q,"紙本&amp;電子")++COUNTIFS('來案暨出貨明細表-基因檢測(201904起'!$P:$P,$A12&amp;"*",'來案暨出貨明細表-基因檢測(201904起'!$B:$B,T$1,'來案暨出貨明細表-基因檢測(201904起'!$R:$R,"中英")</f>
        <v>2</v>
      </c>
      <c r="U12" s="33">
        <f>COUNTIFS('來案暨出貨明細表-基因檢測(201904起'!$P:$P,$A12&amp;"*",'來案暨出貨明細表-基因檢測(201904起'!$B:$B,U$1)*$B12+COUNTIFS('來案暨出貨明細表-基因檢測(201904起'!$P:$P,$A12&amp;"*",'來案暨出貨明細表-基因檢測(201904起'!$B:$B,U$1,'來案暨出貨明細表-基因檢測(201904起'!$Q:$Q,"紙本&amp;電子")++COUNTIFS('來案暨出貨明細表-基因檢測(201904起'!$P:$P,$A12&amp;"*",'來案暨出貨明細表-基因檢測(201904起'!$B:$B,U$1,'來案暨出貨明細表-基因檢測(201904起'!$R:$R,"中英")</f>
        <v>0</v>
      </c>
      <c r="V12" s="33">
        <f>COUNTIFS('來案暨出貨明細表-基因檢測(201904起'!$P:$P,$A12&amp;"*",'來案暨出貨明細表-基因檢測(201904起'!$B:$B,V$1)*$B12+COUNTIFS('來案暨出貨明細表-基因檢測(201904起'!$P:$P,$A12&amp;"*",'來案暨出貨明細表-基因檢測(201904起'!$B:$B,V$1,'來案暨出貨明細表-基因檢測(201904起'!$Q:$Q,"紙本&amp;電子")++COUNTIFS('來案暨出貨明細表-基因檢測(201904起'!$P:$P,$A12&amp;"*",'來案暨出貨明細表-基因檢測(201904起'!$B:$B,V$1,'來案暨出貨明細表-基因檢測(201904起'!$R:$R,"中英")</f>
        <v>0</v>
      </c>
      <c r="W12" s="33">
        <f>COUNTIFS('來案暨出貨明細表-基因檢測(201904起'!$P:$P,$A12&amp;"*",'來案暨出貨明細表-基因檢測(201904起'!$B:$B,W$1)*$B12+COUNTIFS('來案暨出貨明細表-基因檢測(201904起'!$P:$P,$A12&amp;"*",'來案暨出貨明細表-基因檢測(201904起'!$B:$B,W$1,'來案暨出貨明細表-基因檢測(201904起'!$Q:$Q,"紙本&amp;電子")++COUNTIFS('來案暨出貨明細表-基因檢測(201904起'!$P:$P,$A12&amp;"*",'來案暨出貨明細表-基因檢測(201904起'!$B:$B,W$1,'來案暨出貨明細表-基因檢測(201904起'!$R:$R,"中英")</f>
        <v>0</v>
      </c>
      <c r="X12" s="33">
        <f>COUNTIFS('來案暨出貨明細表-基因檢測(201904起'!$P:$P,$A12&amp;"*",'來案暨出貨明細表-基因檢測(201904起'!$B:$B,X$1)*$B12+COUNTIFS('來案暨出貨明細表-基因檢測(201904起'!$P:$P,$A12&amp;"*",'來案暨出貨明細表-基因檢測(201904起'!$B:$B,X$1,'來案暨出貨明細表-基因檢測(201904起'!$Q:$Q,"紙本&amp;電子")++COUNTIFS('來案暨出貨明細表-基因檢測(201904起'!$P:$P,$A12&amp;"*",'來案暨出貨明細表-基因檢測(201904起'!$B:$B,X$1,'來案暨出貨明細表-基因檢測(201904起'!$R:$R,"中英")</f>
        <v>0</v>
      </c>
      <c r="Y12" s="33">
        <f>COUNTIFS('來案暨出貨明細表-基因檢測(201904起'!$P:$P,$A12&amp;"*",'來案暨出貨明細表-基因檢測(201904起'!$B:$B,Y$1)*$B12+COUNTIFS('來案暨出貨明細表-基因檢測(201904起'!$P:$P,$A12&amp;"*",'來案暨出貨明細表-基因檢測(201904起'!$B:$B,Y$1,'來案暨出貨明細表-基因檢測(201904起'!$Q:$Q,"紙本&amp;電子")++COUNTIFS('來案暨出貨明細表-基因檢測(201904起'!$P:$P,$A12&amp;"*",'來案暨出貨明細表-基因檢測(201904起'!$B:$B,Y$1,'來案暨出貨明細表-基因檢測(201904起'!$R:$R,"中英")</f>
        <v>0</v>
      </c>
      <c r="Z12" s="33">
        <f>COUNTIFS('來案暨出貨明細表-基因檢測(201904起'!$P:$P,$A12&amp;"*",'來案暨出貨明細表-基因檢測(201904起'!$B:$B,Z$1)*$B12+COUNTIFS('來案暨出貨明細表-基因檢測(201904起'!$P:$P,$A12&amp;"*",'來案暨出貨明細表-基因檢測(201904起'!$B:$B,Z$1,'來案暨出貨明細表-基因檢測(201904起'!$Q:$Q,"紙本&amp;電子")++COUNTIFS('來案暨出貨明細表-基因檢測(201904起'!$P:$P,$A12&amp;"*",'來案暨出貨明細表-基因檢測(201904起'!$B:$B,Z$1,'來案暨出貨明細表-基因檢測(201904起'!$R:$R,"中英")</f>
        <v>0</v>
      </c>
      <c r="AA12" s="33">
        <f>COUNTIFS('來案暨出貨明細表-基因檢測(201904起'!$P:$P,$A12&amp;"*",'來案暨出貨明細表-基因檢測(201904起'!$B:$B,AA$1)*$B12+COUNTIFS('來案暨出貨明細表-基因檢測(201904起'!$P:$P,$A12&amp;"*",'來案暨出貨明細表-基因檢測(201904起'!$B:$B,AA$1,'來案暨出貨明細表-基因檢測(201904起'!$Q:$Q,"紙本&amp;電子")++COUNTIFS('來案暨出貨明細表-基因檢測(201904起'!$P:$P,$A12&amp;"*",'來案暨出貨明細表-基因檢測(201904起'!$B:$B,AA$1,'來案暨出貨明細表-基因檢測(201904起'!$R:$R,"中英")</f>
        <v>2</v>
      </c>
      <c r="AB12" s="33">
        <f>COUNTIFS('來案暨出貨明細表-基因檢測(201904起'!$P:$P,$A12&amp;"*",'來案暨出貨明細表-基因檢測(201904起'!$B:$B,AB$1)*$B12+COUNTIFS('來案暨出貨明細表-基因檢測(201904起'!$P:$P,$A12&amp;"*",'來案暨出貨明細表-基因檢測(201904起'!$B:$B,AB$1,'來案暨出貨明細表-基因檢測(201904起'!$Q:$Q,"紙本&amp;電子")++COUNTIFS('來案暨出貨明細表-基因檢測(201904起'!$P:$P,$A12&amp;"*",'來案暨出貨明細表-基因檢測(201904起'!$B:$B,AB$1,'來案暨出貨明細表-基因檢測(201904起'!$R:$R,"中英")</f>
        <v>0</v>
      </c>
      <c r="AC12" s="33">
        <f>COUNTIFS('來案暨出貨明細表-基因檢測(201904起'!$P:$P,$A12&amp;"*",'來案暨出貨明細表-基因檢測(201904起'!$B:$B,AC$1)*$B12+COUNTIFS('來案暨出貨明細表-基因檢測(201904起'!$P:$P,$A12&amp;"*",'來案暨出貨明細表-基因檢測(201904起'!$B:$B,AC$1,'來案暨出貨明細表-基因檢測(201904起'!$Q:$Q,"紙本&amp;電子")++COUNTIFS('來案暨出貨明細表-基因檢測(201904起'!$P:$P,$A12&amp;"*",'來案暨出貨明細表-基因檢測(201904起'!$B:$B,AC$1,'來案暨出貨明細表-基因檢測(201904起'!$R:$R,"中英")</f>
        <v>1</v>
      </c>
      <c r="AD12" s="33">
        <f>COUNTIFS('來案暨出貨明細表-基因檢測(201904起'!$P:$P,$A12&amp;"*",'來案暨出貨明細表-基因檢測(201904起'!$B:$B,AD$1)*$B12+COUNTIFS('來案暨出貨明細表-基因檢測(201904起'!$P:$P,$A12&amp;"*",'來案暨出貨明細表-基因檢測(201904起'!$B:$B,AD$1,'來案暨出貨明細表-基因檢測(201904起'!$Q:$Q,"紙本&amp;電子")++COUNTIFS('來案暨出貨明細表-基因檢測(201904起'!$P:$P,$A12&amp;"*",'來案暨出貨明細表-基因檢測(201904起'!$B:$B,AD$1,'來案暨出貨明細表-基因檢測(201904起'!$R:$R,"中英")</f>
        <v>0</v>
      </c>
      <c r="AE12" s="33">
        <f>COUNTIFS('來案暨出貨明細表-基因檢測(201904起'!$P:$P,$A12&amp;"*",'來案暨出貨明細表-基因檢測(201904起'!$B:$B,AE$1)*$B12+COUNTIFS('來案暨出貨明細表-基因檢測(201904起'!$P:$P,$A12&amp;"*",'來案暨出貨明細表-基因檢測(201904起'!$B:$B,AE$1,'來案暨出貨明細表-基因檢測(201904起'!$Q:$Q,"紙本&amp;電子")++COUNTIFS('來案暨出貨明細表-基因檢測(201904起'!$P:$P,$A12&amp;"*",'來案暨出貨明細表-基因檢測(201904起'!$B:$B,AE$1,'來案暨出貨明細表-基因檢測(201904起'!$R:$R,"中英")</f>
        <v>0</v>
      </c>
      <c r="AF12" s="33">
        <f>COUNTIFS('來案暨出貨明細表-基因檢測(201904起'!$P:$P,$A12&amp;"*",'來案暨出貨明細表-基因檢測(201904起'!$B:$B,AF$1)*$B12+COUNTIFS('來案暨出貨明細表-基因檢測(201904起'!$P:$P,$A12&amp;"*",'來案暨出貨明細表-基因檢測(201904起'!$B:$B,AF$1,'來案暨出貨明細表-基因檢測(201904起'!$Q:$Q,"紙本&amp;電子")++COUNTIFS('來案暨出貨明細表-基因檢測(201904起'!$P:$P,$A12&amp;"*",'來案暨出貨明細表-基因檢測(201904起'!$B:$B,AF$1,'來案暨出貨明細表-基因檢測(201904起'!$R:$R,"中英")</f>
        <v>3</v>
      </c>
      <c r="AG12" s="33">
        <f>COUNTIFS('來案暨出貨明細表-基因檢測(201904起'!$P:$P,$A12&amp;"*",'來案暨出貨明細表-基因檢測(201904起'!$B:$B,AG$1)*$B12+COUNTIFS('來案暨出貨明細表-基因檢測(201904起'!$P:$P,$A12&amp;"*",'來案暨出貨明細表-基因檢測(201904起'!$B:$B,AG$1,'來案暨出貨明細表-基因檢測(201904起'!$Q:$Q,"紙本&amp;電子")++COUNTIFS('來案暨出貨明細表-基因檢測(201904起'!$P:$P,$A12&amp;"*",'來案暨出貨明細表-基因檢測(201904起'!$B:$B,AG$1,'來案暨出貨明細表-基因檢測(201904起'!$R:$R,"中英")</f>
        <v>0</v>
      </c>
      <c r="AH12" s="33">
        <f>COUNTIFS('來案暨出貨明細表-基因檢測(201904起'!$P:$P,$A12&amp;"*",'來案暨出貨明細表-基因檢測(201904起'!$B:$B,AH$1)*$B12+COUNTIFS('來案暨出貨明細表-基因檢測(201904起'!$P:$P,$A12&amp;"*",'來案暨出貨明細表-基因檢測(201904起'!$B:$B,AH$1,'來案暨出貨明細表-基因檢測(201904起'!$Q:$Q,"紙本&amp;電子")++COUNTIFS('來案暨出貨明細表-基因檢測(201904起'!$P:$P,$A12&amp;"*",'來案暨出貨明細表-基因檢測(201904起'!$B:$B,AH$1,'來案暨出貨明細表-基因檢測(201904起'!$R:$R,"中英")</f>
        <v>0</v>
      </c>
      <c r="AI12" s="33">
        <f>COUNTIFS('來案暨出貨明細表-基因檢測(201904起'!$P:$P,$A12&amp;"*",'來案暨出貨明細表-基因檢測(201904起'!$B:$B,AI$1)*$B12+COUNTIFS('來案暨出貨明細表-基因檢測(201904起'!$P:$P,$A12&amp;"*",'來案暨出貨明細表-基因檢測(201904起'!$B:$B,AI$1,'來案暨出貨明細表-基因檢測(201904起'!$Q:$Q,"紙本&amp;電子")++COUNTIFS('來案暨出貨明細表-基因檢測(201904起'!$P:$P,$A12&amp;"*",'來案暨出貨明細表-基因檢測(201904起'!$B:$B,AI$1,'來案暨出貨明細表-基因檢測(201904起'!$R:$R,"中英")</f>
        <v>0</v>
      </c>
      <c r="AJ12" s="33">
        <f>COUNTIFS('來案暨出貨明細表-基因檢測(201904起'!$P:$P,$A12&amp;"*",'來案暨出貨明細表-基因檢測(201904起'!$B:$B,AJ$1)*$B12+COUNTIFS('來案暨出貨明細表-基因檢測(201904起'!$P:$P,$A12&amp;"*",'來案暨出貨明細表-基因檢測(201904起'!$B:$B,AJ$1,'來案暨出貨明細表-基因檢測(201904起'!$Q:$Q,"紙本&amp;電子")++COUNTIFS('來案暨出貨明細表-基因檢測(201904起'!$P:$P,$A12&amp;"*",'來案暨出貨明細表-基因檢測(201904起'!$B:$B,AJ$1,'來案暨出貨明細表-基因檢測(201904起'!$R:$R,"中英")</f>
        <v>0</v>
      </c>
      <c r="AK12" s="33">
        <f>COUNTIFS('來案暨出貨明細表-基因檢測(201904起'!$P:$P,$A12&amp;"*",'來案暨出貨明細表-基因檢測(201904起'!$B:$B,AK$1)*$B12+COUNTIFS('來案暨出貨明細表-基因檢測(201904起'!$P:$P,$A12&amp;"*",'來案暨出貨明細表-基因檢測(201904起'!$B:$B,AK$1,'來案暨出貨明細表-基因檢測(201904起'!$Q:$Q,"紙本&amp;電子")++COUNTIFS('來案暨出貨明細表-基因檢測(201904起'!$P:$P,$A12&amp;"*",'來案暨出貨明細表-基因檢測(201904起'!$B:$B,AK$1,'來案暨出貨明細表-基因檢測(201904起'!$R:$R,"中英")</f>
        <v>0</v>
      </c>
      <c r="AL12" s="33">
        <f>COUNTIFS('來案暨出貨明細表-基因檢測(201904起'!$P:$P,$A12&amp;"*",'來案暨出貨明細表-基因檢測(201904起'!$B:$B,AL$1)*$B12+COUNTIFS('來案暨出貨明細表-基因檢測(201904起'!$P:$P,$A12&amp;"*",'來案暨出貨明細表-基因檢測(201904起'!$B:$B,AL$1,'來案暨出貨明細表-基因檢測(201904起'!$Q:$Q,"紙本&amp;電子")++COUNTIFS('來案暨出貨明細表-基因檢測(201904起'!$P:$P,$A12&amp;"*",'來案暨出貨明細表-基因檢測(201904起'!$B:$B,AL$1,'來案暨出貨明細表-基因檢測(201904起'!$R:$R,"中英")</f>
        <v>0</v>
      </c>
      <c r="AM12" s="33">
        <f>COUNTIFS('來案暨出貨明細表-基因檢測(201904起'!$P:$P,$A12&amp;"*",'來案暨出貨明細表-基因檢測(201904起'!$B:$B,AM$1)*$B12+COUNTIFS('來案暨出貨明細表-基因檢測(201904起'!$P:$P,$A12&amp;"*",'來案暨出貨明細表-基因檢測(201904起'!$B:$B,AM$1,'來案暨出貨明細表-基因檢測(201904起'!$Q:$Q,"紙本&amp;電子")++COUNTIFS('來案暨出貨明細表-基因檢測(201904起'!$P:$P,$A12&amp;"*",'來案暨出貨明細表-基因檢測(201904起'!$B:$B,AM$1,'來案暨出貨明細表-基因檢測(201904起'!$R:$R,"中英")</f>
        <v>0</v>
      </c>
      <c r="AN12" s="33">
        <f>COUNTIFS('來案暨出貨明細表-基因檢測(201904起'!$P:$P,$A12&amp;"*",'來案暨出貨明細表-基因檢測(201904起'!$B:$B,AN$1)*$B12+COUNTIFS('來案暨出貨明細表-基因檢測(201904起'!$P:$P,$A12&amp;"*",'來案暨出貨明細表-基因檢測(201904起'!$B:$B,AN$1,'來案暨出貨明細表-基因檢測(201904起'!$Q:$Q,"紙本&amp;電子")++COUNTIFS('來案暨出貨明細表-基因檢測(201904起'!$P:$P,$A12&amp;"*",'來案暨出貨明細表-基因檢測(201904起'!$B:$B,AN$1,'來案暨出貨明細表-基因檢測(201904起'!$R:$R,"中英")</f>
        <v>0</v>
      </c>
      <c r="AO12" s="33">
        <f>COUNTIFS('來案暨出貨明細表-基因檢測(201904起'!$P:$P,$A12&amp;"*",'來案暨出貨明細表-基因檢測(201904起'!$B:$B,AO$1)*$B12+COUNTIFS('來案暨出貨明細表-基因檢測(201904起'!$P:$P,$A12&amp;"*",'來案暨出貨明細表-基因檢測(201904起'!$B:$B,AO$1,'來案暨出貨明細表-基因檢測(201904起'!$Q:$Q,"紙本&amp;電子")++COUNTIFS('來案暨出貨明細表-基因檢測(201904起'!$P:$P,$A12&amp;"*",'來案暨出貨明細表-基因檢測(201904起'!$B:$B,AO$1,'來案暨出貨明細表-基因檢測(201904起'!$R:$R,"中英")</f>
        <v>0</v>
      </c>
      <c r="AP12" s="33">
        <f>COUNTIFS('來案暨出貨明細表-基因檢測(201904起'!$P:$P,$A12&amp;"*",'來案暨出貨明細表-基因檢測(201904起'!$B:$B,AP$1)*$B12+COUNTIFS('來案暨出貨明細表-基因檢測(201904起'!$P:$P,$A12&amp;"*",'來案暨出貨明細表-基因檢測(201904起'!$B:$B,AP$1,'來案暨出貨明細表-基因檢測(201904起'!$Q:$Q,"紙本&amp;電子")++COUNTIFS('來案暨出貨明細表-基因檢測(201904起'!$P:$P,$A12&amp;"*",'來案暨出貨明細表-基因檢測(201904起'!$B:$B,AP$1,'來案暨出貨明細表-基因檢測(201904起'!$R:$R,"中英")</f>
        <v>0</v>
      </c>
      <c r="AQ12" s="33">
        <f>COUNTIFS('來案暨出貨明細表-基因檢測(201904起'!$P:$P,$A12&amp;"*",'來案暨出貨明細表-基因檢測(201904起'!$B:$B,AQ$1)*$B12+COUNTIFS('來案暨出貨明細表-基因檢測(201904起'!$P:$P,$A12&amp;"*",'來案暨出貨明細表-基因檢測(201904起'!$B:$B,AQ$1,'來案暨出貨明細表-基因檢測(201904起'!$Q:$Q,"紙本&amp;電子")++COUNTIFS('來案暨出貨明細表-基因檢測(201904起'!$P:$P,$A12&amp;"*",'來案暨出貨明細表-基因檢測(201904起'!$B:$B,AQ$1,'來案暨出貨明細表-基因檢測(201904起'!$R:$R,"中英")</f>
        <v>3</v>
      </c>
      <c r="AR12" s="33">
        <f>COUNTIFS('來案暨出貨明細表-基因檢測(201904起'!$P:$P,$A12&amp;"*",'來案暨出貨明細表-基因檢測(201904起'!$B:$B,AR$1)*$B12+COUNTIFS('來案暨出貨明細表-基因檢測(201904起'!$P:$P,$A12&amp;"*",'來案暨出貨明細表-基因檢測(201904起'!$B:$B,AR$1,'來案暨出貨明細表-基因檢測(201904起'!$Q:$Q,"紙本&amp;電子")++COUNTIFS('來案暨出貨明細表-基因檢測(201904起'!$P:$P,$A12&amp;"*",'來案暨出貨明細表-基因檢測(201904起'!$B:$B,AR$1,'來案暨出貨明細表-基因檢測(201904起'!$R:$R,"中英")</f>
        <v>0</v>
      </c>
      <c r="AS12" s="33">
        <f>COUNTIFS('來案暨出貨明細表-基因檢測(201904起'!$P:$P,$A12&amp;"*",'來案暨出貨明細表-基因檢測(201904起'!$B:$B,AS$1)*$B12+COUNTIFS('來案暨出貨明細表-基因檢測(201904起'!$P:$P,$A12&amp;"*",'來案暨出貨明細表-基因檢測(201904起'!$B:$B,AS$1,'來案暨出貨明細表-基因檢測(201904起'!$Q:$Q,"紙本&amp;電子")++COUNTIFS('來案暨出貨明細表-基因檢測(201904起'!$P:$P,$A12&amp;"*",'來案暨出貨明細表-基因檢測(201904起'!$B:$B,AS$1,'來案暨出貨明細表-基因檢測(201904起'!$R:$R,"中英")</f>
        <v>0</v>
      </c>
      <c r="AT12" s="33">
        <f>COUNTIFS('來案暨出貨明細表-基因檢測(201904起'!$P:$P,$A12&amp;"*",'來案暨出貨明細表-基因檢測(201904起'!$B:$B,AT$1)*$B12+COUNTIFS('來案暨出貨明細表-基因檢測(201904起'!$P:$P,$A12&amp;"*",'來案暨出貨明細表-基因檢測(201904起'!$B:$B,AT$1,'來案暨出貨明細表-基因檢測(201904起'!$Q:$Q,"紙本&amp;電子")++COUNTIFS('來案暨出貨明細表-基因檢測(201904起'!$P:$P,$A12&amp;"*",'來案暨出貨明細表-基因檢測(201904起'!$B:$B,AT$1,'來案暨出貨明細表-基因檢測(201904起'!$R:$R,"中英")</f>
        <v>1</v>
      </c>
      <c r="AU12" s="33">
        <f>COUNTIFS('來案暨出貨明細表-基因檢測(201904起'!$P:$P,$A12&amp;"*",'來案暨出貨明細表-基因檢測(201904起'!$B:$B,AU$1)*$B12+COUNTIFS('來案暨出貨明細表-基因檢測(201904起'!$P:$P,$A12&amp;"*",'來案暨出貨明細表-基因檢測(201904起'!$B:$B,AU$1,'來案暨出貨明細表-基因檢測(201904起'!$Q:$Q,"紙本&amp;電子")++COUNTIFS('來案暨出貨明細表-基因檢測(201904起'!$P:$P,$A12&amp;"*",'來案暨出貨明細表-基因檢測(201904起'!$B:$B,AU$1,'來案暨出貨明細表-基因檢測(201904起'!$R:$R,"中英")</f>
        <v>0</v>
      </c>
      <c r="AV12" s="33">
        <f>COUNTIFS('來案暨出貨明細表-基因檢測(201904起'!$P:$P,$A12&amp;"*",'來案暨出貨明細表-基因檢測(201904起'!$B:$B,AV$1)*$B12+COUNTIFS('來案暨出貨明細表-基因檢測(201904起'!$P:$P,$A12&amp;"*",'來案暨出貨明細表-基因檢測(201904起'!$B:$B,AV$1,'來案暨出貨明細表-基因檢測(201904起'!$Q:$Q,"紙本&amp;電子")++COUNTIFS('來案暨出貨明細表-基因檢測(201904起'!$P:$P,$A12&amp;"*",'來案暨出貨明細表-基因檢測(201904起'!$B:$B,AV$1,'來案暨出貨明細表-基因檢測(201904起'!$R:$R,"中英")</f>
        <v>0</v>
      </c>
      <c r="AW12" s="33">
        <f>COUNTIFS('來案暨出貨明細表-基因檢測(201904起'!$P:$P,$A12&amp;"*",'來案暨出貨明細表-基因檢測(201904起'!$B:$B,AW$1)*$B12+COUNTIFS('來案暨出貨明細表-基因檢測(201904起'!$P:$P,$A12&amp;"*",'來案暨出貨明細表-基因檢測(201904起'!$B:$B,AW$1,'來案暨出貨明細表-基因檢測(201904起'!$Q:$Q,"紙本&amp;電子")++COUNTIFS('來案暨出貨明細表-基因檢測(201904起'!$P:$P,$A12&amp;"*",'來案暨出貨明細表-基因檢測(201904起'!$B:$B,AW$1,'來案暨出貨明細表-基因檢測(201904起'!$R:$R,"中英")</f>
        <v>0</v>
      </c>
      <c r="AX12" s="33">
        <f>COUNTIFS('來案暨出貨明細表-基因檢測(201904起'!$P:$P,$A12&amp;"*",'來案暨出貨明細表-基因檢測(201904起'!$B:$B,AX$1)*$B12+COUNTIFS('來案暨出貨明細表-基因檢測(201904起'!$P:$P,$A12&amp;"*",'來案暨出貨明細表-基因檢測(201904起'!$B:$B,AX$1,'來案暨出貨明細表-基因檢測(201904起'!$Q:$Q,"紙本&amp;電子")++COUNTIFS('來案暨出貨明細表-基因檢測(201904起'!$P:$P,$A12&amp;"*",'來案暨出貨明細表-基因檢測(201904起'!$B:$B,AX$1,'來案暨出貨明細表-基因檢測(201904起'!$R:$R,"中英")</f>
        <v>0</v>
      </c>
      <c r="AY12" s="33">
        <f>COUNTIFS('來案暨出貨明細表-基因檢測(201904起'!$P:$P,$A12&amp;"*",'來案暨出貨明細表-基因檢測(201904起'!$B:$B,AY$1)*$B12+COUNTIFS('來案暨出貨明細表-基因檢測(201904起'!$P:$P,$A12&amp;"*",'來案暨出貨明細表-基因檢測(201904起'!$B:$B,AY$1,'來案暨出貨明細表-基因檢測(201904起'!$Q:$Q,"紙本&amp;電子")++COUNTIFS('來案暨出貨明細表-基因檢測(201904起'!$P:$P,$A12&amp;"*",'來案暨出貨明細表-基因檢測(201904起'!$B:$B,AY$1,'來案暨出貨明細表-基因檢測(201904起'!$R:$R,"中英")</f>
        <v>0</v>
      </c>
      <c r="AZ12" s="33">
        <f>COUNTIFS('來案暨出貨明細表-基因檢測(201904起'!$P:$P,$A12&amp;"*",'來案暨出貨明細表-基因檢測(201904起'!$B:$B,AZ$1)*$B12+COUNTIFS('來案暨出貨明細表-基因檢測(201904起'!$P:$P,$A12&amp;"*",'來案暨出貨明細表-基因檢測(201904起'!$B:$B,AZ$1,'來案暨出貨明細表-基因檢測(201904起'!$Q:$Q,"紙本&amp;電子")++COUNTIFS('來案暨出貨明細表-基因檢測(201904起'!$P:$P,$A12&amp;"*",'來案暨出貨明細表-基因檢測(201904起'!$B:$B,AZ$1,'來案暨出貨明細表-基因檢測(201904起'!$R:$R,"中英")</f>
        <v>0</v>
      </c>
      <c r="BA12" s="33">
        <f>COUNTIFS('來案暨出貨明細表-基因檢測(201904起'!$P:$P,$A12&amp;"*",'來案暨出貨明細表-基因檢測(201904起'!$B:$B,BA$1)*$B12+COUNTIFS('來案暨出貨明細表-基因檢測(201904起'!$P:$P,$A12&amp;"*",'來案暨出貨明細表-基因檢測(201904起'!$B:$B,BA$1,'來案暨出貨明細表-基因檢測(201904起'!$Q:$Q,"紙本&amp;電子")++COUNTIFS('來案暨出貨明細表-基因檢測(201904起'!$P:$P,$A12&amp;"*",'來案暨出貨明細表-基因檢測(201904起'!$B:$B,BA$1,'來案暨出貨明細表-基因檢測(201904起'!$R:$R,"中英")</f>
        <v>0</v>
      </c>
      <c r="BB12" s="33">
        <f>COUNTIFS('來案暨出貨明細表-基因檢測(201904起'!$P:$P,$A12&amp;"*",'來案暨出貨明細表-基因檢測(201904起'!$B:$B,BB$1)*$B12+COUNTIFS('來案暨出貨明細表-基因檢測(201904起'!$P:$P,$A12&amp;"*",'來案暨出貨明細表-基因檢測(201904起'!$B:$B,BB$1,'來案暨出貨明細表-基因檢測(201904起'!$Q:$Q,"紙本&amp;電子")++COUNTIFS('來案暨出貨明細表-基因檢測(201904起'!$P:$P,$A12&amp;"*",'來案暨出貨明細表-基因檢測(201904起'!$B:$B,BB$1,'來案暨出貨明細表-基因檢測(201904起'!$R:$R,"中英")</f>
        <v>1</v>
      </c>
      <c r="BC12" s="33">
        <f>COUNTIFS('來案暨出貨明細表-基因檢測(201904起'!$P:$P,$A12&amp;"*",'來案暨出貨明細表-基因檢測(201904起'!$B:$B,BC$1)*$B12+COUNTIFS('來案暨出貨明細表-基因檢測(201904起'!$P:$P,$A12&amp;"*",'來案暨出貨明細表-基因檢測(201904起'!$B:$B,BC$1,'來案暨出貨明細表-基因檢測(201904起'!$Q:$Q,"紙本&amp;電子")++COUNTIFS('來案暨出貨明細表-基因檢測(201904起'!$P:$P,$A12&amp;"*",'來案暨出貨明細表-基因檢測(201904起'!$B:$B,BC$1,'來案暨出貨明細表-基因檢測(201904起'!$R:$R,"中英")</f>
        <v>0</v>
      </c>
      <c r="BD12" s="33">
        <f>COUNTIFS('來案暨出貨明細表-基因檢測(201904起'!$P:$P,$A12&amp;"*",'來案暨出貨明細表-基因檢測(201904起'!$B:$B,BD$1)*$B12+COUNTIFS('來案暨出貨明細表-基因檢測(201904起'!$P:$P,$A12&amp;"*",'來案暨出貨明細表-基因檢測(201904起'!$B:$B,BD$1,'來案暨出貨明細表-基因檢測(201904起'!$Q:$Q,"紙本&amp;電子")++COUNTIFS('來案暨出貨明細表-基因檢測(201904起'!$P:$P,$A12&amp;"*",'來案暨出貨明細表-基因檢測(201904起'!$B:$B,BD$1,'來案暨出貨明細表-基因檢測(201904起'!$R:$R,"中英")</f>
        <v>0</v>
      </c>
      <c r="BE12" s="33">
        <f>COUNTIFS('來案暨出貨明細表-基因檢測(201904起'!$P:$P,$A12&amp;"*",'來案暨出貨明細表-基因檢測(201904起'!$B:$B,BE$1)*$B12+COUNTIFS('來案暨出貨明細表-基因檢測(201904起'!$P:$P,$A12&amp;"*",'來案暨出貨明細表-基因檢測(201904起'!$B:$B,BE$1,'來案暨出貨明細表-基因檢測(201904起'!$Q:$Q,"紙本&amp;電子")++COUNTIFS('來案暨出貨明細表-基因檢測(201904起'!$P:$P,$A12&amp;"*",'來案暨出貨明細表-基因檢測(201904起'!$B:$B,BE$1,'來案暨出貨明細表-基因檢測(201904起'!$R:$R,"中英")</f>
        <v>0</v>
      </c>
      <c r="BF12" s="33">
        <f>COUNTIFS('來案暨出貨明細表-基因檢測(201904起'!$P:$P,$A12&amp;"*",'來案暨出貨明細表-基因檢測(201904起'!$B:$B,BF$1)*$B12+COUNTIFS('來案暨出貨明細表-基因檢測(201904起'!$P:$P,$A12&amp;"*",'來案暨出貨明細表-基因檢測(201904起'!$B:$B,BF$1,'來案暨出貨明細表-基因檢測(201904起'!$Q:$Q,"紙本&amp;電子")++COUNTIFS('來案暨出貨明細表-基因檢測(201904起'!$P:$P,$A12&amp;"*",'來案暨出貨明細表-基因檢測(201904起'!$B:$B,BF$1,'來案暨出貨明細表-基因檢測(201904起'!$R:$R,"中英")</f>
        <v>0</v>
      </c>
      <c r="BG12" s="33">
        <f>COUNTIFS('來案暨出貨明細表-基因檢測(201904起'!$P:$P,$A12&amp;"*",'來案暨出貨明細表-基因檢測(201904起'!$B:$B,BG$1)*$B12+COUNTIFS('來案暨出貨明細表-基因檢測(201904起'!$P:$P,$A12&amp;"*",'來案暨出貨明細表-基因檢測(201904起'!$B:$B,BG$1,'來案暨出貨明細表-基因檢測(201904起'!$Q:$Q,"紙本&amp;電子")++COUNTIFS('來案暨出貨明細表-基因檢測(201904起'!$P:$P,$A12&amp;"*",'來案暨出貨明細表-基因檢測(201904起'!$B:$B,BG$1,'來案暨出貨明細表-基因檢測(201904起'!$R:$R,"中英")</f>
        <v>0</v>
      </c>
      <c r="BH12" s="33">
        <f>COUNTIFS('來案暨出貨明細表-基因檢測(201904起'!$P:$P,$A12&amp;"*",'來案暨出貨明細表-基因檢測(201904起'!$B:$B,BH$1)*$B12+COUNTIFS('來案暨出貨明細表-基因檢測(201904起'!$P:$P,$A12&amp;"*",'來案暨出貨明細表-基因檢測(201904起'!$B:$B,BH$1,'來案暨出貨明細表-基因檢測(201904起'!$Q:$Q,"紙本&amp;電子")++COUNTIFS('來案暨出貨明細表-基因檢測(201904起'!$P:$P,$A12&amp;"*",'來案暨出貨明細表-基因檢測(201904起'!$B:$B,BH$1,'來案暨出貨明細表-基因檢測(201904起'!$R:$R,"中英")</f>
        <v>0</v>
      </c>
      <c r="BI12" s="33">
        <f>COUNTIFS('來案暨出貨明細表-基因檢測(201904起'!$P:$P,$A12&amp;"*",'來案暨出貨明細表-基因檢測(201904起'!$B:$B,BI$1)*$B12+COUNTIFS('來案暨出貨明細表-基因檢測(201904起'!$P:$P,$A12&amp;"*",'來案暨出貨明細表-基因檢測(201904起'!$B:$B,BI$1,'來案暨出貨明細表-基因檢測(201904起'!$Q:$Q,"紙本&amp;電子")++COUNTIFS('來案暨出貨明細表-基因檢測(201904起'!$P:$P,$A12&amp;"*",'來案暨出貨明細表-基因檢測(201904起'!$B:$B,BI$1,'來案暨出貨明細表-基因檢測(201904起'!$R:$R,"中英")</f>
        <v>0</v>
      </c>
      <c r="BJ12" s="33">
        <f>COUNTIFS('來案暨出貨明細表-基因檢測(201904起'!$P:$P,$A12&amp;"*",'來案暨出貨明細表-基因檢測(201904起'!$B:$B,BJ$1)*$B12+COUNTIFS('來案暨出貨明細表-基因檢測(201904起'!$P:$P,$A12&amp;"*",'來案暨出貨明細表-基因檢測(201904起'!$B:$B,BJ$1,'來案暨出貨明細表-基因檢測(201904起'!$Q:$Q,"紙本&amp;電子")++COUNTIFS('來案暨出貨明細表-基因檢測(201904起'!$P:$P,$A12&amp;"*",'來案暨出貨明細表-基因檢測(201904起'!$B:$B,BJ$1,'來案暨出貨明細表-基因檢測(201904起'!$R:$R,"中英")</f>
        <v>0</v>
      </c>
      <c r="BK12" s="33">
        <f>COUNTIFS('來案暨出貨明細表-基因檢測(201904起'!$P:$P,$A12&amp;"*",'來案暨出貨明細表-基因檢測(201904起'!$B:$B,BK$1)*$B12+COUNTIFS('來案暨出貨明細表-基因檢測(201904起'!$P:$P,$A12&amp;"*",'來案暨出貨明細表-基因檢測(201904起'!$B:$B,BK$1,'來案暨出貨明細表-基因檢測(201904起'!$Q:$Q,"紙本&amp;電子")++COUNTIFS('來案暨出貨明細表-基因檢測(201904起'!$P:$P,$A12&amp;"*",'來案暨出貨明細表-基因檢測(201904起'!$B:$B,BK$1,'來案暨出貨明細表-基因檢測(201904起'!$R:$R,"中英")</f>
        <v>0</v>
      </c>
      <c r="BL12" s="33">
        <f>COUNTIFS('來案暨出貨明細表-基因檢測(201904起'!$P:$P,$A12&amp;"*",'來案暨出貨明細表-基因檢測(201904起'!$B:$B,BL$1)*$B12+COUNTIFS('來案暨出貨明細表-基因檢測(201904起'!$P:$P,$A12&amp;"*",'來案暨出貨明細表-基因檢測(201904起'!$B:$B,BL$1,'來案暨出貨明細表-基因檢測(201904起'!$Q:$Q,"紙本&amp;電子")++COUNTIFS('來案暨出貨明細表-基因檢測(201904起'!$P:$P,$A12&amp;"*",'來案暨出貨明細表-基因檢測(201904起'!$B:$B,BL$1,'來案暨出貨明細表-基因檢測(201904起'!$R:$R,"中英")</f>
        <v>0</v>
      </c>
      <c r="BM12" s="33">
        <f>COUNTIFS('來案暨出貨明細表-基因檢測(201904起'!$P:$P,$A12&amp;"*",'來案暨出貨明細表-基因檢測(201904起'!$B:$B,BM$1)*$B12+COUNTIFS('來案暨出貨明細表-基因檢測(201904起'!$P:$P,$A12&amp;"*",'來案暨出貨明細表-基因檢測(201904起'!$B:$B,BM$1,'來案暨出貨明細表-基因檢測(201904起'!$Q:$Q,"紙本&amp;電子")++COUNTIFS('來案暨出貨明細表-基因檢測(201904起'!$P:$P,$A12&amp;"*",'來案暨出貨明細表-基因檢測(201904起'!$B:$B,BM$1,'來案暨出貨明細表-基因檢測(201904起'!$R:$R,"中英")</f>
        <v>0</v>
      </c>
    </row>
    <row r="13" spans="1:65" ht="15" customHeight="1">
      <c r="A13" s="9" t="s">
        <v>4163</v>
      </c>
      <c r="B13" s="9">
        <v>1</v>
      </c>
      <c r="C13" s="13" t="s">
        <v>4164</v>
      </c>
      <c r="D13" s="142" t="s">
        <v>4165</v>
      </c>
      <c r="E13" s="33">
        <f>COUNTIFS('來案暨出貨明細表-基因檢測(201904起'!$P:$P,$A13&amp;"*",'來案暨出貨明細表-基因檢測(201904起'!$B:$B,E$1)*$B13+COUNTIFS('來案暨出貨明細表-基因檢測(201904起'!$P:$P,$A13&amp;"*",'來案暨出貨明細表-基因檢測(201904起'!$B:$B,E$1,'來案暨出貨明細表-基因檢測(201904起'!$Q:$Q,"紙本&amp;電子")++COUNTIFS('來案暨出貨明細表-基因檢測(201904起'!$P:$P,$A13&amp;"*",'來案暨出貨明細表-基因檢測(201904起'!$B:$B,E$1,'來案暨出貨明細表-基因檢測(201904起'!$R:$R,"中英")</f>
        <v>0</v>
      </c>
      <c r="F13" s="33">
        <f>COUNTIFS('來案暨出貨明細表-基因檢測(201904起'!$P:$P,$A13&amp;"*",'來案暨出貨明細表-基因檢測(201904起'!$B:$B,F$1)*$B13+COUNTIFS('來案暨出貨明細表-基因檢測(201904起'!$P:$P,$A13&amp;"*",'來案暨出貨明細表-基因檢測(201904起'!$B:$B,F$1,'來案暨出貨明細表-基因檢測(201904起'!$Q:$Q,"紙本&amp;電子")++COUNTIFS('來案暨出貨明細表-基因檢測(201904起'!$P:$P,$A13&amp;"*",'來案暨出貨明細表-基因檢測(201904起'!$B:$B,F$1,'來案暨出貨明細表-基因檢測(201904起'!$R:$R,"中英")</f>
        <v>0</v>
      </c>
      <c r="G13" s="33">
        <f>COUNTIFS('來案暨出貨明細表-基因檢測(201904起'!$P:$P,$A13&amp;"*",'來案暨出貨明細表-基因檢測(201904起'!$B:$B,G$1)*$B13+COUNTIFS('來案暨出貨明細表-基因檢測(201904起'!$P:$P,$A13&amp;"*",'來案暨出貨明細表-基因檢測(201904起'!$B:$B,G$1,'來案暨出貨明細表-基因檢測(201904起'!$Q:$Q,"紙本&amp;電子")++COUNTIFS('來案暨出貨明細表-基因檢測(201904起'!$P:$P,$A13&amp;"*",'來案暨出貨明細表-基因檢測(201904起'!$B:$B,G$1,'來案暨出貨明細表-基因檢測(201904起'!$R:$R,"中英")</f>
        <v>0</v>
      </c>
      <c r="H13" s="33">
        <f>COUNTIFS('來案暨出貨明細表-基因檢測(201904起'!$P:$P,$A13&amp;"*",'來案暨出貨明細表-基因檢測(201904起'!$B:$B,H$1)*$B13+COUNTIFS('來案暨出貨明細表-基因檢測(201904起'!$P:$P,$A13&amp;"*",'來案暨出貨明細表-基因檢測(201904起'!$B:$B,H$1,'來案暨出貨明細表-基因檢測(201904起'!$Q:$Q,"紙本&amp;電子")++COUNTIFS('來案暨出貨明細表-基因檢測(201904起'!$P:$P,$A13&amp;"*",'來案暨出貨明細表-基因檢測(201904起'!$B:$B,H$1,'來案暨出貨明細表-基因檢測(201904起'!$R:$R,"中英")</f>
        <v>0</v>
      </c>
      <c r="I13" s="33">
        <f>COUNTIFS('來案暨出貨明細表-基因檢測(201904起'!$P:$P,$A13&amp;"*",'來案暨出貨明細表-基因檢測(201904起'!$B:$B,I$1)*$B13+COUNTIFS('來案暨出貨明細表-基因檢測(201904起'!$P:$P,$A13&amp;"*",'來案暨出貨明細表-基因檢測(201904起'!$B:$B,I$1,'來案暨出貨明細表-基因檢測(201904起'!$Q:$Q,"紙本&amp;電子")++COUNTIFS('來案暨出貨明細表-基因檢測(201904起'!$P:$P,$A13&amp;"*",'來案暨出貨明細表-基因檢測(201904起'!$B:$B,I$1,'來案暨出貨明細表-基因檢測(201904起'!$R:$R,"中英")</f>
        <v>0</v>
      </c>
      <c r="J13" s="33">
        <f>COUNTIFS('來案暨出貨明細表-基因檢測(201904起'!$P:$P,$A13&amp;"*",'來案暨出貨明細表-基因檢測(201904起'!$B:$B,J$1)*$B13+COUNTIFS('來案暨出貨明細表-基因檢測(201904起'!$P:$P,$A13&amp;"*",'來案暨出貨明細表-基因檢測(201904起'!$B:$B,J$1,'來案暨出貨明細表-基因檢測(201904起'!$Q:$Q,"紙本&amp;電子")++COUNTIFS('來案暨出貨明細表-基因檢測(201904起'!$P:$P,$A13&amp;"*",'來案暨出貨明細表-基因檢測(201904起'!$B:$B,J$1,'來案暨出貨明細表-基因檢測(201904起'!$R:$R,"中英")</f>
        <v>0</v>
      </c>
      <c r="K13" s="33">
        <f>COUNTIFS('來案暨出貨明細表-基因檢測(201904起'!$P:$P,$A13&amp;"*",'來案暨出貨明細表-基因檢測(201904起'!$B:$B,K$1)*$B13+COUNTIFS('來案暨出貨明細表-基因檢測(201904起'!$P:$P,$A13&amp;"*",'來案暨出貨明細表-基因檢測(201904起'!$B:$B,K$1,'來案暨出貨明細表-基因檢測(201904起'!$Q:$Q,"紙本&amp;電子")++COUNTIFS('來案暨出貨明細表-基因檢測(201904起'!$P:$P,$A13&amp;"*",'來案暨出貨明細表-基因檢測(201904起'!$B:$B,K$1,'來案暨出貨明細表-基因檢測(201904起'!$R:$R,"中英")</f>
        <v>0</v>
      </c>
      <c r="L13" s="33">
        <f>COUNTIFS('來案暨出貨明細表-基因檢測(201904起'!$P:$P,$A13&amp;"*",'來案暨出貨明細表-基因檢測(201904起'!$B:$B,L$1)*$B13+COUNTIFS('來案暨出貨明細表-基因檢測(201904起'!$P:$P,$A13&amp;"*",'來案暨出貨明細表-基因檢測(201904起'!$B:$B,L$1,'來案暨出貨明細表-基因檢測(201904起'!$Q:$Q,"紙本&amp;電子")++COUNTIFS('來案暨出貨明細表-基因檢測(201904起'!$P:$P,$A13&amp;"*",'來案暨出貨明細表-基因檢測(201904起'!$B:$B,L$1,'來案暨出貨明細表-基因檢測(201904起'!$R:$R,"中英")</f>
        <v>0</v>
      </c>
      <c r="M13" s="33">
        <f>COUNTIFS('來案暨出貨明細表-基因檢測(201904起'!$P:$P,$A13&amp;"*",'來案暨出貨明細表-基因檢測(201904起'!$B:$B,M$1)*$B13+COUNTIFS('來案暨出貨明細表-基因檢測(201904起'!$P:$P,$A13&amp;"*",'來案暨出貨明細表-基因檢測(201904起'!$B:$B,M$1,'來案暨出貨明細表-基因檢測(201904起'!$Q:$Q,"紙本&amp;電子")++COUNTIFS('來案暨出貨明細表-基因檢測(201904起'!$P:$P,$A13&amp;"*",'來案暨出貨明細表-基因檢測(201904起'!$B:$B,M$1,'來案暨出貨明細表-基因檢測(201904起'!$R:$R,"中英")</f>
        <v>0</v>
      </c>
      <c r="N13" s="33">
        <f>COUNTIFS('來案暨出貨明細表-基因檢測(201904起'!$P:$P,$A13&amp;"*",'來案暨出貨明細表-基因檢測(201904起'!$B:$B,N$1)*$B13+COUNTIFS('來案暨出貨明細表-基因檢測(201904起'!$P:$P,$A13&amp;"*",'來案暨出貨明細表-基因檢測(201904起'!$B:$B,N$1,'來案暨出貨明細表-基因檢測(201904起'!$Q:$Q,"紙本&amp;電子")++COUNTIFS('來案暨出貨明細表-基因檢測(201904起'!$P:$P,$A13&amp;"*",'來案暨出貨明細表-基因檢測(201904起'!$B:$B,N$1,'來案暨出貨明細表-基因檢測(201904起'!$R:$R,"中英")</f>
        <v>0</v>
      </c>
      <c r="O13" s="33">
        <f>COUNTIFS('來案暨出貨明細表-基因檢測(201904起'!$P:$P,$A13&amp;"*",'來案暨出貨明細表-基因檢測(201904起'!$B:$B,O$1)*$B13+COUNTIFS('來案暨出貨明細表-基因檢測(201904起'!$P:$P,$A13&amp;"*",'來案暨出貨明細表-基因檢測(201904起'!$B:$B,O$1,'來案暨出貨明細表-基因檢測(201904起'!$Q:$Q,"紙本&amp;電子")++COUNTIFS('來案暨出貨明細表-基因檢測(201904起'!$P:$P,$A13&amp;"*",'來案暨出貨明細表-基因檢測(201904起'!$B:$B,O$1,'來案暨出貨明細表-基因檢測(201904起'!$R:$R,"中英")</f>
        <v>0</v>
      </c>
      <c r="P13" s="33">
        <f>COUNTIFS('來案暨出貨明細表-基因檢測(201904起'!$P:$P,$A13&amp;"*",'來案暨出貨明細表-基因檢測(201904起'!$B:$B,P$1)*$B13+COUNTIFS('來案暨出貨明細表-基因檢測(201904起'!$P:$P,$A13&amp;"*",'來案暨出貨明細表-基因檢測(201904起'!$B:$B,P$1,'來案暨出貨明細表-基因檢測(201904起'!$Q:$Q,"紙本&amp;電子")++COUNTIFS('來案暨出貨明細表-基因檢測(201904起'!$P:$P,$A13&amp;"*",'來案暨出貨明細表-基因檢測(201904起'!$B:$B,P$1,'來案暨出貨明細表-基因檢測(201904起'!$R:$R,"中英")</f>
        <v>0</v>
      </c>
      <c r="Q13" s="33">
        <f>COUNTIFS('來案暨出貨明細表-基因檢測(201904起'!$P:$P,$A13&amp;"*",'來案暨出貨明細表-基因檢測(201904起'!$B:$B,Q$1)*$B13+COUNTIFS('來案暨出貨明細表-基因檢測(201904起'!$P:$P,$A13&amp;"*",'來案暨出貨明細表-基因檢測(201904起'!$B:$B,Q$1,'來案暨出貨明細表-基因檢測(201904起'!$Q:$Q,"紙本&amp;電子")++COUNTIFS('來案暨出貨明細表-基因檢測(201904起'!$P:$P,$A13&amp;"*",'來案暨出貨明細表-基因檢測(201904起'!$B:$B,Q$1,'來案暨出貨明細表-基因檢測(201904起'!$R:$R,"中英")</f>
        <v>0</v>
      </c>
      <c r="R13" s="33">
        <f>COUNTIFS('來案暨出貨明細表-基因檢測(201904起'!$P:$P,$A13&amp;"*",'來案暨出貨明細表-基因檢測(201904起'!$B:$B,R$1)*$B13+COUNTIFS('來案暨出貨明細表-基因檢測(201904起'!$P:$P,$A13&amp;"*",'來案暨出貨明細表-基因檢測(201904起'!$B:$B,R$1,'來案暨出貨明細表-基因檢測(201904起'!$Q:$Q,"紙本&amp;電子")++COUNTIFS('來案暨出貨明細表-基因檢測(201904起'!$P:$P,$A13&amp;"*",'來案暨出貨明細表-基因檢測(201904起'!$B:$B,R$1,'來案暨出貨明細表-基因檢測(201904起'!$R:$R,"中英")</f>
        <v>0</v>
      </c>
      <c r="S13" s="33">
        <f>COUNTIFS('來案暨出貨明細表-基因檢測(201904起'!$P:$P,$A13&amp;"*",'來案暨出貨明細表-基因檢測(201904起'!$B:$B,S$1)*$B13+COUNTIFS('來案暨出貨明細表-基因檢測(201904起'!$P:$P,$A13&amp;"*",'來案暨出貨明細表-基因檢測(201904起'!$B:$B,S$1,'來案暨出貨明細表-基因檢測(201904起'!$Q:$Q,"紙本&amp;電子")++COUNTIFS('來案暨出貨明細表-基因檢測(201904起'!$P:$P,$A13&amp;"*",'來案暨出貨明細表-基因檢測(201904起'!$B:$B,S$1,'來案暨出貨明細表-基因檢測(201904起'!$R:$R,"中英")</f>
        <v>0</v>
      </c>
      <c r="T13" s="33">
        <f>COUNTIFS('來案暨出貨明細表-基因檢測(201904起'!$P:$P,$A13&amp;"*",'來案暨出貨明細表-基因檢測(201904起'!$B:$B,T$1)*$B13+COUNTIFS('來案暨出貨明細表-基因檢測(201904起'!$P:$P,$A13&amp;"*",'來案暨出貨明細表-基因檢測(201904起'!$B:$B,T$1,'來案暨出貨明細表-基因檢測(201904起'!$Q:$Q,"紙本&amp;電子")++COUNTIFS('來案暨出貨明細表-基因檢測(201904起'!$P:$P,$A13&amp;"*",'來案暨出貨明細表-基因檢測(201904起'!$B:$B,T$1,'來案暨出貨明細表-基因檢測(201904起'!$R:$R,"中英")</f>
        <v>0</v>
      </c>
      <c r="U13" s="33">
        <f>COUNTIFS('來案暨出貨明細表-基因檢測(201904起'!$P:$P,$A13&amp;"*",'來案暨出貨明細表-基因檢測(201904起'!$B:$B,U$1)*$B13+COUNTIFS('來案暨出貨明細表-基因檢測(201904起'!$P:$P,$A13&amp;"*",'來案暨出貨明細表-基因檢測(201904起'!$B:$B,U$1,'來案暨出貨明細表-基因檢測(201904起'!$Q:$Q,"紙本&amp;電子")++COUNTIFS('來案暨出貨明細表-基因檢測(201904起'!$P:$P,$A13&amp;"*",'來案暨出貨明細表-基因檢測(201904起'!$B:$B,U$1,'來案暨出貨明細表-基因檢測(201904起'!$R:$R,"中英")</f>
        <v>0</v>
      </c>
      <c r="V13" s="33">
        <f>COUNTIFS('來案暨出貨明細表-基因檢測(201904起'!$P:$P,$A13&amp;"*",'來案暨出貨明細表-基因檢測(201904起'!$B:$B,V$1)*$B13+COUNTIFS('來案暨出貨明細表-基因檢測(201904起'!$P:$P,$A13&amp;"*",'來案暨出貨明細表-基因檢測(201904起'!$B:$B,V$1,'來案暨出貨明細表-基因檢測(201904起'!$Q:$Q,"紙本&amp;電子")++COUNTIFS('來案暨出貨明細表-基因檢測(201904起'!$P:$P,$A13&amp;"*",'來案暨出貨明細表-基因檢測(201904起'!$B:$B,V$1,'來案暨出貨明細表-基因檢測(201904起'!$R:$R,"中英")</f>
        <v>0</v>
      </c>
      <c r="W13" s="33">
        <f>COUNTIFS('來案暨出貨明細表-基因檢測(201904起'!$P:$P,$A13&amp;"*",'來案暨出貨明細表-基因檢測(201904起'!$B:$B,W$1)*$B13+COUNTIFS('來案暨出貨明細表-基因檢測(201904起'!$P:$P,$A13&amp;"*",'來案暨出貨明細表-基因檢測(201904起'!$B:$B,W$1,'來案暨出貨明細表-基因檢測(201904起'!$Q:$Q,"紙本&amp;電子")++COUNTIFS('來案暨出貨明細表-基因檢測(201904起'!$P:$P,$A13&amp;"*",'來案暨出貨明細表-基因檢測(201904起'!$B:$B,W$1,'來案暨出貨明細表-基因檢測(201904起'!$R:$R,"中英")</f>
        <v>0</v>
      </c>
      <c r="X13" s="33">
        <f>COUNTIFS('來案暨出貨明細表-基因檢測(201904起'!$P:$P,$A13&amp;"*",'來案暨出貨明細表-基因檢測(201904起'!$B:$B,X$1)*$B13+COUNTIFS('來案暨出貨明細表-基因檢測(201904起'!$P:$P,$A13&amp;"*",'來案暨出貨明細表-基因檢測(201904起'!$B:$B,X$1,'來案暨出貨明細表-基因檢測(201904起'!$Q:$Q,"紙本&amp;電子")++COUNTIFS('來案暨出貨明細表-基因檢測(201904起'!$P:$P,$A13&amp;"*",'來案暨出貨明細表-基因檢測(201904起'!$B:$B,X$1,'來案暨出貨明細表-基因檢測(201904起'!$R:$R,"中英")</f>
        <v>0</v>
      </c>
      <c r="Y13" s="33">
        <f>COUNTIFS('來案暨出貨明細表-基因檢測(201904起'!$P:$P,$A13&amp;"*",'來案暨出貨明細表-基因檢測(201904起'!$B:$B,Y$1)*$B13+COUNTIFS('來案暨出貨明細表-基因檢測(201904起'!$P:$P,$A13&amp;"*",'來案暨出貨明細表-基因檢測(201904起'!$B:$B,Y$1,'來案暨出貨明細表-基因檢測(201904起'!$Q:$Q,"紙本&amp;電子")++COUNTIFS('來案暨出貨明細表-基因檢測(201904起'!$P:$P,$A13&amp;"*",'來案暨出貨明細表-基因檢測(201904起'!$B:$B,Y$1,'來案暨出貨明細表-基因檢測(201904起'!$R:$R,"中英")</f>
        <v>0</v>
      </c>
      <c r="Z13" s="33">
        <f>COUNTIFS('來案暨出貨明細表-基因檢測(201904起'!$P:$P,$A13&amp;"*",'來案暨出貨明細表-基因檢測(201904起'!$B:$B,Z$1)*$B13+COUNTIFS('來案暨出貨明細表-基因檢測(201904起'!$P:$P,$A13&amp;"*",'來案暨出貨明細表-基因檢測(201904起'!$B:$B,Z$1,'來案暨出貨明細表-基因檢測(201904起'!$Q:$Q,"紙本&amp;電子")++COUNTIFS('來案暨出貨明細表-基因檢測(201904起'!$P:$P,$A13&amp;"*",'來案暨出貨明細表-基因檢測(201904起'!$B:$B,Z$1,'來案暨出貨明細表-基因檢測(201904起'!$R:$R,"中英")</f>
        <v>0</v>
      </c>
      <c r="AA13" s="33">
        <f>COUNTIFS('來案暨出貨明細表-基因檢測(201904起'!$P:$P,$A13&amp;"*",'來案暨出貨明細表-基因檢測(201904起'!$B:$B,AA$1)*$B13+COUNTIFS('來案暨出貨明細表-基因檢測(201904起'!$P:$P,$A13&amp;"*",'來案暨出貨明細表-基因檢測(201904起'!$B:$B,AA$1,'來案暨出貨明細表-基因檢測(201904起'!$Q:$Q,"紙本&amp;電子")++COUNTIFS('來案暨出貨明細表-基因檢測(201904起'!$P:$P,$A13&amp;"*",'來案暨出貨明細表-基因檢測(201904起'!$B:$B,AA$1,'來案暨出貨明細表-基因檢測(201904起'!$R:$R,"中英")</f>
        <v>0</v>
      </c>
      <c r="AB13" s="33">
        <f>COUNTIFS('來案暨出貨明細表-基因檢測(201904起'!$P:$P,$A13&amp;"*",'來案暨出貨明細表-基因檢測(201904起'!$B:$B,AB$1)*$B13+COUNTIFS('來案暨出貨明細表-基因檢測(201904起'!$P:$P,$A13&amp;"*",'來案暨出貨明細表-基因檢測(201904起'!$B:$B,AB$1,'來案暨出貨明細表-基因檢測(201904起'!$Q:$Q,"紙本&amp;電子")++COUNTIFS('來案暨出貨明細表-基因檢測(201904起'!$P:$P,$A13&amp;"*",'來案暨出貨明細表-基因檢測(201904起'!$B:$B,AB$1,'來案暨出貨明細表-基因檢測(201904起'!$R:$R,"中英")</f>
        <v>0</v>
      </c>
      <c r="AC13" s="33">
        <f>COUNTIFS('來案暨出貨明細表-基因檢測(201904起'!$P:$P,$A13&amp;"*",'來案暨出貨明細表-基因檢測(201904起'!$B:$B,AC$1)*$B13+COUNTIFS('來案暨出貨明細表-基因檢測(201904起'!$P:$P,$A13&amp;"*",'來案暨出貨明細表-基因檢測(201904起'!$B:$B,AC$1,'來案暨出貨明細表-基因檢測(201904起'!$Q:$Q,"紙本&amp;電子")++COUNTIFS('來案暨出貨明細表-基因檢測(201904起'!$P:$P,$A13&amp;"*",'來案暨出貨明細表-基因檢測(201904起'!$B:$B,AC$1,'來案暨出貨明細表-基因檢測(201904起'!$R:$R,"中英")</f>
        <v>0</v>
      </c>
      <c r="AD13" s="33">
        <f>COUNTIFS('來案暨出貨明細表-基因檢測(201904起'!$P:$P,$A13&amp;"*",'來案暨出貨明細表-基因檢測(201904起'!$B:$B,AD$1)*$B13+COUNTIFS('來案暨出貨明細表-基因檢測(201904起'!$P:$P,$A13&amp;"*",'來案暨出貨明細表-基因檢測(201904起'!$B:$B,AD$1,'來案暨出貨明細表-基因檢測(201904起'!$Q:$Q,"紙本&amp;電子")++COUNTIFS('來案暨出貨明細表-基因檢測(201904起'!$P:$P,$A13&amp;"*",'來案暨出貨明細表-基因檢測(201904起'!$B:$B,AD$1,'來案暨出貨明細表-基因檢測(201904起'!$R:$R,"中英")</f>
        <v>0</v>
      </c>
      <c r="AE13" s="33">
        <f>COUNTIFS('來案暨出貨明細表-基因檢測(201904起'!$P:$P,$A13&amp;"*",'來案暨出貨明細表-基因檢測(201904起'!$B:$B,AE$1)*$B13+COUNTIFS('來案暨出貨明細表-基因檢測(201904起'!$P:$P,$A13&amp;"*",'來案暨出貨明細表-基因檢測(201904起'!$B:$B,AE$1,'來案暨出貨明細表-基因檢測(201904起'!$Q:$Q,"紙本&amp;電子")++COUNTIFS('來案暨出貨明細表-基因檢測(201904起'!$P:$P,$A13&amp;"*",'來案暨出貨明細表-基因檢測(201904起'!$B:$B,AE$1,'來案暨出貨明細表-基因檢測(201904起'!$R:$R,"中英")</f>
        <v>0</v>
      </c>
      <c r="AF13" s="33">
        <f>COUNTIFS('來案暨出貨明細表-基因檢測(201904起'!$P:$P,$A13&amp;"*",'來案暨出貨明細表-基因檢測(201904起'!$B:$B,AF$1)*$B13+COUNTIFS('來案暨出貨明細表-基因檢測(201904起'!$P:$P,$A13&amp;"*",'來案暨出貨明細表-基因檢測(201904起'!$B:$B,AF$1,'來案暨出貨明細表-基因檢測(201904起'!$Q:$Q,"紙本&amp;電子")++COUNTIFS('來案暨出貨明細表-基因檢測(201904起'!$P:$P,$A13&amp;"*",'來案暨出貨明細表-基因檢測(201904起'!$B:$B,AF$1,'來案暨出貨明細表-基因檢測(201904起'!$R:$R,"中英")</f>
        <v>0</v>
      </c>
      <c r="AG13" s="33">
        <f>COUNTIFS('來案暨出貨明細表-基因檢測(201904起'!$P:$P,$A13&amp;"*",'來案暨出貨明細表-基因檢測(201904起'!$B:$B,AG$1)*$B13+COUNTIFS('來案暨出貨明細表-基因檢測(201904起'!$P:$P,$A13&amp;"*",'來案暨出貨明細表-基因檢測(201904起'!$B:$B,AG$1,'來案暨出貨明細表-基因檢測(201904起'!$Q:$Q,"紙本&amp;電子")++COUNTIFS('來案暨出貨明細表-基因檢測(201904起'!$P:$P,$A13&amp;"*",'來案暨出貨明細表-基因檢測(201904起'!$B:$B,AG$1,'來案暨出貨明細表-基因檢測(201904起'!$R:$R,"中英")</f>
        <v>0</v>
      </c>
      <c r="AH13" s="33">
        <f>COUNTIFS('來案暨出貨明細表-基因檢測(201904起'!$P:$P,$A13&amp;"*",'來案暨出貨明細表-基因檢測(201904起'!$B:$B,AH$1)*$B13+COUNTIFS('來案暨出貨明細表-基因檢測(201904起'!$P:$P,$A13&amp;"*",'來案暨出貨明細表-基因檢測(201904起'!$B:$B,AH$1,'來案暨出貨明細表-基因檢測(201904起'!$Q:$Q,"紙本&amp;電子")++COUNTIFS('來案暨出貨明細表-基因檢測(201904起'!$P:$P,$A13&amp;"*",'來案暨出貨明細表-基因檢測(201904起'!$B:$B,AH$1,'來案暨出貨明細表-基因檢測(201904起'!$R:$R,"中英")</f>
        <v>0</v>
      </c>
      <c r="AI13" s="33">
        <f>COUNTIFS('來案暨出貨明細表-基因檢測(201904起'!$P:$P,$A13&amp;"*",'來案暨出貨明細表-基因檢測(201904起'!$B:$B,AI$1)*$B13+COUNTIFS('來案暨出貨明細表-基因檢測(201904起'!$P:$P,$A13&amp;"*",'來案暨出貨明細表-基因檢測(201904起'!$B:$B,AI$1,'來案暨出貨明細表-基因檢測(201904起'!$Q:$Q,"紙本&amp;電子")++COUNTIFS('來案暨出貨明細表-基因檢測(201904起'!$P:$P,$A13&amp;"*",'來案暨出貨明細表-基因檢測(201904起'!$B:$B,AI$1,'來案暨出貨明細表-基因檢測(201904起'!$R:$R,"中英")</f>
        <v>0</v>
      </c>
      <c r="AJ13" s="33">
        <f>COUNTIFS('來案暨出貨明細表-基因檢測(201904起'!$P:$P,$A13&amp;"*",'來案暨出貨明細表-基因檢測(201904起'!$B:$B,AJ$1)*$B13+COUNTIFS('來案暨出貨明細表-基因檢測(201904起'!$P:$P,$A13&amp;"*",'來案暨出貨明細表-基因檢測(201904起'!$B:$B,AJ$1,'來案暨出貨明細表-基因檢測(201904起'!$Q:$Q,"紙本&amp;電子")++COUNTIFS('來案暨出貨明細表-基因檢測(201904起'!$P:$P,$A13&amp;"*",'來案暨出貨明細表-基因檢測(201904起'!$B:$B,AJ$1,'來案暨出貨明細表-基因檢測(201904起'!$R:$R,"中英")</f>
        <v>0</v>
      </c>
      <c r="AK13" s="33">
        <f>COUNTIFS('來案暨出貨明細表-基因檢測(201904起'!$P:$P,$A13&amp;"*",'來案暨出貨明細表-基因檢測(201904起'!$B:$B,AK$1)*$B13+COUNTIFS('來案暨出貨明細表-基因檢測(201904起'!$P:$P,$A13&amp;"*",'來案暨出貨明細表-基因檢測(201904起'!$B:$B,AK$1,'來案暨出貨明細表-基因檢測(201904起'!$Q:$Q,"紙本&amp;電子")++COUNTIFS('來案暨出貨明細表-基因檢測(201904起'!$P:$P,$A13&amp;"*",'來案暨出貨明細表-基因檢測(201904起'!$B:$B,AK$1,'來案暨出貨明細表-基因檢測(201904起'!$R:$R,"中英")</f>
        <v>0</v>
      </c>
      <c r="AL13" s="33">
        <f>COUNTIFS('來案暨出貨明細表-基因檢測(201904起'!$P:$P,$A13&amp;"*",'來案暨出貨明細表-基因檢測(201904起'!$B:$B,AL$1)*$B13+COUNTIFS('來案暨出貨明細表-基因檢測(201904起'!$P:$P,$A13&amp;"*",'來案暨出貨明細表-基因檢測(201904起'!$B:$B,AL$1,'來案暨出貨明細表-基因檢測(201904起'!$Q:$Q,"紙本&amp;電子")++COUNTIFS('來案暨出貨明細表-基因檢測(201904起'!$P:$P,$A13&amp;"*",'來案暨出貨明細表-基因檢測(201904起'!$B:$B,AL$1,'來案暨出貨明細表-基因檢測(201904起'!$R:$R,"中英")</f>
        <v>0</v>
      </c>
      <c r="AM13" s="33">
        <f>COUNTIFS('來案暨出貨明細表-基因檢測(201904起'!$P:$P,$A13&amp;"*",'來案暨出貨明細表-基因檢測(201904起'!$B:$B,AM$1)*$B13+COUNTIFS('來案暨出貨明細表-基因檢測(201904起'!$P:$P,$A13&amp;"*",'來案暨出貨明細表-基因檢測(201904起'!$B:$B,AM$1,'來案暨出貨明細表-基因檢測(201904起'!$Q:$Q,"紙本&amp;電子")++COUNTIFS('來案暨出貨明細表-基因檢測(201904起'!$P:$P,$A13&amp;"*",'來案暨出貨明細表-基因檢測(201904起'!$B:$B,AM$1,'來案暨出貨明細表-基因檢測(201904起'!$R:$R,"中英")</f>
        <v>0</v>
      </c>
      <c r="AN13" s="33">
        <f>COUNTIFS('來案暨出貨明細表-基因檢測(201904起'!$P:$P,$A13&amp;"*",'來案暨出貨明細表-基因檢測(201904起'!$B:$B,AN$1)*$B13+COUNTIFS('來案暨出貨明細表-基因檢測(201904起'!$P:$P,$A13&amp;"*",'來案暨出貨明細表-基因檢測(201904起'!$B:$B,AN$1,'來案暨出貨明細表-基因檢測(201904起'!$Q:$Q,"紙本&amp;電子")++COUNTIFS('來案暨出貨明細表-基因檢測(201904起'!$P:$P,$A13&amp;"*",'來案暨出貨明細表-基因檢測(201904起'!$B:$B,AN$1,'來案暨出貨明細表-基因檢測(201904起'!$R:$R,"中英")</f>
        <v>0</v>
      </c>
      <c r="AO13" s="33">
        <f>COUNTIFS('來案暨出貨明細表-基因檢測(201904起'!$P:$P,$A13&amp;"*",'來案暨出貨明細表-基因檢測(201904起'!$B:$B,AO$1)*$B13+COUNTIFS('來案暨出貨明細表-基因檢測(201904起'!$P:$P,$A13&amp;"*",'來案暨出貨明細表-基因檢測(201904起'!$B:$B,AO$1,'來案暨出貨明細表-基因檢測(201904起'!$Q:$Q,"紙本&amp;電子")++COUNTIFS('來案暨出貨明細表-基因檢測(201904起'!$P:$P,$A13&amp;"*",'來案暨出貨明細表-基因檢測(201904起'!$B:$B,AO$1,'來案暨出貨明細表-基因檢測(201904起'!$R:$R,"中英")</f>
        <v>0</v>
      </c>
      <c r="AP13" s="33">
        <f>COUNTIFS('來案暨出貨明細表-基因檢測(201904起'!$P:$P,$A13&amp;"*",'來案暨出貨明細表-基因檢測(201904起'!$B:$B,AP$1)*$B13+COUNTIFS('來案暨出貨明細表-基因檢測(201904起'!$P:$P,$A13&amp;"*",'來案暨出貨明細表-基因檢測(201904起'!$B:$B,AP$1,'來案暨出貨明細表-基因檢測(201904起'!$Q:$Q,"紙本&amp;電子")++COUNTIFS('來案暨出貨明細表-基因檢測(201904起'!$P:$P,$A13&amp;"*",'來案暨出貨明細表-基因檢測(201904起'!$B:$B,AP$1,'來案暨出貨明細表-基因檢測(201904起'!$R:$R,"中英")</f>
        <v>0</v>
      </c>
      <c r="AQ13" s="33">
        <f>COUNTIFS('來案暨出貨明細表-基因檢測(201904起'!$P:$P,$A13&amp;"*",'來案暨出貨明細表-基因檢測(201904起'!$B:$B,AQ$1)*$B13+COUNTIFS('來案暨出貨明細表-基因檢測(201904起'!$P:$P,$A13&amp;"*",'來案暨出貨明細表-基因檢測(201904起'!$B:$B,AQ$1,'來案暨出貨明細表-基因檢測(201904起'!$Q:$Q,"紙本&amp;電子")++COUNTIFS('來案暨出貨明細表-基因檢測(201904起'!$P:$P,$A13&amp;"*",'來案暨出貨明細表-基因檢測(201904起'!$B:$B,AQ$1,'來案暨出貨明細表-基因檢測(201904起'!$R:$R,"中英")</f>
        <v>0</v>
      </c>
      <c r="AR13" s="33">
        <f>COUNTIFS('來案暨出貨明細表-基因檢測(201904起'!$P:$P,$A13&amp;"*",'來案暨出貨明細表-基因檢測(201904起'!$B:$B,AR$1)*$B13+COUNTIFS('來案暨出貨明細表-基因檢測(201904起'!$P:$P,$A13&amp;"*",'來案暨出貨明細表-基因檢測(201904起'!$B:$B,AR$1,'來案暨出貨明細表-基因檢測(201904起'!$Q:$Q,"紙本&amp;電子")++COUNTIFS('來案暨出貨明細表-基因檢測(201904起'!$P:$P,$A13&amp;"*",'來案暨出貨明細表-基因檢測(201904起'!$B:$B,AR$1,'來案暨出貨明細表-基因檢測(201904起'!$R:$R,"中英")</f>
        <v>0</v>
      </c>
      <c r="AS13" s="33">
        <f>COUNTIFS('來案暨出貨明細表-基因檢測(201904起'!$P:$P,$A13&amp;"*",'來案暨出貨明細表-基因檢測(201904起'!$B:$B,AS$1)*$B13+COUNTIFS('來案暨出貨明細表-基因檢測(201904起'!$P:$P,$A13&amp;"*",'來案暨出貨明細表-基因檢測(201904起'!$B:$B,AS$1,'來案暨出貨明細表-基因檢測(201904起'!$Q:$Q,"紙本&amp;電子")++COUNTIFS('來案暨出貨明細表-基因檢測(201904起'!$P:$P,$A13&amp;"*",'來案暨出貨明細表-基因檢測(201904起'!$B:$B,AS$1,'來案暨出貨明細表-基因檢測(201904起'!$R:$R,"中英")</f>
        <v>0</v>
      </c>
      <c r="AT13" s="33">
        <f>COUNTIFS('來案暨出貨明細表-基因檢測(201904起'!$P:$P,$A13&amp;"*",'來案暨出貨明細表-基因檢測(201904起'!$B:$B,AT$1)*$B13+COUNTIFS('來案暨出貨明細表-基因檢測(201904起'!$P:$P,$A13&amp;"*",'來案暨出貨明細表-基因檢測(201904起'!$B:$B,AT$1,'來案暨出貨明細表-基因檢測(201904起'!$Q:$Q,"紙本&amp;電子")++COUNTIFS('來案暨出貨明細表-基因檢測(201904起'!$P:$P,$A13&amp;"*",'來案暨出貨明細表-基因檢測(201904起'!$B:$B,AT$1,'來案暨出貨明細表-基因檢測(201904起'!$R:$R,"中英")</f>
        <v>0</v>
      </c>
      <c r="AU13" s="33">
        <f>COUNTIFS('來案暨出貨明細表-基因檢測(201904起'!$P:$P,$A13&amp;"*",'來案暨出貨明細表-基因檢測(201904起'!$B:$B,AU$1)*$B13+COUNTIFS('來案暨出貨明細表-基因檢測(201904起'!$P:$P,$A13&amp;"*",'來案暨出貨明細表-基因檢測(201904起'!$B:$B,AU$1,'來案暨出貨明細表-基因檢測(201904起'!$Q:$Q,"紙本&amp;電子")++COUNTIFS('來案暨出貨明細表-基因檢測(201904起'!$P:$P,$A13&amp;"*",'來案暨出貨明細表-基因檢測(201904起'!$B:$B,AU$1,'來案暨出貨明細表-基因檢測(201904起'!$R:$R,"中英")</f>
        <v>0</v>
      </c>
      <c r="AV13" s="33">
        <f>COUNTIFS('來案暨出貨明細表-基因檢測(201904起'!$P:$P,$A13&amp;"*",'來案暨出貨明細表-基因檢測(201904起'!$B:$B,AV$1)*$B13+COUNTIFS('來案暨出貨明細表-基因檢測(201904起'!$P:$P,$A13&amp;"*",'來案暨出貨明細表-基因檢測(201904起'!$B:$B,AV$1,'來案暨出貨明細表-基因檢測(201904起'!$Q:$Q,"紙本&amp;電子")++COUNTIFS('來案暨出貨明細表-基因檢測(201904起'!$P:$P,$A13&amp;"*",'來案暨出貨明細表-基因檢測(201904起'!$B:$B,AV$1,'來案暨出貨明細表-基因檢測(201904起'!$R:$R,"中英")</f>
        <v>0</v>
      </c>
      <c r="AW13" s="33">
        <f>COUNTIFS('來案暨出貨明細表-基因檢測(201904起'!$P:$P,$A13&amp;"*",'來案暨出貨明細表-基因檢測(201904起'!$B:$B,AW$1)*$B13+COUNTIFS('來案暨出貨明細表-基因檢測(201904起'!$P:$P,$A13&amp;"*",'來案暨出貨明細表-基因檢測(201904起'!$B:$B,AW$1,'來案暨出貨明細表-基因檢測(201904起'!$Q:$Q,"紙本&amp;電子")++COUNTIFS('來案暨出貨明細表-基因檢測(201904起'!$P:$P,$A13&amp;"*",'來案暨出貨明細表-基因檢測(201904起'!$B:$B,AW$1,'來案暨出貨明細表-基因檢測(201904起'!$R:$R,"中英")</f>
        <v>0</v>
      </c>
      <c r="AX13" s="33">
        <f>COUNTIFS('來案暨出貨明細表-基因檢測(201904起'!$P:$P,$A13&amp;"*",'來案暨出貨明細表-基因檢測(201904起'!$B:$B,AX$1)*$B13+COUNTIFS('來案暨出貨明細表-基因檢測(201904起'!$P:$P,$A13&amp;"*",'來案暨出貨明細表-基因檢測(201904起'!$B:$B,AX$1,'來案暨出貨明細表-基因檢測(201904起'!$Q:$Q,"紙本&amp;電子")++COUNTIFS('來案暨出貨明細表-基因檢測(201904起'!$P:$P,$A13&amp;"*",'來案暨出貨明細表-基因檢測(201904起'!$B:$B,AX$1,'來案暨出貨明細表-基因檢測(201904起'!$R:$R,"中英")</f>
        <v>0</v>
      </c>
      <c r="AY13" s="33">
        <f>COUNTIFS('來案暨出貨明細表-基因檢測(201904起'!$P:$P,$A13&amp;"*",'來案暨出貨明細表-基因檢測(201904起'!$B:$B,AY$1)*$B13+COUNTIFS('來案暨出貨明細表-基因檢測(201904起'!$P:$P,$A13&amp;"*",'來案暨出貨明細表-基因檢測(201904起'!$B:$B,AY$1,'來案暨出貨明細表-基因檢測(201904起'!$Q:$Q,"紙本&amp;電子")++COUNTIFS('來案暨出貨明細表-基因檢測(201904起'!$P:$P,$A13&amp;"*",'來案暨出貨明細表-基因檢測(201904起'!$B:$B,AY$1,'來案暨出貨明細表-基因檢測(201904起'!$R:$R,"中英")</f>
        <v>0</v>
      </c>
      <c r="AZ13" s="33">
        <f>COUNTIFS('來案暨出貨明細表-基因檢測(201904起'!$P:$P,$A13&amp;"*",'來案暨出貨明細表-基因檢測(201904起'!$B:$B,AZ$1)*$B13+COUNTIFS('來案暨出貨明細表-基因檢測(201904起'!$P:$P,$A13&amp;"*",'來案暨出貨明細表-基因檢測(201904起'!$B:$B,AZ$1,'來案暨出貨明細表-基因檢測(201904起'!$Q:$Q,"紙本&amp;電子")++COUNTIFS('來案暨出貨明細表-基因檢測(201904起'!$P:$P,$A13&amp;"*",'來案暨出貨明細表-基因檢測(201904起'!$B:$B,AZ$1,'來案暨出貨明細表-基因檢測(201904起'!$R:$R,"中英")</f>
        <v>0</v>
      </c>
      <c r="BA13" s="33">
        <f>COUNTIFS('來案暨出貨明細表-基因檢測(201904起'!$P:$P,$A13&amp;"*",'來案暨出貨明細表-基因檢測(201904起'!$B:$B,BA$1)*$B13+COUNTIFS('來案暨出貨明細表-基因檢測(201904起'!$P:$P,$A13&amp;"*",'來案暨出貨明細表-基因檢測(201904起'!$B:$B,BA$1,'來案暨出貨明細表-基因檢測(201904起'!$Q:$Q,"紙本&amp;電子")++COUNTIFS('來案暨出貨明細表-基因檢測(201904起'!$P:$P,$A13&amp;"*",'來案暨出貨明細表-基因檢測(201904起'!$B:$B,BA$1,'來案暨出貨明細表-基因檢測(201904起'!$R:$R,"中英")</f>
        <v>0</v>
      </c>
      <c r="BB13" s="33">
        <f>COUNTIFS('來案暨出貨明細表-基因檢測(201904起'!$P:$P,$A13&amp;"*",'來案暨出貨明細表-基因檢測(201904起'!$B:$B,BB$1)*$B13+COUNTIFS('來案暨出貨明細表-基因檢測(201904起'!$P:$P,$A13&amp;"*",'來案暨出貨明細表-基因檢測(201904起'!$B:$B,BB$1,'來案暨出貨明細表-基因檢測(201904起'!$Q:$Q,"紙本&amp;電子")++COUNTIFS('來案暨出貨明細表-基因檢測(201904起'!$P:$P,$A13&amp;"*",'來案暨出貨明細表-基因檢測(201904起'!$B:$B,BB$1,'來案暨出貨明細表-基因檢測(201904起'!$R:$R,"中英")</f>
        <v>0</v>
      </c>
      <c r="BC13" s="33">
        <f>COUNTIFS('來案暨出貨明細表-基因檢測(201904起'!$P:$P,$A13&amp;"*",'來案暨出貨明細表-基因檢測(201904起'!$B:$B,BC$1)*$B13+COUNTIFS('來案暨出貨明細表-基因檢測(201904起'!$P:$P,$A13&amp;"*",'來案暨出貨明細表-基因檢測(201904起'!$B:$B,BC$1,'來案暨出貨明細表-基因檢測(201904起'!$Q:$Q,"紙本&amp;電子")++COUNTIFS('來案暨出貨明細表-基因檢測(201904起'!$P:$P,$A13&amp;"*",'來案暨出貨明細表-基因檢測(201904起'!$B:$B,BC$1,'來案暨出貨明細表-基因檢測(201904起'!$R:$R,"中英")</f>
        <v>0</v>
      </c>
      <c r="BD13" s="33">
        <f>COUNTIFS('來案暨出貨明細表-基因檢測(201904起'!$P:$P,$A13&amp;"*",'來案暨出貨明細表-基因檢測(201904起'!$B:$B,BD$1)*$B13+COUNTIFS('來案暨出貨明細表-基因檢測(201904起'!$P:$P,$A13&amp;"*",'來案暨出貨明細表-基因檢測(201904起'!$B:$B,BD$1,'來案暨出貨明細表-基因檢測(201904起'!$Q:$Q,"紙本&amp;電子")++COUNTIFS('來案暨出貨明細表-基因檢測(201904起'!$P:$P,$A13&amp;"*",'來案暨出貨明細表-基因檢測(201904起'!$B:$B,BD$1,'來案暨出貨明細表-基因檢測(201904起'!$R:$R,"中英")</f>
        <v>0</v>
      </c>
      <c r="BE13" s="33">
        <f>COUNTIFS('來案暨出貨明細表-基因檢測(201904起'!$P:$P,$A13&amp;"*",'來案暨出貨明細表-基因檢測(201904起'!$B:$B,BE$1)*$B13+COUNTIFS('來案暨出貨明細表-基因檢測(201904起'!$P:$P,$A13&amp;"*",'來案暨出貨明細表-基因檢測(201904起'!$B:$B,BE$1,'來案暨出貨明細表-基因檢測(201904起'!$Q:$Q,"紙本&amp;電子")++COUNTIFS('來案暨出貨明細表-基因檢測(201904起'!$P:$P,$A13&amp;"*",'來案暨出貨明細表-基因檢測(201904起'!$B:$B,BE$1,'來案暨出貨明細表-基因檢測(201904起'!$R:$R,"中英")</f>
        <v>0</v>
      </c>
      <c r="BF13" s="33">
        <f>COUNTIFS('來案暨出貨明細表-基因檢測(201904起'!$P:$P,$A13&amp;"*",'來案暨出貨明細表-基因檢測(201904起'!$B:$B,BF$1)*$B13+COUNTIFS('來案暨出貨明細表-基因檢測(201904起'!$P:$P,$A13&amp;"*",'來案暨出貨明細表-基因檢測(201904起'!$B:$B,BF$1,'來案暨出貨明細表-基因檢測(201904起'!$Q:$Q,"紙本&amp;電子")++COUNTIFS('來案暨出貨明細表-基因檢測(201904起'!$P:$P,$A13&amp;"*",'來案暨出貨明細表-基因檢測(201904起'!$B:$B,BF$1,'來案暨出貨明細表-基因檢測(201904起'!$R:$R,"中英")</f>
        <v>0</v>
      </c>
      <c r="BG13" s="33">
        <f>COUNTIFS('來案暨出貨明細表-基因檢測(201904起'!$P:$P,$A13&amp;"*",'來案暨出貨明細表-基因檢測(201904起'!$B:$B,BG$1)*$B13+COUNTIFS('來案暨出貨明細表-基因檢測(201904起'!$P:$P,$A13&amp;"*",'來案暨出貨明細表-基因檢測(201904起'!$B:$B,BG$1,'來案暨出貨明細表-基因檢測(201904起'!$Q:$Q,"紙本&amp;電子")++COUNTIFS('來案暨出貨明細表-基因檢測(201904起'!$P:$P,$A13&amp;"*",'來案暨出貨明細表-基因檢測(201904起'!$B:$B,BG$1,'來案暨出貨明細表-基因檢測(201904起'!$R:$R,"中英")</f>
        <v>0</v>
      </c>
      <c r="BH13" s="33">
        <f>COUNTIFS('來案暨出貨明細表-基因檢測(201904起'!$P:$P,$A13&amp;"*",'來案暨出貨明細表-基因檢測(201904起'!$B:$B,BH$1)*$B13+COUNTIFS('來案暨出貨明細表-基因檢測(201904起'!$P:$P,$A13&amp;"*",'來案暨出貨明細表-基因檢測(201904起'!$B:$B,BH$1,'來案暨出貨明細表-基因檢測(201904起'!$Q:$Q,"紙本&amp;電子")++COUNTIFS('來案暨出貨明細表-基因檢測(201904起'!$P:$P,$A13&amp;"*",'來案暨出貨明細表-基因檢測(201904起'!$B:$B,BH$1,'來案暨出貨明細表-基因檢測(201904起'!$R:$R,"中英")</f>
        <v>0</v>
      </c>
      <c r="BI13" s="33">
        <f>COUNTIFS('來案暨出貨明細表-基因檢測(201904起'!$P:$P,$A13&amp;"*",'來案暨出貨明細表-基因檢測(201904起'!$B:$B,BI$1)*$B13+COUNTIFS('來案暨出貨明細表-基因檢測(201904起'!$P:$P,$A13&amp;"*",'來案暨出貨明細表-基因檢測(201904起'!$B:$B,BI$1,'來案暨出貨明細表-基因檢測(201904起'!$Q:$Q,"紙本&amp;電子")++COUNTIFS('來案暨出貨明細表-基因檢測(201904起'!$P:$P,$A13&amp;"*",'來案暨出貨明細表-基因檢測(201904起'!$B:$B,BI$1,'來案暨出貨明細表-基因檢測(201904起'!$R:$R,"中英")</f>
        <v>0</v>
      </c>
      <c r="BJ13" s="33">
        <f>COUNTIFS('來案暨出貨明細表-基因檢測(201904起'!$P:$P,$A13&amp;"*",'來案暨出貨明細表-基因檢測(201904起'!$B:$B,BJ$1)*$B13+COUNTIFS('來案暨出貨明細表-基因檢測(201904起'!$P:$P,$A13&amp;"*",'來案暨出貨明細表-基因檢測(201904起'!$B:$B,BJ$1,'來案暨出貨明細表-基因檢測(201904起'!$Q:$Q,"紙本&amp;電子")++COUNTIFS('來案暨出貨明細表-基因檢測(201904起'!$P:$P,$A13&amp;"*",'來案暨出貨明細表-基因檢測(201904起'!$B:$B,BJ$1,'來案暨出貨明細表-基因檢測(201904起'!$R:$R,"中英")</f>
        <v>0</v>
      </c>
      <c r="BK13" s="33">
        <f>COUNTIFS('來案暨出貨明細表-基因檢測(201904起'!$P:$P,$A13&amp;"*",'來案暨出貨明細表-基因檢測(201904起'!$B:$B,BK$1)*$B13+COUNTIFS('來案暨出貨明細表-基因檢測(201904起'!$P:$P,$A13&amp;"*",'來案暨出貨明細表-基因檢測(201904起'!$B:$B,BK$1,'來案暨出貨明細表-基因檢測(201904起'!$Q:$Q,"紙本&amp;電子")++COUNTIFS('來案暨出貨明細表-基因檢測(201904起'!$P:$P,$A13&amp;"*",'來案暨出貨明細表-基因檢測(201904起'!$B:$B,BK$1,'來案暨出貨明細表-基因檢測(201904起'!$R:$R,"中英")</f>
        <v>0</v>
      </c>
      <c r="BL13" s="33">
        <f>COUNTIFS('來案暨出貨明細表-基因檢測(201904起'!$P:$P,$A13&amp;"*",'來案暨出貨明細表-基因檢測(201904起'!$B:$B,BL$1)*$B13+COUNTIFS('來案暨出貨明細表-基因檢測(201904起'!$P:$P,$A13&amp;"*",'來案暨出貨明細表-基因檢測(201904起'!$B:$B,BL$1,'來案暨出貨明細表-基因檢測(201904起'!$Q:$Q,"紙本&amp;電子")++COUNTIFS('來案暨出貨明細表-基因檢測(201904起'!$P:$P,$A13&amp;"*",'來案暨出貨明細表-基因檢測(201904起'!$B:$B,BL$1,'來案暨出貨明細表-基因檢測(201904起'!$R:$R,"中英")</f>
        <v>0</v>
      </c>
      <c r="BM13" s="33">
        <f>COUNTIFS('來案暨出貨明細表-基因檢測(201904起'!$P:$P,$A13&amp;"*",'來案暨出貨明細表-基因檢測(201904起'!$B:$B,BM$1)*$B13+COUNTIFS('來案暨出貨明細表-基因檢測(201904起'!$P:$P,$A13&amp;"*",'來案暨出貨明細表-基因檢測(201904起'!$B:$B,BM$1,'來案暨出貨明細表-基因檢測(201904起'!$Q:$Q,"紙本&amp;電子")++COUNTIFS('來案暨出貨明細表-基因檢測(201904起'!$P:$P,$A13&amp;"*",'來案暨出貨明細表-基因檢測(201904起'!$B:$B,BM$1,'來案暨出貨明細表-基因檢測(201904起'!$R:$R,"中英")</f>
        <v>0</v>
      </c>
    </row>
    <row r="14" spans="1:65" ht="15" customHeight="1">
      <c r="A14" s="9" t="s">
        <v>4303</v>
      </c>
      <c r="B14" s="9">
        <v>2</v>
      </c>
      <c r="C14" s="13" t="s">
        <v>4304</v>
      </c>
      <c r="D14" s="142" t="s">
        <v>4305</v>
      </c>
      <c r="E14" s="33">
        <f>COUNTIFS('來案暨出貨明細表-基因檢測(201904起'!$P:$P,$A14&amp;"*",'來案暨出貨明細表-基因檢測(201904起'!$B:$B,E$1)*$B14+COUNTIFS('來案暨出貨明細表-基因檢測(201904起'!$P:$P,$A14&amp;"*",'來案暨出貨明細表-基因檢測(201904起'!$B:$B,E$1,'來案暨出貨明細表-基因檢測(201904起'!$Q:$Q,"紙本&amp;電子")++COUNTIFS('來案暨出貨明細表-基因檢測(201904起'!$P:$P,$A14&amp;"*",'來案暨出貨明細表-基因檢測(201904起'!$B:$B,E$1,'來案暨出貨明細表-基因檢測(201904起'!$R:$R,"中英")</f>
        <v>0</v>
      </c>
      <c r="F14" s="33">
        <f>COUNTIFS('來案暨出貨明細表-基因檢測(201904起'!$P:$P,$A14&amp;"*",'來案暨出貨明細表-基因檢測(201904起'!$B:$B,F$1)*$B14+COUNTIFS('來案暨出貨明細表-基因檢測(201904起'!$P:$P,$A14&amp;"*",'來案暨出貨明細表-基因檢測(201904起'!$B:$B,F$1,'來案暨出貨明細表-基因檢測(201904起'!$Q:$Q,"紙本&amp;電子")++COUNTIFS('來案暨出貨明細表-基因檢測(201904起'!$P:$P,$A14&amp;"*",'來案暨出貨明細表-基因檢測(201904起'!$B:$B,F$1,'來案暨出貨明細表-基因檢測(201904起'!$R:$R,"中英")</f>
        <v>0</v>
      </c>
      <c r="G14" s="33">
        <f>COUNTIFS('來案暨出貨明細表-基因檢測(201904起'!$P:$P,$A14&amp;"*",'來案暨出貨明細表-基因檢測(201904起'!$B:$B,G$1)*$B14+COUNTIFS('來案暨出貨明細表-基因檢測(201904起'!$P:$P,$A14&amp;"*",'來案暨出貨明細表-基因檢測(201904起'!$B:$B,G$1,'來案暨出貨明細表-基因檢測(201904起'!$Q:$Q,"紙本&amp;電子")++COUNTIFS('來案暨出貨明細表-基因檢測(201904起'!$P:$P,$A14&amp;"*",'來案暨出貨明細表-基因檢測(201904起'!$B:$B,G$1,'來案暨出貨明細表-基因檢測(201904起'!$R:$R,"中英")</f>
        <v>0</v>
      </c>
      <c r="H14" s="33">
        <f>COUNTIFS('來案暨出貨明細表-基因檢測(201904起'!$P:$P,$A14&amp;"*",'來案暨出貨明細表-基因檢測(201904起'!$B:$B,H$1)*$B14+COUNTIFS('來案暨出貨明細表-基因檢測(201904起'!$P:$P,$A14&amp;"*",'來案暨出貨明細表-基因檢測(201904起'!$B:$B,H$1,'來案暨出貨明細表-基因檢測(201904起'!$Q:$Q,"紙本&amp;電子")++COUNTIFS('來案暨出貨明細表-基因檢測(201904起'!$P:$P,$A14&amp;"*",'來案暨出貨明細表-基因檢測(201904起'!$B:$B,H$1,'來案暨出貨明細表-基因檢測(201904起'!$R:$R,"中英")</f>
        <v>0</v>
      </c>
      <c r="I14" s="33">
        <f>COUNTIFS('來案暨出貨明細表-基因檢測(201904起'!$P:$P,$A14&amp;"*",'來案暨出貨明細表-基因檢測(201904起'!$B:$B,I$1)*$B14+COUNTIFS('來案暨出貨明細表-基因檢測(201904起'!$P:$P,$A14&amp;"*",'來案暨出貨明細表-基因檢測(201904起'!$B:$B,I$1,'來案暨出貨明細表-基因檢測(201904起'!$Q:$Q,"紙本&amp;電子")++COUNTIFS('來案暨出貨明細表-基因檢測(201904起'!$P:$P,$A14&amp;"*",'來案暨出貨明細表-基因檢測(201904起'!$B:$B,I$1,'來案暨出貨明細表-基因檢測(201904起'!$R:$R,"中英")</f>
        <v>0</v>
      </c>
      <c r="J14" s="33">
        <f>COUNTIFS('來案暨出貨明細表-基因檢測(201904起'!$P:$P,$A14&amp;"*",'來案暨出貨明細表-基因檢測(201904起'!$B:$B,J$1)*$B14+COUNTIFS('來案暨出貨明細表-基因檢測(201904起'!$P:$P,$A14&amp;"*",'來案暨出貨明細表-基因檢測(201904起'!$B:$B,J$1,'來案暨出貨明細表-基因檢測(201904起'!$Q:$Q,"紙本&amp;電子")++COUNTIFS('來案暨出貨明細表-基因檢測(201904起'!$P:$P,$A14&amp;"*",'來案暨出貨明細表-基因檢測(201904起'!$B:$B,J$1,'來案暨出貨明細表-基因檢測(201904起'!$R:$R,"中英")</f>
        <v>0</v>
      </c>
      <c r="K14" s="33">
        <f>COUNTIFS('來案暨出貨明細表-基因檢測(201904起'!$P:$P,$A14&amp;"*",'來案暨出貨明細表-基因檢測(201904起'!$B:$B,K$1)*$B14+COUNTIFS('來案暨出貨明細表-基因檢測(201904起'!$P:$P,$A14&amp;"*",'來案暨出貨明細表-基因檢測(201904起'!$B:$B,K$1,'來案暨出貨明細表-基因檢測(201904起'!$Q:$Q,"紙本&amp;電子")++COUNTIFS('來案暨出貨明細表-基因檢測(201904起'!$P:$P,$A14&amp;"*",'來案暨出貨明細表-基因檢測(201904起'!$B:$B,K$1,'來案暨出貨明細表-基因檢測(201904起'!$R:$R,"中英")</f>
        <v>0</v>
      </c>
      <c r="L14" s="33">
        <f>COUNTIFS('來案暨出貨明細表-基因檢測(201904起'!$P:$P,$A14&amp;"*",'來案暨出貨明細表-基因檢測(201904起'!$B:$B,L$1)*$B14+COUNTIFS('來案暨出貨明細表-基因檢測(201904起'!$P:$P,$A14&amp;"*",'來案暨出貨明細表-基因檢測(201904起'!$B:$B,L$1,'來案暨出貨明細表-基因檢測(201904起'!$Q:$Q,"紙本&amp;電子")++COUNTIFS('來案暨出貨明細表-基因檢測(201904起'!$P:$P,$A14&amp;"*",'來案暨出貨明細表-基因檢測(201904起'!$B:$B,L$1,'來案暨出貨明細表-基因檢測(201904起'!$R:$R,"中英")</f>
        <v>0</v>
      </c>
      <c r="M14" s="33">
        <f>COUNTIFS('來案暨出貨明細表-基因檢測(201904起'!$P:$P,$A14&amp;"*",'來案暨出貨明細表-基因檢測(201904起'!$B:$B,M$1)*$B14+COUNTIFS('來案暨出貨明細表-基因檢測(201904起'!$P:$P,$A14&amp;"*",'來案暨出貨明細表-基因檢測(201904起'!$B:$B,M$1,'來案暨出貨明細表-基因檢測(201904起'!$Q:$Q,"紙本&amp;電子")++COUNTIFS('來案暨出貨明細表-基因檢測(201904起'!$P:$P,$A14&amp;"*",'來案暨出貨明細表-基因檢測(201904起'!$B:$B,M$1,'來案暨出貨明細表-基因檢測(201904起'!$R:$R,"中英")</f>
        <v>0</v>
      </c>
      <c r="N14" s="33">
        <f>COUNTIFS('來案暨出貨明細表-基因檢測(201904起'!$P:$P,$A14&amp;"*",'來案暨出貨明細表-基因檢測(201904起'!$B:$B,N$1)*$B14+COUNTIFS('來案暨出貨明細表-基因檢測(201904起'!$P:$P,$A14&amp;"*",'來案暨出貨明細表-基因檢測(201904起'!$B:$B,N$1,'來案暨出貨明細表-基因檢測(201904起'!$Q:$Q,"紙本&amp;電子")++COUNTIFS('來案暨出貨明細表-基因檢測(201904起'!$P:$P,$A14&amp;"*",'來案暨出貨明細表-基因檢測(201904起'!$B:$B,N$1,'來案暨出貨明細表-基因檢測(201904起'!$R:$R,"中英")</f>
        <v>0</v>
      </c>
      <c r="O14" s="33">
        <f>COUNTIFS('來案暨出貨明細表-基因檢測(201904起'!$P:$P,$A14&amp;"*",'來案暨出貨明細表-基因檢測(201904起'!$B:$B,O$1)*$B14+COUNTIFS('來案暨出貨明細表-基因檢測(201904起'!$P:$P,$A14&amp;"*",'來案暨出貨明細表-基因檢測(201904起'!$B:$B,O$1,'來案暨出貨明細表-基因檢測(201904起'!$Q:$Q,"紙本&amp;電子")++COUNTIFS('來案暨出貨明細表-基因檢測(201904起'!$P:$P,$A14&amp;"*",'來案暨出貨明細表-基因檢測(201904起'!$B:$B,O$1,'來案暨出貨明細表-基因檢測(201904起'!$R:$R,"中英")</f>
        <v>0</v>
      </c>
      <c r="P14" s="33">
        <f>COUNTIFS('來案暨出貨明細表-基因檢測(201904起'!$P:$P,$A14&amp;"*",'來案暨出貨明細表-基因檢測(201904起'!$B:$B,P$1)*$B14+COUNTIFS('來案暨出貨明細表-基因檢測(201904起'!$P:$P,$A14&amp;"*",'來案暨出貨明細表-基因檢測(201904起'!$B:$B,P$1,'來案暨出貨明細表-基因檢測(201904起'!$Q:$Q,"紙本&amp;電子")++COUNTIFS('來案暨出貨明細表-基因檢測(201904起'!$P:$P,$A14&amp;"*",'來案暨出貨明細表-基因檢測(201904起'!$B:$B,P$1,'來案暨出貨明細表-基因檢測(201904起'!$R:$R,"中英")</f>
        <v>0</v>
      </c>
      <c r="Q14" s="33">
        <f>COUNTIFS('來案暨出貨明細表-基因檢測(201904起'!$P:$P,$A14&amp;"*",'來案暨出貨明細表-基因檢測(201904起'!$B:$B,Q$1)*$B14+COUNTIFS('來案暨出貨明細表-基因檢測(201904起'!$P:$P,$A14&amp;"*",'來案暨出貨明細表-基因檢測(201904起'!$B:$B,Q$1,'來案暨出貨明細表-基因檢測(201904起'!$Q:$Q,"紙本&amp;電子")++COUNTIFS('來案暨出貨明細表-基因檢測(201904起'!$P:$P,$A14&amp;"*",'來案暨出貨明細表-基因檢測(201904起'!$B:$B,Q$1,'來案暨出貨明細表-基因檢測(201904起'!$R:$R,"中英")</f>
        <v>0</v>
      </c>
      <c r="R14" s="33">
        <f>COUNTIFS('來案暨出貨明細表-基因檢測(201904起'!$P:$P,$A14&amp;"*",'來案暨出貨明細表-基因檢測(201904起'!$B:$B,R$1)*$B14+COUNTIFS('來案暨出貨明細表-基因檢測(201904起'!$P:$P,$A14&amp;"*",'來案暨出貨明細表-基因檢測(201904起'!$B:$B,R$1,'來案暨出貨明細表-基因檢測(201904起'!$Q:$Q,"紙本&amp;電子")++COUNTIFS('來案暨出貨明細表-基因檢測(201904起'!$P:$P,$A14&amp;"*",'來案暨出貨明細表-基因檢測(201904起'!$B:$B,R$1,'來案暨出貨明細表-基因檢測(201904起'!$R:$R,"中英")</f>
        <v>0</v>
      </c>
      <c r="S14" s="33">
        <f>COUNTIFS('來案暨出貨明細表-基因檢測(201904起'!$P:$P,$A14&amp;"*",'來案暨出貨明細表-基因檢測(201904起'!$B:$B,S$1)*$B14+COUNTIFS('來案暨出貨明細表-基因檢測(201904起'!$P:$P,$A14&amp;"*",'來案暨出貨明細表-基因檢測(201904起'!$B:$B,S$1,'來案暨出貨明細表-基因檢測(201904起'!$Q:$Q,"紙本&amp;電子")++COUNTIFS('來案暨出貨明細表-基因檢測(201904起'!$P:$P,$A14&amp;"*",'來案暨出貨明細表-基因檢測(201904起'!$B:$B,S$1,'來案暨出貨明細表-基因檢測(201904起'!$R:$R,"中英")</f>
        <v>0</v>
      </c>
      <c r="T14" s="33">
        <f>COUNTIFS('來案暨出貨明細表-基因檢測(201904起'!$P:$P,$A14&amp;"*",'來案暨出貨明細表-基因檢測(201904起'!$B:$B,T$1)*$B14+COUNTIFS('來案暨出貨明細表-基因檢測(201904起'!$P:$P,$A14&amp;"*",'來案暨出貨明細表-基因檢測(201904起'!$B:$B,T$1,'來案暨出貨明細表-基因檢測(201904起'!$Q:$Q,"紙本&amp;電子")++COUNTIFS('來案暨出貨明細表-基因檢測(201904起'!$P:$P,$A14&amp;"*",'來案暨出貨明細表-基因檢測(201904起'!$B:$B,T$1,'來案暨出貨明細表-基因檢測(201904起'!$R:$R,"中英")</f>
        <v>0</v>
      </c>
      <c r="U14" s="33">
        <f>COUNTIFS('來案暨出貨明細表-基因檢測(201904起'!$P:$P,$A14&amp;"*",'來案暨出貨明細表-基因檢測(201904起'!$B:$B,U$1)*$B14+COUNTIFS('來案暨出貨明細表-基因檢測(201904起'!$P:$P,$A14&amp;"*",'來案暨出貨明細表-基因檢測(201904起'!$B:$B,U$1,'來案暨出貨明細表-基因檢測(201904起'!$Q:$Q,"紙本&amp;電子")++COUNTIFS('來案暨出貨明細表-基因檢測(201904起'!$P:$P,$A14&amp;"*",'來案暨出貨明細表-基因檢測(201904起'!$B:$B,U$1,'來案暨出貨明細表-基因檢測(201904起'!$R:$R,"中英")</f>
        <v>0</v>
      </c>
      <c r="V14" s="33">
        <f>COUNTIFS('來案暨出貨明細表-基因檢測(201904起'!$P:$P,$A14&amp;"*",'來案暨出貨明細表-基因檢測(201904起'!$B:$B,V$1)*$B14+COUNTIFS('來案暨出貨明細表-基因檢測(201904起'!$P:$P,$A14&amp;"*",'來案暨出貨明細表-基因檢測(201904起'!$B:$B,V$1,'來案暨出貨明細表-基因檢測(201904起'!$Q:$Q,"紙本&amp;電子")++COUNTIFS('來案暨出貨明細表-基因檢測(201904起'!$P:$P,$A14&amp;"*",'來案暨出貨明細表-基因檢測(201904起'!$B:$B,V$1,'來案暨出貨明細表-基因檢測(201904起'!$R:$R,"中英")</f>
        <v>0</v>
      </c>
      <c r="W14" s="33">
        <f>COUNTIFS('來案暨出貨明細表-基因檢測(201904起'!$P:$P,$A14&amp;"*",'來案暨出貨明細表-基因檢測(201904起'!$B:$B,W$1)*$B14+COUNTIFS('來案暨出貨明細表-基因檢測(201904起'!$P:$P,$A14&amp;"*",'來案暨出貨明細表-基因檢測(201904起'!$B:$B,W$1,'來案暨出貨明細表-基因檢測(201904起'!$Q:$Q,"紙本&amp;電子")++COUNTIFS('來案暨出貨明細表-基因檢測(201904起'!$P:$P,$A14&amp;"*",'來案暨出貨明細表-基因檢測(201904起'!$B:$B,W$1,'來案暨出貨明細表-基因檢測(201904起'!$R:$R,"中英")</f>
        <v>0</v>
      </c>
      <c r="X14" s="33">
        <f>COUNTIFS('來案暨出貨明細表-基因檢測(201904起'!$P:$P,$A14&amp;"*",'來案暨出貨明細表-基因檢測(201904起'!$B:$B,X$1)*$B14+COUNTIFS('來案暨出貨明細表-基因檢測(201904起'!$P:$P,$A14&amp;"*",'來案暨出貨明細表-基因檢測(201904起'!$B:$B,X$1,'來案暨出貨明細表-基因檢測(201904起'!$Q:$Q,"紙本&amp;電子")++COUNTIFS('來案暨出貨明細表-基因檢測(201904起'!$P:$P,$A14&amp;"*",'來案暨出貨明細表-基因檢測(201904起'!$B:$B,X$1,'來案暨出貨明細表-基因檢測(201904起'!$R:$R,"中英")</f>
        <v>0</v>
      </c>
      <c r="Y14" s="33">
        <f>COUNTIFS('來案暨出貨明細表-基因檢測(201904起'!$P:$P,$A14&amp;"*",'來案暨出貨明細表-基因檢測(201904起'!$B:$B,Y$1)*$B14+COUNTIFS('來案暨出貨明細表-基因檢測(201904起'!$P:$P,$A14&amp;"*",'來案暨出貨明細表-基因檢測(201904起'!$B:$B,Y$1,'來案暨出貨明細表-基因檢測(201904起'!$Q:$Q,"紙本&amp;電子")++COUNTIFS('來案暨出貨明細表-基因檢測(201904起'!$P:$P,$A14&amp;"*",'來案暨出貨明細表-基因檢測(201904起'!$B:$B,Y$1,'來案暨出貨明細表-基因檢測(201904起'!$R:$R,"中英")</f>
        <v>0</v>
      </c>
      <c r="Z14" s="33">
        <f>COUNTIFS('來案暨出貨明細表-基因檢測(201904起'!$P:$P,$A14&amp;"*",'來案暨出貨明細表-基因檢測(201904起'!$B:$B,Z$1)*$B14+COUNTIFS('來案暨出貨明細表-基因檢測(201904起'!$P:$P,$A14&amp;"*",'來案暨出貨明細表-基因檢測(201904起'!$B:$B,Z$1,'來案暨出貨明細表-基因檢測(201904起'!$Q:$Q,"紙本&amp;電子")++COUNTIFS('來案暨出貨明細表-基因檢測(201904起'!$P:$P,$A14&amp;"*",'來案暨出貨明細表-基因檢測(201904起'!$B:$B,Z$1,'來案暨出貨明細表-基因檢測(201904起'!$R:$R,"中英")</f>
        <v>0</v>
      </c>
      <c r="AA14" s="33">
        <f>COUNTIFS('來案暨出貨明細表-基因檢測(201904起'!$P:$P,$A14&amp;"*",'來案暨出貨明細表-基因檢測(201904起'!$B:$B,AA$1)*$B14+COUNTIFS('來案暨出貨明細表-基因檢測(201904起'!$P:$P,$A14&amp;"*",'來案暨出貨明細表-基因檢測(201904起'!$B:$B,AA$1,'來案暨出貨明細表-基因檢測(201904起'!$Q:$Q,"紙本&amp;電子")++COUNTIFS('來案暨出貨明細表-基因檢測(201904起'!$P:$P,$A14&amp;"*",'來案暨出貨明細表-基因檢測(201904起'!$B:$B,AA$1,'來案暨出貨明細表-基因檢測(201904起'!$R:$R,"中英")</f>
        <v>0</v>
      </c>
      <c r="AB14" s="33">
        <f>COUNTIFS('來案暨出貨明細表-基因檢測(201904起'!$P:$P,$A14&amp;"*",'來案暨出貨明細表-基因檢測(201904起'!$B:$B,AB$1)*$B14+COUNTIFS('來案暨出貨明細表-基因檢測(201904起'!$P:$P,$A14&amp;"*",'來案暨出貨明細表-基因檢測(201904起'!$B:$B,AB$1,'來案暨出貨明細表-基因檢測(201904起'!$Q:$Q,"紙本&amp;電子")++COUNTIFS('來案暨出貨明細表-基因檢測(201904起'!$P:$P,$A14&amp;"*",'來案暨出貨明細表-基因檢測(201904起'!$B:$B,AB$1,'來案暨出貨明細表-基因檢測(201904起'!$R:$R,"中英")</f>
        <v>0</v>
      </c>
      <c r="AC14" s="33">
        <f>COUNTIFS('來案暨出貨明細表-基因檢測(201904起'!$P:$P,$A14&amp;"*",'來案暨出貨明細表-基因檢測(201904起'!$B:$B,AC$1)*$B14+COUNTIFS('來案暨出貨明細表-基因檢測(201904起'!$P:$P,$A14&amp;"*",'來案暨出貨明細表-基因檢測(201904起'!$B:$B,AC$1,'來案暨出貨明細表-基因檢測(201904起'!$Q:$Q,"紙本&amp;電子")++COUNTIFS('來案暨出貨明細表-基因檢測(201904起'!$P:$P,$A14&amp;"*",'來案暨出貨明細表-基因檢測(201904起'!$B:$B,AC$1,'來案暨出貨明細表-基因檢測(201904起'!$R:$R,"中英")</f>
        <v>0</v>
      </c>
      <c r="AD14" s="33">
        <f>COUNTIFS('來案暨出貨明細表-基因檢測(201904起'!$P:$P,$A14&amp;"*",'來案暨出貨明細表-基因檢測(201904起'!$B:$B,AD$1)*$B14+COUNTIFS('來案暨出貨明細表-基因檢測(201904起'!$P:$P,$A14&amp;"*",'來案暨出貨明細表-基因檢測(201904起'!$B:$B,AD$1,'來案暨出貨明細表-基因檢測(201904起'!$Q:$Q,"紙本&amp;電子")++COUNTIFS('來案暨出貨明細表-基因檢測(201904起'!$P:$P,$A14&amp;"*",'來案暨出貨明細表-基因檢測(201904起'!$B:$B,AD$1,'來案暨出貨明細表-基因檢測(201904起'!$R:$R,"中英")</f>
        <v>0</v>
      </c>
      <c r="AE14" s="33">
        <f>COUNTIFS('來案暨出貨明細表-基因檢測(201904起'!$P:$P,$A14&amp;"*",'來案暨出貨明細表-基因檢測(201904起'!$B:$B,AE$1)*$B14+COUNTIFS('來案暨出貨明細表-基因檢測(201904起'!$P:$P,$A14&amp;"*",'來案暨出貨明細表-基因檢測(201904起'!$B:$B,AE$1,'來案暨出貨明細表-基因檢測(201904起'!$Q:$Q,"紙本&amp;電子")++COUNTIFS('來案暨出貨明細表-基因檢測(201904起'!$P:$P,$A14&amp;"*",'來案暨出貨明細表-基因檢測(201904起'!$B:$B,AE$1,'來案暨出貨明細表-基因檢測(201904起'!$R:$R,"中英")</f>
        <v>0</v>
      </c>
      <c r="AF14" s="33">
        <f>COUNTIFS('來案暨出貨明細表-基因檢測(201904起'!$P:$P,$A14&amp;"*",'來案暨出貨明細表-基因檢測(201904起'!$B:$B,AF$1)*$B14+COUNTIFS('來案暨出貨明細表-基因檢測(201904起'!$P:$P,$A14&amp;"*",'來案暨出貨明細表-基因檢測(201904起'!$B:$B,AF$1,'來案暨出貨明細表-基因檢測(201904起'!$Q:$Q,"紙本&amp;電子")++COUNTIFS('來案暨出貨明細表-基因檢測(201904起'!$P:$P,$A14&amp;"*",'來案暨出貨明細表-基因檢測(201904起'!$B:$B,AF$1,'來案暨出貨明細表-基因檢測(201904起'!$R:$R,"中英")</f>
        <v>0</v>
      </c>
      <c r="AG14" s="33">
        <f>COUNTIFS('來案暨出貨明細表-基因檢測(201904起'!$P:$P,$A14&amp;"*",'來案暨出貨明細表-基因檢測(201904起'!$B:$B,AG$1)*$B14+COUNTIFS('來案暨出貨明細表-基因檢測(201904起'!$P:$P,$A14&amp;"*",'來案暨出貨明細表-基因檢測(201904起'!$B:$B,AG$1,'來案暨出貨明細表-基因檢測(201904起'!$Q:$Q,"紙本&amp;電子")++COUNTIFS('來案暨出貨明細表-基因檢測(201904起'!$P:$P,$A14&amp;"*",'來案暨出貨明細表-基因檢測(201904起'!$B:$B,AG$1,'來案暨出貨明細表-基因檢測(201904起'!$R:$R,"中英")</f>
        <v>0</v>
      </c>
      <c r="AH14" s="33">
        <f>COUNTIFS('來案暨出貨明細表-基因檢測(201904起'!$P:$P,$A14&amp;"*",'來案暨出貨明細表-基因檢測(201904起'!$B:$B,AH$1)*$B14+COUNTIFS('來案暨出貨明細表-基因檢測(201904起'!$P:$P,$A14&amp;"*",'來案暨出貨明細表-基因檢測(201904起'!$B:$B,AH$1,'來案暨出貨明細表-基因檢測(201904起'!$Q:$Q,"紙本&amp;電子")++COUNTIFS('來案暨出貨明細表-基因檢測(201904起'!$P:$P,$A14&amp;"*",'來案暨出貨明細表-基因檢測(201904起'!$B:$B,AH$1,'來案暨出貨明細表-基因檢測(201904起'!$R:$R,"中英")</f>
        <v>0</v>
      </c>
      <c r="AI14" s="33">
        <f>COUNTIFS('來案暨出貨明細表-基因檢測(201904起'!$P:$P,$A14&amp;"*",'來案暨出貨明細表-基因檢測(201904起'!$B:$B,AI$1)*$B14+COUNTIFS('來案暨出貨明細表-基因檢測(201904起'!$P:$P,$A14&amp;"*",'來案暨出貨明細表-基因檢測(201904起'!$B:$B,AI$1,'來案暨出貨明細表-基因檢測(201904起'!$Q:$Q,"紙本&amp;電子")++COUNTIFS('來案暨出貨明細表-基因檢測(201904起'!$P:$P,$A14&amp;"*",'來案暨出貨明細表-基因檢測(201904起'!$B:$B,AI$1,'來案暨出貨明細表-基因檢測(201904起'!$R:$R,"中英")</f>
        <v>0</v>
      </c>
      <c r="AJ14" s="33">
        <f>COUNTIFS('來案暨出貨明細表-基因檢測(201904起'!$P:$P,$A14&amp;"*",'來案暨出貨明細表-基因檢測(201904起'!$B:$B,AJ$1)*$B14+COUNTIFS('來案暨出貨明細表-基因檢測(201904起'!$P:$P,$A14&amp;"*",'來案暨出貨明細表-基因檢測(201904起'!$B:$B,AJ$1,'來案暨出貨明細表-基因檢測(201904起'!$Q:$Q,"紙本&amp;電子")++COUNTIFS('來案暨出貨明細表-基因檢測(201904起'!$P:$P,$A14&amp;"*",'來案暨出貨明細表-基因檢測(201904起'!$B:$B,AJ$1,'來案暨出貨明細表-基因檢測(201904起'!$R:$R,"中英")</f>
        <v>0</v>
      </c>
      <c r="AK14" s="33">
        <f>COUNTIFS('來案暨出貨明細表-基因檢測(201904起'!$P:$P,$A14&amp;"*",'來案暨出貨明細表-基因檢測(201904起'!$B:$B,AK$1)*$B14+COUNTIFS('來案暨出貨明細表-基因檢測(201904起'!$P:$P,$A14&amp;"*",'來案暨出貨明細表-基因檢測(201904起'!$B:$B,AK$1,'來案暨出貨明細表-基因檢測(201904起'!$Q:$Q,"紙本&amp;電子")++COUNTIFS('來案暨出貨明細表-基因檢測(201904起'!$P:$P,$A14&amp;"*",'來案暨出貨明細表-基因檢測(201904起'!$B:$B,AK$1,'來案暨出貨明細表-基因檢測(201904起'!$R:$R,"中英")</f>
        <v>0</v>
      </c>
      <c r="AL14" s="33">
        <f>COUNTIFS('來案暨出貨明細表-基因檢測(201904起'!$P:$P,$A14&amp;"*",'來案暨出貨明細表-基因檢測(201904起'!$B:$B,AL$1)*$B14+COUNTIFS('來案暨出貨明細表-基因檢測(201904起'!$P:$P,$A14&amp;"*",'來案暨出貨明細表-基因檢測(201904起'!$B:$B,AL$1,'來案暨出貨明細表-基因檢測(201904起'!$Q:$Q,"紙本&amp;電子")++COUNTIFS('來案暨出貨明細表-基因檢測(201904起'!$P:$P,$A14&amp;"*",'來案暨出貨明細表-基因檢測(201904起'!$B:$B,AL$1,'來案暨出貨明細表-基因檢測(201904起'!$R:$R,"中英")</f>
        <v>0</v>
      </c>
      <c r="AM14" s="33">
        <f>COUNTIFS('來案暨出貨明細表-基因檢測(201904起'!$P:$P,$A14&amp;"*",'來案暨出貨明細表-基因檢測(201904起'!$B:$B,AM$1)*$B14+COUNTIFS('來案暨出貨明細表-基因檢測(201904起'!$P:$P,$A14&amp;"*",'來案暨出貨明細表-基因檢測(201904起'!$B:$B,AM$1,'來案暨出貨明細表-基因檢測(201904起'!$Q:$Q,"紙本&amp;電子")++COUNTIFS('來案暨出貨明細表-基因檢測(201904起'!$P:$P,$A14&amp;"*",'來案暨出貨明細表-基因檢測(201904起'!$B:$B,AM$1,'來案暨出貨明細表-基因檢測(201904起'!$R:$R,"中英")</f>
        <v>0</v>
      </c>
      <c r="AN14" s="33">
        <f>COUNTIFS('來案暨出貨明細表-基因檢測(201904起'!$P:$P,$A14&amp;"*",'來案暨出貨明細表-基因檢測(201904起'!$B:$B,AN$1)*$B14+COUNTIFS('來案暨出貨明細表-基因檢測(201904起'!$P:$P,$A14&amp;"*",'來案暨出貨明細表-基因檢測(201904起'!$B:$B,AN$1,'來案暨出貨明細表-基因檢測(201904起'!$Q:$Q,"紙本&amp;電子")++COUNTIFS('來案暨出貨明細表-基因檢測(201904起'!$P:$P,$A14&amp;"*",'來案暨出貨明細表-基因檢測(201904起'!$B:$B,AN$1,'來案暨出貨明細表-基因檢測(201904起'!$R:$R,"中英")</f>
        <v>0</v>
      </c>
      <c r="AO14" s="33">
        <f>COUNTIFS('來案暨出貨明細表-基因檢測(201904起'!$P:$P,$A14&amp;"*",'來案暨出貨明細表-基因檢測(201904起'!$B:$B,AO$1)*$B14+COUNTIFS('來案暨出貨明細表-基因檢測(201904起'!$P:$P,$A14&amp;"*",'來案暨出貨明細表-基因檢測(201904起'!$B:$B,AO$1,'來案暨出貨明細表-基因檢測(201904起'!$Q:$Q,"紙本&amp;電子")++COUNTIFS('來案暨出貨明細表-基因檢測(201904起'!$P:$P,$A14&amp;"*",'來案暨出貨明細表-基因檢測(201904起'!$B:$B,AO$1,'來案暨出貨明細表-基因檢測(201904起'!$R:$R,"中英")</f>
        <v>0</v>
      </c>
      <c r="AP14" s="33">
        <f>COUNTIFS('來案暨出貨明細表-基因檢測(201904起'!$P:$P,$A14&amp;"*",'來案暨出貨明細表-基因檢測(201904起'!$B:$B,AP$1)*$B14+COUNTIFS('來案暨出貨明細表-基因檢測(201904起'!$P:$P,$A14&amp;"*",'來案暨出貨明細表-基因檢測(201904起'!$B:$B,AP$1,'來案暨出貨明細表-基因檢測(201904起'!$Q:$Q,"紙本&amp;電子")++COUNTIFS('來案暨出貨明細表-基因檢測(201904起'!$P:$P,$A14&amp;"*",'來案暨出貨明細表-基因檢測(201904起'!$B:$B,AP$1,'來案暨出貨明細表-基因檢測(201904起'!$R:$R,"中英")</f>
        <v>0</v>
      </c>
      <c r="AQ14" s="33">
        <f>COUNTIFS('來案暨出貨明細表-基因檢測(201904起'!$P:$P,$A14&amp;"*",'來案暨出貨明細表-基因檢測(201904起'!$B:$B,AQ$1)*$B14+COUNTIFS('來案暨出貨明細表-基因檢測(201904起'!$P:$P,$A14&amp;"*",'來案暨出貨明細表-基因檢測(201904起'!$B:$B,AQ$1,'來案暨出貨明細表-基因檢測(201904起'!$Q:$Q,"紙本&amp;電子")++COUNTIFS('來案暨出貨明細表-基因檢測(201904起'!$P:$P,$A14&amp;"*",'來案暨出貨明細表-基因檢測(201904起'!$B:$B,AQ$1,'來案暨出貨明細表-基因檢測(201904起'!$R:$R,"中英")</f>
        <v>0</v>
      </c>
      <c r="AR14" s="33">
        <f>COUNTIFS('來案暨出貨明細表-基因檢測(201904起'!$P:$P,$A14&amp;"*",'來案暨出貨明細表-基因檢測(201904起'!$B:$B,AR$1)*$B14+COUNTIFS('來案暨出貨明細表-基因檢測(201904起'!$P:$P,$A14&amp;"*",'來案暨出貨明細表-基因檢測(201904起'!$B:$B,AR$1,'來案暨出貨明細表-基因檢測(201904起'!$Q:$Q,"紙本&amp;電子")++COUNTIFS('來案暨出貨明細表-基因檢測(201904起'!$P:$P,$A14&amp;"*",'來案暨出貨明細表-基因檢測(201904起'!$B:$B,AR$1,'來案暨出貨明細表-基因檢測(201904起'!$R:$R,"中英")</f>
        <v>0</v>
      </c>
      <c r="AS14" s="33">
        <f>COUNTIFS('來案暨出貨明細表-基因檢測(201904起'!$P:$P,$A14&amp;"*",'來案暨出貨明細表-基因檢測(201904起'!$B:$B,AS$1)*$B14+COUNTIFS('來案暨出貨明細表-基因檢測(201904起'!$P:$P,$A14&amp;"*",'來案暨出貨明細表-基因檢測(201904起'!$B:$B,AS$1,'來案暨出貨明細表-基因檢測(201904起'!$Q:$Q,"紙本&amp;電子")++COUNTIFS('來案暨出貨明細表-基因檢測(201904起'!$P:$P,$A14&amp;"*",'來案暨出貨明細表-基因檢測(201904起'!$B:$B,AS$1,'來案暨出貨明細表-基因檢測(201904起'!$R:$R,"中英")</f>
        <v>0</v>
      </c>
      <c r="AT14" s="33">
        <f>COUNTIFS('來案暨出貨明細表-基因檢測(201904起'!$P:$P,$A14&amp;"*",'來案暨出貨明細表-基因檢測(201904起'!$B:$B,AT$1)*$B14+COUNTIFS('來案暨出貨明細表-基因檢測(201904起'!$P:$P,$A14&amp;"*",'來案暨出貨明細表-基因檢測(201904起'!$B:$B,AT$1,'來案暨出貨明細表-基因檢測(201904起'!$Q:$Q,"紙本&amp;電子")++COUNTIFS('來案暨出貨明細表-基因檢測(201904起'!$P:$P,$A14&amp;"*",'來案暨出貨明細表-基因檢測(201904起'!$B:$B,AT$1,'來案暨出貨明細表-基因檢測(201904起'!$R:$R,"中英")</f>
        <v>0</v>
      </c>
      <c r="AU14" s="33">
        <f>COUNTIFS('來案暨出貨明細表-基因檢測(201904起'!$P:$P,$A14&amp;"*",'來案暨出貨明細表-基因檢測(201904起'!$B:$B,AU$1)*$B14+COUNTIFS('來案暨出貨明細表-基因檢測(201904起'!$P:$P,$A14&amp;"*",'來案暨出貨明細表-基因檢測(201904起'!$B:$B,AU$1,'來案暨出貨明細表-基因檢測(201904起'!$Q:$Q,"紙本&amp;電子")++COUNTIFS('來案暨出貨明細表-基因檢測(201904起'!$P:$P,$A14&amp;"*",'來案暨出貨明細表-基因檢測(201904起'!$B:$B,AU$1,'來案暨出貨明細表-基因檢測(201904起'!$R:$R,"中英")</f>
        <v>0</v>
      </c>
      <c r="AV14" s="33">
        <f>COUNTIFS('來案暨出貨明細表-基因檢測(201904起'!$P:$P,$A14&amp;"*",'來案暨出貨明細表-基因檢測(201904起'!$B:$B,AV$1)*$B14+COUNTIFS('來案暨出貨明細表-基因檢測(201904起'!$P:$P,$A14&amp;"*",'來案暨出貨明細表-基因檢測(201904起'!$B:$B,AV$1,'來案暨出貨明細表-基因檢測(201904起'!$Q:$Q,"紙本&amp;電子")++COUNTIFS('來案暨出貨明細表-基因檢測(201904起'!$P:$P,$A14&amp;"*",'來案暨出貨明細表-基因檢測(201904起'!$B:$B,AV$1,'來案暨出貨明細表-基因檢測(201904起'!$R:$R,"中英")</f>
        <v>0</v>
      </c>
      <c r="AW14" s="33">
        <f>COUNTIFS('來案暨出貨明細表-基因檢測(201904起'!$P:$P,$A14&amp;"*",'來案暨出貨明細表-基因檢測(201904起'!$B:$B,AW$1)*$B14+COUNTIFS('來案暨出貨明細表-基因檢測(201904起'!$P:$P,$A14&amp;"*",'來案暨出貨明細表-基因檢測(201904起'!$B:$B,AW$1,'來案暨出貨明細表-基因檢測(201904起'!$Q:$Q,"紙本&amp;電子")++COUNTIFS('來案暨出貨明細表-基因檢測(201904起'!$P:$P,$A14&amp;"*",'來案暨出貨明細表-基因檢測(201904起'!$B:$B,AW$1,'來案暨出貨明細表-基因檢測(201904起'!$R:$R,"中英")</f>
        <v>0</v>
      </c>
      <c r="AX14" s="33">
        <f>COUNTIFS('來案暨出貨明細表-基因檢測(201904起'!$P:$P,$A14&amp;"*",'來案暨出貨明細表-基因檢測(201904起'!$B:$B,AX$1)*$B14+COUNTIFS('來案暨出貨明細表-基因檢測(201904起'!$P:$P,$A14&amp;"*",'來案暨出貨明細表-基因檢測(201904起'!$B:$B,AX$1,'來案暨出貨明細表-基因檢測(201904起'!$Q:$Q,"紙本&amp;電子")++COUNTIFS('來案暨出貨明細表-基因檢測(201904起'!$P:$P,$A14&amp;"*",'來案暨出貨明細表-基因檢測(201904起'!$B:$B,AX$1,'來案暨出貨明細表-基因檢測(201904起'!$R:$R,"中英")</f>
        <v>0</v>
      </c>
      <c r="AY14" s="33">
        <f>COUNTIFS('來案暨出貨明細表-基因檢測(201904起'!$P:$P,$A14&amp;"*",'來案暨出貨明細表-基因檢測(201904起'!$B:$B,AY$1)*$B14+COUNTIFS('來案暨出貨明細表-基因檢測(201904起'!$P:$P,$A14&amp;"*",'來案暨出貨明細表-基因檢測(201904起'!$B:$B,AY$1,'來案暨出貨明細表-基因檢測(201904起'!$Q:$Q,"紙本&amp;電子")++COUNTIFS('來案暨出貨明細表-基因檢測(201904起'!$P:$P,$A14&amp;"*",'來案暨出貨明細表-基因檢測(201904起'!$B:$B,AY$1,'來案暨出貨明細表-基因檢測(201904起'!$R:$R,"中英")</f>
        <v>0</v>
      </c>
      <c r="AZ14" s="33">
        <f>COUNTIFS('來案暨出貨明細表-基因檢測(201904起'!$P:$P,$A14&amp;"*",'來案暨出貨明細表-基因檢測(201904起'!$B:$B,AZ$1)*$B14+COUNTIFS('來案暨出貨明細表-基因檢測(201904起'!$P:$P,$A14&amp;"*",'來案暨出貨明細表-基因檢測(201904起'!$B:$B,AZ$1,'來案暨出貨明細表-基因檢測(201904起'!$Q:$Q,"紙本&amp;電子")++COUNTIFS('來案暨出貨明細表-基因檢測(201904起'!$P:$P,$A14&amp;"*",'來案暨出貨明細表-基因檢測(201904起'!$B:$B,AZ$1,'來案暨出貨明細表-基因檢測(201904起'!$R:$R,"中英")</f>
        <v>0</v>
      </c>
      <c r="BA14" s="33">
        <f>COUNTIFS('來案暨出貨明細表-基因檢測(201904起'!$P:$P,$A14&amp;"*",'來案暨出貨明細表-基因檢測(201904起'!$B:$B,BA$1)*$B14+COUNTIFS('來案暨出貨明細表-基因檢測(201904起'!$P:$P,$A14&amp;"*",'來案暨出貨明細表-基因檢測(201904起'!$B:$B,BA$1,'來案暨出貨明細表-基因檢測(201904起'!$Q:$Q,"紙本&amp;電子")++COUNTIFS('來案暨出貨明細表-基因檢測(201904起'!$P:$P,$A14&amp;"*",'來案暨出貨明細表-基因檢測(201904起'!$B:$B,BA$1,'來案暨出貨明細表-基因檢測(201904起'!$R:$R,"中英")</f>
        <v>0</v>
      </c>
      <c r="BB14" s="33">
        <f>COUNTIFS('來案暨出貨明細表-基因檢測(201904起'!$P:$P,$A14&amp;"*",'來案暨出貨明細表-基因檢測(201904起'!$B:$B,BB$1)*$B14+COUNTIFS('來案暨出貨明細表-基因檢測(201904起'!$P:$P,$A14&amp;"*",'來案暨出貨明細表-基因檢測(201904起'!$B:$B,BB$1,'來案暨出貨明細表-基因檢測(201904起'!$Q:$Q,"紙本&amp;電子")++COUNTIFS('來案暨出貨明細表-基因檢測(201904起'!$P:$P,$A14&amp;"*",'來案暨出貨明細表-基因檢測(201904起'!$B:$B,BB$1,'來案暨出貨明細表-基因檢測(201904起'!$R:$R,"中英")</f>
        <v>0</v>
      </c>
      <c r="BC14" s="33">
        <f>COUNTIFS('來案暨出貨明細表-基因檢測(201904起'!$P:$P,$A14&amp;"*",'來案暨出貨明細表-基因檢測(201904起'!$B:$B,BC$1)*$B14+COUNTIFS('來案暨出貨明細表-基因檢測(201904起'!$P:$P,$A14&amp;"*",'來案暨出貨明細表-基因檢測(201904起'!$B:$B,BC$1,'來案暨出貨明細表-基因檢測(201904起'!$Q:$Q,"紙本&amp;電子")++COUNTIFS('來案暨出貨明細表-基因檢測(201904起'!$P:$P,$A14&amp;"*",'來案暨出貨明細表-基因檢測(201904起'!$B:$B,BC$1,'來案暨出貨明細表-基因檢測(201904起'!$R:$R,"中英")</f>
        <v>0</v>
      </c>
      <c r="BD14" s="33">
        <f>COUNTIFS('來案暨出貨明細表-基因檢測(201904起'!$P:$P,$A14&amp;"*",'來案暨出貨明細表-基因檢測(201904起'!$B:$B,BD$1)*$B14+COUNTIFS('來案暨出貨明細表-基因檢測(201904起'!$P:$P,$A14&amp;"*",'來案暨出貨明細表-基因檢測(201904起'!$B:$B,BD$1,'來案暨出貨明細表-基因檢測(201904起'!$Q:$Q,"紙本&amp;電子")++COUNTIFS('來案暨出貨明細表-基因檢測(201904起'!$P:$P,$A14&amp;"*",'來案暨出貨明細表-基因檢測(201904起'!$B:$B,BD$1,'來案暨出貨明細表-基因檢測(201904起'!$R:$R,"中英")</f>
        <v>0</v>
      </c>
      <c r="BE14" s="33">
        <f>COUNTIFS('來案暨出貨明細表-基因檢測(201904起'!$P:$P,$A14&amp;"*",'來案暨出貨明細表-基因檢測(201904起'!$B:$B,BE$1)*$B14+COUNTIFS('來案暨出貨明細表-基因檢測(201904起'!$P:$P,$A14&amp;"*",'來案暨出貨明細表-基因檢測(201904起'!$B:$B,BE$1,'來案暨出貨明細表-基因檢測(201904起'!$Q:$Q,"紙本&amp;電子")++COUNTIFS('來案暨出貨明細表-基因檢測(201904起'!$P:$P,$A14&amp;"*",'來案暨出貨明細表-基因檢測(201904起'!$B:$B,BE$1,'來案暨出貨明細表-基因檢測(201904起'!$R:$R,"中英")</f>
        <v>0</v>
      </c>
      <c r="BF14" s="33">
        <f>COUNTIFS('來案暨出貨明細表-基因檢測(201904起'!$P:$P,$A14&amp;"*",'來案暨出貨明細表-基因檢測(201904起'!$B:$B,BF$1)*$B14+COUNTIFS('來案暨出貨明細表-基因檢測(201904起'!$P:$P,$A14&amp;"*",'來案暨出貨明細表-基因檢測(201904起'!$B:$B,BF$1,'來案暨出貨明細表-基因檢測(201904起'!$Q:$Q,"紙本&amp;電子")++COUNTIFS('來案暨出貨明細表-基因檢測(201904起'!$P:$P,$A14&amp;"*",'來案暨出貨明細表-基因檢測(201904起'!$B:$B,BF$1,'來案暨出貨明細表-基因檢測(201904起'!$R:$R,"中英")</f>
        <v>0</v>
      </c>
      <c r="BG14" s="33">
        <f>COUNTIFS('來案暨出貨明細表-基因檢測(201904起'!$P:$P,$A14&amp;"*",'來案暨出貨明細表-基因檢測(201904起'!$B:$B,BG$1)*$B14+COUNTIFS('來案暨出貨明細表-基因檢測(201904起'!$P:$P,$A14&amp;"*",'來案暨出貨明細表-基因檢測(201904起'!$B:$B,BG$1,'來案暨出貨明細表-基因檢測(201904起'!$Q:$Q,"紙本&amp;電子")++COUNTIFS('來案暨出貨明細表-基因檢測(201904起'!$P:$P,$A14&amp;"*",'來案暨出貨明細表-基因檢測(201904起'!$B:$B,BG$1,'來案暨出貨明細表-基因檢測(201904起'!$R:$R,"中英")</f>
        <v>0</v>
      </c>
      <c r="BH14" s="33">
        <f>COUNTIFS('來案暨出貨明細表-基因檢測(201904起'!$P:$P,$A14&amp;"*",'來案暨出貨明細表-基因檢測(201904起'!$B:$B,BH$1)*$B14+COUNTIFS('來案暨出貨明細表-基因檢測(201904起'!$P:$P,$A14&amp;"*",'來案暨出貨明細表-基因檢測(201904起'!$B:$B,BH$1,'來案暨出貨明細表-基因檢測(201904起'!$Q:$Q,"紙本&amp;電子")++COUNTIFS('來案暨出貨明細表-基因檢測(201904起'!$P:$P,$A14&amp;"*",'來案暨出貨明細表-基因檢測(201904起'!$B:$B,BH$1,'來案暨出貨明細表-基因檢測(201904起'!$R:$R,"中英")</f>
        <v>0</v>
      </c>
      <c r="BI14" s="33">
        <f>COUNTIFS('來案暨出貨明細表-基因檢測(201904起'!$P:$P,$A14&amp;"*",'來案暨出貨明細表-基因檢測(201904起'!$B:$B,BI$1)*$B14+COUNTIFS('來案暨出貨明細表-基因檢測(201904起'!$P:$P,$A14&amp;"*",'來案暨出貨明細表-基因檢測(201904起'!$B:$B,BI$1,'來案暨出貨明細表-基因檢測(201904起'!$Q:$Q,"紙本&amp;電子")++COUNTIFS('來案暨出貨明細表-基因檢測(201904起'!$P:$P,$A14&amp;"*",'來案暨出貨明細表-基因檢測(201904起'!$B:$B,BI$1,'來案暨出貨明細表-基因檢測(201904起'!$R:$R,"中英")</f>
        <v>0</v>
      </c>
      <c r="BJ14" s="33">
        <f>COUNTIFS('來案暨出貨明細表-基因檢測(201904起'!$P:$P,$A14&amp;"*",'來案暨出貨明細表-基因檢測(201904起'!$B:$B,BJ$1)*$B14+COUNTIFS('來案暨出貨明細表-基因檢測(201904起'!$P:$P,$A14&amp;"*",'來案暨出貨明細表-基因檢測(201904起'!$B:$B,BJ$1,'來案暨出貨明細表-基因檢測(201904起'!$Q:$Q,"紙本&amp;電子")++COUNTIFS('來案暨出貨明細表-基因檢測(201904起'!$P:$P,$A14&amp;"*",'來案暨出貨明細表-基因檢測(201904起'!$B:$B,BJ$1,'來案暨出貨明細表-基因檢測(201904起'!$R:$R,"中英")</f>
        <v>0</v>
      </c>
      <c r="BK14" s="33">
        <f>COUNTIFS('來案暨出貨明細表-基因檢測(201904起'!$P:$P,$A14&amp;"*",'來案暨出貨明細表-基因檢測(201904起'!$B:$B,BK$1)*$B14+COUNTIFS('來案暨出貨明細表-基因檢測(201904起'!$P:$P,$A14&amp;"*",'來案暨出貨明細表-基因檢測(201904起'!$B:$B,BK$1,'來案暨出貨明細表-基因檢測(201904起'!$Q:$Q,"紙本&amp;電子")++COUNTIFS('來案暨出貨明細表-基因檢測(201904起'!$P:$P,$A14&amp;"*",'來案暨出貨明細表-基因檢測(201904起'!$B:$B,BK$1,'來案暨出貨明細表-基因檢測(201904起'!$R:$R,"中英")</f>
        <v>0</v>
      </c>
      <c r="BL14" s="33">
        <f>COUNTIFS('來案暨出貨明細表-基因檢測(201904起'!$P:$P,$A14&amp;"*",'來案暨出貨明細表-基因檢測(201904起'!$B:$B,BL$1)*$B14+COUNTIFS('來案暨出貨明細表-基因檢測(201904起'!$P:$P,$A14&amp;"*",'來案暨出貨明細表-基因檢測(201904起'!$B:$B,BL$1,'來案暨出貨明細表-基因檢測(201904起'!$Q:$Q,"紙本&amp;電子")++COUNTIFS('來案暨出貨明細表-基因檢測(201904起'!$P:$P,$A14&amp;"*",'來案暨出貨明細表-基因檢測(201904起'!$B:$B,BL$1,'來案暨出貨明細表-基因檢測(201904起'!$R:$R,"中英")</f>
        <v>0</v>
      </c>
      <c r="BM14" s="33">
        <f>COUNTIFS('來案暨出貨明細表-基因檢測(201904起'!$P:$P,$A14&amp;"*",'來案暨出貨明細表-基因檢測(201904起'!$B:$B,BM$1)*$B14+COUNTIFS('來案暨出貨明細表-基因檢測(201904起'!$P:$P,$A14&amp;"*",'來案暨出貨明細表-基因檢測(201904起'!$B:$B,BM$1,'來案暨出貨明細表-基因檢測(201904起'!$Q:$Q,"紙本&amp;電子")++COUNTIFS('來案暨出貨明細表-基因檢測(201904起'!$P:$P,$A14&amp;"*",'來案暨出貨明細表-基因檢測(201904起'!$B:$B,BM$1,'來案暨出貨明細表-基因檢測(201904起'!$R:$R,"中英")</f>
        <v>0</v>
      </c>
    </row>
    <row r="15" spans="1:65" ht="15" customHeight="1">
      <c r="A15" s="9" t="s">
        <v>4453</v>
      </c>
      <c r="B15" s="9">
        <v>1</v>
      </c>
      <c r="C15" s="13" t="s">
        <v>4456</v>
      </c>
      <c r="D15" s="142" t="s">
        <v>4458</v>
      </c>
      <c r="E15" s="33">
        <f>COUNTIFS('來案暨出貨明細表-基因檢測(201904起'!$P:$P,"*"&amp;$A15&amp;"*",'來案暨出貨明細表-基因檢測(201904起'!$B:$B,E$1)*$B15+COUNTIFS('來案暨出貨明細表-基因檢測(201904起'!$P:$P,"*"&amp;$A15&amp;"*",'來案暨出貨明細表-基因檢測(201904起'!$B:$B,E$1,'來案暨出貨明細表-基因檢測(201904起'!$Q:$Q,"紙本&amp;電子")++COUNTIFS('來案暨出貨明細表-基因檢測(201904起'!$P:$P,"*"&amp;$A15&amp;"*",'來案暨出貨明細表-基因檢測(201904起'!$B:$B,E$1,'來案暨出貨明細表-基因檢測(201904起'!$R:$R,"中英")</f>
        <v>0</v>
      </c>
      <c r="F15" s="33">
        <f>COUNTIFS('來案暨出貨明細表-基因檢測(201904起'!$P:$P,"*"&amp;$A15&amp;"*",'來案暨出貨明細表-基因檢測(201904起'!$B:$B,F$1)*$B15+COUNTIFS('來案暨出貨明細表-基因檢測(201904起'!$P:$P,"*"&amp;$A15&amp;"*",'來案暨出貨明細表-基因檢測(201904起'!$B:$B,F$1,'來案暨出貨明細表-基因檢測(201904起'!$Q:$Q,"紙本&amp;電子")++COUNTIFS('來案暨出貨明細表-基因檢測(201904起'!$P:$P,"*"&amp;$A15&amp;"*",'來案暨出貨明細表-基因檢測(201904起'!$B:$B,F$1,'來案暨出貨明細表-基因檢測(201904起'!$R:$R,"中英")</f>
        <v>0</v>
      </c>
      <c r="G15" s="33">
        <f>COUNTIFS('來案暨出貨明細表-基因檢測(201904起'!$P:$P,"*"&amp;$A15&amp;"*",'來案暨出貨明細表-基因檢測(201904起'!$B:$B,G$1)*$B15+COUNTIFS('來案暨出貨明細表-基因檢測(201904起'!$P:$P,"*"&amp;$A15&amp;"*",'來案暨出貨明細表-基因檢測(201904起'!$B:$B,G$1,'來案暨出貨明細表-基因檢測(201904起'!$Q:$Q,"紙本&amp;電子")++COUNTIFS('來案暨出貨明細表-基因檢測(201904起'!$P:$P,"*"&amp;$A15&amp;"*",'來案暨出貨明細表-基因檢測(201904起'!$B:$B,G$1,'來案暨出貨明細表-基因檢測(201904起'!$R:$R,"中英")</f>
        <v>0</v>
      </c>
      <c r="H15" s="33">
        <f>COUNTIFS('來案暨出貨明細表-基因檢測(201904起'!$P:$P,"*"&amp;$A15&amp;"*",'來案暨出貨明細表-基因檢測(201904起'!$B:$B,H$1)*$B15+COUNTIFS('來案暨出貨明細表-基因檢測(201904起'!$P:$P,"*"&amp;$A15&amp;"*",'來案暨出貨明細表-基因檢測(201904起'!$B:$B,H$1,'來案暨出貨明細表-基因檢測(201904起'!$Q:$Q,"紙本&amp;電子")++COUNTIFS('來案暨出貨明細表-基因檢測(201904起'!$P:$P,"*"&amp;$A15&amp;"*",'來案暨出貨明細表-基因檢測(201904起'!$B:$B,H$1,'來案暨出貨明細表-基因檢測(201904起'!$R:$R,"中英")</f>
        <v>1</v>
      </c>
      <c r="I15" s="33">
        <f>COUNTIFS('來案暨出貨明細表-基因檢測(201904起'!$P:$P,"*"&amp;$A15&amp;"*",'來案暨出貨明細表-基因檢測(201904起'!$B:$B,I$1)*$B15+COUNTIFS('來案暨出貨明細表-基因檢測(201904起'!$P:$P,"*"&amp;$A15&amp;"*",'來案暨出貨明細表-基因檢測(201904起'!$B:$B,I$1,'來案暨出貨明細表-基因檢測(201904起'!$Q:$Q,"紙本&amp;電子")++COUNTIFS('來案暨出貨明細表-基因檢測(201904起'!$P:$P,"*"&amp;$A15&amp;"*",'來案暨出貨明細表-基因檢測(201904起'!$B:$B,I$1,'來案暨出貨明細表-基因檢測(201904起'!$R:$R,"中英")</f>
        <v>0</v>
      </c>
      <c r="J15" s="33">
        <f>COUNTIFS('來案暨出貨明細表-基因檢測(201904起'!$P:$P,"*"&amp;$A15&amp;"*",'來案暨出貨明細表-基因檢測(201904起'!$B:$B,J$1)*$B15+COUNTIFS('來案暨出貨明細表-基因檢測(201904起'!$P:$P,"*"&amp;$A15&amp;"*",'來案暨出貨明細表-基因檢測(201904起'!$B:$B,J$1,'來案暨出貨明細表-基因檢測(201904起'!$Q:$Q,"紙本&amp;電子")++COUNTIFS('來案暨出貨明細表-基因檢測(201904起'!$P:$P,"*"&amp;$A15&amp;"*",'來案暨出貨明細表-基因檢測(201904起'!$B:$B,J$1,'來案暨出貨明細表-基因檢測(201904起'!$R:$R,"中英")</f>
        <v>0</v>
      </c>
      <c r="K15" s="33">
        <f>COUNTIFS('來案暨出貨明細表-基因檢測(201904起'!$P:$P,"*"&amp;$A15&amp;"*",'來案暨出貨明細表-基因檢測(201904起'!$B:$B,K$1)*$B15+COUNTIFS('來案暨出貨明細表-基因檢測(201904起'!$P:$P,"*"&amp;$A15&amp;"*",'來案暨出貨明細表-基因檢測(201904起'!$B:$B,K$1,'來案暨出貨明細表-基因檢測(201904起'!$Q:$Q,"紙本&amp;電子")++COUNTIFS('來案暨出貨明細表-基因檢測(201904起'!$P:$P,"*"&amp;$A15&amp;"*",'來案暨出貨明細表-基因檢測(201904起'!$B:$B,K$1,'來案暨出貨明細表-基因檢測(201904起'!$R:$R,"中英")</f>
        <v>0</v>
      </c>
      <c r="L15" s="33">
        <f>COUNTIFS('來案暨出貨明細表-基因檢測(201904起'!$P:$P,"*"&amp;$A15&amp;"*",'來案暨出貨明細表-基因檢測(201904起'!$B:$B,L$1)*$B15+COUNTIFS('來案暨出貨明細表-基因檢測(201904起'!$P:$P,"*"&amp;$A15&amp;"*",'來案暨出貨明細表-基因檢測(201904起'!$B:$B,L$1,'來案暨出貨明細表-基因檢測(201904起'!$Q:$Q,"紙本&amp;電子")++COUNTIFS('來案暨出貨明細表-基因檢測(201904起'!$P:$P,"*"&amp;$A15&amp;"*",'來案暨出貨明細表-基因檢測(201904起'!$B:$B,L$1,'來案暨出貨明細表-基因檢測(201904起'!$R:$R,"中英")</f>
        <v>0</v>
      </c>
      <c r="M15" s="33">
        <f>COUNTIFS('來案暨出貨明細表-基因檢測(201904起'!$P:$P,"*"&amp;$A15&amp;"*",'來案暨出貨明細表-基因檢測(201904起'!$B:$B,M$1)*$B15+COUNTIFS('來案暨出貨明細表-基因檢測(201904起'!$P:$P,"*"&amp;$A15&amp;"*",'來案暨出貨明細表-基因檢測(201904起'!$B:$B,M$1,'來案暨出貨明細表-基因檢測(201904起'!$Q:$Q,"紙本&amp;電子")++COUNTIFS('來案暨出貨明細表-基因檢測(201904起'!$P:$P,"*"&amp;$A15&amp;"*",'來案暨出貨明細表-基因檢測(201904起'!$B:$B,M$1,'來案暨出貨明細表-基因檢測(201904起'!$R:$R,"中英")</f>
        <v>0</v>
      </c>
      <c r="N15" s="33">
        <f>COUNTIFS('來案暨出貨明細表-基因檢測(201904起'!$P:$P,"*"&amp;$A15&amp;"*",'來案暨出貨明細表-基因檢測(201904起'!$B:$B,N$1)*$B15+COUNTIFS('來案暨出貨明細表-基因檢測(201904起'!$P:$P,"*"&amp;$A15&amp;"*",'來案暨出貨明細表-基因檢測(201904起'!$B:$B,N$1,'來案暨出貨明細表-基因檢測(201904起'!$Q:$Q,"紙本&amp;電子")++COUNTIFS('來案暨出貨明細表-基因檢測(201904起'!$P:$P,"*"&amp;$A15&amp;"*",'來案暨出貨明細表-基因檢測(201904起'!$B:$B,N$1,'來案暨出貨明細表-基因檢測(201904起'!$R:$R,"中英")</f>
        <v>0</v>
      </c>
      <c r="O15" s="33">
        <f>COUNTIFS('來案暨出貨明細表-基因檢測(201904起'!$P:$P,"*"&amp;$A15&amp;"*",'來案暨出貨明細表-基因檢測(201904起'!$B:$B,O$1)*$B15+COUNTIFS('來案暨出貨明細表-基因檢測(201904起'!$P:$P,"*"&amp;$A15&amp;"*",'來案暨出貨明細表-基因檢測(201904起'!$B:$B,O$1,'來案暨出貨明細表-基因檢測(201904起'!$Q:$Q,"紙本&amp;電子")++COUNTIFS('來案暨出貨明細表-基因檢測(201904起'!$P:$P,"*"&amp;$A15&amp;"*",'來案暨出貨明細表-基因檢測(201904起'!$B:$B,O$1,'來案暨出貨明細表-基因檢測(201904起'!$R:$R,"中英")</f>
        <v>0</v>
      </c>
      <c r="P15" s="33">
        <f>COUNTIFS('來案暨出貨明細表-基因檢測(201904起'!$P:$P,"*"&amp;$A15&amp;"*",'來案暨出貨明細表-基因檢測(201904起'!$B:$B,P$1)*$B15+COUNTIFS('來案暨出貨明細表-基因檢測(201904起'!$P:$P,"*"&amp;$A15&amp;"*",'來案暨出貨明細表-基因檢測(201904起'!$B:$B,P$1,'來案暨出貨明細表-基因檢測(201904起'!$Q:$Q,"紙本&amp;電子")++COUNTIFS('來案暨出貨明細表-基因檢測(201904起'!$P:$P,"*"&amp;$A15&amp;"*",'來案暨出貨明細表-基因檢測(201904起'!$B:$B,P$1,'來案暨出貨明細表-基因檢測(201904起'!$R:$R,"中英")</f>
        <v>0</v>
      </c>
      <c r="Q15" s="33">
        <f>COUNTIFS('來案暨出貨明細表-基因檢測(201904起'!$P:$P,"*"&amp;$A15&amp;"*",'來案暨出貨明細表-基因檢測(201904起'!$B:$B,Q$1)*$B15+COUNTIFS('來案暨出貨明細表-基因檢測(201904起'!$P:$P,"*"&amp;$A15&amp;"*",'來案暨出貨明細表-基因檢測(201904起'!$B:$B,Q$1,'來案暨出貨明細表-基因檢測(201904起'!$Q:$Q,"紙本&amp;電子")++COUNTIFS('來案暨出貨明細表-基因檢測(201904起'!$P:$P,"*"&amp;$A15&amp;"*",'來案暨出貨明細表-基因檢測(201904起'!$B:$B,Q$1,'來案暨出貨明細表-基因檢測(201904起'!$R:$R,"中英")</f>
        <v>0</v>
      </c>
      <c r="R15" s="33">
        <f>COUNTIFS('來案暨出貨明細表-基因檢測(201904起'!$P:$P,"*"&amp;$A15&amp;"*",'來案暨出貨明細表-基因檢測(201904起'!$B:$B,R$1)*$B15+COUNTIFS('來案暨出貨明細表-基因檢測(201904起'!$P:$P,"*"&amp;$A15&amp;"*",'來案暨出貨明細表-基因檢測(201904起'!$B:$B,R$1,'來案暨出貨明細表-基因檢測(201904起'!$Q:$Q,"紙本&amp;電子")++COUNTIFS('來案暨出貨明細表-基因檢測(201904起'!$P:$P,"*"&amp;$A15&amp;"*",'來案暨出貨明細表-基因檢測(201904起'!$B:$B,R$1,'來案暨出貨明細表-基因檢測(201904起'!$R:$R,"中英")</f>
        <v>0</v>
      </c>
      <c r="S15" s="33">
        <f>COUNTIFS('來案暨出貨明細表-基因檢測(201904起'!$P:$P,"*"&amp;$A15&amp;"*",'來案暨出貨明細表-基因檢測(201904起'!$B:$B,S$1)*$B15+COUNTIFS('來案暨出貨明細表-基因檢測(201904起'!$P:$P,"*"&amp;$A15&amp;"*",'來案暨出貨明細表-基因檢測(201904起'!$B:$B,S$1,'來案暨出貨明細表-基因檢測(201904起'!$Q:$Q,"紙本&amp;電子")++COUNTIFS('來案暨出貨明細表-基因檢測(201904起'!$P:$P,"*"&amp;$A15&amp;"*",'來案暨出貨明細表-基因檢測(201904起'!$B:$B,S$1,'來案暨出貨明細表-基因檢測(201904起'!$R:$R,"中英")</f>
        <v>0</v>
      </c>
      <c r="T15" s="33">
        <f>COUNTIFS('來案暨出貨明細表-基因檢測(201904起'!$P:$P,"*"&amp;$A15&amp;"*",'來案暨出貨明細表-基因檢測(201904起'!$B:$B,T$1)*$B15+COUNTIFS('來案暨出貨明細表-基因檢測(201904起'!$P:$P,"*"&amp;$A15&amp;"*",'來案暨出貨明細表-基因檢測(201904起'!$B:$B,T$1,'來案暨出貨明細表-基因檢測(201904起'!$Q:$Q,"紙本&amp;電子")++COUNTIFS('來案暨出貨明細表-基因檢測(201904起'!$P:$P,"*"&amp;$A15&amp;"*",'來案暨出貨明細表-基因檢測(201904起'!$B:$B,T$1,'來案暨出貨明細表-基因檢測(201904起'!$R:$R,"中英")</f>
        <v>0</v>
      </c>
      <c r="U15" s="33">
        <f>COUNTIFS('來案暨出貨明細表-基因檢測(201904起'!$P:$P,"*"&amp;$A15&amp;"*",'來案暨出貨明細表-基因檢測(201904起'!$B:$B,U$1)*$B15+COUNTIFS('來案暨出貨明細表-基因檢測(201904起'!$P:$P,"*"&amp;$A15&amp;"*",'來案暨出貨明細表-基因檢測(201904起'!$B:$B,U$1,'來案暨出貨明細表-基因檢測(201904起'!$Q:$Q,"紙本&amp;電子")++COUNTIFS('來案暨出貨明細表-基因檢測(201904起'!$P:$P,"*"&amp;$A15&amp;"*",'來案暨出貨明細表-基因檢測(201904起'!$B:$B,U$1,'來案暨出貨明細表-基因檢測(201904起'!$R:$R,"中英")</f>
        <v>0</v>
      </c>
      <c r="V15" s="33">
        <f>COUNTIFS('來案暨出貨明細表-基因檢測(201904起'!$P:$P,"*"&amp;$A15&amp;"*",'來案暨出貨明細表-基因檢測(201904起'!$B:$B,V$1)*$B15+COUNTIFS('來案暨出貨明細表-基因檢測(201904起'!$P:$P,"*"&amp;$A15&amp;"*",'來案暨出貨明細表-基因檢測(201904起'!$B:$B,V$1,'來案暨出貨明細表-基因檢測(201904起'!$Q:$Q,"紙本&amp;電子")++COUNTIFS('來案暨出貨明細表-基因檢測(201904起'!$P:$P,"*"&amp;$A15&amp;"*",'來案暨出貨明細表-基因檢測(201904起'!$B:$B,V$1,'來案暨出貨明細表-基因檢測(201904起'!$R:$R,"中英")</f>
        <v>0</v>
      </c>
      <c r="W15" s="33">
        <f>COUNTIFS('來案暨出貨明細表-基因檢測(201904起'!$P:$P,"*"&amp;$A15&amp;"*",'來案暨出貨明細表-基因檢測(201904起'!$B:$B,W$1)*$B15+COUNTIFS('來案暨出貨明細表-基因檢測(201904起'!$P:$P,"*"&amp;$A15&amp;"*",'來案暨出貨明細表-基因檢測(201904起'!$B:$B,W$1,'來案暨出貨明細表-基因檢測(201904起'!$Q:$Q,"紙本&amp;電子")++COUNTIFS('來案暨出貨明細表-基因檢測(201904起'!$P:$P,"*"&amp;$A15&amp;"*",'來案暨出貨明細表-基因檢測(201904起'!$B:$B,W$1,'來案暨出貨明細表-基因檢測(201904起'!$R:$R,"中英")</f>
        <v>0</v>
      </c>
      <c r="X15" s="33">
        <f>COUNTIFS('來案暨出貨明細表-基因檢測(201904起'!$P:$P,"*"&amp;$A15&amp;"*",'來案暨出貨明細表-基因檢測(201904起'!$B:$B,X$1)*$B15+COUNTIFS('來案暨出貨明細表-基因檢測(201904起'!$P:$P,"*"&amp;$A15&amp;"*",'來案暨出貨明細表-基因檢測(201904起'!$B:$B,X$1,'來案暨出貨明細表-基因檢測(201904起'!$Q:$Q,"紙本&amp;電子")++COUNTIFS('來案暨出貨明細表-基因檢測(201904起'!$P:$P,"*"&amp;$A15&amp;"*",'來案暨出貨明細表-基因檢測(201904起'!$B:$B,X$1,'來案暨出貨明細表-基因檢測(201904起'!$R:$R,"中英")</f>
        <v>0</v>
      </c>
      <c r="Y15" s="33">
        <f>COUNTIFS('來案暨出貨明細表-基因檢測(201904起'!$P:$P,"*"&amp;$A15&amp;"*",'來案暨出貨明細表-基因檢測(201904起'!$B:$B,Y$1)*$B15+COUNTIFS('來案暨出貨明細表-基因檢測(201904起'!$P:$P,"*"&amp;$A15&amp;"*",'來案暨出貨明細表-基因檢測(201904起'!$B:$B,Y$1,'來案暨出貨明細表-基因檢測(201904起'!$Q:$Q,"紙本&amp;電子")++COUNTIFS('來案暨出貨明細表-基因檢測(201904起'!$P:$P,"*"&amp;$A15&amp;"*",'來案暨出貨明細表-基因檢測(201904起'!$B:$B,Y$1,'來案暨出貨明細表-基因檢測(201904起'!$R:$R,"中英")</f>
        <v>0</v>
      </c>
      <c r="Z15" s="33">
        <f>COUNTIFS('來案暨出貨明細表-基因檢測(201904起'!$P:$P,"*"&amp;$A15&amp;"*",'來案暨出貨明細表-基因檢測(201904起'!$B:$B,Z$1)*$B15+COUNTIFS('來案暨出貨明細表-基因檢測(201904起'!$P:$P,"*"&amp;$A15&amp;"*",'來案暨出貨明細表-基因檢測(201904起'!$B:$B,Z$1,'來案暨出貨明細表-基因檢測(201904起'!$Q:$Q,"紙本&amp;電子")++COUNTIFS('來案暨出貨明細表-基因檢測(201904起'!$P:$P,"*"&amp;$A15&amp;"*",'來案暨出貨明細表-基因檢測(201904起'!$B:$B,Z$1,'來案暨出貨明細表-基因檢測(201904起'!$R:$R,"中英")</f>
        <v>0</v>
      </c>
      <c r="AA15" s="33">
        <f>COUNTIFS('來案暨出貨明細表-基因檢測(201904起'!$P:$P,"*"&amp;$A15&amp;"*",'來案暨出貨明細表-基因檢測(201904起'!$B:$B,AA$1)*$B15+COUNTIFS('來案暨出貨明細表-基因檢測(201904起'!$P:$P,"*"&amp;$A15&amp;"*",'來案暨出貨明細表-基因檢測(201904起'!$B:$B,AA$1,'來案暨出貨明細表-基因檢測(201904起'!$Q:$Q,"紙本&amp;電子")++COUNTIFS('來案暨出貨明細表-基因檢測(201904起'!$P:$P,"*"&amp;$A15&amp;"*",'來案暨出貨明細表-基因檢測(201904起'!$B:$B,AA$1,'來案暨出貨明細表-基因檢測(201904起'!$R:$R,"中英")</f>
        <v>0</v>
      </c>
      <c r="AB15" s="33">
        <f>COUNTIFS('來案暨出貨明細表-基因檢測(201904起'!$P:$P,"*"&amp;$A15&amp;"*",'來案暨出貨明細表-基因檢測(201904起'!$B:$B,AB$1)*$B15+COUNTIFS('來案暨出貨明細表-基因檢測(201904起'!$P:$P,"*"&amp;$A15&amp;"*",'來案暨出貨明細表-基因檢測(201904起'!$B:$B,AB$1,'來案暨出貨明細表-基因檢測(201904起'!$Q:$Q,"紙本&amp;電子")++COUNTIFS('來案暨出貨明細表-基因檢測(201904起'!$P:$P,"*"&amp;$A15&amp;"*",'來案暨出貨明細表-基因檢測(201904起'!$B:$B,AB$1,'來案暨出貨明細表-基因檢測(201904起'!$R:$R,"中英")</f>
        <v>0</v>
      </c>
      <c r="AC15" s="33">
        <f>COUNTIFS('來案暨出貨明細表-基因檢測(201904起'!$P:$P,"*"&amp;$A15&amp;"*",'來案暨出貨明細表-基因檢測(201904起'!$B:$B,AC$1)*$B15+COUNTIFS('來案暨出貨明細表-基因檢測(201904起'!$P:$P,"*"&amp;$A15&amp;"*",'來案暨出貨明細表-基因檢測(201904起'!$B:$B,AC$1,'來案暨出貨明細表-基因檢測(201904起'!$Q:$Q,"紙本&amp;電子")++COUNTIFS('來案暨出貨明細表-基因檢測(201904起'!$P:$P,"*"&amp;$A15&amp;"*",'來案暨出貨明細表-基因檢測(201904起'!$B:$B,AC$1,'來案暨出貨明細表-基因檢測(201904起'!$R:$R,"中英")</f>
        <v>0</v>
      </c>
      <c r="AD15" s="33">
        <f>COUNTIFS('來案暨出貨明細表-基因檢測(201904起'!$P:$P,"*"&amp;$A15&amp;"*",'來案暨出貨明細表-基因檢測(201904起'!$B:$B,AD$1)*$B15+COUNTIFS('來案暨出貨明細表-基因檢測(201904起'!$P:$P,"*"&amp;$A15&amp;"*",'來案暨出貨明細表-基因檢測(201904起'!$B:$B,AD$1,'來案暨出貨明細表-基因檢測(201904起'!$Q:$Q,"紙本&amp;電子")++COUNTIFS('來案暨出貨明細表-基因檢測(201904起'!$P:$P,"*"&amp;$A15&amp;"*",'來案暨出貨明細表-基因檢測(201904起'!$B:$B,AD$1,'來案暨出貨明細表-基因檢測(201904起'!$R:$R,"中英")</f>
        <v>0</v>
      </c>
      <c r="AE15" s="33">
        <f>COUNTIFS('來案暨出貨明細表-基因檢測(201904起'!$P:$P,"*"&amp;$A15&amp;"*",'來案暨出貨明細表-基因檢測(201904起'!$B:$B,AE$1)*$B15+COUNTIFS('來案暨出貨明細表-基因檢測(201904起'!$P:$P,"*"&amp;$A15&amp;"*",'來案暨出貨明細表-基因檢測(201904起'!$B:$B,AE$1,'來案暨出貨明細表-基因檢測(201904起'!$Q:$Q,"紙本&amp;電子")++COUNTIFS('來案暨出貨明細表-基因檢測(201904起'!$P:$P,"*"&amp;$A15&amp;"*",'來案暨出貨明細表-基因檢測(201904起'!$B:$B,AE$1,'來案暨出貨明細表-基因檢測(201904起'!$R:$R,"中英")</f>
        <v>0</v>
      </c>
      <c r="AF15" s="33">
        <f>COUNTIFS('來案暨出貨明細表-基因檢測(201904起'!$P:$P,"*"&amp;$A15&amp;"*",'來案暨出貨明細表-基因檢測(201904起'!$B:$B,AF$1)*$B15+COUNTIFS('來案暨出貨明細表-基因檢測(201904起'!$P:$P,"*"&amp;$A15&amp;"*",'來案暨出貨明細表-基因檢測(201904起'!$B:$B,AF$1,'來案暨出貨明細表-基因檢測(201904起'!$Q:$Q,"紙本&amp;電子")++COUNTIFS('來案暨出貨明細表-基因檢測(201904起'!$P:$P,"*"&amp;$A15&amp;"*",'來案暨出貨明細表-基因檢測(201904起'!$B:$B,AF$1,'來案暨出貨明細表-基因檢測(201904起'!$R:$R,"中英")</f>
        <v>0</v>
      </c>
      <c r="AG15" s="33">
        <f>COUNTIFS('來案暨出貨明細表-基因檢測(201904起'!$P:$P,"*"&amp;$A15&amp;"*",'來案暨出貨明細表-基因檢測(201904起'!$B:$B,AG$1)*$B15+COUNTIFS('來案暨出貨明細表-基因檢測(201904起'!$P:$P,"*"&amp;$A15&amp;"*",'來案暨出貨明細表-基因檢測(201904起'!$B:$B,AG$1,'來案暨出貨明細表-基因檢測(201904起'!$Q:$Q,"紙本&amp;電子")++COUNTIFS('來案暨出貨明細表-基因檢測(201904起'!$P:$P,"*"&amp;$A15&amp;"*",'來案暨出貨明細表-基因檢測(201904起'!$B:$B,AG$1,'來案暨出貨明細表-基因檢測(201904起'!$R:$R,"中英")</f>
        <v>0</v>
      </c>
      <c r="AH15" s="33">
        <f>COUNTIFS('來案暨出貨明細表-基因檢測(201904起'!$P:$P,"*"&amp;$A15&amp;"*",'來案暨出貨明細表-基因檢測(201904起'!$B:$B,AH$1)*$B15+COUNTIFS('來案暨出貨明細表-基因檢測(201904起'!$P:$P,"*"&amp;$A15&amp;"*",'來案暨出貨明細表-基因檢測(201904起'!$B:$B,AH$1,'來案暨出貨明細表-基因檢測(201904起'!$Q:$Q,"紙本&amp;電子")++COUNTIFS('來案暨出貨明細表-基因檢測(201904起'!$P:$P,"*"&amp;$A15&amp;"*",'來案暨出貨明細表-基因檢測(201904起'!$B:$B,AH$1,'來案暨出貨明細表-基因檢測(201904起'!$R:$R,"中英")</f>
        <v>0</v>
      </c>
      <c r="AI15" s="33">
        <f>COUNTIFS('來案暨出貨明細表-基因檢測(201904起'!$P:$P,"*"&amp;$A15&amp;"*",'來案暨出貨明細表-基因檢測(201904起'!$B:$B,AI$1)*$B15+COUNTIFS('來案暨出貨明細表-基因檢測(201904起'!$P:$P,"*"&amp;$A15&amp;"*",'來案暨出貨明細表-基因檢測(201904起'!$B:$B,AI$1,'來案暨出貨明細表-基因檢測(201904起'!$Q:$Q,"紙本&amp;電子")++COUNTIFS('來案暨出貨明細表-基因檢測(201904起'!$P:$P,"*"&amp;$A15&amp;"*",'來案暨出貨明細表-基因檢測(201904起'!$B:$B,AI$1,'來案暨出貨明細表-基因檢測(201904起'!$R:$R,"中英")</f>
        <v>0</v>
      </c>
      <c r="AJ15" s="33">
        <f>COUNTIFS('來案暨出貨明細表-基因檢測(201904起'!$P:$P,"*"&amp;$A15&amp;"*",'來案暨出貨明細表-基因檢測(201904起'!$B:$B,AJ$1)*$B15+COUNTIFS('來案暨出貨明細表-基因檢測(201904起'!$P:$P,"*"&amp;$A15&amp;"*",'來案暨出貨明細表-基因檢測(201904起'!$B:$B,AJ$1,'來案暨出貨明細表-基因檢測(201904起'!$Q:$Q,"紙本&amp;電子")++COUNTIFS('來案暨出貨明細表-基因檢測(201904起'!$P:$P,"*"&amp;$A15&amp;"*",'來案暨出貨明細表-基因檢測(201904起'!$B:$B,AJ$1,'來案暨出貨明細表-基因檢測(201904起'!$R:$R,"中英")</f>
        <v>0</v>
      </c>
      <c r="AK15" s="33">
        <f>COUNTIFS('來案暨出貨明細表-基因檢測(201904起'!$P:$P,"*"&amp;$A15&amp;"*",'來案暨出貨明細表-基因檢測(201904起'!$B:$B,AK$1)*$B15+COUNTIFS('來案暨出貨明細表-基因檢測(201904起'!$P:$P,"*"&amp;$A15&amp;"*",'來案暨出貨明細表-基因檢測(201904起'!$B:$B,AK$1,'來案暨出貨明細表-基因檢測(201904起'!$Q:$Q,"紙本&amp;電子")++COUNTIFS('來案暨出貨明細表-基因檢測(201904起'!$P:$P,"*"&amp;$A15&amp;"*",'來案暨出貨明細表-基因檢測(201904起'!$B:$B,AK$1,'來案暨出貨明細表-基因檢測(201904起'!$R:$R,"中英")</f>
        <v>0</v>
      </c>
      <c r="AL15" s="33">
        <f>COUNTIFS('來案暨出貨明細表-基因檢測(201904起'!$P:$P,"*"&amp;$A15&amp;"*",'來案暨出貨明細表-基因檢測(201904起'!$B:$B,AL$1)*$B15+COUNTIFS('來案暨出貨明細表-基因檢測(201904起'!$P:$P,"*"&amp;$A15&amp;"*",'來案暨出貨明細表-基因檢測(201904起'!$B:$B,AL$1,'來案暨出貨明細表-基因檢測(201904起'!$Q:$Q,"紙本&amp;電子")++COUNTIFS('來案暨出貨明細表-基因檢測(201904起'!$P:$P,"*"&amp;$A15&amp;"*",'來案暨出貨明細表-基因檢測(201904起'!$B:$B,AL$1,'來案暨出貨明細表-基因檢測(201904起'!$R:$R,"中英")</f>
        <v>0</v>
      </c>
      <c r="AM15" s="33">
        <f>COUNTIFS('來案暨出貨明細表-基因檢測(201904起'!$P:$P,"*"&amp;$A15&amp;"*",'來案暨出貨明細表-基因檢測(201904起'!$B:$B,AM$1)*$B15+COUNTIFS('來案暨出貨明細表-基因檢測(201904起'!$P:$P,"*"&amp;$A15&amp;"*",'來案暨出貨明細表-基因檢測(201904起'!$B:$B,AM$1,'來案暨出貨明細表-基因檢測(201904起'!$Q:$Q,"紙本&amp;電子")++COUNTIFS('來案暨出貨明細表-基因檢測(201904起'!$P:$P,"*"&amp;$A15&amp;"*",'來案暨出貨明細表-基因檢測(201904起'!$B:$B,AM$1,'來案暨出貨明細表-基因檢測(201904起'!$R:$R,"中英")</f>
        <v>0</v>
      </c>
      <c r="AN15" s="33">
        <f>COUNTIFS('來案暨出貨明細表-基因檢測(201904起'!$P:$P,"*"&amp;$A15&amp;"*",'來案暨出貨明細表-基因檢測(201904起'!$B:$B,AN$1)*$B15+COUNTIFS('來案暨出貨明細表-基因檢測(201904起'!$P:$P,"*"&amp;$A15&amp;"*",'來案暨出貨明細表-基因檢測(201904起'!$B:$B,AN$1,'來案暨出貨明細表-基因檢測(201904起'!$Q:$Q,"紙本&amp;電子")++COUNTIFS('來案暨出貨明細表-基因檢測(201904起'!$P:$P,"*"&amp;$A15&amp;"*",'來案暨出貨明細表-基因檢測(201904起'!$B:$B,AN$1,'來案暨出貨明細表-基因檢測(201904起'!$R:$R,"中英")</f>
        <v>0</v>
      </c>
      <c r="AO15" s="33">
        <f>COUNTIFS('來案暨出貨明細表-基因檢測(201904起'!$P:$P,"*"&amp;$A15&amp;"*",'來案暨出貨明細表-基因檢測(201904起'!$B:$B,AO$1)*$B15+COUNTIFS('來案暨出貨明細表-基因檢測(201904起'!$P:$P,"*"&amp;$A15&amp;"*",'來案暨出貨明細表-基因檢測(201904起'!$B:$B,AO$1,'來案暨出貨明細表-基因檢測(201904起'!$Q:$Q,"紙本&amp;電子")++COUNTIFS('來案暨出貨明細表-基因檢測(201904起'!$P:$P,"*"&amp;$A15&amp;"*",'來案暨出貨明細表-基因檢測(201904起'!$B:$B,AO$1,'來案暨出貨明細表-基因檢測(201904起'!$R:$R,"中英")</f>
        <v>0</v>
      </c>
      <c r="AP15" s="33">
        <f>COUNTIFS('來案暨出貨明細表-基因檢測(201904起'!$P:$P,"*"&amp;$A15&amp;"*",'來案暨出貨明細表-基因檢測(201904起'!$B:$B,AP$1)*$B15+COUNTIFS('來案暨出貨明細表-基因檢測(201904起'!$P:$P,"*"&amp;$A15&amp;"*",'來案暨出貨明細表-基因檢測(201904起'!$B:$B,AP$1,'來案暨出貨明細表-基因檢測(201904起'!$Q:$Q,"紙本&amp;電子")++COUNTIFS('來案暨出貨明細表-基因檢測(201904起'!$P:$P,"*"&amp;$A15&amp;"*",'來案暨出貨明細表-基因檢測(201904起'!$B:$B,AP$1,'來案暨出貨明細表-基因檢測(201904起'!$R:$R,"中英")</f>
        <v>0</v>
      </c>
      <c r="AQ15" s="33">
        <f>COUNTIFS('來案暨出貨明細表-基因檢測(201904起'!$P:$P,"*"&amp;$A15&amp;"*",'來案暨出貨明細表-基因檢測(201904起'!$B:$B,AQ$1)*$B15+COUNTIFS('來案暨出貨明細表-基因檢測(201904起'!$P:$P,"*"&amp;$A15&amp;"*",'來案暨出貨明細表-基因檢測(201904起'!$B:$B,AQ$1,'來案暨出貨明細表-基因檢測(201904起'!$Q:$Q,"紙本&amp;電子")++COUNTIFS('來案暨出貨明細表-基因檢測(201904起'!$P:$P,"*"&amp;$A15&amp;"*",'來案暨出貨明細表-基因檢測(201904起'!$B:$B,AQ$1,'來案暨出貨明細表-基因檢測(201904起'!$R:$R,"中英")</f>
        <v>0</v>
      </c>
      <c r="AR15" s="33">
        <f>COUNTIFS('來案暨出貨明細表-基因檢測(201904起'!$P:$P,"*"&amp;$A15&amp;"*",'來案暨出貨明細表-基因檢測(201904起'!$B:$B,AR$1)*$B15+COUNTIFS('來案暨出貨明細表-基因檢測(201904起'!$P:$P,"*"&amp;$A15&amp;"*",'來案暨出貨明細表-基因檢測(201904起'!$B:$B,AR$1,'來案暨出貨明細表-基因檢測(201904起'!$Q:$Q,"紙本&amp;電子")++COUNTIFS('來案暨出貨明細表-基因檢測(201904起'!$P:$P,"*"&amp;$A15&amp;"*",'來案暨出貨明細表-基因檢測(201904起'!$B:$B,AR$1,'來案暨出貨明細表-基因檢測(201904起'!$R:$R,"中英")</f>
        <v>0</v>
      </c>
      <c r="AS15" s="33">
        <f>COUNTIFS('來案暨出貨明細表-基因檢測(201904起'!$P:$P,"*"&amp;$A15&amp;"*",'來案暨出貨明細表-基因檢測(201904起'!$B:$B,AS$1)*$B15+COUNTIFS('來案暨出貨明細表-基因檢測(201904起'!$P:$P,"*"&amp;$A15&amp;"*",'來案暨出貨明細表-基因檢測(201904起'!$B:$B,AS$1,'來案暨出貨明細表-基因檢測(201904起'!$Q:$Q,"紙本&amp;電子")++COUNTIFS('來案暨出貨明細表-基因檢測(201904起'!$P:$P,"*"&amp;$A15&amp;"*",'來案暨出貨明細表-基因檢測(201904起'!$B:$B,AS$1,'來案暨出貨明細表-基因檢測(201904起'!$R:$R,"中英")</f>
        <v>0</v>
      </c>
      <c r="AT15" s="33">
        <f>COUNTIFS('來案暨出貨明細表-基因檢測(201904起'!$P:$P,"*"&amp;$A15&amp;"*",'來案暨出貨明細表-基因檢測(201904起'!$B:$B,AT$1)*$B15+COUNTIFS('來案暨出貨明細表-基因檢測(201904起'!$P:$P,"*"&amp;$A15&amp;"*",'來案暨出貨明細表-基因檢測(201904起'!$B:$B,AT$1,'來案暨出貨明細表-基因檢測(201904起'!$Q:$Q,"紙本&amp;電子")++COUNTIFS('來案暨出貨明細表-基因檢測(201904起'!$P:$P,"*"&amp;$A15&amp;"*",'來案暨出貨明細表-基因檢測(201904起'!$B:$B,AT$1,'來案暨出貨明細表-基因檢測(201904起'!$R:$R,"中英")</f>
        <v>0</v>
      </c>
      <c r="AU15" s="33">
        <f>COUNTIFS('來案暨出貨明細表-基因檢測(201904起'!$P:$P,"*"&amp;$A15&amp;"*",'來案暨出貨明細表-基因檢測(201904起'!$B:$B,AU$1)*$B15+COUNTIFS('來案暨出貨明細表-基因檢測(201904起'!$P:$P,"*"&amp;$A15&amp;"*",'來案暨出貨明細表-基因檢測(201904起'!$B:$B,AU$1,'來案暨出貨明細表-基因檢測(201904起'!$Q:$Q,"紙本&amp;電子")++COUNTIFS('來案暨出貨明細表-基因檢測(201904起'!$P:$P,"*"&amp;$A15&amp;"*",'來案暨出貨明細表-基因檢測(201904起'!$B:$B,AU$1,'來案暨出貨明細表-基因檢測(201904起'!$R:$R,"中英")</f>
        <v>0</v>
      </c>
      <c r="AV15" s="33">
        <f>COUNTIFS('來案暨出貨明細表-基因檢測(201904起'!$P:$P,"*"&amp;$A15&amp;"*",'來案暨出貨明細表-基因檢測(201904起'!$B:$B,AV$1)*$B15+COUNTIFS('來案暨出貨明細表-基因檢測(201904起'!$P:$P,"*"&amp;$A15&amp;"*",'來案暨出貨明細表-基因檢測(201904起'!$B:$B,AV$1,'來案暨出貨明細表-基因檢測(201904起'!$Q:$Q,"紙本&amp;電子")++COUNTIFS('來案暨出貨明細表-基因檢測(201904起'!$P:$P,"*"&amp;$A15&amp;"*",'來案暨出貨明細表-基因檢測(201904起'!$B:$B,AV$1,'來案暨出貨明細表-基因檢測(201904起'!$R:$R,"中英")</f>
        <v>0</v>
      </c>
      <c r="AW15" s="33">
        <f>COUNTIFS('來案暨出貨明細表-基因檢測(201904起'!$P:$P,"*"&amp;$A15&amp;"*",'來案暨出貨明細表-基因檢測(201904起'!$B:$B,AW$1)*$B15+COUNTIFS('來案暨出貨明細表-基因檢測(201904起'!$P:$P,"*"&amp;$A15&amp;"*",'來案暨出貨明細表-基因檢測(201904起'!$B:$B,AW$1,'來案暨出貨明細表-基因檢測(201904起'!$Q:$Q,"紙本&amp;電子")++COUNTIFS('來案暨出貨明細表-基因檢測(201904起'!$P:$P,"*"&amp;$A15&amp;"*",'來案暨出貨明細表-基因檢測(201904起'!$B:$B,AW$1,'來案暨出貨明細表-基因檢測(201904起'!$R:$R,"中英")</f>
        <v>0</v>
      </c>
      <c r="AX15" s="33">
        <f>COUNTIFS('來案暨出貨明細表-基因檢測(201904起'!$P:$P,"*"&amp;$A15&amp;"*",'來案暨出貨明細表-基因檢測(201904起'!$B:$B,AX$1)*$B15+COUNTIFS('來案暨出貨明細表-基因檢測(201904起'!$P:$P,"*"&amp;$A15&amp;"*",'來案暨出貨明細表-基因檢測(201904起'!$B:$B,AX$1,'來案暨出貨明細表-基因檢測(201904起'!$Q:$Q,"紙本&amp;電子")++COUNTIFS('來案暨出貨明細表-基因檢測(201904起'!$P:$P,"*"&amp;$A15&amp;"*",'來案暨出貨明細表-基因檢測(201904起'!$B:$B,AX$1,'來案暨出貨明細表-基因檢測(201904起'!$R:$R,"中英")</f>
        <v>0</v>
      </c>
      <c r="AY15" s="33">
        <f>COUNTIFS('來案暨出貨明細表-基因檢測(201904起'!$P:$P,"*"&amp;$A15&amp;"*",'來案暨出貨明細表-基因檢測(201904起'!$B:$B,AY$1)*$B15+COUNTIFS('來案暨出貨明細表-基因檢測(201904起'!$P:$P,"*"&amp;$A15&amp;"*",'來案暨出貨明細表-基因檢測(201904起'!$B:$B,AY$1,'來案暨出貨明細表-基因檢測(201904起'!$Q:$Q,"紙本&amp;電子")++COUNTIFS('來案暨出貨明細表-基因檢測(201904起'!$P:$P,"*"&amp;$A15&amp;"*",'來案暨出貨明細表-基因檢測(201904起'!$B:$B,AY$1,'來案暨出貨明細表-基因檢測(201904起'!$R:$R,"中英")</f>
        <v>0</v>
      </c>
      <c r="AZ15" s="33">
        <f>COUNTIFS('來案暨出貨明細表-基因檢測(201904起'!$P:$P,"*"&amp;$A15&amp;"*",'來案暨出貨明細表-基因檢測(201904起'!$B:$B,AZ$1)*$B15+COUNTIFS('來案暨出貨明細表-基因檢測(201904起'!$P:$P,"*"&amp;$A15&amp;"*",'來案暨出貨明細表-基因檢測(201904起'!$B:$B,AZ$1,'來案暨出貨明細表-基因檢測(201904起'!$Q:$Q,"紙本&amp;電子")++COUNTIFS('來案暨出貨明細表-基因檢測(201904起'!$P:$P,"*"&amp;$A15&amp;"*",'來案暨出貨明細表-基因檢測(201904起'!$B:$B,AZ$1,'來案暨出貨明細表-基因檢測(201904起'!$R:$R,"中英")</f>
        <v>0</v>
      </c>
      <c r="BA15" s="33">
        <f>COUNTIFS('來案暨出貨明細表-基因檢測(201904起'!$P:$P,"*"&amp;$A15&amp;"*",'來案暨出貨明細表-基因檢測(201904起'!$B:$B,BA$1)*$B15+COUNTIFS('來案暨出貨明細表-基因檢測(201904起'!$P:$P,"*"&amp;$A15&amp;"*",'來案暨出貨明細表-基因檢測(201904起'!$B:$B,BA$1,'來案暨出貨明細表-基因檢測(201904起'!$Q:$Q,"紙本&amp;電子")++COUNTIFS('來案暨出貨明細表-基因檢測(201904起'!$P:$P,"*"&amp;$A15&amp;"*",'來案暨出貨明細表-基因檢測(201904起'!$B:$B,BA$1,'來案暨出貨明細表-基因檢測(201904起'!$R:$R,"中英")</f>
        <v>0</v>
      </c>
      <c r="BB15" s="33">
        <f>COUNTIFS('來案暨出貨明細表-基因檢測(201904起'!$P:$P,"*"&amp;$A15&amp;"*",'來案暨出貨明細表-基因檢測(201904起'!$B:$B,BB$1)*$B15+COUNTIFS('來案暨出貨明細表-基因檢測(201904起'!$P:$P,"*"&amp;$A15&amp;"*",'來案暨出貨明細表-基因檢測(201904起'!$B:$B,BB$1,'來案暨出貨明細表-基因檢測(201904起'!$Q:$Q,"紙本&amp;電子")++COUNTIFS('來案暨出貨明細表-基因檢測(201904起'!$P:$P,"*"&amp;$A15&amp;"*",'來案暨出貨明細表-基因檢測(201904起'!$B:$B,BB$1,'來案暨出貨明細表-基因檢測(201904起'!$R:$R,"中英")</f>
        <v>0</v>
      </c>
      <c r="BC15" s="33">
        <f>COUNTIFS('來案暨出貨明細表-基因檢測(201904起'!$P:$P,"*"&amp;$A15&amp;"*",'來案暨出貨明細表-基因檢測(201904起'!$B:$B,BC$1)*$B15+COUNTIFS('來案暨出貨明細表-基因檢測(201904起'!$P:$P,"*"&amp;$A15&amp;"*",'來案暨出貨明細表-基因檢測(201904起'!$B:$B,BC$1,'來案暨出貨明細表-基因檢測(201904起'!$Q:$Q,"紙本&amp;電子")++COUNTIFS('來案暨出貨明細表-基因檢測(201904起'!$P:$P,"*"&amp;$A15&amp;"*",'來案暨出貨明細表-基因檢測(201904起'!$B:$B,BC$1,'來案暨出貨明細表-基因檢測(201904起'!$R:$R,"中英")</f>
        <v>0</v>
      </c>
      <c r="BD15" s="33">
        <f>COUNTIFS('來案暨出貨明細表-基因檢測(201904起'!$P:$P,"*"&amp;$A15&amp;"*",'來案暨出貨明細表-基因檢測(201904起'!$B:$B,BD$1)*$B15+COUNTIFS('來案暨出貨明細表-基因檢測(201904起'!$P:$P,"*"&amp;$A15&amp;"*",'來案暨出貨明細表-基因檢測(201904起'!$B:$B,BD$1,'來案暨出貨明細表-基因檢測(201904起'!$Q:$Q,"紙本&amp;電子")++COUNTIFS('來案暨出貨明細表-基因檢測(201904起'!$P:$P,"*"&amp;$A15&amp;"*",'來案暨出貨明細表-基因檢測(201904起'!$B:$B,BD$1,'來案暨出貨明細表-基因檢測(201904起'!$R:$R,"中英")</f>
        <v>0</v>
      </c>
      <c r="BE15" s="33">
        <f>COUNTIFS('來案暨出貨明細表-基因檢測(201904起'!$P:$P,"*"&amp;$A15&amp;"*",'來案暨出貨明細表-基因檢測(201904起'!$B:$B,BE$1)*$B15+COUNTIFS('來案暨出貨明細表-基因檢測(201904起'!$P:$P,"*"&amp;$A15&amp;"*",'來案暨出貨明細表-基因檢測(201904起'!$B:$B,BE$1,'來案暨出貨明細表-基因檢測(201904起'!$Q:$Q,"紙本&amp;電子")++COUNTIFS('來案暨出貨明細表-基因檢測(201904起'!$P:$P,"*"&amp;$A15&amp;"*",'來案暨出貨明細表-基因檢測(201904起'!$B:$B,BE$1,'來案暨出貨明細表-基因檢測(201904起'!$R:$R,"中英")</f>
        <v>0</v>
      </c>
      <c r="BF15" s="33">
        <f>COUNTIFS('來案暨出貨明細表-基因檢測(201904起'!$P:$P,"*"&amp;$A15&amp;"*",'來案暨出貨明細表-基因檢測(201904起'!$B:$B,BF$1)*$B15+COUNTIFS('來案暨出貨明細表-基因檢測(201904起'!$P:$P,"*"&amp;$A15&amp;"*",'來案暨出貨明細表-基因檢測(201904起'!$B:$B,BF$1,'來案暨出貨明細表-基因檢測(201904起'!$Q:$Q,"紙本&amp;電子")++COUNTIFS('來案暨出貨明細表-基因檢測(201904起'!$P:$P,"*"&amp;$A15&amp;"*",'來案暨出貨明細表-基因檢測(201904起'!$B:$B,BF$1,'來案暨出貨明細表-基因檢測(201904起'!$R:$R,"中英")</f>
        <v>0</v>
      </c>
      <c r="BG15" s="33">
        <f>COUNTIFS('來案暨出貨明細表-基因檢測(201904起'!$P:$P,"*"&amp;$A15&amp;"*",'來案暨出貨明細表-基因檢測(201904起'!$B:$B,BG$1)*$B15+COUNTIFS('來案暨出貨明細表-基因檢測(201904起'!$P:$P,"*"&amp;$A15&amp;"*",'來案暨出貨明細表-基因檢測(201904起'!$B:$B,BG$1,'來案暨出貨明細表-基因檢測(201904起'!$Q:$Q,"紙本&amp;電子")++COUNTIFS('來案暨出貨明細表-基因檢測(201904起'!$P:$P,"*"&amp;$A15&amp;"*",'來案暨出貨明細表-基因檢測(201904起'!$B:$B,BG$1,'來案暨出貨明細表-基因檢測(201904起'!$R:$R,"中英")</f>
        <v>0</v>
      </c>
      <c r="BH15" s="33">
        <f>COUNTIFS('來案暨出貨明細表-基因檢測(201904起'!$P:$P,"*"&amp;$A15&amp;"*",'來案暨出貨明細表-基因檢測(201904起'!$B:$B,BH$1)*$B15+COUNTIFS('來案暨出貨明細表-基因檢測(201904起'!$P:$P,"*"&amp;$A15&amp;"*",'來案暨出貨明細表-基因檢測(201904起'!$B:$B,BH$1,'來案暨出貨明細表-基因檢測(201904起'!$Q:$Q,"紙本&amp;電子")++COUNTIFS('來案暨出貨明細表-基因檢測(201904起'!$P:$P,"*"&amp;$A15&amp;"*",'來案暨出貨明細表-基因檢測(201904起'!$B:$B,BH$1,'來案暨出貨明細表-基因檢測(201904起'!$R:$R,"中英")</f>
        <v>0</v>
      </c>
      <c r="BI15" s="33">
        <f>COUNTIFS('來案暨出貨明細表-基因檢測(201904起'!$P:$P,"*"&amp;$A15&amp;"*",'來案暨出貨明細表-基因檢測(201904起'!$B:$B,BI$1)*$B15+COUNTIFS('來案暨出貨明細表-基因檢測(201904起'!$P:$P,"*"&amp;$A15&amp;"*",'來案暨出貨明細表-基因檢測(201904起'!$B:$B,BI$1,'來案暨出貨明細表-基因檢測(201904起'!$Q:$Q,"紙本&amp;電子")++COUNTIFS('來案暨出貨明細表-基因檢測(201904起'!$P:$P,"*"&amp;$A15&amp;"*",'來案暨出貨明細表-基因檢測(201904起'!$B:$B,BI$1,'來案暨出貨明細表-基因檢測(201904起'!$R:$R,"中英")</f>
        <v>0</v>
      </c>
      <c r="BJ15" s="33">
        <f>COUNTIFS('來案暨出貨明細表-基因檢測(201904起'!$P:$P,"*"&amp;$A15&amp;"*",'來案暨出貨明細表-基因檢測(201904起'!$B:$B,BJ$1)*$B15+COUNTIFS('來案暨出貨明細表-基因檢測(201904起'!$P:$P,"*"&amp;$A15&amp;"*",'來案暨出貨明細表-基因檢測(201904起'!$B:$B,BJ$1,'來案暨出貨明細表-基因檢測(201904起'!$Q:$Q,"紙本&amp;電子")++COUNTIFS('來案暨出貨明細表-基因檢測(201904起'!$P:$P,"*"&amp;$A15&amp;"*",'來案暨出貨明細表-基因檢測(201904起'!$B:$B,BJ$1,'來案暨出貨明細表-基因檢測(201904起'!$R:$R,"中英")</f>
        <v>0</v>
      </c>
      <c r="BK15" s="33">
        <f>COUNTIFS('來案暨出貨明細表-基因檢測(201904起'!$P:$P,"*"&amp;$A15&amp;"*",'來案暨出貨明細表-基因檢測(201904起'!$B:$B,BK$1)*$B15+COUNTIFS('來案暨出貨明細表-基因檢測(201904起'!$P:$P,"*"&amp;$A15&amp;"*",'來案暨出貨明細表-基因檢測(201904起'!$B:$B,BK$1,'來案暨出貨明細表-基因檢測(201904起'!$Q:$Q,"紙本&amp;電子")++COUNTIFS('來案暨出貨明細表-基因檢測(201904起'!$P:$P,"*"&amp;$A15&amp;"*",'來案暨出貨明細表-基因檢測(201904起'!$B:$B,BK$1,'來案暨出貨明細表-基因檢測(201904起'!$R:$R,"中英")</f>
        <v>0</v>
      </c>
      <c r="BL15" s="33">
        <f>COUNTIFS('來案暨出貨明細表-基因檢測(201904起'!$P:$P,"*"&amp;$A15&amp;"*",'來案暨出貨明細表-基因檢測(201904起'!$B:$B,BL$1)*$B15+COUNTIFS('來案暨出貨明細表-基因檢測(201904起'!$P:$P,"*"&amp;$A15&amp;"*",'來案暨出貨明細表-基因檢測(201904起'!$B:$B,BL$1,'來案暨出貨明細表-基因檢測(201904起'!$Q:$Q,"紙本&amp;電子")++COUNTIFS('來案暨出貨明細表-基因檢測(201904起'!$P:$P,"*"&amp;$A15&amp;"*",'來案暨出貨明細表-基因檢測(201904起'!$B:$B,BL$1,'來案暨出貨明細表-基因檢測(201904起'!$R:$R,"中英")</f>
        <v>0</v>
      </c>
      <c r="BM15" s="33">
        <f>COUNTIFS('來案暨出貨明細表-基因檢測(201904起'!$P:$P,"*"&amp;$A15&amp;"*",'來案暨出貨明細表-基因檢測(201904起'!$B:$B,BM$1)*$B15+COUNTIFS('來案暨出貨明細表-基因檢測(201904起'!$P:$P,"*"&amp;$A15&amp;"*",'來案暨出貨明細表-基因檢測(201904起'!$B:$B,BM$1,'來案暨出貨明細表-基因檢測(201904起'!$Q:$Q,"紙本&amp;電子")++COUNTIFS('來案暨出貨明細表-基因檢測(201904起'!$P:$P,"*"&amp;$A15&amp;"*",'來案暨出貨明細表-基因檢測(201904起'!$B:$B,BM$1,'來案暨出貨明細表-基因檢測(201904起'!$R:$R,"中英")</f>
        <v>0</v>
      </c>
    </row>
    <row r="16" spans="1:65" ht="15" customHeight="1">
      <c r="A16" s="9" t="s">
        <v>4510</v>
      </c>
      <c r="B16" s="9">
        <v>1</v>
      </c>
      <c r="C16" s="13" t="s">
        <v>4511</v>
      </c>
      <c r="D16" s="142" t="s">
        <v>4512</v>
      </c>
      <c r="E16" s="33">
        <f>COUNTIFS('來案暨出貨明細表-基因檢測(201904起'!$P:$P,"*"&amp;$A16&amp;"*",'來案暨出貨明細表-基因檢測(201904起'!$B:$B,E$1)*$B16+COUNTIFS('來案暨出貨明細表-基因檢測(201904起'!$P:$P,"*"&amp;$A16&amp;"*",'來案暨出貨明細表-基因檢測(201904起'!$B:$B,E$1,'來案暨出貨明細表-基因檢測(201904起'!$Q:$Q,"紙本&amp;電子")++COUNTIFS('來案暨出貨明細表-基因檢測(201904起'!$P:$P,"*"&amp;$A16&amp;"*",'來案暨出貨明細表-基因檢測(201904起'!$B:$B,E$1,'來案暨出貨明細表-基因檢測(201904起'!$R:$R,"中英")</f>
        <v>0</v>
      </c>
      <c r="F16" s="33">
        <f>COUNTIFS('來案暨出貨明細表-基因檢測(201904起'!$P:$P,"*"&amp;$A16&amp;"*",'來案暨出貨明細表-基因檢測(201904起'!$B:$B,F$1)*$B16+COUNTIFS('來案暨出貨明細表-基因檢測(201904起'!$P:$P,"*"&amp;$A16&amp;"*",'來案暨出貨明細表-基因檢測(201904起'!$B:$B,F$1,'來案暨出貨明細表-基因檢測(201904起'!$Q:$Q,"紙本&amp;電子")++COUNTIFS('來案暨出貨明細表-基因檢測(201904起'!$P:$P,"*"&amp;$A16&amp;"*",'來案暨出貨明細表-基因檢測(201904起'!$B:$B,F$1,'來案暨出貨明細表-基因檢測(201904起'!$R:$R,"中英")</f>
        <v>0</v>
      </c>
      <c r="G16" s="33">
        <f>COUNTIFS('來案暨出貨明細表-基因檢測(201904起'!$P:$P,"*"&amp;$A16&amp;"*",'來案暨出貨明細表-基因檢測(201904起'!$B:$B,G$1)*$B16+COUNTIFS('來案暨出貨明細表-基因檢測(201904起'!$P:$P,"*"&amp;$A16&amp;"*",'來案暨出貨明細表-基因檢測(201904起'!$B:$B,G$1,'來案暨出貨明細表-基因檢測(201904起'!$Q:$Q,"紙本&amp;電子")++COUNTIFS('來案暨出貨明細表-基因檢測(201904起'!$P:$P,"*"&amp;$A16&amp;"*",'來案暨出貨明細表-基因檢測(201904起'!$B:$B,G$1,'來案暨出貨明細表-基因檢測(201904起'!$R:$R,"中英")</f>
        <v>0</v>
      </c>
      <c r="H16" s="33">
        <f>COUNTIFS('來案暨出貨明細表-基因檢測(201904起'!$P:$P,"*"&amp;$A16&amp;"*",'來案暨出貨明細表-基因檢測(201904起'!$B:$B,H$1)*$B16+COUNTIFS('來案暨出貨明細表-基因檢測(201904起'!$P:$P,"*"&amp;$A16&amp;"*",'來案暨出貨明細表-基因檢測(201904起'!$B:$B,H$1,'來案暨出貨明細表-基因檢測(201904起'!$Q:$Q,"紙本&amp;電子")++COUNTIFS('來案暨出貨明細表-基因檢測(201904起'!$P:$P,"*"&amp;$A16&amp;"*",'來案暨出貨明細表-基因檢測(201904起'!$B:$B,H$1,'來案暨出貨明細表-基因檢測(201904起'!$R:$R,"中英")</f>
        <v>0</v>
      </c>
      <c r="I16" s="33">
        <f>COUNTIFS('來案暨出貨明細表-基因檢測(201904起'!$P:$P,"*"&amp;$A16&amp;"*",'來案暨出貨明細表-基因檢測(201904起'!$B:$B,I$1)*$B16+COUNTIFS('來案暨出貨明細表-基因檢測(201904起'!$P:$P,"*"&amp;$A16&amp;"*",'來案暨出貨明細表-基因檢測(201904起'!$B:$B,I$1,'來案暨出貨明細表-基因檢測(201904起'!$Q:$Q,"紙本&amp;電子")++COUNTIFS('來案暨出貨明細表-基因檢測(201904起'!$P:$P,"*"&amp;$A16&amp;"*",'來案暨出貨明細表-基因檢測(201904起'!$B:$B,I$1,'來案暨出貨明細表-基因檢測(201904起'!$R:$R,"中英")</f>
        <v>0</v>
      </c>
      <c r="J16" s="33">
        <f>COUNTIFS('來案暨出貨明細表-基因檢測(201904起'!$P:$P,"*"&amp;$A16&amp;"*",'來案暨出貨明細表-基因檢測(201904起'!$B:$B,J$1)*$B16+COUNTIFS('來案暨出貨明細表-基因檢測(201904起'!$P:$P,"*"&amp;$A16&amp;"*",'來案暨出貨明細表-基因檢測(201904起'!$B:$B,J$1,'來案暨出貨明細表-基因檢測(201904起'!$Q:$Q,"紙本&amp;電子")++COUNTIFS('來案暨出貨明細表-基因檢測(201904起'!$P:$P,"*"&amp;$A16&amp;"*",'來案暨出貨明細表-基因檢測(201904起'!$B:$B,J$1,'來案暨出貨明細表-基因檢測(201904起'!$R:$R,"中英")</f>
        <v>0</v>
      </c>
      <c r="K16" s="33">
        <f>COUNTIFS('來案暨出貨明細表-基因檢測(201904起'!$P:$P,"*"&amp;$A16&amp;"*",'來案暨出貨明細表-基因檢測(201904起'!$B:$B,K$1)*$B16+COUNTIFS('來案暨出貨明細表-基因檢測(201904起'!$P:$P,"*"&amp;$A16&amp;"*",'來案暨出貨明細表-基因檢測(201904起'!$B:$B,K$1,'來案暨出貨明細表-基因檢測(201904起'!$Q:$Q,"紙本&amp;電子")++COUNTIFS('來案暨出貨明細表-基因檢測(201904起'!$P:$P,"*"&amp;$A16&amp;"*",'來案暨出貨明細表-基因檢測(201904起'!$B:$B,K$1,'來案暨出貨明細表-基因檢測(201904起'!$R:$R,"中英")</f>
        <v>0</v>
      </c>
      <c r="L16" s="33">
        <f>COUNTIFS('來案暨出貨明細表-基因檢測(201904起'!$P:$P,"*"&amp;$A16&amp;"*",'來案暨出貨明細表-基因檢測(201904起'!$B:$B,L$1)*$B16+COUNTIFS('來案暨出貨明細表-基因檢測(201904起'!$P:$P,"*"&amp;$A16&amp;"*",'來案暨出貨明細表-基因檢測(201904起'!$B:$B,L$1,'來案暨出貨明細表-基因檢測(201904起'!$Q:$Q,"紙本&amp;電子")++COUNTIFS('來案暨出貨明細表-基因檢測(201904起'!$P:$P,"*"&amp;$A16&amp;"*",'來案暨出貨明細表-基因檢測(201904起'!$B:$B,L$1,'來案暨出貨明細表-基因檢測(201904起'!$R:$R,"中英")</f>
        <v>0</v>
      </c>
      <c r="M16" s="33">
        <f>COUNTIFS('來案暨出貨明細表-基因檢測(201904起'!$P:$P,"*"&amp;$A16&amp;"*",'來案暨出貨明細表-基因檢測(201904起'!$B:$B,M$1)*$B16+COUNTIFS('來案暨出貨明細表-基因檢測(201904起'!$P:$P,"*"&amp;$A16&amp;"*",'來案暨出貨明細表-基因檢測(201904起'!$B:$B,M$1,'來案暨出貨明細表-基因檢測(201904起'!$Q:$Q,"紙本&amp;電子")++COUNTIFS('來案暨出貨明細表-基因檢測(201904起'!$P:$P,"*"&amp;$A16&amp;"*",'來案暨出貨明細表-基因檢測(201904起'!$B:$B,M$1,'來案暨出貨明細表-基因檢測(201904起'!$R:$R,"中英")</f>
        <v>0</v>
      </c>
      <c r="N16" s="33">
        <f>COUNTIFS('來案暨出貨明細表-基因檢測(201904起'!$P:$P,"*"&amp;$A16&amp;"*",'來案暨出貨明細表-基因檢測(201904起'!$B:$B,N$1)*$B16+COUNTIFS('來案暨出貨明細表-基因檢測(201904起'!$P:$P,"*"&amp;$A16&amp;"*",'來案暨出貨明細表-基因檢測(201904起'!$B:$B,N$1,'來案暨出貨明細表-基因檢測(201904起'!$Q:$Q,"紙本&amp;電子")++COUNTIFS('來案暨出貨明細表-基因檢測(201904起'!$P:$P,"*"&amp;$A16&amp;"*",'來案暨出貨明細表-基因檢測(201904起'!$B:$B,N$1,'來案暨出貨明細表-基因檢測(201904起'!$R:$R,"中英")</f>
        <v>0</v>
      </c>
      <c r="O16" s="33">
        <f>COUNTIFS('來案暨出貨明細表-基因檢測(201904起'!$P:$P,"*"&amp;$A16&amp;"*",'來案暨出貨明細表-基因檢測(201904起'!$B:$B,O$1)*$B16+COUNTIFS('來案暨出貨明細表-基因檢測(201904起'!$P:$P,"*"&amp;$A16&amp;"*",'來案暨出貨明細表-基因檢測(201904起'!$B:$B,O$1,'來案暨出貨明細表-基因檢測(201904起'!$Q:$Q,"紙本&amp;電子")++COUNTIFS('來案暨出貨明細表-基因檢測(201904起'!$P:$P,"*"&amp;$A16&amp;"*",'來案暨出貨明細表-基因檢測(201904起'!$B:$B,O$1,'來案暨出貨明細表-基因檢測(201904起'!$R:$R,"中英")</f>
        <v>0</v>
      </c>
      <c r="P16" s="33">
        <f>COUNTIFS('來案暨出貨明細表-基因檢測(201904起'!$P:$P,"*"&amp;$A16&amp;"*",'來案暨出貨明細表-基因檢測(201904起'!$B:$B,P$1)*$B16+COUNTIFS('來案暨出貨明細表-基因檢測(201904起'!$P:$P,"*"&amp;$A16&amp;"*",'來案暨出貨明細表-基因檢測(201904起'!$B:$B,P$1,'來案暨出貨明細表-基因檢測(201904起'!$Q:$Q,"紙本&amp;電子")++COUNTIFS('來案暨出貨明細表-基因檢測(201904起'!$P:$P,"*"&amp;$A16&amp;"*",'來案暨出貨明細表-基因檢測(201904起'!$B:$B,P$1,'來案暨出貨明細表-基因檢測(201904起'!$R:$R,"中英")</f>
        <v>0</v>
      </c>
      <c r="Q16" s="33">
        <f>COUNTIFS('來案暨出貨明細表-基因檢測(201904起'!$P:$P,"*"&amp;$A16&amp;"*",'來案暨出貨明細表-基因檢測(201904起'!$B:$B,Q$1)*$B16+COUNTIFS('來案暨出貨明細表-基因檢測(201904起'!$P:$P,"*"&amp;$A16&amp;"*",'來案暨出貨明細表-基因檢測(201904起'!$B:$B,Q$1,'來案暨出貨明細表-基因檢測(201904起'!$Q:$Q,"紙本&amp;電子")++COUNTIFS('來案暨出貨明細表-基因檢測(201904起'!$P:$P,"*"&amp;$A16&amp;"*",'來案暨出貨明細表-基因檢測(201904起'!$B:$B,Q$1,'來案暨出貨明細表-基因檢測(201904起'!$R:$R,"中英")</f>
        <v>0</v>
      </c>
      <c r="R16" s="33">
        <f>COUNTIFS('來案暨出貨明細表-基因檢測(201904起'!$P:$P,"*"&amp;$A16&amp;"*",'來案暨出貨明細表-基因檢測(201904起'!$B:$B,R$1)*$B16+COUNTIFS('來案暨出貨明細表-基因檢測(201904起'!$P:$P,"*"&amp;$A16&amp;"*",'來案暨出貨明細表-基因檢測(201904起'!$B:$B,R$1,'來案暨出貨明細表-基因檢測(201904起'!$Q:$Q,"紙本&amp;電子")++COUNTIFS('來案暨出貨明細表-基因檢測(201904起'!$P:$P,"*"&amp;$A16&amp;"*",'來案暨出貨明細表-基因檢測(201904起'!$B:$B,R$1,'來案暨出貨明細表-基因檢測(201904起'!$R:$R,"中英")</f>
        <v>0</v>
      </c>
      <c r="S16" s="33">
        <f>COUNTIFS('來案暨出貨明細表-基因檢測(201904起'!$P:$P,"*"&amp;$A16&amp;"*",'來案暨出貨明細表-基因檢測(201904起'!$B:$B,S$1)*$B16+COUNTIFS('來案暨出貨明細表-基因檢測(201904起'!$P:$P,"*"&amp;$A16&amp;"*",'來案暨出貨明細表-基因檢測(201904起'!$B:$B,S$1,'來案暨出貨明細表-基因檢測(201904起'!$Q:$Q,"紙本&amp;電子")++COUNTIFS('來案暨出貨明細表-基因檢測(201904起'!$P:$P,"*"&amp;$A16&amp;"*",'來案暨出貨明細表-基因檢測(201904起'!$B:$B,S$1,'來案暨出貨明細表-基因檢測(201904起'!$R:$R,"中英")</f>
        <v>0</v>
      </c>
      <c r="T16" s="33">
        <f>COUNTIFS('來案暨出貨明細表-基因檢測(201904起'!$P:$P,"*"&amp;$A16&amp;"*",'來案暨出貨明細表-基因檢測(201904起'!$B:$B,T$1)*$B16+COUNTIFS('來案暨出貨明細表-基因檢測(201904起'!$P:$P,"*"&amp;$A16&amp;"*",'來案暨出貨明細表-基因檢測(201904起'!$B:$B,T$1,'來案暨出貨明細表-基因檢測(201904起'!$Q:$Q,"紙本&amp;電子")++COUNTIFS('來案暨出貨明細表-基因檢測(201904起'!$P:$P,"*"&amp;$A16&amp;"*",'來案暨出貨明細表-基因檢測(201904起'!$B:$B,T$1,'來案暨出貨明細表-基因檢測(201904起'!$R:$R,"中英")</f>
        <v>0</v>
      </c>
      <c r="U16" s="33">
        <f>COUNTIFS('來案暨出貨明細表-基因檢測(201904起'!$P:$P,"*"&amp;$A16&amp;"*",'來案暨出貨明細表-基因檢測(201904起'!$B:$B,U$1)*$B16+COUNTIFS('來案暨出貨明細表-基因檢測(201904起'!$P:$P,"*"&amp;$A16&amp;"*",'來案暨出貨明細表-基因檢測(201904起'!$B:$B,U$1,'來案暨出貨明細表-基因檢測(201904起'!$Q:$Q,"紙本&amp;電子")++COUNTIFS('來案暨出貨明細表-基因檢測(201904起'!$P:$P,"*"&amp;$A16&amp;"*",'來案暨出貨明細表-基因檢測(201904起'!$B:$B,U$1,'來案暨出貨明細表-基因檢測(201904起'!$R:$R,"中英")</f>
        <v>0</v>
      </c>
      <c r="V16" s="33">
        <f>COUNTIFS('來案暨出貨明細表-基因檢測(201904起'!$P:$P,"*"&amp;$A16&amp;"*",'來案暨出貨明細表-基因檢測(201904起'!$B:$B,V$1)*$B16+COUNTIFS('來案暨出貨明細表-基因檢測(201904起'!$P:$P,"*"&amp;$A16&amp;"*",'來案暨出貨明細表-基因檢測(201904起'!$B:$B,V$1,'來案暨出貨明細表-基因檢測(201904起'!$Q:$Q,"紙本&amp;電子")++COUNTIFS('來案暨出貨明細表-基因檢測(201904起'!$P:$P,"*"&amp;$A16&amp;"*",'來案暨出貨明細表-基因檢測(201904起'!$B:$B,V$1,'來案暨出貨明細表-基因檢測(201904起'!$R:$R,"中英")</f>
        <v>0</v>
      </c>
      <c r="W16" s="33">
        <f>COUNTIFS('來案暨出貨明細表-基因檢測(201904起'!$P:$P,"*"&amp;$A16&amp;"*",'來案暨出貨明細表-基因檢測(201904起'!$B:$B,W$1)*$B16+COUNTIFS('來案暨出貨明細表-基因檢測(201904起'!$P:$P,"*"&amp;$A16&amp;"*",'來案暨出貨明細表-基因檢測(201904起'!$B:$B,W$1,'來案暨出貨明細表-基因檢測(201904起'!$Q:$Q,"紙本&amp;電子")++COUNTIFS('來案暨出貨明細表-基因檢測(201904起'!$P:$P,"*"&amp;$A16&amp;"*",'來案暨出貨明細表-基因檢測(201904起'!$B:$B,W$1,'來案暨出貨明細表-基因檢測(201904起'!$R:$R,"中英")</f>
        <v>0</v>
      </c>
      <c r="X16" s="33">
        <f>COUNTIFS('來案暨出貨明細表-基因檢測(201904起'!$P:$P,"*"&amp;$A16&amp;"*",'來案暨出貨明細表-基因檢測(201904起'!$B:$B,X$1)*$B16+COUNTIFS('來案暨出貨明細表-基因檢測(201904起'!$P:$P,"*"&amp;$A16&amp;"*",'來案暨出貨明細表-基因檢測(201904起'!$B:$B,X$1,'來案暨出貨明細表-基因檢測(201904起'!$Q:$Q,"紙本&amp;電子")++COUNTIFS('來案暨出貨明細表-基因檢測(201904起'!$P:$P,"*"&amp;$A16&amp;"*",'來案暨出貨明細表-基因檢測(201904起'!$B:$B,X$1,'來案暨出貨明細表-基因檢測(201904起'!$R:$R,"中英")</f>
        <v>0</v>
      </c>
      <c r="Y16" s="33">
        <f>COUNTIFS('來案暨出貨明細表-基因檢測(201904起'!$P:$P,"*"&amp;$A16&amp;"*",'來案暨出貨明細表-基因檢測(201904起'!$B:$B,Y$1)*$B16+COUNTIFS('來案暨出貨明細表-基因檢測(201904起'!$P:$P,"*"&amp;$A16&amp;"*",'來案暨出貨明細表-基因檢測(201904起'!$B:$B,Y$1,'來案暨出貨明細表-基因檢測(201904起'!$Q:$Q,"紙本&amp;電子")++COUNTIFS('來案暨出貨明細表-基因檢測(201904起'!$P:$P,"*"&amp;$A16&amp;"*",'來案暨出貨明細表-基因檢測(201904起'!$B:$B,Y$1,'來案暨出貨明細表-基因檢測(201904起'!$R:$R,"中英")</f>
        <v>0</v>
      </c>
      <c r="Z16" s="33">
        <f>COUNTIFS('來案暨出貨明細表-基因檢測(201904起'!$P:$P,"*"&amp;$A16&amp;"*",'來案暨出貨明細表-基因檢測(201904起'!$B:$B,Z$1)*$B16+COUNTIFS('來案暨出貨明細表-基因檢測(201904起'!$P:$P,"*"&amp;$A16&amp;"*",'來案暨出貨明細表-基因檢測(201904起'!$B:$B,Z$1,'來案暨出貨明細表-基因檢測(201904起'!$Q:$Q,"紙本&amp;電子")++COUNTIFS('來案暨出貨明細表-基因檢測(201904起'!$P:$P,"*"&amp;$A16&amp;"*",'來案暨出貨明細表-基因檢測(201904起'!$B:$B,Z$1,'來案暨出貨明細表-基因檢測(201904起'!$R:$R,"中英")</f>
        <v>0</v>
      </c>
      <c r="AA16" s="33">
        <f>COUNTIFS('來案暨出貨明細表-基因檢測(201904起'!$P:$P,"*"&amp;$A16&amp;"*",'來案暨出貨明細表-基因檢測(201904起'!$B:$B,AA$1)*$B16+COUNTIFS('來案暨出貨明細表-基因檢測(201904起'!$P:$P,"*"&amp;$A16&amp;"*",'來案暨出貨明細表-基因檢測(201904起'!$B:$B,AA$1,'來案暨出貨明細表-基因檢測(201904起'!$Q:$Q,"紙本&amp;電子")++COUNTIFS('來案暨出貨明細表-基因檢測(201904起'!$P:$P,"*"&amp;$A16&amp;"*",'來案暨出貨明細表-基因檢測(201904起'!$B:$B,AA$1,'來案暨出貨明細表-基因檢測(201904起'!$R:$R,"中英")</f>
        <v>0</v>
      </c>
      <c r="AB16" s="33">
        <f>COUNTIFS('來案暨出貨明細表-基因檢測(201904起'!$P:$P,"*"&amp;$A16&amp;"*",'來案暨出貨明細表-基因檢測(201904起'!$B:$B,AB$1)*$B16+COUNTIFS('來案暨出貨明細表-基因檢測(201904起'!$P:$P,"*"&amp;$A16&amp;"*",'來案暨出貨明細表-基因檢測(201904起'!$B:$B,AB$1,'來案暨出貨明細表-基因檢測(201904起'!$Q:$Q,"紙本&amp;電子")++COUNTIFS('來案暨出貨明細表-基因檢測(201904起'!$P:$P,"*"&amp;$A16&amp;"*",'來案暨出貨明細表-基因檢測(201904起'!$B:$B,AB$1,'來案暨出貨明細表-基因檢測(201904起'!$R:$R,"中英")</f>
        <v>0</v>
      </c>
      <c r="AC16" s="33">
        <f>COUNTIFS('來案暨出貨明細表-基因檢測(201904起'!$P:$P,"*"&amp;$A16&amp;"*",'來案暨出貨明細表-基因檢測(201904起'!$B:$B,AC$1)*$B16+COUNTIFS('來案暨出貨明細表-基因檢測(201904起'!$P:$P,"*"&amp;$A16&amp;"*",'來案暨出貨明細表-基因檢測(201904起'!$B:$B,AC$1,'來案暨出貨明細表-基因檢測(201904起'!$Q:$Q,"紙本&amp;電子")++COUNTIFS('來案暨出貨明細表-基因檢測(201904起'!$P:$P,"*"&amp;$A16&amp;"*",'來案暨出貨明細表-基因檢測(201904起'!$B:$B,AC$1,'來案暨出貨明細表-基因檢測(201904起'!$R:$R,"中英")</f>
        <v>0</v>
      </c>
      <c r="AD16" s="33">
        <f>COUNTIFS('來案暨出貨明細表-基因檢測(201904起'!$P:$P,"*"&amp;$A16&amp;"*",'來案暨出貨明細表-基因檢測(201904起'!$B:$B,AD$1)*$B16+COUNTIFS('來案暨出貨明細表-基因檢測(201904起'!$P:$P,"*"&amp;$A16&amp;"*",'來案暨出貨明細表-基因檢測(201904起'!$B:$B,AD$1,'來案暨出貨明細表-基因檢測(201904起'!$Q:$Q,"紙本&amp;電子")++COUNTIFS('來案暨出貨明細表-基因檢測(201904起'!$P:$P,"*"&amp;$A16&amp;"*",'來案暨出貨明細表-基因檢測(201904起'!$B:$B,AD$1,'來案暨出貨明細表-基因檢測(201904起'!$R:$R,"中英")</f>
        <v>0</v>
      </c>
      <c r="AE16" s="33">
        <f>COUNTIFS('來案暨出貨明細表-基因檢測(201904起'!$P:$P,"*"&amp;$A16&amp;"*",'來案暨出貨明細表-基因檢測(201904起'!$B:$B,AE$1)*$B16+COUNTIFS('來案暨出貨明細表-基因檢測(201904起'!$P:$P,"*"&amp;$A16&amp;"*",'來案暨出貨明細表-基因檢測(201904起'!$B:$B,AE$1,'來案暨出貨明細表-基因檢測(201904起'!$Q:$Q,"紙本&amp;電子")++COUNTIFS('來案暨出貨明細表-基因檢測(201904起'!$P:$P,"*"&amp;$A16&amp;"*",'來案暨出貨明細表-基因檢測(201904起'!$B:$B,AE$1,'來案暨出貨明細表-基因檢測(201904起'!$R:$R,"中英")</f>
        <v>0</v>
      </c>
      <c r="AF16" s="33">
        <f>COUNTIFS('來案暨出貨明細表-基因檢測(201904起'!$P:$P,"*"&amp;$A16&amp;"*",'來案暨出貨明細表-基因檢測(201904起'!$B:$B,AF$1)*$B16+COUNTIFS('來案暨出貨明細表-基因檢測(201904起'!$P:$P,"*"&amp;$A16&amp;"*",'來案暨出貨明細表-基因檢測(201904起'!$B:$B,AF$1,'來案暨出貨明細表-基因檢測(201904起'!$Q:$Q,"紙本&amp;電子")++COUNTIFS('來案暨出貨明細表-基因檢測(201904起'!$P:$P,"*"&amp;$A16&amp;"*",'來案暨出貨明細表-基因檢測(201904起'!$B:$B,AF$1,'來案暨出貨明細表-基因檢測(201904起'!$R:$R,"中英")</f>
        <v>0</v>
      </c>
      <c r="AG16" s="33">
        <f>COUNTIFS('來案暨出貨明細表-基因檢測(201904起'!$P:$P,"*"&amp;$A16&amp;"*",'來案暨出貨明細表-基因檢測(201904起'!$B:$B,AG$1)*$B16+COUNTIFS('來案暨出貨明細表-基因檢測(201904起'!$P:$P,"*"&amp;$A16&amp;"*",'來案暨出貨明細表-基因檢測(201904起'!$B:$B,AG$1,'來案暨出貨明細表-基因檢測(201904起'!$Q:$Q,"紙本&amp;電子")++COUNTIFS('來案暨出貨明細表-基因檢測(201904起'!$P:$P,"*"&amp;$A16&amp;"*",'來案暨出貨明細表-基因檢測(201904起'!$B:$B,AG$1,'來案暨出貨明細表-基因檢測(201904起'!$R:$R,"中英")</f>
        <v>0</v>
      </c>
      <c r="AH16" s="33">
        <f>COUNTIFS('來案暨出貨明細表-基因檢測(201904起'!$P:$P,"*"&amp;$A16&amp;"*",'來案暨出貨明細表-基因檢測(201904起'!$B:$B,AH$1)*$B16+COUNTIFS('來案暨出貨明細表-基因檢測(201904起'!$P:$P,"*"&amp;$A16&amp;"*",'來案暨出貨明細表-基因檢測(201904起'!$B:$B,AH$1,'來案暨出貨明細表-基因檢測(201904起'!$Q:$Q,"紙本&amp;電子")++COUNTIFS('來案暨出貨明細表-基因檢測(201904起'!$P:$P,"*"&amp;$A16&amp;"*",'來案暨出貨明細表-基因檢測(201904起'!$B:$B,AH$1,'來案暨出貨明細表-基因檢測(201904起'!$R:$R,"中英")</f>
        <v>0</v>
      </c>
      <c r="AI16" s="33">
        <f>COUNTIFS('來案暨出貨明細表-基因檢測(201904起'!$P:$P,"*"&amp;$A16&amp;"*",'來案暨出貨明細表-基因檢測(201904起'!$B:$B,AI$1)*$B16+COUNTIFS('來案暨出貨明細表-基因檢測(201904起'!$P:$P,"*"&amp;$A16&amp;"*",'來案暨出貨明細表-基因檢測(201904起'!$B:$B,AI$1,'來案暨出貨明細表-基因檢測(201904起'!$Q:$Q,"紙本&amp;電子")++COUNTIFS('來案暨出貨明細表-基因檢測(201904起'!$P:$P,"*"&amp;$A16&amp;"*",'來案暨出貨明細表-基因檢測(201904起'!$B:$B,AI$1,'來案暨出貨明細表-基因檢測(201904起'!$R:$R,"中英")</f>
        <v>0</v>
      </c>
      <c r="AJ16" s="33">
        <f>COUNTIFS('來案暨出貨明細表-基因檢測(201904起'!$P:$P,"*"&amp;$A16&amp;"*",'來案暨出貨明細表-基因檢測(201904起'!$B:$B,AJ$1)*$B16+COUNTIFS('來案暨出貨明細表-基因檢測(201904起'!$P:$P,"*"&amp;$A16&amp;"*",'來案暨出貨明細表-基因檢測(201904起'!$B:$B,AJ$1,'來案暨出貨明細表-基因檢測(201904起'!$Q:$Q,"紙本&amp;電子")++COUNTIFS('來案暨出貨明細表-基因檢測(201904起'!$P:$P,"*"&amp;$A16&amp;"*",'來案暨出貨明細表-基因檢測(201904起'!$B:$B,AJ$1,'來案暨出貨明細表-基因檢測(201904起'!$R:$R,"中英")</f>
        <v>0</v>
      </c>
      <c r="AK16" s="33">
        <f>COUNTIFS('來案暨出貨明細表-基因檢測(201904起'!$P:$P,"*"&amp;$A16&amp;"*",'來案暨出貨明細表-基因檢測(201904起'!$B:$B,AK$1)*$B16+COUNTIFS('來案暨出貨明細表-基因檢測(201904起'!$P:$P,"*"&amp;$A16&amp;"*",'來案暨出貨明細表-基因檢測(201904起'!$B:$B,AK$1,'來案暨出貨明細表-基因檢測(201904起'!$Q:$Q,"紙本&amp;電子")++COUNTIFS('來案暨出貨明細表-基因檢測(201904起'!$P:$P,"*"&amp;$A16&amp;"*",'來案暨出貨明細表-基因檢測(201904起'!$B:$B,AK$1,'來案暨出貨明細表-基因檢測(201904起'!$R:$R,"中英")</f>
        <v>0</v>
      </c>
      <c r="AL16" s="33">
        <f>COUNTIFS('來案暨出貨明細表-基因檢測(201904起'!$P:$P,"*"&amp;$A16&amp;"*",'來案暨出貨明細表-基因檢測(201904起'!$B:$B,AL$1)*$B16+COUNTIFS('來案暨出貨明細表-基因檢測(201904起'!$P:$P,"*"&amp;$A16&amp;"*",'來案暨出貨明細表-基因檢測(201904起'!$B:$B,AL$1,'來案暨出貨明細表-基因檢測(201904起'!$Q:$Q,"紙本&amp;電子")++COUNTIFS('來案暨出貨明細表-基因檢測(201904起'!$P:$P,"*"&amp;$A16&amp;"*",'來案暨出貨明細表-基因檢測(201904起'!$B:$B,AL$1,'來案暨出貨明細表-基因檢測(201904起'!$R:$R,"中英")</f>
        <v>0</v>
      </c>
      <c r="AM16" s="33">
        <f>COUNTIFS('來案暨出貨明細表-基因檢測(201904起'!$P:$P,"*"&amp;$A16&amp;"*",'來案暨出貨明細表-基因檢測(201904起'!$B:$B,AM$1)*$B16+COUNTIFS('來案暨出貨明細表-基因檢測(201904起'!$P:$P,"*"&amp;$A16&amp;"*",'來案暨出貨明細表-基因檢測(201904起'!$B:$B,AM$1,'來案暨出貨明細表-基因檢測(201904起'!$Q:$Q,"紙本&amp;電子")++COUNTIFS('來案暨出貨明細表-基因檢測(201904起'!$P:$P,"*"&amp;$A16&amp;"*",'來案暨出貨明細表-基因檢測(201904起'!$B:$B,AM$1,'來案暨出貨明細表-基因檢測(201904起'!$R:$R,"中英")</f>
        <v>0</v>
      </c>
      <c r="AN16" s="33">
        <f>COUNTIFS('來案暨出貨明細表-基因檢測(201904起'!$P:$P,"*"&amp;$A16&amp;"*",'來案暨出貨明細表-基因檢測(201904起'!$B:$B,AN$1)*$B16+COUNTIFS('來案暨出貨明細表-基因檢測(201904起'!$P:$P,"*"&amp;$A16&amp;"*",'來案暨出貨明細表-基因檢測(201904起'!$B:$B,AN$1,'來案暨出貨明細表-基因檢測(201904起'!$Q:$Q,"紙本&amp;電子")++COUNTIFS('來案暨出貨明細表-基因檢測(201904起'!$P:$P,"*"&amp;$A16&amp;"*",'來案暨出貨明細表-基因檢測(201904起'!$B:$B,AN$1,'來案暨出貨明細表-基因檢測(201904起'!$R:$R,"中英")</f>
        <v>0</v>
      </c>
      <c r="AO16" s="33">
        <f>COUNTIFS('來案暨出貨明細表-基因檢測(201904起'!$P:$P,"*"&amp;$A16&amp;"*",'來案暨出貨明細表-基因檢測(201904起'!$B:$B,AO$1)*$B16+COUNTIFS('來案暨出貨明細表-基因檢測(201904起'!$P:$P,"*"&amp;$A16&amp;"*",'來案暨出貨明細表-基因檢測(201904起'!$B:$B,AO$1,'來案暨出貨明細表-基因檢測(201904起'!$Q:$Q,"紙本&amp;電子")++COUNTIFS('來案暨出貨明細表-基因檢測(201904起'!$P:$P,"*"&amp;$A16&amp;"*",'來案暨出貨明細表-基因檢測(201904起'!$B:$B,AO$1,'來案暨出貨明細表-基因檢測(201904起'!$R:$R,"中英")</f>
        <v>0</v>
      </c>
      <c r="AP16" s="33">
        <f>COUNTIFS('來案暨出貨明細表-基因檢測(201904起'!$P:$P,"*"&amp;$A16&amp;"*",'來案暨出貨明細表-基因檢測(201904起'!$B:$B,AP$1)*$B16+COUNTIFS('來案暨出貨明細表-基因檢測(201904起'!$P:$P,"*"&amp;$A16&amp;"*",'來案暨出貨明細表-基因檢測(201904起'!$B:$B,AP$1,'來案暨出貨明細表-基因檢測(201904起'!$Q:$Q,"紙本&amp;電子")++COUNTIFS('來案暨出貨明細表-基因檢測(201904起'!$P:$P,"*"&amp;$A16&amp;"*",'來案暨出貨明細表-基因檢測(201904起'!$B:$B,AP$1,'來案暨出貨明細表-基因檢測(201904起'!$R:$R,"中英")</f>
        <v>0</v>
      </c>
      <c r="AQ16" s="33">
        <f>COUNTIFS('來案暨出貨明細表-基因檢測(201904起'!$P:$P,"*"&amp;$A16&amp;"*",'來案暨出貨明細表-基因檢測(201904起'!$B:$B,AQ$1)*$B16+COUNTIFS('來案暨出貨明細表-基因檢測(201904起'!$P:$P,"*"&amp;$A16&amp;"*",'來案暨出貨明細表-基因檢測(201904起'!$B:$B,AQ$1,'來案暨出貨明細表-基因檢測(201904起'!$Q:$Q,"紙本&amp;電子")++COUNTIFS('來案暨出貨明細表-基因檢測(201904起'!$P:$P,"*"&amp;$A16&amp;"*",'來案暨出貨明細表-基因檢測(201904起'!$B:$B,AQ$1,'來案暨出貨明細表-基因檢測(201904起'!$R:$R,"中英")</f>
        <v>0</v>
      </c>
      <c r="AR16" s="33">
        <f>COUNTIFS('來案暨出貨明細表-基因檢測(201904起'!$P:$P,"*"&amp;$A16&amp;"*",'來案暨出貨明細表-基因檢測(201904起'!$B:$B,AR$1)*$B16+COUNTIFS('來案暨出貨明細表-基因檢測(201904起'!$P:$P,"*"&amp;$A16&amp;"*",'來案暨出貨明細表-基因檢測(201904起'!$B:$B,AR$1,'來案暨出貨明細表-基因檢測(201904起'!$Q:$Q,"紙本&amp;電子")++COUNTIFS('來案暨出貨明細表-基因檢測(201904起'!$P:$P,"*"&amp;$A16&amp;"*",'來案暨出貨明細表-基因檢測(201904起'!$B:$B,AR$1,'來案暨出貨明細表-基因檢測(201904起'!$R:$R,"中英")</f>
        <v>0</v>
      </c>
      <c r="AS16" s="33">
        <f>COUNTIFS('來案暨出貨明細表-基因檢測(201904起'!$P:$P,"*"&amp;$A16&amp;"*",'來案暨出貨明細表-基因檢測(201904起'!$B:$B,AS$1)*$B16+COUNTIFS('來案暨出貨明細表-基因檢測(201904起'!$P:$P,"*"&amp;$A16&amp;"*",'來案暨出貨明細表-基因檢測(201904起'!$B:$B,AS$1,'來案暨出貨明細表-基因檢測(201904起'!$Q:$Q,"紙本&amp;電子")++COUNTIFS('來案暨出貨明細表-基因檢測(201904起'!$P:$P,"*"&amp;$A16&amp;"*",'來案暨出貨明細表-基因檢測(201904起'!$B:$B,AS$1,'來案暨出貨明細表-基因檢測(201904起'!$R:$R,"中英")</f>
        <v>0</v>
      </c>
      <c r="AT16" s="33">
        <f>COUNTIFS('來案暨出貨明細表-基因檢測(201904起'!$P:$P,"*"&amp;$A16&amp;"*",'來案暨出貨明細表-基因檢測(201904起'!$B:$B,AT$1)*$B16+COUNTIFS('來案暨出貨明細表-基因檢測(201904起'!$P:$P,"*"&amp;$A16&amp;"*",'來案暨出貨明細表-基因檢測(201904起'!$B:$B,AT$1,'來案暨出貨明細表-基因檢測(201904起'!$Q:$Q,"紙本&amp;電子")++COUNTIFS('來案暨出貨明細表-基因檢測(201904起'!$P:$P,"*"&amp;$A16&amp;"*",'來案暨出貨明細表-基因檢測(201904起'!$B:$B,AT$1,'來案暨出貨明細表-基因檢測(201904起'!$R:$R,"中英")</f>
        <v>0</v>
      </c>
      <c r="AU16" s="33">
        <f>COUNTIFS('來案暨出貨明細表-基因檢測(201904起'!$P:$P,"*"&amp;$A16&amp;"*",'來案暨出貨明細表-基因檢測(201904起'!$B:$B,AU$1)*$B16+COUNTIFS('來案暨出貨明細表-基因檢測(201904起'!$P:$P,"*"&amp;$A16&amp;"*",'來案暨出貨明細表-基因檢測(201904起'!$B:$B,AU$1,'來案暨出貨明細表-基因檢測(201904起'!$Q:$Q,"紙本&amp;電子")++COUNTIFS('來案暨出貨明細表-基因檢測(201904起'!$P:$P,"*"&amp;$A16&amp;"*",'來案暨出貨明細表-基因檢測(201904起'!$B:$B,AU$1,'來案暨出貨明細表-基因檢測(201904起'!$R:$R,"中英")</f>
        <v>0</v>
      </c>
      <c r="AV16" s="33">
        <f>COUNTIFS('來案暨出貨明細表-基因檢測(201904起'!$P:$P,"*"&amp;$A16&amp;"*",'來案暨出貨明細表-基因檢測(201904起'!$B:$B,AV$1)*$B16+COUNTIFS('來案暨出貨明細表-基因檢測(201904起'!$P:$P,"*"&amp;$A16&amp;"*",'來案暨出貨明細表-基因檢測(201904起'!$B:$B,AV$1,'來案暨出貨明細表-基因檢測(201904起'!$Q:$Q,"紙本&amp;電子")++COUNTIFS('來案暨出貨明細表-基因檢測(201904起'!$P:$P,"*"&amp;$A16&amp;"*",'來案暨出貨明細表-基因檢測(201904起'!$B:$B,AV$1,'來案暨出貨明細表-基因檢測(201904起'!$R:$R,"中英")</f>
        <v>0</v>
      </c>
      <c r="AW16" s="33">
        <f>COUNTIFS('來案暨出貨明細表-基因檢測(201904起'!$P:$P,"*"&amp;$A16&amp;"*",'來案暨出貨明細表-基因檢測(201904起'!$B:$B,AW$1)*$B16+COUNTIFS('來案暨出貨明細表-基因檢測(201904起'!$P:$P,"*"&amp;$A16&amp;"*",'來案暨出貨明細表-基因檢測(201904起'!$B:$B,AW$1,'來案暨出貨明細表-基因檢測(201904起'!$Q:$Q,"紙本&amp;電子")++COUNTIFS('來案暨出貨明細表-基因檢測(201904起'!$P:$P,"*"&amp;$A16&amp;"*",'來案暨出貨明細表-基因檢測(201904起'!$B:$B,AW$1,'來案暨出貨明細表-基因檢測(201904起'!$R:$R,"中英")</f>
        <v>0</v>
      </c>
      <c r="AX16" s="33">
        <f>COUNTIFS('來案暨出貨明細表-基因檢測(201904起'!$P:$P,"*"&amp;$A16&amp;"*",'來案暨出貨明細表-基因檢測(201904起'!$B:$B,AX$1)*$B16+COUNTIFS('來案暨出貨明細表-基因檢測(201904起'!$P:$P,"*"&amp;$A16&amp;"*",'來案暨出貨明細表-基因檢測(201904起'!$B:$B,AX$1,'來案暨出貨明細表-基因檢測(201904起'!$Q:$Q,"紙本&amp;電子")++COUNTIFS('來案暨出貨明細表-基因檢測(201904起'!$P:$P,"*"&amp;$A16&amp;"*",'來案暨出貨明細表-基因檢測(201904起'!$B:$B,AX$1,'來案暨出貨明細表-基因檢測(201904起'!$R:$R,"中英")</f>
        <v>0</v>
      </c>
      <c r="AY16" s="33">
        <f>COUNTIFS('來案暨出貨明細表-基因檢測(201904起'!$P:$P,"*"&amp;$A16&amp;"*",'來案暨出貨明細表-基因檢測(201904起'!$B:$B,AY$1)*$B16+COUNTIFS('來案暨出貨明細表-基因檢測(201904起'!$P:$P,"*"&amp;$A16&amp;"*",'來案暨出貨明細表-基因檢測(201904起'!$B:$B,AY$1,'來案暨出貨明細表-基因檢測(201904起'!$Q:$Q,"紙本&amp;電子")++COUNTIFS('來案暨出貨明細表-基因檢測(201904起'!$P:$P,"*"&amp;$A16&amp;"*",'來案暨出貨明細表-基因檢測(201904起'!$B:$B,AY$1,'來案暨出貨明細表-基因檢測(201904起'!$R:$R,"中英")</f>
        <v>0</v>
      </c>
      <c r="AZ16" s="33">
        <f>COUNTIFS('來案暨出貨明細表-基因檢測(201904起'!$P:$P,"*"&amp;$A16&amp;"*",'來案暨出貨明細表-基因檢測(201904起'!$B:$B,AZ$1)*$B16+COUNTIFS('來案暨出貨明細表-基因檢測(201904起'!$P:$P,"*"&amp;$A16&amp;"*",'來案暨出貨明細表-基因檢測(201904起'!$B:$B,AZ$1,'來案暨出貨明細表-基因檢測(201904起'!$Q:$Q,"紙本&amp;電子")++COUNTIFS('來案暨出貨明細表-基因檢測(201904起'!$P:$P,"*"&amp;$A16&amp;"*",'來案暨出貨明細表-基因檢測(201904起'!$B:$B,AZ$1,'來案暨出貨明細表-基因檢測(201904起'!$R:$R,"中英")</f>
        <v>0</v>
      </c>
      <c r="BA16" s="33">
        <f>COUNTIFS('來案暨出貨明細表-基因檢測(201904起'!$P:$P,"*"&amp;$A16&amp;"*",'來案暨出貨明細表-基因檢測(201904起'!$B:$B,BA$1)*$B16+COUNTIFS('來案暨出貨明細表-基因檢測(201904起'!$P:$P,"*"&amp;$A16&amp;"*",'來案暨出貨明細表-基因檢測(201904起'!$B:$B,BA$1,'來案暨出貨明細表-基因檢測(201904起'!$Q:$Q,"紙本&amp;電子")++COUNTIFS('來案暨出貨明細表-基因檢測(201904起'!$P:$P,"*"&amp;$A16&amp;"*",'來案暨出貨明細表-基因檢測(201904起'!$B:$B,BA$1,'來案暨出貨明細表-基因檢測(201904起'!$R:$R,"中英")</f>
        <v>0</v>
      </c>
      <c r="BB16" s="33">
        <f>COUNTIFS('來案暨出貨明細表-基因檢測(201904起'!$P:$P,"*"&amp;$A16&amp;"*",'來案暨出貨明細表-基因檢測(201904起'!$B:$B,BB$1)*$B16+COUNTIFS('來案暨出貨明細表-基因檢測(201904起'!$P:$P,"*"&amp;$A16&amp;"*",'來案暨出貨明細表-基因檢測(201904起'!$B:$B,BB$1,'來案暨出貨明細表-基因檢測(201904起'!$Q:$Q,"紙本&amp;電子")++COUNTIFS('來案暨出貨明細表-基因檢測(201904起'!$P:$P,"*"&amp;$A16&amp;"*",'來案暨出貨明細表-基因檢測(201904起'!$B:$B,BB$1,'來案暨出貨明細表-基因檢測(201904起'!$R:$R,"中英")</f>
        <v>0</v>
      </c>
      <c r="BC16" s="33">
        <f>COUNTIFS('來案暨出貨明細表-基因檢測(201904起'!$P:$P,"*"&amp;$A16&amp;"*",'來案暨出貨明細表-基因檢測(201904起'!$B:$B,BC$1)*$B16+COUNTIFS('來案暨出貨明細表-基因檢測(201904起'!$P:$P,"*"&amp;$A16&amp;"*",'來案暨出貨明細表-基因檢測(201904起'!$B:$B,BC$1,'來案暨出貨明細表-基因檢測(201904起'!$Q:$Q,"紙本&amp;電子")++COUNTIFS('來案暨出貨明細表-基因檢測(201904起'!$P:$P,"*"&amp;$A16&amp;"*",'來案暨出貨明細表-基因檢測(201904起'!$B:$B,BC$1,'來案暨出貨明細表-基因檢測(201904起'!$R:$R,"中英")</f>
        <v>0</v>
      </c>
      <c r="BD16" s="33">
        <f>COUNTIFS('來案暨出貨明細表-基因檢測(201904起'!$P:$P,"*"&amp;$A16&amp;"*",'來案暨出貨明細表-基因檢測(201904起'!$B:$B,BD$1)*$B16+COUNTIFS('來案暨出貨明細表-基因檢測(201904起'!$P:$P,"*"&amp;$A16&amp;"*",'來案暨出貨明細表-基因檢測(201904起'!$B:$B,BD$1,'來案暨出貨明細表-基因檢測(201904起'!$Q:$Q,"紙本&amp;電子")++COUNTIFS('來案暨出貨明細表-基因檢測(201904起'!$P:$P,"*"&amp;$A16&amp;"*",'來案暨出貨明細表-基因檢測(201904起'!$B:$B,BD$1,'來案暨出貨明細表-基因檢測(201904起'!$R:$R,"中英")</f>
        <v>0</v>
      </c>
      <c r="BE16" s="33">
        <f>COUNTIFS('來案暨出貨明細表-基因檢測(201904起'!$P:$P,"*"&amp;$A16&amp;"*",'來案暨出貨明細表-基因檢測(201904起'!$B:$B,BE$1)*$B16+COUNTIFS('來案暨出貨明細表-基因檢測(201904起'!$P:$P,"*"&amp;$A16&amp;"*",'來案暨出貨明細表-基因檢測(201904起'!$B:$B,BE$1,'來案暨出貨明細表-基因檢測(201904起'!$Q:$Q,"紙本&amp;電子")++COUNTIFS('來案暨出貨明細表-基因檢測(201904起'!$P:$P,"*"&amp;$A16&amp;"*",'來案暨出貨明細表-基因檢測(201904起'!$B:$B,BE$1,'來案暨出貨明細表-基因檢測(201904起'!$R:$R,"中英")</f>
        <v>0</v>
      </c>
      <c r="BF16" s="33">
        <f>COUNTIFS('來案暨出貨明細表-基因檢測(201904起'!$P:$P,"*"&amp;$A16&amp;"*",'來案暨出貨明細表-基因檢測(201904起'!$B:$B,BF$1)*$B16+COUNTIFS('來案暨出貨明細表-基因檢測(201904起'!$P:$P,"*"&amp;$A16&amp;"*",'來案暨出貨明細表-基因檢測(201904起'!$B:$B,BF$1,'來案暨出貨明細表-基因檢測(201904起'!$Q:$Q,"紙本&amp;電子")++COUNTIFS('來案暨出貨明細表-基因檢測(201904起'!$P:$P,"*"&amp;$A16&amp;"*",'來案暨出貨明細表-基因檢測(201904起'!$B:$B,BF$1,'來案暨出貨明細表-基因檢測(201904起'!$R:$R,"中英")</f>
        <v>0</v>
      </c>
      <c r="BG16" s="33">
        <f>COUNTIFS('來案暨出貨明細表-基因檢測(201904起'!$P:$P,"*"&amp;$A16&amp;"*",'來案暨出貨明細表-基因檢測(201904起'!$B:$B,BG$1)*$B16+COUNTIFS('來案暨出貨明細表-基因檢測(201904起'!$P:$P,"*"&amp;$A16&amp;"*",'來案暨出貨明細表-基因檢測(201904起'!$B:$B,BG$1,'來案暨出貨明細表-基因檢測(201904起'!$Q:$Q,"紙本&amp;電子")++COUNTIFS('來案暨出貨明細表-基因檢測(201904起'!$P:$P,"*"&amp;$A16&amp;"*",'來案暨出貨明細表-基因檢測(201904起'!$B:$B,BG$1,'來案暨出貨明細表-基因檢測(201904起'!$R:$R,"中英")</f>
        <v>0</v>
      </c>
      <c r="BH16" s="33">
        <f>COUNTIFS('來案暨出貨明細表-基因檢測(201904起'!$P:$P,"*"&amp;$A16&amp;"*",'來案暨出貨明細表-基因檢測(201904起'!$B:$B,BH$1)*$B16+COUNTIFS('來案暨出貨明細表-基因檢測(201904起'!$P:$P,"*"&amp;$A16&amp;"*",'來案暨出貨明細表-基因檢測(201904起'!$B:$B,BH$1,'來案暨出貨明細表-基因檢測(201904起'!$Q:$Q,"紙本&amp;電子")++COUNTIFS('來案暨出貨明細表-基因檢測(201904起'!$P:$P,"*"&amp;$A16&amp;"*",'來案暨出貨明細表-基因檢測(201904起'!$B:$B,BH$1,'來案暨出貨明細表-基因檢測(201904起'!$R:$R,"中英")</f>
        <v>0</v>
      </c>
      <c r="BI16" s="33">
        <f>COUNTIFS('來案暨出貨明細表-基因檢測(201904起'!$P:$P,"*"&amp;$A16&amp;"*",'來案暨出貨明細表-基因檢測(201904起'!$B:$B,BI$1)*$B16+COUNTIFS('來案暨出貨明細表-基因檢測(201904起'!$P:$P,"*"&amp;$A16&amp;"*",'來案暨出貨明細表-基因檢測(201904起'!$B:$B,BI$1,'來案暨出貨明細表-基因檢測(201904起'!$Q:$Q,"紙本&amp;電子")++COUNTIFS('來案暨出貨明細表-基因檢測(201904起'!$P:$P,"*"&amp;$A16&amp;"*",'來案暨出貨明細表-基因檢測(201904起'!$B:$B,BI$1,'來案暨出貨明細表-基因檢測(201904起'!$R:$R,"中英")</f>
        <v>0</v>
      </c>
      <c r="BJ16" s="33">
        <f>COUNTIFS('來案暨出貨明細表-基因檢測(201904起'!$P:$P,"*"&amp;$A16&amp;"*",'來案暨出貨明細表-基因檢測(201904起'!$B:$B,BJ$1)*$B16+COUNTIFS('來案暨出貨明細表-基因檢測(201904起'!$P:$P,"*"&amp;$A16&amp;"*",'來案暨出貨明細表-基因檢測(201904起'!$B:$B,BJ$1,'來案暨出貨明細表-基因檢測(201904起'!$Q:$Q,"紙本&amp;電子")++COUNTIFS('來案暨出貨明細表-基因檢測(201904起'!$P:$P,"*"&amp;$A16&amp;"*",'來案暨出貨明細表-基因檢測(201904起'!$B:$B,BJ$1,'來案暨出貨明細表-基因檢測(201904起'!$R:$R,"中英")</f>
        <v>0</v>
      </c>
      <c r="BK16" s="33">
        <f>COUNTIFS('來案暨出貨明細表-基因檢測(201904起'!$P:$P,"*"&amp;$A16&amp;"*",'來案暨出貨明細表-基因檢測(201904起'!$B:$B,BK$1)*$B16+COUNTIFS('來案暨出貨明細表-基因檢測(201904起'!$P:$P,"*"&amp;$A16&amp;"*",'來案暨出貨明細表-基因檢測(201904起'!$B:$B,BK$1,'來案暨出貨明細表-基因檢測(201904起'!$Q:$Q,"紙本&amp;電子")++COUNTIFS('來案暨出貨明細表-基因檢測(201904起'!$P:$P,"*"&amp;$A16&amp;"*",'來案暨出貨明細表-基因檢測(201904起'!$B:$B,BK$1,'來案暨出貨明細表-基因檢測(201904起'!$R:$R,"中英")</f>
        <v>0</v>
      </c>
      <c r="BL16" s="33">
        <f>COUNTIFS('來案暨出貨明細表-基因檢測(201904起'!$P:$P,"*"&amp;$A16&amp;"*",'來案暨出貨明細表-基因檢測(201904起'!$B:$B,BL$1)*$B16+COUNTIFS('來案暨出貨明細表-基因檢測(201904起'!$P:$P,"*"&amp;$A16&amp;"*",'來案暨出貨明細表-基因檢測(201904起'!$B:$B,BL$1,'來案暨出貨明細表-基因檢測(201904起'!$Q:$Q,"紙本&amp;電子")++COUNTIFS('來案暨出貨明細表-基因檢測(201904起'!$P:$P,"*"&amp;$A16&amp;"*",'來案暨出貨明細表-基因檢測(201904起'!$B:$B,BL$1,'來案暨出貨明細表-基因檢測(201904起'!$R:$R,"中英")</f>
        <v>0</v>
      </c>
      <c r="BM16" s="33">
        <f>COUNTIFS('來案暨出貨明細表-基因檢測(201904起'!$P:$P,"*"&amp;$A16&amp;"*",'來案暨出貨明細表-基因檢測(201904起'!$B:$B,BM$1)*$B16+COUNTIFS('來案暨出貨明細表-基因檢測(201904起'!$P:$P,"*"&amp;$A16&amp;"*",'來案暨出貨明細表-基因檢測(201904起'!$B:$B,BM$1,'來案暨出貨明細表-基因檢測(201904起'!$Q:$Q,"紙本&amp;電子")++COUNTIFS('來案暨出貨明細表-基因檢測(201904起'!$P:$P,"*"&amp;$A16&amp;"*",'來案暨出貨明細表-基因檢測(201904起'!$B:$B,BM$1,'來案暨出貨明細表-基因檢測(201904起'!$R:$R,"中英")</f>
        <v>0</v>
      </c>
    </row>
    <row r="17" spans="1:65" ht="15" customHeight="1">
      <c r="A17" s="9" t="s">
        <v>4513</v>
      </c>
      <c r="B17" s="9">
        <v>1</v>
      </c>
      <c r="C17" s="13" t="s">
        <v>4514</v>
      </c>
      <c r="D17" s="142" t="s">
        <v>4515</v>
      </c>
      <c r="E17" s="33">
        <f>COUNTIFS('來案暨出貨明細表-基因檢測(201904起'!$P:$P,"*"&amp;$A17&amp;"*",'來案暨出貨明細表-基因檢測(201904起'!$B:$B,E$1)*$B17+COUNTIFS('來案暨出貨明細表-基因檢測(201904起'!$P:$P,"*"&amp;$A17&amp;"*",'來案暨出貨明細表-基因檢測(201904起'!$B:$B,E$1,'來案暨出貨明細表-基因檢測(201904起'!$Q:$Q,"紙本&amp;電子")++COUNTIFS('來案暨出貨明細表-基因檢測(201904起'!$P:$P,"*"&amp;$A17&amp;"*",'來案暨出貨明細表-基因檢測(201904起'!$B:$B,E$1,'來案暨出貨明細表-基因檢測(201904起'!$R:$R,"中英")</f>
        <v>0</v>
      </c>
      <c r="F17" s="33">
        <f>COUNTIFS('來案暨出貨明細表-基因檢測(201904起'!$P:$P,"*"&amp;$A17&amp;"*",'來案暨出貨明細表-基因檢測(201904起'!$B:$B,F$1)*$B17+COUNTIFS('來案暨出貨明細表-基因檢測(201904起'!$P:$P,"*"&amp;$A17&amp;"*",'來案暨出貨明細表-基因檢測(201904起'!$B:$B,F$1,'來案暨出貨明細表-基因檢測(201904起'!$Q:$Q,"紙本&amp;電子")++COUNTIFS('來案暨出貨明細表-基因檢測(201904起'!$P:$P,"*"&amp;$A17&amp;"*",'來案暨出貨明細表-基因檢測(201904起'!$B:$B,F$1,'來案暨出貨明細表-基因檢測(201904起'!$R:$R,"中英")</f>
        <v>0</v>
      </c>
      <c r="G17" s="33">
        <f>COUNTIFS('來案暨出貨明細表-基因檢測(201904起'!$P:$P,"*"&amp;$A17&amp;"*",'來案暨出貨明細表-基因檢測(201904起'!$B:$B,G$1)*$B17+COUNTIFS('來案暨出貨明細表-基因檢測(201904起'!$P:$P,"*"&amp;$A17&amp;"*",'來案暨出貨明細表-基因檢測(201904起'!$B:$B,G$1,'來案暨出貨明細表-基因檢測(201904起'!$Q:$Q,"紙本&amp;電子")++COUNTIFS('來案暨出貨明細表-基因檢測(201904起'!$P:$P,"*"&amp;$A17&amp;"*",'來案暨出貨明細表-基因檢測(201904起'!$B:$B,G$1,'來案暨出貨明細表-基因檢測(201904起'!$R:$R,"中英")</f>
        <v>0</v>
      </c>
      <c r="H17" s="33">
        <f>COUNTIFS('來案暨出貨明細表-基因檢測(201904起'!$P:$P,"*"&amp;$A17&amp;"*",'來案暨出貨明細表-基因檢測(201904起'!$B:$B,H$1)*$B17+COUNTIFS('來案暨出貨明細表-基因檢測(201904起'!$P:$P,"*"&amp;$A17&amp;"*",'來案暨出貨明細表-基因檢測(201904起'!$B:$B,H$1,'來案暨出貨明細表-基因檢測(201904起'!$Q:$Q,"紙本&amp;電子")++COUNTIFS('來案暨出貨明細表-基因檢測(201904起'!$P:$P,"*"&amp;$A17&amp;"*",'來案暨出貨明細表-基因檢測(201904起'!$B:$B,H$1,'來案暨出貨明細表-基因檢測(201904起'!$R:$R,"中英")</f>
        <v>0</v>
      </c>
      <c r="I17" s="33">
        <f>COUNTIFS('來案暨出貨明細表-基因檢測(201904起'!$P:$P,"*"&amp;$A17&amp;"*",'來案暨出貨明細表-基因檢測(201904起'!$B:$B,I$1)*$B17+COUNTIFS('來案暨出貨明細表-基因檢測(201904起'!$P:$P,"*"&amp;$A17&amp;"*",'來案暨出貨明細表-基因檢測(201904起'!$B:$B,I$1,'來案暨出貨明細表-基因檢測(201904起'!$Q:$Q,"紙本&amp;電子")++COUNTIFS('來案暨出貨明細表-基因檢測(201904起'!$P:$P,"*"&amp;$A17&amp;"*",'來案暨出貨明細表-基因檢測(201904起'!$B:$B,I$1,'來案暨出貨明細表-基因檢測(201904起'!$R:$R,"中英")</f>
        <v>0</v>
      </c>
      <c r="J17" s="33">
        <f>COUNTIFS('來案暨出貨明細表-基因檢測(201904起'!$P:$P,"*"&amp;$A17&amp;"*",'來案暨出貨明細表-基因檢測(201904起'!$B:$B,J$1)*$B17+COUNTIFS('來案暨出貨明細表-基因檢測(201904起'!$P:$P,"*"&amp;$A17&amp;"*",'來案暨出貨明細表-基因檢測(201904起'!$B:$B,J$1,'來案暨出貨明細表-基因檢測(201904起'!$Q:$Q,"紙本&amp;電子")++COUNTIFS('來案暨出貨明細表-基因檢測(201904起'!$P:$P,"*"&amp;$A17&amp;"*",'來案暨出貨明細表-基因檢測(201904起'!$B:$B,J$1,'來案暨出貨明細表-基因檢測(201904起'!$R:$R,"中英")</f>
        <v>0</v>
      </c>
      <c r="K17" s="33">
        <f>COUNTIFS('來案暨出貨明細表-基因檢測(201904起'!$P:$P,"*"&amp;$A17&amp;"*",'來案暨出貨明細表-基因檢測(201904起'!$B:$B,K$1)*$B17+COUNTIFS('來案暨出貨明細表-基因檢測(201904起'!$P:$P,"*"&amp;$A17&amp;"*",'來案暨出貨明細表-基因檢測(201904起'!$B:$B,K$1,'來案暨出貨明細表-基因檢測(201904起'!$Q:$Q,"紙本&amp;電子")++COUNTIFS('來案暨出貨明細表-基因檢測(201904起'!$P:$P,"*"&amp;$A17&amp;"*",'來案暨出貨明細表-基因檢測(201904起'!$B:$B,K$1,'來案暨出貨明細表-基因檢測(201904起'!$R:$R,"中英")</f>
        <v>0</v>
      </c>
      <c r="L17" s="33">
        <f>COUNTIFS('來案暨出貨明細表-基因檢測(201904起'!$P:$P,"*"&amp;$A17&amp;"*",'來案暨出貨明細表-基因檢測(201904起'!$B:$B,L$1)*$B17+COUNTIFS('來案暨出貨明細表-基因檢測(201904起'!$P:$P,"*"&amp;$A17&amp;"*",'來案暨出貨明細表-基因檢測(201904起'!$B:$B,L$1,'來案暨出貨明細表-基因檢測(201904起'!$Q:$Q,"紙本&amp;電子")++COUNTIFS('來案暨出貨明細表-基因檢測(201904起'!$P:$P,"*"&amp;$A17&amp;"*",'來案暨出貨明細表-基因檢測(201904起'!$B:$B,L$1,'來案暨出貨明細表-基因檢測(201904起'!$R:$R,"中英")</f>
        <v>0</v>
      </c>
      <c r="M17" s="33">
        <f>COUNTIFS('來案暨出貨明細表-基因檢測(201904起'!$P:$P,"*"&amp;$A17&amp;"*",'來案暨出貨明細表-基因檢測(201904起'!$B:$B,M$1)*$B17+COUNTIFS('來案暨出貨明細表-基因檢測(201904起'!$P:$P,"*"&amp;$A17&amp;"*",'來案暨出貨明細表-基因檢測(201904起'!$B:$B,M$1,'來案暨出貨明細表-基因檢測(201904起'!$Q:$Q,"紙本&amp;電子")++COUNTIFS('來案暨出貨明細表-基因檢測(201904起'!$P:$P,"*"&amp;$A17&amp;"*",'來案暨出貨明細表-基因檢測(201904起'!$B:$B,M$1,'來案暨出貨明細表-基因檢測(201904起'!$R:$R,"中英")</f>
        <v>0</v>
      </c>
      <c r="N17" s="33">
        <f>COUNTIFS('來案暨出貨明細表-基因檢測(201904起'!$P:$P,"*"&amp;$A17&amp;"*",'來案暨出貨明細表-基因檢測(201904起'!$B:$B,N$1)*$B17+COUNTIFS('來案暨出貨明細表-基因檢測(201904起'!$P:$P,"*"&amp;$A17&amp;"*",'來案暨出貨明細表-基因檢測(201904起'!$B:$B,N$1,'來案暨出貨明細表-基因檢測(201904起'!$Q:$Q,"紙本&amp;電子")++COUNTIFS('來案暨出貨明細表-基因檢測(201904起'!$P:$P,"*"&amp;$A17&amp;"*",'來案暨出貨明細表-基因檢測(201904起'!$B:$B,N$1,'來案暨出貨明細表-基因檢測(201904起'!$R:$R,"中英")</f>
        <v>0</v>
      </c>
      <c r="O17" s="33">
        <f>COUNTIFS('來案暨出貨明細表-基因檢測(201904起'!$P:$P,"*"&amp;$A17&amp;"*",'來案暨出貨明細表-基因檢測(201904起'!$B:$B,O$1)*$B17+COUNTIFS('來案暨出貨明細表-基因檢測(201904起'!$P:$P,"*"&amp;$A17&amp;"*",'來案暨出貨明細表-基因檢測(201904起'!$B:$B,O$1,'來案暨出貨明細表-基因檢測(201904起'!$Q:$Q,"紙本&amp;電子")++COUNTIFS('來案暨出貨明細表-基因檢測(201904起'!$P:$P,"*"&amp;$A17&amp;"*",'來案暨出貨明細表-基因檢測(201904起'!$B:$B,O$1,'來案暨出貨明細表-基因檢測(201904起'!$R:$R,"中英")</f>
        <v>0</v>
      </c>
      <c r="P17" s="33">
        <f>COUNTIFS('來案暨出貨明細表-基因檢測(201904起'!$P:$P,"*"&amp;$A17&amp;"*",'來案暨出貨明細表-基因檢測(201904起'!$B:$B,P$1)*$B17+COUNTIFS('來案暨出貨明細表-基因檢測(201904起'!$P:$P,"*"&amp;$A17&amp;"*",'來案暨出貨明細表-基因檢測(201904起'!$B:$B,P$1,'來案暨出貨明細表-基因檢測(201904起'!$Q:$Q,"紙本&amp;電子")++COUNTIFS('來案暨出貨明細表-基因檢測(201904起'!$P:$P,"*"&amp;$A17&amp;"*",'來案暨出貨明細表-基因檢測(201904起'!$B:$B,P$1,'來案暨出貨明細表-基因檢測(201904起'!$R:$R,"中英")</f>
        <v>0</v>
      </c>
      <c r="Q17" s="33">
        <f>COUNTIFS('來案暨出貨明細表-基因檢測(201904起'!$P:$P,"*"&amp;$A17&amp;"*",'來案暨出貨明細表-基因檢測(201904起'!$B:$B,Q$1)*$B17+COUNTIFS('來案暨出貨明細表-基因檢測(201904起'!$P:$P,"*"&amp;$A17&amp;"*",'來案暨出貨明細表-基因檢測(201904起'!$B:$B,Q$1,'來案暨出貨明細表-基因檢測(201904起'!$Q:$Q,"紙本&amp;電子")++COUNTIFS('來案暨出貨明細表-基因檢測(201904起'!$P:$P,"*"&amp;$A17&amp;"*",'來案暨出貨明細表-基因檢測(201904起'!$B:$B,Q$1,'來案暨出貨明細表-基因檢測(201904起'!$R:$R,"中英")</f>
        <v>0</v>
      </c>
      <c r="R17" s="33">
        <f>COUNTIFS('來案暨出貨明細表-基因檢測(201904起'!$P:$P,"*"&amp;$A17&amp;"*",'來案暨出貨明細表-基因檢測(201904起'!$B:$B,R$1)*$B17+COUNTIFS('來案暨出貨明細表-基因檢測(201904起'!$P:$P,"*"&amp;$A17&amp;"*",'來案暨出貨明細表-基因檢測(201904起'!$B:$B,R$1,'來案暨出貨明細表-基因檢測(201904起'!$Q:$Q,"紙本&amp;電子")++COUNTIFS('來案暨出貨明細表-基因檢測(201904起'!$P:$P,"*"&amp;$A17&amp;"*",'來案暨出貨明細表-基因檢測(201904起'!$B:$B,R$1,'來案暨出貨明細表-基因檢測(201904起'!$R:$R,"中英")</f>
        <v>0</v>
      </c>
      <c r="S17" s="33">
        <f>COUNTIFS('來案暨出貨明細表-基因檢測(201904起'!$P:$P,"*"&amp;$A17&amp;"*",'來案暨出貨明細表-基因檢測(201904起'!$B:$B,S$1)*$B17+COUNTIFS('來案暨出貨明細表-基因檢測(201904起'!$P:$P,"*"&amp;$A17&amp;"*",'來案暨出貨明細表-基因檢測(201904起'!$B:$B,S$1,'來案暨出貨明細表-基因檢測(201904起'!$Q:$Q,"紙本&amp;電子")++COUNTIFS('來案暨出貨明細表-基因檢測(201904起'!$P:$P,"*"&amp;$A17&amp;"*",'來案暨出貨明細表-基因檢測(201904起'!$B:$B,S$1,'來案暨出貨明細表-基因檢測(201904起'!$R:$R,"中英")</f>
        <v>0</v>
      </c>
      <c r="T17" s="33">
        <f>COUNTIFS('來案暨出貨明細表-基因檢測(201904起'!$P:$P,"*"&amp;$A17&amp;"*",'來案暨出貨明細表-基因檢測(201904起'!$B:$B,T$1)*$B17+COUNTIFS('來案暨出貨明細表-基因檢測(201904起'!$P:$P,"*"&amp;$A17&amp;"*",'來案暨出貨明細表-基因檢測(201904起'!$B:$B,T$1,'來案暨出貨明細表-基因檢測(201904起'!$Q:$Q,"紙本&amp;電子")++COUNTIFS('來案暨出貨明細表-基因檢測(201904起'!$P:$P,"*"&amp;$A17&amp;"*",'來案暨出貨明細表-基因檢測(201904起'!$B:$B,T$1,'來案暨出貨明細表-基因檢測(201904起'!$R:$R,"中英")</f>
        <v>0</v>
      </c>
      <c r="U17" s="33">
        <f>COUNTIFS('來案暨出貨明細表-基因檢測(201904起'!$P:$P,"*"&amp;$A17&amp;"*",'來案暨出貨明細表-基因檢測(201904起'!$B:$B,U$1)*$B17+COUNTIFS('來案暨出貨明細表-基因檢測(201904起'!$P:$P,"*"&amp;$A17&amp;"*",'來案暨出貨明細表-基因檢測(201904起'!$B:$B,U$1,'來案暨出貨明細表-基因檢測(201904起'!$Q:$Q,"紙本&amp;電子")++COUNTIFS('來案暨出貨明細表-基因檢測(201904起'!$P:$P,"*"&amp;$A17&amp;"*",'來案暨出貨明細表-基因檢測(201904起'!$B:$B,U$1,'來案暨出貨明細表-基因檢測(201904起'!$R:$R,"中英")</f>
        <v>0</v>
      </c>
      <c r="V17" s="33">
        <f>COUNTIFS('來案暨出貨明細表-基因檢測(201904起'!$P:$P,"*"&amp;$A17&amp;"*",'來案暨出貨明細表-基因檢測(201904起'!$B:$B,V$1)*$B17+COUNTIFS('來案暨出貨明細表-基因檢測(201904起'!$P:$P,"*"&amp;$A17&amp;"*",'來案暨出貨明細表-基因檢測(201904起'!$B:$B,V$1,'來案暨出貨明細表-基因檢測(201904起'!$Q:$Q,"紙本&amp;電子")++COUNTIFS('來案暨出貨明細表-基因檢測(201904起'!$P:$P,"*"&amp;$A17&amp;"*",'來案暨出貨明細表-基因檢測(201904起'!$B:$B,V$1,'來案暨出貨明細表-基因檢測(201904起'!$R:$R,"中英")</f>
        <v>0</v>
      </c>
      <c r="W17" s="33">
        <f>COUNTIFS('來案暨出貨明細表-基因檢測(201904起'!$P:$P,"*"&amp;$A17&amp;"*",'來案暨出貨明細表-基因檢測(201904起'!$B:$B,W$1)*$B17+COUNTIFS('來案暨出貨明細表-基因檢測(201904起'!$P:$P,"*"&amp;$A17&amp;"*",'來案暨出貨明細表-基因檢測(201904起'!$B:$B,W$1,'來案暨出貨明細表-基因檢測(201904起'!$Q:$Q,"紙本&amp;電子")++COUNTIFS('來案暨出貨明細表-基因檢測(201904起'!$P:$P,"*"&amp;$A17&amp;"*",'來案暨出貨明細表-基因檢測(201904起'!$B:$B,W$1,'來案暨出貨明細表-基因檢測(201904起'!$R:$R,"中英")</f>
        <v>0</v>
      </c>
      <c r="X17" s="33">
        <f>COUNTIFS('來案暨出貨明細表-基因檢測(201904起'!$P:$P,"*"&amp;$A17&amp;"*",'來案暨出貨明細表-基因檢測(201904起'!$B:$B,X$1)*$B17+COUNTIFS('來案暨出貨明細表-基因檢測(201904起'!$P:$P,"*"&amp;$A17&amp;"*",'來案暨出貨明細表-基因檢測(201904起'!$B:$B,X$1,'來案暨出貨明細表-基因檢測(201904起'!$Q:$Q,"紙本&amp;電子")++COUNTIFS('來案暨出貨明細表-基因檢測(201904起'!$P:$P,"*"&amp;$A17&amp;"*",'來案暨出貨明細表-基因檢測(201904起'!$B:$B,X$1,'來案暨出貨明細表-基因檢測(201904起'!$R:$R,"中英")</f>
        <v>0</v>
      </c>
      <c r="Y17" s="33">
        <f>COUNTIFS('來案暨出貨明細表-基因檢測(201904起'!$P:$P,"*"&amp;$A17&amp;"*",'來案暨出貨明細表-基因檢測(201904起'!$B:$B,Y$1)*$B17+COUNTIFS('來案暨出貨明細表-基因檢測(201904起'!$P:$P,"*"&amp;$A17&amp;"*",'來案暨出貨明細表-基因檢測(201904起'!$B:$B,Y$1,'來案暨出貨明細表-基因檢測(201904起'!$Q:$Q,"紙本&amp;電子")++COUNTIFS('來案暨出貨明細表-基因檢測(201904起'!$P:$P,"*"&amp;$A17&amp;"*",'來案暨出貨明細表-基因檢測(201904起'!$B:$B,Y$1,'來案暨出貨明細表-基因檢測(201904起'!$R:$R,"中英")</f>
        <v>0</v>
      </c>
      <c r="Z17" s="33">
        <f>COUNTIFS('來案暨出貨明細表-基因檢測(201904起'!$P:$P,"*"&amp;$A17&amp;"*",'來案暨出貨明細表-基因檢測(201904起'!$B:$B,Z$1)*$B17+COUNTIFS('來案暨出貨明細表-基因檢測(201904起'!$P:$P,"*"&amp;$A17&amp;"*",'來案暨出貨明細表-基因檢測(201904起'!$B:$B,Z$1,'來案暨出貨明細表-基因檢測(201904起'!$Q:$Q,"紙本&amp;電子")++COUNTIFS('來案暨出貨明細表-基因檢測(201904起'!$P:$P,"*"&amp;$A17&amp;"*",'來案暨出貨明細表-基因檢測(201904起'!$B:$B,Z$1,'來案暨出貨明細表-基因檢測(201904起'!$R:$R,"中英")</f>
        <v>0</v>
      </c>
      <c r="AA17" s="33">
        <f>COUNTIFS('來案暨出貨明細表-基因檢測(201904起'!$P:$P,"*"&amp;$A17&amp;"*",'來案暨出貨明細表-基因檢測(201904起'!$B:$B,AA$1)*$B17+COUNTIFS('來案暨出貨明細表-基因檢測(201904起'!$P:$P,"*"&amp;$A17&amp;"*",'來案暨出貨明細表-基因檢測(201904起'!$B:$B,AA$1,'來案暨出貨明細表-基因檢測(201904起'!$Q:$Q,"紙本&amp;電子")++COUNTIFS('來案暨出貨明細表-基因檢測(201904起'!$P:$P,"*"&amp;$A17&amp;"*",'來案暨出貨明細表-基因檢測(201904起'!$B:$B,AA$1,'來案暨出貨明細表-基因檢測(201904起'!$R:$R,"中英")</f>
        <v>0</v>
      </c>
      <c r="AB17" s="33">
        <f>COUNTIFS('來案暨出貨明細表-基因檢測(201904起'!$P:$P,"*"&amp;$A17&amp;"*",'來案暨出貨明細表-基因檢測(201904起'!$B:$B,AB$1)*$B17+COUNTIFS('來案暨出貨明細表-基因檢測(201904起'!$P:$P,"*"&amp;$A17&amp;"*",'來案暨出貨明細表-基因檢測(201904起'!$B:$B,AB$1,'來案暨出貨明細表-基因檢測(201904起'!$Q:$Q,"紙本&amp;電子")++COUNTIFS('來案暨出貨明細表-基因檢測(201904起'!$P:$P,"*"&amp;$A17&amp;"*",'來案暨出貨明細表-基因檢測(201904起'!$B:$B,AB$1,'來案暨出貨明細表-基因檢測(201904起'!$R:$R,"中英")</f>
        <v>0</v>
      </c>
      <c r="AC17" s="33">
        <f>COUNTIFS('來案暨出貨明細表-基因檢測(201904起'!$P:$P,"*"&amp;$A17&amp;"*",'來案暨出貨明細表-基因檢測(201904起'!$B:$B,AC$1)*$B17+COUNTIFS('來案暨出貨明細表-基因檢測(201904起'!$P:$P,"*"&amp;$A17&amp;"*",'來案暨出貨明細表-基因檢測(201904起'!$B:$B,AC$1,'來案暨出貨明細表-基因檢測(201904起'!$Q:$Q,"紙本&amp;電子")++COUNTIFS('來案暨出貨明細表-基因檢測(201904起'!$P:$P,"*"&amp;$A17&amp;"*",'來案暨出貨明細表-基因檢測(201904起'!$B:$B,AC$1,'來案暨出貨明細表-基因檢測(201904起'!$R:$R,"中英")</f>
        <v>0</v>
      </c>
      <c r="AD17" s="33">
        <f>COUNTIFS('來案暨出貨明細表-基因檢測(201904起'!$P:$P,"*"&amp;$A17&amp;"*",'來案暨出貨明細表-基因檢測(201904起'!$B:$B,AD$1)*$B17+COUNTIFS('來案暨出貨明細表-基因檢測(201904起'!$P:$P,"*"&amp;$A17&amp;"*",'來案暨出貨明細表-基因檢測(201904起'!$B:$B,AD$1,'來案暨出貨明細表-基因檢測(201904起'!$Q:$Q,"紙本&amp;電子")++COUNTIFS('來案暨出貨明細表-基因檢測(201904起'!$P:$P,"*"&amp;$A17&amp;"*",'來案暨出貨明細表-基因檢測(201904起'!$B:$B,AD$1,'來案暨出貨明細表-基因檢測(201904起'!$R:$R,"中英")</f>
        <v>0</v>
      </c>
      <c r="AE17" s="33">
        <f>COUNTIFS('來案暨出貨明細表-基因檢測(201904起'!$P:$P,"*"&amp;$A17&amp;"*",'來案暨出貨明細表-基因檢測(201904起'!$B:$B,AE$1)*$B17+COUNTIFS('來案暨出貨明細表-基因檢測(201904起'!$P:$P,"*"&amp;$A17&amp;"*",'來案暨出貨明細表-基因檢測(201904起'!$B:$B,AE$1,'來案暨出貨明細表-基因檢測(201904起'!$Q:$Q,"紙本&amp;電子")++COUNTIFS('來案暨出貨明細表-基因檢測(201904起'!$P:$P,"*"&amp;$A17&amp;"*",'來案暨出貨明細表-基因檢測(201904起'!$B:$B,AE$1,'來案暨出貨明細表-基因檢測(201904起'!$R:$R,"中英")</f>
        <v>0</v>
      </c>
      <c r="AF17" s="33">
        <f>COUNTIFS('來案暨出貨明細表-基因檢測(201904起'!$P:$P,"*"&amp;$A17&amp;"*",'來案暨出貨明細表-基因檢測(201904起'!$B:$B,AF$1)*$B17+COUNTIFS('來案暨出貨明細表-基因檢測(201904起'!$P:$P,"*"&amp;$A17&amp;"*",'來案暨出貨明細表-基因檢測(201904起'!$B:$B,AF$1,'來案暨出貨明細表-基因檢測(201904起'!$Q:$Q,"紙本&amp;電子")++COUNTIFS('來案暨出貨明細表-基因檢測(201904起'!$P:$P,"*"&amp;$A17&amp;"*",'來案暨出貨明細表-基因檢測(201904起'!$B:$B,AF$1,'來案暨出貨明細表-基因檢測(201904起'!$R:$R,"中英")</f>
        <v>0</v>
      </c>
      <c r="AG17" s="33">
        <f>COUNTIFS('來案暨出貨明細表-基因檢測(201904起'!$P:$P,"*"&amp;$A17&amp;"*",'來案暨出貨明細表-基因檢測(201904起'!$B:$B,AG$1)*$B17+COUNTIFS('來案暨出貨明細表-基因檢測(201904起'!$P:$P,"*"&amp;$A17&amp;"*",'來案暨出貨明細表-基因檢測(201904起'!$B:$B,AG$1,'來案暨出貨明細表-基因檢測(201904起'!$Q:$Q,"紙本&amp;電子")++COUNTIFS('來案暨出貨明細表-基因檢測(201904起'!$P:$P,"*"&amp;$A17&amp;"*",'來案暨出貨明細表-基因檢測(201904起'!$B:$B,AG$1,'來案暨出貨明細表-基因檢測(201904起'!$R:$R,"中英")</f>
        <v>0</v>
      </c>
      <c r="AH17" s="33">
        <f>COUNTIFS('來案暨出貨明細表-基因檢測(201904起'!$P:$P,"*"&amp;$A17&amp;"*",'來案暨出貨明細表-基因檢測(201904起'!$B:$B,AH$1)*$B17+COUNTIFS('來案暨出貨明細表-基因檢測(201904起'!$P:$P,"*"&amp;$A17&amp;"*",'來案暨出貨明細表-基因檢測(201904起'!$B:$B,AH$1,'來案暨出貨明細表-基因檢測(201904起'!$Q:$Q,"紙本&amp;電子")++COUNTIFS('來案暨出貨明細表-基因檢測(201904起'!$P:$P,"*"&amp;$A17&amp;"*",'來案暨出貨明細表-基因檢測(201904起'!$B:$B,AH$1,'來案暨出貨明細表-基因檢測(201904起'!$R:$R,"中英")</f>
        <v>0</v>
      </c>
      <c r="AI17" s="33">
        <f>COUNTIFS('來案暨出貨明細表-基因檢測(201904起'!$P:$P,"*"&amp;$A17&amp;"*",'來案暨出貨明細表-基因檢測(201904起'!$B:$B,AI$1)*$B17+COUNTIFS('來案暨出貨明細表-基因檢測(201904起'!$P:$P,"*"&amp;$A17&amp;"*",'來案暨出貨明細表-基因檢測(201904起'!$B:$B,AI$1,'來案暨出貨明細表-基因檢測(201904起'!$Q:$Q,"紙本&amp;電子")++COUNTIFS('來案暨出貨明細表-基因檢測(201904起'!$P:$P,"*"&amp;$A17&amp;"*",'來案暨出貨明細表-基因檢測(201904起'!$B:$B,AI$1,'來案暨出貨明細表-基因檢測(201904起'!$R:$R,"中英")</f>
        <v>0</v>
      </c>
      <c r="AJ17" s="33">
        <f>COUNTIFS('來案暨出貨明細表-基因檢測(201904起'!$P:$P,"*"&amp;$A17&amp;"*",'來案暨出貨明細表-基因檢測(201904起'!$B:$B,AJ$1)*$B17+COUNTIFS('來案暨出貨明細表-基因檢測(201904起'!$P:$P,"*"&amp;$A17&amp;"*",'來案暨出貨明細表-基因檢測(201904起'!$B:$B,AJ$1,'來案暨出貨明細表-基因檢測(201904起'!$Q:$Q,"紙本&amp;電子")++COUNTIFS('來案暨出貨明細表-基因檢測(201904起'!$P:$P,"*"&amp;$A17&amp;"*",'來案暨出貨明細表-基因檢測(201904起'!$B:$B,AJ$1,'來案暨出貨明細表-基因檢測(201904起'!$R:$R,"中英")</f>
        <v>0</v>
      </c>
      <c r="AK17" s="33">
        <f>COUNTIFS('來案暨出貨明細表-基因檢測(201904起'!$P:$P,"*"&amp;$A17&amp;"*",'來案暨出貨明細表-基因檢測(201904起'!$B:$B,AK$1)*$B17+COUNTIFS('來案暨出貨明細表-基因檢測(201904起'!$P:$P,"*"&amp;$A17&amp;"*",'來案暨出貨明細表-基因檢測(201904起'!$B:$B,AK$1,'來案暨出貨明細表-基因檢測(201904起'!$Q:$Q,"紙本&amp;電子")++COUNTIFS('來案暨出貨明細表-基因檢測(201904起'!$P:$P,"*"&amp;$A17&amp;"*",'來案暨出貨明細表-基因檢測(201904起'!$B:$B,AK$1,'來案暨出貨明細表-基因檢測(201904起'!$R:$R,"中英")</f>
        <v>0</v>
      </c>
      <c r="AL17" s="33">
        <f>COUNTIFS('來案暨出貨明細表-基因檢測(201904起'!$P:$P,"*"&amp;$A17&amp;"*",'來案暨出貨明細表-基因檢測(201904起'!$B:$B,AL$1)*$B17+COUNTIFS('來案暨出貨明細表-基因檢測(201904起'!$P:$P,"*"&amp;$A17&amp;"*",'來案暨出貨明細表-基因檢測(201904起'!$B:$B,AL$1,'來案暨出貨明細表-基因檢測(201904起'!$Q:$Q,"紙本&amp;電子")++COUNTIFS('來案暨出貨明細表-基因檢測(201904起'!$P:$P,"*"&amp;$A17&amp;"*",'來案暨出貨明細表-基因檢測(201904起'!$B:$B,AL$1,'來案暨出貨明細表-基因檢測(201904起'!$R:$R,"中英")</f>
        <v>0</v>
      </c>
      <c r="AM17" s="33">
        <f>COUNTIFS('來案暨出貨明細表-基因檢測(201904起'!$P:$P,"*"&amp;$A17&amp;"*",'來案暨出貨明細表-基因檢測(201904起'!$B:$B,AM$1)*$B17+COUNTIFS('來案暨出貨明細表-基因檢測(201904起'!$P:$P,"*"&amp;$A17&amp;"*",'來案暨出貨明細表-基因檢測(201904起'!$B:$B,AM$1,'來案暨出貨明細表-基因檢測(201904起'!$Q:$Q,"紙本&amp;電子")++COUNTIFS('來案暨出貨明細表-基因檢測(201904起'!$P:$P,"*"&amp;$A17&amp;"*",'來案暨出貨明細表-基因檢測(201904起'!$B:$B,AM$1,'來案暨出貨明細表-基因檢測(201904起'!$R:$R,"中英")</f>
        <v>0</v>
      </c>
      <c r="AN17" s="33">
        <f>COUNTIFS('來案暨出貨明細表-基因檢測(201904起'!$P:$P,"*"&amp;$A17&amp;"*",'來案暨出貨明細表-基因檢測(201904起'!$B:$B,AN$1)*$B17+COUNTIFS('來案暨出貨明細表-基因檢測(201904起'!$P:$P,"*"&amp;$A17&amp;"*",'來案暨出貨明細表-基因檢測(201904起'!$B:$B,AN$1,'來案暨出貨明細表-基因檢測(201904起'!$Q:$Q,"紙本&amp;電子")++COUNTIFS('來案暨出貨明細表-基因檢測(201904起'!$P:$P,"*"&amp;$A17&amp;"*",'來案暨出貨明細表-基因檢測(201904起'!$B:$B,AN$1,'來案暨出貨明細表-基因檢測(201904起'!$R:$R,"中英")</f>
        <v>0</v>
      </c>
      <c r="AO17" s="33">
        <f>COUNTIFS('來案暨出貨明細表-基因檢測(201904起'!$P:$P,"*"&amp;$A17&amp;"*",'來案暨出貨明細表-基因檢測(201904起'!$B:$B,AO$1)*$B17+COUNTIFS('來案暨出貨明細表-基因檢測(201904起'!$P:$P,"*"&amp;$A17&amp;"*",'來案暨出貨明細表-基因檢測(201904起'!$B:$B,AO$1,'來案暨出貨明細表-基因檢測(201904起'!$Q:$Q,"紙本&amp;電子")++COUNTIFS('來案暨出貨明細表-基因檢測(201904起'!$P:$P,"*"&amp;$A17&amp;"*",'來案暨出貨明細表-基因檢測(201904起'!$B:$B,AO$1,'來案暨出貨明細表-基因檢測(201904起'!$R:$R,"中英")</f>
        <v>0</v>
      </c>
      <c r="AP17" s="33">
        <f>COUNTIFS('來案暨出貨明細表-基因檢測(201904起'!$P:$P,"*"&amp;$A17&amp;"*",'來案暨出貨明細表-基因檢測(201904起'!$B:$B,AP$1)*$B17+COUNTIFS('來案暨出貨明細表-基因檢測(201904起'!$P:$P,"*"&amp;$A17&amp;"*",'來案暨出貨明細表-基因檢測(201904起'!$B:$B,AP$1,'來案暨出貨明細表-基因檢測(201904起'!$Q:$Q,"紙本&amp;電子")++COUNTIFS('來案暨出貨明細表-基因檢測(201904起'!$P:$P,"*"&amp;$A17&amp;"*",'來案暨出貨明細表-基因檢測(201904起'!$B:$B,AP$1,'來案暨出貨明細表-基因檢測(201904起'!$R:$R,"中英")</f>
        <v>0</v>
      </c>
      <c r="AQ17" s="33">
        <f>COUNTIFS('來案暨出貨明細表-基因檢測(201904起'!$P:$P,"*"&amp;$A17&amp;"*",'來案暨出貨明細表-基因檢測(201904起'!$B:$B,AQ$1)*$B17+COUNTIFS('來案暨出貨明細表-基因檢測(201904起'!$P:$P,"*"&amp;$A17&amp;"*",'來案暨出貨明細表-基因檢測(201904起'!$B:$B,AQ$1,'來案暨出貨明細表-基因檢測(201904起'!$Q:$Q,"紙本&amp;電子")++COUNTIFS('來案暨出貨明細表-基因檢測(201904起'!$P:$P,"*"&amp;$A17&amp;"*",'來案暨出貨明細表-基因檢測(201904起'!$B:$B,AQ$1,'來案暨出貨明細表-基因檢測(201904起'!$R:$R,"中英")</f>
        <v>0</v>
      </c>
      <c r="AR17" s="33">
        <f>COUNTIFS('來案暨出貨明細表-基因檢測(201904起'!$P:$P,"*"&amp;$A17&amp;"*",'來案暨出貨明細表-基因檢測(201904起'!$B:$B,AR$1)*$B17+COUNTIFS('來案暨出貨明細表-基因檢測(201904起'!$P:$P,"*"&amp;$A17&amp;"*",'來案暨出貨明細表-基因檢測(201904起'!$B:$B,AR$1,'來案暨出貨明細表-基因檢測(201904起'!$Q:$Q,"紙本&amp;電子")++COUNTIFS('來案暨出貨明細表-基因檢測(201904起'!$P:$P,"*"&amp;$A17&amp;"*",'來案暨出貨明細表-基因檢測(201904起'!$B:$B,AR$1,'來案暨出貨明細表-基因檢測(201904起'!$R:$R,"中英")</f>
        <v>0</v>
      </c>
      <c r="AS17" s="33">
        <f>COUNTIFS('來案暨出貨明細表-基因檢測(201904起'!$P:$P,"*"&amp;$A17&amp;"*",'來案暨出貨明細表-基因檢測(201904起'!$B:$B,AS$1)*$B17+COUNTIFS('來案暨出貨明細表-基因檢測(201904起'!$P:$P,"*"&amp;$A17&amp;"*",'來案暨出貨明細表-基因檢測(201904起'!$B:$B,AS$1,'來案暨出貨明細表-基因檢測(201904起'!$Q:$Q,"紙本&amp;電子")++COUNTIFS('來案暨出貨明細表-基因檢測(201904起'!$P:$P,"*"&amp;$A17&amp;"*",'來案暨出貨明細表-基因檢測(201904起'!$B:$B,AS$1,'來案暨出貨明細表-基因檢測(201904起'!$R:$R,"中英")</f>
        <v>0</v>
      </c>
      <c r="AT17" s="33">
        <f>COUNTIFS('來案暨出貨明細表-基因檢測(201904起'!$P:$P,"*"&amp;$A17&amp;"*",'來案暨出貨明細表-基因檢測(201904起'!$B:$B,AT$1)*$B17+COUNTIFS('來案暨出貨明細表-基因檢測(201904起'!$P:$P,"*"&amp;$A17&amp;"*",'來案暨出貨明細表-基因檢測(201904起'!$B:$B,AT$1,'來案暨出貨明細表-基因檢測(201904起'!$Q:$Q,"紙本&amp;電子")++COUNTIFS('來案暨出貨明細表-基因檢測(201904起'!$P:$P,"*"&amp;$A17&amp;"*",'來案暨出貨明細表-基因檢測(201904起'!$B:$B,AT$1,'來案暨出貨明細表-基因檢測(201904起'!$R:$R,"中英")</f>
        <v>0</v>
      </c>
      <c r="AU17" s="33">
        <f>COUNTIFS('來案暨出貨明細表-基因檢測(201904起'!$P:$P,"*"&amp;$A17&amp;"*",'來案暨出貨明細表-基因檢測(201904起'!$B:$B,AU$1)*$B17+COUNTIFS('來案暨出貨明細表-基因檢測(201904起'!$P:$P,"*"&amp;$A17&amp;"*",'來案暨出貨明細表-基因檢測(201904起'!$B:$B,AU$1,'來案暨出貨明細表-基因檢測(201904起'!$Q:$Q,"紙本&amp;電子")++COUNTIFS('來案暨出貨明細表-基因檢測(201904起'!$P:$P,"*"&amp;$A17&amp;"*",'來案暨出貨明細表-基因檢測(201904起'!$B:$B,AU$1,'來案暨出貨明細表-基因檢測(201904起'!$R:$R,"中英")</f>
        <v>0</v>
      </c>
      <c r="AV17" s="33">
        <f>COUNTIFS('來案暨出貨明細表-基因檢測(201904起'!$P:$P,"*"&amp;$A17&amp;"*",'來案暨出貨明細表-基因檢測(201904起'!$B:$B,AV$1)*$B17+COUNTIFS('來案暨出貨明細表-基因檢測(201904起'!$P:$P,"*"&amp;$A17&amp;"*",'來案暨出貨明細表-基因檢測(201904起'!$B:$B,AV$1,'來案暨出貨明細表-基因檢測(201904起'!$Q:$Q,"紙本&amp;電子")++COUNTIFS('來案暨出貨明細表-基因檢測(201904起'!$P:$P,"*"&amp;$A17&amp;"*",'來案暨出貨明細表-基因檢測(201904起'!$B:$B,AV$1,'來案暨出貨明細表-基因檢測(201904起'!$R:$R,"中英")</f>
        <v>0</v>
      </c>
      <c r="AW17" s="33">
        <f>COUNTIFS('來案暨出貨明細表-基因檢測(201904起'!$P:$P,"*"&amp;$A17&amp;"*",'來案暨出貨明細表-基因檢測(201904起'!$B:$B,AW$1)*$B17+COUNTIFS('來案暨出貨明細表-基因檢測(201904起'!$P:$P,"*"&amp;$A17&amp;"*",'來案暨出貨明細表-基因檢測(201904起'!$B:$B,AW$1,'來案暨出貨明細表-基因檢測(201904起'!$Q:$Q,"紙本&amp;電子")++COUNTIFS('來案暨出貨明細表-基因檢測(201904起'!$P:$P,"*"&amp;$A17&amp;"*",'來案暨出貨明細表-基因檢測(201904起'!$B:$B,AW$1,'來案暨出貨明細表-基因檢測(201904起'!$R:$R,"中英")</f>
        <v>0</v>
      </c>
      <c r="AX17" s="33">
        <f>COUNTIFS('來案暨出貨明細表-基因檢測(201904起'!$P:$P,"*"&amp;$A17&amp;"*",'來案暨出貨明細表-基因檢測(201904起'!$B:$B,AX$1)*$B17+COUNTIFS('來案暨出貨明細表-基因檢測(201904起'!$P:$P,"*"&amp;$A17&amp;"*",'來案暨出貨明細表-基因檢測(201904起'!$B:$B,AX$1,'來案暨出貨明細表-基因檢測(201904起'!$Q:$Q,"紙本&amp;電子")++COUNTIFS('來案暨出貨明細表-基因檢測(201904起'!$P:$P,"*"&amp;$A17&amp;"*",'來案暨出貨明細表-基因檢測(201904起'!$B:$B,AX$1,'來案暨出貨明細表-基因檢測(201904起'!$R:$R,"中英")</f>
        <v>0</v>
      </c>
      <c r="AY17" s="33">
        <f>COUNTIFS('來案暨出貨明細表-基因檢測(201904起'!$P:$P,"*"&amp;$A17&amp;"*",'來案暨出貨明細表-基因檢測(201904起'!$B:$B,AY$1)*$B17+COUNTIFS('來案暨出貨明細表-基因檢測(201904起'!$P:$P,"*"&amp;$A17&amp;"*",'來案暨出貨明細表-基因檢測(201904起'!$B:$B,AY$1,'來案暨出貨明細表-基因檢測(201904起'!$Q:$Q,"紙本&amp;電子")++COUNTIFS('來案暨出貨明細表-基因檢測(201904起'!$P:$P,"*"&amp;$A17&amp;"*",'來案暨出貨明細表-基因檢測(201904起'!$B:$B,AY$1,'來案暨出貨明細表-基因檢測(201904起'!$R:$R,"中英")</f>
        <v>0</v>
      </c>
      <c r="AZ17" s="33">
        <f>COUNTIFS('來案暨出貨明細表-基因檢測(201904起'!$P:$P,"*"&amp;$A17&amp;"*",'來案暨出貨明細表-基因檢測(201904起'!$B:$B,AZ$1)*$B17+COUNTIFS('來案暨出貨明細表-基因檢測(201904起'!$P:$P,"*"&amp;$A17&amp;"*",'來案暨出貨明細表-基因檢測(201904起'!$B:$B,AZ$1,'來案暨出貨明細表-基因檢測(201904起'!$Q:$Q,"紙本&amp;電子")++COUNTIFS('來案暨出貨明細表-基因檢測(201904起'!$P:$P,"*"&amp;$A17&amp;"*",'來案暨出貨明細表-基因檢測(201904起'!$B:$B,AZ$1,'來案暨出貨明細表-基因檢測(201904起'!$R:$R,"中英")</f>
        <v>0</v>
      </c>
      <c r="BA17" s="33">
        <f>COUNTIFS('來案暨出貨明細表-基因檢測(201904起'!$P:$P,"*"&amp;$A17&amp;"*",'來案暨出貨明細表-基因檢測(201904起'!$B:$B,BA$1)*$B17+COUNTIFS('來案暨出貨明細表-基因檢測(201904起'!$P:$P,"*"&amp;$A17&amp;"*",'來案暨出貨明細表-基因檢測(201904起'!$B:$B,BA$1,'來案暨出貨明細表-基因檢測(201904起'!$Q:$Q,"紙本&amp;電子")++COUNTIFS('來案暨出貨明細表-基因檢測(201904起'!$P:$P,"*"&amp;$A17&amp;"*",'來案暨出貨明細表-基因檢測(201904起'!$B:$B,BA$1,'來案暨出貨明細表-基因檢測(201904起'!$R:$R,"中英")</f>
        <v>0</v>
      </c>
      <c r="BB17" s="33">
        <f>COUNTIFS('來案暨出貨明細表-基因檢測(201904起'!$P:$P,"*"&amp;$A17&amp;"*",'來案暨出貨明細表-基因檢測(201904起'!$B:$B,BB$1)*$B17+COUNTIFS('來案暨出貨明細表-基因檢測(201904起'!$P:$P,"*"&amp;$A17&amp;"*",'來案暨出貨明細表-基因檢測(201904起'!$B:$B,BB$1,'來案暨出貨明細表-基因檢測(201904起'!$Q:$Q,"紙本&amp;電子")++COUNTIFS('來案暨出貨明細表-基因檢測(201904起'!$P:$P,"*"&amp;$A17&amp;"*",'來案暨出貨明細表-基因檢測(201904起'!$B:$B,BB$1,'來案暨出貨明細表-基因檢測(201904起'!$R:$R,"中英")</f>
        <v>0</v>
      </c>
      <c r="BC17" s="33">
        <f>COUNTIFS('來案暨出貨明細表-基因檢測(201904起'!$P:$P,"*"&amp;$A17&amp;"*",'來案暨出貨明細表-基因檢測(201904起'!$B:$B,BC$1)*$B17+COUNTIFS('來案暨出貨明細表-基因檢測(201904起'!$P:$P,"*"&amp;$A17&amp;"*",'來案暨出貨明細表-基因檢測(201904起'!$B:$B,BC$1,'來案暨出貨明細表-基因檢測(201904起'!$Q:$Q,"紙本&amp;電子")++COUNTIFS('來案暨出貨明細表-基因檢測(201904起'!$P:$P,"*"&amp;$A17&amp;"*",'來案暨出貨明細表-基因檢測(201904起'!$B:$B,BC$1,'來案暨出貨明細表-基因檢測(201904起'!$R:$R,"中英")</f>
        <v>0</v>
      </c>
      <c r="BD17" s="33">
        <f>COUNTIFS('來案暨出貨明細表-基因檢測(201904起'!$P:$P,"*"&amp;$A17&amp;"*",'來案暨出貨明細表-基因檢測(201904起'!$B:$B,BD$1)*$B17+COUNTIFS('來案暨出貨明細表-基因檢測(201904起'!$P:$P,"*"&amp;$A17&amp;"*",'來案暨出貨明細表-基因檢測(201904起'!$B:$B,BD$1,'來案暨出貨明細表-基因檢測(201904起'!$Q:$Q,"紙本&amp;電子")++COUNTIFS('來案暨出貨明細表-基因檢測(201904起'!$P:$P,"*"&amp;$A17&amp;"*",'來案暨出貨明細表-基因檢測(201904起'!$B:$B,BD$1,'來案暨出貨明細表-基因檢測(201904起'!$R:$R,"中英")</f>
        <v>0</v>
      </c>
      <c r="BE17" s="33">
        <f>COUNTIFS('來案暨出貨明細表-基因檢測(201904起'!$P:$P,"*"&amp;$A17&amp;"*",'來案暨出貨明細表-基因檢測(201904起'!$B:$B,BE$1)*$B17+COUNTIFS('來案暨出貨明細表-基因檢測(201904起'!$P:$P,"*"&amp;$A17&amp;"*",'來案暨出貨明細表-基因檢測(201904起'!$B:$B,BE$1,'來案暨出貨明細表-基因檢測(201904起'!$Q:$Q,"紙本&amp;電子")++COUNTIFS('來案暨出貨明細表-基因檢測(201904起'!$P:$P,"*"&amp;$A17&amp;"*",'來案暨出貨明細表-基因檢測(201904起'!$B:$B,BE$1,'來案暨出貨明細表-基因檢測(201904起'!$R:$R,"中英")</f>
        <v>0</v>
      </c>
      <c r="BF17" s="33">
        <f>COUNTIFS('來案暨出貨明細表-基因檢測(201904起'!$P:$P,"*"&amp;$A17&amp;"*",'來案暨出貨明細表-基因檢測(201904起'!$B:$B,BF$1)*$B17+COUNTIFS('來案暨出貨明細表-基因檢測(201904起'!$P:$P,"*"&amp;$A17&amp;"*",'來案暨出貨明細表-基因檢測(201904起'!$B:$B,BF$1,'來案暨出貨明細表-基因檢測(201904起'!$Q:$Q,"紙本&amp;電子")++COUNTIFS('來案暨出貨明細表-基因檢測(201904起'!$P:$P,"*"&amp;$A17&amp;"*",'來案暨出貨明細表-基因檢測(201904起'!$B:$B,BF$1,'來案暨出貨明細表-基因檢測(201904起'!$R:$R,"中英")</f>
        <v>0</v>
      </c>
      <c r="BG17" s="33">
        <f>COUNTIFS('來案暨出貨明細表-基因檢測(201904起'!$P:$P,"*"&amp;$A17&amp;"*",'來案暨出貨明細表-基因檢測(201904起'!$B:$B,BG$1)*$B17+COUNTIFS('來案暨出貨明細表-基因檢測(201904起'!$P:$P,"*"&amp;$A17&amp;"*",'來案暨出貨明細表-基因檢測(201904起'!$B:$B,BG$1,'來案暨出貨明細表-基因檢測(201904起'!$Q:$Q,"紙本&amp;電子")++COUNTIFS('來案暨出貨明細表-基因檢測(201904起'!$P:$P,"*"&amp;$A17&amp;"*",'來案暨出貨明細表-基因檢測(201904起'!$B:$B,BG$1,'來案暨出貨明細表-基因檢測(201904起'!$R:$R,"中英")</f>
        <v>0</v>
      </c>
      <c r="BH17" s="33">
        <f>COUNTIFS('來案暨出貨明細表-基因檢測(201904起'!$P:$P,"*"&amp;$A17&amp;"*",'來案暨出貨明細表-基因檢測(201904起'!$B:$B,BH$1)*$B17+COUNTIFS('來案暨出貨明細表-基因檢測(201904起'!$P:$P,"*"&amp;$A17&amp;"*",'來案暨出貨明細表-基因檢測(201904起'!$B:$B,BH$1,'來案暨出貨明細表-基因檢測(201904起'!$Q:$Q,"紙本&amp;電子")++COUNTIFS('來案暨出貨明細表-基因檢測(201904起'!$P:$P,"*"&amp;$A17&amp;"*",'來案暨出貨明細表-基因檢測(201904起'!$B:$B,BH$1,'來案暨出貨明細表-基因檢測(201904起'!$R:$R,"中英")</f>
        <v>0</v>
      </c>
      <c r="BI17" s="33">
        <f>COUNTIFS('來案暨出貨明細表-基因檢測(201904起'!$P:$P,"*"&amp;$A17&amp;"*",'來案暨出貨明細表-基因檢測(201904起'!$B:$B,BI$1)*$B17+COUNTIFS('來案暨出貨明細表-基因檢測(201904起'!$P:$P,"*"&amp;$A17&amp;"*",'來案暨出貨明細表-基因檢測(201904起'!$B:$B,BI$1,'來案暨出貨明細表-基因檢測(201904起'!$Q:$Q,"紙本&amp;電子")++COUNTIFS('來案暨出貨明細表-基因檢測(201904起'!$P:$P,"*"&amp;$A17&amp;"*",'來案暨出貨明細表-基因檢測(201904起'!$B:$B,BI$1,'來案暨出貨明細表-基因檢測(201904起'!$R:$R,"中英")</f>
        <v>0</v>
      </c>
      <c r="BJ17" s="33">
        <f>COUNTIFS('來案暨出貨明細表-基因檢測(201904起'!$P:$P,"*"&amp;$A17&amp;"*",'來案暨出貨明細表-基因檢測(201904起'!$B:$B,BJ$1)*$B17+COUNTIFS('來案暨出貨明細表-基因檢測(201904起'!$P:$P,"*"&amp;$A17&amp;"*",'來案暨出貨明細表-基因檢測(201904起'!$B:$B,BJ$1,'來案暨出貨明細表-基因檢測(201904起'!$Q:$Q,"紙本&amp;電子")++COUNTIFS('來案暨出貨明細表-基因檢測(201904起'!$P:$P,"*"&amp;$A17&amp;"*",'來案暨出貨明細表-基因檢測(201904起'!$B:$B,BJ$1,'來案暨出貨明細表-基因檢測(201904起'!$R:$R,"中英")</f>
        <v>0</v>
      </c>
      <c r="BK17" s="33">
        <f>COUNTIFS('來案暨出貨明細表-基因檢測(201904起'!$P:$P,"*"&amp;$A17&amp;"*",'來案暨出貨明細表-基因檢測(201904起'!$B:$B,BK$1)*$B17+COUNTIFS('來案暨出貨明細表-基因檢測(201904起'!$P:$P,"*"&amp;$A17&amp;"*",'來案暨出貨明細表-基因檢測(201904起'!$B:$B,BK$1,'來案暨出貨明細表-基因檢測(201904起'!$Q:$Q,"紙本&amp;電子")++COUNTIFS('來案暨出貨明細表-基因檢測(201904起'!$P:$P,"*"&amp;$A17&amp;"*",'來案暨出貨明細表-基因檢測(201904起'!$B:$B,BK$1,'來案暨出貨明細表-基因檢測(201904起'!$R:$R,"中英")</f>
        <v>0</v>
      </c>
      <c r="BL17" s="33">
        <f>COUNTIFS('來案暨出貨明細表-基因檢測(201904起'!$P:$P,"*"&amp;$A17&amp;"*",'來案暨出貨明細表-基因檢測(201904起'!$B:$B,BL$1)*$B17+COUNTIFS('來案暨出貨明細表-基因檢測(201904起'!$P:$P,"*"&amp;$A17&amp;"*",'來案暨出貨明細表-基因檢測(201904起'!$B:$B,BL$1,'來案暨出貨明細表-基因檢測(201904起'!$Q:$Q,"紙本&amp;電子")++COUNTIFS('來案暨出貨明細表-基因檢測(201904起'!$P:$P,"*"&amp;$A17&amp;"*",'來案暨出貨明細表-基因檢測(201904起'!$B:$B,BL$1,'來案暨出貨明細表-基因檢測(201904起'!$R:$R,"中英")</f>
        <v>0</v>
      </c>
      <c r="BM17" s="33">
        <f>COUNTIFS('來案暨出貨明細表-基因檢測(201904起'!$P:$P,"*"&amp;$A17&amp;"*",'來案暨出貨明細表-基因檢測(201904起'!$B:$B,BM$1)*$B17+COUNTIFS('來案暨出貨明細表-基因檢測(201904起'!$P:$P,"*"&amp;$A17&amp;"*",'來案暨出貨明細表-基因檢測(201904起'!$B:$B,BM$1,'來案暨出貨明細表-基因檢測(201904起'!$Q:$Q,"紙本&amp;電子")++COUNTIFS('來案暨出貨明細表-基因檢測(201904起'!$P:$P,"*"&amp;$A17&amp;"*",'來案暨出貨明細表-基因檢測(201904起'!$B:$B,BM$1,'來案暨出貨明細表-基因檢測(201904起'!$R:$R,"中英")</f>
        <v>0</v>
      </c>
    </row>
    <row r="18" spans="1:65" ht="15" customHeight="1">
      <c r="A18" s="9" t="s">
        <v>4516</v>
      </c>
      <c r="B18" s="9">
        <v>1</v>
      </c>
      <c r="C18" s="13" t="s">
        <v>4517</v>
      </c>
      <c r="D18" s="142" t="s">
        <v>4518</v>
      </c>
      <c r="E18" s="33">
        <f>COUNTIFS('來案暨出貨明細表-基因檢測(201904起'!$P:$P,"*"&amp;$A18&amp;"*",'來案暨出貨明細表-基因檢測(201904起'!$B:$B,E$1)*$B18+COUNTIFS('來案暨出貨明細表-基因檢測(201904起'!$P:$P,"*"&amp;$A18&amp;"*",'來案暨出貨明細表-基因檢測(201904起'!$B:$B,E$1,'來案暨出貨明細表-基因檢測(201904起'!$Q:$Q,"紙本&amp;電子")++COUNTIFS('來案暨出貨明細表-基因檢測(201904起'!$P:$P,"*"&amp;$A18&amp;"*",'來案暨出貨明細表-基因檢測(201904起'!$B:$B,E$1,'來案暨出貨明細表-基因檢測(201904起'!$R:$R,"中英")</f>
        <v>0</v>
      </c>
      <c r="F18" s="33">
        <f>COUNTIFS('來案暨出貨明細表-基因檢測(201904起'!$P:$P,"*"&amp;$A18&amp;"*",'來案暨出貨明細表-基因檢測(201904起'!$B:$B,F$1)*$B18+COUNTIFS('來案暨出貨明細表-基因檢測(201904起'!$P:$P,"*"&amp;$A18&amp;"*",'來案暨出貨明細表-基因檢測(201904起'!$B:$B,F$1,'來案暨出貨明細表-基因檢測(201904起'!$Q:$Q,"紙本&amp;電子")++COUNTIFS('來案暨出貨明細表-基因檢測(201904起'!$P:$P,"*"&amp;$A18&amp;"*",'來案暨出貨明細表-基因檢測(201904起'!$B:$B,F$1,'來案暨出貨明細表-基因檢測(201904起'!$R:$R,"中英")</f>
        <v>0</v>
      </c>
      <c r="G18" s="33">
        <f>COUNTIFS('來案暨出貨明細表-基因檢測(201904起'!$P:$P,"*"&amp;$A18&amp;"*",'來案暨出貨明細表-基因檢測(201904起'!$B:$B,G$1)*$B18+COUNTIFS('來案暨出貨明細表-基因檢測(201904起'!$P:$P,"*"&amp;$A18&amp;"*",'來案暨出貨明細表-基因檢測(201904起'!$B:$B,G$1,'來案暨出貨明細表-基因檢測(201904起'!$Q:$Q,"紙本&amp;電子")++COUNTIFS('來案暨出貨明細表-基因檢測(201904起'!$P:$P,"*"&amp;$A18&amp;"*",'來案暨出貨明細表-基因檢測(201904起'!$B:$B,G$1,'來案暨出貨明細表-基因檢測(201904起'!$R:$R,"中英")</f>
        <v>0</v>
      </c>
      <c r="H18" s="33">
        <f>COUNTIFS('來案暨出貨明細表-基因檢測(201904起'!$P:$P,"*"&amp;$A18&amp;"*",'來案暨出貨明細表-基因檢測(201904起'!$B:$B,H$1)*$B18+COUNTIFS('來案暨出貨明細表-基因檢測(201904起'!$P:$P,"*"&amp;$A18&amp;"*",'來案暨出貨明細表-基因檢測(201904起'!$B:$B,H$1,'來案暨出貨明細表-基因檢測(201904起'!$Q:$Q,"紙本&amp;電子")++COUNTIFS('來案暨出貨明細表-基因檢測(201904起'!$P:$P,"*"&amp;$A18&amp;"*",'來案暨出貨明細表-基因檢測(201904起'!$B:$B,H$1,'來案暨出貨明細表-基因檢測(201904起'!$R:$R,"中英")</f>
        <v>0</v>
      </c>
      <c r="I18" s="33">
        <f>COUNTIFS('來案暨出貨明細表-基因檢測(201904起'!$P:$P,"*"&amp;$A18&amp;"*",'來案暨出貨明細表-基因檢測(201904起'!$B:$B,I$1)*$B18+COUNTIFS('來案暨出貨明細表-基因檢測(201904起'!$P:$P,"*"&amp;$A18&amp;"*",'來案暨出貨明細表-基因檢測(201904起'!$B:$B,I$1,'來案暨出貨明細表-基因檢測(201904起'!$Q:$Q,"紙本&amp;電子")++COUNTIFS('來案暨出貨明細表-基因檢測(201904起'!$P:$P,"*"&amp;$A18&amp;"*",'來案暨出貨明細表-基因檢測(201904起'!$B:$B,I$1,'來案暨出貨明細表-基因檢測(201904起'!$R:$R,"中英")</f>
        <v>0</v>
      </c>
      <c r="J18" s="33">
        <f>COUNTIFS('來案暨出貨明細表-基因檢測(201904起'!$P:$P,"*"&amp;$A18&amp;"*",'來案暨出貨明細表-基因檢測(201904起'!$B:$B,J$1)*$B18+COUNTIFS('來案暨出貨明細表-基因檢測(201904起'!$P:$P,"*"&amp;$A18&amp;"*",'來案暨出貨明細表-基因檢測(201904起'!$B:$B,J$1,'來案暨出貨明細表-基因檢測(201904起'!$Q:$Q,"紙本&amp;電子")++COUNTIFS('來案暨出貨明細表-基因檢測(201904起'!$P:$P,"*"&amp;$A18&amp;"*",'來案暨出貨明細表-基因檢測(201904起'!$B:$B,J$1,'來案暨出貨明細表-基因檢測(201904起'!$R:$R,"中英")</f>
        <v>0</v>
      </c>
      <c r="K18" s="33">
        <f>COUNTIFS('來案暨出貨明細表-基因檢測(201904起'!$P:$P,"*"&amp;$A18&amp;"*",'來案暨出貨明細表-基因檢測(201904起'!$B:$B,K$1)*$B18+COUNTIFS('來案暨出貨明細表-基因檢測(201904起'!$P:$P,"*"&amp;$A18&amp;"*",'來案暨出貨明細表-基因檢測(201904起'!$B:$B,K$1,'來案暨出貨明細表-基因檢測(201904起'!$Q:$Q,"紙本&amp;電子")++COUNTIFS('來案暨出貨明細表-基因檢測(201904起'!$P:$P,"*"&amp;$A18&amp;"*",'來案暨出貨明細表-基因檢測(201904起'!$B:$B,K$1,'來案暨出貨明細表-基因檢測(201904起'!$R:$R,"中英")</f>
        <v>0</v>
      </c>
      <c r="L18" s="33">
        <f>COUNTIFS('來案暨出貨明細表-基因檢測(201904起'!$P:$P,"*"&amp;$A18&amp;"*",'來案暨出貨明細表-基因檢測(201904起'!$B:$B,L$1)*$B18+COUNTIFS('來案暨出貨明細表-基因檢測(201904起'!$P:$P,"*"&amp;$A18&amp;"*",'來案暨出貨明細表-基因檢測(201904起'!$B:$B,L$1,'來案暨出貨明細表-基因檢測(201904起'!$Q:$Q,"紙本&amp;電子")++COUNTIFS('來案暨出貨明細表-基因檢測(201904起'!$P:$P,"*"&amp;$A18&amp;"*",'來案暨出貨明細表-基因檢測(201904起'!$B:$B,L$1,'來案暨出貨明細表-基因檢測(201904起'!$R:$R,"中英")</f>
        <v>0</v>
      </c>
      <c r="M18" s="33">
        <f>COUNTIFS('來案暨出貨明細表-基因檢測(201904起'!$P:$P,"*"&amp;$A18&amp;"*",'來案暨出貨明細表-基因檢測(201904起'!$B:$B,M$1)*$B18+COUNTIFS('來案暨出貨明細表-基因檢測(201904起'!$P:$P,"*"&amp;$A18&amp;"*",'來案暨出貨明細表-基因檢測(201904起'!$B:$B,M$1,'來案暨出貨明細表-基因檢測(201904起'!$Q:$Q,"紙本&amp;電子")++COUNTIFS('來案暨出貨明細表-基因檢測(201904起'!$P:$P,"*"&amp;$A18&amp;"*",'來案暨出貨明細表-基因檢測(201904起'!$B:$B,M$1,'來案暨出貨明細表-基因檢測(201904起'!$R:$R,"中英")</f>
        <v>0</v>
      </c>
      <c r="N18" s="33">
        <f>COUNTIFS('來案暨出貨明細表-基因檢測(201904起'!$P:$P,"*"&amp;$A18&amp;"*",'來案暨出貨明細表-基因檢測(201904起'!$B:$B,N$1)*$B18+COUNTIFS('來案暨出貨明細表-基因檢測(201904起'!$P:$P,"*"&amp;$A18&amp;"*",'來案暨出貨明細表-基因檢測(201904起'!$B:$B,N$1,'來案暨出貨明細表-基因檢測(201904起'!$Q:$Q,"紙本&amp;電子")++COUNTIFS('來案暨出貨明細表-基因檢測(201904起'!$P:$P,"*"&amp;$A18&amp;"*",'來案暨出貨明細表-基因檢測(201904起'!$B:$B,N$1,'來案暨出貨明細表-基因檢測(201904起'!$R:$R,"中英")</f>
        <v>0</v>
      </c>
      <c r="O18" s="33">
        <f>COUNTIFS('來案暨出貨明細表-基因檢測(201904起'!$P:$P,"*"&amp;$A18&amp;"*",'來案暨出貨明細表-基因檢測(201904起'!$B:$B,O$1)*$B18+COUNTIFS('來案暨出貨明細表-基因檢測(201904起'!$P:$P,"*"&amp;$A18&amp;"*",'來案暨出貨明細表-基因檢測(201904起'!$B:$B,O$1,'來案暨出貨明細表-基因檢測(201904起'!$Q:$Q,"紙本&amp;電子")++COUNTIFS('來案暨出貨明細表-基因檢測(201904起'!$P:$P,"*"&amp;$A18&amp;"*",'來案暨出貨明細表-基因檢測(201904起'!$B:$B,O$1,'來案暨出貨明細表-基因檢測(201904起'!$R:$R,"中英")</f>
        <v>0</v>
      </c>
      <c r="P18" s="33">
        <f>COUNTIFS('來案暨出貨明細表-基因檢測(201904起'!$P:$P,"*"&amp;$A18&amp;"*",'來案暨出貨明細表-基因檢測(201904起'!$B:$B,P$1)*$B18+COUNTIFS('來案暨出貨明細表-基因檢測(201904起'!$P:$P,"*"&amp;$A18&amp;"*",'來案暨出貨明細表-基因檢測(201904起'!$B:$B,P$1,'來案暨出貨明細表-基因檢測(201904起'!$Q:$Q,"紙本&amp;電子")++COUNTIFS('來案暨出貨明細表-基因檢測(201904起'!$P:$P,"*"&amp;$A18&amp;"*",'來案暨出貨明細表-基因檢測(201904起'!$B:$B,P$1,'來案暨出貨明細表-基因檢測(201904起'!$R:$R,"中英")</f>
        <v>0</v>
      </c>
      <c r="Q18" s="33">
        <f>COUNTIFS('來案暨出貨明細表-基因檢測(201904起'!$P:$P,"*"&amp;$A18&amp;"*",'來案暨出貨明細表-基因檢測(201904起'!$B:$B,Q$1)*$B18+COUNTIFS('來案暨出貨明細表-基因檢測(201904起'!$P:$P,"*"&amp;$A18&amp;"*",'來案暨出貨明細表-基因檢測(201904起'!$B:$B,Q$1,'來案暨出貨明細表-基因檢測(201904起'!$Q:$Q,"紙本&amp;電子")++COUNTIFS('來案暨出貨明細表-基因檢測(201904起'!$P:$P,"*"&amp;$A18&amp;"*",'來案暨出貨明細表-基因檢測(201904起'!$B:$B,Q$1,'來案暨出貨明細表-基因檢測(201904起'!$R:$R,"中英")</f>
        <v>0</v>
      </c>
      <c r="R18" s="33">
        <f>COUNTIFS('來案暨出貨明細表-基因檢測(201904起'!$P:$P,"*"&amp;$A18&amp;"*",'來案暨出貨明細表-基因檢測(201904起'!$B:$B,R$1)*$B18+COUNTIFS('來案暨出貨明細表-基因檢測(201904起'!$P:$P,"*"&amp;$A18&amp;"*",'來案暨出貨明細表-基因檢測(201904起'!$B:$B,R$1,'來案暨出貨明細表-基因檢測(201904起'!$Q:$Q,"紙本&amp;電子")++COUNTIFS('來案暨出貨明細表-基因檢測(201904起'!$P:$P,"*"&amp;$A18&amp;"*",'來案暨出貨明細表-基因檢測(201904起'!$B:$B,R$1,'來案暨出貨明細表-基因檢測(201904起'!$R:$R,"中英")</f>
        <v>0</v>
      </c>
      <c r="S18" s="33">
        <f>COUNTIFS('來案暨出貨明細表-基因檢測(201904起'!$P:$P,"*"&amp;$A18&amp;"*",'來案暨出貨明細表-基因檢測(201904起'!$B:$B,S$1)*$B18+COUNTIFS('來案暨出貨明細表-基因檢測(201904起'!$P:$P,"*"&amp;$A18&amp;"*",'來案暨出貨明細表-基因檢測(201904起'!$B:$B,S$1,'來案暨出貨明細表-基因檢測(201904起'!$Q:$Q,"紙本&amp;電子")++COUNTIFS('來案暨出貨明細表-基因檢測(201904起'!$P:$P,"*"&amp;$A18&amp;"*",'來案暨出貨明細表-基因檢測(201904起'!$B:$B,S$1,'來案暨出貨明細表-基因檢測(201904起'!$R:$R,"中英")</f>
        <v>0</v>
      </c>
      <c r="T18" s="33">
        <f>COUNTIFS('來案暨出貨明細表-基因檢測(201904起'!$P:$P,"*"&amp;$A18&amp;"*",'來案暨出貨明細表-基因檢測(201904起'!$B:$B,T$1)*$B18+COUNTIFS('來案暨出貨明細表-基因檢測(201904起'!$P:$P,"*"&amp;$A18&amp;"*",'來案暨出貨明細表-基因檢測(201904起'!$B:$B,T$1,'來案暨出貨明細表-基因檢測(201904起'!$Q:$Q,"紙本&amp;電子")++COUNTIFS('來案暨出貨明細表-基因檢測(201904起'!$P:$P,"*"&amp;$A18&amp;"*",'來案暨出貨明細表-基因檢測(201904起'!$B:$B,T$1,'來案暨出貨明細表-基因檢測(201904起'!$R:$R,"中英")</f>
        <v>0</v>
      </c>
      <c r="U18" s="33">
        <f>COUNTIFS('來案暨出貨明細表-基因檢測(201904起'!$P:$P,"*"&amp;$A18&amp;"*",'來案暨出貨明細表-基因檢測(201904起'!$B:$B,U$1)*$B18+COUNTIFS('來案暨出貨明細表-基因檢測(201904起'!$P:$P,"*"&amp;$A18&amp;"*",'來案暨出貨明細表-基因檢測(201904起'!$B:$B,U$1,'來案暨出貨明細表-基因檢測(201904起'!$Q:$Q,"紙本&amp;電子")++COUNTIFS('來案暨出貨明細表-基因檢測(201904起'!$P:$P,"*"&amp;$A18&amp;"*",'來案暨出貨明細表-基因檢測(201904起'!$B:$B,U$1,'來案暨出貨明細表-基因檢測(201904起'!$R:$R,"中英")</f>
        <v>0</v>
      </c>
      <c r="V18" s="33">
        <f>COUNTIFS('來案暨出貨明細表-基因檢測(201904起'!$P:$P,"*"&amp;$A18&amp;"*",'來案暨出貨明細表-基因檢測(201904起'!$B:$B,V$1)*$B18+COUNTIFS('來案暨出貨明細表-基因檢測(201904起'!$P:$P,"*"&amp;$A18&amp;"*",'來案暨出貨明細表-基因檢測(201904起'!$B:$B,V$1,'來案暨出貨明細表-基因檢測(201904起'!$Q:$Q,"紙本&amp;電子")++COUNTIFS('來案暨出貨明細表-基因檢測(201904起'!$P:$P,"*"&amp;$A18&amp;"*",'來案暨出貨明細表-基因檢測(201904起'!$B:$B,V$1,'來案暨出貨明細表-基因檢測(201904起'!$R:$R,"中英")</f>
        <v>0</v>
      </c>
      <c r="W18" s="33">
        <f>COUNTIFS('來案暨出貨明細表-基因檢測(201904起'!$P:$P,"*"&amp;$A18&amp;"*",'來案暨出貨明細表-基因檢測(201904起'!$B:$B,W$1)*$B18+COUNTIFS('來案暨出貨明細表-基因檢測(201904起'!$P:$P,"*"&amp;$A18&amp;"*",'來案暨出貨明細表-基因檢測(201904起'!$B:$B,W$1,'來案暨出貨明細表-基因檢測(201904起'!$Q:$Q,"紙本&amp;電子")++COUNTIFS('來案暨出貨明細表-基因檢測(201904起'!$P:$P,"*"&amp;$A18&amp;"*",'來案暨出貨明細表-基因檢測(201904起'!$B:$B,W$1,'來案暨出貨明細表-基因檢測(201904起'!$R:$R,"中英")</f>
        <v>0</v>
      </c>
      <c r="X18" s="33">
        <f>COUNTIFS('來案暨出貨明細表-基因檢測(201904起'!$P:$P,"*"&amp;$A18&amp;"*",'來案暨出貨明細表-基因檢測(201904起'!$B:$B,X$1)*$B18+COUNTIFS('來案暨出貨明細表-基因檢測(201904起'!$P:$P,"*"&amp;$A18&amp;"*",'來案暨出貨明細表-基因檢測(201904起'!$B:$B,X$1,'來案暨出貨明細表-基因檢測(201904起'!$Q:$Q,"紙本&amp;電子")++COUNTIFS('來案暨出貨明細表-基因檢測(201904起'!$P:$P,"*"&amp;$A18&amp;"*",'來案暨出貨明細表-基因檢測(201904起'!$B:$B,X$1,'來案暨出貨明細表-基因檢測(201904起'!$R:$R,"中英")</f>
        <v>0</v>
      </c>
      <c r="Y18" s="33">
        <f>COUNTIFS('來案暨出貨明細表-基因檢測(201904起'!$P:$P,"*"&amp;$A18&amp;"*",'來案暨出貨明細表-基因檢測(201904起'!$B:$B,Y$1)*$B18+COUNTIFS('來案暨出貨明細表-基因檢測(201904起'!$P:$P,"*"&amp;$A18&amp;"*",'來案暨出貨明細表-基因檢測(201904起'!$B:$B,Y$1,'來案暨出貨明細表-基因檢測(201904起'!$Q:$Q,"紙本&amp;電子")++COUNTIFS('來案暨出貨明細表-基因檢測(201904起'!$P:$P,"*"&amp;$A18&amp;"*",'來案暨出貨明細表-基因檢測(201904起'!$B:$B,Y$1,'來案暨出貨明細表-基因檢測(201904起'!$R:$R,"中英")</f>
        <v>0</v>
      </c>
      <c r="Z18" s="33">
        <f>COUNTIFS('來案暨出貨明細表-基因檢測(201904起'!$P:$P,"*"&amp;$A18&amp;"*",'來案暨出貨明細表-基因檢測(201904起'!$B:$B,Z$1)*$B18+COUNTIFS('來案暨出貨明細表-基因檢測(201904起'!$P:$P,"*"&amp;$A18&amp;"*",'來案暨出貨明細表-基因檢測(201904起'!$B:$B,Z$1,'來案暨出貨明細表-基因檢測(201904起'!$Q:$Q,"紙本&amp;電子")++COUNTIFS('來案暨出貨明細表-基因檢測(201904起'!$P:$P,"*"&amp;$A18&amp;"*",'來案暨出貨明細表-基因檢測(201904起'!$B:$B,Z$1,'來案暨出貨明細表-基因檢測(201904起'!$R:$R,"中英")</f>
        <v>0</v>
      </c>
      <c r="AA18" s="33">
        <f>COUNTIFS('來案暨出貨明細表-基因檢測(201904起'!$P:$P,"*"&amp;$A18&amp;"*",'來案暨出貨明細表-基因檢測(201904起'!$B:$B,AA$1)*$B18+COUNTIFS('來案暨出貨明細表-基因檢測(201904起'!$P:$P,"*"&amp;$A18&amp;"*",'來案暨出貨明細表-基因檢測(201904起'!$B:$B,AA$1,'來案暨出貨明細表-基因檢測(201904起'!$Q:$Q,"紙本&amp;電子")++COUNTIFS('來案暨出貨明細表-基因檢測(201904起'!$P:$P,"*"&amp;$A18&amp;"*",'來案暨出貨明細表-基因檢測(201904起'!$B:$B,AA$1,'來案暨出貨明細表-基因檢測(201904起'!$R:$R,"中英")</f>
        <v>0</v>
      </c>
      <c r="AB18" s="33">
        <f>COUNTIFS('來案暨出貨明細表-基因檢測(201904起'!$P:$P,"*"&amp;$A18&amp;"*",'來案暨出貨明細表-基因檢測(201904起'!$B:$B,AB$1)*$B18+COUNTIFS('來案暨出貨明細表-基因檢測(201904起'!$P:$P,"*"&amp;$A18&amp;"*",'來案暨出貨明細表-基因檢測(201904起'!$B:$B,AB$1,'來案暨出貨明細表-基因檢測(201904起'!$Q:$Q,"紙本&amp;電子")++COUNTIFS('來案暨出貨明細表-基因檢測(201904起'!$P:$P,"*"&amp;$A18&amp;"*",'來案暨出貨明細表-基因檢測(201904起'!$B:$B,AB$1,'來案暨出貨明細表-基因檢測(201904起'!$R:$R,"中英")</f>
        <v>0</v>
      </c>
      <c r="AC18" s="33">
        <f>COUNTIFS('來案暨出貨明細表-基因檢測(201904起'!$P:$P,"*"&amp;$A18&amp;"*",'來案暨出貨明細表-基因檢測(201904起'!$B:$B,AC$1)*$B18+COUNTIFS('來案暨出貨明細表-基因檢測(201904起'!$P:$P,"*"&amp;$A18&amp;"*",'來案暨出貨明細表-基因檢測(201904起'!$B:$B,AC$1,'來案暨出貨明細表-基因檢測(201904起'!$Q:$Q,"紙本&amp;電子")++COUNTIFS('來案暨出貨明細表-基因檢測(201904起'!$P:$P,"*"&amp;$A18&amp;"*",'來案暨出貨明細表-基因檢測(201904起'!$B:$B,AC$1,'來案暨出貨明細表-基因檢測(201904起'!$R:$R,"中英")</f>
        <v>0</v>
      </c>
      <c r="AD18" s="33">
        <f>COUNTIFS('來案暨出貨明細表-基因檢測(201904起'!$P:$P,"*"&amp;$A18&amp;"*",'來案暨出貨明細表-基因檢測(201904起'!$B:$B,AD$1)*$B18+COUNTIFS('來案暨出貨明細表-基因檢測(201904起'!$P:$P,"*"&amp;$A18&amp;"*",'來案暨出貨明細表-基因檢測(201904起'!$B:$B,AD$1,'來案暨出貨明細表-基因檢測(201904起'!$Q:$Q,"紙本&amp;電子")++COUNTIFS('來案暨出貨明細表-基因檢測(201904起'!$P:$P,"*"&amp;$A18&amp;"*",'來案暨出貨明細表-基因檢測(201904起'!$B:$B,AD$1,'來案暨出貨明細表-基因檢測(201904起'!$R:$R,"中英")</f>
        <v>0</v>
      </c>
      <c r="AE18" s="33">
        <f>COUNTIFS('來案暨出貨明細表-基因檢測(201904起'!$P:$P,"*"&amp;$A18&amp;"*",'來案暨出貨明細表-基因檢測(201904起'!$B:$B,AE$1)*$B18+COUNTIFS('來案暨出貨明細表-基因檢測(201904起'!$P:$P,"*"&amp;$A18&amp;"*",'來案暨出貨明細表-基因檢測(201904起'!$B:$B,AE$1,'來案暨出貨明細表-基因檢測(201904起'!$Q:$Q,"紙本&amp;電子")++COUNTIFS('來案暨出貨明細表-基因檢測(201904起'!$P:$P,"*"&amp;$A18&amp;"*",'來案暨出貨明細表-基因檢測(201904起'!$B:$B,AE$1,'來案暨出貨明細表-基因檢測(201904起'!$R:$R,"中英")</f>
        <v>0</v>
      </c>
      <c r="AF18" s="33">
        <f>COUNTIFS('來案暨出貨明細表-基因檢測(201904起'!$P:$P,"*"&amp;$A18&amp;"*",'來案暨出貨明細表-基因檢測(201904起'!$B:$B,AF$1)*$B18+COUNTIFS('來案暨出貨明細表-基因檢測(201904起'!$P:$P,"*"&amp;$A18&amp;"*",'來案暨出貨明細表-基因檢測(201904起'!$B:$B,AF$1,'來案暨出貨明細表-基因檢測(201904起'!$Q:$Q,"紙本&amp;電子")++COUNTIFS('來案暨出貨明細表-基因檢測(201904起'!$P:$P,"*"&amp;$A18&amp;"*",'來案暨出貨明細表-基因檢測(201904起'!$B:$B,AF$1,'來案暨出貨明細表-基因檢測(201904起'!$R:$R,"中英")</f>
        <v>0</v>
      </c>
      <c r="AG18" s="33">
        <f>COUNTIFS('來案暨出貨明細表-基因檢測(201904起'!$P:$P,"*"&amp;$A18&amp;"*",'來案暨出貨明細表-基因檢測(201904起'!$B:$B,AG$1)*$B18+COUNTIFS('來案暨出貨明細表-基因檢測(201904起'!$P:$P,"*"&amp;$A18&amp;"*",'來案暨出貨明細表-基因檢測(201904起'!$B:$B,AG$1,'來案暨出貨明細表-基因檢測(201904起'!$Q:$Q,"紙本&amp;電子")++COUNTIFS('來案暨出貨明細表-基因檢測(201904起'!$P:$P,"*"&amp;$A18&amp;"*",'來案暨出貨明細表-基因檢測(201904起'!$B:$B,AG$1,'來案暨出貨明細表-基因檢測(201904起'!$R:$R,"中英")</f>
        <v>0</v>
      </c>
      <c r="AH18" s="33">
        <f>COUNTIFS('來案暨出貨明細表-基因檢測(201904起'!$P:$P,"*"&amp;$A18&amp;"*",'來案暨出貨明細表-基因檢測(201904起'!$B:$B,AH$1)*$B18+COUNTIFS('來案暨出貨明細表-基因檢測(201904起'!$P:$P,"*"&amp;$A18&amp;"*",'來案暨出貨明細表-基因檢測(201904起'!$B:$B,AH$1,'來案暨出貨明細表-基因檢測(201904起'!$Q:$Q,"紙本&amp;電子")++COUNTIFS('來案暨出貨明細表-基因檢測(201904起'!$P:$P,"*"&amp;$A18&amp;"*",'來案暨出貨明細表-基因檢測(201904起'!$B:$B,AH$1,'來案暨出貨明細表-基因檢測(201904起'!$R:$R,"中英")</f>
        <v>0</v>
      </c>
      <c r="AI18" s="33">
        <f>COUNTIFS('來案暨出貨明細表-基因檢測(201904起'!$P:$P,"*"&amp;$A18&amp;"*",'來案暨出貨明細表-基因檢測(201904起'!$B:$B,AI$1)*$B18+COUNTIFS('來案暨出貨明細表-基因檢測(201904起'!$P:$P,"*"&amp;$A18&amp;"*",'來案暨出貨明細表-基因檢測(201904起'!$B:$B,AI$1,'來案暨出貨明細表-基因檢測(201904起'!$Q:$Q,"紙本&amp;電子")++COUNTIFS('來案暨出貨明細表-基因檢測(201904起'!$P:$P,"*"&amp;$A18&amp;"*",'來案暨出貨明細表-基因檢測(201904起'!$B:$B,AI$1,'來案暨出貨明細表-基因檢測(201904起'!$R:$R,"中英")</f>
        <v>0</v>
      </c>
      <c r="AJ18" s="33">
        <f>COUNTIFS('來案暨出貨明細表-基因檢測(201904起'!$P:$P,"*"&amp;$A18&amp;"*",'來案暨出貨明細表-基因檢測(201904起'!$B:$B,AJ$1)*$B18+COUNTIFS('來案暨出貨明細表-基因檢測(201904起'!$P:$P,"*"&amp;$A18&amp;"*",'來案暨出貨明細表-基因檢測(201904起'!$B:$B,AJ$1,'來案暨出貨明細表-基因檢測(201904起'!$Q:$Q,"紙本&amp;電子")++COUNTIFS('來案暨出貨明細表-基因檢測(201904起'!$P:$P,"*"&amp;$A18&amp;"*",'來案暨出貨明細表-基因檢測(201904起'!$B:$B,AJ$1,'來案暨出貨明細表-基因檢測(201904起'!$R:$R,"中英")</f>
        <v>0</v>
      </c>
      <c r="AK18" s="33">
        <f>COUNTIFS('來案暨出貨明細表-基因檢測(201904起'!$P:$P,"*"&amp;$A18&amp;"*",'來案暨出貨明細表-基因檢測(201904起'!$B:$B,AK$1)*$B18+COUNTIFS('來案暨出貨明細表-基因檢測(201904起'!$P:$P,"*"&amp;$A18&amp;"*",'來案暨出貨明細表-基因檢測(201904起'!$B:$B,AK$1,'來案暨出貨明細表-基因檢測(201904起'!$Q:$Q,"紙本&amp;電子")++COUNTIFS('來案暨出貨明細表-基因檢測(201904起'!$P:$P,"*"&amp;$A18&amp;"*",'來案暨出貨明細表-基因檢測(201904起'!$B:$B,AK$1,'來案暨出貨明細表-基因檢測(201904起'!$R:$R,"中英")</f>
        <v>0</v>
      </c>
      <c r="AL18" s="33">
        <f>COUNTIFS('來案暨出貨明細表-基因檢測(201904起'!$P:$P,"*"&amp;$A18&amp;"*",'來案暨出貨明細表-基因檢測(201904起'!$B:$B,AL$1)*$B18+COUNTIFS('來案暨出貨明細表-基因檢測(201904起'!$P:$P,"*"&amp;$A18&amp;"*",'來案暨出貨明細表-基因檢測(201904起'!$B:$B,AL$1,'來案暨出貨明細表-基因檢測(201904起'!$Q:$Q,"紙本&amp;電子")++COUNTIFS('來案暨出貨明細表-基因檢測(201904起'!$P:$P,"*"&amp;$A18&amp;"*",'來案暨出貨明細表-基因檢測(201904起'!$B:$B,AL$1,'來案暨出貨明細表-基因檢測(201904起'!$R:$R,"中英")</f>
        <v>0</v>
      </c>
      <c r="AM18" s="33">
        <f>COUNTIFS('來案暨出貨明細表-基因檢測(201904起'!$P:$P,"*"&amp;$A18&amp;"*",'來案暨出貨明細表-基因檢測(201904起'!$B:$B,AM$1)*$B18+COUNTIFS('來案暨出貨明細表-基因檢測(201904起'!$P:$P,"*"&amp;$A18&amp;"*",'來案暨出貨明細表-基因檢測(201904起'!$B:$B,AM$1,'來案暨出貨明細表-基因檢測(201904起'!$Q:$Q,"紙本&amp;電子")++COUNTIFS('來案暨出貨明細表-基因檢測(201904起'!$P:$P,"*"&amp;$A18&amp;"*",'來案暨出貨明細表-基因檢測(201904起'!$B:$B,AM$1,'來案暨出貨明細表-基因檢測(201904起'!$R:$R,"中英")</f>
        <v>0</v>
      </c>
      <c r="AN18" s="33">
        <f>COUNTIFS('來案暨出貨明細表-基因檢測(201904起'!$P:$P,"*"&amp;$A18&amp;"*",'來案暨出貨明細表-基因檢測(201904起'!$B:$B,AN$1)*$B18+COUNTIFS('來案暨出貨明細表-基因檢測(201904起'!$P:$P,"*"&amp;$A18&amp;"*",'來案暨出貨明細表-基因檢測(201904起'!$B:$B,AN$1,'來案暨出貨明細表-基因檢測(201904起'!$Q:$Q,"紙本&amp;電子")++COUNTIFS('來案暨出貨明細表-基因檢測(201904起'!$P:$P,"*"&amp;$A18&amp;"*",'來案暨出貨明細表-基因檢測(201904起'!$B:$B,AN$1,'來案暨出貨明細表-基因檢測(201904起'!$R:$R,"中英")</f>
        <v>0</v>
      </c>
      <c r="AO18" s="33">
        <f>COUNTIFS('來案暨出貨明細表-基因檢測(201904起'!$P:$P,"*"&amp;$A18&amp;"*",'來案暨出貨明細表-基因檢測(201904起'!$B:$B,AO$1)*$B18+COUNTIFS('來案暨出貨明細表-基因檢測(201904起'!$P:$P,"*"&amp;$A18&amp;"*",'來案暨出貨明細表-基因檢測(201904起'!$B:$B,AO$1,'來案暨出貨明細表-基因檢測(201904起'!$Q:$Q,"紙本&amp;電子")++COUNTIFS('來案暨出貨明細表-基因檢測(201904起'!$P:$P,"*"&amp;$A18&amp;"*",'來案暨出貨明細表-基因檢測(201904起'!$B:$B,AO$1,'來案暨出貨明細表-基因檢測(201904起'!$R:$R,"中英")</f>
        <v>0</v>
      </c>
      <c r="AP18" s="33">
        <f>COUNTIFS('來案暨出貨明細表-基因檢測(201904起'!$P:$P,"*"&amp;$A18&amp;"*",'來案暨出貨明細表-基因檢測(201904起'!$B:$B,AP$1)*$B18+COUNTIFS('來案暨出貨明細表-基因檢測(201904起'!$P:$P,"*"&amp;$A18&amp;"*",'來案暨出貨明細表-基因檢測(201904起'!$B:$B,AP$1,'來案暨出貨明細表-基因檢測(201904起'!$Q:$Q,"紙本&amp;電子")++COUNTIFS('來案暨出貨明細表-基因檢測(201904起'!$P:$P,"*"&amp;$A18&amp;"*",'來案暨出貨明細表-基因檢測(201904起'!$B:$B,AP$1,'來案暨出貨明細表-基因檢測(201904起'!$R:$R,"中英")</f>
        <v>0</v>
      </c>
      <c r="AQ18" s="33">
        <f>COUNTIFS('來案暨出貨明細表-基因檢測(201904起'!$P:$P,"*"&amp;$A18&amp;"*",'來案暨出貨明細表-基因檢測(201904起'!$B:$B,AQ$1)*$B18+COUNTIFS('來案暨出貨明細表-基因檢測(201904起'!$P:$P,"*"&amp;$A18&amp;"*",'來案暨出貨明細表-基因檢測(201904起'!$B:$B,AQ$1,'來案暨出貨明細表-基因檢測(201904起'!$Q:$Q,"紙本&amp;電子")++COUNTIFS('來案暨出貨明細表-基因檢測(201904起'!$P:$P,"*"&amp;$A18&amp;"*",'來案暨出貨明細表-基因檢測(201904起'!$B:$B,AQ$1,'來案暨出貨明細表-基因檢測(201904起'!$R:$R,"中英")</f>
        <v>0</v>
      </c>
      <c r="AR18" s="33">
        <f>COUNTIFS('來案暨出貨明細表-基因檢測(201904起'!$P:$P,"*"&amp;$A18&amp;"*",'來案暨出貨明細表-基因檢測(201904起'!$B:$B,AR$1)*$B18+COUNTIFS('來案暨出貨明細表-基因檢測(201904起'!$P:$P,"*"&amp;$A18&amp;"*",'來案暨出貨明細表-基因檢測(201904起'!$B:$B,AR$1,'來案暨出貨明細表-基因檢測(201904起'!$Q:$Q,"紙本&amp;電子")++COUNTIFS('來案暨出貨明細表-基因檢測(201904起'!$P:$P,"*"&amp;$A18&amp;"*",'來案暨出貨明細表-基因檢測(201904起'!$B:$B,AR$1,'來案暨出貨明細表-基因檢測(201904起'!$R:$R,"中英")</f>
        <v>0</v>
      </c>
      <c r="AS18" s="33">
        <f>COUNTIFS('來案暨出貨明細表-基因檢測(201904起'!$P:$P,"*"&amp;$A18&amp;"*",'來案暨出貨明細表-基因檢測(201904起'!$B:$B,AS$1)*$B18+COUNTIFS('來案暨出貨明細表-基因檢測(201904起'!$P:$P,"*"&amp;$A18&amp;"*",'來案暨出貨明細表-基因檢測(201904起'!$B:$B,AS$1,'來案暨出貨明細表-基因檢測(201904起'!$Q:$Q,"紙本&amp;電子")++COUNTIFS('來案暨出貨明細表-基因檢測(201904起'!$P:$P,"*"&amp;$A18&amp;"*",'來案暨出貨明細表-基因檢測(201904起'!$B:$B,AS$1,'來案暨出貨明細表-基因檢測(201904起'!$R:$R,"中英")</f>
        <v>0</v>
      </c>
      <c r="AT18" s="33">
        <f>COUNTIFS('來案暨出貨明細表-基因檢測(201904起'!$P:$P,"*"&amp;$A18&amp;"*",'來案暨出貨明細表-基因檢測(201904起'!$B:$B,AT$1)*$B18+COUNTIFS('來案暨出貨明細表-基因檢測(201904起'!$P:$P,"*"&amp;$A18&amp;"*",'來案暨出貨明細表-基因檢測(201904起'!$B:$B,AT$1,'來案暨出貨明細表-基因檢測(201904起'!$Q:$Q,"紙本&amp;電子")++COUNTIFS('來案暨出貨明細表-基因檢測(201904起'!$P:$P,"*"&amp;$A18&amp;"*",'來案暨出貨明細表-基因檢測(201904起'!$B:$B,AT$1,'來案暨出貨明細表-基因檢測(201904起'!$R:$R,"中英")</f>
        <v>0</v>
      </c>
      <c r="AU18" s="33">
        <f>COUNTIFS('來案暨出貨明細表-基因檢測(201904起'!$P:$P,"*"&amp;$A18&amp;"*",'來案暨出貨明細表-基因檢測(201904起'!$B:$B,AU$1)*$B18+COUNTIFS('來案暨出貨明細表-基因檢測(201904起'!$P:$P,"*"&amp;$A18&amp;"*",'來案暨出貨明細表-基因檢測(201904起'!$B:$B,AU$1,'來案暨出貨明細表-基因檢測(201904起'!$Q:$Q,"紙本&amp;電子")++COUNTIFS('來案暨出貨明細表-基因檢測(201904起'!$P:$P,"*"&amp;$A18&amp;"*",'來案暨出貨明細表-基因檢測(201904起'!$B:$B,AU$1,'來案暨出貨明細表-基因檢測(201904起'!$R:$R,"中英")</f>
        <v>0</v>
      </c>
      <c r="AV18" s="33">
        <f>COUNTIFS('來案暨出貨明細表-基因檢測(201904起'!$P:$P,"*"&amp;$A18&amp;"*",'來案暨出貨明細表-基因檢測(201904起'!$B:$B,AV$1)*$B18+COUNTIFS('來案暨出貨明細表-基因檢測(201904起'!$P:$P,"*"&amp;$A18&amp;"*",'來案暨出貨明細表-基因檢測(201904起'!$B:$B,AV$1,'來案暨出貨明細表-基因檢測(201904起'!$Q:$Q,"紙本&amp;電子")++COUNTIFS('來案暨出貨明細表-基因檢測(201904起'!$P:$P,"*"&amp;$A18&amp;"*",'來案暨出貨明細表-基因檢測(201904起'!$B:$B,AV$1,'來案暨出貨明細表-基因檢測(201904起'!$R:$R,"中英")</f>
        <v>0</v>
      </c>
      <c r="AW18" s="33">
        <f>COUNTIFS('來案暨出貨明細表-基因檢測(201904起'!$P:$P,"*"&amp;$A18&amp;"*",'來案暨出貨明細表-基因檢測(201904起'!$B:$B,AW$1)*$B18+COUNTIFS('來案暨出貨明細表-基因檢測(201904起'!$P:$P,"*"&amp;$A18&amp;"*",'來案暨出貨明細表-基因檢測(201904起'!$B:$B,AW$1,'來案暨出貨明細表-基因檢測(201904起'!$Q:$Q,"紙本&amp;電子")++COUNTIFS('來案暨出貨明細表-基因檢測(201904起'!$P:$P,"*"&amp;$A18&amp;"*",'來案暨出貨明細表-基因檢測(201904起'!$B:$B,AW$1,'來案暨出貨明細表-基因檢測(201904起'!$R:$R,"中英")</f>
        <v>0</v>
      </c>
      <c r="AX18" s="33">
        <f>COUNTIFS('來案暨出貨明細表-基因檢測(201904起'!$P:$P,"*"&amp;$A18&amp;"*",'來案暨出貨明細表-基因檢測(201904起'!$B:$B,AX$1)*$B18+COUNTIFS('來案暨出貨明細表-基因檢測(201904起'!$P:$P,"*"&amp;$A18&amp;"*",'來案暨出貨明細表-基因檢測(201904起'!$B:$B,AX$1,'來案暨出貨明細表-基因檢測(201904起'!$Q:$Q,"紙本&amp;電子")++COUNTIFS('來案暨出貨明細表-基因檢測(201904起'!$P:$P,"*"&amp;$A18&amp;"*",'來案暨出貨明細表-基因檢測(201904起'!$B:$B,AX$1,'來案暨出貨明細表-基因檢測(201904起'!$R:$R,"中英")</f>
        <v>0</v>
      </c>
      <c r="AY18" s="33">
        <f>COUNTIFS('來案暨出貨明細表-基因檢測(201904起'!$P:$P,"*"&amp;$A18&amp;"*",'來案暨出貨明細表-基因檢測(201904起'!$B:$B,AY$1)*$B18+COUNTIFS('來案暨出貨明細表-基因檢測(201904起'!$P:$P,"*"&amp;$A18&amp;"*",'來案暨出貨明細表-基因檢測(201904起'!$B:$B,AY$1,'來案暨出貨明細表-基因檢測(201904起'!$Q:$Q,"紙本&amp;電子")++COUNTIFS('來案暨出貨明細表-基因檢測(201904起'!$P:$P,"*"&amp;$A18&amp;"*",'來案暨出貨明細表-基因檢測(201904起'!$B:$B,AY$1,'來案暨出貨明細表-基因檢測(201904起'!$R:$R,"中英")</f>
        <v>0</v>
      </c>
      <c r="AZ18" s="33">
        <f>COUNTIFS('來案暨出貨明細表-基因檢測(201904起'!$P:$P,"*"&amp;$A18&amp;"*",'來案暨出貨明細表-基因檢測(201904起'!$B:$B,AZ$1)*$B18+COUNTIFS('來案暨出貨明細表-基因檢測(201904起'!$P:$P,"*"&amp;$A18&amp;"*",'來案暨出貨明細表-基因檢測(201904起'!$B:$B,AZ$1,'來案暨出貨明細表-基因檢測(201904起'!$Q:$Q,"紙本&amp;電子")++COUNTIFS('來案暨出貨明細表-基因檢測(201904起'!$P:$P,"*"&amp;$A18&amp;"*",'來案暨出貨明細表-基因檢測(201904起'!$B:$B,AZ$1,'來案暨出貨明細表-基因檢測(201904起'!$R:$R,"中英")</f>
        <v>0</v>
      </c>
      <c r="BA18" s="33">
        <f>COUNTIFS('來案暨出貨明細表-基因檢測(201904起'!$P:$P,"*"&amp;$A18&amp;"*",'來案暨出貨明細表-基因檢測(201904起'!$B:$B,BA$1)*$B18+COUNTIFS('來案暨出貨明細表-基因檢測(201904起'!$P:$P,"*"&amp;$A18&amp;"*",'來案暨出貨明細表-基因檢測(201904起'!$B:$B,BA$1,'來案暨出貨明細表-基因檢測(201904起'!$Q:$Q,"紙本&amp;電子")++COUNTIFS('來案暨出貨明細表-基因檢測(201904起'!$P:$P,"*"&amp;$A18&amp;"*",'來案暨出貨明細表-基因檢測(201904起'!$B:$B,BA$1,'來案暨出貨明細表-基因檢測(201904起'!$R:$R,"中英")</f>
        <v>0</v>
      </c>
      <c r="BB18" s="33">
        <f>COUNTIFS('來案暨出貨明細表-基因檢測(201904起'!$P:$P,"*"&amp;$A18&amp;"*",'來案暨出貨明細表-基因檢測(201904起'!$B:$B,BB$1)*$B18+COUNTIFS('來案暨出貨明細表-基因檢測(201904起'!$P:$P,"*"&amp;$A18&amp;"*",'來案暨出貨明細表-基因檢測(201904起'!$B:$B,BB$1,'來案暨出貨明細表-基因檢測(201904起'!$Q:$Q,"紙本&amp;電子")++COUNTIFS('來案暨出貨明細表-基因檢測(201904起'!$P:$P,"*"&amp;$A18&amp;"*",'來案暨出貨明細表-基因檢測(201904起'!$B:$B,BB$1,'來案暨出貨明細表-基因檢測(201904起'!$R:$R,"中英")</f>
        <v>0</v>
      </c>
      <c r="BC18" s="33">
        <f>COUNTIFS('來案暨出貨明細表-基因檢測(201904起'!$P:$P,"*"&amp;$A18&amp;"*",'來案暨出貨明細表-基因檢測(201904起'!$B:$B,BC$1)*$B18+COUNTIFS('來案暨出貨明細表-基因檢測(201904起'!$P:$P,"*"&amp;$A18&amp;"*",'來案暨出貨明細表-基因檢測(201904起'!$B:$B,BC$1,'來案暨出貨明細表-基因檢測(201904起'!$Q:$Q,"紙本&amp;電子")++COUNTIFS('來案暨出貨明細表-基因檢測(201904起'!$P:$P,"*"&amp;$A18&amp;"*",'來案暨出貨明細表-基因檢測(201904起'!$B:$B,BC$1,'來案暨出貨明細表-基因檢測(201904起'!$R:$R,"中英")</f>
        <v>0</v>
      </c>
      <c r="BD18" s="33">
        <f>COUNTIFS('來案暨出貨明細表-基因檢測(201904起'!$P:$P,"*"&amp;$A18&amp;"*",'來案暨出貨明細表-基因檢測(201904起'!$B:$B,BD$1)*$B18+COUNTIFS('來案暨出貨明細表-基因檢測(201904起'!$P:$P,"*"&amp;$A18&amp;"*",'來案暨出貨明細表-基因檢測(201904起'!$B:$B,BD$1,'來案暨出貨明細表-基因檢測(201904起'!$Q:$Q,"紙本&amp;電子")++COUNTIFS('來案暨出貨明細表-基因檢測(201904起'!$P:$P,"*"&amp;$A18&amp;"*",'來案暨出貨明細表-基因檢測(201904起'!$B:$B,BD$1,'來案暨出貨明細表-基因檢測(201904起'!$R:$R,"中英")</f>
        <v>0</v>
      </c>
      <c r="BE18" s="33">
        <f>COUNTIFS('來案暨出貨明細表-基因檢測(201904起'!$P:$P,"*"&amp;$A18&amp;"*",'來案暨出貨明細表-基因檢測(201904起'!$B:$B,BE$1)*$B18+COUNTIFS('來案暨出貨明細表-基因檢測(201904起'!$P:$P,"*"&amp;$A18&amp;"*",'來案暨出貨明細表-基因檢測(201904起'!$B:$B,BE$1,'來案暨出貨明細表-基因檢測(201904起'!$Q:$Q,"紙本&amp;電子")++COUNTIFS('來案暨出貨明細表-基因檢測(201904起'!$P:$P,"*"&amp;$A18&amp;"*",'來案暨出貨明細表-基因檢測(201904起'!$B:$B,BE$1,'來案暨出貨明細表-基因檢測(201904起'!$R:$R,"中英")</f>
        <v>0</v>
      </c>
      <c r="BF18" s="33">
        <f>COUNTIFS('來案暨出貨明細表-基因檢測(201904起'!$P:$P,"*"&amp;$A18&amp;"*",'來案暨出貨明細表-基因檢測(201904起'!$B:$B,BF$1)*$B18+COUNTIFS('來案暨出貨明細表-基因檢測(201904起'!$P:$P,"*"&amp;$A18&amp;"*",'來案暨出貨明細表-基因檢測(201904起'!$B:$B,BF$1,'來案暨出貨明細表-基因檢測(201904起'!$Q:$Q,"紙本&amp;電子")++COUNTIFS('來案暨出貨明細表-基因檢測(201904起'!$P:$P,"*"&amp;$A18&amp;"*",'來案暨出貨明細表-基因檢測(201904起'!$B:$B,BF$1,'來案暨出貨明細表-基因檢測(201904起'!$R:$R,"中英")</f>
        <v>0</v>
      </c>
      <c r="BG18" s="33">
        <f>COUNTIFS('來案暨出貨明細表-基因檢測(201904起'!$P:$P,"*"&amp;$A18&amp;"*",'來案暨出貨明細表-基因檢測(201904起'!$B:$B,BG$1)*$B18+COUNTIFS('來案暨出貨明細表-基因檢測(201904起'!$P:$P,"*"&amp;$A18&amp;"*",'來案暨出貨明細表-基因檢測(201904起'!$B:$B,BG$1,'來案暨出貨明細表-基因檢測(201904起'!$Q:$Q,"紙本&amp;電子")++COUNTIFS('來案暨出貨明細表-基因檢測(201904起'!$P:$P,"*"&amp;$A18&amp;"*",'來案暨出貨明細表-基因檢測(201904起'!$B:$B,BG$1,'來案暨出貨明細表-基因檢測(201904起'!$R:$R,"中英")</f>
        <v>0</v>
      </c>
      <c r="BH18" s="33">
        <f>COUNTIFS('來案暨出貨明細表-基因檢測(201904起'!$P:$P,"*"&amp;$A18&amp;"*",'來案暨出貨明細表-基因檢測(201904起'!$B:$B,BH$1)*$B18+COUNTIFS('來案暨出貨明細表-基因檢測(201904起'!$P:$P,"*"&amp;$A18&amp;"*",'來案暨出貨明細表-基因檢測(201904起'!$B:$B,BH$1,'來案暨出貨明細表-基因檢測(201904起'!$Q:$Q,"紙本&amp;電子")++COUNTIFS('來案暨出貨明細表-基因檢測(201904起'!$P:$P,"*"&amp;$A18&amp;"*",'來案暨出貨明細表-基因檢測(201904起'!$B:$B,BH$1,'來案暨出貨明細表-基因檢測(201904起'!$R:$R,"中英")</f>
        <v>0</v>
      </c>
      <c r="BI18" s="33">
        <f>COUNTIFS('來案暨出貨明細表-基因檢測(201904起'!$P:$P,"*"&amp;$A18&amp;"*",'來案暨出貨明細表-基因檢測(201904起'!$B:$B,BI$1)*$B18+COUNTIFS('來案暨出貨明細表-基因檢測(201904起'!$P:$P,"*"&amp;$A18&amp;"*",'來案暨出貨明細表-基因檢測(201904起'!$B:$B,BI$1,'來案暨出貨明細表-基因檢測(201904起'!$Q:$Q,"紙本&amp;電子")++COUNTIFS('來案暨出貨明細表-基因檢測(201904起'!$P:$P,"*"&amp;$A18&amp;"*",'來案暨出貨明細表-基因檢測(201904起'!$B:$B,BI$1,'來案暨出貨明細表-基因檢測(201904起'!$R:$R,"中英")</f>
        <v>0</v>
      </c>
      <c r="BJ18" s="33">
        <f>COUNTIFS('來案暨出貨明細表-基因檢測(201904起'!$P:$P,"*"&amp;$A18&amp;"*",'來案暨出貨明細表-基因檢測(201904起'!$B:$B,BJ$1)*$B18+COUNTIFS('來案暨出貨明細表-基因檢測(201904起'!$P:$P,"*"&amp;$A18&amp;"*",'來案暨出貨明細表-基因檢測(201904起'!$B:$B,BJ$1,'來案暨出貨明細表-基因檢測(201904起'!$Q:$Q,"紙本&amp;電子")++COUNTIFS('來案暨出貨明細表-基因檢測(201904起'!$P:$P,"*"&amp;$A18&amp;"*",'來案暨出貨明細表-基因檢測(201904起'!$B:$B,BJ$1,'來案暨出貨明細表-基因檢測(201904起'!$R:$R,"中英")</f>
        <v>0</v>
      </c>
      <c r="BK18" s="33">
        <f>COUNTIFS('來案暨出貨明細表-基因檢測(201904起'!$P:$P,"*"&amp;$A18&amp;"*",'來案暨出貨明細表-基因檢測(201904起'!$B:$B,BK$1)*$B18+COUNTIFS('來案暨出貨明細表-基因檢測(201904起'!$P:$P,"*"&amp;$A18&amp;"*",'來案暨出貨明細表-基因檢測(201904起'!$B:$B,BK$1,'來案暨出貨明細表-基因檢測(201904起'!$Q:$Q,"紙本&amp;電子")++COUNTIFS('來案暨出貨明細表-基因檢測(201904起'!$P:$P,"*"&amp;$A18&amp;"*",'來案暨出貨明細表-基因檢測(201904起'!$B:$B,BK$1,'來案暨出貨明細表-基因檢測(201904起'!$R:$R,"中英")</f>
        <v>0</v>
      </c>
      <c r="BL18" s="33">
        <f>COUNTIFS('來案暨出貨明細表-基因檢測(201904起'!$P:$P,"*"&amp;$A18&amp;"*",'來案暨出貨明細表-基因檢測(201904起'!$B:$B,BL$1)*$B18+COUNTIFS('來案暨出貨明細表-基因檢測(201904起'!$P:$P,"*"&amp;$A18&amp;"*",'來案暨出貨明細表-基因檢測(201904起'!$B:$B,BL$1,'來案暨出貨明細表-基因檢測(201904起'!$Q:$Q,"紙本&amp;電子")++COUNTIFS('來案暨出貨明細表-基因檢測(201904起'!$P:$P,"*"&amp;$A18&amp;"*",'來案暨出貨明細表-基因檢測(201904起'!$B:$B,BL$1,'來案暨出貨明細表-基因檢測(201904起'!$R:$R,"中英")</f>
        <v>0</v>
      </c>
      <c r="BM18" s="33">
        <f>COUNTIFS('來案暨出貨明細表-基因檢測(201904起'!$P:$P,"*"&amp;$A18&amp;"*",'來案暨出貨明細表-基因檢測(201904起'!$B:$B,BM$1)*$B18+COUNTIFS('來案暨出貨明細表-基因檢測(201904起'!$P:$P,"*"&amp;$A18&amp;"*",'來案暨出貨明細表-基因檢測(201904起'!$B:$B,BM$1,'來案暨出貨明細表-基因檢測(201904起'!$Q:$Q,"紙本&amp;電子")++COUNTIFS('來案暨出貨明細表-基因檢測(201904起'!$P:$P,"*"&amp;$A18&amp;"*",'來案暨出貨明細表-基因檢測(201904起'!$B:$B,BM$1,'來案暨出貨明細表-基因檢測(201904起'!$R:$R,"中英")</f>
        <v>0</v>
      </c>
    </row>
    <row r="19" spans="1:65" ht="15" customHeight="1">
      <c r="A19" s="9" t="s">
        <v>4519</v>
      </c>
      <c r="B19" s="9">
        <v>1</v>
      </c>
      <c r="C19" s="13" t="s">
        <v>4520</v>
      </c>
      <c r="D19" s="142" t="s">
        <v>4521</v>
      </c>
      <c r="E19" s="33">
        <f>COUNTIFS('來案暨出貨明細表-基因檢測(201904起'!$P:$P,"*"&amp;$A19&amp;"*",'來案暨出貨明細表-基因檢測(201904起'!$B:$B,E$1)*$B19+COUNTIFS('來案暨出貨明細表-基因檢測(201904起'!$P:$P,"*"&amp;$A19&amp;"*",'來案暨出貨明細表-基因檢測(201904起'!$B:$B,E$1,'來案暨出貨明細表-基因檢測(201904起'!$Q:$Q,"紙本&amp;電子")++COUNTIFS('來案暨出貨明細表-基因檢測(201904起'!$P:$P,"*"&amp;$A19&amp;"*",'來案暨出貨明細表-基因檢測(201904起'!$B:$B,E$1,'來案暨出貨明細表-基因檢測(201904起'!$R:$R,"中英")</f>
        <v>0</v>
      </c>
      <c r="F19" s="33">
        <f>COUNTIFS('來案暨出貨明細表-基因檢測(201904起'!$P:$P,"*"&amp;$A19&amp;"*",'來案暨出貨明細表-基因檢測(201904起'!$B:$B,F$1)*$B19+COUNTIFS('來案暨出貨明細表-基因檢測(201904起'!$P:$P,"*"&amp;$A19&amp;"*",'來案暨出貨明細表-基因檢測(201904起'!$B:$B,F$1,'來案暨出貨明細表-基因檢測(201904起'!$Q:$Q,"紙本&amp;電子")++COUNTIFS('來案暨出貨明細表-基因檢測(201904起'!$P:$P,"*"&amp;$A19&amp;"*",'來案暨出貨明細表-基因檢測(201904起'!$B:$B,F$1,'來案暨出貨明細表-基因檢測(201904起'!$R:$R,"中英")</f>
        <v>0</v>
      </c>
      <c r="G19" s="33">
        <f>COUNTIFS('來案暨出貨明細表-基因檢測(201904起'!$P:$P,"*"&amp;$A19&amp;"*",'來案暨出貨明細表-基因檢測(201904起'!$B:$B,G$1)*$B19+COUNTIFS('來案暨出貨明細表-基因檢測(201904起'!$P:$P,"*"&amp;$A19&amp;"*",'來案暨出貨明細表-基因檢測(201904起'!$B:$B,G$1,'來案暨出貨明細表-基因檢測(201904起'!$Q:$Q,"紙本&amp;電子")++COUNTIFS('來案暨出貨明細表-基因檢測(201904起'!$P:$P,"*"&amp;$A19&amp;"*",'來案暨出貨明細表-基因檢測(201904起'!$B:$B,G$1,'來案暨出貨明細表-基因檢測(201904起'!$R:$R,"中英")</f>
        <v>0</v>
      </c>
      <c r="H19" s="33">
        <f>COUNTIFS('來案暨出貨明細表-基因檢測(201904起'!$P:$P,"*"&amp;$A19&amp;"*",'來案暨出貨明細表-基因檢測(201904起'!$B:$B,H$1)*$B19+COUNTIFS('來案暨出貨明細表-基因檢測(201904起'!$P:$P,"*"&amp;$A19&amp;"*",'來案暨出貨明細表-基因檢測(201904起'!$B:$B,H$1,'來案暨出貨明細表-基因檢測(201904起'!$Q:$Q,"紙本&amp;電子")++COUNTIFS('來案暨出貨明細表-基因檢測(201904起'!$P:$P,"*"&amp;$A19&amp;"*",'來案暨出貨明細表-基因檢測(201904起'!$B:$B,H$1,'來案暨出貨明細表-基因檢測(201904起'!$R:$R,"中英")</f>
        <v>0</v>
      </c>
      <c r="I19" s="33">
        <f>COUNTIFS('來案暨出貨明細表-基因檢測(201904起'!$P:$P,"*"&amp;$A19&amp;"*",'來案暨出貨明細表-基因檢測(201904起'!$B:$B,I$1)*$B19+COUNTIFS('來案暨出貨明細表-基因檢測(201904起'!$P:$P,"*"&amp;$A19&amp;"*",'來案暨出貨明細表-基因檢測(201904起'!$B:$B,I$1,'來案暨出貨明細表-基因檢測(201904起'!$Q:$Q,"紙本&amp;電子")++COUNTIFS('來案暨出貨明細表-基因檢測(201904起'!$P:$P,"*"&amp;$A19&amp;"*",'來案暨出貨明細表-基因檢測(201904起'!$B:$B,I$1,'來案暨出貨明細表-基因檢測(201904起'!$R:$R,"中英")</f>
        <v>0</v>
      </c>
      <c r="J19" s="33">
        <f>COUNTIFS('來案暨出貨明細表-基因檢測(201904起'!$P:$P,"*"&amp;$A19&amp;"*",'來案暨出貨明細表-基因檢測(201904起'!$B:$B,J$1)*$B19+COUNTIFS('來案暨出貨明細表-基因檢測(201904起'!$P:$P,"*"&amp;$A19&amp;"*",'來案暨出貨明細表-基因檢測(201904起'!$B:$B,J$1,'來案暨出貨明細表-基因檢測(201904起'!$Q:$Q,"紙本&amp;電子")++COUNTIFS('來案暨出貨明細表-基因檢測(201904起'!$P:$P,"*"&amp;$A19&amp;"*",'來案暨出貨明細表-基因檢測(201904起'!$B:$B,J$1,'來案暨出貨明細表-基因檢測(201904起'!$R:$R,"中英")</f>
        <v>0</v>
      </c>
      <c r="K19" s="33">
        <f>COUNTIFS('來案暨出貨明細表-基因檢測(201904起'!$P:$P,"*"&amp;$A19&amp;"*",'來案暨出貨明細表-基因檢測(201904起'!$B:$B,K$1)*$B19+COUNTIFS('來案暨出貨明細表-基因檢測(201904起'!$P:$P,"*"&amp;$A19&amp;"*",'來案暨出貨明細表-基因檢測(201904起'!$B:$B,K$1,'來案暨出貨明細表-基因檢測(201904起'!$Q:$Q,"紙本&amp;電子")++COUNTIFS('來案暨出貨明細表-基因檢測(201904起'!$P:$P,"*"&amp;$A19&amp;"*",'來案暨出貨明細表-基因檢測(201904起'!$B:$B,K$1,'來案暨出貨明細表-基因檢測(201904起'!$R:$R,"中英")</f>
        <v>0</v>
      </c>
      <c r="L19" s="33">
        <f>COUNTIFS('來案暨出貨明細表-基因檢測(201904起'!$P:$P,"*"&amp;$A19&amp;"*",'來案暨出貨明細表-基因檢測(201904起'!$B:$B,L$1)*$B19+COUNTIFS('來案暨出貨明細表-基因檢測(201904起'!$P:$P,"*"&amp;$A19&amp;"*",'來案暨出貨明細表-基因檢測(201904起'!$B:$B,L$1,'來案暨出貨明細表-基因檢測(201904起'!$Q:$Q,"紙本&amp;電子")++COUNTIFS('來案暨出貨明細表-基因檢測(201904起'!$P:$P,"*"&amp;$A19&amp;"*",'來案暨出貨明細表-基因檢測(201904起'!$B:$B,L$1,'來案暨出貨明細表-基因檢測(201904起'!$R:$R,"中英")</f>
        <v>0</v>
      </c>
      <c r="M19" s="33">
        <f>COUNTIFS('來案暨出貨明細表-基因檢測(201904起'!$P:$P,"*"&amp;$A19&amp;"*",'來案暨出貨明細表-基因檢測(201904起'!$B:$B,M$1)*$B19+COUNTIFS('來案暨出貨明細表-基因檢測(201904起'!$P:$P,"*"&amp;$A19&amp;"*",'來案暨出貨明細表-基因檢測(201904起'!$B:$B,M$1,'來案暨出貨明細表-基因檢測(201904起'!$Q:$Q,"紙本&amp;電子")++COUNTIFS('來案暨出貨明細表-基因檢測(201904起'!$P:$P,"*"&amp;$A19&amp;"*",'來案暨出貨明細表-基因檢測(201904起'!$B:$B,M$1,'來案暨出貨明細表-基因檢測(201904起'!$R:$R,"中英")</f>
        <v>0</v>
      </c>
      <c r="N19" s="33">
        <f>COUNTIFS('來案暨出貨明細表-基因檢測(201904起'!$P:$P,"*"&amp;$A19&amp;"*",'來案暨出貨明細表-基因檢測(201904起'!$B:$B,N$1)*$B19+COUNTIFS('來案暨出貨明細表-基因檢測(201904起'!$P:$P,"*"&amp;$A19&amp;"*",'來案暨出貨明細表-基因檢測(201904起'!$B:$B,N$1,'來案暨出貨明細表-基因檢測(201904起'!$Q:$Q,"紙本&amp;電子")++COUNTIFS('來案暨出貨明細表-基因檢測(201904起'!$P:$P,"*"&amp;$A19&amp;"*",'來案暨出貨明細表-基因檢測(201904起'!$B:$B,N$1,'來案暨出貨明細表-基因檢測(201904起'!$R:$R,"中英")</f>
        <v>0</v>
      </c>
      <c r="O19" s="33">
        <f>COUNTIFS('來案暨出貨明細表-基因檢測(201904起'!$P:$P,"*"&amp;$A19&amp;"*",'來案暨出貨明細表-基因檢測(201904起'!$B:$B,O$1)*$B19+COUNTIFS('來案暨出貨明細表-基因檢測(201904起'!$P:$P,"*"&amp;$A19&amp;"*",'來案暨出貨明細表-基因檢測(201904起'!$B:$B,O$1,'來案暨出貨明細表-基因檢測(201904起'!$Q:$Q,"紙本&amp;電子")++COUNTIFS('來案暨出貨明細表-基因檢測(201904起'!$P:$P,"*"&amp;$A19&amp;"*",'來案暨出貨明細表-基因檢測(201904起'!$B:$B,O$1,'來案暨出貨明細表-基因檢測(201904起'!$R:$R,"中英")</f>
        <v>0</v>
      </c>
      <c r="P19" s="33">
        <f>COUNTIFS('來案暨出貨明細表-基因檢測(201904起'!$P:$P,"*"&amp;$A19&amp;"*",'來案暨出貨明細表-基因檢測(201904起'!$B:$B,P$1)*$B19+COUNTIFS('來案暨出貨明細表-基因檢測(201904起'!$P:$P,"*"&amp;$A19&amp;"*",'來案暨出貨明細表-基因檢測(201904起'!$B:$B,P$1,'來案暨出貨明細表-基因檢測(201904起'!$Q:$Q,"紙本&amp;電子")++COUNTIFS('來案暨出貨明細表-基因檢測(201904起'!$P:$P,"*"&amp;$A19&amp;"*",'來案暨出貨明細表-基因檢測(201904起'!$B:$B,P$1,'來案暨出貨明細表-基因檢測(201904起'!$R:$R,"中英")</f>
        <v>0</v>
      </c>
      <c r="Q19" s="33">
        <f>COUNTIFS('來案暨出貨明細表-基因檢測(201904起'!$P:$P,"*"&amp;$A19&amp;"*",'來案暨出貨明細表-基因檢測(201904起'!$B:$B,Q$1)*$B19+COUNTIFS('來案暨出貨明細表-基因檢測(201904起'!$P:$P,"*"&amp;$A19&amp;"*",'來案暨出貨明細表-基因檢測(201904起'!$B:$B,Q$1,'來案暨出貨明細表-基因檢測(201904起'!$Q:$Q,"紙本&amp;電子")++COUNTIFS('來案暨出貨明細表-基因檢測(201904起'!$P:$P,"*"&amp;$A19&amp;"*",'來案暨出貨明細表-基因檢測(201904起'!$B:$B,Q$1,'來案暨出貨明細表-基因檢測(201904起'!$R:$R,"中英")</f>
        <v>0</v>
      </c>
      <c r="R19" s="33">
        <f>COUNTIFS('來案暨出貨明細表-基因檢測(201904起'!$P:$P,"*"&amp;$A19&amp;"*",'來案暨出貨明細表-基因檢測(201904起'!$B:$B,R$1)*$B19+COUNTIFS('來案暨出貨明細表-基因檢測(201904起'!$P:$P,"*"&amp;$A19&amp;"*",'來案暨出貨明細表-基因檢測(201904起'!$B:$B,R$1,'來案暨出貨明細表-基因檢測(201904起'!$Q:$Q,"紙本&amp;電子")++COUNTIFS('來案暨出貨明細表-基因檢測(201904起'!$P:$P,"*"&amp;$A19&amp;"*",'來案暨出貨明細表-基因檢測(201904起'!$B:$B,R$1,'來案暨出貨明細表-基因檢測(201904起'!$R:$R,"中英")</f>
        <v>0</v>
      </c>
      <c r="S19" s="33">
        <f>COUNTIFS('來案暨出貨明細表-基因檢測(201904起'!$P:$P,"*"&amp;$A19&amp;"*",'來案暨出貨明細表-基因檢測(201904起'!$B:$B,S$1)*$B19+COUNTIFS('來案暨出貨明細表-基因檢測(201904起'!$P:$P,"*"&amp;$A19&amp;"*",'來案暨出貨明細表-基因檢測(201904起'!$B:$B,S$1,'來案暨出貨明細表-基因檢測(201904起'!$Q:$Q,"紙本&amp;電子")++COUNTIFS('來案暨出貨明細表-基因檢測(201904起'!$P:$P,"*"&amp;$A19&amp;"*",'來案暨出貨明細表-基因檢測(201904起'!$B:$B,S$1,'來案暨出貨明細表-基因檢測(201904起'!$R:$R,"中英")</f>
        <v>0</v>
      </c>
      <c r="T19" s="33">
        <f>COUNTIFS('來案暨出貨明細表-基因檢測(201904起'!$P:$P,"*"&amp;$A19&amp;"*",'來案暨出貨明細表-基因檢測(201904起'!$B:$B,T$1)*$B19+COUNTIFS('來案暨出貨明細表-基因檢測(201904起'!$P:$P,"*"&amp;$A19&amp;"*",'來案暨出貨明細表-基因檢測(201904起'!$B:$B,T$1,'來案暨出貨明細表-基因檢測(201904起'!$Q:$Q,"紙本&amp;電子")++COUNTIFS('來案暨出貨明細表-基因檢測(201904起'!$P:$P,"*"&amp;$A19&amp;"*",'來案暨出貨明細表-基因檢測(201904起'!$B:$B,T$1,'來案暨出貨明細表-基因檢測(201904起'!$R:$R,"中英")</f>
        <v>0</v>
      </c>
      <c r="U19" s="33">
        <f>COUNTIFS('來案暨出貨明細表-基因檢測(201904起'!$P:$P,"*"&amp;$A19&amp;"*",'來案暨出貨明細表-基因檢測(201904起'!$B:$B,U$1)*$B19+COUNTIFS('來案暨出貨明細表-基因檢測(201904起'!$P:$P,"*"&amp;$A19&amp;"*",'來案暨出貨明細表-基因檢測(201904起'!$B:$B,U$1,'來案暨出貨明細表-基因檢測(201904起'!$Q:$Q,"紙本&amp;電子")++COUNTIFS('來案暨出貨明細表-基因檢測(201904起'!$P:$P,"*"&amp;$A19&amp;"*",'來案暨出貨明細表-基因檢測(201904起'!$B:$B,U$1,'來案暨出貨明細表-基因檢測(201904起'!$R:$R,"中英")</f>
        <v>0</v>
      </c>
      <c r="V19" s="33">
        <f>COUNTIFS('來案暨出貨明細表-基因檢測(201904起'!$P:$P,"*"&amp;$A19&amp;"*",'來案暨出貨明細表-基因檢測(201904起'!$B:$B,V$1)*$B19+COUNTIFS('來案暨出貨明細表-基因檢測(201904起'!$P:$P,"*"&amp;$A19&amp;"*",'來案暨出貨明細表-基因檢測(201904起'!$B:$B,V$1,'來案暨出貨明細表-基因檢測(201904起'!$Q:$Q,"紙本&amp;電子")++COUNTIFS('來案暨出貨明細表-基因檢測(201904起'!$P:$P,"*"&amp;$A19&amp;"*",'來案暨出貨明細表-基因檢測(201904起'!$B:$B,V$1,'來案暨出貨明細表-基因檢測(201904起'!$R:$R,"中英")</f>
        <v>0</v>
      </c>
      <c r="W19" s="33">
        <f>COUNTIFS('來案暨出貨明細表-基因檢測(201904起'!$P:$P,"*"&amp;$A19&amp;"*",'來案暨出貨明細表-基因檢測(201904起'!$B:$B,W$1)*$B19+COUNTIFS('來案暨出貨明細表-基因檢測(201904起'!$P:$P,"*"&amp;$A19&amp;"*",'來案暨出貨明細表-基因檢測(201904起'!$B:$B,W$1,'來案暨出貨明細表-基因檢測(201904起'!$Q:$Q,"紙本&amp;電子")++COUNTIFS('來案暨出貨明細表-基因檢測(201904起'!$P:$P,"*"&amp;$A19&amp;"*",'來案暨出貨明細表-基因檢測(201904起'!$B:$B,W$1,'來案暨出貨明細表-基因檢測(201904起'!$R:$R,"中英")</f>
        <v>0</v>
      </c>
      <c r="X19" s="33">
        <f>COUNTIFS('來案暨出貨明細表-基因檢測(201904起'!$P:$P,"*"&amp;$A19&amp;"*",'來案暨出貨明細表-基因檢測(201904起'!$B:$B,X$1)*$B19+COUNTIFS('來案暨出貨明細表-基因檢測(201904起'!$P:$P,"*"&amp;$A19&amp;"*",'來案暨出貨明細表-基因檢測(201904起'!$B:$B,X$1,'來案暨出貨明細表-基因檢測(201904起'!$Q:$Q,"紙本&amp;電子")++COUNTIFS('來案暨出貨明細表-基因檢測(201904起'!$P:$P,"*"&amp;$A19&amp;"*",'來案暨出貨明細表-基因檢測(201904起'!$B:$B,X$1,'來案暨出貨明細表-基因檢測(201904起'!$R:$R,"中英")</f>
        <v>0</v>
      </c>
      <c r="Y19" s="33">
        <f>COUNTIFS('來案暨出貨明細表-基因檢測(201904起'!$P:$P,"*"&amp;$A19&amp;"*",'來案暨出貨明細表-基因檢測(201904起'!$B:$B,Y$1)*$B19+COUNTIFS('來案暨出貨明細表-基因檢測(201904起'!$P:$P,"*"&amp;$A19&amp;"*",'來案暨出貨明細表-基因檢測(201904起'!$B:$B,Y$1,'來案暨出貨明細表-基因檢測(201904起'!$Q:$Q,"紙本&amp;電子")++COUNTIFS('來案暨出貨明細表-基因檢測(201904起'!$P:$P,"*"&amp;$A19&amp;"*",'來案暨出貨明細表-基因檢測(201904起'!$B:$B,Y$1,'來案暨出貨明細表-基因檢測(201904起'!$R:$R,"中英")</f>
        <v>0</v>
      </c>
      <c r="Z19" s="33">
        <f>COUNTIFS('來案暨出貨明細表-基因檢測(201904起'!$P:$P,"*"&amp;$A19&amp;"*",'來案暨出貨明細表-基因檢測(201904起'!$B:$B,Z$1)*$B19+COUNTIFS('來案暨出貨明細表-基因檢測(201904起'!$P:$P,"*"&amp;$A19&amp;"*",'來案暨出貨明細表-基因檢測(201904起'!$B:$B,Z$1,'來案暨出貨明細表-基因檢測(201904起'!$Q:$Q,"紙本&amp;電子")++COUNTIFS('來案暨出貨明細表-基因檢測(201904起'!$P:$P,"*"&amp;$A19&amp;"*",'來案暨出貨明細表-基因檢測(201904起'!$B:$B,Z$1,'來案暨出貨明細表-基因檢測(201904起'!$R:$R,"中英")</f>
        <v>0</v>
      </c>
      <c r="AA19" s="33">
        <f>COUNTIFS('來案暨出貨明細表-基因檢測(201904起'!$P:$P,"*"&amp;$A19&amp;"*",'來案暨出貨明細表-基因檢測(201904起'!$B:$B,AA$1)*$B19+COUNTIFS('來案暨出貨明細表-基因檢測(201904起'!$P:$P,"*"&amp;$A19&amp;"*",'來案暨出貨明細表-基因檢測(201904起'!$B:$B,AA$1,'來案暨出貨明細表-基因檢測(201904起'!$Q:$Q,"紙本&amp;電子")++COUNTIFS('來案暨出貨明細表-基因檢測(201904起'!$P:$P,"*"&amp;$A19&amp;"*",'來案暨出貨明細表-基因檢測(201904起'!$B:$B,AA$1,'來案暨出貨明細表-基因檢測(201904起'!$R:$R,"中英")</f>
        <v>0</v>
      </c>
      <c r="AB19" s="33">
        <f>COUNTIFS('來案暨出貨明細表-基因檢測(201904起'!$P:$P,"*"&amp;$A19&amp;"*",'來案暨出貨明細表-基因檢測(201904起'!$B:$B,AB$1)*$B19+COUNTIFS('來案暨出貨明細表-基因檢測(201904起'!$P:$P,"*"&amp;$A19&amp;"*",'來案暨出貨明細表-基因檢測(201904起'!$B:$B,AB$1,'來案暨出貨明細表-基因檢測(201904起'!$Q:$Q,"紙本&amp;電子")++COUNTIFS('來案暨出貨明細表-基因檢測(201904起'!$P:$P,"*"&amp;$A19&amp;"*",'來案暨出貨明細表-基因檢測(201904起'!$B:$B,AB$1,'來案暨出貨明細表-基因檢測(201904起'!$R:$R,"中英")</f>
        <v>0</v>
      </c>
      <c r="AC19" s="33">
        <f>COUNTIFS('來案暨出貨明細表-基因檢測(201904起'!$P:$P,"*"&amp;$A19&amp;"*",'來案暨出貨明細表-基因檢測(201904起'!$B:$B,AC$1)*$B19+COUNTIFS('來案暨出貨明細表-基因檢測(201904起'!$P:$P,"*"&amp;$A19&amp;"*",'來案暨出貨明細表-基因檢測(201904起'!$B:$B,AC$1,'來案暨出貨明細表-基因檢測(201904起'!$Q:$Q,"紙本&amp;電子")++COUNTIFS('來案暨出貨明細表-基因檢測(201904起'!$P:$P,"*"&amp;$A19&amp;"*",'來案暨出貨明細表-基因檢測(201904起'!$B:$B,AC$1,'來案暨出貨明細表-基因檢測(201904起'!$R:$R,"中英")</f>
        <v>0</v>
      </c>
      <c r="AD19" s="33">
        <f>COUNTIFS('來案暨出貨明細表-基因檢測(201904起'!$P:$P,"*"&amp;$A19&amp;"*",'來案暨出貨明細表-基因檢測(201904起'!$B:$B,AD$1)*$B19+COUNTIFS('來案暨出貨明細表-基因檢測(201904起'!$P:$P,"*"&amp;$A19&amp;"*",'來案暨出貨明細表-基因檢測(201904起'!$B:$B,AD$1,'來案暨出貨明細表-基因檢測(201904起'!$Q:$Q,"紙本&amp;電子")++COUNTIFS('來案暨出貨明細表-基因檢測(201904起'!$P:$P,"*"&amp;$A19&amp;"*",'來案暨出貨明細表-基因檢測(201904起'!$B:$B,AD$1,'來案暨出貨明細表-基因檢測(201904起'!$R:$R,"中英")</f>
        <v>0</v>
      </c>
      <c r="AE19" s="33">
        <f>COUNTIFS('來案暨出貨明細表-基因檢測(201904起'!$P:$P,"*"&amp;$A19&amp;"*",'來案暨出貨明細表-基因檢測(201904起'!$B:$B,AE$1)*$B19+COUNTIFS('來案暨出貨明細表-基因檢測(201904起'!$P:$P,"*"&amp;$A19&amp;"*",'來案暨出貨明細表-基因檢測(201904起'!$B:$B,AE$1,'來案暨出貨明細表-基因檢測(201904起'!$Q:$Q,"紙本&amp;電子")++COUNTIFS('來案暨出貨明細表-基因檢測(201904起'!$P:$P,"*"&amp;$A19&amp;"*",'來案暨出貨明細表-基因檢測(201904起'!$B:$B,AE$1,'來案暨出貨明細表-基因檢測(201904起'!$R:$R,"中英")</f>
        <v>0</v>
      </c>
      <c r="AF19" s="33">
        <f>COUNTIFS('來案暨出貨明細表-基因檢測(201904起'!$P:$P,"*"&amp;$A19&amp;"*",'來案暨出貨明細表-基因檢測(201904起'!$B:$B,AF$1)*$B19+COUNTIFS('來案暨出貨明細表-基因檢測(201904起'!$P:$P,"*"&amp;$A19&amp;"*",'來案暨出貨明細表-基因檢測(201904起'!$B:$B,AF$1,'來案暨出貨明細表-基因檢測(201904起'!$Q:$Q,"紙本&amp;電子")++COUNTIFS('來案暨出貨明細表-基因檢測(201904起'!$P:$P,"*"&amp;$A19&amp;"*",'來案暨出貨明細表-基因檢測(201904起'!$B:$B,AF$1,'來案暨出貨明細表-基因檢測(201904起'!$R:$R,"中英")</f>
        <v>0</v>
      </c>
      <c r="AG19" s="33">
        <f>COUNTIFS('來案暨出貨明細表-基因檢測(201904起'!$P:$P,"*"&amp;$A19&amp;"*",'來案暨出貨明細表-基因檢測(201904起'!$B:$B,AG$1)*$B19+COUNTIFS('來案暨出貨明細表-基因檢測(201904起'!$P:$P,"*"&amp;$A19&amp;"*",'來案暨出貨明細表-基因檢測(201904起'!$B:$B,AG$1,'來案暨出貨明細表-基因檢測(201904起'!$Q:$Q,"紙本&amp;電子")++COUNTIFS('來案暨出貨明細表-基因檢測(201904起'!$P:$P,"*"&amp;$A19&amp;"*",'來案暨出貨明細表-基因檢測(201904起'!$B:$B,AG$1,'來案暨出貨明細表-基因檢測(201904起'!$R:$R,"中英")</f>
        <v>0</v>
      </c>
      <c r="AH19" s="33">
        <f>COUNTIFS('來案暨出貨明細表-基因檢測(201904起'!$P:$P,"*"&amp;$A19&amp;"*",'來案暨出貨明細表-基因檢測(201904起'!$B:$B,AH$1)*$B19+COUNTIFS('來案暨出貨明細表-基因檢測(201904起'!$P:$P,"*"&amp;$A19&amp;"*",'來案暨出貨明細表-基因檢測(201904起'!$B:$B,AH$1,'來案暨出貨明細表-基因檢測(201904起'!$Q:$Q,"紙本&amp;電子")++COUNTIFS('來案暨出貨明細表-基因檢測(201904起'!$P:$P,"*"&amp;$A19&amp;"*",'來案暨出貨明細表-基因檢測(201904起'!$B:$B,AH$1,'來案暨出貨明細表-基因檢測(201904起'!$R:$R,"中英")</f>
        <v>0</v>
      </c>
      <c r="AI19" s="33">
        <f>COUNTIFS('來案暨出貨明細表-基因檢測(201904起'!$P:$P,"*"&amp;$A19&amp;"*",'來案暨出貨明細表-基因檢測(201904起'!$B:$B,AI$1)*$B19+COUNTIFS('來案暨出貨明細表-基因檢測(201904起'!$P:$P,"*"&amp;$A19&amp;"*",'來案暨出貨明細表-基因檢測(201904起'!$B:$B,AI$1,'來案暨出貨明細表-基因檢測(201904起'!$Q:$Q,"紙本&amp;電子")++COUNTIFS('來案暨出貨明細表-基因檢測(201904起'!$P:$P,"*"&amp;$A19&amp;"*",'來案暨出貨明細表-基因檢測(201904起'!$B:$B,AI$1,'來案暨出貨明細表-基因檢測(201904起'!$R:$R,"中英")</f>
        <v>0</v>
      </c>
      <c r="AJ19" s="33">
        <f>COUNTIFS('來案暨出貨明細表-基因檢測(201904起'!$P:$P,"*"&amp;$A19&amp;"*",'來案暨出貨明細表-基因檢測(201904起'!$B:$B,AJ$1)*$B19+COUNTIFS('來案暨出貨明細表-基因檢測(201904起'!$P:$P,"*"&amp;$A19&amp;"*",'來案暨出貨明細表-基因檢測(201904起'!$B:$B,AJ$1,'來案暨出貨明細表-基因檢測(201904起'!$Q:$Q,"紙本&amp;電子")++COUNTIFS('來案暨出貨明細表-基因檢測(201904起'!$P:$P,"*"&amp;$A19&amp;"*",'來案暨出貨明細表-基因檢測(201904起'!$B:$B,AJ$1,'來案暨出貨明細表-基因檢測(201904起'!$R:$R,"中英")-(COUNTIFS('來案暨出貨明細表-基因檢測(201904起'!$P:$P,$A23&amp;"*",'來案暨出貨明細表-基因檢測(201904起'!$B:$B,AJ$1)*$B23+COUNTIFS('來案暨出貨明細表-基因檢測(201904起'!$P:$P,$A23&amp;"*",'來案暨出貨明細表-基因檢測(201904起'!$B:$B,AJ$1,'來案暨出貨明細表-基因檢測(201904起'!$Q:$Q,"紙本&amp;電子")++COUNTIFS('來案暨出貨明細表-基因檢測(201904起'!$P:$P,$A23&amp;"*",'來案暨出貨明細表-基因檢測(201904起'!$B:$B,AJ$1,'來案暨出貨明細表-基因檢測(201904起'!$R:$R,"中英"))</f>
        <v>0</v>
      </c>
      <c r="AK19" s="33">
        <f>COUNTIFS('來案暨出貨明細表-基因檢測(201904起'!$P:$P,"*"&amp;$A19&amp;"*",'來案暨出貨明細表-基因檢測(201904起'!$B:$B,AK$1)*$B19+COUNTIFS('來案暨出貨明細表-基因檢測(201904起'!$P:$P,"*"&amp;$A19&amp;"*",'來案暨出貨明細表-基因檢測(201904起'!$B:$B,AK$1,'來案暨出貨明細表-基因檢測(201904起'!$Q:$Q,"紙本&amp;電子")++COUNTIFS('來案暨出貨明細表-基因檢測(201904起'!$P:$P,"*"&amp;$A19&amp;"*",'來案暨出貨明細表-基因檢測(201904起'!$B:$B,AK$1,'來案暨出貨明細表-基因檢測(201904起'!$R:$R,"中英")-(COUNTIFS('來案暨出貨明細表-基因檢測(201904起'!$P:$P,$A23&amp;"*",'來案暨出貨明細表-基因檢測(201904起'!$B:$B,AK$1)*$B23+COUNTIFS('來案暨出貨明細表-基因檢測(201904起'!$P:$P,$A23&amp;"*",'來案暨出貨明細表-基因檢測(201904起'!$B:$B,AK$1,'來案暨出貨明細表-基因檢測(201904起'!$Q:$Q,"紙本&amp;電子")++COUNTIFS('來案暨出貨明細表-基因檢測(201904起'!$P:$P,$A23&amp;"*",'來案暨出貨明細表-基因檢測(201904起'!$B:$B,AK$1,'來案暨出貨明細表-基因檢測(201904起'!$R:$R,"中英"))</f>
        <v>0</v>
      </c>
      <c r="AL19" s="33">
        <f>COUNTIFS('來案暨出貨明細表-基因檢測(201904起'!$P:$P,"*"&amp;$A19&amp;"*",'來案暨出貨明細表-基因檢測(201904起'!$B:$B,AL$1)*$B19+COUNTIFS('來案暨出貨明細表-基因檢測(201904起'!$P:$P,"*"&amp;$A19&amp;"*",'來案暨出貨明細表-基因檢測(201904起'!$B:$B,AL$1,'來案暨出貨明細表-基因檢測(201904起'!$Q:$Q,"紙本&amp;電子")++COUNTIFS('來案暨出貨明細表-基因檢測(201904起'!$P:$P,"*"&amp;$A19&amp;"*",'來案暨出貨明細表-基因檢測(201904起'!$B:$B,AL$1,'來案暨出貨明細表-基因檢測(201904起'!$R:$R,"中英")-(COUNTIFS('來案暨出貨明細表-基因檢測(201904起'!$P:$P,$A23&amp;"*",'來案暨出貨明細表-基因檢測(201904起'!$B:$B,AL$1)*$B23+COUNTIFS('來案暨出貨明細表-基因檢測(201904起'!$P:$P,$A23&amp;"*",'來案暨出貨明細表-基因檢測(201904起'!$B:$B,AL$1,'來案暨出貨明細表-基因檢測(201904起'!$Q:$Q,"紙本&amp;電子")++COUNTIFS('來案暨出貨明細表-基因檢測(201904起'!$P:$P,$A23&amp;"*",'來案暨出貨明細表-基因檢測(201904起'!$B:$B,AL$1,'來案暨出貨明細表-基因檢測(201904起'!$R:$R,"中英"))</f>
        <v>0</v>
      </c>
      <c r="AM19" s="33">
        <f>COUNTIFS('來案暨出貨明細表-基因檢測(201904起'!$P:$P,"*"&amp;$A19&amp;"*",'來案暨出貨明細表-基因檢測(201904起'!$B:$B,AM$1)*$B19+COUNTIFS('來案暨出貨明細表-基因檢測(201904起'!$P:$P,"*"&amp;$A19&amp;"*",'來案暨出貨明細表-基因檢測(201904起'!$B:$B,AM$1,'來案暨出貨明細表-基因檢測(201904起'!$Q:$Q,"紙本&amp;電子")++COUNTIFS('來案暨出貨明細表-基因檢測(201904起'!$P:$P,"*"&amp;$A19&amp;"*",'來案暨出貨明細表-基因檢測(201904起'!$B:$B,AM$1,'來案暨出貨明細表-基因檢測(201904起'!$R:$R,"中英")-(COUNTIFS('來案暨出貨明細表-基因檢測(201904起'!$P:$P,$A23&amp;"*",'來案暨出貨明細表-基因檢測(201904起'!$B:$B,AM$1)*$B23+COUNTIFS('來案暨出貨明細表-基因檢測(201904起'!$P:$P,$A23&amp;"*",'來案暨出貨明細表-基因檢測(201904起'!$B:$B,AM$1,'來案暨出貨明細表-基因檢測(201904起'!$Q:$Q,"紙本&amp;電子")++COUNTIFS('來案暨出貨明細表-基因檢測(201904起'!$P:$P,$A23&amp;"*",'來案暨出貨明細表-基因檢測(201904起'!$B:$B,AM$1,'來案暨出貨明細表-基因檢測(201904起'!$R:$R,"中英"))</f>
        <v>0</v>
      </c>
      <c r="AN19" s="33">
        <f>COUNTIFS('來案暨出貨明細表-基因檢測(201904起'!$P:$P,"*"&amp;$A19&amp;"*",'來案暨出貨明細表-基因檢測(201904起'!$B:$B,AN$1)*$B19+COUNTIFS('來案暨出貨明細表-基因檢測(201904起'!$P:$P,"*"&amp;$A19&amp;"*",'來案暨出貨明細表-基因檢測(201904起'!$B:$B,AN$1,'來案暨出貨明細表-基因檢測(201904起'!$Q:$Q,"紙本&amp;電子")++COUNTIFS('來案暨出貨明細表-基因檢測(201904起'!$P:$P,"*"&amp;$A19&amp;"*",'來案暨出貨明細表-基因檢測(201904起'!$B:$B,AN$1,'來案暨出貨明細表-基因檢測(201904起'!$R:$R,"中英")-(COUNTIFS('來案暨出貨明細表-基因檢測(201904起'!$P:$P,$A23&amp;"*",'來案暨出貨明細表-基因檢測(201904起'!$B:$B,AN$1)*$B23+COUNTIFS('來案暨出貨明細表-基因檢測(201904起'!$P:$P,$A23&amp;"*",'來案暨出貨明細表-基因檢測(201904起'!$B:$B,AN$1,'來案暨出貨明細表-基因檢測(201904起'!$Q:$Q,"紙本&amp;電子")++COUNTIFS('來案暨出貨明細表-基因檢測(201904起'!$P:$P,$A23&amp;"*",'來案暨出貨明細表-基因檢測(201904起'!$B:$B,AN$1,'來案暨出貨明細表-基因檢測(201904起'!$R:$R,"中英"))</f>
        <v>0</v>
      </c>
      <c r="AO19" s="33">
        <f>COUNTIFS('來案暨出貨明細表-基因檢測(201904起'!$P:$P,"*"&amp;$A19&amp;"*",'來案暨出貨明細表-基因檢測(201904起'!$B:$B,AO$1)*$B19+COUNTIFS('來案暨出貨明細表-基因檢測(201904起'!$P:$P,"*"&amp;$A19&amp;"*",'來案暨出貨明細表-基因檢測(201904起'!$B:$B,AO$1,'來案暨出貨明細表-基因檢測(201904起'!$Q:$Q,"紙本&amp;電子")++COUNTIFS('來案暨出貨明細表-基因檢測(201904起'!$P:$P,"*"&amp;$A19&amp;"*",'來案暨出貨明細表-基因檢測(201904起'!$B:$B,AO$1,'來案暨出貨明細表-基因檢測(201904起'!$R:$R,"中英")-(COUNTIFS('來案暨出貨明細表-基因檢測(201904起'!$P:$P,$A23&amp;"*",'來案暨出貨明細表-基因檢測(201904起'!$B:$B,AO$1)*$B23+COUNTIFS('來案暨出貨明細表-基因檢測(201904起'!$P:$P,$A23&amp;"*",'來案暨出貨明細表-基因檢測(201904起'!$B:$B,AO$1,'來案暨出貨明細表-基因檢測(201904起'!$Q:$Q,"紙本&amp;電子")++COUNTIFS('來案暨出貨明細表-基因檢測(201904起'!$P:$P,$A23&amp;"*",'來案暨出貨明細表-基因檢測(201904起'!$B:$B,AO$1,'來案暨出貨明細表-基因檢測(201904起'!$R:$R,"中英"))</f>
        <v>0</v>
      </c>
      <c r="AP19" s="33">
        <f>COUNTIFS('來案暨出貨明細表-基因檢測(201904起'!$P:$P,"*"&amp;$A19&amp;"*",'來案暨出貨明細表-基因檢測(201904起'!$B:$B,AP$1)*$B19+COUNTIFS('來案暨出貨明細表-基因檢測(201904起'!$P:$P,"*"&amp;$A19&amp;"*",'來案暨出貨明細表-基因檢測(201904起'!$B:$B,AP$1,'來案暨出貨明細表-基因檢測(201904起'!$Q:$Q,"紙本&amp;電子")++COUNTIFS('來案暨出貨明細表-基因檢測(201904起'!$P:$P,"*"&amp;$A19&amp;"*",'來案暨出貨明細表-基因檢測(201904起'!$B:$B,AP$1,'來案暨出貨明細表-基因檢測(201904起'!$R:$R,"中英")-(COUNTIFS('來案暨出貨明細表-基因檢測(201904起'!$P:$P,$A23&amp;"*",'來案暨出貨明細表-基因檢測(201904起'!$B:$B,AP$1)*$B23+COUNTIFS('來案暨出貨明細表-基因檢測(201904起'!$P:$P,$A23&amp;"*",'來案暨出貨明細表-基因檢測(201904起'!$B:$B,AP$1,'來案暨出貨明細表-基因檢測(201904起'!$Q:$Q,"紙本&amp;電子")++COUNTIFS('來案暨出貨明細表-基因檢測(201904起'!$P:$P,$A23&amp;"*",'來案暨出貨明細表-基因檢測(201904起'!$B:$B,AP$1,'來案暨出貨明細表-基因檢測(201904起'!$R:$R,"中英"))</f>
        <v>0</v>
      </c>
      <c r="AQ19" s="33">
        <f>COUNTIFS('來案暨出貨明細表-基因檢測(201904起'!$P:$P,"*"&amp;$A19&amp;"*",'來案暨出貨明細表-基因檢測(201904起'!$B:$B,AQ$1)*$B19+COUNTIFS('來案暨出貨明細表-基因檢測(201904起'!$P:$P,"*"&amp;$A19&amp;"*",'來案暨出貨明細表-基因檢測(201904起'!$B:$B,AQ$1,'來案暨出貨明細表-基因檢測(201904起'!$Q:$Q,"紙本&amp;電子")++COUNTIFS('來案暨出貨明細表-基因檢測(201904起'!$P:$P,"*"&amp;$A19&amp;"*",'來案暨出貨明細表-基因檢測(201904起'!$B:$B,AQ$1,'來案暨出貨明細表-基因檢測(201904起'!$R:$R,"中英")-(COUNTIFS('來案暨出貨明細表-基因檢測(201904起'!$P:$P,$A23&amp;"*",'來案暨出貨明細表-基因檢測(201904起'!$B:$B,AQ$1)*$B23+COUNTIFS('來案暨出貨明細表-基因檢測(201904起'!$P:$P,$A23&amp;"*",'來案暨出貨明細表-基因檢測(201904起'!$B:$B,AQ$1,'來案暨出貨明細表-基因檢測(201904起'!$Q:$Q,"紙本&amp;電子")++COUNTIFS('來案暨出貨明細表-基因檢測(201904起'!$P:$P,$A23&amp;"*",'來案暨出貨明細表-基因檢測(201904起'!$B:$B,AQ$1,'來案暨出貨明細表-基因檢測(201904起'!$R:$R,"中英"))</f>
        <v>0</v>
      </c>
      <c r="AR19" s="33">
        <f>COUNTIFS('來案暨出貨明細表-基因檢測(201904起'!$P:$P,"*"&amp;$A19&amp;"*",'來案暨出貨明細表-基因檢測(201904起'!$B:$B,AR$1)*$B19+COUNTIFS('來案暨出貨明細表-基因檢測(201904起'!$P:$P,"*"&amp;$A19&amp;"*",'來案暨出貨明細表-基因檢測(201904起'!$B:$B,AR$1,'來案暨出貨明細表-基因檢測(201904起'!$Q:$Q,"紙本&amp;電子")++COUNTIFS('來案暨出貨明細表-基因檢測(201904起'!$P:$P,"*"&amp;$A19&amp;"*",'來案暨出貨明細表-基因檢測(201904起'!$B:$B,AR$1,'來案暨出貨明細表-基因檢測(201904起'!$R:$R,"中英")-(COUNTIFS('來案暨出貨明細表-基因檢測(201904起'!$P:$P,$A23&amp;"*",'來案暨出貨明細表-基因檢測(201904起'!$B:$B,AR$1)*$B23+COUNTIFS('來案暨出貨明細表-基因檢測(201904起'!$P:$P,$A23&amp;"*",'來案暨出貨明細表-基因檢測(201904起'!$B:$B,AR$1,'來案暨出貨明細表-基因檢測(201904起'!$Q:$Q,"紙本&amp;電子")++COUNTIFS('來案暨出貨明細表-基因檢測(201904起'!$P:$P,$A23&amp;"*",'來案暨出貨明細表-基因檢測(201904起'!$B:$B,AR$1,'來案暨出貨明細表-基因檢測(201904起'!$R:$R,"中英"))</f>
        <v>0</v>
      </c>
      <c r="AS19" s="33">
        <f>COUNTIFS('來案暨出貨明細表-基因檢測(201904起'!$P:$P,"*"&amp;$A19&amp;"*",'來案暨出貨明細表-基因檢測(201904起'!$B:$B,AS$1)*$B19+COUNTIFS('來案暨出貨明細表-基因檢測(201904起'!$P:$P,"*"&amp;$A19&amp;"*",'來案暨出貨明細表-基因檢測(201904起'!$B:$B,AS$1,'來案暨出貨明細表-基因檢測(201904起'!$Q:$Q,"紙本&amp;電子")++COUNTIFS('來案暨出貨明細表-基因檢測(201904起'!$P:$P,"*"&amp;$A19&amp;"*",'來案暨出貨明細表-基因檢測(201904起'!$B:$B,AS$1,'來案暨出貨明細表-基因檢測(201904起'!$R:$R,"中英")-(COUNTIFS('來案暨出貨明細表-基因檢測(201904起'!$P:$P,$A23&amp;"*",'來案暨出貨明細表-基因檢測(201904起'!$B:$B,AS$1)*$B23+COUNTIFS('來案暨出貨明細表-基因檢測(201904起'!$P:$P,$A23&amp;"*",'來案暨出貨明細表-基因檢測(201904起'!$B:$B,AS$1,'來案暨出貨明細表-基因檢測(201904起'!$Q:$Q,"紙本&amp;電子")++COUNTIFS('來案暨出貨明細表-基因檢測(201904起'!$P:$P,$A23&amp;"*",'來案暨出貨明細表-基因檢測(201904起'!$B:$B,AS$1,'來案暨出貨明細表-基因檢測(201904起'!$R:$R,"中英"))</f>
        <v>0</v>
      </c>
      <c r="AT19" s="33">
        <f>COUNTIFS('來案暨出貨明細表-基因檢測(201904起'!$P:$P,"*"&amp;$A19&amp;"*",'來案暨出貨明細表-基因檢測(201904起'!$B:$B,AT$1)*$B19+COUNTIFS('來案暨出貨明細表-基因檢測(201904起'!$P:$P,"*"&amp;$A19&amp;"*",'來案暨出貨明細表-基因檢測(201904起'!$B:$B,AT$1,'來案暨出貨明細表-基因檢測(201904起'!$Q:$Q,"紙本&amp;電子")++COUNTIFS('來案暨出貨明細表-基因檢測(201904起'!$P:$P,"*"&amp;$A19&amp;"*",'來案暨出貨明細表-基因檢測(201904起'!$B:$B,AT$1,'來案暨出貨明細表-基因檢測(201904起'!$R:$R,"中英")-(COUNTIFS('來案暨出貨明細表-基因檢測(201904起'!$P:$P,$A23&amp;"*",'來案暨出貨明細表-基因檢測(201904起'!$B:$B,AT$1)*$B23+COUNTIFS('來案暨出貨明細表-基因檢測(201904起'!$P:$P,$A23&amp;"*",'來案暨出貨明細表-基因檢測(201904起'!$B:$B,AT$1,'來案暨出貨明細表-基因檢測(201904起'!$Q:$Q,"紙本&amp;電子")++COUNTIFS('來案暨出貨明細表-基因檢測(201904起'!$P:$P,$A23&amp;"*",'來案暨出貨明細表-基因檢測(201904起'!$B:$B,AT$1,'來案暨出貨明細表-基因檢測(201904起'!$R:$R,"中英"))</f>
        <v>0</v>
      </c>
      <c r="AU19" s="33">
        <f>COUNTIFS('來案暨出貨明細表-基因檢測(201904起'!$P:$P,"*"&amp;$A19&amp;"*",'來案暨出貨明細表-基因檢測(201904起'!$B:$B,AU$1)*$B19+COUNTIFS('來案暨出貨明細表-基因檢測(201904起'!$P:$P,"*"&amp;$A19&amp;"*",'來案暨出貨明細表-基因檢測(201904起'!$B:$B,AU$1,'來案暨出貨明細表-基因檢測(201904起'!$Q:$Q,"紙本&amp;電子")++COUNTIFS('來案暨出貨明細表-基因檢測(201904起'!$P:$P,"*"&amp;$A19&amp;"*",'來案暨出貨明細表-基因檢測(201904起'!$B:$B,AU$1,'來案暨出貨明細表-基因檢測(201904起'!$R:$R,"中英")-(COUNTIFS('來案暨出貨明細表-基因檢測(201904起'!$P:$P,$A23&amp;"*",'來案暨出貨明細表-基因檢測(201904起'!$B:$B,AU$1)*$B23+COUNTIFS('來案暨出貨明細表-基因檢測(201904起'!$P:$P,$A23&amp;"*",'來案暨出貨明細表-基因檢測(201904起'!$B:$B,AU$1,'來案暨出貨明細表-基因檢測(201904起'!$Q:$Q,"紙本&amp;電子")++COUNTIFS('來案暨出貨明細表-基因檢測(201904起'!$P:$P,$A23&amp;"*",'來案暨出貨明細表-基因檢測(201904起'!$B:$B,AU$1,'來案暨出貨明細表-基因檢測(201904起'!$R:$R,"中英"))</f>
        <v>0</v>
      </c>
      <c r="AV19" s="33">
        <f>COUNTIFS('來案暨出貨明細表-基因檢測(201904起'!$P:$P,"*"&amp;$A19&amp;"*",'來案暨出貨明細表-基因檢測(201904起'!$B:$B,AV$1)*$B19+COUNTIFS('來案暨出貨明細表-基因檢測(201904起'!$P:$P,"*"&amp;$A19&amp;"*",'來案暨出貨明細表-基因檢測(201904起'!$B:$B,AV$1,'來案暨出貨明細表-基因檢測(201904起'!$Q:$Q,"紙本&amp;電子")++COUNTIFS('來案暨出貨明細表-基因檢測(201904起'!$P:$P,"*"&amp;$A19&amp;"*",'來案暨出貨明細表-基因檢測(201904起'!$B:$B,AV$1,'來案暨出貨明細表-基因檢測(201904起'!$R:$R,"中英")-(COUNTIFS('來案暨出貨明細表-基因檢測(201904起'!$P:$P,$A23&amp;"*",'來案暨出貨明細表-基因檢測(201904起'!$B:$B,AV$1)*$B23+COUNTIFS('來案暨出貨明細表-基因檢測(201904起'!$P:$P,$A23&amp;"*",'來案暨出貨明細表-基因檢測(201904起'!$B:$B,AV$1,'來案暨出貨明細表-基因檢測(201904起'!$Q:$Q,"紙本&amp;電子")++COUNTIFS('來案暨出貨明細表-基因檢測(201904起'!$P:$P,$A23&amp;"*",'來案暨出貨明細表-基因檢測(201904起'!$B:$B,AV$1,'來案暨出貨明細表-基因檢測(201904起'!$R:$R,"中英"))</f>
        <v>0</v>
      </c>
      <c r="AW19" s="33">
        <f>COUNTIFS('來案暨出貨明細表-基因檢測(201904起'!$P:$P,"*"&amp;$A19&amp;"*",'來案暨出貨明細表-基因檢測(201904起'!$B:$B,AW$1)*$B19+COUNTIFS('來案暨出貨明細表-基因檢測(201904起'!$P:$P,"*"&amp;$A19&amp;"*",'來案暨出貨明細表-基因檢測(201904起'!$B:$B,AW$1,'來案暨出貨明細表-基因檢測(201904起'!$Q:$Q,"紙本&amp;電子")++COUNTIFS('來案暨出貨明細表-基因檢測(201904起'!$P:$P,"*"&amp;$A19&amp;"*",'來案暨出貨明細表-基因檢測(201904起'!$B:$B,AW$1,'來案暨出貨明細表-基因檢測(201904起'!$R:$R,"中英")-(COUNTIFS('來案暨出貨明細表-基因檢測(201904起'!$P:$P,$A23&amp;"*",'來案暨出貨明細表-基因檢測(201904起'!$B:$B,AW$1)*$B23+COUNTIFS('來案暨出貨明細表-基因檢測(201904起'!$P:$P,$A23&amp;"*",'來案暨出貨明細表-基因檢測(201904起'!$B:$B,AW$1,'來案暨出貨明細表-基因檢測(201904起'!$Q:$Q,"紙本&amp;電子")++COUNTIFS('來案暨出貨明細表-基因檢測(201904起'!$P:$P,$A23&amp;"*",'來案暨出貨明細表-基因檢測(201904起'!$B:$B,AW$1,'來案暨出貨明細表-基因檢測(201904起'!$R:$R,"中英"))</f>
        <v>0</v>
      </c>
      <c r="AX19" s="33">
        <f>COUNTIFS('來案暨出貨明細表-基因檢測(201904起'!$P:$P,"*"&amp;$A19&amp;"*",'來案暨出貨明細表-基因檢測(201904起'!$B:$B,AX$1)*$B19+COUNTIFS('來案暨出貨明細表-基因檢測(201904起'!$P:$P,"*"&amp;$A19&amp;"*",'來案暨出貨明細表-基因檢測(201904起'!$B:$B,AX$1,'來案暨出貨明細表-基因檢測(201904起'!$Q:$Q,"紙本&amp;電子")++COUNTIFS('來案暨出貨明細表-基因檢測(201904起'!$P:$P,"*"&amp;$A19&amp;"*",'來案暨出貨明細表-基因檢測(201904起'!$B:$B,AX$1,'來案暨出貨明細表-基因檢測(201904起'!$R:$R,"中英")-(COUNTIFS('來案暨出貨明細表-基因檢測(201904起'!$P:$P,$A23&amp;"*",'來案暨出貨明細表-基因檢測(201904起'!$B:$B,AX$1)*$B23+COUNTIFS('來案暨出貨明細表-基因檢測(201904起'!$P:$P,$A23&amp;"*",'來案暨出貨明細表-基因檢測(201904起'!$B:$B,AX$1,'來案暨出貨明細表-基因檢測(201904起'!$Q:$Q,"紙本&amp;電子")++COUNTIFS('來案暨出貨明細表-基因檢測(201904起'!$P:$P,$A23&amp;"*",'來案暨出貨明細表-基因檢測(201904起'!$B:$B,AX$1,'來案暨出貨明細表-基因檢測(201904起'!$R:$R,"中英"))</f>
        <v>0</v>
      </c>
      <c r="AY19" s="33">
        <f>COUNTIFS('來案暨出貨明細表-基因檢測(201904起'!$P:$P,"*"&amp;$A19&amp;"*",'來案暨出貨明細表-基因檢測(201904起'!$B:$B,AY$1)*$B19+COUNTIFS('來案暨出貨明細表-基因檢測(201904起'!$P:$P,"*"&amp;$A19&amp;"*",'來案暨出貨明細表-基因檢測(201904起'!$B:$B,AY$1,'來案暨出貨明細表-基因檢測(201904起'!$Q:$Q,"紙本&amp;電子")++COUNTIFS('來案暨出貨明細表-基因檢測(201904起'!$P:$P,"*"&amp;$A19&amp;"*",'來案暨出貨明細表-基因檢測(201904起'!$B:$B,AY$1,'來案暨出貨明細表-基因檢測(201904起'!$R:$R,"中英")-(COUNTIFS('來案暨出貨明細表-基因檢測(201904起'!$P:$P,$A23&amp;"*",'來案暨出貨明細表-基因檢測(201904起'!$B:$B,AY$1)*$B23+COUNTIFS('來案暨出貨明細表-基因檢測(201904起'!$P:$P,$A23&amp;"*",'來案暨出貨明細表-基因檢測(201904起'!$B:$B,AY$1,'來案暨出貨明細表-基因檢測(201904起'!$Q:$Q,"紙本&amp;電子")++COUNTIFS('來案暨出貨明細表-基因檢測(201904起'!$P:$P,$A23&amp;"*",'來案暨出貨明細表-基因檢測(201904起'!$B:$B,AY$1,'來案暨出貨明細表-基因檢測(201904起'!$R:$R,"中英"))</f>
        <v>0</v>
      </c>
      <c r="AZ19" s="33">
        <f>COUNTIFS('來案暨出貨明細表-基因檢測(201904起'!$P:$P,"*"&amp;$A19&amp;"*",'來案暨出貨明細表-基因檢測(201904起'!$B:$B,AZ$1)*$B19+COUNTIFS('來案暨出貨明細表-基因檢測(201904起'!$P:$P,"*"&amp;$A19&amp;"*",'來案暨出貨明細表-基因檢測(201904起'!$B:$B,AZ$1,'來案暨出貨明細表-基因檢測(201904起'!$Q:$Q,"紙本&amp;電子")++COUNTIFS('來案暨出貨明細表-基因檢測(201904起'!$P:$P,"*"&amp;$A19&amp;"*",'來案暨出貨明細表-基因檢測(201904起'!$B:$B,AZ$1,'來案暨出貨明細表-基因檢測(201904起'!$R:$R,"中英")-(COUNTIFS('來案暨出貨明細表-基因檢測(201904起'!$P:$P,$A23&amp;"*",'來案暨出貨明細表-基因檢測(201904起'!$B:$B,AZ$1)*$B23+COUNTIFS('來案暨出貨明細表-基因檢測(201904起'!$P:$P,$A23&amp;"*",'來案暨出貨明細表-基因檢測(201904起'!$B:$B,AZ$1,'來案暨出貨明細表-基因檢測(201904起'!$Q:$Q,"紙本&amp;電子")++COUNTIFS('來案暨出貨明細表-基因檢測(201904起'!$P:$P,$A23&amp;"*",'來案暨出貨明細表-基因檢測(201904起'!$B:$B,AZ$1,'來案暨出貨明細表-基因檢測(201904起'!$R:$R,"中英"))</f>
        <v>0</v>
      </c>
      <c r="BA19" s="33">
        <f>COUNTIFS('來案暨出貨明細表-基因檢測(201904起'!$P:$P,"*"&amp;$A19&amp;"*",'來案暨出貨明細表-基因檢測(201904起'!$B:$B,BA$1)*$B19+COUNTIFS('來案暨出貨明細表-基因檢測(201904起'!$P:$P,"*"&amp;$A19&amp;"*",'來案暨出貨明細表-基因檢測(201904起'!$B:$B,BA$1,'來案暨出貨明細表-基因檢測(201904起'!$Q:$Q,"紙本&amp;電子")++COUNTIFS('來案暨出貨明細表-基因檢測(201904起'!$P:$P,"*"&amp;$A19&amp;"*",'來案暨出貨明細表-基因檢測(201904起'!$B:$B,BA$1,'來案暨出貨明細表-基因檢測(201904起'!$R:$R,"中英")-(COUNTIFS('來案暨出貨明細表-基因檢測(201904起'!$P:$P,$A23&amp;"*",'來案暨出貨明細表-基因檢測(201904起'!$B:$B,BA$1)*$B23+COUNTIFS('來案暨出貨明細表-基因檢測(201904起'!$P:$P,$A23&amp;"*",'來案暨出貨明細表-基因檢測(201904起'!$B:$B,BA$1,'來案暨出貨明細表-基因檢測(201904起'!$Q:$Q,"紙本&amp;電子")++COUNTIFS('來案暨出貨明細表-基因檢測(201904起'!$P:$P,$A23&amp;"*",'來案暨出貨明細表-基因檢測(201904起'!$B:$B,BA$1,'來案暨出貨明細表-基因檢測(201904起'!$R:$R,"中英"))</f>
        <v>0</v>
      </c>
      <c r="BB19" s="33">
        <f>COUNTIFS('來案暨出貨明細表-基因檢測(201904起'!$P:$P,"*"&amp;$A19&amp;"*",'來案暨出貨明細表-基因檢測(201904起'!$B:$B,BB$1)*$B19+COUNTIFS('來案暨出貨明細表-基因檢測(201904起'!$P:$P,"*"&amp;$A19&amp;"*",'來案暨出貨明細表-基因檢測(201904起'!$B:$B,BB$1,'來案暨出貨明細表-基因檢測(201904起'!$Q:$Q,"紙本&amp;電子")++COUNTIFS('來案暨出貨明細表-基因檢測(201904起'!$P:$P,"*"&amp;$A19&amp;"*",'來案暨出貨明細表-基因檢測(201904起'!$B:$B,BB$1,'來案暨出貨明細表-基因檢測(201904起'!$R:$R,"中英")-(COUNTIFS('來案暨出貨明細表-基因檢測(201904起'!$P:$P,$A23&amp;"*",'來案暨出貨明細表-基因檢測(201904起'!$B:$B,BB$1)*$B23+COUNTIFS('來案暨出貨明細表-基因檢測(201904起'!$P:$P,$A23&amp;"*",'來案暨出貨明細表-基因檢測(201904起'!$B:$B,BB$1,'來案暨出貨明細表-基因檢測(201904起'!$Q:$Q,"紙本&amp;電子")++COUNTIFS('來案暨出貨明細表-基因檢測(201904起'!$P:$P,$A23&amp;"*",'來案暨出貨明細表-基因檢測(201904起'!$B:$B,BB$1,'來案暨出貨明細表-基因檢測(201904起'!$R:$R,"中英"))</f>
        <v>0</v>
      </c>
      <c r="BC19" s="33">
        <f>COUNTIFS('來案暨出貨明細表-基因檢測(201904起'!$P:$P,"*"&amp;$A19&amp;"*",'來案暨出貨明細表-基因檢測(201904起'!$B:$B,BC$1)*$B19+COUNTIFS('來案暨出貨明細表-基因檢測(201904起'!$P:$P,"*"&amp;$A19&amp;"*",'來案暨出貨明細表-基因檢測(201904起'!$B:$B,BC$1,'來案暨出貨明細表-基因檢測(201904起'!$Q:$Q,"紙本&amp;電子")++COUNTIFS('來案暨出貨明細表-基因檢測(201904起'!$P:$P,"*"&amp;$A19&amp;"*",'來案暨出貨明細表-基因檢測(201904起'!$B:$B,BC$1,'來案暨出貨明細表-基因檢測(201904起'!$R:$R,"中英")-(COUNTIFS('來案暨出貨明細表-基因檢測(201904起'!$P:$P,$A23&amp;"*",'來案暨出貨明細表-基因檢測(201904起'!$B:$B,BC$1)*$B23+COUNTIFS('來案暨出貨明細表-基因檢測(201904起'!$P:$P,$A23&amp;"*",'來案暨出貨明細表-基因檢測(201904起'!$B:$B,BC$1,'來案暨出貨明細表-基因檢測(201904起'!$Q:$Q,"紙本&amp;電子")++COUNTIFS('來案暨出貨明細表-基因檢測(201904起'!$P:$P,$A23&amp;"*",'來案暨出貨明細表-基因檢測(201904起'!$B:$B,BC$1,'來案暨出貨明細表-基因檢測(201904起'!$R:$R,"中英"))</f>
        <v>0</v>
      </c>
      <c r="BD19" s="33">
        <f>COUNTIFS('來案暨出貨明細表-基因檢測(201904起'!$P:$P,"*"&amp;$A19&amp;"*",'來案暨出貨明細表-基因檢測(201904起'!$B:$B,BD$1)*$B19+COUNTIFS('來案暨出貨明細表-基因檢測(201904起'!$P:$P,"*"&amp;$A19&amp;"*",'來案暨出貨明細表-基因檢測(201904起'!$B:$B,BD$1,'來案暨出貨明細表-基因檢測(201904起'!$Q:$Q,"紙本&amp;電子")++COUNTIFS('來案暨出貨明細表-基因檢測(201904起'!$P:$P,"*"&amp;$A19&amp;"*",'來案暨出貨明細表-基因檢測(201904起'!$B:$B,BD$1,'來案暨出貨明細表-基因檢測(201904起'!$R:$R,"中英")-(COUNTIFS('來案暨出貨明細表-基因檢測(201904起'!$P:$P,$A23&amp;"*",'來案暨出貨明細表-基因檢測(201904起'!$B:$B,BD$1)*$B23+COUNTIFS('來案暨出貨明細表-基因檢測(201904起'!$P:$P,$A23&amp;"*",'來案暨出貨明細表-基因檢測(201904起'!$B:$B,BD$1,'來案暨出貨明細表-基因檢測(201904起'!$Q:$Q,"紙本&amp;電子")++COUNTIFS('來案暨出貨明細表-基因檢測(201904起'!$P:$P,$A23&amp;"*",'來案暨出貨明細表-基因檢測(201904起'!$B:$B,BD$1,'來案暨出貨明細表-基因檢測(201904起'!$R:$R,"中英"))</f>
        <v>0</v>
      </c>
      <c r="BE19" s="33">
        <f>COUNTIFS('來案暨出貨明細表-基因檢測(201904起'!$P:$P,"*"&amp;$A19&amp;"*",'來案暨出貨明細表-基因檢測(201904起'!$B:$B,BE$1)*$B19+COUNTIFS('來案暨出貨明細表-基因檢測(201904起'!$P:$P,"*"&amp;$A19&amp;"*",'來案暨出貨明細表-基因檢測(201904起'!$B:$B,BE$1,'來案暨出貨明細表-基因檢測(201904起'!$Q:$Q,"紙本&amp;電子")++COUNTIFS('來案暨出貨明細表-基因檢測(201904起'!$P:$P,"*"&amp;$A19&amp;"*",'來案暨出貨明細表-基因檢測(201904起'!$B:$B,BE$1,'來案暨出貨明細表-基因檢測(201904起'!$R:$R,"中英")-(COUNTIFS('來案暨出貨明細表-基因檢測(201904起'!$P:$P,$A23&amp;"*",'來案暨出貨明細表-基因檢測(201904起'!$B:$B,BE$1)*$B23+COUNTIFS('來案暨出貨明細表-基因檢測(201904起'!$P:$P,$A23&amp;"*",'來案暨出貨明細表-基因檢測(201904起'!$B:$B,BE$1,'來案暨出貨明細表-基因檢測(201904起'!$Q:$Q,"紙本&amp;電子")++COUNTIFS('來案暨出貨明細表-基因檢測(201904起'!$P:$P,$A23&amp;"*",'來案暨出貨明細表-基因檢測(201904起'!$B:$B,BE$1,'來案暨出貨明細表-基因檢測(201904起'!$R:$R,"中英"))</f>
        <v>0</v>
      </c>
      <c r="BF19" s="33">
        <f>COUNTIFS('來案暨出貨明細表-基因檢測(201904起'!$P:$P,"*"&amp;$A19&amp;"*",'來案暨出貨明細表-基因檢測(201904起'!$B:$B,BF$1)*$B19+COUNTIFS('來案暨出貨明細表-基因檢測(201904起'!$P:$P,"*"&amp;$A19&amp;"*",'來案暨出貨明細表-基因檢測(201904起'!$B:$B,BF$1,'來案暨出貨明細表-基因檢測(201904起'!$Q:$Q,"紙本&amp;電子")++COUNTIFS('來案暨出貨明細表-基因檢測(201904起'!$P:$P,"*"&amp;$A19&amp;"*",'來案暨出貨明細表-基因檢測(201904起'!$B:$B,BF$1,'來案暨出貨明細表-基因檢測(201904起'!$R:$R,"中英")-(COUNTIFS('來案暨出貨明細表-基因檢測(201904起'!$P:$P,$A23&amp;"*",'來案暨出貨明細表-基因檢測(201904起'!$B:$B,BF$1)*$B23+COUNTIFS('來案暨出貨明細表-基因檢測(201904起'!$P:$P,$A23&amp;"*",'來案暨出貨明細表-基因檢測(201904起'!$B:$B,BF$1,'來案暨出貨明細表-基因檢測(201904起'!$Q:$Q,"紙本&amp;電子")++COUNTIFS('來案暨出貨明細表-基因檢測(201904起'!$P:$P,$A23&amp;"*",'來案暨出貨明細表-基因檢測(201904起'!$B:$B,BF$1,'來案暨出貨明細表-基因檢測(201904起'!$R:$R,"中英"))</f>
        <v>0</v>
      </c>
      <c r="BG19" s="33">
        <f>COUNTIFS('來案暨出貨明細表-基因檢測(201904起'!$P:$P,"*"&amp;$A19&amp;"*",'來案暨出貨明細表-基因檢測(201904起'!$B:$B,BG$1)*$B19+COUNTIFS('來案暨出貨明細表-基因檢測(201904起'!$P:$P,"*"&amp;$A19&amp;"*",'來案暨出貨明細表-基因檢測(201904起'!$B:$B,BG$1,'來案暨出貨明細表-基因檢測(201904起'!$Q:$Q,"紙本&amp;電子")++COUNTIFS('來案暨出貨明細表-基因檢測(201904起'!$P:$P,"*"&amp;$A19&amp;"*",'來案暨出貨明細表-基因檢測(201904起'!$B:$B,BG$1,'來案暨出貨明細表-基因檢測(201904起'!$R:$R,"中英")-(COUNTIFS('來案暨出貨明細表-基因檢測(201904起'!$P:$P,$A23&amp;"*",'來案暨出貨明細表-基因檢測(201904起'!$B:$B,BG$1)*$B23+COUNTIFS('來案暨出貨明細表-基因檢測(201904起'!$P:$P,$A23&amp;"*",'來案暨出貨明細表-基因檢測(201904起'!$B:$B,BG$1,'來案暨出貨明細表-基因檢測(201904起'!$Q:$Q,"紙本&amp;電子")++COUNTIFS('來案暨出貨明細表-基因檢測(201904起'!$P:$P,$A23&amp;"*",'來案暨出貨明細表-基因檢測(201904起'!$B:$B,BG$1,'來案暨出貨明細表-基因檢測(201904起'!$R:$R,"中英"))</f>
        <v>0</v>
      </c>
      <c r="BH19" s="33">
        <f>COUNTIFS('來案暨出貨明細表-基因檢測(201904起'!$P:$P,"*"&amp;$A19&amp;"*",'來案暨出貨明細表-基因檢測(201904起'!$B:$B,BH$1)*$B19+COUNTIFS('來案暨出貨明細表-基因檢測(201904起'!$P:$P,"*"&amp;$A19&amp;"*",'來案暨出貨明細表-基因檢測(201904起'!$B:$B,BH$1,'來案暨出貨明細表-基因檢測(201904起'!$Q:$Q,"紙本&amp;電子")++COUNTIFS('來案暨出貨明細表-基因檢測(201904起'!$P:$P,"*"&amp;$A19&amp;"*",'來案暨出貨明細表-基因檢測(201904起'!$B:$B,BH$1,'來案暨出貨明細表-基因檢測(201904起'!$R:$R,"中英")-(COUNTIFS('來案暨出貨明細表-基因檢測(201904起'!$P:$P,$A23&amp;"*",'來案暨出貨明細表-基因檢測(201904起'!$B:$B,BH$1)*$B23+COUNTIFS('來案暨出貨明細表-基因檢測(201904起'!$P:$P,$A23&amp;"*",'來案暨出貨明細表-基因檢測(201904起'!$B:$B,BH$1,'來案暨出貨明細表-基因檢測(201904起'!$Q:$Q,"紙本&amp;電子")++COUNTIFS('來案暨出貨明細表-基因檢測(201904起'!$P:$P,$A23&amp;"*",'來案暨出貨明細表-基因檢測(201904起'!$B:$B,BH$1,'來案暨出貨明細表-基因檢測(201904起'!$R:$R,"中英"))</f>
        <v>0</v>
      </c>
      <c r="BI19" s="33">
        <f>COUNTIFS('來案暨出貨明細表-基因檢測(201904起'!$P:$P,"*"&amp;$A19&amp;"*",'來案暨出貨明細表-基因檢測(201904起'!$B:$B,BI$1)*$B19+COUNTIFS('來案暨出貨明細表-基因檢測(201904起'!$P:$P,"*"&amp;$A19&amp;"*",'來案暨出貨明細表-基因檢測(201904起'!$B:$B,BI$1,'來案暨出貨明細表-基因檢測(201904起'!$Q:$Q,"紙本&amp;電子")++COUNTIFS('來案暨出貨明細表-基因檢測(201904起'!$P:$P,"*"&amp;$A19&amp;"*",'來案暨出貨明細表-基因檢測(201904起'!$B:$B,BI$1,'來案暨出貨明細表-基因檢測(201904起'!$R:$R,"中英")-(COUNTIFS('來案暨出貨明細表-基因檢測(201904起'!$P:$P,$A23&amp;"*",'來案暨出貨明細表-基因檢測(201904起'!$B:$B,BI$1)*$B23+COUNTIFS('來案暨出貨明細表-基因檢測(201904起'!$P:$P,$A23&amp;"*",'來案暨出貨明細表-基因檢測(201904起'!$B:$B,BI$1,'來案暨出貨明細表-基因檢測(201904起'!$Q:$Q,"紙本&amp;電子")++COUNTIFS('來案暨出貨明細表-基因檢測(201904起'!$P:$P,$A23&amp;"*",'來案暨出貨明細表-基因檢測(201904起'!$B:$B,BI$1,'來案暨出貨明細表-基因檢測(201904起'!$R:$R,"中英"))</f>
        <v>0</v>
      </c>
      <c r="BJ19" s="33">
        <f>COUNTIFS('來案暨出貨明細表-基因檢測(201904起'!$P:$P,"*"&amp;$A19&amp;"*",'來案暨出貨明細表-基因檢測(201904起'!$B:$B,BJ$1)*$B19+COUNTIFS('來案暨出貨明細表-基因檢測(201904起'!$P:$P,"*"&amp;$A19&amp;"*",'來案暨出貨明細表-基因檢測(201904起'!$B:$B,BJ$1,'來案暨出貨明細表-基因檢測(201904起'!$Q:$Q,"紙本&amp;電子")++COUNTIFS('來案暨出貨明細表-基因檢測(201904起'!$P:$P,"*"&amp;$A19&amp;"*",'來案暨出貨明細表-基因檢測(201904起'!$B:$B,BJ$1,'來案暨出貨明細表-基因檢測(201904起'!$R:$R,"中英")-(COUNTIFS('來案暨出貨明細表-基因檢測(201904起'!$P:$P,$A23&amp;"*",'來案暨出貨明細表-基因檢測(201904起'!$B:$B,BJ$1)*$B23+COUNTIFS('來案暨出貨明細表-基因檢測(201904起'!$P:$P,$A23&amp;"*",'來案暨出貨明細表-基因檢測(201904起'!$B:$B,BJ$1,'來案暨出貨明細表-基因檢測(201904起'!$Q:$Q,"紙本&amp;電子")++COUNTIFS('來案暨出貨明細表-基因檢測(201904起'!$P:$P,$A23&amp;"*",'來案暨出貨明細表-基因檢測(201904起'!$B:$B,BJ$1,'來案暨出貨明細表-基因檢測(201904起'!$R:$R,"中英"))</f>
        <v>0</v>
      </c>
      <c r="BK19" s="33">
        <f>COUNTIFS('來案暨出貨明細表-基因檢測(201904起'!$P:$P,"*"&amp;$A19&amp;"*",'來案暨出貨明細表-基因檢測(201904起'!$B:$B,BK$1)*$B19+COUNTIFS('來案暨出貨明細表-基因檢測(201904起'!$P:$P,"*"&amp;$A19&amp;"*",'來案暨出貨明細表-基因檢測(201904起'!$B:$B,BK$1,'來案暨出貨明細表-基因檢測(201904起'!$Q:$Q,"紙本&amp;電子")++COUNTIFS('來案暨出貨明細表-基因檢測(201904起'!$P:$P,"*"&amp;$A19&amp;"*",'來案暨出貨明細表-基因檢測(201904起'!$B:$B,BK$1,'來案暨出貨明細表-基因檢測(201904起'!$R:$R,"中英")-(COUNTIFS('來案暨出貨明細表-基因檢測(201904起'!$P:$P,$A23&amp;"*",'來案暨出貨明細表-基因檢測(201904起'!$B:$B,BK$1)*$B23+COUNTIFS('來案暨出貨明細表-基因檢測(201904起'!$P:$P,$A23&amp;"*",'來案暨出貨明細表-基因檢測(201904起'!$B:$B,BK$1,'來案暨出貨明細表-基因檢測(201904起'!$Q:$Q,"紙本&amp;電子")++COUNTIFS('來案暨出貨明細表-基因檢測(201904起'!$P:$P,$A23&amp;"*",'來案暨出貨明細表-基因檢測(201904起'!$B:$B,BK$1,'來案暨出貨明細表-基因檢測(201904起'!$R:$R,"中英"))</f>
        <v>0</v>
      </c>
      <c r="BL19" s="33">
        <f>COUNTIFS('來案暨出貨明細表-基因檢測(201904起'!$P:$P,"*"&amp;$A19&amp;"*",'來案暨出貨明細表-基因檢測(201904起'!$B:$B,BL$1)*$B19+COUNTIFS('來案暨出貨明細表-基因檢測(201904起'!$P:$P,"*"&amp;$A19&amp;"*",'來案暨出貨明細表-基因檢測(201904起'!$B:$B,BL$1,'來案暨出貨明細表-基因檢測(201904起'!$Q:$Q,"紙本&amp;電子")++COUNTIFS('來案暨出貨明細表-基因檢測(201904起'!$P:$P,"*"&amp;$A19&amp;"*",'來案暨出貨明細表-基因檢測(201904起'!$B:$B,BL$1,'來案暨出貨明細表-基因檢測(201904起'!$R:$R,"中英")-(COUNTIFS('來案暨出貨明細表-基因檢測(201904起'!$P:$P,$A23&amp;"*",'來案暨出貨明細表-基因檢測(201904起'!$B:$B,BL$1)*$B23+COUNTIFS('來案暨出貨明細表-基因檢測(201904起'!$P:$P,$A23&amp;"*",'來案暨出貨明細表-基因檢測(201904起'!$B:$B,BL$1,'來案暨出貨明細表-基因檢測(201904起'!$Q:$Q,"紙本&amp;電子")++COUNTIFS('來案暨出貨明細表-基因檢測(201904起'!$P:$P,$A23&amp;"*",'來案暨出貨明細表-基因檢測(201904起'!$B:$B,BL$1,'來案暨出貨明細表-基因檢測(201904起'!$R:$R,"中英"))</f>
        <v>0</v>
      </c>
      <c r="BM19" s="33">
        <f>COUNTIFS('來案暨出貨明細表-基因檢測(201904起'!$P:$P,"*"&amp;$A19&amp;"*",'來案暨出貨明細表-基因檢測(201904起'!$B:$B,BM$1)*$B19+COUNTIFS('來案暨出貨明細表-基因檢測(201904起'!$P:$P,"*"&amp;$A19&amp;"*",'來案暨出貨明細表-基因檢測(201904起'!$B:$B,BM$1,'來案暨出貨明細表-基因檢測(201904起'!$Q:$Q,"紙本&amp;電子")++COUNTIFS('來案暨出貨明細表-基因檢測(201904起'!$P:$P,"*"&amp;$A19&amp;"*",'來案暨出貨明細表-基因檢測(201904起'!$B:$B,BM$1,'來案暨出貨明細表-基因檢測(201904起'!$R:$R,"中英")-(COUNTIFS('來案暨出貨明細表-基因檢測(201904起'!$P:$P,$A23&amp;"*",'來案暨出貨明細表-基因檢測(201904起'!$B:$B,BM$1)*$B23+COUNTIFS('來案暨出貨明細表-基因檢測(201904起'!$P:$P,$A23&amp;"*",'來案暨出貨明細表-基因檢測(201904起'!$B:$B,BM$1,'來案暨出貨明細表-基因檢測(201904起'!$Q:$Q,"紙本&amp;電子")++COUNTIFS('來案暨出貨明細表-基因檢測(201904起'!$P:$P,$A23&amp;"*",'來案暨出貨明細表-基因檢測(201904起'!$B:$B,BM$1,'來案暨出貨明細表-基因檢測(201904起'!$R:$R,"中英"))</f>
        <v>0</v>
      </c>
    </row>
    <row r="20" spans="1:65" ht="15" customHeight="1">
      <c r="A20" s="9" t="s">
        <v>4522</v>
      </c>
      <c r="B20" s="9">
        <v>1</v>
      </c>
      <c r="C20" s="13" t="s">
        <v>4523</v>
      </c>
      <c r="D20" s="142" t="s">
        <v>4524</v>
      </c>
      <c r="E20" s="33">
        <f>COUNTIFS('來案暨出貨明細表-基因檢測(201904起'!$P:$P,"*"&amp;$A20&amp;"*",'來案暨出貨明細表-基因檢測(201904起'!$B:$B,E$1)*$B20+COUNTIFS('來案暨出貨明細表-基因檢測(201904起'!$P:$P,"*"&amp;$A20&amp;"*",'來案暨出貨明細表-基因檢測(201904起'!$B:$B,E$1,'來案暨出貨明細表-基因檢測(201904起'!$Q:$Q,"紙本&amp;電子")++COUNTIFS('來案暨出貨明細表-基因檢測(201904起'!$P:$P,"*"&amp;$A20&amp;"*",'來案暨出貨明細表-基因檢測(201904起'!$B:$B,E$1,'來案暨出貨明細表-基因檢測(201904起'!$R:$R,"中英")</f>
        <v>0</v>
      </c>
      <c r="F20" s="33">
        <f>COUNTIFS('來案暨出貨明細表-基因檢測(201904起'!$P:$P,"*"&amp;$A20&amp;"*",'來案暨出貨明細表-基因檢測(201904起'!$B:$B,F$1)*$B20+COUNTIFS('來案暨出貨明細表-基因檢測(201904起'!$P:$P,"*"&amp;$A20&amp;"*",'來案暨出貨明細表-基因檢測(201904起'!$B:$B,F$1,'來案暨出貨明細表-基因檢測(201904起'!$Q:$Q,"紙本&amp;電子")++COUNTIFS('來案暨出貨明細表-基因檢測(201904起'!$P:$P,"*"&amp;$A20&amp;"*",'來案暨出貨明細表-基因檢測(201904起'!$B:$B,F$1,'來案暨出貨明細表-基因檢測(201904起'!$R:$R,"中英")</f>
        <v>0</v>
      </c>
      <c r="G20" s="33">
        <f>COUNTIFS('來案暨出貨明細表-基因檢測(201904起'!$P:$P,"*"&amp;$A20&amp;"*",'來案暨出貨明細表-基因檢測(201904起'!$B:$B,G$1)*$B20+COUNTIFS('來案暨出貨明細表-基因檢測(201904起'!$P:$P,"*"&amp;$A20&amp;"*",'來案暨出貨明細表-基因檢測(201904起'!$B:$B,G$1,'來案暨出貨明細表-基因檢測(201904起'!$Q:$Q,"紙本&amp;電子")++COUNTIFS('來案暨出貨明細表-基因檢測(201904起'!$P:$P,"*"&amp;$A20&amp;"*",'來案暨出貨明細表-基因檢測(201904起'!$B:$B,G$1,'來案暨出貨明細表-基因檢測(201904起'!$R:$R,"中英")</f>
        <v>0</v>
      </c>
      <c r="H20" s="33">
        <f>COUNTIFS('來案暨出貨明細表-基因檢測(201904起'!$P:$P,"*"&amp;$A20&amp;"*",'來案暨出貨明細表-基因檢測(201904起'!$B:$B,H$1)*$B20+COUNTIFS('來案暨出貨明細表-基因檢測(201904起'!$P:$P,"*"&amp;$A20&amp;"*",'來案暨出貨明細表-基因檢測(201904起'!$B:$B,H$1,'來案暨出貨明細表-基因檢測(201904起'!$Q:$Q,"紙本&amp;電子")++COUNTIFS('來案暨出貨明細表-基因檢測(201904起'!$P:$P,"*"&amp;$A20&amp;"*",'來案暨出貨明細表-基因檢測(201904起'!$B:$B,H$1,'來案暨出貨明細表-基因檢測(201904起'!$R:$R,"中英")</f>
        <v>0</v>
      </c>
      <c r="I20" s="33">
        <f>COUNTIFS('來案暨出貨明細表-基因檢測(201904起'!$P:$P,"*"&amp;$A20&amp;"*",'來案暨出貨明細表-基因檢測(201904起'!$B:$B,I$1)*$B20+COUNTIFS('來案暨出貨明細表-基因檢測(201904起'!$P:$P,"*"&amp;$A20&amp;"*",'來案暨出貨明細表-基因檢測(201904起'!$B:$B,I$1,'來案暨出貨明細表-基因檢測(201904起'!$Q:$Q,"紙本&amp;電子")++COUNTIFS('來案暨出貨明細表-基因檢測(201904起'!$P:$P,"*"&amp;$A20&amp;"*",'來案暨出貨明細表-基因檢測(201904起'!$B:$B,I$1,'來案暨出貨明細表-基因檢測(201904起'!$R:$R,"中英")</f>
        <v>0</v>
      </c>
      <c r="J20" s="33">
        <f>COUNTIFS('來案暨出貨明細表-基因檢測(201904起'!$P:$P,"*"&amp;$A20&amp;"*",'來案暨出貨明細表-基因檢測(201904起'!$B:$B,J$1)*$B20+COUNTIFS('來案暨出貨明細表-基因檢測(201904起'!$P:$P,"*"&amp;$A20&amp;"*",'來案暨出貨明細表-基因檢測(201904起'!$B:$B,J$1,'來案暨出貨明細表-基因檢測(201904起'!$Q:$Q,"紙本&amp;電子")++COUNTIFS('來案暨出貨明細表-基因檢測(201904起'!$P:$P,"*"&amp;$A20&amp;"*",'來案暨出貨明細表-基因檢測(201904起'!$B:$B,J$1,'來案暨出貨明細表-基因檢測(201904起'!$R:$R,"中英")</f>
        <v>0</v>
      </c>
      <c r="K20" s="33">
        <f>COUNTIFS('來案暨出貨明細表-基因檢測(201904起'!$P:$P,"*"&amp;$A20&amp;"*",'來案暨出貨明細表-基因檢測(201904起'!$B:$B,K$1)*$B20+COUNTIFS('來案暨出貨明細表-基因檢測(201904起'!$P:$P,"*"&amp;$A20&amp;"*",'來案暨出貨明細表-基因檢測(201904起'!$B:$B,K$1,'來案暨出貨明細表-基因檢測(201904起'!$Q:$Q,"紙本&amp;電子")++COUNTIFS('來案暨出貨明細表-基因檢測(201904起'!$P:$P,"*"&amp;$A20&amp;"*",'來案暨出貨明細表-基因檢測(201904起'!$B:$B,K$1,'來案暨出貨明細表-基因檢測(201904起'!$R:$R,"中英")</f>
        <v>0</v>
      </c>
      <c r="L20" s="33">
        <f>COUNTIFS('來案暨出貨明細表-基因檢測(201904起'!$P:$P,"*"&amp;$A20&amp;"*",'來案暨出貨明細表-基因檢測(201904起'!$B:$B,L$1)*$B20+COUNTIFS('來案暨出貨明細表-基因檢測(201904起'!$P:$P,"*"&amp;$A20&amp;"*",'來案暨出貨明細表-基因檢測(201904起'!$B:$B,L$1,'來案暨出貨明細表-基因檢測(201904起'!$Q:$Q,"紙本&amp;電子")++COUNTIFS('來案暨出貨明細表-基因檢測(201904起'!$P:$P,"*"&amp;$A20&amp;"*",'來案暨出貨明細表-基因檢測(201904起'!$B:$B,L$1,'來案暨出貨明細表-基因檢測(201904起'!$R:$R,"中英")</f>
        <v>0</v>
      </c>
      <c r="M20" s="33">
        <f>COUNTIFS('來案暨出貨明細表-基因檢測(201904起'!$P:$P,"*"&amp;$A20&amp;"*",'來案暨出貨明細表-基因檢測(201904起'!$B:$B,M$1)*$B20+COUNTIFS('來案暨出貨明細表-基因檢測(201904起'!$P:$P,"*"&amp;$A20&amp;"*",'來案暨出貨明細表-基因檢測(201904起'!$B:$B,M$1,'來案暨出貨明細表-基因檢測(201904起'!$Q:$Q,"紙本&amp;電子")+COUNTIFS('來案暨出貨明細表-基因檢測(201904起'!$P:$P,"*"&amp;$A20&amp;"*",'來案暨出貨明細表-基因檢測(201904起'!$B:$B,M$1,'來案暨出貨明細表-基因檢測(201904起'!$R:$R,"中英")</f>
        <v>1</v>
      </c>
      <c r="N20" s="33">
        <f>COUNTIFS('來案暨出貨明細表-基因檢測(201904起'!$P:$P,"*"&amp;$A20&amp;"*",'來案暨出貨明細表-基因檢測(201904起'!$B:$B,N$1)*$B20+COUNTIFS('來案暨出貨明細表-基因檢測(201904起'!$P:$P,"*"&amp;$A20&amp;"*",'來案暨出貨明細表-基因檢測(201904起'!$B:$B,N$1,'來案暨出貨明細表-基因檢測(201904起'!$Q:$Q,"紙本&amp;電子")++COUNTIFS('來案暨出貨明細表-基因檢測(201904起'!$P:$P,"*"&amp;$A20&amp;"*",'來案暨出貨明細表-基因檢測(201904起'!$B:$B,N$1,'來案暨出貨明細表-基因檢測(201904起'!$R:$R,"中英")</f>
        <v>0</v>
      </c>
      <c r="O20" s="33">
        <f>COUNTIFS('來案暨出貨明細表-基因檢測(201904起'!$P:$P,"*"&amp;$A20&amp;"*",'來案暨出貨明細表-基因檢測(201904起'!$B:$B,O$1)*$B20+COUNTIFS('來案暨出貨明細表-基因檢測(201904起'!$P:$P,"*"&amp;$A20&amp;"*",'來案暨出貨明細表-基因檢測(201904起'!$B:$B,O$1,'來案暨出貨明細表-基因檢測(201904起'!$Q:$Q,"紙本&amp;電子")++COUNTIFS('來案暨出貨明細表-基因檢測(201904起'!$P:$P,"*"&amp;$A20&amp;"*",'來案暨出貨明細表-基因檢測(201904起'!$B:$B,O$1,'來案暨出貨明細表-基因檢測(201904起'!$R:$R,"中英")</f>
        <v>0</v>
      </c>
      <c r="P20" s="33">
        <f>COUNTIFS('來案暨出貨明細表-基因檢測(201904起'!$P:$P,"*"&amp;$A20&amp;"*",'來案暨出貨明細表-基因檢測(201904起'!$B:$B,P$1)*$B20+COUNTIFS('來案暨出貨明細表-基因檢測(201904起'!$P:$P,"*"&amp;$A20&amp;"*",'來案暨出貨明細表-基因檢測(201904起'!$B:$B,P$1,'來案暨出貨明細表-基因檢測(201904起'!$Q:$Q,"紙本&amp;電子")++COUNTIFS('來案暨出貨明細表-基因檢測(201904起'!$P:$P,"*"&amp;$A20&amp;"*",'來案暨出貨明細表-基因檢測(201904起'!$B:$B,P$1,'來案暨出貨明細表-基因檢測(201904起'!$R:$R,"中英")</f>
        <v>0</v>
      </c>
      <c r="Q20" s="33">
        <f>COUNTIFS('來案暨出貨明細表-基因檢測(201904起'!$P:$P,"*"&amp;$A20&amp;"*",'來案暨出貨明細表-基因檢測(201904起'!$B:$B,Q$1)*$B20+COUNTIFS('來案暨出貨明細表-基因檢測(201904起'!$P:$P,"*"&amp;$A20&amp;"*",'來案暨出貨明細表-基因檢測(201904起'!$B:$B,Q$1,'來案暨出貨明細表-基因檢測(201904起'!$Q:$Q,"紙本&amp;電子")++COUNTIFS('來案暨出貨明細表-基因檢測(201904起'!$P:$P,"*"&amp;$A20&amp;"*",'來案暨出貨明細表-基因檢測(201904起'!$B:$B,Q$1,'來案暨出貨明細表-基因檢測(201904起'!$R:$R,"中英")</f>
        <v>0</v>
      </c>
      <c r="R20" s="33">
        <f>COUNTIFS('來案暨出貨明細表-基因檢測(201904起'!$P:$P,"*"&amp;$A20&amp;"*",'來案暨出貨明細表-基因檢測(201904起'!$B:$B,R$1)*$B20+COUNTIFS('來案暨出貨明細表-基因檢測(201904起'!$P:$P,"*"&amp;$A20&amp;"*",'來案暨出貨明細表-基因檢測(201904起'!$B:$B,R$1,'來案暨出貨明細表-基因檢測(201904起'!$Q:$Q,"紙本&amp;電子")++COUNTIFS('來案暨出貨明細表-基因檢測(201904起'!$P:$P,"*"&amp;$A20&amp;"*",'來案暨出貨明細表-基因檢測(201904起'!$B:$B,R$1,'來案暨出貨明細表-基因檢測(201904起'!$R:$R,"中英")</f>
        <v>0</v>
      </c>
      <c r="S20" s="33">
        <f>COUNTIFS('來案暨出貨明細表-基因檢測(201904起'!$P:$P,"*"&amp;$A20&amp;"*",'來案暨出貨明細表-基因檢測(201904起'!$B:$B,S$1)*$B20+COUNTIFS('來案暨出貨明細表-基因檢測(201904起'!$P:$P,"*"&amp;$A20&amp;"*",'來案暨出貨明細表-基因檢測(201904起'!$B:$B,S$1,'來案暨出貨明細表-基因檢測(201904起'!$Q:$Q,"紙本&amp;電子")++COUNTIFS('來案暨出貨明細表-基因檢測(201904起'!$P:$P,"*"&amp;$A20&amp;"*",'來案暨出貨明細表-基因檢測(201904起'!$B:$B,S$1,'來案暨出貨明細表-基因檢測(201904起'!$R:$R,"中英")</f>
        <v>0</v>
      </c>
      <c r="T20" s="33">
        <f>COUNTIFS('來案暨出貨明細表-基因檢測(201904起'!$P:$P,"*"&amp;$A20&amp;"*",'來案暨出貨明細表-基因檢測(201904起'!$B:$B,T$1)*$B20+COUNTIFS('來案暨出貨明細表-基因檢測(201904起'!$P:$P,"*"&amp;$A20&amp;"*",'來案暨出貨明細表-基因檢測(201904起'!$B:$B,T$1,'來案暨出貨明細表-基因檢測(201904起'!$Q:$Q,"紙本&amp;電子")++COUNTIFS('來案暨出貨明細表-基因檢測(201904起'!$P:$P,"*"&amp;$A20&amp;"*",'來案暨出貨明細表-基因檢測(201904起'!$B:$B,T$1,'來案暨出貨明細表-基因檢測(201904起'!$R:$R,"中英")</f>
        <v>0</v>
      </c>
      <c r="U20" s="33">
        <f>COUNTIFS('來案暨出貨明細表-基因檢測(201904起'!$P:$P,"*"&amp;$A20&amp;"*",'來案暨出貨明細表-基因檢測(201904起'!$B:$B,U$1)*$B20+COUNTIFS('來案暨出貨明細表-基因檢測(201904起'!$P:$P,"*"&amp;$A20&amp;"*",'來案暨出貨明細表-基因檢測(201904起'!$B:$B,U$1,'來案暨出貨明細表-基因檢測(201904起'!$Q:$Q,"紙本&amp;電子")++COUNTIFS('來案暨出貨明細表-基因檢測(201904起'!$P:$P,"*"&amp;$A20&amp;"*",'來案暨出貨明細表-基因檢測(201904起'!$B:$B,U$1,'來案暨出貨明細表-基因檢測(201904起'!$R:$R,"中英")</f>
        <v>0</v>
      </c>
      <c r="V20" s="33">
        <f>COUNTIFS('來案暨出貨明細表-基因檢測(201904起'!$P:$P,"*"&amp;$A20&amp;"*",'來案暨出貨明細表-基因檢測(201904起'!$B:$B,V$1)*$B20+COUNTIFS('來案暨出貨明細表-基因檢測(201904起'!$P:$P,"*"&amp;$A20&amp;"*",'來案暨出貨明細表-基因檢測(201904起'!$B:$B,V$1,'來案暨出貨明細表-基因檢測(201904起'!$Q:$Q,"紙本&amp;電子")++COUNTIFS('來案暨出貨明細表-基因檢測(201904起'!$P:$P,"*"&amp;$A20&amp;"*",'來案暨出貨明細表-基因檢測(201904起'!$B:$B,V$1,'來案暨出貨明細表-基因檢測(201904起'!$R:$R,"中英")</f>
        <v>0</v>
      </c>
      <c r="W20" s="33">
        <f>COUNTIFS('來案暨出貨明細表-基因檢測(201904起'!$P:$P,"*"&amp;$A20&amp;"*",'來案暨出貨明細表-基因檢測(201904起'!$B:$B,W$1)*$B20+COUNTIFS('來案暨出貨明細表-基因檢測(201904起'!$P:$P,"*"&amp;$A20&amp;"*",'來案暨出貨明細表-基因檢測(201904起'!$B:$B,W$1,'來案暨出貨明細表-基因檢測(201904起'!$Q:$Q,"紙本&amp;電子")++COUNTIFS('來案暨出貨明細表-基因檢測(201904起'!$P:$P,"*"&amp;$A20&amp;"*",'來案暨出貨明細表-基因檢測(201904起'!$B:$B,W$1,'來案暨出貨明細表-基因檢測(201904起'!$R:$R,"中英")</f>
        <v>0</v>
      </c>
      <c r="X20" s="33">
        <f>COUNTIFS('來案暨出貨明細表-基因檢測(201904起'!$P:$P,"*"&amp;$A20&amp;"*",'來案暨出貨明細表-基因檢測(201904起'!$B:$B,X$1)*$B20+COUNTIFS('來案暨出貨明細表-基因檢測(201904起'!$P:$P,"*"&amp;$A20&amp;"*",'來案暨出貨明細表-基因檢測(201904起'!$B:$B,X$1,'來案暨出貨明細表-基因檢測(201904起'!$Q:$Q,"紙本&amp;電子")++COUNTIFS('來案暨出貨明細表-基因檢測(201904起'!$P:$P,"*"&amp;$A20&amp;"*",'來案暨出貨明細表-基因檢測(201904起'!$B:$B,X$1,'來案暨出貨明細表-基因檢測(201904起'!$R:$R,"中英")</f>
        <v>0</v>
      </c>
      <c r="Y20" s="33">
        <f>COUNTIFS('來案暨出貨明細表-基因檢測(201904起'!$P:$P,"*"&amp;$A20&amp;"*",'來案暨出貨明細表-基因檢測(201904起'!$B:$B,Y$1)*$B20+COUNTIFS('來案暨出貨明細表-基因檢測(201904起'!$P:$P,"*"&amp;$A20&amp;"*",'來案暨出貨明細表-基因檢測(201904起'!$B:$B,Y$1,'來案暨出貨明細表-基因檢測(201904起'!$Q:$Q,"紙本&amp;電子")++COUNTIFS('來案暨出貨明細表-基因檢測(201904起'!$P:$P,"*"&amp;$A20&amp;"*",'來案暨出貨明細表-基因檢測(201904起'!$B:$B,Y$1,'來案暨出貨明細表-基因檢測(201904起'!$R:$R,"中英")</f>
        <v>0</v>
      </c>
      <c r="Z20" s="33">
        <f>COUNTIFS('來案暨出貨明細表-基因檢測(201904起'!$P:$P,"*"&amp;$A20&amp;"*",'來案暨出貨明細表-基因檢測(201904起'!$B:$B,Z$1)*$B20+COUNTIFS('來案暨出貨明細表-基因檢測(201904起'!$P:$P,"*"&amp;$A20&amp;"*",'來案暨出貨明細表-基因檢測(201904起'!$B:$B,Z$1,'來案暨出貨明細表-基因檢測(201904起'!$Q:$Q,"紙本&amp;電子")++COUNTIFS('來案暨出貨明細表-基因檢測(201904起'!$P:$P,"*"&amp;$A20&amp;"*",'來案暨出貨明細表-基因檢測(201904起'!$B:$B,Z$1,'來案暨出貨明細表-基因檢測(201904起'!$R:$R,"中英")</f>
        <v>0</v>
      </c>
      <c r="AA20" s="33">
        <f>COUNTIFS('來案暨出貨明細表-基因檢測(201904起'!$P:$P,"*"&amp;$A20&amp;"*",'來案暨出貨明細表-基因檢測(201904起'!$B:$B,AA$1)*$B20+COUNTIFS('來案暨出貨明細表-基因檢測(201904起'!$P:$P,"*"&amp;$A20&amp;"*",'來案暨出貨明細表-基因檢測(201904起'!$B:$B,AA$1,'來案暨出貨明細表-基因檢測(201904起'!$Q:$Q,"紙本&amp;電子")++COUNTIFS('來案暨出貨明細表-基因檢測(201904起'!$P:$P,"*"&amp;$A20&amp;"*",'來案暨出貨明細表-基因檢測(201904起'!$B:$B,AA$1,'來案暨出貨明細表-基因檢測(201904起'!$R:$R,"中英")</f>
        <v>0</v>
      </c>
      <c r="AB20" s="33">
        <f>COUNTIFS('來案暨出貨明細表-基因檢測(201904起'!$P:$P,"*"&amp;$A20&amp;"*",'來案暨出貨明細表-基因檢測(201904起'!$B:$B,AB$1)*$B20+COUNTIFS('來案暨出貨明細表-基因檢測(201904起'!$P:$P,"*"&amp;$A20&amp;"*",'來案暨出貨明細表-基因檢測(201904起'!$B:$B,AB$1,'來案暨出貨明細表-基因檢測(201904起'!$Q:$Q,"紙本&amp;電子")++COUNTIFS('來案暨出貨明細表-基因檢測(201904起'!$P:$P,"*"&amp;$A20&amp;"*",'來案暨出貨明細表-基因檢測(201904起'!$B:$B,AB$1,'來案暨出貨明細表-基因檢測(201904起'!$R:$R,"中英")</f>
        <v>0</v>
      </c>
      <c r="AC20" s="33">
        <f>COUNTIFS('來案暨出貨明細表-基因檢測(201904起'!$P:$P,"*"&amp;$A20&amp;"*",'來案暨出貨明細表-基因檢測(201904起'!$B:$B,AC$1)*$B20+COUNTIFS('來案暨出貨明細表-基因檢測(201904起'!$P:$P,"*"&amp;$A20&amp;"*",'來案暨出貨明細表-基因檢測(201904起'!$B:$B,AC$1,'來案暨出貨明細表-基因檢測(201904起'!$Q:$Q,"紙本&amp;電子")++COUNTIFS('來案暨出貨明細表-基因檢測(201904起'!$P:$P,"*"&amp;$A20&amp;"*",'來案暨出貨明細表-基因檢測(201904起'!$B:$B,AC$1,'來案暨出貨明細表-基因檢測(201904起'!$R:$R,"中英")</f>
        <v>0</v>
      </c>
      <c r="AD20" s="33">
        <f>COUNTIFS('來案暨出貨明細表-基因檢測(201904起'!$P:$P,"*"&amp;$A20&amp;"*",'來案暨出貨明細表-基因檢測(201904起'!$B:$B,AD$1)*$B20+COUNTIFS('來案暨出貨明細表-基因檢測(201904起'!$P:$P,"*"&amp;$A20&amp;"*",'來案暨出貨明細表-基因檢測(201904起'!$B:$B,AD$1,'來案暨出貨明細表-基因檢測(201904起'!$Q:$Q,"紙本&amp;電子")++COUNTIFS('來案暨出貨明細表-基因檢測(201904起'!$P:$P,"*"&amp;$A20&amp;"*",'來案暨出貨明細表-基因檢測(201904起'!$B:$B,AD$1,'來案暨出貨明細表-基因檢測(201904起'!$R:$R,"中英")</f>
        <v>0</v>
      </c>
      <c r="AE20" s="33">
        <f>COUNTIFS('來案暨出貨明細表-基因檢測(201904起'!$P:$P,"*"&amp;$A20&amp;"*",'來案暨出貨明細表-基因檢測(201904起'!$B:$B,AE$1)*$B20+COUNTIFS('來案暨出貨明細表-基因檢測(201904起'!$P:$P,"*"&amp;$A20&amp;"*",'來案暨出貨明細表-基因檢測(201904起'!$B:$B,AE$1,'來案暨出貨明細表-基因檢測(201904起'!$Q:$Q,"紙本&amp;電子")++COUNTIFS('來案暨出貨明細表-基因檢測(201904起'!$P:$P,"*"&amp;$A20&amp;"*",'來案暨出貨明細表-基因檢測(201904起'!$B:$B,AE$1,'來案暨出貨明細表-基因檢測(201904起'!$R:$R,"中英")</f>
        <v>0</v>
      </c>
      <c r="AF20" s="33">
        <f>COUNTIFS('來案暨出貨明細表-基因檢測(201904起'!$P:$P,"*"&amp;$A20&amp;"*",'來案暨出貨明細表-基因檢測(201904起'!$B:$B,AF$1)*$B20+COUNTIFS('來案暨出貨明細表-基因檢測(201904起'!$P:$P,"*"&amp;$A20&amp;"*",'來案暨出貨明細表-基因檢測(201904起'!$B:$B,AF$1,'來案暨出貨明細表-基因檢測(201904起'!$Q:$Q,"紙本&amp;電子")++COUNTIFS('來案暨出貨明細表-基因檢測(201904起'!$P:$P,"*"&amp;$A20&amp;"*",'來案暨出貨明細表-基因檢測(201904起'!$B:$B,AF$1,'來案暨出貨明細表-基因檢測(201904起'!$R:$R,"中英")</f>
        <v>0</v>
      </c>
      <c r="AG20" s="33">
        <f>COUNTIFS('來案暨出貨明細表-基因檢測(201904起'!$P:$P,"*"&amp;$A20&amp;"*",'來案暨出貨明細表-基因檢測(201904起'!$B:$B,AG$1)*$B20+COUNTIFS('來案暨出貨明細表-基因檢測(201904起'!$P:$P,"*"&amp;$A20&amp;"*",'來案暨出貨明細表-基因檢測(201904起'!$B:$B,AG$1,'來案暨出貨明細表-基因檢測(201904起'!$Q:$Q,"紙本&amp;電子")++COUNTIFS('來案暨出貨明細表-基因檢測(201904起'!$P:$P,"*"&amp;$A20&amp;"*",'來案暨出貨明細表-基因檢測(201904起'!$B:$B,AG$1,'來案暨出貨明細表-基因檢測(201904起'!$R:$R,"中英")</f>
        <v>0</v>
      </c>
      <c r="AH20" s="33">
        <f>COUNTIFS('來案暨出貨明細表-基因檢測(201904起'!$P:$P,"*"&amp;$A20&amp;"*",'來案暨出貨明細表-基因檢測(201904起'!$B:$B,AH$1)*$B20+COUNTIFS('來案暨出貨明細表-基因檢測(201904起'!$P:$P,"*"&amp;$A20&amp;"*",'來案暨出貨明細表-基因檢測(201904起'!$B:$B,AH$1,'來案暨出貨明細表-基因檢測(201904起'!$Q:$Q,"紙本&amp;電子")++COUNTIFS('來案暨出貨明細表-基因檢測(201904起'!$P:$P,"*"&amp;$A20&amp;"*",'來案暨出貨明細表-基因檢測(201904起'!$B:$B,AH$1,'來案暨出貨明細表-基因檢測(201904起'!$R:$R,"中英")</f>
        <v>0</v>
      </c>
      <c r="AI20" s="33">
        <f>COUNTIFS('來案暨出貨明細表-基因檢測(201904起'!$P:$P,"*"&amp;$A20&amp;"*",'來案暨出貨明細表-基因檢測(201904起'!$B:$B,AI$1)*$B20+COUNTIFS('來案暨出貨明細表-基因檢測(201904起'!$P:$P,"*"&amp;$A20&amp;"*",'來案暨出貨明細表-基因檢測(201904起'!$B:$B,AI$1,'來案暨出貨明細表-基因檢測(201904起'!$Q:$Q,"紙本&amp;電子")++COUNTIFS('來案暨出貨明細表-基因檢測(201904起'!$P:$P,"*"&amp;$A20&amp;"*",'來案暨出貨明細表-基因檢測(201904起'!$B:$B,AI$1,'來案暨出貨明細表-基因檢測(201904起'!$R:$R,"中英")</f>
        <v>0</v>
      </c>
      <c r="AJ20" s="33">
        <f>COUNTIFS('來案暨出貨明細表-基因檢測(201904起'!$P:$P,"*"&amp;$A20&amp;"*",'來案暨出貨明細表-基因檢測(201904起'!$B:$B,AJ$1)*$B20+COUNTIFS('來案暨出貨明細表-基因檢測(201904起'!$P:$P,"*"&amp;$A20&amp;"*",'來案暨出貨明細表-基因檢測(201904起'!$B:$B,AJ$1,'來案暨出貨明細表-基因檢測(201904起'!$Q:$Q,"紙本&amp;電子")++COUNTIFS('來案暨出貨明細表-基因檢測(201904起'!$P:$P,"*"&amp;$A20&amp;"*",'來案暨出貨明細表-基因檢測(201904起'!$B:$B,AJ$1,'來案暨出貨明細表-基因檢測(201904起'!$R:$R,"中英")</f>
        <v>0</v>
      </c>
      <c r="AK20" s="33">
        <f>COUNTIFS('來案暨出貨明細表-基因檢測(201904起'!$P:$P,"*"&amp;$A20&amp;"*",'來案暨出貨明細表-基因檢測(201904起'!$B:$B,AK$1)*$B20+COUNTIFS('來案暨出貨明細表-基因檢測(201904起'!$P:$P,"*"&amp;$A20&amp;"*",'來案暨出貨明細表-基因檢測(201904起'!$B:$B,AK$1,'來案暨出貨明細表-基因檢測(201904起'!$Q:$Q,"紙本&amp;電子")++COUNTIFS('來案暨出貨明細表-基因檢測(201904起'!$P:$P,"*"&amp;$A20&amp;"*",'來案暨出貨明細表-基因檢測(201904起'!$B:$B,AK$1,'來案暨出貨明細表-基因檢測(201904起'!$R:$R,"中英")</f>
        <v>0</v>
      </c>
      <c r="AL20" s="33">
        <f>COUNTIFS('來案暨出貨明細表-基因檢測(201904起'!$P:$P,"*"&amp;$A20&amp;"*",'來案暨出貨明細表-基因檢測(201904起'!$B:$B,AL$1)*$B20+COUNTIFS('來案暨出貨明細表-基因檢測(201904起'!$P:$P,"*"&amp;$A20&amp;"*",'來案暨出貨明細表-基因檢測(201904起'!$B:$B,AL$1,'來案暨出貨明細表-基因檢測(201904起'!$Q:$Q,"紙本&amp;電子")++COUNTIFS('來案暨出貨明細表-基因檢測(201904起'!$P:$P,"*"&amp;$A20&amp;"*",'來案暨出貨明細表-基因檢測(201904起'!$B:$B,AL$1,'來案暨出貨明細表-基因檢測(201904起'!$R:$R,"中英")</f>
        <v>0</v>
      </c>
      <c r="AM20" s="33">
        <f>COUNTIFS('來案暨出貨明細表-基因檢測(201904起'!$P:$P,"*"&amp;$A20&amp;"*",'來案暨出貨明細表-基因檢測(201904起'!$B:$B,AM$1)*$B20+COUNTIFS('來案暨出貨明細表-基因檢測(201904起'!$P:$P,"*"&amp;$A20&amp;"*",'來案暨出貨明細表-基因檢測(201904起'!$B:$B,AM$1,'來案暨出貨明細表-基因檢測(201904起'!$Q:$Q,"紙本&amp;電子")++COUNTIFS('來案暨出貨明細表-基因檢測(201904起'!$P:$P,"*"&amp;$A20&amp;"*",'來案暨出貨明細表-基因檢測(201904起'!$B:$B,AM$1,'來案暨出貨明細表-基因檢測(201904起'!$R:$R,"中英")</f>
        <v>0</v>
      </c>
      <c r="AN20" s="33">
        <f>COUNTIFS('來案暨出貨明細表-基因檢測(201904起'!$P:$P,"*"&amp;$A20&amp;"*",'來案暨出貨明細表-基因檢測(201904起'!$B:$B,AN$1)*$B20+COUNTIFS('來案暨出貨明細表-基因檢測(201904起'!$P:$P,"*"&amp;$A20&amp;"*",'來案暨出貨明細表-基因檢測(201904起'!$B:$B,AN$1,'來案暨出貨明細表-基因檢測(201904起'!$Q:$Q,"紙本&amp;電子")++COUNTIFS('來案暨出貨明細表-基因檢測(201904起'!$P:$P,"*"&amp;$A20&amp;"*",'來案暨出貨明細表-基因檢測(201904起'!$B:$B,AN$1,'來案暨出貨明細表-基因檢測(201904起'!$R:$R,"中英")</f>
        <v>0</v>
      </c>
      <c r="AO20" s="33">
        <f>COUNTIFS('來案暨出貨明細表-基因檢測(201904起'!$P:$P,"*"&amp;$A20&amp;"*",'來案暨出貨明細表-基因檢測(201904起'!$B:$B,AO$1)*$B20+COUNTIFS('來案暨出貨明細表-基因檢測(201904起'!$P:$P,"*"&amp;$A20&amp;"*",'來案暨出貨明細表-基因檢測(201904起'!$B:$B,AO$1,'來案暨出貨明細表-基因檢測(201904起'!$Q:$Q,"紙本&amp;電子")++COUNTIFS('來案暨出貨明細表-基因檢測(201904起'!$P:$P,"*"&amp;$A20&amp;"*",'來案暨出貨明細表-基因檢測(201904起'!$B:$B,AO$1,'來案暨出貨明細表-基因檢測(201904起'!$R:$R,"中英")</f>
        <v>0</v>
      </c>
      <c r="AP20" s="33">
        <f>COUNTIFS('來案暨出貨明細表-基因檢測(201904起'!$P:$P,"*"&amp;$A20&amp;"*",'來案暨出貨明細表-基因檢測(201904起'!$B:$B,AP$1)*$B20+COUNTIFS('來案暨出貨明細表-基因檢測(201904起'!$P:$P,"*"&amp;$A20&amp;"*",'來案暨出貨明細表-基因檢測(201904起'!$B:$B,AP$1,'來案暨出貨明細表-基因檢測(201904起'!$Q:$Q,"紙本&amp;電子")++COUNTIFS('來案暨出貨明細表-基因檢測(201904起'!$P:$P,"*"&amp;$A20&amp;"*",'來案暨出貨明細表-基因檢測(201904起'!$B:$B,AP$1,'來案暨出貨明細表-基因檢測(201904起'!$R:$R,"中英")</f>
        <v>0</v>
      </c>
      <c r="AQ20" s="33">
        <f>COUNTIFS('來案暨出貨明細表-基因檢測(201904起'!$P:$P,"*"&amp;$A20&amp;"*",'來案暨出貨明細表-基因檢測(201904起'!$B:$B,AQ$1)*$B20+COUNTIFS('來案暨出貨明細表-基因檢測(201904起'!$P:$P,"*"&amp;$A20&amp;"*",'來案暨出貨明細表-基因檢測(201904起'!$B:$B,AQ$1,'來案暨出貨明細表-基因檢測(201904起'!$Q:$Q,"紙本&amp;電子")++COUNTIFS('來案暨出貨明細表-基因檢測(201904起'!$P:$P,"*"&amp;$A20&amp;"*",'來案暨出貨明細表-基因檢測(201904起'!$B:$B,AQ$1,'來案暨出貨明細表-基因檢測(201904起'!$R:$R,"中英")</f>
        <v>0</v>
      </c>
      <c r="AR20" s="33">
        <f>COUNTIFS('來案暨出貨明細表-基因檢測(201904起'!$P:$P,"*"&amp;$A20&amp;"*",'來案暨出貨明細表-基因檢測(201904起'!$B:$B,AR$1)*$B20+COUNTIFS('來案暨出貨明細表-基因檢測(201904起'!$P:$P,"*"&amp;$A20&amp;"*",'來案暨出貨明細表-基因檢測(201904起'!$B:$B,AR$1,'來案暨出貨明細表-基因檢測(201904起'!$Q:$Q,"紙本&amp;電子")++COUNTIFS('來案暨出貨明細表-基因檢測(201904起'!$P:$P,"*"&amp;$A20&amp;"*",'來案暨出貨明細表-基因檢測(201904起'!$B:$B,AR$1,'來案暨出貨明細表-基因檢測(201904起'!$R:$R,"中英")</f>
        <v>0</v>
      </c>
      <c r="AS20" s="33">
        <f>COUNTIFS('來案暨出貨明細表-基因檢測(201904起'!$P:$P,"*"&amp;$A20&amp;"*",'來案暨出貨明細表-基因檢測(201904起'!$B:$B,AS$1)*$B20+COUNTIFS('來案暨出貨明細表-基因檢測(201904起'!$P:$P,"*"&amp;$A20&amp;"*",'來案暨出貨明細表-基因檢測(201904起'!$B:$B,AS$1,'來案暨出貨明細表-基因檢測(201904起'!$Q:$Q,"紙本&amp;電子")++COUNTIFS('來案暨出貨明細表-基因檢測(201904起'!$P:$P,"*"&amp;$A20&amp;"*",'來案暨出貨明細表-基因檢測(201904起'!$B:$B,AS$1,'來案暨出貨明細表-基因檢測(201904起'!$R:$R,"中英")</f>
        <v>0</v>
      </c>
      <c r="AT20" s="33">
        <f>COUNTIFS('來案暨出貨明細表-基因檢測(201904起'!$P:$P,"*"&amp;$A20&amp;"*",'來案暨出貨明細表-基因檢測(201904起'!$B:$B,AT$1)*$B20+COUNTIFS('來案暨出貨明細表-基因檢測(201904起'!$P:$P,"*"&amp;$A20&amp;"*",'來案暨出貨明細表-基因檢測(201904起'!$B:$B,AT$1,'來案暨出貨明細表-基因檢測(201904起'!$Q:$Q,"紙本&amp;電子")++COUNTIFS('來案暨出貨明細表-基因檢測(201904起'!$P:$P,"*"&amp;$A20&amp;"*",'來案暨出貨明細表-基因檢測(201904起'!$B:$B,AT$1,'來案暨出貨明細表-基因檢測(201904起'!$R:$R,"中英")</f>
        <v>0</v>
      </c>
      <c r="AU20" s="33">
        <f>COUNTIFS('來案暨出貨明細表-基因檢測(201904起'!$P:$P,"*"&amp;$A20&amp;"*",'來案暨出貨明細表-基因檢測(201904起'!$B:$B,AU$1)*$B20+COUNTIFS('來案暨出貨明細表-基因檢測(201904起'!$P:$P,"*"&amp;$A20&amp;"*",'來案暨出貨明細表-基因檢測(201904起'!$B:$B,AU$1,'來案暨出貨明細表-基因檢測(201904起'!$Q:$Q,"紙本&amp;電子")++COUNTIFS('來案暨出貨明細表-基因檢測(201904起'!$P:$P,"*"&amp;$A20&amp;"*",'來案暨出貨明細表-基因檢測(201904起'!$B:$B,AU$1,'來案暨出貨明細表-基因檢測(201904起'!$R:$R,"中英")</f>
        <v>0</v>
      </c>
      <c r="AV20" s="33">
        <f>COUNTIFS('來案暨出貨明細表-基因檢測(201904起'!$P:$P,"*"&amp;$A20&amp;"*",'來案暨出貨明細表-基因檢測(201904起'!$B:$B,AV$1)*$B20+COUNTIFS('來案暨出貨明細表-基因檢測(201904起'!$P:$P,"*"&amp;$A20&amp;"*",'來案暨出貨明細表-基因檢測(201904起'!$B:$B,AV$1,'來案暨出貨明細表-基因檢測(201904起'!$Q:$Q,"紙本&amp;電子")++COUNTIFS('來案暨出貨明細表-基因檢測(201904起'!$P:$P,"*"&amp;$A20&amp;"*",'來案暨出貨明細表-基因檢測(201904起'!$B:$B,AV$1,'來案暨出貨明細表-基因檢測(201904起'!$R:$R,"中英")</f>
        <v>0</v>
      </c>
      <c r="AW20" s="33">
        <f>COUNTIFS('來案暨出貨明細表-基因檢測(201904起'!$P:$P,"*"&amp;$A20&amp;"*",'來案暨出貨明細表-基因檢測(201904起'!$B:$B,AW$1)*$B20+COUNTIFS('來案暨出貨明細表-基因檢測(201904起'!$P:$P,"*"&amp;$A20&amp;"*",'來案暨出貨明細表-基因檢測(201904起'!$B:$B,AW$1,'來案暨出貨明細表-基因檢測(201904起'!$Q:$Q,"紙本&amp;電子")++COUNTIFS('來案暨出貨明細表-基因檢測(201904起'!$P:$P,"*"&amp;$A20&amp;"*",'來案暨出貨明細表-基因檢測(201904起'!$B:$B,AW$1,'來案暨出貨明細表-基因檢測(201904起'!$R:$R,"中英")</f>
        <v>0</v>
      </c>
      <c r="AX20" s="33">
        <f>COUNTIFS('來案暨出貨明細表-基因檢測(201904起'!$P:$P,"*"&amp;$A20&amp;"*",'來案暨出貨明細表-基因檢測(201904起'!$B:$B,AX$1)*$B20+COUNTIFS('來案暨出貨明細表-基因檢測(201904起'!$P:$P,"*"&amp;$A20&amp;"*",'來案暨出貨明細表-基因檢測(201904起'!$B:$B,AX$1,'來案暨出貨明細表-基因檢測(201904起'!$Q:$Q,"紙本&amp;電子")++COUNTIFS('來案暨出貨明細表-基因檢測(201904起'!$P:$P,"*"&amp;$A20&amp;"*",'來案暨出貨明細表-基因檢測(201904起'!$B:$B,AX$1,'來案暨出貨明細表-基因檢測(201904起'!$R:$R,"中英")</f>
        <v>0</v>
      </c>
      <c r="AY20" s="33">
        <f>COUNTIFS('來案暨出貨明細表-基因檢測(201904起'!$P:$P,"*"&amp;$A20&amp;"*",'來案暨出貨明細表-基因檢測(201904起'!$B:$B,AY$1)*$B20+COUNTIFS('來案暨出貨明細表-基因檢測(201904起'!$P:$P,"*"&amp;$A20&amp;"*",'來案暨出貨明細表-基因檢測(201904起'!$B:$B,AY$1,'來案暨出貨明細表-基因檢測(201904起'!$Q:$Q,"紙本&amp;電子")++COUNTIFS('來案暨出貨明細表-基因檢測(201904起'!$P:$P,"*"&amp;$A20&amp;"*",'來案暨出貨明細表-基因檢測(201904起'!$B:$B,AY$1,'來案暨出貨明細表-基因檢測(201904起'!$R:$R,"中英")</f>
        <v>0</v>
      </c>
      <c r="AZ20" s="33">
        <f>COUNTIFS('來案暨出貨明細表-基因檢測(201904起'!$P:$P,"*"&amp;$A20&amp;"*",'來案暨出貨明細表-基因檢測(201904起'!$B:$B,AZ$1)*$B20+COUNTIFS('來案暨出貨明細表-基因檢測(201904起'!$P:$P,"*"&amp;$A20&amp;"*",'來案暨出貨明細表-基因檢測(201904起'!$B:$B,AZ$1,'來案暨出貨明細表-基因檢測(201904起'!$Q:$Q,"紙本&amp;電子")++COUNTIFS('來案暨出貨明細表-基因檢測(201904起'!$P:$P,"*"&amp;$A20&amp;"*",'來案暨出貨明細表-基因檢測(201904起'!$B:$B,AZ$1,'來案暨出貨明細表-基因檢測(201904起'!$R:$R,"中英")</f>
        <v>0</v>
      </c>
      <c r="BA20" s="33">
        <f>COUNTIFS('來案暨出貨明細表-基因檢測(201904起'!$P:$P,"*"&amp;$A20&amp;"*",'來案暨出貨明細表-基因檢測(201904起'!$B:$B,BA$1)*$B20+COUNTIFS('來案暨出貨明細表-基因檢測(201904起'!$P:$P,"*"&amp;$A20&amp;"*",'來案暨出貨明細表-基因檢測(201904起'!$B:$B,BA$1,'來案暨出貨明細表-基因檢測(201904起'!$Q:$Q,"紙本&amp;電子")++COUNTIFS('來案暨出貨明細表-基因檢測(201904起'!$P:$P,"*"&amp;$A20&amp;"*",'來案暨出貨明細表-基因檢測(201904起'!$B:$B,BA$1,'來案暨出貨明細表-基因檢測(201904起'!$R:$R,"中英")</f>
        <v>0</v>
      </c>
      <c r="BB20" s="33">
        <f>COUNTIFS('來案暨出貨明細表-基因檢測(201904起'!$P:$P,"*"&amp;$A20&amp;"*",'來案暨出貨明細表-基因檢測(201904起'!$B:$B,BB$1)*$B20+COUNTIFS('來案暨出貨明細表-基因檢測(201904起'!$P:$P,"*"&amp;$A20&amp;"*",'來案暨出貨明細表-基因檢測(201904起'!$B:$B,BB$1,'來案暨出貨明細表-基因檢測(201904起'!$Q:$Q,"紙本&amp;電子")++COUNTIFS('來案暨出貨明細表-基因檢測(201904起'!$P:$P,"*"&amp;$A20&amp;"*",'來案暨出貨明細表-基因檢測(201904起'!$B:$B,BB$1,'來案暨出貨明細表-基因檢測(201904起'!$R:$R,"中英")</f>
        <v>0</v>
      </c>
      <c r="BC20" s="33">
        <f>COUNTIFS('來案暨出貨明細表-基因檢測(201904起'!$P:$P,"*"&amp;$A20&amp;"*",'來案暨出貨明細表-基因檢測(201904起'!$B:$B,BC$1)*$B20+COUNTIFS('來案暨出貨明細表-基因檢測(201904起'!$P:$P,"*"&amp;$A20&amp;"*",'來案暨出貨明細表-基因檢測(201904起'!$B:$B,BC$1,'來案暨出貨明細表-基因檢測(201904起'!$Q:$Q,"紙本&amp;電子")++COUNTIFS('來案暨出貨明細表-基因檢測(201904起'!$P:$P,"*"&amp;$A20&amp;"*",'來案暨出貨明細表-基因檢測(201904起'!$B:$B,BC$1,'來案暨出貨明細表-基因檢測(201904起'!$R:$R,"中英")</f>
        <v>0</v>
      </c>
      <c r="BD20" s="33">
        <f>COUNTIFS('來案暨出貨明細表-基因檢測(201904起'!$P:$P,"*"&amp;$A20&amp;"*",'來案暨出貨明細表-基因檢測(201904起'!$B:$B,BD$1)*$B20+COUNTIFS('來案暨出貨明細表-基因檢測(201904起'!$P:$P,"*"&amp;$A20&amp;"*",'來案暨出貨明細表-基因檢測(201904起'!$B:$B,BD$1,'來案暨出貨明細表-基因檢測(201904起'!$Q:$Q,"紙本&amp;電子")++COUNTIFS('來案暨出貨明細表-基因檢測(201904起'!$P:$P,"*"&amp;$A20&amp;"*",'來案暨出貨明細表-基因檢測(201904起'!$B:$B,BD$1,'來案暨出貨明細表-基因檢測(201904起'!$R:$R,"中英")</f>
        <v>0</v>
      </c>
      <c r="BE20" s="33">
        <f>COUNTIFS('來案暨出貨明細表-基因檢測(201904起'!$P:$P,"*"&amp;$A20&amp;"*",'來案暨出貨明細表-基因檢測(201904起'!$B:$B,BE$1)*$B20+COUNTIFS('來案暨出貨明細表-基因檢測(201904起'!$P:$P,"*"&amp;$A20&amp;"*",'來案暨出貨明細表-基因檢測(201904起'!$B:$B,BE$1,'來案暨出貨明細表-基因檢測(201904起'!$Q:$Q,"紙本&amp;電子")++COUNTIFS('來案暨出貨明細表-基因檢測(201904起'!$P:$P,"*"&amp;$A20&amp;"*",'來案暨出貨明細表-基因檢測(201904起'!$B:$B,BE$1,'來案暨出貨明細表-基因檢測(201904起'!$R:$R,"中英")</f>
        <v>0</v>
      </c>
      <c r="BF20" s="33">
        <f>COUNTIFS('來案暨出貨明細表-基因檢測(201904起'!$P:$P,"*"&amp;$A20&amp;"*",'來案暨出貨明細表-基因檢測(201904起'!$B:$B,BF$1)*$B20+COUNTIFS('來案暨出貨明細表-基因檢測(201904起'!$P:$P,"*"&amp;$A20&amp;"*",'來案暨出貨明細表-基因檢測(201904起'!$B:$B,BF$1,'來案暨出貨明細表-基因檢測(201904起'!$Q:$Q,"紙本&amp;電子")++COUNTIFS('來案暨出貨明細表-基因檢測(201904起'!$P:$P,"*"&amp;$A20&amp;"*",'來案暨出貨明細表-基因檢測(201904起'!$B:$B,BF$1,'來案暨出貨明細表-基因檢測(201904起'!$R:$R,"中英")</f>
        <v>0</v>
      </c>
      <c r="BG20" s="33">
        <f>COUNTIFS('來案暨出貨明細表-基因檢測(201904起'!$P:$P,"*"&amp;$A20&amp;"*",'來案暨出貨明細表-基因檢測(201904起'!$B:$B,BG$1)*$B20+COUNTIFS('來案暨出貨明細表-基因檢測(201904起'!$P:$P,"*"&amp;$A20&amp;"*",'來案暨出貨明細表-基因檢測(201904起'!$B:$B,BG$1,'來案暨出貨明細表-基因檢測(201904起'!$Q:$Q,"紙本&amp;電子")++COUNTIFS('來案暨出貨明細表-基因檢測(201904起'!$P:$P,"*"&amp;$A20&amp;"*",'來案暨出貨明細表-基因檢測(201904起'!$B:$B,BG$1,'來案暨出貨明細表-基因檢測(201904起'!$R:$R,"中英")</f>
        <v>0</v>
      </c>
      <c r="BH20" s="33">
        <f>COUNTIFS('來案暨出貨明細表-基因檢測(201904起'!$P:$P,"*"&amp;$A20&amp;"*",'來案暨出貨明細表-基因檢測(201904起'!$B:$B,BH$1)*$B20+COUNTIFS('來案暨出貨明細表-基因檢測(201904起'!$P:$P,"*"&amp;$A20&amp;"*",'來案暨出貨明細表-基因檢測(201904起'!$B:$B,BH$1,'來案暨出貨明細表-基因檢測(201904起'!$Q:$Q,"紙本&amp;電子")++COUNTIFS('來案暨出貨明細表-基因檢測(201904起'!$P:$P,"*"&amp;$A20&amp;"*",'來案暨出貨明細表-基因檢測(201904起'!$B:$B,BH$1,'來案暨出貨明細表-基因檢測(201904起'!$R:$R,"中英")</f>
        <v>0</v>
      </c>
      <c r="BI20" s="33">
        <f>COUNTIFS('來案暨出貨明細表-基因檢測(201904起'!$P:$P,"*"&amp;$A20&amp;"*",'來案暨出貨明細表-基因檢測(201904起'!$B:$B,BI$1)*$B20+COUNTIFS('來案暨出貨明細表-基因檢測(201904起'!$P:$P,"*"&amp;$A20&amp;"*",'來案暨出貨明細表-基因檢測(201904起'!$B:$B,BI$1,'來案暨出貨明細表-基因檢測(201904起'!$Q:$Q,"紙本&amp;電子")++COUNTIFS('來案暨出貨明細表-基因檢測(201904起'!$P:$P,"*"&amp;$A20&amp;"*",'來案暨出貨明細表-基因檢測(201904起'!$B:$B,BI$1,'來案暨出貨明細表-基因檢測(201904起'!$R:$R,"中英")</f>
        <v>0</v>
      </c>
      <c r="BJ20" s="33">
        <f>COUNTIFS('來案暨出貨明細表-基因檢測(201904起'!$P:$P,"*"&amp;$A20&amp;"*",'來案暨出貨明細表-基因檢測(201904起'!$B:$B,BJ$1)*$B20+COUNTIFS('來案暨出貨明細表-基因檢測(201904起'!$P:$P,"*"&amp;$A20&amp;"*",'來案暨出貨明細表-基因檢測(201904起'!$B:$B,BJ$1,'來案暨出貨明細表-基因檢測(201904起'!$Q:$Q,"紙本&amp;電子")++COUNTIFS('來案暨出貨明細表-基因檢測(201904起'!$P:$P,"*"&amp;$A20&amp;"*",'來案暨出貨明細表-基因檢測(201904起'!$B:$B,BJ$1,'來案暨出貨明細表-基因檢測(201904起'!$R:$R,"中英")</f>
        <v>0</v>
      </c>
      <c r="BK20" s="33">
        <f>COUNTIFS('來案暨出貨明細表-基因檢測(201904起'!$P:$P,"*"&amp;$A20&amp;"*",'來案暨出貨明細表-基因檢測(201904起'!$B:$B,BK$1)*$B20+COUNTIFS('來案暨出貨明細表-基因檢測(201904起'!$P:$P,"*"&amp;$A20&amp;"*",'來案暨出貨明細表-基因檢測(201904起'!$B:$B,BK$1,'來案暨出貨明細表-基因檢測(201904起'!$Q:$Q,"紙本&amp;電子")++COUNTIFS('來案暨出貨明細表-基因檢測(201904起'!$P:$P,"*"&amp;$A20&amp;"*",'來案暨出貨明細表-基因檢測(201904起'!$B:$B,BK$1,'來案暨出貨明細表-基因檢測(201904起'!$R:$R,"中英")</f>
        <v>0</v>
      </c>
      <c r="BL20" s="33">
        <f>COUNTIFS('來案暨出貨明細表-基因檢測(201904起'!$P:$P,"*"&amp;$A20&amp;"*",'來案暨出貨明細表-基因檢測(201904起'!$B:$B,BL$1)*$B20+COUNTIFS('來案暨出貨明細表-基因檢測(201904起'!$P:$P,"*"&amp;$A20&amp;"*",'來案暨出貨明細表-基因檢測(201904起'!$B:$B,BL$1,'來案暨出貨明細表-基因檢測(201904起'!$Q:$Q,"紙本&amp;電子")++COUNTIFS('來案暨出貨明細表-基因檢測(201904起'!$P:$P,"*"&amp;$A20&amp;"*",'來案暨出貨明細表-基因檢測(201904起'!$B:$B,BL$1,'來案暨出貨明細表-基因檢測(201904起'!$R:$R,"中英")</f>
        <v>0</v>
      </c>
      <c r="BM20" s="33">
        <f>COUNTIFS('來案暨出貨明細表-基因檢測(201904起'!$P:$P,"*"&amp;$A20&amp;"*",'來案暨出貨明細表-基因檢測(201904起'!$B:$B,BM$1)*$B20+COUNTIFS('來案暨出貨明細表-基因檢測(201904起'!$P:$P,"*"&amp;$A20&amp;"*",'來案暨出貨明細表-基因檢測(201904起'!$B:$B,BM$1,'來案暨出貨明細表-基因檢測(201904起'!$Q:$Q,"紙本&amp;電子")++COUNTIFS('來案暨出貨明細表-基因檢測(201904起'!$P:$P,"*"&amp;$A20&amp;"*",'來案暨出貨明細表-基因檢測(201904起'!$B:$B,BM$1,'來案暨出貨明細表-基因檢測(201904起'!$R:$R,"中英")</f>
        <v>0</v>
      </c>
    </row>
    <row r="21" spans="1:65" ht="15" customHeight="1">
      <c r="A21" s="9" t="s">
        <v>4525</v>
      </c>
      <c r="B21" s="9">
        <v>1</v>
      </c>
      <c r="C21" s="13" t="s">
        <v>4526</v>
      </c>
      <c r="D21" s="142" t="s">
        <v>4527</v>
      </c>
      <c r="E21" s="33">
        <f>COUNTIFS('來案暨出貨明細表-基因檢測(201904起'!$P:$P,$A21&amp;"*",'來案暨出貨明細表-基因檢測(201904起'!$B:$B,E$1)*$B21+COUNTIFS('來案暨出貨明細表-基因檢測(201904起'!$P:$P,$A21&amp;"*",'來案暨出貨明細表-基因檢測(201904起'!$B:$B,E$1,'來案暨出貨明細表-基因檢測(201904起'!$Q:$Q,"紙本&amp;電子")++COUNTIFS('來案暨出貨明細表-基因檢測(201904起'!$P:$P,$A21&amp;"*",'來案暨出貨明細表-基因檢測(201904起'!$B:$B,E$1,'來案暨出貨明細表-基因檢測(201904起'!$R:$R,"中英")</f>
        <v>2</v>
      </c>
      <c r="F21" s="33">
        <f>COUNTIFS('來案暨出貨明細表-基因檢測(201904起'!$P:$P,$A21&amp;"*",'來案暨出貨明細表-基因檢測(201904起'!$B:$B,F$1)*$B21+COUNTIFS('來案暨出貨明細表-基因檢測(201904起'!$P:$P,$A21&amp;"*",'來案暨出貨明細表-基因檢測(201904起'!$B:$B,F$1,'來案暨出貨明細表-基因檢測(201904起'!$Q:$Q,"紙本&amp;電子")++COUNTIFS('來案暨出貨明細表-基因檢測(201904起'!$P:$P,$A21&amp;"*",'來案暨出貨明細表-基因檢測(201904起'!$B:$B,F$1,'來案暨出貨明細表-基因檢測(201904起'!$R:$R,"中英")</f>
        <v>0</v>
      </c>
      <c r="G21" s="33">
        <f>COUNTIFS('來案暨出貨明細表-基因檢測(201904起'!$P:$P,$A21&amp;"*",'來案暨出貨明細表-基因檢測(201904起'!$B:$B,G$1)*$B21+COUNTIFS('來案暨出貨明細表-基因檢測(201904起'!$P:$P,$A21&amp;"*",'來案暨出貨明細表-基因檢測(201904起'!$B:$B,G$1,'來案暨出貨明細表-基因檢測(201904起'!$Q:$Q,"紙本&amp;電子")++COUNTIFS('來案暨出貨明細表-基因檢測(201904起'!$P:$P,$A21&amp;"*",'來案暨出貨明細表-基因檢測(201904起'!$B:$B,G$1,'來案暨出貨明細表-基因檢測(201904起'!$R:$R,"中英")</f>
        <v>0</v>
      </c>
      <c r="H21" s="33">
        <f>COUNTIFS('來案暨出貨明細表-基因檢測(201904起'!$P:$P,$A21&amp;"*",'來案暨出貨明細表-基因檢測(201904起'!$B:$B,H$1)*$B21+COUNTIFS('來案暨出貨明細表-基因檢測(201904起'!$P:$P,$A21&amp;"*",'來案暨出貨明細表-基因檢測(201904起'!$B:$B,H$1,'來案暨出貨明細表-基因檢測(201904起'!$Q:$Q,"紙本&amp;電子")++COUNTIFS('來案暨出貨明細表-基因檢測(201904起'!$P:$P,$A21&amp;"*",'來案暨出貨明細表-基因檢測(201904起'!$B:$B,H$1,'來案暨出貨明細表-基因檢測(201904起'!$R:$R,"中英")</f>
        <v>1</v>
      </c>
      <c r="I21" s="33">
        <f>COUNTIFS('來案暨出貨明細表-基因檢測(201904起'!$P:$P,$A21&amp;"*",'來案暨出貨明細表-基因檢測(201904起'!$B:$B,I$1)*$B21+COUNTIFS('來案暨出貨明細表-基因檢測(201904起'!$P:$P,$A21&amp;"*",'來案暨出貨明細表-基因檢測(201904起'!$B:$B,I$1,'來案暨出貨明細表-基因檢測(201904起'!$Q:$Q,"紙本&amp;電子")++COUNTIFS('來案暨出貨明細表-基因檢測(201904起'!$P:$P,$A21&amp;"*",'來案暨出貨明細表-基因檢測(201904起'!$B:$B,I$1,'來案暨出貨明細表-基因檢測(201904起'!$R:$R,"中英")</f>
        <v>0</v>
      </c>
      <c r="J21" s="33">
        <f>COUNTIFS('來案暨出貨明細表-基因檢測(201904起'!$P:$P,$A21&amp;"*",'來案暨出貨明細表-基因檢測(201904起'!$B:$B,J$1)*$B21+COUNTIFS('來案暨出貨明細表-基因檢測(201904起'!$P:$P,$A21&amp;"*",'來案暨出貨明細表-基因檢測(201904起'!$B:$B,J$1,'來案暨出貨明細表-基因檢測(201904起'!$Q:$Q,"紙本&amp;電子")++COUNTIFS('來案暨出貨明細表-基因檢測(201904起'!$P:$P,$A21&amp;"*",'來案暨出貨明細表-基因檢測(201904起'!$B:$B,J$1,'來案暨出貨明細表-基因檢測(201904起'!$R:$R,"中英")</f>
        <v>0</v>
      </c>
      <c r="K21" s="33">
        <f>COUNTIFS('來案暨出貨明細表-基因檢測(201904起'!$P:$P,$A21&amp;"*",'來案暨出貨明細表-基因檢測(201904起'!$B:$B,K$1)*$B21+COUNTIFS('來案暨出貨明細表-基因檢測(201904起'!$P:$P,$A21&amp;"*",'來案暨出貨明細表-基因檢測(201904起'!$B:$B,K$1,'來案暨出貨明細表-基因檢測(201904起'!$Q:$Q,"紙本&amp;電子")++COUNTIFS('來案暨出貨明細表-基因檢測(201904起'!$P:$P,$A21&amp;"*",'來案暨出貨明細表-基因檢測(201904起'!$B:$B,K$1,'來案暨出貨明細表-基因檢測(201904起'!$R:$R,"中英")</f>
        <v>0</v>
      </c>
      <c r="L21" s="33">
        <f>COUNTIFS('來案暨出貨明細表-基因檢測(201904起'!$P:$P,$A21&amp;"*",'來案暨出貨明細表-基因檢測(201904起'!$B:$B,L$1)*$B21+COUNTIFS('來案暨出貨明細表-基因檢測(201904起'!$P:$P,$A21&amp;"*",'來案暨出貨明細表-基因檢測(201904起'!$B:$B,L$1,'來案暨出貨明細表-基因檢測(201904起'!$Q:$Q,"紙本&amp;電子")++COUNTIFS('來案暨出貨明細表-基因檢測(201904起'!$P:$P,$A21&amp;"*",'來案暨出貨明細表-基因檢測(201904起'!$B:$B,L$1,'來案暨出貨明細表-基因檢測(201904起'!$R:$R,"中英")</f>
        <v>0</v>
      </c>
      <c r="M21" s="33">
        <f>COUNTIFS('來案暨出貨明細表-基因檢測(201904起'!$P:$P,$A21&amp;"*",'來案暨出貨明細表-基因檢測(201904起'!$B:$B,M$1)*$B21+COUNTIFS('來案暨出貨明細表-基因檢測(201904起'!$P:$P,$A21&amp;"*",'來案暨出貨明細表-基因檢測(201904起'!$B:$B,M$1,'來案暨出貨明細表-基因檢測(201904起'!$Q:$Q,"紙本&amp;電子")++COUNTIFS('來案暨出貨明細表-基因檢測(201904起'!$P:$P,$A21&amp;"*",'來案暨出貨明細表-基因檢測(201904起'!$B:$B,M$1,'來案暨出貨明細表-基因檢測(201904起'!$R:$R,"中英")</f>
        <v>1</v>
      </c>
      <c r="N21" s="33">
        <f>COUNTIFS('來案暨出貨明細表-基因檢測(201904起'!$P:$P,$A21&amp;"*",'來案暨出貨明細表-基因檢測(201904起'!$B:$B,N$1)*$B21+COUNTIFS('來案暨出貨明細表-基因檢測(201904起'!$P:$P,$A21&amp;"*",'來案暨出貨明細表-基因檢測(201904起'!$B:$B,N$1,'來案暨出貨明細表-基因檢測(201904起'!$Q:$Q,"紙本&amp;電子")++COUNTIFS('來案暨出貨明細表-基因檢測(201904起'!$P:$P,$A21&amp;"*",'來案暨出貨明細表-基因檢測(201904起'!$B:$B,N$1,'來案暨出貨明細表-基因檢測(201904起'!$R:$R,"中英")</f>
        <v>0</v>
      </c>
      <c r="O21" s="33">
        <f>COUNTIFS('來案暨出貨明細表-基因檢測(201904起'!$P:$P,$A21&amp;"*",'來案暨出貨明細表-基因檢測(201904起'!$B:$B,O$1)*$B21+COUNTIFS('來案暨出貨明細表-基因檢測(201904起'!$P:$P,$A21&amp;"*",'來案暨出貨明細表-基因檢測(201904起'!$B:$B,O$1,'來案暨出貨明細表-基因檢測(201904起'!$Q:$Q,"紙本&amp;電子")++COUNTIFS('來案暨出貨明細表-基因檢測(201904起'!$P:$P,$A21&amp;"*",'來案暨出貨明細表-基因檢測(201904起'!$B:$B,O$1,'來案暨出貨明細表-基因檢測(201904起'!$R:$R,"中英")</f>
        <v>0</v>
      </c>
      <c r="P21" s="33">
        <f>COUNTIFS('來案暨出貨明細表-基因檢測(201904起'!$P:$P,$A21&amp;"*",'來案暨出貨明細表-基因檢測(201904起'!$B:$B,P$1)*$B21+COUNTIFS('來案暨出貨明細表-基因檢測(201904起'!$P:$P,$A21&amp;"*",'來案暨出貨明細表-基因檢測(201904起'!$B:$B,P$1,'來案暨出貨明細表-基因檢測(201904起'!$Q:$Q,"紙本&amp;電子")++COUNTIFS('來案暨出貨明細表-基因檢測(201904起'!$P:$P,$A21&amp;"*",'來案暨出貨明細表-基因檢測(201904起'!$B:$B,P$1,'來案暨出貨明細表-基因檢測(201904起'!$R:$R,"中英")</f>
        <v>0</v>
      </c>
      <c r="Q21" s="33">
        <f>COUNTIFS('來案暨出貨明細表-基因檢測(201904起'!$P:$P,$A21&amp;"*",'來案暨出貨明細表-基因檢測(201904起'!$B:$B,Q$1)*$B21+COUNTIFS('來案暨出貨明細表-基因檢測(201904起'!$P:$P,$A21&amp;"*",'來案暨出貨明細表-基因檢測(201904起'!$B:$B,Q$1,'來案暨出貨明細表-基因檢測(201904起'!$Q:$Q,"紙本&amp;電子")++COUNTIFS('來案暨出貨明細表-基因檢測(201904起'!$P:$P,$A21&amp;"*",'來案暨出貨明細表-基因檢測(201904起'!$B:$B,Q$1,'來案暨出貨明細表-基因檢測(201904起'!$R:$R,"中英")</f>
        <v>0</v>
      </c>
      <c r="R21" s="33">
        <f>COUNTIFS('來案暨出貨明細表-基因檢測(201904起'!$P:$P,$A21&amp;"*",'來案暨出貨明細表-基因檢測(201904起'!$B:$B,R$1)*$B21+COUNTIFS('來案暨出貨明細表-基因檢測(201904起'!$P:$P,$A21&amp;"*",'來案暨出貨明細表-基因檢測(201904起'!$B:$B,R$1,'來案暨出貨明細表-基因檢測(201904起'!$Q:$Q,"紙本&amp;電子")++COUNTIFS('來案暨出貨明細表-基因檢測(201904起'!$P:$P,$A21&amp;"*",'來案暨出貨明細表-基因檢測(201904起'!$B:$B,R$1,'來案暨出貨明細表-基因檢測(201904起'!$R:$R,"中英")</f>
        <v>0</v>
      </c>
      <c r="S21" s="33">
        <f>COUNTIFS('來案暨出貨明細表-基因檢測(201904起'!$P:$P,$A21&amp;"*",'來案暨出貨明細表-基因檢測(201904起'!$B:$B,S$1)*$B21+COUNTIFS('來案暨出貨明細表-基因檢測(201904起'!$P:$P,$A21&amp;"*",'來案暨出貨明細表-基因檢測(201904起'!$B:$B,S$1,'來案暨出貨明細表-基因檢測(201904起'!$Q:$Q,"紙本&amp;電子")++COUNTIFS('來案暨出貨明細表-基因檢測(201904起'!$P:$P,$A21&amp;"*",'來案暨出貨明細表-基因檢測(201904起'!$B:$B,S$1,'來案暨出貨明細表-基因檢測(201904起'!$R:$R,"中英")</f>
        <v>0</v>
      </c>
      <c r="T21" s="33">
        <f>COUNTIFS('來案暨出貨明細表-基因檢測(201904起'!$P:$P,$A21&amp;"*",'來案暨出貨明細表-基因檢測(201904起'!$B:$B,T$1)*$B21+COUNTIFS('來案暨出貨明細表-基因檢測(201904起'!$P:$P,$A21&amp;"*",'來案暨出貨明細表-基因檢測(201904起'!$B:$B,T$1,'來案暨出貨明細表-基因檢測(201904起'!$Q:$Q,"紙本&amp;電子")++COUNTIFS('來案暨出貨明細表-基因檢測(201904起'!$P:$P,$A21&amp;"*",'來案暨出貨明細表-基因檢測(201904起'!$B:$B,T$1,'來案暨出貨明細表-基因檢測(201904起'!$R:$R,"中英")</f>
        <v>0</v>
      </c>
      <c r="U21" s="33">
        <f>COUNTIFS('來案暨出貨明細表-基因檢測(201904起'!$P:$P,$A21&amp;"*",'來案暨出貨明細表-基因檢測(201904起'!$B:$B,U$1)*$B21+COUNTIFS('來案暨出貨明細表-基因檢測(201904起'!$P:$P,$A21&amp;"*",'來案暨出貨明細表-基因檢測(201904起'!$B:$B,U$1,'來案暨出貨明細表-基因檢測(201904起'!$Q:$Q,"紙本&amp;電子")++COUNTIFS('來案暨出貨明細表-基因檢測(201904起'!$P:$P,$A21&amp;"*",'來案暨出貨明細表-基因檢測(201904起'!$B:$B,U$1,'來案暨出貨明細表-基因檢測(201904起'!$R:$R,"中英")</f>
        <v>0</v>
      </c>
      <c r="V21" s="33">
        <f>COUNTIFS('來案暨出貨明細表-基因檢測(201904起'!$P:$P,$A21&amp;"*",'來案暨出貨明細表-基因檢測(201904起'!$B:$B,V$1)*$B21+COUNTIFS('來案暨出貨明細表-基因檢測(201904起'!$P:$P,$A21&amp;"*",'來案暨出貨明細表-基因檢測(201904起'!$B:$B,V$1,'來案暨出貨明細表-基因檢測(201904起'!$Q:$Q,"紙本&amp;電子")++COUNTIFS('來案暨出貨明細表-基因檢測(201904起'!$P:$P,$A21&amp;"*",'來案暨出貨明細表-基因檢測(201904起'!$B:$B,V$1,'來案暨出貨明細表-基因檢測(201904起'!$R:$R,"中英")</f>
        <v>0</v>
      </c>
      <c r="W21" s="33">
        <f>COUNTIFS('來案暨出貨明細表-基因檢測(201904起'!$P:$P,$A21&amp;"*",'來案暨出貨明細表-基因檢測(201904起'!$B:$B,W$1)*$B21+COUNTIFS('來案暨出貨明細表-基因檢測(201904起'!$P:$P,$A21&amp;"*",'來案暨出貨明細表-基因檢測(201904起'!$B:$B,W$1,'來案暨出貨明細表-基因檢測(201904起'!$Q:$Q,"紙本&amp;電子")++COUNTIFS('來案暨出貨明細表-基因檢測(201904起'!$P:$P,$A21&amp;"*",'來案暨出貨明細表-基因檢測(201904起'!$B:$B,W$1,'來案暨出貨明細表-基因檢測(201904起'!$R:$R,"中英")</f>
        <v>0</v>
      </c>
      <c r="X21" s="33">
        <f>COUNTIFS('來案暨出貨明細表-基因檢測(201904起'!$P:$P,$A21&amp;"*",'來案暨出貨明細表-基因檢測(201904起'!$B:$B,X$1)*$B21+COUNTIFS('來案暨出貨明細表-基因檢測(201904起'!$P:$P,$A21&amp;"*",'來案暨出貨明細表-基因檢測(201904起'!$B:$B,X$1,'來案暨出貨明細表-基因檢測(201904起'!$Q:$Q,"紙本&amp;電子")++COUNTIFS('來案暨出貨明細表-基因檢測(201904起'!$P:$P,$A21&amp;"*",'來案暨出貨明細表-基因檢測(201904起'!$B:$B,X$1,'來案暨出貨明細表-基因檢測(201904起'!$R:$R,"中英")</f>
        <v>0</v>
      </c>
      <c r="Y21" s="33">
        <f>COUNTIFS('來案暨出貨明細表-基因檢測(201904起'!$P:$P,$A21&amp;"*",'來案暨出貨明細表-基因檢測(201904起'!$B:$B,Y$1)*$B21+COUNTIFS('來案暨出貨明細表-基因檢測(201904起'!$P:$P,$A21&amp;"*",'來案暨出貨明細表-基因檢測(201904起'!$B:$B,Y$1,'來案暨出貨明細表-基因檢測(201904起'!$Q:$Q,"紙本&amp;電子")++COUNTIFS('來案暨出貨明細表-基因檢測(201904起'!$P:$P,$A21&amp;"*",'來案暨出貨明細表-基因檢測(201904起'!$B:$B,Y$1,'來案暨出貨明細表-基因檢測(201904起'!$R:$R,"中英")</f>
        <v>0</v>
      </c>
      <c r="Z21" s="33">
        <f>COUNTIFS('來案暨出貨明細表-基因檢測(201904起'!$P:$P,$A21&amp;"*",'來案暨出貨明細表-基因檢測(201904起'!$B:$B,Z$1)*$B21+COUNTIFS('來案暨出貨明細表-基因檢測(201904起'!$P:$P,$A21&amp;"*",'來案暨出貨明細表-基因檢測(201904起'!$B:$B,Z$1,'來案暨出貨明細表-基因檢測(201904起'!$Q:$Q,"紙本&amp;電子")++COUNTIFS('來案暨出貨明細表-基因檢測(201904起'!$P:$P,$A21&amp;"*",'來案暨出貨明細表-基因檢測(201904起'!$B:$B,Z$1,'來案暨出貨明細表-基因檢測(201904起'!$R:$R,"中英")</f>
        <v>0</v>
      </c>
      <c r="AA21" s="33">
        <f>COUNTIFS('來案暨出貨明細表-基因檢測(201904起'!$P:$P,$A21&amp;"*",'來案暨出貨明細表-基因檢測(201904起'!$B:$B,AA$1)*$B21+COUNTIFS('來案暨出貨明細表-基因檢測(201904起'!$P:$P,$A21&amp;"*",'來案暨出貨明細表-基因檢測(201904起'!$B:$B,AA$1,'來案暨出貨明細表-基因檢測(201904起'!$Q:$Q,"紙本&amp;電子")++COUNTIFS('來案暨出貨明細表-基因檢測(201904起'!$P:$P,$A21&amp;"*",'來案暨出貨明細表-基因檢測(201904起'!$B:$B,AA$1,'來案暨出貨明細表-基因檢測(201904起'!$R:$R,"中英")</f>
        <v>0</v>
      </c>
      <c r="AB21" s="33">
        <f>COUNTIFS('來案暨出貨明細表-基因檢測(201904起'!$P:$P,$A21&amp;"*",'來案暨出貨明細表-基因檢測(201904起'!$B:$B,AB$1)*$B21+COUNTIFS('來案暨出貨明細表-基因檢測(201904起'!$P:$P,$A21&amp;"*",'來案暨出貨明細表-基因檢測(201904起'!$B:$B,AB$1,'來案暨出貨明細表-基因檢測(201904起'!$Q:$Q,"紙本&amp;電子")++COUNTIFS('來案暨出貨明細表-基因檢測(201904起'!$P:$P,$A21&amp;"*",'來案暨出貨明細表-基因檢測(201904起'!$B:$B,AB$1,'來案暨出貨明細表-基因檢測(201904起'!$R:$R,"中英")</f>
        <v>0</v>
      </c>
      <c r="AC21" s="33">
        <f>COUNTIFS('來案暨出貨明細表-基因檢測(201904起'!$P:$P,$A21&amp;"*",'來案暨出貨明細表-基因檢測(201904起'!$B:$B,AC$1)*$B21+COUNTIFS('來案暨出貨明細表-基因檢測(201904起'!$P:$P,$A21&amp;"*",'來案暨出貨明細表-基因檢測(201904起'!$B:$B,AC$1,'來案暨出貨明細表-基因檢測(201904起'!$Q:$Q,"紙本&amp;電子")++COUNTIFS('來案暨出貨明細表-基因檢測(201904起'!$P:$P,$A21&amp;"*",'來案暨出貨明細表-基因檢測(201904起'!$B:$B,AC$1,'來案暨出貨明細表-基因檢測(201904起'!$R:$R,"中英")</f>
        <v>0</v>
      </c>
      <c r="AD21" s="33">
        <f>COUNTIFS('來案暨出貨明細表-基因檢測(201904起'!$P:$P,$A21&amp;"*",'來案暨出貨明細表-基因檢測(201904起'!$B:$B,AD$1)*$B21+COUNTIFS('來案暨出貨明細表-基因檢測(201904起'!$P:$P,$A21&amp;"*",'來案暨出貨明細表-基因檢測(201904起'!$B:$B,AD$1,'來案暨出貨明細表-基因檢測(201904起'!$Q:$Q,"紙本&amp;電子")++COUNTIFS('來案暨出貨明細表-基因檢測(201904起'!$P:$P,$A21&amp;"*",'來案暨出貨明細表-基因檢測(201904起'!$B:$B,AD$1,'來案暨出貨明細表-基因檢測(201904起'!$R:$R,"中英")</f>
        <v>0</v>
      </c>
      <c r="AE21" s="33">
        <f>COUNTIFS('來案暨出貨明細表-基因檢測(201904起'!$P:$P,$A21&amp;"*",'來案暨出貨明細表-基因檢測(201904起'!$B:$B,AE$1)*$B21+COUNTIFS('來案暨出貨明細表-基因檢測(201904起'!$P:$P,$A21&amp;"*",'來案暨出貨明細表-基因檢測(201904起'!$B:$B,AE$1,'來案暨出貨明細表-基因檢測(201904起'!$Q:$Q,"紙本&amp;電子")++COUNTIFS('來案暨出貨明細表-基因檢測(201904起'!$P:$P,$A21&amp;"*",'來案暨出貨明細表-基因檢測(201904起'!$B:$B,AE$1,'來案暨出貨明細表-基因檢測(201904起'!$R:$R,"中英")</f>
        <v>0</v>
      </c>
      <c r="AF21" s="33">
        <f>COUNTIFS('來案暨出貨明細表-基因檢測(201904起'!$P:$P,$A21&amp;"*",'來案暨出貨明細表-基因檢測(201904起'!$B:$B,AF$1)*$B21+COUNTIFS('來案暨出貨明細表-基因檢測(201904起'!$P:$P,$A21&amp;"*",'來案暨出貨明細表-基因檢測(201904起'!$B:$B,AF$1,'來案暨出貨明細表-基因檢測(201904起'!$Q:$Q,"紙本&amp;電子")++COUNTIFS('來案暨出貨明細表-基因檢測(201904起'!$P:$P,$A21&amp;"*",'來案暨出貨明細表-基因檢測(201904起'!$B:$B,AF$1,'來案暨出貨明細表-基因檢測(201904起'!$R:$R,"中英")</f>
        <v>0</v>
      </c>
      <c r="AG21" s="33">
        <f>COUNTIFS('來案暨出貨明細表-基因檢測(201904起'!$P:$P,$A21&amp;"*",'來案暨出貨明細表-基因檢測(201904起'!$B:$B,AG$1)*$B21+COUNTIFS('來案暨出貨明細表-基因檢測(201904起'!$P:$P,$A21&amp;"*",'來案暨出貨明細表-基因檢測(201904起'!$B:$B,AG$1,'來案暨出貨明細表-基因檢測(201904起'!$Q:$Q,"紙本&amp;電子")++COUNTIFS('來案暨出貨明細表-基因檢測(201904起'!$P:$P,$A21&amp;"*",'來案暨出貨明細表-基因檢測(201904起'!$B:$B,AG$1,'來案暨出貨明細表-基因檢測(201904起'!$R:$R,"中英")</f>
        <v>0</v>
      </c>
      <c r="AH21" s="33">
        <f>COUNTIFS('來案暨出貨明細表-基因檢測(201904起'!$P:$P,$A21&amp;"*",'來案暨出貨明細表-基因檢測(201904起'!$B:$B,AH$1)*$B21+COUNTIFS('來案暨出貨明細表-基因檢測(201904起'!$P:$P,$A21&amp;"*",'來案暨出貨明細表-基因檢測(201904起'!$B:$B,AH$1,'來案暨出貨明細表-基因檢測(201904起'!$Q:$Q,"紙本&amp;電子")++COUNTIFS('來案暨出貨明細表-基因檢測(201904起'!$P:$P,$A21&amp;"*",'來案暨出貨明細表-基因檢測(201904起'!$B:$B,AH$1,'來案暨出貨明細表-基因檢測(201904起'!$R:$R,"中英")</f>
        <v>2</v>
      </c>
      <c r="AI21" s="33">
        <f>COUNTIFS('來案暨出貨明細表-基因檢測(201904起'!$P:$P,$A21&amp;"*",'來案暨出貨明細表-基因檢測(201904起'!$B:$B,AI$1)*$B21+COUNTIFS('來案暨出貨明細表-基因檢測(201904起'!$P:$P,$A21&amp;"*",'來案暨出貨明細表-基因檢測(201904起'!$B:$B,AI$1,'來案暨出貨明細表-基因檢測(201904起'!$Q:$Q,"紙本&amp;電子")++COUNTIFS('來案暨出貨明細表-基因檢測(201904起'!$P:$P,$A21&amp;"*",'來案暨出貨明細表-基因檢測(201904起'!$B:$B,AI$1,'來案暨出貨明細表-基因檢測(201904起'!$R:$R,"中英")</f>
        <v>0</v>
      </c>
      <c r="AJ21" s="33">
        <f>COUNTIFS('來案暨出貨明細表-基因檢測(201904起'!$P:$P,$A21&amp;"*",'來案暨出貨明細表-基因檢測(201904起'!$B:$B,AJ$1)*$B21+COUNTIFS('來案暨出貨明細表-基因檢測(201904起'!$P:$P,$A21&amp;"*",'來案暨出貨明細表-基因檢測(201904起'!$B:$B,AJ$1,'來案暨出貨明細表-基因檢測(201904起'!$Q:$Q,"紙本&amp;電子")++COUNTIFS('來案暨出貨明細表-基因檢測(201904起'!$P:$P,$A21&amp;"*",'來案暨出貨明細表-基因檢測(201904起'!$B:$B,AJ$1,'來案暨出貨明細表-基因檢測(201904起'!$R:$R,"中英")</f>
        <v>0</v>
      </c>
      <c r="AK21" s="33">
        <f>COUNTIFS('來案暨出貨明細表-基因檢測(201904起'!$P:$P,$A21&amp;"*",'來案暨出貨明細表-基因檢測(201904起'!$B:$B,AK$1)*$B21+COUNTIFS('來案暨出貨明細表-基因檢測(201904起'!$P:$P,$A21&amp;"*",'來案暨出貨明細表-基因檢測(201904起'!$B:$B,AK$1,'來案暨出貨明細表-基因檢測(201904起'!$Q:$Q,"紙本&amp;電子")++COUNTIFS('來案暨出貨明細表-基因檢測(201904起'!$P:$P,$A21&amp;"*",'來案暨出貨明細表-基因檢測(201904起'!$B:$B,AK$1,'來案暨出貨明細表-基因檢測(201904起'!$R:$R,"中英")</f>
        <v>0</v>
      </c>
      <c r="AL21" s="33">
        <f>COUNTIFS('來案暨出貨明細表-基因檢測(201904起'!$P:$P,$A21&amp;"*",'來案暨出貨明細表-基因檢測(201904起'!$B:$B,AL$1)*$B21+COUNTIFS('來案暨出貨明細表-基因檢測(201904起'!$P:$P,$A21&amp;"*",'來案暨出貨明細表-基因檢測(201904起'!$B:$B,AL$1,'來案暨出貨明細表-基因檢測(201904起'!$Q:$Q,"紙本&amp;電子")++COUNTIFS('來案暨出貨明細表-基因檢測(201904起'!$P:$P,$A21&amp;"*",'來案暨出貨明細表-基因檢測(201904起'!$B:$B,AL$1,'來案暨出貨明細表-基因檢測(201904起'!$R:$R,"中英")</f>
        <v>0</v>
      </c>
      <c r="AM21" s="33">
        <f>COUNTIFS('來案暨出貨明細表-基因檢測(201904起'!$P:$P,$A21&amp;"*",'來案暨出貨明細表-基因檢測(201904起'!$B:$B,AM$1)*$B21+COUNTIFS('來案暨出貨明細表-基因檢測(201904起'!$P:$P,$A21&amp;"*",'來案暨出貨明細表-基因檢測(201904起'!$B:$B,AM$1,'來案暨出貨明細表-基因檢測(201904起'!$Q:$Q,"紙本&amp;電子")++COUNTIFS('來案暨出貨明細表-基因檢測(201904起'!$P:$P,$A21&amp;"*",'來案暨出貨明細表-基因檢測(201904起'!$B:$B,AM$1,'來案暨出貨明細表-基因檢測(201904起'!$R:$R,"中英")</f>
        <v>0</v>
      </c>
      <c r="AN21" s="33">
        <f>COUNTIFS('來案暨出貨明細表-基因檢測(201904起'!$P:$P,$A21&amp;"*",'來案暨出貨明細表-基因檢測(201904起'!$B:$B,AN$1)*$B21+COUNTIFS('來案暨出貨明細表-基因檢測(201904起'!$P:$P,$A21&amp;"*",'來案暨出貨明細表-基因檢測(201904起'!$B:$B,AN$1,'來案暨出貨明細表-基因檢測(201904起'!$Q:$Q,"紙本&amp;電子")++COUNTIFS('來案暨出貨明細表-基因檢測(201904起'!$P:$P,$A21&amp;"*",'來案暨出貨明細表-基因檢測(201904起'!$B:$B,AN$1,'來案暨出貨明細表-基因檢測(201904起'!$R:$R,"中英")</f>
        <v>0</v>
      </c>
      <c r="AO21" s="33">
        <f>COUNTIFS('來案暨出貨明細表-基因檢測(201904起'!$P:$P,$A21&amp;"*",'來案暨出貨明細表-基因檢測(201904起'!$B:$B,AO$1)*$B21+COUNTIFS('來案暨出貨明細表-基因檢測(201904起'!$P:$P,$A21&amp;"*",'來案暨出貨明細表-基因檢測(201904起'!$B:$B,AO$1,'來案暨出貨明細表-基因檢測(201904起'!$Q:$Q,"紙本&amp;電子")++COUNTIFS('來案暨出貨明細表-基因檢測(201904起'!$P:$P,$A21&amp;"*",'來案暨出貨明細表-基因檢測(201904起'!$B:$B,AO$1,'來案暨出貨明細表-基因檢測(201904起'!$R:$R,"中英")</f>
        <v>0</v>
      </c>
      <c r="AP21" s="33">
        <f>COUNTIFS('來案暨出貨明細表-基因檢測(201904起'!$P:$P,$A21&amp;"*",'來案暨出貨明細表-基因檢測(201904起'!$B:$B,AP$1)*$B21+COUNTIFS('來案暨出貨明細表-基因檢測(201904起'!$P:$P,$A21&amp;"*",'來案暨出貨明細表-基因檢測(201904起'!$B:$B,AP$1,'來案暨出貨明細表-基因檢測(201904起'!$Q:$Q,"紙本&amp;電子")++COUNTIFS('來案暨出貨明細表-基因檢測(201904起'!$P:$P,$A21&amp;"*",'來案暨出貨明細表-基因檢測(201904起'!$B:$B,AP$1,'來案暨出貨明細表-基因檢測(201904起'!$R:$R,"中英")</f>
        <v>0</v>
      </c>
      <c r="AQ21" s="33">
        <f>COUNTIFS('來案暨出貨明細表-基因檢測(201904起'!$P:$P,$A21&amp;"*",'來案暨出貨明細表-基因檢測(201904起'!$B:$B,AQ$1)*$B21+COUNTIFS('來案暨出貨明細表-基因檢測(201904起'!$P:$P,$A21&amp;"*",'來案暨出貨明細表-基因檢測(201904起'!$B:$B,AQ$1,'來案暨出貨明細表-基因檢測(201904起'!$Q:$Q,"紙本&amp;電子")++COUNTIFS('來案暨出貨明細表-基因檢測(201904起'!$P:$P,$A21&amp;"*",'來案暨出貨明細表-基因檢測(201904起'!$B:$B,AQ$1,'來案暨出貨明細表-基因檢測(201904起'!$R:$R,"中英")</f>
        <v>0</v>
      </c>
      <c r="AR21" s="33">
        <f>COUNTIFS('來案暨出貨明細表-基因檢測(201904起'!$P:$P,$A21&amp;"*",'來案暨出貨明細表-基因檢測(201904起'!$B:$B,AR$1)*$B21+COUNTIFS('來案暨出貨明細表-基因檢測(201904起'!$P:$P,$A21&amp;"*",'來案暨出貨明細表-基因檢測(201904起'!$B:$B,AR$1,'來案暨出貨明細表-基因檢測(201904起'!$Q:$Q,"紙本&amp;電子")++COUNTIFS('來案暨出貨明細表-基因檢測(201904起'!$P:$P,$A21&amp;"*",'來案暨出貨明細表-基因檢測(201904起'!$B:$B,AR$1,'來案暨出貨明細表-基因檢測(201904起'!$R:$R,"中英")</f>
        <v>0</v>
      </c>
      <c r="AS21" s="33">
        <f>COUNTIFS('來案暨出貨明細表-基因檢測(201904起'!$P:$P,$A21&amp;"*",'來案暨出貨明細表-基因檢測(201904起'!$B:$B,AS$1)*$B21+COUNTIFS('來案暨出貨明細表-基因檢測(201904起'!$P:$P,$A21&amp;"*",'來案暨出貨明細表-基因檢測(201904起'!$B:$B,AS$1,'來案暨出貨明細表-基因檢測(201904起'!$Q:$Q,"紙本&amp;電子")++COUNTIFS('來案暨出貨明細表-基因檢測(201904起'!$P:$P,$A21&amp;"*",'來案暨出貨明細表-基因檢測(201904起'!$B:$B,AS$1,'來案暨出貨明細表-基因檢測(201904起'!$R:$R,"中英")</f>
        <v>0</v>
      </c>
      <c r="AT21" s="33">
        <f>COUNTIFS('來案暨出貨明細表-基因檢測(201904起'!$P:$P,$A21&amp;"*",'來案暨出貨明細表-基因檢測(201904起'!$B:$B,AT$1)*$B21+COUNTIFS('來案暨出貨明細表-基因檢測(201904起'!$P:$P,$A21&amp;"*",'來案暨出貨明細表-基因檢測(201904起'!$B:$B,AT$1,'來案暨出貨明細表-基因檢測(201904起'!$Q:$Q,"紙本&amp;電子")++COUNTIFS('來案暨出貨明細表-基因檢測(201904起'!$P:$P,$A21&amp;"*",'來案暨出貨明細表-基因檢測(201904起'!$B:$B,AT$1,'來案暨出貨明細表-基因檢測(201904起'!$R:$R,"中英")</f>
        <v>0</v>
      </c>
      <c r="AU21" s="33">
        <f>COUNTIFS('來案暨出貨明細表-基因檢測(201904起'!$P:$P,$A21&amp;"*",'來案暨出貨明細表-基因檢測(201904起'!$B:$B,AU$1)*$B21+COUNTIFS('來案暨出貨明細表-基因檢測(201904起'!$P:$P,$A21&amp;"*",'來案暨出貨明細表-基因檢測(201904起'!$B:$B,AU$1,'來案暨出貨明細表-基因檢測(201904起'!$Q:$Q,"紙本&amp;電子")++COUNTIFS('來案暨出貨明細表-基因檢測(201904起'!$P:$P,$A21&amp;"*",'來案暨出貨明細表-基因檢測(201904起'!$B:$B,AU$1,'來案暨出貨明細表-基因檢測(201904起'!$R:$R,"中英")</f>
        <v>0</v>
      </c>
      <c r="AV21" s="33">
        <f>COUNTIFS('來案暨出貨明細表-基因檢測(201904起'!$P:$P,$A21&amp;"*",'來案暨出貨明細表-基因檢測(201904起'!$B:$B,AV$1)*$B21+COUNTIFS('來案暨出貨明細表-基因檢測(201904起'!$P:$P,$A21&amp;"*",'來案暨出貨明細表-基因檢測(201904起'!$B:$B,AV$1,'來案暨出貨明細表-基因檢測(201904起'!$Q:$Q,"紙本&amp;電子")++COUNTIFS('來案暨出貨明細表-基因檢測(201904起'!$P:$P,$A21&amp;"*",'來案暨出貨明細表-基因檢測(201904起'!$B:$B,AV$1,'來案暨出貨明細表-基因檢測(201904起'!$R:$R,"中英")</f>
        <v>1</v>
      </c>
      <c r="AW21" s="33">
        <f>COUNTIFS('來案暨出貨明細表-基因檢測(201904起'!$P:$P,$A21&amp;"*",'來案暨出貨明細表-基因檢測(201904起'!$B:$B,AW$1)*$B21+COUNTIFS('來案暨出貨明細表-基因檢測(201904起'!$P:$P,$A21&amp;"*",'來案暨出貨明細表-基因檢測(201904起'!$B:$B,AW$1,'來案暨出貨明細表-基因檢測(201904起'!$Q:$Q,"紙本&amp;電子")++COUNTIFS('來案暨出貨明細表-基因檢測(201904起'!$P:$P,$A21&amp;"*",'來案暨出貨明細表-基因檢測(201904起'!$B:$B,AW$1,'來案暨出貨明細表-基因檢測(201904起'!$R:$R,"中英")</f>
        <v>0</v>
      </c>
      <c r="AX21" s="33">
        <f>COUNTIFS('來案暨出貨明細表-基因檢測(201904起'!$P:$P,$A21&amp;"*",'來案暨出貨明細表-基因檢測(201904起'!$B:$B,AX$1)*$B21+COUNTIFS('來案暨出貨明細表-基因檢測(201904起'!$P:$P,$A21&amp;"*",'來案暨出貨明細表-基因檢測(201904起'!$B:$B,AX$1,'來案暨出貨明細表-基因檢測(201904起'!$Q:$Q,"紙本&amp;電子")++COUNTIFS('來案暨出貨明細表-基因檢測(201904起'!$P:$P,$A21&amp;"*",'來案暨出貨明細表-基因檢測(201904起'!$B:$B,AX$1,'來案暨出貨明細表-基因檢測(201904起'!$R:$R,"中英")</f>
        <v>0</v>
      </c>
      <c r="AY21" s="33">
        <f>COUNTIFS('來案暨出貨明細表-基因檢測(201904起'!$P:$P,$A21&amp;"*",'來案暨出貨明細表-基因檢測(201904起'!$B:$B,AY$1)*$B21+COUNTIFS('來案暨出貨明細表-基因檢測(201904起'!$P:$P,$A21&amp;"*",'來案暨出貨明細表-基因檢測(201904起'!$B:$B,AY$1,'來案暨出貨明細表-基因檢測(201904起'!$Q:$Q,"紙本&amp;電子")++COUNTIFS('來案暨出貨明細表-基因檢測(201904起'!$P:$P,$A21&amp;"*",'來案暨出貨明細表-基因檢測(201904起'!$B:$B,AY$1,'來案暨出貨明細表-基因檢測(201904起'!$R:$R,"中英")</f>
        <v>0</v>
      </c>
      <c r="AZ21" s="33">
        <f>COUNTIFS('來案暨出貨明細表-基因檢測(201904起'!$P:$P,$A21&amp;"*",'來案暨出貨明細表-基因檢測(201904起'!$B:$B,AZ$1)*$B21+COUNTIFS('來案暨出貨明細表-基因檢測(201904起'!$P:$P,$A21&amp;"*",'來案暨出貨明細表-基因檢測(201904起'!$B:$B,AZ$1,'來案暨出貨明細表-基因檢測(201904起'!$Q:$Q,"紙本&amp;電子")++COUNTIFS('來案暨出貨明細表-基因檢測(201904起'!$P:$P,$A21&amp;"*",'來案暨出貨明細表-基因檢測(201904起'!$B:$B,AZ$1,'來案暨出貨明細表-基因檢測(201904起'!$R:$R,"中英")</f>
        <v>0</v>
      </c>
      <c r="BA21" s="33">
        <f>COUNTIFS('來案暨出貨明細表-基因檢測(201904起'!$P:$P,$A21&amp;"*",'來案暨出貨明細表-基因檢測(201904起'!$B:$B,BA$1)*$B21+COUNTIFS('來案暨出貨明細表-基因檢測(201904起'!$P:$P,$A21&amp;"*",'來案暨出貨明細表-基因檢測(201904起'!$B:$B,BA$1,'來案暨出貨明細表-基因檢測(201904起'!$Q:$Q,"紙本&amp;電子")++COUNTIFS('來案暨出貨明細表-基因檢測(201904起'!$P:$P,$A21&amp;"*",'來案暨出貨明細表-基因檢測(201904起'!$B:$B,BA$1,'來案暨出貨明細表-基因檢測(201904起'!$R:$R,"中英")</f>
        <v>0</v>
      </c>
      <c r="BB21" s="33">
        <f>COUNTIFS('來案暨出貨明細表-基因檢測(201904起'!$P:$P,$A21&amp;"*",'來案暨出貨明細表-基因檢測(201904起'!$B:$B,BB$1)*$B21+COUNTIFS('來案暨出貨明細表-基因檢測(201904起'!$P:$P,$A21&amp;"*",'來案暨出貨明細表-基因檢測(201904起'!$B:$B,BB$1,'來案暨出貨明細表-基因檢測(201904起'!$Q:$Q,"紙本&amp;電子")++COUNTIFS('來案暨出貨明細表-基因檢測(201904起'!$P:$P,$A21&amp;"*",'來案暨出貨明細表-基因檢測(201904起'!$B:$B,BB$1,'來案暨出貨明細表-基因檢測(201904起'!$R:$R,"中英")</f>
        <v>0</v>
      </c>
      <c r="BC21" s="33">
        <f>COUNTIFS('來案暨出貨明細表-基因檢測(201904起'!$P:$P,$A21&amp;"*",'來案暨出貨明細表-基因檢測(201904起'!$B:$B,BC$1)*$B21+COUNTIFS('來案暨出貨明細表-基因檢測(201904起'!$P:$P,$A21&amp;"*",'來案暨出貨明細表-基因檢測(201904起'!$B:$B,BC$1,'來案暨出貨明細表-基因檢測(201904起'!$Q:$Q,"紙本&amp;電子")++COUNTIFS('來案暨出貨明細表-基因檢測(201904起'!$P:$P,$A21&amp;"*",'來案暨出貨明細表-基因檢測(201904起'!$B:$B,BC$1,'來案暨出貨明細表-基因檢測(201904起'!$R:$R,"中英")</f>
        <v>0</v>
      </c>
      <c r="BD21" s="33">
        <f>COUNTIFS('來案暨出貨明細表-基因檢測(201904起'!$P:$P,$A21&amp;"*",'來案暨出貨明細表-基因檢測(201904起'!$B:$B,BD$1)*$B21+COUNTIFS('來案暨出貨明細表-基因檢測(201904起'!$P:$P,$A21&amp;"*",'來案暨出貨明細表-基因檢測(201904起'!$B:$B,BD$1,'來案暨出貨明細表-基因檢測(201904起'!$Q:$Q,"紙本&amp;電子")++COUNTIFS('來案暨出貨明細表-基因檢測(201904起'!$P:$P,$A21&amp;"*",'來案暨出貨明細表-基因檢測(201904起'!$B:$B,BD$1,'來案暨出貨明細表-基因檢測(201904起'!$R:$R,"中英")</f>
        <v>0</v>
      </c>
      <c r="BE21" s="33">
        <f>COUNTIFS('來案暨出貨明細表-基因檢測(201904起'!$P:$P,$A21&amp;"*",'來案暨出貨明細表-基因檢測(201904起'!$B:$B,BE$1)*$B21+COUNTIFS('來案暨出貨明細表-基因檢測(201904起'!$P:$P,$A21&amp;"*",'來案暨出貨明細表-基因檢測(201904起'!$B:$B,BE$1,'來案暨出貨明細表-基因檢測(201904起'!$Q:$Q,"紙本&amp;電子")++COUNTIFS('來案暨出貨明細表-基因檢測(201904起'!$P:$P,$A21&amp;"*",'來案暨出貨明細表-基因檢測(201904起'!$B:$B,BE$1,'來案暨出貨明細表-基因檢測(201904起'!$R:$R,"中英")</f>
        <v>0</v>
      </c>
      <c r="BF21" s="33">
        <f>COUNTIFS('來案暨出貨明細表-基因檢測(201904起'!$P:$P,$A21&amp;"*",'來案暨出貨明細表-基因檢測(201904起'!$B:$B,BF$1)*$B21+COUNTIFS('來案暨出貨明細表-基因檢測(201904起'!$P:$P,$A21&amp;"*",'來案暨出貨明細表-基因檢測(201904起'!$B:$B,BF$1,'來案暨出貨明細表-基因檢測(201904起'!$Q:$Q,"紙本&amp;電子")++COUNTIFS('來案暨出貨明細表-基因檢測(201904起'!$P:$P,$A21&amp;"*",'來案暨出貨明細表-基因檢測(201904起'!$B:$B,BF$1,'來案暨出貨明細表-基因檢測(201904起'!$R:$R,"中英")</f>
        <v>0</v>
      </c>
      <c r="BG21" s="33">
        <f>COUNTIFS('來案暨出貨明細表-基因檢測(201904起'!$P:$P,$A21&amp;"*",'來案暨出貨明細表-基因檢測(201904起'!$B:$B,BG$1)*$B21+COUNTIFS('來案暨出貨明細表-基因檢測(201904起'!$P:$P,$A21&amp;"*",'來案暨出貨明細表-基因檢測(201904起'!$B:$B,BG$1,'來案暨出貨明細表-基因檢測(201904起'!$Q:$Q,"紙本&amp;電子")++COUNTIFS('來案暨出貨明細表-基因檢測(201904起'!$P:$P,$A21&amp;"*",'來案暨出貨明細表-基因檢測(201904起'!$B:$B,BG$1,'來案暨出貨明細表-基因檢測(201904起'!$R:$R,"中英")</f>
        <v>0</v>
      </c>
      <c r="BH21" s="33">
        <f>COUNTIFS('來案暨出貨明細表-基因檢測(201904起'!$P:$P,$A21&amp;"*",'來案暨出貨明細表-基因檢測(201904起'!$B:$B,BH$1)*$B21+COUNTIFS('來案暨出貨明細表-基因檢測(201904起'!$P:$P,$A21&amp;"*",'來案暨出貨明細表-基因檢測(201904起'!$B:$B,BH$1,'來案暨出貨明細表-基因檢測(201904起'!$Q:$Q,"紙本&amp;電子")++COUNTIFS('來案暨出貨明細表-基因檢測(201904起'!$P:$P,$A21&amp;"*",'來案暨出貨明細表-基因檢測(201904起'!$B:$B,BH$1,'來案暨出貨明細表-基因檢測(201904起'!$R:$R,"中英")</f>
        <v>0</v>
      </c>
      <c r="BI21" s="33">
        <f>COUNTIFS('來案暨出貨明細表-基因檢測(201904起'!$P:$P,$A21&amp;"*",'來案暨出貨明細表-基因檢測(201904起'!$B:$B,BI$1)*$B21+COUNTIFS('來案暨出貨明細表-基因檢測(201904起'!$P:$P,$A21&amp;"*",'來案暨出貨明細表-基因檢測(201904起'!$B:$B,BI$1,'來案暨出貨明細表-基因檢測(201904起'!$Q:$Q,"紙本&amp;電子")++COUNTIFS('來案暨出貨明細表-基因檢測(201904起'!$P:$P,$A21&amp;"*",'來案暨出貨明細表-基因檢測(201904起'!$B:$B,BI$1,'來案暨出貨明細表-基因檢測(201904起'!$R:$R,"中英")</f>
        <v>0</v>
      </c>
      <c r="BJ21" s="33">
        <f>COUNTIFS('來案暨出貨明細表-基因檢測(201904起'!$P:$P,$A21&amp;"*",'來案暨出貨明細表-基因檢測(201904起'!$B:$B,BJ$1)*$B21+COUNTIFS('來案暨出貨明細表-基因檢測(201904起'!$P:$P,$A21&amp;"*",'來案暨出貨明細表-基因檢測(201904起'!$B:$B,BJ$1,'來案暨出貨明細表-基因檢測(201904起'!$Q:$Q,"紙本&amp;電子")++COUNTIFS('來案暨出貨明細表-基因檢測(201904起'!$P:$P,$A21&amp;"*",'來案暨出貨明細表-基因檢測(201904起'!$B:$B,BJ$1,'來案暨出貨明細表-基因檢測(201904起'!$R:$R,"中英")</f>
        <v>0</v>
      </c>
      <c r="BK21" s="33">
        <f>COUNTIFS('來案暨出貨明細表-基因檢測(201904起'!$P:$P,$A21&amp;"*",'來案暨出貨明細表-基因檢測(201904起'!$B:$B,BK$1)*$B21+COUNTIFS('來案暨出貨明細表-基因檢測(201904起'!$P:$P,$A21&amp;"*",'來案暨出貨明細表-基因檢測(201904起'!$B:$B,BK$1,'來案暨出貨明細表-基因檢測(201904起'!$Q:$Q,"紙本&amp;電子")++COUNTIFS('來案暨出貨明細表-基因檢測(201904起'!$P:$P,$A21&amp;"*",'來案暨出貨明細表-基因檢測(201904起'!$B:$B,BK$1,'來案暨出貨明細表-基因檢測(201904起'!$R:$R,"中英")</f>
        <v>0</v>
      </c>
      <c r="BL21" s="33">
        <f>COUNTIFS('來案暨出貨明細表-基因檢測(201904起'!$P:$P,$A21&amp;"*",'來案暨出貨明細表-基因檢測(201904起'!$B:$B,BL$1)*$B21+COUNTIFS('來案暨出貨明細表-基因檢測(201904起'!$P:$P,$A21&amp;"*",'來案暨出貨明細表-基因檢測(201904起'!$B:$B,BL$1,'來案暨出貨明細表-基因檢測(201904起'!$Q:$Q,"紙本&amp;電子")++COUNTIFS('來案暨出貨明細表-基因檢測(201904起'!$P:$P,$A21&amp;"*",'來案暨出貨明細表-基因檢測(201904起'!$B:$B,BL$1,'來案暨出貨明細表-基因檢測(201904起'!$R:$R,"中英")</f>
        <v>0</v>
      </c>
      <c r="BM21" s="33">
        <f>COUNTIFS('來案暨出貨明細表-基因檢測(201904起'!$P:$P,$A21&amp;"*",'來案暨出貨明細表-基因檢測(201904起'!$B:$B,BM$1)*$B21+COUNTIFS('來案暨出貨明細表-基因檢測(201904起'!$P:$P,$A21&amp;"*",'來案暨出貨明細表-基因檢測(201904起'!$B:$B,BM$1,'來案暨出貨明細表-基因檢測(201904起'!$Q:$Q,"紙本&amp;電子")++COUNTIFS('來案暨出貨明細表-基因檢測(201904起'!$P:$P,$A21&amp;"*",'來案暨出貨明細表-基因檢測(201904起'!$B:$B,BM$1,'來案暨出貨明細表-基因檢測(201904起'!$R:$R,"中英")</f>
        <v>0</v>
      </c>
    </row>
    <row r="22" spans="1:65" ht="15" customHeight="1">
      <c r="A22" s="9" t="s">
        <v>4528</v>
      </c>
      <c r="B22" s="9">
        <v>1</v>
      </c>
      <c r="C22" s="13" t="s">
        <v>4529</v>
      </c>
      <c r="D22" s="142" t="s">
        <v>4530</v>
      </c>
      <c r="E22" s="33">
        <f>COUNTIFS('來案暨出貨明細表-基因檢測(201904起'!$P:$P,$A22&amp;"*",'來案暨出貨明細表-基因檢測(201904起'!$B:$B,E$1)*$B22+COUNTIFS('來案暨出貨明細表-基因檢測(201904起'!$P:$P,$A22&amp;"*",'來案暨出貨明細表-基因檢測(201904起'!$B:$B,E$1,'來案暨出貨明細表-基因檢測(201904起'!$Q:$Q,"紙本&amp;電子")++COUNTIFS('來案暨出貨明細表-基因檢測(201904起'!$P:$P,$A22&amp;"*",'來案暨出貨明細表-基因檢測(201904起'!$B:$B,E$1,'來案暨出貨明細表-基因檢測(201904起'!$R:$R,"中英")</f>
        <v>0</v>
      </c>
      <c r="F22" s="33">
        <f>COUNTIFS('來案暨出貨明細表-基因檢測(201904起'!$P:$P,$A22&amp;"*",'來案暨出貨明細表-基因檢測(201904起'!$B:$B,F$1)*$B22+COUNTIFS('來案暨出貨明細表-基因檢測(201904起'!$P:$P,$A22&amp;"*",'來案暨出貨明細表-基因檢測(201904起'!$B:$B,F$1,'來案暨出貨明細表-基因檢測(201904起'!$Q:$Q,"紙本&amp;電子")++COUNTIFS('來案暨出貨明細表-基因檢測(201904起'!$P:$P,$A22&amp;"*",'來案暨出貨明細表-基因檢測(201904起'!$B:$B,F$1,'來案暨出貨明細表-基因檢測(201904起'!$R:$R,"中英")</f>
        <v>0</v>
      </c>
      <c r="G22" s="33">
        <f>COUNTIFS('來案暨出貨明細表-基因檢測(201904起'!$P:$P,$A22&amp;"*",'來案暨出貨明細表-基因檢測(201904起'!$B:$B,G$1)*$B22+COUNTIFS('來案暨出貨明細表-基因檢測(201904起'!$P:$P,$A22&amp;"*",'來案暨出貨明細表-基因檢測(201904起'!$B:$B,G$1,'來案暨出貨明細表-基因檢測(201904起'!$Q:$Q,"紙本&amp;電子")++COUNTIFS('來案暨出貨明細表-基因檢測(201904起'!$P:$P,$A22&amp;"*",'來案暨出貨明細表-基因檢測(201904起'!$B:$B,G$1,'來案暨出貨明細表-基因檢測(201904起'!$R:$R,"中英")</f>
        <v>0</v>
      </c>
      <c r="H22" s="33">
        <f>COUNTIFS('來案暨出貨明細表-基因檢測(201904起'!$P:$P,$A22&amp;"*",'來案暨出貨明細表-基因檢測(201904起'!$B:$B,H$1)*$B22+COUNTIFS('來案暨出貨明細表-基因檢測(201904起'!$P:$P,$A22&amp;"*",'來案暨出貨明細表-基因檢測(201904起'!$B:$B,H$1,'來案暨出貨明細表-基因檢測(201904起'!$Q:$Q,"紙本&amp;電子")++COUNTIFS('來案暨出貨明細表-基因檢測(201904起'!$P:$P,$A22&amp;"*",'來案暨出貨明細表-基因檢測(201904起'!$B:$B,H$1,'來案暨出貨明細表-基因檢測(201904起'!$R:$R,"中英")</f>
        <v>0</v>
      </c>
      <c r="I22" s="33">
        <f>COUNTIFS('來案暨出貨明細表-基因檢測(201904起'!$P:$P,$A22&amp;"*",'來案暨出貨明細表-基因檢測(201904起'!$B:$B,I$1)*$B22+COUNTIFS('來案暨出貨明細表-基因檢測(201904起'!$P:$P,$A22&amp;"*",'來案暨出貨明細表-基因檢測(201904起'!$B:$B,I$1,'來案暨出貨明細表-基因檢測(201904起'!$Q:$Q,"紙本&amp;電子")++COUNTIFS('來案暨出貨明細表-基因檢測(201904起'!$P:$P,$A22&amp;"*",'來案暨出貨明細表-基因檢測(201904起'!$B:$B,I$1,'來案暨出貨明細表-基因檢測(201904起'!$R:$R,"中英")</f>
        <v>0</v>
      </c>
      <c r="J22" s="33">
        <f>COUNTIFS('來案暨出貨明細表-基因檢測(201904起'!$P:$P,$A22&amp;"*",'來案暨出貨明細表-基因檢測(201904起'!$B:$B,J$1)*$B22+COUNTIFS('來案暨出貨明細表-基因檢測(201904起'!$P:$P,$A22&amp;"*",'來案暨出貨明細表-基因檢測(201904起'!$B:$B,J$1,'來案暨出貨明細表-基因檢測(201904起'!$Q:$Q,"紙本&amp;電子")++COUNTIFS('來案暨出貨明細表-基因檢測(201904起'!$P:$P,$A22&amp;"*",'來案暨出貨明細表-基因檢測(201904起'!$B:$B,J$1,'來案暨出貨明細表-基因檢測(201904起'!$R:$R,"中英")</f>
        <v>0</v>
      </c>
      <c r="K22" s="33">
        <f>COUNTIFS('來案暨出貨明細表-基因檢測(201904起'!$P:$P,$A22&amp;"*",'來案暨出貨明細表-基因檢測(201904起'!$B:$B,K$1)*$B22+COUNTIFS('來案暨出貨明細表-基因檢測(201904起'!$P:$P,$A22&amp;"*",'來案暨出貨明細表-基因檢測(201904起'!$B:$B,K$1,'來案暨出貨明細表-基因檢測(201904起'!$Q:$Q,"紙本&amp;電子")++COUNTIFS('來案暨出貨明細表-基因檢測(201904起'!$P:$P,$A22&amp;"*",'來案暨出貨明細表-基因檢測(201904起'!$B:$B,K$1,'來案暨出貨明細表-基因檢測(201904起'!$R:$R,"中英")</f>
        <v>0</v>
      </c>
      <c r="L22" s="33">
        <f>COUNTIFS('來案暨出貨明細表-基因檢測(201904起'!$P:$P,$A22&amp;"*",'來案暨出貨明細表-基因檢測(201904起'!$B:$B,L$1)*$B22+COUNTIFS('來案暨出貨明細表-基因檢測(201904起'!$P:$P,$A22&amp;"*",'來案暨出貨明細表-基因檢測(201904起'!$B:$B,L$1,'來案暨出貨明細表-基因檢測(201904起'!$Q:$Q,"紙本&amp;電子")++COUNTIFS('來案暨出貨明細表-基因檢測(201904起'!$P:$P,$A22&amp;"*",'來案暨出貨明細表-基因檢測(201904起'!$B:$B,L$1,'來案暨出貨明細表-基因檢測(201904起'!$R:$R,"中英")</f>
        <v>0</v>
      </c>
      <c r="M22" s="33">
        <f>COUNTIFS('來案暨出貨明細表-基因檢測(201904起'!$P:$P,$A22&amp;"*",'來案暨出貨明細表-基因檢測(201904起'!$B:$B,M$1)*$B22+COUNTIFS('來案暨出貨明細表-基因檢測(201904起'!$P:$P,$A22&amp;"*",'來案暨出貨明細表-基因檢測(201904起'!$B:$B,M$1,'來案暨出貨明細表-基因檢測(201904起'!$Q:$Q,"紙本&amp;電子")++COUNTIFS('來案暨出貨明細表-基因檢測(201904起'!$P:$P,$A22&amp;"*",'來案暨出貨明細表-基因檢測(201904起'!$B:$B,M$1,'來案暨出貨明細表-基因檢測(201904起'!$R:$R,"中英")</f>
        <v>0</v>
      </c>
      <c r="N22" s="33">
        <f>COUNTIFS('來案暨出貨明細表-基因檢測(201904起'!$P:$P,$A22&amp;"*",'來案暨出貨明細表-基因檢測(201904起'!$B:$B,N$1)*$B22+COUNTIFS('來案暨出貨明細表-基因檢測(201904起'!$P:$P,$A22&amp;"*",'來案暨出貨明細表-基因檢測(201904起'!$B:$B,N$1,'來案暨出貨明細表-基因檢測(201904起'!$Q:$Q,"紙本&amp;電子")++COUNTIFS('來案暨出貨明細表-基因檢測(201904起'!$P:$P,$A22&amp;"*",'來案暨出貨明細表-基因檢測(201904起'!$B:$B,N$1,'來案暨出貨明細表-基因檢測(201904起'!$R:$R,"中英")</f>
        <v>0</v>
      </c>
      <c r="O22" s="33">
        <f>COUNTIFS('來案暨出貨明細表-基因檢測(201904起'!$P:$P,$A22&amp;"*",'來案暨出貨明細表-基因檢測(201904起'!$B:$B,O$1)*$B22+COUNTIFS('來案暨出貨明細表-基因檢測(201904起'!$P:$P,$A22&amp;"*",'來案暨出貨明細表-基因檢測(201904起'!$B:$B,O$1,'來案暨出貨明細表-基因檢測(201904起'!$Q:$Q,"紙本&amp;電子")++COUNTIFS('來案暨出貨明細表-基因檢測(201904起'!$P:$P,$A22&amp;"*",'來案暨出貨明細表-基因檢測(201904起'!$B:$B,O$1,'來案暨出貨明細表-基因檢測(201904起'!$R:$R,"中英")</f>
        <v>0</v>
      </c>
      <c r="P22" s="33">
        <f>COUNTIFS('來案暨出貨明細表-基因檢測(201904起'!$P:$P,$A22&amp;"*",'來案暨出貨明細表-基因檢測(201904起'!$B:$B,P$1)*$B22+COUNTIFS('來案暨出貨明細表-基因檢測(201904起'!$P:$P,$A22&amp;"*",'來案暨出貨明細表-基因檢測(201904起'!$B:$B,P$1,'來案暨出貨明細表-基因檢測(201904起'!$Q:$Q,"紙本&amp;電子")++COUNTIFS('來案暨出貨明細表-基因檢測(201904起'!$P:$P,$A22&amp;"*",'來案暨出貨明細表-基因檢測(201904起'!$B:$B,P$1,'來案暨出貨明細表-基因檢測(201904起'!$R:$R,"中英")</f>
        <v>0</v>
      </c>
      <c r="Q22" s="33">
        <f>COUNTIFS('來案暨出貨明細表-基因檢測(201904起'!$P:$P,$A22&amp;"*",'來案暨出貨明細表-基因檢測(201904起'!$B:$B,Q$1)*$B22+COUNTIFS('來案暨出貨明細表-基因檢測(201904起'!$P:$P,$A22&amp;"*",'來案暨出貨明細表-基因檢測(201904起'!$B:$B,Q$1,'來案暨出貨明細表-基因檢測(201904起'!$Q:$Q,"紙本&amp;電子")++COUNTIFS('來案暨出貨明細表-基因檢測(201904起'!$P:$P,$A22&amp;"*",'來案暨出貨明細表-基因檢測(201904起'!$B:$B,Q$1,'來案暨出貨明細表-基因檢測(201904起'!$R:$R,"中英")</f>
        <v>0</v>
      </c>
      <c r="R22" s="33">
        <f>COUNTIFS('來案暨出貨明細表-基因檢測(201904起'!$P:$P,$A22&amp;"*",'來案暨出貨明細表-基因檢測(201904起'!$B:$B,R$1)*$B22+COUNTIFS('來案暨出貨明細表-基因檢測(201904起'!$P:$P,$A22&amp;"*",'來案暨出貨明細表-基因檢測(201904起'!$B:$B,R$1,'來案暨出貨明細表-基因檢測(201904起'!$Q:$Q,"紙本&amp;電子")++COUNTIFS('來案暨出貨明細表-基因檢測(201904起'!$P:$P,$A22&amp;"*",'來案暨出貨明細表-基因檢測(201904起'!$B:$B,R$1,'來案暨出貨明細表-基因檢測(201904起'!$R:$R,"中英")</f>
        <v>0</v>
      </c>
      <c r="S22" s="33">
        <f>COUNTIFS('來案暨出貨明細表-基因檢測(201904起'!$P:$P,$A22&amp;"*",'來案暨出貨明細表-基因檢測(201904起'!$B:$B,S$1)*$B22+COUNTIFS('來案暨出貨明細表-基因檢測(201904起'!$P:$P,$A22&amp;"*",'來案暨出貨明細表-基因檢測(201904起'!$B:$B,S$1,'來案暨出貨明細表-基因檢測(201904起'!$Q:$Q,"紙本&amp;電子")++COUNTIFS('來案暨出貨明細表-基因檢測(201904起'!$P:$P,$A22&amp;"*",'來案暨出貨明細表-基因檢測(201904起'!$B:$B,S$1,'來案暨出貨明細表-基因檢測(201904起'!$R:$R,"中英")</f>
        <v>0</v>
      </c>
      <c r="T22" s="33">
        <f>COUNTIFS('來案暨出貨明細表-基因檢測(201904起'!$P:$P,$A22&amp;"*",'來案暨出貨明細表-基因檢測(201904起'!$B:$B,T$1)*$B22+COUNTIFS('來案暨出貨明細表-基因檢測(201904起'!$P:$P,$A22&amp;"*",'來案暨出貨明細表-基因檢測(201904起'!$B:$B,T$1,'來案暨出貨明細表-基因檢測(201904起'!$Q:$Q,"紙本&amp;電子")++COUNTIFS('來案暨出貨明細表-基因檢測(201904起'!$P:$P,$A22&amp;"*",'來案暨出貨明細表-基因檢測(201904起'!$B:$B,T$1,'來案暨出貨明細表-基因檢測(201904起'!$R:$R,"中英")</f>
        <v>0</v>
      </c>
      <c r="U22" s="33">
        <f>COUNTIFS('來案暨出貨明細表-基因檢測(201904起'!$P:$P,$A22&amp;"*",'來案暨出貨明細表-基因檢測(201904起'!$B:$B,U$1)*$B22+COUNTIFS('來案暨出貨明細表-基因檢測(201904起'!$P:$P,$A22&amp;"*",'來案暨出貨明細表-基因檢測(201904起'!$B:$B,U$1,'來案暨出貨明細表-基因檢測(201904起'!$Q:$Q,"紙本&amp;電子")++COUNTIFS('來案暨出貨明細表-基因檢測(201904起'!$P:$P,$A22&amp;"*",'來案暨出貨明細表-基因檢測(201904起'!$B:$B,U$1,'來案暨出貨明細表-基因檢測(201904起'!$R:$R,"中英")</f>
        <v>0</v>
      </c>
      <c r="V22" s="33">
        <f>COUNTIFS('來案暨出貨明細表-基因檢測(201904起'!$P:$P,$A22&amp;"*",'來案暨出貨明細表-基因檢測(201904起'!$B:$B,V$1)*$B22+COUNTIFS('來案暨出貨明細表-基因檢測(201904起'!$P:$P,$A22&amp;"*",'來案暨出貨明細表-基因檢測(201904起'!$B:$B,V$1,'來案暨出貨明細表-基因檢測(201904起'!$Q:$Q,"紙本&amp;電子")++COUNTIFS('來案暨出貨明細表-基因檢測(201904起'!$P:$P,$A22&amp;"*",'來案暨出貨明細表-基因檢測(201904起'!$B:$B,V$1,'來案暨出貨明細表-基因檢測(201904起'!$R:$R,"中英")</f>
        <v>0</v>
      </c>
      <c r="W22" s="33">
        <f>COUNTIFS('來案暨出貨明細表-基因檢測(201904起'!$P:$P,$A22&amp;"*",'來案暨出貨明細表-基因檢測(201904起'!$B:$B,W$1)*$B22+COUNTIFS('來案暨出貨明細表-基因檢測(201904起'!$P:$P,$A22&amp;"*",'來案暨出貨明細表-基因檢測(201904起'!$B:$B,W$1,'來案暨出貨明細表-基因檢測(201904起'!$Q:$Q,"紙本&amp;電子")++COUNTIFS('來案暨出貨明細表-基因檢測(201904起'!$P:$P,$A22&amp;"*",'來案暨出貨明細表-基因檢測(201904起'!$B:$B,W$1,'來案暨出貨明細表-基因檢測(201904起'!$R:$R,"中英")</f>
        <v>0</v>
      </c>
      <c r="X22" s="33">
        <f>COUNTIFS('來案暨出貨明細表-基因檢測(201904起'!$P:$P,$A22&amp;"*",'來案暨出貨明細表-基因檢測(201904起'!$B:$B,X$1)*$B22+COUNTIFS('來案暨出貨明細表-基因檢測(201904起'!$P:$P,$A22&amp;"*",'來案暨出貨明細表-基因檢測(201904起'!$B:$B,X$1,'來案暨出貨明細表-基因檢測(201904起'!$Q:$Q,"紙本&amp;電子")++COUNTIFS('來案暨出貨明細表-基因檢測(201904起'!$P:$P,$A22&amp;"*",'來案暨出貨明細表-基因檢測(201904起'!$B:$B,X$1,'來案暨出貨明細表-基因檢測(201904起'!$R:$R,"中英")</f>
        <v>0</v>
      </c>
      <c r="Y22" s="33">
        <f>COUNTIFS('來案暨出貨明細表-基因檢測(201904起'!$P:$P,$A22&amp;"*",'來案暨出貨明細表-基因檢測(201904起'!$B:$B,Y$1)*$B22+COUNTIFS('來案暨出貨明細表-基因檢測(201904起'!$P:$P,$A22&amp;"*",'來案暨出貨明細表-基因檢測(201904起'!$B:$B,Y$1,'來案暨出貨明細表-基因檢測(201904起'!$Q:$Q,"紙本&amp;電子")++COUNTIFS('來案暨出貨明細表-基因檢測(201904起'!$P:$P,$A22&amp;"*",'來案暨出貨明細表-基因檢測(201904起'!$B:$B,Y$1,'來案暨出貨明細表-基因檢測(201904起'!$R:$R,"中英")</f>
        <v>0</v>
      </c>
      <c r="Z22" s="33">
        <f>COUNTIFS('來案暨出貨明細表-基因檢測(201904起'!$P:$P,$A22&amp;"*",'來案暨出貨明細表-基因檢測(201904起'!$B:$B,Z$1)*$B22+COUNTIFS('來案暨出貨明細表-基因檢測(201904起'!$P:$P,$A22&amp;"*",'來案暨出貨明細表-基因檢測(201904起'!$B:$B,Z$1,'來案暨出貨明細表-基因檢測(201904起'!$Q:$Q,"紙本&amp;電子")++COUNTIFS('來案暨出貨明細表-基因檢測(201904起'!$P:$P,$A22&amp;"*",'來案暨出貨明細表-基因檢測(201904起'!$B:$B,Z$1,'來案暨出貨明細表-基因檢測(201904起'!$R:$R,"中英")</f>
        <v>0</v>
      </c>
      <c r="AA22" s="33">
        <f>COUNTIFS('來案暨出貨明細表-基因檢測(201904起'!$P:$P,$A22&amp;"*",'來案暨出貨明細表-基因檢測(201904起'!$B:$B,AA$1)*$B22+COUNTIFS('來案暨出貨明細表-基因檢測(201904起'!$P:$P,$A22&amp;"*",'來案暨出貨明細表-基因檢測(201904起'!$B:$B,AA$1,'來案暨出貨明細表-基因檢測(201904起'!$Q:$Q,"紙本&amp;電子")++COUNTIFS('來案暨出貨明細表-基因檢測(201904起'!$P:$P,$A22&amp;"*",'來案暨出貨明細表-基因檢測(201904起'!$B:$B,AA$1,'來案暨出貨明細表-基因檢測(201904起'!$R:$R,"中英")</f>
        <v>0</v>
      </c>
      <c r="AB22" s="33">
        <f>COUNTIFS('來案暨出貨明細表-基因檢測(201904起'!$P:$P,$A22&amp;"*",'來案暨出貨明細表-基因檢測(201904起'!$B:$B,AB$1)*$B22+COUNTIFS('來案暨出貨明細表-基因檢測(201904起'!$P:$P,$A22&amp;"*",'來案暨出貨明細表-基因檢測(201904起'!$B:$B,AB$1,'來案暨出貨明細表-基因檢測(201904起'!$Q:$Q,"紙本&amp;電子")++COUNTIFS('來案暨出貨明細表-基因檢測(201904起'!$P:$P,$A22&amp;"*",'來案暨出貨明細表-基因檢測(201904起'!$B:$B,AB$1,'來案暨出貨明細表-基因檢測(201904起'!$R:$R,"中英")</f>
        <v>0</v>
      </c>
      <c r="AC22" s="33">
        <f>COUNTIFS('來案暨出貨明細表-基因檢測(201904起'!$P:$P,$A22&amp;"*",'來案暨出貨明細表-基因檢測(201904起'!$B:$B,AC$1)*$B22+COUNTIFS('來案暨出貨明細表-基因檢測(201904起'!$P:$P,$A22&amp;"*",'來案暨出貨明細表-基因檢測(201904起'!$B:$B,AC$1,'來案暨出貨明細表-基因檢測(201904起'!$Q:$Q,"紙本&amp;電子")++COUNTIFS('來案暨出貨明細表-基因檢測(201904起'!$P:$P,$A22&amp;"*",'來案暨出貨明細表-基因檢測(201904起'!$B:$B,AC$1,'來案暨出貨明細表-基因檢測(201904起'!$R:$R,"中英")</f>
        <v>0</v>
      </c>
      <c r="AD22" s="33">
        <f>COUNTIFS('來案暨出貨明細表-基因檢測(201904起'!$P:$P,$A22&amp;"*",'來案暨出貨明細表-基因檢測(201904起'!$B:$B,AD$1)*$B22+COUNTIFS('來案暨出貨明細表-基因檢測(201904起'!$P:$P,$A22&amp;"*",'來案暨出貨明細表-基因檢測(201904起'!$B:$B,AD$1,'來案暨出貨明細表-基因檢測(201904起'!$Q:$Q,"紙本&amp;電子")++COUNTIFS('來案暨出貨明細表-基因檢測(201904起'!$P:$P,$A22&amp;"*",'來案暨出貨明細表-基因檢測(201904起'!$B:$B,AD$1,'來案暨出貨明細表-基因檢測(201904起'!$R:$R,"中英")</f>
        <v>0</v>
      </c>
      <c r="AE22" s="33">
        <f>COUNTIFS('來案暨出貨明細表-基因檢測(201904起'!$P:$P,$A22&amp;"*",'來案暨出貨明細表-基因檢測(201904起'!$B:$B,AE$1)*$B22+COUNTIFS('來案暨出貨明細表-基因檢測(201904起'!$P:$P,$A22&amp;"*",'來案暨出貨明細表-基因檢測(201904起'!$B:$B,AE$1,'來案暨出貨明細表-基因檢測(201904起'!$Q:$Q,"紙本&amp;電子")++COUNTIFS('來案暨出貨明細表-基因檢測(201904起'!$P:$P,$A22&amp;"*",'來案暨出貨明細表-基因檢測(201904起'!$B:$B,AE$1,'來案暨出貨明細表-基因檢測(201904起'!$R:$R,"中英")</f>
        <v>0</v>
      </c>
      <c r="AF22" s="33">
        <f>COUNTIFS('來案暨出貨明細表-基因檢測(201904起'!$P:$P,$A22&amp;"*",'來案暨出貨明細表-基因檢測(201904起'!$B:$B,AF$1)*$B22+COUNTIFS('來案暨出貨明細表-基因檢測(201904起'!$P:$P,$A22&amp;"*",'來案暨出貨明細表-基因檢測(201904起'!$B:$B,AF$1,'來案暨出貨明細表-基因檢測(201904起'!$Q:$Q,"紙本&amp;電子")++COUNTIFS('來案暨出貨明細表-基因檢測(201904起'!$P:$P,$A22&amp;"*",'來案暨出貨明細表-基因檢測(201904起'!$B:$B,AF$1,'來案暨出貨明細表-基因檢測(201904起'!$R:$R,"中英")</f>
        <v>0</v>
      </c>
      <c r="AG22" s="33">
        <f>COUNTIFS('來案暨出貨明細表-基因檢測(201904起'!$P:$P,$A22&amp;"*",'來案暨出貨明細表-基因檢測(201904起'!$B:$B,AG$1)*$B22+COUNTIFS('來案暨出貨明細表-基因檢測(201904起'!$P:$P,$A22&amp;"*",'來案暨出貨明細表-基因檢測(201904起'!$B:$B,AG$1,'來案暨出貨明細表-基因檢測(201904起'!$Q:$Q,"紙本&amp;電子")++COUNTIFS('來案暨出貨明細表-基因檢測(201904起'!$P:$P,$A22&amp;"*",'來案暨出貨明細表-基因檢測(201904起'!$B:$B,AG$1,'來案暨出貨明細表-基因檢測(201904起'!$R:$R,"中英")</f>
        <v>0</v>
      </c>
      <c r="AH22" s="33">
        <f>COUNTIFS('來案暨出貨明細表-基因檢測(201904起'!$P:$P,$A22&amp;"*",'來案暨出貨明細表-基因檢測(201904起'!$B:$B,AH$1)*$B22+COUNTIFS('來案暨出貨明細表-基因檢測(201904起'!$P:$P,$A22&amp;"*",'來案暨出貨明細表-基因檢測(201904起'!$B:$B,AH$1,'來案暨出貨明細表-基因檢測(201904起'!$Q:$Q,"紙本&amp;電子")++COUNTIFS('來案暨出貨明細表-基因檢測(201904起'!$P:$P,$A22&amp;"*",'來案暨出貨明細表-基因檢測(201904起'!$B:$B,AH$1,'來案暨出貨明細表-基因檢測(201904起'!$R:$R,"中英")</f>
        <v>0</v>
      </c>
      <c r="AI22" s="33">
        <f>COUNTIFS('來案暨出貨明細表-基因檢測(201904起'!$P:$P,$A22&amp;"*",'來案暨出貨明細表-基因檢測(201904起'!$B:$B,AI$1)*$B22+COUNTIFS('來案暨出貨明細表-基因檢測(201904起'!$P:$P,$A22&amp;"*",'來案暨出貨明細表-基因檢測(201904起'!$B:$B,AI$1,'來案暨出貨明細表-基因檢測(201904起'!$Q:$Q,"紙本&amp;電子")++COUNTIFS('來案暨出貨明細表-基因檢測(201904起'!$P:$P,$A22&amp;"*",'來案暨出貨明細表-基因檢測(201904起'!$B:$B,AI$1,'來案暨出貨明細表-基因檢測(201904起'!$R:$R,"中英")</f>
        <v>0</v>
      </c>
      <c r="AJ22" s="33">
        <f>COUNTIFS('來案暨出貨明細表-基因檢測(201904起'!$P:$P,$A22&amp;"*",'來案暨出貨明細表-基因檢測(201904起'!$B:$B,AJ$1)*$B22+COUNTIFS('來案暨出貨明細表-基因檢測(201904起'!$P:$P,$A22&amp;"*",'來案暨出貨明細表-基因檢測(201904起'!$B:$B,AJ$1,'來案暨出貨明細表-基因檢測(201904起'!$Q:$Q,"紙本&amp;電子")++COUNTIFS('來案暨出貨明細表-基因檢測(201904起'!$P:$P,$A22&amp;"*",'來案暨出貨明細表-基因檢測(201904起'!$B:$B,AJ$1,'來案暨出貨明細表-基因檢測(201904起'!$R:$R,"中英")</f>
        <v>0</v>
      </c>
      <c r="AK22" s="33">
        <f>COUNTIFS('來案暨出貨明細表-基因檢測(201904起'!$P:$P,$A22&amp;"*",'來案暨出貨明細表-基因檢測(201904起'!$B:$B,AK$1)*$B22+COUNTIFS('來案暨出貨明細表-基因檢測(201904起'!$P:$P,$A22&amp;"*",'來案暨出貨明細表-基因檢測(201904起'!$B:$B,AK$1,'來案暨出貨明細表-基因檢測(201904起'!$Q:$Q,"紙本&amp;電子")++COUNTIFS('來案暨出貨明細表-基因檢測(201904起'!$P:$P,$A22&amp;"*",'來案暨出貨明細表-基因檢測(201904起'!$B:$B,AK$1,'來案暨出貨明細表-基因檢測(201904起'!$R:$R,"中英")</f>
        <v>0</v>
      </c>
      <c r="AL22" s="33">
        <f>COUNTIFS('來案暨出貨明細表-基因檢測(201904起'!$P:$P,$A22&amp;"*",'來案暨出貨明細表-基因檢測(201904起'!$B:$B,AL$1)*$B22+COUNTIFS('來案暨出貨明細表-基因檢測(201904起'!$P:$P,$A22&amp;"*",'來案暨出貨明細表-基因檢測(201904起'!$B:$B,AL$1,'來案暨出貨明細表-基因檢測(201904起'!$Q:$Q,"紙本&amp;電子")++COUNTIFS('來案暨出貨明細表-基因檢測(201904起'!$P:$P,$A22&amp;"*",'來案暨出貨明細表-基因檢測(201904起'!$B:$B,AL$1,'來案暨出貨明細表-基因檢測(201904起'!$R:$R,"中英")</f>
        <v>0</v>
      </c>
      <c r="AM22" s="33">
        <f>COUNTIFS('來案暨出貨明細表-基因檢測(201904起'!$P:$P,$A22&amp;"*",'來案暨出貨明細表-基因檢測(201904起'!$B:$B,AM$1)*$B22+COUNTIFS('來案暨出貨明細表-基因檢測(201904起'!$P:$P,$A22&amp;"*",'來案暨出貨明細表-基因檢測(201904起'!$B:$B,AM$1,'來案暨出貨明細表-基因檢測(201904起'!$Q:$Q,"紙本&amp;電子")++COUNTIFS('來案暨出貨明細表-基因檢測(201904起'!$P:$P,$A22&amp;"*",'來案暨出貨明細表-基因檢測(201904起'!$B:$B,AM$1,'來案暨出貨明細表-基因檢測(201904起'!$R:$R,"中英")</f>
        <v>0</v>
      </c>
      <c r="AN22" s="33">
        <f>COUNTIFS('來案暨出貨明細表-基因檢測(201904起'!$P:$P,$A22&amp;"*",'來案暨出貨明細表-基因檢測(201904起'!$B:$B,AN$1)*$B22+COUNTIFS('來案暨出貨明細表-基因檢測(201904起'!$P:$P,$A22&amp;"*",'來案暨出貨明細表-基因檢測(201904起'!$B:$B,AN$1,'來案暨出貨明細表-基因檢測(201904起'!$Q:$Q,"紙本&amp;電子")++COUNTIFS('來案暨出貨明細表-基因檢測(201904起'!$P:$P,$A22&amp;"*",'來案暨出貨明細表-基因檢測(201904起'!$B:$B,AN$1,'來案暨出貨明細表-基因檢測(201904起'!$R:$R,"中英")</f>
        <v>0</v>
      </c>
      <c r="AO22" s="33">
        <f>COUNTIFS('來案暨出貨明細表-基因檢測(201904起'!$P:$P,$A22&amp;"*",'來案暨出貨明細表-基因檢測(201904起'!$B:$B,AO$1)*$B22+COUNTIFS('來案暨出貨明細表-基因檢測(201904起'!$P:$P,$A22&amp;"*",'來案暨出貨明細表-基因檢測(201904起'!$B:$B,AO$1,'來案暨出貨明細表-基因檢測(201904起'!$Q:$Q,"紙本&amp;電子")++COUNTIFS('來案暨出貨明細表-基因檢測(201904起'!$P:$P,$A22&amp;"*",'來案暨出貨明細表-基因檢測(201904起'!$B:$B,AO$1,'來案暨出貨明細表-基因檢測(201904起'!$R:$R,"中英")</f>
        <v>0</v>
      </c>
      <c r="AP22" s="33">
        <f>COUNTIFS('來案暨出貨明細表-基因檢測(201904起'!$P:$P,$A22&amp;"*",'來案暨出貨明細表-基因檢測(201904起'!$B:$B,AP$1)*$B22+COUNTIFS('來案暨出貨明細表-基因檢測(201904起'!$P:$P,$A22&amp;"*",'來案暨出貨明細表-基因檢測(201904起'!$B:$B,AP$1,'來案暨出貨明細表-基因檢測(201904起'!$Q:$Q,"紙本&amp;電子")++COUNTIFS('來案暨出貨明細表-基因檢測(201904起'!$P:$P,$A22&amp;"*",'來案暨出貨明細表-基因檢測(201904起'!$B:$B,AP$1,'來案暨出貨明細表-基因檢測(201904起'!$R:$R,"中英")</f>
        <v>0</v>
      </c>
      <c r="AQ22" s="33">
        <f>COUNTIFS('來案暨出貨明細表-基因檢測(201904起'!$P:$P,$A22&amp;"*",'來案暨出貨明細表-基因檢測(201904起'!$B:$B,AQ$1)*$B22+COUNTIFS('來案暨出貨明細表-基因檢測(201904起'!$P:$P,$A22&amp;"*",'來案暨出貨明細表-基因檢測(201904起'!$B:$B,AQ$1,'來案暨出貨明細表-基因檢測(201904起'!$Q:$Q,"紙本&amp;電子")++COUNTIFS('來案暨出貨明細表-基因檢測(201904起'!$P:$P,$A22&amp;"*",'來案暨出貨明細表-基因檢測(201904起'!$B:$B,AQ$1,'來案暨出貨明細表-基因檢測(201904起'!$R:$R,"中英")</f>
        <v>0</v>
      </c>
      <c r="AR22" s="33">
        <f>COUNTIFS('來案暨出貨明細表-基因檢測(201904起'!$P:$P,$A22&amp;"*",'來案暨出貨明細表-基因檢測(201904起'!$B:$B,AR$1)*$B22+COUNTIFS('來案暨出貨明細表-基因檢測(201904起'!$P:$P,$A22&amp;"*",'來案暨出貨明細表-基因檢測(201904起'!$B:$B,AR$1,'來案暨出貨明細表-基因檢測(201904起'!$Q:$Q,"紙本&amp;電子")++COUNTIFS('來案暨出貨明細表-基因檢測(201904起'!$P:$P,$A22&amp;"*",'來案暨出貨明細表-基因檢測(201904起'!$B:$B,AR$1,'來案暨出貨明細表-基因檢測(201904起'!$R:$R,"中英")</f>
        <v>0</v>
      </c>
      <c r="AS22" s="33">
        <f>COUNTIFS('來案暨出貨明細表-基因檢測(201904起'!$P:$P,$A22&amp;"*",'來案暨出貨明細表-基因檢測(201904起'!$B:$B,AS$1)*$B22+COUNTIFS('來案暨出貨明細表-基因檢測(201904起'!$P:$P,$A22&amp;"*",'來案暨出貨明細表-基因檢測(201904起'!$B:$B,AS$1,'來案暨出貨明細表-基因檢測(201904起'!$Q:$Q,"紙本&amp;電子")++COUNTIFS('來案暨出貨明細表-基因檢測(201904起'!$P:$P,$A22&amp;"*",'來案暨出貨明細表-基因檢測(201904起'!$B:$B,AS$1,'來案暨出貨明細表-基因檢測(201904起'!$R:$R,"中英")</f>
        <v>0</v>
      </c>
      <c r="AT22" s="33">
        <f>COUNTIFS('來案暨出貨明細表-基因檢測(201904起'!$P:$P,$A22&amp;"*",'來案暨出貨明細表-基因檢測(201904起'!$B:$B,AT$1)*$B22+COUNTIFS('來案暨出貨明細表-基因檢測(201904起'!$P:$P,$A22&amp;"*",'來案暨出貨明細表-基因檢測(201904起'!$B:$B,AT$1,'來案暨出貨明細表-基因檢測(201904起'!$Q:$Q,"紙本&amp;電子")++COUNTIFS('來案暨出貨明細表-基因檢測(201904起'!$P:$P,$A22&amp;"*",'來案暨出貨明細表-基因檢測(201904起'!$B:$B,AT$1,'來案暨出貨明細表-基因檢測(201904起'!$R:$R,"中英")</f>
        <v>0</v>
      </c>
      <c r="AU22" s="33">
        <f>COUNTIFS('來案暨出貨明細表-基因檢測(201904起'!$P:$P,$A22&amp;"*",'來案暨出貨明細表-基因檢測(201904起'!$B:$B,AU$1)*$B22+COUNTIFS('來案暨出貨明細表-基因檢測(201904起'!$P:$P,$A22&amp;"*",'來案暨出貨明細表-基因檢測(201904起'!$B:$B,AU$1,'來案暨出貨明細表-基因檢測(201904起'!$Q:$Q,"紙本&amp;電子")++COUNTIFS('來案暨出貨明細表-基因檢測(201904起'!$P:$P,$A22&amp;"*",'來案暨出貨明細表-基因檢測(201904起'!$B:$B,AU$1,'來案暨出貨明細表-基因檢測(201904起'!$R:$R,"中英")</f>
        <v>0</v>
      </c>
      <c r="AV22" s="33">
        <f>COUNTIFS('來案暨出貨明細表-基因檢測(201904起'!$P:$P,$A22&amp;"*",'來案暨出貨明細表-基因檢測(201904起'!$B:$B,AV$1)*$B22+COUNTIFS('來案暨出貨明細表-基因檢測(201904起'!$P:$P,$A22&amp;"*",'來案暨出貨明細表-基因檢測(201904起'!$B:$B,AV$1,'來案暨出貨明細表-基因檢測(201904起'!$Q:$Q,"紙本&amp;電子")++COUNTIFS('來案暨出貨明細表-基因檢測(201904起'!$P:$P,$A22&amp;"*",'來案暨出貨明細表-基因檢測(201904起'!$B:$B,AV$1,'來案暨出貨明細表-基因檢測(201904起'!$R:$R,"中英")</f>
        <v>0</v>
      </c>
      <c r="AW22" s="33">
        <f>COUNTIFS('來案暨出貨明細表-基因檢測(201904起'!$P:$P,$A22&amp;"*",'來案暨出貨明細表-基因檢測(201904起'!$B:$B,AW$1)*$B22+COUNTIFS('來案暨出貨明細表-基因檢測(201904起'!$P:$P,$A22&amp;"*",'來案暨出貨明細表-基因檢測(201904起'!$B:$B,AW$1,'來案暨出貨明細表-基因檢測(201904起'!$Q:$Q,"紙本&amp;電子")++COUNTIFS('來案暨出貨明細表-基因檢測(201904起'!$P:$P,$A22&amp;"*",'來案暨出貨明細表-基因檢測(201904起'!$B:$B,AW$1,'來案暨出貨明細表-基因檢測(201904起'!$R:$R,"中英")</f>
        <v>0</v>
      </c>
      <c r="AX22" s="33">
        <f>COUNTIFS('來案暨出貨明細表-基因檢測(201904起'!$P:$P,$A22&amp;"*",'來案暨出貨明細表-基因檢測(201904起'!$B:$B,AX$1)*$B22+COUNTIFS('來案暨出貨明細表-基因檢測(201904起'!$P:$P,$A22&amp;"*",'來案暨出貨明細表-基因檢測(201904起'!$B:$B,AX$1,'來案暨出貨明細表-基因檢測(201904起'!$Q:$Q,"紙本&amp;電子")++COUNTIFS('來案暨出貨明細表-基因檢測(201904起'!$P:$P,$A22&amp;"*",'來案暨出貨明細表-基因檢測(201904起'!$B:$B,AX$1,'來案暨出貨明細表-基因檢測(201904起'!$R:$R,"中英")</f>
        <v>0</v>
      </c>
      <c r="AY22" s="33">
        <f>COUNTIFS('來案暨出貨明細表-基因檢測(201904起'!$P:$P,$A22&amp;"*",'來案暨出貨明細表-基因檢測(201904起'!$B:$B,AY$1)*$B22+COUNTIFS('來案暨出貨明細表-基因檢測(201904起'!$P:$P,$A22&amp;"*",'來案暨出貨明細表-基因檢測(201904起'!$B:$B,AY$1,'來案暨出貨明細表-基因檢測(201904起'!$Q:$Q,"紙本&amp;電子")++COUNTIFS('來案暨出貨明細表-基因檢測(201904起'!$P:$P,$A22&amp;"*",'來案暨出貨明細表-基因檢測(201904起'!$B:$B,AY$1,'來案暨出貨明細表-基因檢測(201904起'!$R:$R,"中英")</f>
        <v>0</v>
      </c>
      <c r="AZ22" s="33">
        <f>COUNTIFS('來案暨出貨明細表-基因檢測(201904起'!$P:$P,$A22&amp;"*",'來案暨出貨明細表-基因檢測(201904起'!$B:$B,AZ$1)*$B22+COUNTIFS('來案暨出貨明細表-基因檢測(201904起'!$P:$P,$A22&amp;"*",'來案暨出貨明細表-基因檢測(201904起'!$B:$B,AZ$1,'來案暨出貨明細表-基因檢測(201904起'!$Q:$Q,"紙本&amp;電子")++COUNTIFS('來案暨出貨明細表-基因檢測(201904起'!$P:$P,$A22&amp;"*",'來案暨出貨明細表-基因檢測(201904起'!$B:$B,AZ$1,'來案暨出貨明細表-基因檢測(201904起'!$R:$R,"中英")</f>
        <v>0</v>
      </c>
      <c r="BA22" s="33">
        <f>COUNTIFS('來案暨出貨明細表-基因檢測(201904起'!$P:$P,$A22&amp;"*",'來案暨出貨明細表-基因檢測(201904起'!$B:$B,BA$1)*$B22+COUNTIFS('來案暨出貨明細表-基因檢測(201904起'!$P:$P,$A22&amp;"*",'來案暨出貨明細表-基因檢測(201904起'!$B:$B,BA$1,'來案暨出貨明細表-基因檢測(201904起'!$Q:$Q,"紙本&amp;電子")++COUNTIFS('來案暨出貨明細表-基因檢測(201904起'!$P:$P,$A22&amp;"*",'來案暨出貨明細表-基因檢測(201904起'!$B:$B,BA$1,'來案暨出貨明細表-基因檢測(201904起'!$R:$R,"中英")</f>
        <v>0</v>
      </c>
      <c r="BB22" s="33">
        <f>COUNTIFS('來案暨出貨明細表-基因檢測(201904起'!$P:$P,$A22&amp;"*",'來案暨出貨明細表-基因檢測(201904起'!$B:$B,BB$1)*$B22+COUNTIFS('來案暨出貨明細表-基因檢測(201904起'!$P:$P,$A22&amp;"*",'來案暨出貨明細表-基因檢測(201904起'!$B:$B,BB$1,'來案暨出貨明細表-基因檢測(201904起'!$Q:$Q,"紙本&amp;電子")++COUNTIFS('來案暨出貨明細表-基因檢測(201904起'!$P:$P,$A22&amp;"*",'來案暨出貨明細表-基因檢測(201904起'!$B:$B,BB$1,'來案暨出貨明細表-基因檢測(201904起'!$R:$R,"中英")</f>
        <v>0</v>
      </c>
      <c r="BC22" s="33">
        <f>COUNTIFS('來案暨出貨明細表-基因檢測(201904起'!$P:$P,$A22&amp;"*",'來案暨出貨明細表-基因檢測(201904起'!$B:$B,BC$1)*$B22+COUNTIFS('來案暨出貨明細表-基因檢測(201904起'!$P:$P,$A22&amp;"*",'來案暨出貨明細表-基因檢測(201904起'!$B:$B,BC$1,'來案暨出貨明細表-基因檢測(201904起'!$Q:$Q,"紙本&amp;電子")++COUNTIFS('來案暨出貨明細表-基因檢測(201904起'!$P:$P,$A22&amp;"*",'來案暨出貨明細表-基因檢測(201904起'!$B:$B,BC$1,'來案暨出貨明細表-基因檢測(201904起'!$R:$R,"中英")</f>
        <v>0</v>
      </c>
      <c r="BD22" s="33">
        <f>COUNTIFS('來案暨出貨明細表-基因檢測(201904起'!$P:$P,$A22&amp;"*",'來案暨出貨明細表-基因檢測(201904起'!$B:$B,BD$1)*$B22+COUNTIFS('來案暨出貨明細表-基因檢測(201904起'!$P:$P,$A22&amp;"*",'來案暨出貨明細表-基因檢測(201904起'!$B:$B,BD$1,'來案暨出貨明細表-基因檢測(201904起'!$Q:$Q,"紙本&amp;電子")++COUNTIFS('來案暨出貨明細表-基因檢測(201904起'!$P:$P,$A22&amp;"*",'來案暨出貨明細表-基因檢測(201904起'!$B:$B,BD$1,'來案暨出貨明細表-基因檢測(201904起'!$R:$R,"中英")</f>
        <v>0</v>
      </c>
      <c r="BE22" s="33">
        <f>COUNTIFS('來案暨出貨明細表-基因檢測(201904起'!$P:$P,$A22&amp;"*",'來案暨出貨明細表-基因檢測(201904起'!$B:$B,BE$1)*$B22+COUNTIFS('來案暨出貨明細表-基因檢測(201904起'!$P:$P,$A22&amp;"*",'來案暨出貨明細表-基因檢測(201904起'!$B:$B,BE$1,'來案暨出貨明細表-基因檢測(201904起'!$Q:$Q,"紙本&amp;電子")++COUNTIFS('來案暨出貨明細表-基因檢測(201904起'!$P:$P,$A22&amp;"*",'來案暨出貨明細表-基因檢測(201904起'!$B:$B,BE$1,'來案暨出貨明細表-基因檢測(201904起'!$R:$R,"中英")</f>
        <v>0</v>
      </c>
      <c r="BF22" s="33">
        <f>COUNTIFS('來案暨出貨明細表-基因檢測(201904起'!$P:$P,$A22&amp;"*",'來案暨出貨明細表-基因檢測(201904起'!$B:$B,BF$1)*$B22+COUNTIFS('來案暨出貨明細表-基因檢測(201904起'!$P:$P,$A22&amp;"*",'來案暨出貨明細表-基因檢測(201904起'!$B:$B,BF$1,'來案暨出貨明細表-基因檢測(201904起'!$Q:$Q,"紙本&amp;電子")++COUNTIFS('來案暨出貨明細表-基因檢測(201904起'!$P:$P,$A22&amp;"*",'來案暨出貨明細表-基因檢測(201904起'!$B:$B,BF$1,'來案暨出貨明細表-基因檢測(201904起'!$R:$R,"中英")</f>
        <v>0</v>
      </c>
      <c r="BG22" s="33">
        <f>COUNTIFS('來案暨出貨明細表-基因檢測(201904起'!$P:$P,$A22&amp;"*",'來案暨出貨明細表-基因檢測(201904起'!$B:$B,BG$1)*$B22+COUNTIFS('來案暨出貨明細表-基因檢測(201904起'!$P:$P,$A22&amp;"*",'來案暨出貨明細表-基因檢測(201904起'!$B:$B,BG$1,'來案暨出貨明細表-基因檢測(201904起'!$Q:$Q,"紙本&amp;電子")++COUNTIFS('來案暨出貨明細表-基因檢測(201904起'!$P:$P,$A22&amp;"*",'來案暨出貨明細表-基因檢測(201904起'!$B:$B,BG$1,'來案暨出貨明細表-基因檢測(201904起'!$R:$R,"中英")</f>
        <v>0</v>
      </c>
      <c r="BH22" s="33">
        <f>COUNTIFS('來案暨出貨明細表-基因檢測(201904起'!$P:$P,$A22&amp;"*",'來案暨出貨明細表-基因檢測(201904起'!$B:$B,BH$1)*$B22+COUNTIFS('來案暨出貨明細表-基因檢測(201904起'!$P:$P,$A22&amp;"*",'來案暨出貨明細表-基因檢測(201904起'!$B:$B,BH$1,'來案暨出貨明細表-基因檢測(201904起'!$Q:$Q,"紙本&amp;電子")++COUNTIFS('來案暨出貨明細表-基因檢測(201904起'!$P:$P,$A22&amp;"*",'來案暨出貨明細表-基因檢測(201904起'!$B:$B,BH$1,'來案暨出貨明細表-基因檢測(201904起'!$R:$R,"中英")</f>
        <v>0</v>
      </c>
      <c r="BI22" s="33">
        <f>COUNTIFS('來案暨出貨明細表-基因檢測(201904起'!$P:$P,$A22&amp;"*",'來案暨出貨明細表-基因檢測(201904起'!$B:$B,BI$1)*$B22+COUNTIFS('來案暨出貨明細表-基因檢測(201904起'!$P:$P,$A22&amp;"*",'來案暨出貨明細表-基因檢測(201904起'!$B:$B,BI$1,'來案暨出貨明細表-基因檢測(201904起'!$Q:$Q,"紙本&amp;電子")++COUNTIFS('來案暨出貨明細表-基因檢測(201904起'!$P:$P,$A22&amp;"*",'來案暨出貨明細表-基因檢測(201904起'!$B:$B,BI$1,'來案暨出貨明細表-基因檢測(201904起'!$R:$R,"中英")</f>
        <v>0</v>
      </c>
      <c r="BJ22" s="33">
        <f>COUNTIFS('來案暨出貨明細表-基因檢測(201904起'!$P:$P,$A22&amp;"*",'來案暨出貨明細表-基因檢測(201904起'!$B:$B,BJ$1)*$B22+COUNTIFS('來案暨出貨明細表-基因檢測(201904起'!$P:$P,$A22&amp;"*",'來案暨出貨明細表-基因檢測(201904起'!$B:$B,BJ$1,'來案暨出貨明細表-基因檢測(201904起'!$Q:$Q,"紙本&amp;電子")++COUNTIFS('來案暨出貨明細表-基因檢測(201904起'!$P:$P,$A22&amp;"*",'來案暨出貨明細表-基因檢測(201904起'!$B:$B,BJ$1,'來案暨出貨明細表-基因檢測(201904起'!$R:$R,"中英")</f>
        <v>0</v>
      </c>
      <c r="BK22" s="33">
        <f>COUNTIFS('來案暨出貨明細表-基因檢測(201904起'!$P:$P,$A22&amp;"*",'來案暨出貨明細表-基因檢測(201904起'!$B:$B,BK$1)*$B22+COUNTIFS('來案暨出貨明細表-基因檢測(201904起'!$P:$P,$A22&amp;"*",'來案暨出貨明細表-基因檢測(201904起'!$B:$B,BK$1,'來案暨出貨明細表-基因檢測(201904起'!$Q:$Q,"紙本&amp;電子")++COUNTIFS('來案暨出貨明細表-基因檢測(201904起'!$P:$P,$A22&amp;"*",'來案暨出貨明細表-基因檢測(201904起'!$B:$B,BK$1,'來案暨出貨明細表-基因檢測(201904起'!$R:$R,"中英")</f>
        <v>0</v>
      </c>
      <c r="BL22" s="33">
        <f>COUNTIFS('來案暨出貨明細表-基因檢測(201904起'!$P:$P,$A22&amp;"*",'來案暨出貨明細表-基因檢測(201904起'!$B:$B,BL$1)*$B22+COUNTIFS('來案暨出貨明細表-基因檢測(201904起'!$P:$P,$A22&amp;"*",'來案暨出貨明細表-基因檢測(201904起'!$B:$B,BL$1,'來案暨出貨明細表-基因檢測(201904起'!$Q:$Q,"紙本&amp;電子")++COUNTIFS('來案暨出貨明細表-基因檢測(201904起'!$P:$P,$A22&amp;"*",'來案暨出貨明細表-基因檢測(201904起'!$B:$B,BL$1,'來案暨出貨明細表-基因檢測(201904起'!$R:$R,"中英")</f>
        <v>0</v>
      </c>
      <c r="BM22" s="33">
        <f>COUNTIFS('來案暨出貨明細表-基因檢測(201904起'!$P:$P,$A22&amp;"*",'來案暨出貨明細表-基因檢測(201904起'!$B:$B,BM$1)*$B22+COUNTIFS('來案暨出貨明細表-基因檢測(201904起'!$P:$P,$A22&amp;"*",'來案暨出貨明細表-基因檢測(201904起'!$B:$B,BM$1,'來案暨出貨明細表-基因檢測(201904起'!$Q:$Q,"紙本&amp;電子")++COUNTIFS('來案暨出貨明細表-基因檢測(201904起'!$P:$P,$A22&amp;"*",'來案暨出貨明細表-基因檢測(201904起'!$B:$B,BM$1,'來案暨出貨明細表-基因檢測(201904起'!$R:$R,"中英")</f>
        <v>0</v>
      </c>
    </row>
    <row r="23" spans="1:65" ht="15" customHeight="1">
      <c r="A23" s="9" t="s">
        <v>4531</v>
      </c>
      <c r="B23" s="9">
        <v>1</v>
      </c>
      <c r="C23" s="13" t="s">
        <v>4532</v>
      </c>
      <c r="D23" s="142" t="s">
        <v>4533</v>
      </c>
      <c r="E23" s="33">
        <f>COUNTIFS('來案暨出貨明細表-基因檢測(201904起'!$P:$P,$A23&amp;"*",'來案暨出貨明細表-基因檢測(201904起'!$B:$B,E$1)*$B23+COUNTIFS('來案暨出貨明細表-基因檢測(201904起'!$P:$P,$A23&amp;"*",'來案暨出貨明細表-基因檢測(201904起'!$B:$B,E$1,'來案暨出貨明細表-基因檢測(201904起'!$Q:$Q,"紙本&amp;電子")++COUNTIFS('來案暨出貨明細表-基因檢測(201904起'!$P:$P,$A23&amp;"*",'來案暨出貨明細表-基因檢測(201904起'!$B:$B,E$1,'來案暨出貨明細表-基因檢測(201904起'!$R:$R,"中英")</f>
        <v>0</v>
      </c>
      <c r="F23" s="33">
        <f>COUNTIFS('來案暨出貨明細表-基因檢測(201904起'!$P:$P,$A23&amp;"*",'來案暨出貨明細表-基因檢測(201904起'!$B:$B,F$1)*$B23+COUNTIFS('來案暨出貨明細表-基因檢測(201904起'!$P:$P,$A23&amp;"*",'來案暨出貨明細表-基因檢測(201904起'!$B:$B,F$1,'來案暨出貨明細表-基因檢測(201904起'!$Q:$Q,"紙本&amp;電子")++COUNTIFS('來案暨出貨明細表-基因檢測(201904起'!$P:$P,$A23&amp;"*",'來案暨出貨明細表-基因檢測(201904起'!$B:$B,F$1,'來案暨出貨明細表-基因檢測(201904起'!$R:$R,"中英")</f>
        <v>0</v>
      </c>
      <c r="G23" s="33">
        <f>COUNTIFS('來案暨出貨明細表-基因檢測(201904起'!$P:$P,$A23&amp;"*",'來案暨出貨明細表-基因檢測(201904起'!$B:$B,G$1)*$B23+COUNTIFS('來案暨出貨明細表-基因檢測(201904起'!$P:$P,$A23&amp;"*",'來案暨出貨明細表-基因檢測(201904起'!$B:$B,G$1,'來案暨出貨明細表-基因檢測(201904起'!$Q:$Q,"紙本&amp;電子")++COUNTIFS('來案暨出貨明細表-基因檢測(201904起'!$P:$P,$A23&amp;"*",'來案暨出貨明細表-基因檢測(201904起'!$B:$B,G$1,'來案暨出貨明細表-基因檢測(201904起'!$R:$R,"中英")</f>
        <v>0</v>
      </c>
      <c r="H23" s="33">
        <f>COUNTIFS('來案暨出貨明細表-基因檢測(201904起'!$P:$P,$A23&amp;"*",'來案暨出貨明細表-基因檢測(201904起'!$B:$B,H$1)*$B23+COUNTIFS('來案暨出貨明細表-基因檢測(201904起'!$P:$P,$A23&amp;"*",'來案暨出貨明細表-基因檢測(201904起'!$B:$B,H$1,'來案暨出貨明細表-基因檢測(201904起'!$Q:$Q,"紙本&amp;電子")++COUNTIFS('來案暨出貨明細表-基因檢測(201904起'!$P:$P,$A23&amp;"*",'來案暨出貨明細表-基因檢測(201904起'!$B:$B,H$1,'來案暨出貨明細表-基因檢測(201904起'!$R:$R,"中英")</f>
        <v>0</v>
      </c>
      <c r="I23" s="33">
        <f>COUNTIFS('來案暨出貨明細表-基因檢測(201904起'!$P:$P,$A23&amp;"*",'來案暨出貨明細表-基因檢測(201904起'!$B:$B,I$1)*$B23+COUNTIFS('來案暨出貨明細表-基因檢測(201904起'!$P:$P,$A23&amp;"*",'來案暨出貨明細表-基因檢測(201904起'!$B:$B,I$1,'來案暨出貨明細表-基因檢測(201904起'!$Q:$Q,"紙本&amp;電子")++COUNTIFS('來案暨出貨明細表-基因檢測(201904起'!$P:$P,$A23&amp;"*",'來案暨出貨明細表-基因檢測(201904起'!$B:$B,I$1,'來案暨出貨明細表-基因檢測(201904起'!$R:$R,"中英")</f>
        <v>0</v>
      </c>
      <c r="J23" s="33">
        <f>COUNTIFS('來案暨出貨明細表-基因檢測(201904起'!$P:$P,$A23&amp;"*",'來案暨出貨明細表-基因檢測(201904起'!$B:$B,J$1)*$B23+COUNTIFS('來案暨出貨明細表-基因檢測(201904起'!$P:$P,$A23&amp;"*",'來案暨出貨明細表-基因檢測(201904起'!$B:$B,J$1,'來案暨出貨明細表-基因檢測(201904起'!$Q:$Q,"紙本&amp;電子")++COUNTIFS('來案暨出貨明細表-基因檢測(201904起'!$P:$P,$A23&amp;"*",'來案暨出貨明細表-基因檢測(201904起'!$B:$B,J$1,'來案暨出貨明細表-基因檢測(201904起'!$R:$R,"中英")</f>
        <v>0</v>
      </c>
      <c r="K23" s="33">
        <f>COUNTIFS('來案暨出貨明細表-基因檢測(201904起'!$P:$P,$A23&amp;"*",'來案暨出貨明細表-基因檢測(201904起'!$B:$B,K$1)*$B23+COUNTIFS('來案暨出貨明細表-基因檢測(201904起'!$P:$P,$A23&amp;"*",'來案暨出貨明細表-基因檢測(201904起'!$B:$B,K$1,'來案暨出貨明細表-基因檢測(201904起'!$Q:$Q,"紙本&amp;電子")++COUNTIFS('來案暨出貨明細表-基因檢測(201904起'!$P:$P,$A23&amp;"*",'來案暨出貨明細表-基因檢測(201904起'!$B:$B,K$1,'來案暨出貨明細表-基因檢測(201904起'!$R:$R,"中英")</f>
        <v>0</v>
      </c>
      <c r="L23" s="33">
        <f>COUNTIFS('來案暨出貨明細表-基因檢測(201904起'!$P:$P,$A23&amp;"*",'來案暨出貨明細表-基因檢測(201904起'!$B:$B,L$1)*$B23+COUNTIFS('來案暨出貨明細表-基因檢測(201904起'!$P:$P,$A23&amp;"*",'來案暨出貨明細表-基因檢測(201904起'!$B:$B,L$1,'來案暨出貨明細表-基因檢測(201904起'!$Q:$Q,"紙本&amp;電子")++COUNTIFS('來案暨出貨明細表-基因檢測(201904起'!$P:$P,$A23&amp;"*",'來案暨出貨明細表-基因檢測(201904起'!$B:$B,L$1,'來案暨出貨明細表-基因檢測(201904起'!$R:$R,"中英")</f>
        <v>0</v>
      </c>
      <c r="M23" s="33">
        <f>COUNTIFS('來案暨出貨明細表-基因檢測(201904起'!$P:$P,$A23&amp;"*",'來案暨出貨明細表-基因檢測(201904起'!$B:$B,M$1)*$B23+COUNTIFS('來案暨出貨明細表-基因檢測(201904起'!$P:$P,$A23&amp;"*",'來案暨出貨明細表-基因檢測(201904起'!$B:$B,M$1,'來案暨出貨明細表-基因檢測(201904起'!$Q:$Q,"紙本&amp;電子")++COUNTIFS('來案暨出貨明細表-基因檢測(201904起'!$P:$P,$A23&amp;"*",'來案暨出貨明細表-基因檢測(201904起'!$B:$B,M$1,'來案暨出貨明細表-基因檢測(201904起'!$R:$R,"中英")</f>
        <v>0</v>
      </c>
      <c r="N23" s="33">
        <f>COUNTIFS('來案暨出貨明細表-基因檢測(201904起'!$P:$P,$A23&amp;"*",'來案暨出貨明細表-基因檢測(201904起'!$B:$B,N$1)*$B23+COUNTIFS('來案暨出貨明細表-基因檢測(201904起'!$P:$P,$A23&amp;"*",'來案暨出貨明細表-基因檢測(201904起'!$B:$B,N$1,'來案暨出貨明細表-基因檢測(201904起'!$Q:$Q,"紙本&amp;電子")++COUNTIFS('來案暨出貨明細表-基因檢測(201904起'!$P:$P,$A23&amp;"*",'來案暨出貨明細表-基因檢測(201904起'!$B:$B,N$1,'來案暨出貨明細表-基因檢測(201904起'!$R:$R,"中英")</f>
        <v>0</v>
      </c>
      <c r="O23" s="33">
        <f>COUNTIFS('來案暨出貨明細表-基因檢測(201904起'!$P:$P,$A23&amp;"*",'來案暨出貨明細表-基因檢測(201904起'!$B:$B,O$1)*$B23+COUNTIFS('來案暨出貨明細表-基因檢測(201904起'!$P:$P,$A23&amp;"*",'來案暨出貨明細表-基因檢測(201904起'!$B:$B,O$1,'來案暨出貨明細表-基因檢測(201904起'!$Q:$Q,"紙本&amp;電子")++COUNTIFS('來案暨出貨明細表-基因檢測(201904起'!$P:$P,$A23&amp;"*",'來案暨出貨明細表-基因檢測(201904起'!$B:$B,O$1,'來案暨出貨明細表-基因檢測(201904起'!$R:$R,"中英")</f>
        <v>0</v>
      </c>
      <c r="P23" s="33">
        <f>COUNTIFS('來案暨出貨明細表-基因檢測(201904起'!$P:$P,$A23&amp;"*",'來案暨出貨明細表-基因檢測(201904起'!$B:$B,P$1)*$B23+COUNTIFS('來案暨出貨明細表-基因檢測(201904起'!$P:$P,$A23&amp;"*",'來案暨出貨明細表-基因檢測(201904起'!$B:$B,P$1,'來案暨出貨明細表-基因檢測(201904起'!$Q:$Q,"紙本&amp;電子")++COUNTIFS('來案暨出貨明細表-基因檢測(201904起'!$P:$P,$A23&amp;"*",'來案暨出貨明細表-基因檢測(201904起'!$B:$B,P$1,'來案暨出貨明細表-基因檢測(201904起'!$R:$R,"中英")</f>
        <v>0</v>
      </c>
      <c r="Q23" s="33">
        <f>COUNTIFS('來案暨出貨明細表-基因檢測(201904起'!$P:$P,$A23&amp;"*",'來案暨出貨明細表-基因檢測(201904起'!$B:$B,Q$1)*$B23+COUNTIFS('來案暨出貨明細表-基因檢測(201904起'!$P:$P,$A23&amp;"*",'來案暨出貨明細表-基因檢測(201904起'!$B:$B,Q$1,'來案暨出貨明細表-基因檢測(201904起'!$Q:$Q,"紙本&amp;電子")++COUNTIFS('來案暨出貨明細表-基因檢測(201904起'!$P:$P,$A23&amp;"*",'來案暨出貨明細表-基因檢測(201904起'!$B:$B,Q$1,'來案暨出貨明細表-基因檢測(201904起'!$R:$R,"中英")</f>
        <v>0</v>
      </c>
      <c r="R23" s="33">
        <f>COUNTIFS('來案暨出貨明細表-基因檢測(201904起'!$P:$P,$A23&amp;"*",'來案暨出貨明細表-基因檢測(201904起'!$B:$B,R$1)*$B23+COUNTIFS('來案暨出貨明細表-基因檢測(201904起'!$P:$P,$A23&amp;"*",'來案暨出貨明細表-基因檢測(201904起'!$B:$B,R$1,'來案暨出貨明細表-基因檢測(201904起'!$Q:$Q,"紙本&amp;電子")++COUNTIFS('來案暨出貨明細表-基因檢測(201904起'!$P:$P,$A23&amp;"*",'來案暨出貨明細表-基因檢測(201904起'!$B:$B,R$1,'來案暨出貨明細表-基因檢測(201904起'!$R:$R,"中英")</f>
        <v>0</v>
      </c>
      <c r="S23" s="33">
        <f>COUNTIFS('來案暨出貨明細表-基因檢測(201904起'!$P:$P,$A23&amp;"*",'來案暨出貨明細表-基因檢測(201904起'!$B:$B,S$1)*$B23+COUNTIFS('來案暨出貨明細表-基因檢測(201904起'!$P:$P,$A23&amp;"*",'來案暨出貨明細表-基因檢測(201904起'!$B:$B,S$1,'來案暨出貨明細表-基因檢測(201904起'!$Q:$Q,"紙本&amp;電子")++COUNTIFS('來案暨出貨明細表-基因檢測(201904起'!$P:$P,$A23&amp;"*",'來案暨出貨明細表-基因檢測(201904起'!$B:$B,S$1,'來案暨出貨明細表-基因檢測(201904起'!$R:$R,"中英")</f>
        <v>0</v>
      </c>
      <c r="T23" s="33">
        <f>COUNTIFS('來案暨出貨明細表-基因檢測(201904起'!$P:$P,$A23&amp;"*",'來案暨出貨明細表-基因檢測(201904起'!$B:$B,T$1)*$B23+COUNTIFS('來案暨出貨明細表-基因檢測(201904起'!$P:$P,$A23&amp;"*",'來案暨出貨明細表-基因檢測(201904起'!$B:$B,T$1,'來案暨出貨明細表-基因檢測(201904起'!$Q:$Q,"紙本&amp;電子")++COUNTIFS('來案暨出貨明細表-基因檢測(201904起'!$P:$P,$A23&amp;"*",'來案暨出貨明細表-基因檢測(201904起'!$B:$B,T$1,'來案暨出貨明細表-基因檢測(201904起'!$R:$R,"中英")</f>
        <v>0</v>
      </c>
      <c r="U23" s="33">
        <f>COUNTIFS('來案暨出貨明細表-基因檢測(201904起'!$P:$P,$A23&amp;"*",'來案暨出貨明細表-基因檢測(201904起'!$B:$B,U$1)*$B23+COUNTIFS('來案暨出貨明細表-基因檢測(201904起'!$P:$P,$A23&amp;"*",'來案暨出貨明細表-基因檢測(201904起'!$B:$B,U$1,'來案暨出貨明細表-基因檢測(201904起'!$Q:$Q,"紙本&amp;電子")++COUNTIFS('來案暨出貨明細表-基因檢測(201904起'!$P:$P,$A23&amp;"*",'來案暨出貨明細表-基因檢測(201904起'!$B:$B,U$1,'來案暨出貨明細表-基因檢測(201904起'!$R:$R,"中英")</f>
        <v>0</v>
      </c>
      <c r="V23" s="33">
        <f>COUNTIFS('來案暨出貨明細表-基因檢測(201904起'!$P:$P,$A23&amp;"*",'來案暨出貨明細表-基因檢測(201904起'!$B:$B,V$1)*$B23+COUNTIFS('來案暨出貨明細表-基因檢測(201904起'!$P:$P,$A23&amp;"*",'來案暨出貨明細表-基因檢測(201904起'!$B:$B,V$1,'來案暨出貨明細表-基因檢測(201904起'!$Q:$Q,"紙本&amp;電子")++COUNTIFS('來案暨出貨明細表-基因檢測(201904起'!$P:$P,$A23&amp;"*",'來案暨出貨明細表-基因檢測(201904起'!$B:$B,V$1,'來案暨出貨明細表-基因檢測(201904起'!$R:$R,"中英")</f>
        <v>0</v>
      </c>
      <c r="W23" s="33">
        <f>COUNTIFS('來案暨出貨明細表-基因檢測(201904起'!$P:$P,$A23&amp;"*",'來案暨出貨明細表-基因檢測(201904起'!$B:$B,W$1)*$B23+COUNTIFS('來案暨出貨明細表-基因檢測(201904起'!$P:$P,$A23&amp;"*",'來案暨出貨明細表-基因檢測(201904起'!$B:$B,W$1,'來案暨出貨明細表-基因檢測(201904起'!$Q:$Q,"紙本&amp;電子")++COUNTIFS('來案暨出貨明細表-基因檢測(201904起'!$P:$P,$A23&amp;"*",'來案暨出貨明細表-基因檢測(201904起'!$B:$B,W$1,'來案暨出貨明細表-基因檢測(201904起'!$R:$R,"中英")</f>
        <v>0</v>
      </c>
      <c r="X23" s="33">
        <f>COUNTIFS('來案暨出貨明細表-基因檢測(201904起'!$P:$P,$A23&amp;"*",'來案暨出貨明細表-基因檢測(201904起'!$B:$B,X$1)*$B23+COUNTIFS('來案暨出貨明細表-基因檢測(201904起'!$P:$P,$A23&amp;"*",'來案暨出貨明細表-基因檢測(201904起'!$B:$B,X$1,'來案暨出貨明細表-基因檢測(201904起'!$Q:$Q,"紙本&amp;電子")++COUNTIFS('來案暨出貨明細表-基因檢測(201904起'!$P:$P,$A23&amp;"*",'來案暨出貨明細表-基因檢測(201904起'!$B:$B,X$1,'來案暨出貨明細表-基因檢測(201904起'!$R:$R,"中英")</f>
        <v>0</v>
      </c>
      <c r="Y23" s="33">
        <f>COUNTIFS('來案暨出貨明細表-基因檢測(201904起'!$P:$P,$A23&amp;"*",'來案暨出貨明細表-基因檢測(201904起'!$B:$B,Y$1)*$B23+COUNTIFS('來案暨出貨明細表-基因檢測(201904起'!$P:$P,$A23&amp;"*",'來案暨出貨明細表-基因檢測(201904起'!$B:$B,Y$1,'來案暨出貨明細表-基因檢測(201904起'!$Q:$Q,"紙本&amp;電子")++COUNTIFS('來案暨出貨明細表-基因檢測(201904起'!$P:$P,$A23&amp;"*",'來案暨出貨明細表-基因檢測(201904起'!$B:$B,Y$1,'來案暨出貨明細表-基因檢測(201904起'!$R:$R,"中英")</f>
        <v>0</v>
      </c>
      <c r="Z23" s="33">
        <f>COUNTIFS('來案暨出貨明細表-基因檢測(201904起'!$P:$P,$A23&amp;"*",'來案暨出貨明細表-基因檢測(201904起'!$B:$B,Z$1)*$B23+COUNTIFS('來案暨出貨明細表-基因檢測(201904起'!$P:$P,$A23&amp;"*",'來案暨出貨明細表-基因檢測(201904起'!$B:$B,Z$1,'來案暨出貨明細表-基因檢測(201904起'!$Q:$Q,"紙本&amp;電子")++COUNTIFS('來案暨出貨明細表-基因檢測(201904起'!$P:$P,$A23&amp;"*",'來案暨出貨明細表-基因檢測(201904起'!$B:$B,Z$1,'來案暨出貨明細表-基因檢測(201904起'!$R:$R,"中英")</f>
        <v>0</v>
      </c>
      <c r="AA23" s="33">
        <f>COUNTIFS('來案暨出貨明細表-基因檢測(201904起'!$P:$P,$A23&amp;"*",'來案暨出貨明細表-基因檢測(201904起'!$B:$B,AA$1)*$B23+COUNTIFS('來案暨出貨明細表-基因檢測(201904起'!$P:$P,$A23&amp;"*",'來案暨出貨明細表-基因檢測(201904起'!$B:$B,AA$1,'來案暨出貨明細表-基因檢測(201904起'!$Q:$Q,"紙本&amp;電子")++COUNTIFS('來案暨出貨明細表-基因檢測(201904起'!$P:$P,$A23&amp;"*",'來案暨出貨明細表-基因檢測(201904起'!$B:$B,AA$1,'來案暨出貨明細表-基因檢測(201904起'!$R:$R,"中英")</f>
        <v>0</v>
      </c>
      <c r="AB23" s="33">
        <f>COUNTIFS('來案暨出貨明細表-基因檢測(201904起'!$P:$P,$A23&amp;"*",'來案暨出貨明細表-基因檢測(201904起'!$B:$B,AB$1)*$B23+COUNTIFS('來案暨出貨明細表-基因檢測(201904起'!$P:$P,$A23&amp;"*",'來案暨出貨明細表-基因檢測(201904起'!$B:$B,AB$1,'來案暨出貨明細表-基因檢測(201904起'!$Q:$Q,"紙本&amp;電子")++COUNTIFS('來案暨出貨明細表-基因檢測(201904起'!$P:$P,$A23&amp;"*",'來案暨出貨明細表-基因檢測(201904起'!$B:$B,AB$1,'來案暨出貨明細表-基因檢測(201904起'!$R:$R,"中英")</f>
        <v>0</v>
      </c>
      <c r="AC23" s="33">
        <f>COUNTIFS('來案暨出貨明細表-基因檢測(201904起'!$P:$P,$A23&amp;"*",'來案暨出貨明細表-基因檢測(201904起'!$B:$B,AC$1)*$B23+COUNTIFS('來案暨出貨明細表-基因檢測(201904起'!$P:$P,$A23&amp;"*",'來案暨出貨明細表-基因檢測(201904起'!$B:$B,AC$1,'來案暨出貨明細表-基因檢測(201904起'!$Q:$Q,"紙本&amp;電子")++COUNTIFS('來案暨出貨明細表-基因檢測(201904起'!$P:$P,$A23&amp;"*",'來案暨出貨明細表-基因檢測(201904起'!$B:$B,AC$1,'來案暨出貨明細表-基因檢測(201904起'!$R:$R,"中英")</f>
        <v>0</v>
      </c>
      <c r="AD23" s="33">
        <f>COUNTIFS('來案暨出貨明細表-基因檢測(201904起'!$P:$P,$A23&amp;"*",'來案暨出貨明細表-基因檢測(201904起'!$B:$B,AD$1)*$B23+COUNTIFS('來案暨出貨明細表-基因檢測(201904起'!$P:$P,$A23&amp;"*",'來案暨出貨明細表-基因檢測(201904起'!$B:$B,AD$1,'來案暨出貨明細表-基因檢測(201904起'!$Q:$Q,"紙本&amp;電子")++COUNTIFS('來案暨出貨明細表-基因檢測(201904起'!$P:$P,$A23&amp;"*",'來案暨出貨明細表-基因檢測(201904起'!$B:$B,AD$1,'來案暨出貨明細表-基因檢測(201904起'!$R:$R,"中英")</f>
        <v>0</v>
      </c>
      <c r="AE23" s="33">
        <f>COUNTIFS('來案暨出貨明細表-基因檢測(201904起'!$P:$P,$A23&amp;"*",'來案暨出貨明細表-基因檢測(201904起'!$B:$B,AE$1)*$B23+COUNTIFS('來案暨出貨明細表-基因檢測(201904起'!$P:$P,$A23&amp;"*",'來案暨出貨明細表-基因檢測(201904起'!$B:$B,AE$1,'來案暨出貨明細表-基因檢測(201904起'!$Q:$Q,"紙本&amp;電子")++COUNTIFS('來案暨出貨明細表-基因檢測(201904起'!$P:$P,$A23&amp;"*",'來案暨出貨明細表-基因檢測(201904起'!$B:$B,AE$1,'來案暨出貨明細表-基因檢測(201904起'!$R:$R,"中英")</f>
        <v>0</v>
      </c>
      <c r="AF23" s="33">
        <f>COUNTIFS('來案暨出貨明細表-基因檢測(201904起'!$P:$P,$A23&amp;"*",'來案暨出貨明細表-基因檢測(201904起'!$B:$B,AF$1)*$B23+COUNTIFS('來案暨出貨明細表-基因檢測(201904起'!$P:$P,$A23&amp;"*",'來案暨出貨明細表-基因檢測(201904起'!$B:$B,AF$1,'來案暨出貨明細表-基因檢測(201904起'!$Q:$Q,"紙本&amp;電子")++COUNTIFS('來案暨出貨明細表-基因檢測(201904起'!$P:$P,$A23&amp;"*",'來案暨出貨明細表-基因檢測(201904起'!$B:$B,AF$1,'來案暨出貨明細表-基因檢測(201904起'!$R:$R,"中英")</f>
        <v>0</v>
      </c>
      <c r="AG23" s="33">
        <f>COUNTIFS('來案暨出貨明細表-基因檢測(201904起'!$P:$P,$A23&amp;"*",'來案暨出貨明細表-基因檢測(201904起'!$B:$B,AG$1)*$B23+COUNTIFS('來案暨出貨明細表-基因檢測(201904起'!$P:$P,$A23&amp;"*",'來案暨出貨明細表-基因檢測(201904起'!$B:$B,AG$1,'來案暨出貨明細表-基因檢測(201904起'!$Q:$Q,"紙本&amp;電子")++COUNTIFS('來案暨出貨明細表-基因檢測(201904起'!$P:$P,$A23&amp;"*",'來案暨出貨明細表-基因檢測(201904起'!$B:$B,AG$1,'來案暨出貨明細表-基因檢測(201904起'!$R:$R,"中英")</f>
        <v>0</v>
      </c>
      <c r="AH23" s="33">
        <f>COUNTIFS('來案暨出貨明細表-基因檢測(201904起'!$P:$P,$A23&amp;"*",'來案暨出貨明細表-基因檢測(201904起'!$B:$B,AH$1)*$B23+COUNTIFS('來案暨出貨明細表-基因檢測(201904起'!$P:$P,$A23&amp;"*",'來案暨出貨明細表-基因檢測(201904起'!$B:$B,AH$1,'來案暨出貨明細表-基因檢測(201904起'!$Q:$Q,"紙本&amp;電子")++COUNTIFS('來案暨出貨明細表-基因檢測(201904起'!$P:$P,$A23&amp;"*",'來案暨出貨明細表-基因檢測(201904起'!$B:$B,AH$1,'來案暨出貨明細表-基因檢測(201904起'!$R:$R,"中英")</f>
        <v>0</v>
      </c>
      <c r="AI23" s="33">
        <f>COUNTIFS('來案暨出貨明細表-基因檢測(201904起'!$P:$P,$A23&amp;"*",'來案暨出貨明細表-基因檢測(201904起'!$B:$B,AI$1)*$B23+COUNTIFS('來案暨出貨明細表-基因檢測(201904起'!$P:$P,$A23&amp;"*",'來案暨出貨明細表-基因檢測(201904起'!$B:$B,AI$1,'來案暨出貨明細表-基因檢測(201904起'!$Q:$Q,"紙本&amp;電子")++COUNTIFS('來案暨出貨明細表-基因檢測(201904起'!$P:$P,$A23&amp;"*",'來案暨出貨明細表-基因檢測(201904起'!$B:$B,AI$1,'來案暨出貨明細表-基因檢測(201904起'!$R:$R,"中英")</f>
        <v>0</v>
      </c>
      <c r="AJ23" s="33">
        <f>COUNTIFS('來案暨出貨明細表-基因檢測(201904起'!$P:$P,$A23&amp;"*",'來案暨出貨明細表-基因檢測(201904起'!$B:$B,AJ$1)*$B23+COUNTIFS('來案暨出貨明細表-基因檢測(201904起'!$P:$P,$A23&amp;"*",'來案暨出貨明細表-基因檢測(201904起'!$B:$B,AJ$1,'來案暨出貨明細表-基因檢測(201904起'!$Q:$Q,"紙本&amp;電子")++COUNTIFS('來案暨出貨明細表-基因檢測(201904起'!$P:$P,$A23&amp;"*",'來案暨出貨明細表-基因檢測(201904起'!$B:$B,AJ$1,'來案暨出貨明細表-基因檢測(201904起'!$R:$R,"中英")</f>
        <v>1</v>
      </c>
      <c r="AK23" s="33">
        <f>COUNTIFS('來案暨出貨明細表-基因檢測(201904起'!$P:$P,$A23&amp;"*",'來案暨出貨明細表-基因檢測(201904起'!$B:$B,AK$1)*$B23+COUNTIFS('來案暨出貨明細表-基因檢測(201904起'!$P:$P,$A23&amp;"*",'來案暨出貨明細表-基因檢測(201904起'!$B:$B,AK$1,'來案暨出貨明細表-基因檢測(201904起'!$Q:$Q,"紙本&amp;電子")++COUNTIFS('來案暨出貨明細表-基因檢測(201904起'!$P:$P,$A23&amp;"*",'來案暨出貨明細表-基因檢測(201904起'!$B:$B,AK$1,'來案暨出貨明細表-基因檢測(201904起'!$R:$R,"中英")</f>
        <v>0</v>
      </c>
      <c r="AL23" s="33">
        <f>COUNTIFS('來案暨出貨明細表-基因檢測(201904起'!$P:$P,$A23&amp;"*",'來案暨出貨明細表-基因檢測(201904起'!$B:$B,AL$1)*$B23+COUNTIFS('來案暨出貨明細表-基因檢測(201904起'!$P:$P,$A23&amp;"*",'來案暨出貨明細表-基因檢測(201904起'!$B:$B,AL$1,'來案暨出貨明細表-基因檢測(201904起'!$Q:$Q,"紙本&amp;電子")++COUNTIFS('來案暨出貨明細表-基因檢測(201904起'!$P:$P,$A23&amp;"*",'來案暨出貨明細表-基因檢測(201904起'!$B:$B,AL$1,'來案暨出貨明細表-基因檢測(201904起'!$R:$R,"中英")</f>
        <v>0</v>
      </c>
      <c r="AM23" s="33">
        <f>COUNTIFS('來案暨出貨明細表-基因檢測(201904起'!$P:$P,$A23&amp;"*",'來案暨出貨明細表-基因檢測(201904起'!$B:$B,AM$1)*$B23+COUNTIFS('來案暨出貨明細表-基因檢測(201904起'!$P:$P,$A23&amp;"*",'來案暨出貨明細表-基因檢測(201904起'!$B:$B,AM$1,'來案暨出貨明細表-基因檢測(201904起'!$Q:$Q,"紙本&amp;電子")++COUNTIFS('來案暨出貨明細表-基因檢測(201904起'!$P:$P,$A23&amp;"*",'來案暨出貨明細表-基因檢測(201904起'!$B:$B,AM$1,'來案暨出貨明細表-基因檢測(201904起'!$R:$R,"中英")</f>
        <v>0</v>
      </c>
      <c r="AN23" s="33">
        <f>COUNTIFS('來案暨出貨明細表-基因檢測(201904起'!$P:$P,$A23&amp;"*",'來案暨出貨明細表-基因檢測(201904起'!$B:$B,AN$1)*$B23+COUNTIFS('來案暨出貨明細表-基因檢測(201904起'!$P:$P,$A23&amp;"*",'來案暨出貨明細表-基因檢測(201904起'!$B:$B,AN$1,'來案暨出貨明細表-基因檢測(201904起'!$Q:$Q,"紙本&amp;電子")++COUNTIFS('來案暨出貨明細表-基因檢測(201904起'!$P:$P,$A23&amp;"*",'來案暨出貨明細表-基因檢測(201904起'!$B:$B,AN$1,'來案暨出貨明細表-基因檢測(201904起'!$R:$R,"中英")</f>
        <v>2</v>
      </c>
      <c r="AO23" s="33">
        <f>COUNTIFS('來案暨出貨明細表-基因檢測(201904起'!$P:$P,$A23&amp;"*",'來案暨出貨明細表-基因檢測(201904起'!$B:$B,AO$1)*$B23+COUNTIFS('來案暨出貨明細表-基因檢測(201904起'!$P:$P,$A23&amp;"*",'來案暨出貨明細表-基因檢測(201904起'!$B:$B,AO$1,'來案暨出貨明細表-基因檢測(201904起'!$Q:$Q,"紙本&amp;電子")++COUNTIFS('來案暨出貨明細表-基因檢測(201904起'!$P:$P,$A23&amp;"*",'來案暨出貨明細表-基因檢測(201904起'!$B:$B,AO$1,'來案暨出貨明細表-基因檢測(201904起'!$R:$R,"中英")</f>
        <v>0</v>
      </c>
      <c r="AP23" s="33">
        <f>COUNTIFS('來案暨出貨明細表-基因檢測(201904起'!$P:$P,$A23&amp;"*",'來案暨出貨明細表-基因檢測(201904起'!$B:$B,AP$1)*$B23+COUNTIFS('來案暨出貨明細表-基因檢測(201904起'!$P:$P,$A23&amp;"*",'來案暨出貨明細表-基因檢測(201904起'!$B:$B,AP$1,'來案暨出貨明細表-基因檢測(201904起'!$Q:$Q,"紙本&amp;電子")++COUNTIFS('來案暨出貨明細表-基因檢測(201904起'!$P:$P,$A23&amp;"*",'來案暨出貨明細表-基因檢測(201904起'!$B:$B,AP$1,'來案暨出貨明細表-基因檢測(201904起'!$R:$R,"中英")</f>
        <v>0</v>
      </c>
      <c r="AQ23" s="33">
        <f>COUNTIFS('來案暨出貨明細表-基因檢測(201904起'!$P:$P,$A23&amp;"*",'來案暨出貨明細表-基因檢測(201904起'!$B:$B,AQ$1)*$B23+COUNTIFS('來案暨出貨明細表-基因檢測(201904起'!$P:$P,$A23&amp;"*",'來案暨出貨明細表-基因檢測(201904起'!$B:$B,AQ$1,'來案暨出貨明細表-基因檢測(201904起'!$Q:$Q,"紙本&amp;電子")++COUNTIFS('來案暨出貨明細表-基因檢測(201904起'!$P:$P,$A23&amp;"*",'來案暨出貨明細表-基因檢測(201904起'!$B:$B,AQ$1,'來案暨出貨明細表-基因檢測(201904起'!$R:$R,"中英")</f>
        <v>1</v>
      </c>
      <c r="AR23" s="33">
        <f>COUNTIFS('來案暨出貨明細表-基因檢測(201904起'!$P:$P,$A23&amp;"*",'來案暨出貨明細表-基因檢測(201904起'!$B:$B,AR$1)*$B23+COUNTIFS('來案暨出貨明細表-基因檢測(201904起'!$P:$P,$A23&amp;"*",'來案暨出貨明細表-基因檢測(201904起'!$B:$B,AR$1,'來案暨出貨明細表-基因檢測(201904起'!$Q:$Q,"紙本&amp;電子")++COUNTIFS('來案暨出貨明細表-基因檢測(201904起'!$P:$P,$A23&amp;"*",'來案暨出貨明細表-基因檢測(201904起'!$B:$B,AR$1,'來案暨出貨明細表-基因檢測(201904起'!$R:$R,"中英")</f>
        <v>0</v>
      </c>
      <c r="AS23" s="33">
        <f>COUNTIFS('來案暨出貨明細表-基因檢測(201904起'!$P:$P,$A23&amp;"*",'來案暨出貨明細表-基因檢測(201904起'!$B:$B,AS$1)*$B23+COUNTIFS('來案暨出貨明細表-基因檢測(201904起'!$P:$P,$A23&amp;"*",'來案暨出貨明細表-基因檢測(201904起'!$B:$B,AS$1,'來案暨出貨明細表-基因檢測(201904起'!$Q:$Q,"紙本&amp;電子")++COUNTIFS('來案暨出貨明細表-基因檢測(201904起'!$P:$P,$A23&amp;"*",'來案暨出貨明細表-基因檢測(201904起'!$B:$B,AS$1,'來案暨出貨明細表-基因檢測(201904起'!$R:$R,"中英")</f>
        <v>0</v>
      </c>
      <c r="AT23" s="33">
        <f>COUNTIFS('來案暨出貨明細表-基因檢測(201904起'!$P:$P,$A23&amp;"*",'來案暨出貨明細表-基因檢測(201904起'!$B:$B,AT$1)*$B23+COUNTIFS('來案暨出貨明細表-基因檢測(201904起'!$P:$P,$A23&amp;"*",'來案暨出貨明細表-基因檢測(201904起'!$B:$B,AT$1,'來案暨出貨明細表-基因檢測(201904起'!$Q:$Q,"紙本&amp;電子")++COUNTIFS('來案暨出貨明細表-基因檢測(201904起'!$P:$P,$A23&amp;"*",'來案暨出貨明細表-基因檢測(201904起'!$B:$B,AT$1,'來案暨出貨明細表-基因檢測(201904起'!$R:$R,"中英")</f>
        <v>0</v>
      </c>
      <c r="AU23" s="33">
        <f>COUNTIFS('來案暨出貨明細表-基因檢測(201904起'!$P:$P,$A23&amp;"*",'來案暨出貨明細表-基因檢測(201904起'!$B:$B,AU$1)*$B23+COUNTIFS('來案暨出貨明細表-基因檢測(201904起'!$P:$P,$A23&amp;"*",'來案暨出貨明細表-基因檢測(201904起'!$B:$B,AU$1,'來案暨出貨明細表-基因檢測(201904起'!$Q:$Q,"紙本&amp;電子")++COUNTIFS('來案暨出貨明細表-基因檢測(201904起'!$P:$P,$A23&amp;"*",'來案暨出貨明細表-基因檢測(201904起'!$B:$B,AU$1,'來案暨出貨明細表-基因檢測(201904起'!$R:$R,"中英")</f>
        <v>0</v>
      </c>
      <c r="AV23" s="33">
        <f>COUNTIFS('來案暨出貨明細表-基因檢測(201904起'!$P:$P,$A23&amp;"*",'來案暨出貨明細表-基因檢測(201904起'!$B:$B,AV$1)*$B23+COUNTIFS('來案暨出貨明細表-基因檢測(201904起'!$P:$P,$A23&amp;"*",'來案暨出貨明細表-基因檢測(201904起'!$B:$B,AV$1,'來案暨出貨明細表-基因檢測(201904起'!$Q:$Q,"紙本&amp;電子")++COUNTIFS('來案暨出貨明細表-基因檢測(201904起'!$P:$P,$A23&amp;"*",'來案暨出貨明細表-基因檢測(201904起'!$B:$B,AV$1,'來案暨出貨明細表-基因檢測(201904起'!$R:$R,"中英")</f>
        <v>0</v>
      </c>
      <c r="AW23" s="33">
        <f>COUNTIFS('來案暨出貨明細表-基因檢測(201904起'!$P:$P,$A23&amp;"*",'來案暨出貨明細表-基因檢測(201904起'!$B:$B,AW$1)*$B23+COUNTIFS('來案暨出貨明細表-基因檢測(201904起'!$P:$P,$A23&amp;"*",'來案暨出貨明細表-基因檢測(201904起'!$B:$B,AW$1,'來案暨出貨明細表-基因檢測(201904起'!$Q:$Q,"紙本&amp;電子")++COUNTIFS('來案暨出貨明細表-基因檢測(201904起'!$P:$P,$A23&amp;"*",'來案暨出貨明細表-基因檢測(201904起'!$B:$B,AW$1,'來案暨出貨明細表-基因檢測(201904起'!$R:$R,"中英")</f>
        <v>0</v>
      </c>
      <c r="AX23" s="33">
        <f>COUNTIFS('來案暨出貨明細表-基因檢測(201904起'!$P:$P,$A23&amp;"*",'來案暨出貨明細表-基因檢測(201904起'!$B:$B,AX$1)*$B23+COUNTIFS('來案暨出貨明細表-基因檢測(201904起'!$P:$P,$A23&amp;"*",'來案暨出貨明細表-基因檢測(201904起'!$B:$B,AX$1,'來案暨出貨明細表-基因檢測(201904起'!$Q:$Q,"紙本&amp;電子")++COUNTIFS('來案暨出貨明細表-基因檢測(201904起'!$P:$P,$A23&amp;"*",'來案暨出貨明細表-基因檢測(201904起'!$B:$B,AX$1,'來案暨出貨明細表-基因檢測(201904起'!$R:$R,"中英")</f>
        <v>0</v>
      </c>
      <c r="AY23" s="33">
        <f>COUNTIFS('來案暨出貨明細表-基因檢測(201904起'!$P:$P,$A23&amp;"*",'來案暨出貨明細表-基因檢測(201904起'!$B:$B,AY$1)*$B23+COUNTIFS('來案暨出貨明細表-基因檢測(201904起'!$P:$P,$A23&amp;"*",'來案暨出貨明細表-基因檢測(201904起'!$B:$B,AY$1,'來案暨出貨明細表-基因檢測(201904起'!$Q:$Q,"紙本&amp;電子")++COUNTIFS('來案暨出貨明細表-基因檢測(201904起'!$P:$P,$A23&amp;"*",'來案暨出貨明細表-基因檢測(201904起'!$B:$B,AY$1,'來案暨出貨明細表-基因檢測(201904起'!$R:$R,"中英")</f>
        <v>0</v>
      </c>
      <c r="AZ23" s="33">
        <f>COUNTIFS('來案暨出貨明細表-基因檢測(201904起'!$P:$P,$A23&amp;"*",'來案暨出貨明細表-基因檢測(201904起'!$B:$B,AZ$1)*$B23+COUNTIFS('來案暨出貨明細表-基因檢測(201904起'!$P:$P,$A23&amp;"*",'來案暨出貨明細表-基因檢測(201904起'!$B:$B,AZ$1,'來案暨出貨明細表-基因檢測(201904起'!$Q:$Q,"紙本&amp;電子")++COUNTIFS('來案暨出貨明細表-基因檢測(201904起'!$P:$P,$A23&amp;"*",'來案暨出貨明細表-基因檢測(201904起'!$B:$B,AZ$1,'來案暨出貨明細表-基因檢測(201904起'!$R:$R,"中英")</f>
        <v>0</v>
      </c>
      <c r="BA23" s="33">
        <f>COUNTIFS('來案暨出貨明細表-基因檢測(201904起'!$P:$P,$A23&amp;"*",'來案暨出貨明細表-基因檢測(201904起'!$B:$B,BA$1)*$B23+COUNTIFS('來案暨出貨明細表-基因檢測(201904起'!$P:$P,$A23&amp;"*",'來案暨出貨明細表-基因檢測(201904起'!$B:$B,BA$1,'來案暨出貨明細表-基因檢測(201904起'!$Q:$Q,"紙本&amp;電子")++COUNTIFS('來案暨出貨明細表-基因檢測(201904起'!$P:$P,$A23&amp;"*",'來案暨出貨明細表-基因檢測(201904起'!$B:$B,BA$1,'來案暨出貨明細表-基因檢測(201904起'!$R:$R,"中英")</f>
        <v>0</v>
      </c>
      <c r="BB23" s="33">
        <f>COUNTIFS('來案暨出貨明細表-基因檢測(201904起'!$P:$P,$A23&amp;"*",'來案暨出貨明細表-基因檢測(201904起'!$B:$B,BB$1)*$B23+COUNTIFS('來案暨出貨明細表-基因檢測(201904起'!$P:$P,$A23&amp;"*",'來案暨出貨明細表-基因檢測(201904起'!$B:$B,BB$1,'來案暨出貨明細表-基因檢測(201904起'!$Q:$Q,"紙本&amp;電子")++COUNTIFS('來案暨出貨明細表-基因檢測(201904起'!$P:$P,$A23&amp;"*",'來案暨出貨明細表-基因檢測(201904起'!$B:$B,BB$1,'來案暨出貨明細表-基因檢測(201904起'!$R:$R,"中英")</f>
        <v>0</v>
      </c>
      <c r="BC23" s="33">
        <f>COUNTIFS('來案暨出貨明細表-基因檢測(201904起'!$P:$P,$A23&amp;"*",'來案暨出貨明細表-基因檢測(201904起'!$B:$B,BC$1)*$B23+COUNTIFS('來案暨出貨明細表-基因檢測(201904起'!$P:$P,$A23&amp;"*",'來案暨出貨明細表-基因檢測(201904起'!$B:$B,BC$1,'來案暨出貨明細表-基因檢測(201904起'!$Q:$Q,"紙本&amp;電子")++COUNTIFS('來案暨出貨明細表-基因檢測(201904起'!$P:$P,$A23&amp;"*",'來案暨出貨明細表-基因檢測(201904起'!$B:$B,BC$1,'來案暨出貨明細表-基因檢測(201904起'!$R:$R,"中英")</f>
        <v>0</v>
      </c>
      <c r="BD23" s="33">
        <f>COUNTIFS('來案暨出貨明細表-基因檢測(201904起'!$P:$P,$A23&amp;"*",'來案暨出貨明細表-基因檢測(201904起'!$B:$B,BD$1)*$B23+COUNTIFS('來案暨出貨明細表-基因檢測(201904起'!$P:$P,$A23&amp;"*",'來案暨出貨明細表-基因檢測(201904起'!$B:$B,BD$1,'來案暨出貨明細表-基因檢測(201904起'!$Q:$Q,"紙本&amp;電子")++COUNTIFS('來案暨出貨明細表-基因檢測(201904起'!$P:$P,$A23&amp;"*",'來案暨出貨明細表-基因檢測(201904起'!$B:$B,BD$1,'來案暨出貨明細表-基因檢測(201904起'!$R:$R,"中英")</f>
        <v>0</v>
      </c>
      <c r="BE23" s="33">
        <f>COUNTIFS('來案暨出貨明細表-基因檢測(201904起'!$P:$P,$A23&amp;"*",'來案暨出貨明細表-基因檢測(201904起'!$B:$B,BE$1)*$B23+COUNTIFS('來案暨出貨明細表-基因檢測(201904起'!$P:$P,$A23&amp;"*",'來案暨出貨明細表-基因檢測(201904起'!$B:$B,BE$1,'來案暨出貨明細表-基因檢測(201904起'!$Q:$Q,"紙本&amp;電子")++COUNTIFS('來案暨出貨明細表-基因檢測(201904起'!$P:$P,$A23&amp;"*",'來案暨出貨明細表-基因檢測(201904起'!$B:$B,BE$1,'來案暨出貨明細表-基因檢測(201904起'!$R:$R,"中英")</f>
        <v>0</v>
      </c>
      <c r="BF23" s="33">
        <f>COUNTIFS('來案暨出貨明細表-基因檢測(201904起'!$P:$P,$A23&amp;"*",'來案暨出貨明細表-基因檢測(201904起'!$B:$B,BF$1)*$B23+COUNTIFS('來案暨出貨明細表-基因檢測(201904起'!$P:$P,$A23&amp;"*",'來案暨出貨明細表-基因檢測(201904起'!$B:$B,BF$1,'來案暨出貨明細表-基因檢測(201904起'!$Q:$Q,"紙本&amp;電子")++COUNTIFS('來案暨出貨明細表-基因檢測(201904起'!$P:$P,$A23&amp;"*",'來案暨出貨明細表-基因檢測(201904起'!$B:$B,BF$1,'來案暨出貨明細表-基因檢測(201904起'!$R:$R,"中英")</f>
        <v>0</v>
      </c>
      <c r="BG23" s="33">
        <f>COUNTIFS('來案暨出貨明細表-基因檢測(201904起'!$P:$P,$A23&amp;"*",'來案暨出貨明細表-基因檢測(201904起'!$B:$B,BG$1)*$B23+COUNTIFS('來案暨出貨明細表-基因檢測(201904起'!$P:$P,$A23&amp;"*",'來案暨出貨明細表-基因檢測(201904起'!$B:$B,BG$1,'來案暨出貨明細表-基因檢測(201904起'!$Q:$Q,"紙本&amp;電子")++COUNTIFS('來案暨出貨明細表-基因檢測(201904起'!$P:$P,$A23&amp;"*",'來案暨出貨明細表-基因檢測(201904起'!$B:$B,BG$1,'來案暨出貨明細表-基因檢測(201904起'!$R:$R,"中英")</f>
        <v>0</v>
      </c>
      <c r="BH23" s="33">
        <f>COUNTIFS('來案暨出貨明細表-基因檢測(201904起'!$P:$P,$A23&amp;"*",'來案暨出貨明細表-基因檢測(201904起'!$B:$B,BH$1)*$B23+COUNTIFS('來案暨出貨明細表-基因檢測(201904起'!$P:$P,$A23&amp;"*",'來案暨出貨明細表-基因檢測(201904起'!$B:$B,BH$1,'來案暨出貨明細表-基因檢測(201904起'!$Q:$Q,"紙本&amp;電子")++COUNTIFS('來案暨出貨明細表-基因檢測(201904起'!$P:$P,$A23&amp;"*",'來案暨出貨明細表-基因檢測(201904起'!$B:$B,BH$1,'來案暨出貨明細表-基因檢測(201904起'!$R:$R,"中英")</f>
        <v>0</v>
      </c>
      <c r="BI23" s="33">
        <f>COUNTIFS('來案暨出貨明細表-基因檢測(201904起'!$P:$P,$A23&amp;"*",'來案暨出貨明細表-基因檢測(201904起'!$B:$B,BI$1)*$B23+COUNTIFS('來案暨出貨明細表-基因檢測(201904起'!$P:$P,$A23&amp;"*",'來案暨出貨明細表-基因檢測(201904起'!$B:$B,BI$1,'來案暨出貨明細表-基因檢測(201904起'!$Q:$Q,"紙本&amp;電子")++COUNTIFS('來案暨出貨明細表-基因檢測(201904起'!$P:$P,$A23&amp;"*",'來案暨出貨明細表-基因檢測(201904起'!$B:$B,BI$1,'來案暨出貨明細表-基因檢測(201904起'!$R:$R,"中英")</f>
        <v>0</v>
      </c>
      <c r="BJ23" s="33">
        <f>COUNTIFS('來案暨出貨明細表-基因檢測(201904起'!$P:$P,$A23&amp;"*",'來案暨出貨明細表-基因檢測(201904起'!$B:$B,BJ$1)*$B23+COUNTIFS('來案暨出貨明細表-基因檢測(201904起'!$P:$P,$A23&amp;"*",'來案暨出貨明細表-基因檢測(201904起'!$B:$B,BJ$1,'來案暨出貨明細表-基因檢測(201904起'!$Q:$Q,"紙本&amp;電子")++COUNTIFS('來案暨出貨明細表-基因檢測(201904起'!$P:$P,$A23&amp;"*",'來案暨出貨明細表-基因檢測(201904起'!$B:$B,BJ$1,'來案暨出貨明細表-基因檢測(201904起'!$R:$R,"中英")</f>
        <v>0</v>
      </c>
      <c r="BK23" s="33">
        <f>COUNTIFS('來案暨出貨明細表-基因檢測(201904起'!$P:$P,$A23&amp;"*",'來案暨出貨明細表-基因檢測(201904起'!$B:$B,BK$1)*$B23+COUNTIFS('來案暨出貨明細表-基因檢測(201904起'!$P:$P,$A23&amp;"*",'來案暨出貨明細表-基因檢測(201904起'!$B:$B,BK$1,'來案暨出貨明細表-基因檢測(201904起'!$Q:$Q,"紙本&amp;電子")++COUNTIFS('來案暨出貨明細表-基因檢測(201904起'!$P:$P,$A23&amp;"*",'來案暨出貨明細表-基因檢測(201904起'!$B:$B,BK$1,'來案暨出貨明細表-基因檢測(201904起'!$R:$R,"中英")</f>
        <v>0</v>
      </c>
      <c r="BL23" s="33">
        <f>COUNTIFS('來案暨出貨明細表-基因檢測(201904起'!$P:$P,$A23&amp;"*",'來案暨出貨明細表-基因檢測(201904起'!$B:$B,BL$1)*$B23+COUNTIFS('來案暨出貨明細表-基因檢測(201904起'!$P:$P,$A23&amp;"*",'來案暨出貨明細表-基因檢測(201904起'!$B:$B,BL$1,'來案暨出貨明細表-基因檢測(201904起'!$Q:$Q,"紙本&amp;電子")++COUNTIFS('來案暨出貨明細表-基因檢測(201904起'!$P:$P,$A23&amp;"*",'來案暨出貨明細表-基因檢測(201904起'!$B:$B,BL$1,'來案暨出貨明細表-基因檢測(201904起'!$R:$R,"中英")</f>
        <v>0</v>
      </c>
      <c r="BM23" s="33">
        <f>COUNTIFS('來案暨出貨明細表-基因檢測(201904起'!$P:$P,$A23&amp;"*",'來案暨出貨明細表-基因檢測(201904起'!$B:$B,BM$1)*$B23+COUNTIFS('來案暨出貨明細表-基因檢測(201904起'!$P:$P,$A23&amp;"*",'來案暨出貨明細表-基因檢測(201904起'!$B:$B,BM$1,'來案暨出貨明細表-基因檢測(201904起'!$Q:$Q,"紙本&amp;電子")++COUNTIFS('來案暨出貨明細表-基因檢測(201904起'!$P:$P,$A23&amp;"*",'來案暨出貨明細表-基因檢測(201904起'!$B:$B,BM$1,'來案暨出貨明細表-基因檢測(201904起'!$R:$R,"中英")</f>
        <v>0</v>
      </c>
    </row>
    <row r="24" spans="1:65" ht="15" customHeight="1">
      <c r="A24" s="9" t="s">
        <v>4534</v>
      </c>
      <c r="B24" s="9">
        <v>1</v>
      </c>
      <c r="C24" s="13" t="s">
        <v>4535</v>
      </c>
      <c r="D24" s="142" t="s">
        <v>4536</v>
      </c>
      <c r="E24" s="33">
        <f>COUNTIFS('來案暨出貨明細表-基因檢測(201904起'!$P:$P,$A24&amp;"*",'來案暨出貨明細表-基因檢測(201904起'!$B:$B,E$1)*$B24+COUNTIFS('來案暨出貨明細表-基因檢測(201904起'!$P:$P,$A24&amp;"*",'來案暨出貨明細表-基因檢測(201904起'!$B:$B,E$1,'來案暨出貨明細表-基因檢測(201904起'!$Q:$Q,"紙本&amp;電子")++COUNTIFS('來案暨出貨明細表-基因檢測(201904起'!$P:$P,$A24&amp;"*",'來案暨出貨明細表-基因檢測(201904起'!$B:$B,E$1,'來案暨出貨明細表-基因檢測(201904起'!$R:$R,"中英")</f>
        <v>0</v>
      </c>
      <c r="F24" s="33">
        <f>COUNTIFS('來案暨出貨明細表-基因檢測(201904起'!$P:$P,$A24&amp;"*",'來案暨出貨明細表-基因檢測(201904起'!$B:$B,F$1)*$B24+COUNTIFS('來案暨出貨明細表-基因檢測(201904起'!$P:$P,$A24&amp;"*",'來案暨出貨明細表-基因檢測(201904起'!$B:$B,F$1,'來案暨出貨明細表-基因檢測(201904起'!$Q:$Q,"紙本&amp;電子")++COUNTIFS('來案暨出貨明細表-基因檢測(201904起'!$P:$P,$A24&amp;"*",'來案暨出貨明細表-基因檢測(201904起'!$B:$B,F$1,'來案暨出貨明細表-基因檢測(201904起'!$R:$R,"中英")</f>
        <v>0</v>
      </c>
      <c r="G24" s="33">
        <f>COUNTIFS('來案暨出貨明細表-基因檢測(201904起'!$P:$P,$A24&amp;"*",'來案暨出貨明細表-基因檢測(201904起'!$B:$B,G$1)*$B24+COUNTIFS('來案暨出貨明細表-基因檢測(201904起'!$P:$P,$A24&amp;"*",'來案暨出貨明細表-基因檢測(201904起'!$B:$B,G$1,'來案暨出貨明細表-基因檢測(201904起'!$Q:$Q,"紙本&amp;電子")++COUNTIFS('來案暨出貨明細表-基因檢測(201904起'!$P:$P,$A24&amp;"*",'來案暨出貨明細表-基因檢測(201904起'!$B:$B,G$1,'來案暨出貨明細表-基因檢測(201904起'!$R:$R,"中英")</f>
        <v>0</v>
      </c>
      <c r="H24" s="33">
        <f>COUNTIFS('來案暨出貨明細表-基因檢測(201904起'!$P:$P,$A24&amp;"*",'來案暨出貨明細表-基因檢測(201904起'!$B:$B,H$1)*$B24+COUNTIFS('來案暨出貨明細表-基因檢測(201904起'!$P:$P,$A24&amp;"*",'來案暨出貨明細表-基因檢測(201904起'!$B:$B,H$1,'來案暨出貨明細表-基因檢測(201904起'!$Q:$Q,"紙本&amp;電子")++COUNTIFS('來案暨出貨明細表-基因檢測(201904起'!$P:$P,$A24&amp;"*",'來案暨出貨明細表-基因檢測(201904起'!$B:$B,H$1,'來案暨出貨明細表-基因檢測(201904起'!$R:$R,"中英")</f>
        <v>0</v>
      </c>
      <c r="I24" s="33">
        <f>COUNTIFS('來案暨出貨明細表-基因檢測(201904起'!$P:$P,$A24&amp;"*",'來案暨出貨明細表-基因檢測(201904起'!$B:$B,I$1)*$B24+COUNTIFS('來案暨出貨明細表-基因檢測(201904起'!$P:$P,$A24&amp;"*",'來案暨出貨明細表-基因檢測(201904起'!$B:$B,I$1,'來案暨出貨明細表-基因檢測(201904起'!$Q:$Q,"紙本&amp;電子")++COUNTIFS('來案暨出貨明細表-基因檢測(201904起'!$P:$P,$A24&amp;"*",'來案暨出貨明細表-基因檢測(201904起'!$B:$B,I$1,'來案暨出貨明細表-基因檢測(201904起'!$R:$R,"中英")</f>
        <v>0</v>
      </c>
      <c r="J24" s="33">
        <f>COUNTIFS('來案暨出貨明細表-基因檢測(201904起'!$P:$P,$A24&amp;"*",'來案暨出貨明細表-基因檢測(201904起'!$B:$B,J$1)*$B24+COUNTIFS('來案暨出貨明細表-基因檢測(201904起'!$P:$P,$A24&amp;"*",'來案暨出貨明細表-基因檢測(201904起'!$B:$B,J$1,'來案暨出貨明細表-基因檢測(201904起'!$Q:$Q,"紙本&amp;電子")++COUNTIFS('來案暨出貨明細表-基因檢測(201904起'!$P:$P,$A24&amp;"*",'來案暨出貨明細表-基因檢測(201904起'!$B:$B,J$1,'來案暨出貨明細表-基因檢測(201904起'!$R:$R,"中英")</f>
        <v>0</v>
      </c>
      <c r="K24" s="33">
        <f>COUNTIFS('來案暨出貨明細表-基因檢測(201904起'!$P:$P,$A24&amp;"*",'來案暨出貨明細表-基因檢測(201904起'!$B:$B,K$1)*$B24+COUNTIFS('來案暨出貨明細表-基因檢測(201904起'!$P:$P,$A24&amp;"*",'來案暨出貨明細表-基因檢測(201904起'!$B:$B,K$1,'來案暨出貨明細表-基因檢測(201904起'!$Q:$Q,"紙本&amp;電子")++COUNTIFS('來案暨出貨明細表-基因檢測(201904起'!$P:$P,$A24&amp;"*",'來案暨出貨明細表-基因檢測(201904起'!$B:$B,K$1,'來案暨出貨明細表-基因檢測(201904起'!$R:$R,"中英")</f>
        <v>0</v>
      </c>
      <c r="L24" s="33">
        <f>COUNTIFS('來案暨出貨明細表-基因檢測(201904起'!$P:$P,$A24&amp;"*",'來案暨出貨明細表-基因檢測(201904起'!$B:$B,L$1)*$B24+COUNTIFS('來案暨出貨明細表-基因檢測(201904起'!$P:$P,$A24&amp;"*",'來案暨出貨明細表-基因檢測(201904起'!$B:$B,L$1,'來案暨出貨明細表-基因檢測(201904起'!$Q:$Q,"紙本&amp;電子")++COUNTIFS('來案暨出貨明細表-基因檢測(201904起'!$P:$P,$A24&amp;"*",'來案暨出貨明細表-基因檢測(201904起'!$B:$B,L$1,'來案暨出貨明細表-基因檢測(201904起'!$R:$R,"中英")</f>
        <v>0</v>
      </c>
      <c r="M24" s="33">
        <f>COUNTIFS('來案暨出貨明細表-基因檢測(201904起'!$P:$P,$A24&amp;"*",'來案暨出貨明細表-基因檢測(201904起'!$B:$B,M$1)*$B24+COUNTIFS('來案暨出貨明細表-基因檢測(201904起'!$P:$P,$A24&amp;"*",'來案暨出貨明細表-基因檢測(201904起'!$B:$B,M$1,'來案暨出貨明細表-基因檢測(201904起'!$Q:$Q,"紙本&amp;電子")++COUNTIFS('來案暨出貨明細表-基因檢測(201904起'!$P:$P,$A24&amp;"*",'來案暨出貨明細表-基因檢測(201904起'!$B:$B,M$1,'來案暨出貨明細表-基因檢測(201904起'!$R:$R,"中英")</f>
        <v>0</v>
      </c>
      <c r="N24" s="33">
        <f>COUNTIFS('來案暨出貨明細表-基因檢測(201904起'!$P:$P,$A24&amp;"*",'來案暨出貨明細表-基因檢測(201904起'!$B:$B,N$1)*$B24+COUNTIFS('來案暨出貨明細表-基因檢測(201904起'!$P:$P,$A24&amp;"*",'來案暨出貨明細表-基因檢測(201904起'!$B:$B,N$1,'來案暨出貨明細表-基因檢測(201904起'!$Q:$Q,"紙本&amp;電子")++COUNTIFS('來案暨出貨明細表-基因檢測(201904起'!$P:$P,$A24&amp;"*",'來案暨出貨明細表-基因檢測(201904起'!$B:$B,N$1,'來案暨出貨明細表-基因檢測(201904起'!$R:$R,"中英")</f>
        <v>0</v>
      </c>
      <c r="O24" s="33">
        <f>COUNTIFS('來案暨出貨明細表-基因檢測(201904起'!$P:$P,$A24&amp;"*",'來案暨出貨明細表-基因檢測(201904起'!$B:$B,O$1)*$B24+COUNTIFS('來案暨出貨明細表-基因檢測(201904起'!$P:$P,$A24&amp;"*",'來案暨出貨明細表-基因檢測(201904起'!$B:$B,O$1,'來案暨出貨明細表-基因檢測(201904起'!$Q:$Q,"紙本&amp;電子")++COUNTIFS('來案暨出貨明細表-基因檢測(201904起'!$P:$P,$A24&amp;"*",'來案暨出貨明細表-基因檢測(201904起'!$B:$B,O$1,'來案暨出貨明細表-基因檢測(201904起'!$R:$R,"中英")</f>
        <v>0</v>
      </c>
      <c r="P24" s="33">
        <f>COUNTIFS('來案暨出貨明細表-基因檢測(201904起'!$P:$P,$A24&amp;"*",'來案暨出貨明細表-基因檢測(201904起'!$B:$B,P$1)*$B24+COUNTIFS('來案暨出貨明細表-基因檢測(201904起'!$P:$P,$A24&amp;"*",'來案暨出貨明細表-基因檢測(201904起'!$B:$B,P$1,'來案暨出貨明細表-基因檢測(201904起'!$Q:$Q,"紙本&amp;電子")++COUNTIFS('來案暨出貨明細表-基因檢測(201904起'!$P:$P,$A24&amp;"*",'來案暨出貨明細表-基因檢測(201904起'!$B:$B,P$1,'來案暨出貨明細表-基因檢測(201904起'!$R:$R,"中英")</f>
        <v>0</v>
      </c>
      <c r="Q24" s="33">
        <f>COUNTIFS('來案暨出貨明細表-基因檢測(201904起'!$P:$P,$A24&amp;"*",'來案暨出貨明細表-基因檢測(201904起'!$B:$B,Q$1)*$B24+COUNTIFS('來案暨出貨明細表-基因檢測(201904起'!$P:$P,$A24&amp;"*",'來案暨出貨明細表-基因檢測(201904起'!$B:$B,Q$1,'來案暨出貨明細表-基因檢測(201904起'!$Q:$Q,"紙本&amp;電子")++COUNTIFS('來案暨出貨明細表-基因檢測(201904起'!$P:$P,$A24&amp;"*",'來案暨出貨明細表-基因檢測(201904起'!$B:$B,Q$1,'來案暨出貨明細表-基因檢測(201904起'!$R:$R,"中英")</f>
        <v>0</v>
      </c>
      <c r="R24" s="33">
        <f>COUNTIFS('來案暨出貨明細表-基因檢測(201904起'!$P:$P,$A24&amp;"*",'來案暨出貨明細表-基因檢測(201904起'!$B:$B,R$1)*$B24+COUNTIFS('來案暨出貨明細表-基因檢測(201904起'!$P:$P,$A24&amp;"*",'來案暨出貨明細表-基因檢測(201904起'!$B:$B,R$1,'來案暨出貨明細表-基因檢測(201904起'!$Q:$Q,"紙本&amp;電子")++COUNTIFS('來案暨出貨明細表-基因檢測(201904起'!$P:$P,$A24&amp;"*",'來案暨出貨明細表-基因檢測(201904起'!$B:$B,R$1,'來案暨出貨明細表-基因檢測(201904起'!$R:$R,"中英")</f>
        <v>0</v>
      </c>
      <c r="S24" s="33">
        <f>COUNTIFS('來案暨出貨明細表-基因檢測(201904起'!$P:$P,$A24&amp;"*",'來案暨出貨明細表-基因檢測(201904起'!$B:$B,S$1)*$B24+COUNTIFS('來案暨出貨明細表-基因檢測(201904起'!$P:$P,$A24&amp;"*",'來案暨出貨明細表-基因檢測(201904起'!$B:$B,S$1,'來案暨出貨明細表-基因檢測(201904起'!$Q:$Q,"紙本&amp;電子")++COUNTIFS('來案暨出貨明細表-基因檢測(201904起'!$P:$P,$A24&amp;"*",'來案暨出貨明細表-基因檢測(201904起'!$B:$B,S$1,'來案暨出貨明細表-基因檢測(201904起'!$R:$R,"中英")</f>
        <v>0</v>
      </c>
      <c r="T24" s="33">
        <f>COUNTIFS('來案暨出貨明細表-基因檢測(201904起'!$P:$P,$A24&amp;"*",'來案暨出貨明細表-基因檢測(201904起'!$B:$B,T$1)*$B24+COUNTIFS('來案暨出貨明細表-基因檢測(201904起'!$P:$P,$A24&amp;"*",'來案暨出貨明細表-基因檢測(201904起'!$B:$B,T$1,'來案暨出貨明細表-基因檢測(201904起'!$Q:$Q,"紙本&amp;電子")++COUNTIFS('來案暨出貨明細表-基因檢測(201904起'!$P:$P,$A24&amp;"*",'來案暨出貨明細表-基因檢測(201904起'!$B:$B,T$1,'來案暨出貨明細表-基因檢測(201904起'!$R:$R,"中英")</f>
        <v>0</v>
      </c>
      <c r="U24" s="33">
        <f>COUNTIFS('來案暨出貨明細表-基因檢測(201904起'!$P:$P,$A24&amp;"*",'來案暨出貨明細表-基因檢測(201904起'!$B:$B,U$1)*$B24+COUNTIFS('來案暨出貨明細表-基因檢測(201904起'!$P:$P,$A24&amp;"*",'來案暨出貨明細表-基因檢測(201904起'!$B:$B,U$1,'來案暨出貨明細表-基因檢測(201904起'!$Q:$Q,"紙本&amp;電子")++COUNTIFS('來案暨出貨明細表-基因檢測(201904起'!$P:$P,$A24&amp;"*",'來案暨出貨明細表-基因檢測(201904起'!$B:$B,U$1,'來案暨出貨明細表-基因檢測(201904起'!$R:$R,"中英")</f>
        <v>0</v>
      </c>
      <c r="V24" s="33">
        <f>COUNTIFS('來案暨出貨明細表-基因檢測(201904起'!$P:$P,$A24&amp;"*",'來案暨出貨明細表-基因檢測(201904起'!$B:$B,V$1)*$B24+COUNTIFS('來案暨出貨明細表-基因檢測(201904起'!$P:$P,$A24&amp;"*",'來案暨出貨明細表-基因檢測(201904起'!$B:$B,V$1,'來案暨出貨明細表-基因檢測(201904起'!$Q:$Q,"紙本&amp;電子")++COUNTIFS('來案暨出貨明細表-基因檢測(201904起'!$P:$P,$A24&amp;"*",'來案暨出貨明細表-基因檢測(201904起'!$B:$B,V$1,'來案暨出貨明細表-基因檢測(201904起'!$R:$R,"中英")</f>
        <v>0</v>
      </c>
      <c r="W24" s="33">
        <f>COUNTIFS('來案暨出貨明細表-基因檢測(201904起'!$P:$P,$A24&amp;"*",'來案暨出貨明細表-基因檢測(201904起'!$B:$B,W$1)*$B24+COUNTIFS('來案暨出貨明細表-基因檢測(201904起'!$P:$P,$A24&amp;"*",'來案暨出貨明細表-基因檢測(201904起'!$B:$B,W$1,'來案暨出貨明細表-基因檢測(201904起'!$Q:$Q,"紙本&amp;電子")++COUNTIFS('來案暨出貨明細表-基因檢測(201904起'!$P:$P,$A24&amp;"*",'來案暨出貨明細表-基因檢測(201904起'!$B:$B,W$1,'來案暨出貨明細表-基因檢測(201904起'!$R:$R,"中英")</f>
        <v>0</v>
      </c>
      <c r="X24" s="33">
        <f>COUNTIFS('來案暨出貨明細表-基因檢測(201904起'!$P:$P,$A24&amp;"*",'來案暨出貨明細表-基因檢測(201904起'!$B:$B,X$1)*$B24+COUNTIFS('來案暨出貨明細表-基因檢測(201904起'!$P:$P,$A24&amp;"*",'來案暨出貨明細表-基因檢測(201904起'!$B:$B,X$1,'來案暨出貨明細表-基因檢測(201904起'!$Q:$Q,"紙本&amp;電子")++COUNTIFS('來案暨出貨明細表-基因檢測(201904起'!$P:$P,$A24&amp;"*",'來案暨出貨明細表-基因檢測(201904起'!$B:$B,X$1,'來案暨出貨明細表-基因檢測(201904起'!$R:$R,"中英")</f>
        <v>0</v>
      </c>
      <c r="Y24" s="33">
        <f>COUNTIFS('來案暨出貨明細表-基因檢測(201904起'!$P:$P,$A24&amp;"*",'來案暨出貨明細表-基因檢測(201904起'!$B:$B,Y$1)*$B24+COUNTIFS('來案暨出貨明細表-基因檢測(201904起'!$P:$P,$A24&amp;"*",'來案暨出貨明細表-基因檢測(201904起'!$B:$B,Y$1,'來案暨出貨明細表-基因檢測(201904起'!$Q:$Q,"紙本&amp;電子")++COUNTIFS('來案暨出貨明細表-基因檢測(201904起'!$P:$P,$A24&amp;"*",'來案暨出貨明細表-基因檢測(201904起'!$B:$B,Y$1,'來案暨出貨明細表-基因檢測(201904起'!$R:$R,"中英")</f>
        <v>0</v>
      </c>
      <c r="Z24" s="33">
        <f>COUNTIFS('來案暨出貨明細表-基因檢測(201904起'!$P:$P,$A24&amp;"*",'來案暨出貨明細表-基因檢測(201904起'!$B:$B,Z$1)*$B24+COUNTIFS('來案暨出貨明細表-基因檢測(201904起'!$P:$P,$A24&amp;"*",'來案暨出貨明細表-基因檢測(201904起'!$B:$B,Z$1,'來案暨出貨明細表-基因檢測(201904起'!$Q:$Q,"紙本&amp;電子")++COUNTIFS('來案暨出貨明細表-基因檢測(201904起'!$P:$P,$A24&amp;"*",'來案暨出貨明細表-基因檢測(201904起'!$B:$B,Z$1,'來案暨出貨明細表-基因檢測(201904起'!$R:$R,"中英")</f>
        <v>0</v>
      </c>
      <c r="AA24" s="33">
        <f>COUNTIFS('來案暨出貨明細表-基因檢測(201904起'!$P:$P,$A24&amp;"*",'來案暨出貨明細表-基因檢測(201904起'!$B:$B,AA$1)*$B24+COUNTIFS('來案暨出貨明細表-基因檢測(201904起'!$P:$P,$A24&amp;"*",'來案暨出貨明細表-基因檢測(201904起'!$B:$B,AA$1,'來案暨出貨明細表-基因檢測(201904起'!$Q:$Q,"紙本&amp;電子")++COUNTIFS('來案暨出貨明細表-基因檢測(201904起'!$P:$P,$A24&amp;"*",'來案暨出貨明細表-基因檢測(201904起'!$B:$B,AA$1,'來案暨出貨明細表-基因檢測(201904起'!$R:$R,"中英")</f>
        <v>0</v>
      </c>
      <c r="AB24" s="33">
        <f>COUNTIFS('來案暨出貨明細表-基因檢測(201904起'!$P:$P,$A24&amp;"*",'來案暨出貨明細表-基因檢測(201904起'!$B:$B,AB$1)*$B24+COUNTIFS('來案暨出貨明細表-基因檢測(201904起'!$P:$P,$A24&amp;"*",'來案暨出貨明細表-基因檢測(201904起'!$B:$B,AB$1,'來案暨出貨明細表-基因檢測(201904起'!$Q:$Q,"紙本&amp;電子")++COUNTIFS('來案暨出貨明細表-基因檢測(201904起'!$P:$P,$A24&amp;"*",'來案暨出貨明細表-基因檢測(201904起'!$B:$B,AB$1,'來案暨出貨明細表-基因檢測(201904起'!$R:$R,"中英")</f>
        <v>0</v>
      </c>
      <c r="AC24" s="33">
        <f>COUNTIFS('來案暨出貨明細表-基因檢測(201904起'!$P:$P,$A24&amp;"*",'來案暨出貨明細表-基因檢測(201904起'!$B:$B,AC$1)*$B24+COUNTIFS('來案暨出貨明細表-基因檢測(201904起'!$P:$P,$A24&amp;"*",'來案暨出貨明細表-基因檢測(201904起'!$B:$B,AC$1,'來案暨出貨明細表-基因檢測(201904起'!$Q:$Q,"紙本&amp;電子")++COUNTIFS('來案暨出貨明細表-基因檢測(201904起'!$P:$P,$A24&amp;"*",'來案暨出貨明細表-基因檢測(201904起'!$B:$B,AC$1,'來案暨出貨明細表-基因檢測(201904起'!$R:$R,"中英")</f>
        <v>0</v>
      </c>
      <c r="AD24" s="33">
        <f>COUNTIFS('來案暨出貨明細表-基因檢測(201904起'!$P:$P,$A24&amp;"*",'來案暨出貨明細表-基因檢測(201904起'!$B:$B,AD$1)*$B24+COUNTIFS('來案暨出貨明細表-基因檢測(201904起'!$P:$P,$A24&amp;"*",'來案暨出貨明細表-基因檢測(201904起'!$B:$B,AD$1,'來案暨出貨明細表-基因檢測(201904起'!$Q:$Q,"紙本&amp;電子")++COUNTIFS('來案暨出貨明細表-基因檢測(201904起'!$P:$P,$A24&amp;"*",'來案暨出貨明細表-基因檢測(201904起'!$B:$B,AD$1,'來案暨出貨明細表-基因檢測(201904起'!$R:$R,"中英")</f>
        <v>0</v>
      </c>
      <c r="AE24" s="33">
        <f>COUNTIFS('來案暨出貨明細表-基因檢測(201904起'!$P:$P,$A24&amp;"*",'來案暨出貨明細表-基因檢測(201904起'!$B:$B,AE$1)*$B24+COUNTIFS('來案暨出貨明細表-基因檢測(201904起'!$P:$P,$A24&amp;"*",'來案暨出貨明細表-基因檢測(201904起'!$B:$B,AE$1,'來案暨出貨明細表-基因檢測(201904起'!$Q:$Q,"紙本&amp;電子")++COUNTIFS('來案暨出貨明細表-基因檢測(201904起'!$P:$P,$A24&amp;"*",'來案暨出貨明細表-基因檢測(201904起'!$B:$B,AE$1,'來案暨出貨明細表-基因檢測(201904起'!$R:$R,"中英")</f>
        <v>0</v>
      </c>
      <c r="AF24" s="33">
        <f>COUNTIFS('來案暨出貨明細表-基因檢測(201904起'!$P:$P,$A24&amp;"*",'來案暨出貨明細表-基因檢測(201904起'!$B:$B,AF$1)*$B24+COUNTIFS('來案暨出貨明細表-基因檢測(201904起'!$P:$P,$A24&amp;"*",'來案暨出貨明細表-基因檢測(201904起'!$B:$B,AF$1,'來案暨出貨明細表-基因檢測(201904起'!$Q:$Q,"紙本&amp;電子")++COUNTIFS('來案暨出貨明細表-基因檢測(201904起'!$P:$P,$A24&amp;"*",'來案暨出貨明細表-基因檢測(201904起'!$B:$B,AF$1,'來案暨出貨明細表-基因檢測(201904起'!$R:$R,"中英")</f>
        <v>0</v>
      </c>
      <c r="AG24" s="33">
        <f>COUNTIFS('來案暨出貨明細表-基因檢測(201904起'!$P:$P,$A24&amp;"*",'來案暨出貨明細表-基因檢測(201904起'!$B:$B,AG$1)*$B24+COUNTIFS('來案暨出貨明細表-基因檢測(201904起'!$P:$P,$A24&amp;"*",'來案暨出貨明細表-基因檢測(201904起'!$B:$B,AG$1,'來案暨出貨明細表-基因檢測(201904起'!$Q:$Q,"紙本&amp;電子")++COUNTIFS('來案暨出貨明細表-基因檢測(201904起'!$P:$P,$A24&amp;"*",'來案暨出貨明細表-基因檢測(201904起'!$B:$B,AG$1,'來案暨出貨明細表-基因檢測(201904起'!$R:$R,"中英")</f>
        <v>0</v>
      </c>
      <c r="AH24" s="33">
        <f>COUNTIFS('來案暨出貨明細表-基因檢測(201904起'!$P:$P,$A24&amp;"*",'來案暨出貨明細表-基因檢測(201904起'!$B:$B,AH$1)*$B24+COUNTIFS('來案暨出貨明細表-基因檢測(201904起'!$P:$P,$A24&amp;"*",'來案暨出貨明細表-基因檢測(201904起'!$B:$B,AH$1,'來案暨出貨明細表-基因檢測(201904起'!$Q:$Q,"紙本&amp;電子")++COUNTIFS('來案暨出貨明細表-基因檢測(201904起'!$P:$P,$A24&amp;"*",'來案暨出貨明細表-基因檢測(201904起'!$B:$B,AH$1,'來案暨出貨明細表-基因檢測(201904起'!$R:$R,"中英")</f>
        <v>0</v>
      </c>
      <c r="AI24" s="33">
        <f>COUNTIFS('來案暨出貨明細表-基因檢測(201904起'!$P:$P,$A24&amp;"*",'來案暨出貨明細表-基因檢測(201904起'!$B:$B,AI$1)*$B24+COUNTIFS('來案暨出貨明細表-基因檢測(201904起'!$P:$P,$A24&amp;"*",'來案暨出貨明細表-基因檢測(201904起'!$B:$B,AI$1,'來案暨出貨明細表-基因檢測(201904起'!$Q:$Q,"紙本&amp;電子")++COUNTIFS('來案暨出貨明細表-基因檢測(201904起'!$P:$P,$A24&amp;"*",'來案暨出貨明細表-基因檢測(201904起'!$B:$B,AI$1,'來案暨出貨明細表-基因檢測(201904起'!$R:$R,"中英")</f>
        <v>0</v>
      </c>
      <c r="AJ24" s="33">
        <f>COUNTIFS('來案暨出貨明細表-基因檢測(201904起'!$P:$P,$A24&amp;"*",'來案暨出貨明細表-基因檢測(201904起'!$B:$B,AJ$1)*$B24+COUNTIFS('來案暨出貨明細表-基因檢測(201904起'!$P:$P,$A24&amp;"*",'來案暨出貨明細表-基因檢測(201904起'!$B:$B,AJ$1,'來案暨出貨明細表-基因檢測(201904起'!$Q:$Q,"紙本&amp;電子")++COUNTIFS('來案暨出貨明細表-基因檢測(201904起'!$P:$P,$A24&amp;"*",'來案暨出貨明細表-基因檢測(201904起'!$B:$B,AJ$1,'來案暨出貨明細表-基因檢測(201904起'!$R:$R,"中英")</f>
        <v>0</v>
      </c>
      <c r="AK24" s="33">
        <f>COUNTIFS('來案暨出貨明細表-基因檢測(201904起'!$P:$P,$A24&amp;"*",'來案暨出貨明細表-基因檢測(201904起'!$B:$B,AK$1)*$B24+COUNTIFS('來案暨出貨明細表-基因檢測(201904起'!$P:$P,$A24&amp;"*",'來案暨出貨明細表-基因檢測(201904起'!$B:$B,AK$1,'來案暨出貨明細表-基因檢測(201904起'!$Q:$Q,"紙本&amp;電子")++COUNTIFS('來案暨出貨明細表-基因檢測(201904起'!$P:$P,$A24&amp;"*",'來案暨出貨明細表-基因檢測(201904起'!$B:$B,AK$1,'來案暨出貨明細表-基因檢測(201904起'!$R:$R,"中英")</f>
        <v>0</v>
      </c>
      <c r="AL24" s="33">
        <f>COUNTIFS('來案暨出貨明細表-基因檢測(201904起'!$P:$P,$A24&amp;"*",'來案暨出貨明細表-基因檢測(201904起'!$B:$B,AL$1)*$B24+COUNTIFS('來案暨出貨明細表-基因檢測(201904起'!$P:$P,$A24&amp;"*",'來案暨出貨明細表-基因檢測(201904起'!$B:$B,AL$1,'來案暨出貨明細表-基因檢測(201904起'!$Q:$Q,"紙本&amp;電子")++COUNTIFS('來案暨出貨明細表-基因檢測(201904起'!$P:$P,$A24&amp;"*",'來案暨出貨明細表-基因檢測(201904起'!$B:$B,AL$1,'來案暨出貨明細表-基因檢測(201904起'!$R:$R,"中英")</f>
        <v>0</v>
      </c>
      <c r="AM24" s="33">
        <f>COUNTIFS('來案暨出貨明細表-基因檢測(201904起'!$P:$P,$A24&amp;"*",'來案暨出貨明細表-基因檢測(201904起'!$B:$B,AM$1)*$B24+COUNTIFS('來案暨出貨明細表-基因檢測(201904起'!$P:$P,$A24&amp;"*",'來案暨出貨明細表-基因檢測(201904起'!$B:$B,AM$1,'來案暨出貨明細表-基因檢測(201904起'!$Q:$Q,"紙本&amp;電子")++COUNTIFS('來案暨出貨明細表-基因檢測(201904起'!$P:$P,$A24&amp;"*",'來案暨出貨明細表-基因檢測(201904起'!$B:$B,AM$1,'來案暨出貨明細表-基因檢測(201904起'!$R:$R,"中英")</f>
        <v>0</v>
      </c>
      <c r="AN24" s="33">
        <f>COUNTIFS('來案暨出貨明細表-基因檢測(201904起'!$P:$P,$A24&amp;"*",'來案暨出貨明細表-基因檢測(201904起'!$B:$B,AN$1)*$B24+COUNTIFS('來案暨出貨明細表-基因檢測(201904起'!$P:$P,$A24&amp;"*",'來案暨出貨明細表-基因檢測(201904起'!$B:$B,AN$1,'來案暨出貨明細表-基因檢測(201904起'!$Q:$Q,"紙本&amp;電子")++COUNTIFS('來案暨出貨明細表-基因檢測(201904起'!$P:$P,$A24&amp;"*",'來案暨出貨明細表-基因檢測(201904起'!$B:$B,AN$1,'來案暨出貨明細表-基因檢測(201904起'!$R:$R,"中英")</f>
        <v>0</v>
      </c>
      <c r="AO24" s="33">
        <f>COUNTIFS('來案暨出貨明細表-基因檢測(201904起'!$P:$P,$A24&amp;"*",'來案暨出貨明細表-基因檢測(201904起'!$B:$B,AO$1)*$B24+COUNTIFS('來案暨出貨明細表-基因檢測(201904起'!$P:$P,$A24&amp;"*",'來案暨出貨明細表-基因檢測(201904起'!$B:$B,AO$1,'來案暨出貨明細表-基因檢測(201904起'!$Q:$Q,"紙本&amp;電子")++COUNTIFS('來案暨出貨明細表-基因檢測(201904起'!$P:$P,$A24&amp;"*",'來案暨出貨明細表-基因檢測(201904起'!$B:$B,AO$1,'來案暨出貨明細表-基因檢測(201904起'!$R:$R,"中英")</f>
        <v>0</v>
      </c>
      <c r="AP24" s="33">
        <f>COUNTIFS('來案暨出貨明細表-基因檢測(201904起'!$P:$P,$A24&amp;"*",'來案暨出貨明細表-基因檢測(201904起'!$B:$B,AP$1)*$B24+COUNTIFS('來案暨出貨明細表-基因檢測(201904起'!$P:$P,$A24&amp;"*",'來案暨出貨明細表-基因檢測(201904起'!$B:$B,AP$1,'來案暨出貨明細表-基因檢測(201904起'!$Q:$Q,"紙本&amp;電子")++COUNTIFS('來案暨出貨明細表-基因檢測(201904起'!$P:$P,$A24&amp;"*",'來案暨出貨明細表-基因檢測(201904起'!$B:$B,AP$1,'來案暨出貨明細表-基因檢測(201904起'!$R:$R,"中英")</f>
        <v>0</v>
      </c>
      <c r="AQ24" s="33">
        <f>COUNTIFS('來案暨出貨明細表-基因檢測(201904起'!$P:$P,$A24&amp;"*",'來案暨出貨明細表-基因檢測(201904起'!$B:$B,AQ$1)*$B24+COUNTIFS('來案暨出貨明細表-基因檢測(201904起'!$P:$P,$A24&amp;"*",'來案暨出貨明細表-基因檢測(201904起'!$B:$B,AQ$1,'來案暨出貨明細表-基因檢測(201904起'!$Q:$Q,"紙本&amp;電子")++COUNTIFS('來案暨出貨明細表-基因檢測(201904起'!$P:$P,$A24&amp;"*",'來案暨出貨明細表-基因檢測(201904起'!$B:$B,AQ$1,'來案暨出貨明細表-基因檢測(201904起'!$R:$R,"中英")</f>
        <v>0</v>
      </c>
      <c r="AR24" s="33">
        <f>COUNTIFS('來案暨出貨明細表-基因檢測(201904起'!$P:$P,$A24&amp;"*",'來案暨出貨明細表-基因檢測(201904起'!$B:$B,AR$1)*$B24+COUNTIFS('來案暨出貨明細表-基因檢測(201904起'!$P:$P,$A24&amp;"*",'來案暨出貨明細表-基因檢測(201904起'!$B:$B,AR$1,'來案暨出貨明細表-基因檢測(201904起'!$Q:$Q,"紙本&amp;電子")++COUNTIFS('來案暨出貨明細表-基因檢測(201904起'!$P:$P,$A24&amp;"*",'來案暨出貨明細表-基因檢測(201904起'!$B:$B,AR$1,'來案暨出貨明細表-基因檢測(201904起'!$R:$R,"中英")</f>
        <v>0</v>
      </c>
      <c r="AS24" s="33">
        <f>COUNTIFS('來案暨出貨明細表-基因檢測(201904起'!$P:$P,$A24&amp;"*",'來案暨出貨明細表-基因檢測(201904起'!$B:$B,AS$1)*$B24+COUNTIFS('來案暨出貨明細表-基因檢測(201904起'!$P:$P,$A24&amp;"*",'來案暨出貨明細表-基因檢測(201904起'!$B:$B,AS$1,'來案暨出貨明細表-基因檢測(201904起'!$Q:$Q,"紙本&amp;電子")++COUNTIFS('來案暨出貨明細表-基因檢測(201904起'!$P:$P,$A24&amp;"*",'來案暨出貨明細表-基因檢測(201904起'!$B:$B,AS$1,'來案暨出貨明細表-基因檢測(201904起'!$R:$R,"中英")</f>
        <v>0</v>
      </c>
      <c r="AT24" s="33">
        <f>COUNTIFS('來案暨出貨明細表-基因檢測(201904起'!$P:$P,$A24&amp;"*",'來案暨出貨明細表-基因檢測(201904起'!$B:$B,AT$1)*$B24+COUNTIFS('來案暨出貨明細表-基因檢測(201904起'!$P:$P,$A24&amp;"*",'來案暨出貨明細表-基因檢測(201904起'!$B:$B,AT$1,'來案暨出貨明細表-基因檢測(201904起'!$Q:$Q,"紙本&amp;電子")++COUNTIFS('來案暨出貨明細表-基因檢測(201904起'!$P:$P,$A24&amp;"*",'來案暨出貨明細表-基因檢測(201904起'!$B:$B,AT$1,'來案暨出貨明細表-基因檢測(201904起'!$R:$R,"中英")</f>
        <v>0</v>
      </c>
      <c r="AU24" s="33">
        <f>COUNTIFS('來案暨出貨明細表-基因檢測(201904起'!$P:$P,$A24&amp;"*",'來案暨出貨明細表-基因檢測(201904起'!$B:$B,AU$1)*$B24+COUNTIFS('來案暨出貨明細表-基因檢測(201904起'!$P:$P,$A24&amp;"*",'來案暨出貨明細表-基因檢測(201904起'!$B:$B,AU$1,'來案暨出貨明細表-基因檢測(201904起'!$Q:$Q,"紙本&amp;電子")++COUNTIFS('來案暨出貨明細表-基因檢測(201904起'!$P:$P,$A24&amp;"*",'來案暨出貨明細表-基因檢測(201904起'!$B:$B,AU$1,'來案暨出貨明細表-基因檢測(201904起'!$R:$R,"中英")</f>
        <v>0</v>
      </c>
      <c r="AV24" s="33">
        <f>COUNTIFS('來案暨出貨明細表-基因檢測(201904起'!$P:$P,$A24&amp;"*",'來案暨出貨明細表-基因檢測(201904起'!$B:$B,AV$1)*$B24+COUNTIFS('來案暨出貨明細表-基因檢測(201904起'!$P:$P,$A24&amp;"*",'來案暨出貨明細表-基因檢測(201904起'!$B:$B,AV$1,'來案暨出貨明細表-基因檢測(201904起'!$Q:$Q,"紙本&amp;電子")++COUNTIFS('來案暨出貨明細表-基因檢測(201904起'!$P:$P,$A24&amp;"*",'來案暨出貨明細表-基因檢測(201904起'!$B:$B,AV$1,'來案暨出貨明細表-基因檢測(201904起'!$R:$R,"中英")</f>
        <v>0</v>
      </c>
      <c r="AW24" s="33">
        <f>COUNTIFS('來案暨出貨明細表-基因檢測(201904起'!$P:$P,$A24&amp;"*",'來案暨出貨明細表-基因檢測(201904起'!$B:$B,AW$1)*$B24+COUNTIFS('來案暨出貨明細表-基因檢測(201904起'!$P:$P,$A24&amp;"*",'來案暨出貨明細表-基因檢測(201904起'!$B:$B,AW$1,'來案暨出貨明細表-基因檢測(201904起'!$Q:$Q,"紙本&amp;電子")++COUNTIFS('來案暨出貨明細表-基因檢測(201904起'!$P:$P,$A24&amp;"*",'來案暨出貨明細表-基因檢測(201904起'!$B:$B,AW$1,'來案暨出貨明細表-基因檢測(201904起'!$R:$R,"中英")</f>
        <v>0</v>
      </c>
      <c r="AX24" s="33">
        <f>COUNTIFS('來案暨出貨明細表-基因檢測(201904起'!$P:$P,$A24&amp;"*",'來案暨出貨明細表-基因檢測(201904起'!$B:$B,AX$1)*$B24+COUNTIFS('來案暨出貨明細表-基因檢測(201904起'!$P:$P,$A24&amp;"*",'來案暨出貨明細表-基因檢測(201904起'!$B:$B,AX$1,'來案暨出貨明細表-基因檢測(201904起'!$Q:$Q,"紙本&amp;電子")++COUNTIFS('來案暨出貨明細表-基因檢測(201904起'!$P:$P,$A24&amp;"*",'來案暨出貨明細表-基因檢測(201904起'!$B:$B,AX$1,'來案暨出貨明細表-基因檢測(201904起'!$R:$R,"中英")</f>
        <v>0</v>
      </c>
      <c r="AY24" s="33">
        <f>COUNTIFS('來案暨出貨明細表-基因檢測(201904起'!$P:$P,$A24&amp;"*",'來案暨出貨明細表-基因檢測(201904起'!$B:$B,AY$1)*$B24+COUNTIFS('來案暨出貨明細表-基因檢測(201904起'!$P:$P,$A24&amp;"*",'來案暨出貨明細表-基因檢測(201904起'!$B:$B,AY$1,'來案暨出貨明細表-基因檢測(201904起'!$Q:$Q,"紙本&amp;電子")++COUNTIFS('來案暨出貨明細表-基因檢測(201904起'!$P:$P,$A24&amp;"*",'來案暨出貨明細表-基因檢測(201904起'!$B:$B,AY$1,'來案暨出貨明細表-基因檢測(201904起'!$R:$R,"中英")</f>
        <v>0</v>
      </c>
      <c r="AZ24" s="33">
        <f>COUNTIFS('來案暨出貨明細表-基因檢測(201904起'!$P:$P,$A24&amp;"*",'來案暨出貨明細表-基因檢測(201904起'!$B:$B,AZ$1)*$B24+COUNTIFS('來案暨出貨明細表-基因檢測(201904起'!$P:$P,$A24&amp;"*",'來案暨出貨明細表-基因檢測(201904起'!$B:$B,AZ$1,'來案暨出貨明細表-基因檢測(201904起'!$Q:$Q,"紙本&amp;電子")++COUNTIFS('來案暨出貨明細表-基因檢測(201904起'!$P:$P,$A24&amp;"*",'來案暨出貨明細表-基因檢測(201904起'!$B:$B,AZ$1,'來案暨出貨明細表-基因檢測(201904起'!$R:$R,"中英")</f>
        <v>0</v>
      </c>
      <c r="BA24" s="33">
        <f>COUNTIFS('來案暨出貨明細表-基因檢測(201904起'!$P:$P,$A24&amp;"*",'來案暨出貨明細表-基因檢測(201904起'!$B:$B,BA$1)*$B24+COUNTIFS('來案暨出貨明細表-基因檢測(201904起'!$P:$P,$A24&amp;"*",'來案暨出貨明細表-基因檢測(201904起'!$B:$B,BA$1,'來案暨出貨明細表-基因檢測(201904起'!$Q:$Q,"紙本&amp;電子")++COUNTIFS('來案暨出貨明細表-基因檢測(201904起'!$P:$P,$A24&amp;"*",'來案暨出貨明細表-基因檢測(201904起'!$B:$B,BA$1,'來案暨出貨明細表-基因檢測(201904起'!$R:$R,"中英")</f>
        <v>0</v>
      </c>
      <c r="BB24" s="33">
        <f>COUNTIFS('來案暨出貨明細表-基因檢測(201904起'!$P:$P,$A24&amp;"*",'來案暨出貨明細表-基因檢測(201904起'!$B:$B,BB$1)*$B24+COUNTIFS('來案暨出貨明細表-基因檢測(201904起'!$P:$P,$A24&amp;"*",'來案暨出貨明細表-基因檢測(201904起'!$B:$B,BB$1,'來案暨出貨明細表-基因檢測(201904起'!$Q:$Q,"紙本&amp;電子")++COUNTIFS('來案暨出貨明細表-基因檢測(201904起'!$P:$P,$A24&amp;"*",'來案暨出貨明細表-基因檢測(201904起'!$B:$B,BB$1,'來案暨出貨明細表-基因檢測(201904起'!$R:$R,"中英")</f>
        <v>0</v>
      </c>
      <c r="BC24" s="33">
        <f>COUNTIFS('來案暨出貨明細表-基因檢測(201904起'!$P:$P,$A24&amp;"*",'來案暨出貨明細表-基因檢測(201904起'!$B:$B,BC$1)*$B24+COUNTIFS('來案暨出貨明細表-基因檢測(201904起'!$P:$P,$A24&amp;"*",'來案暨出貨明細表-基因檢測(201904起'!$B:$B,BC$1,'來案暨出貨明細表-基因檢測(201904起'!$Q:$Q,"紙本&amp;電子")++COUNTIFS('來案暨出貨明細表-基因檢測(201904起'!$P:$P,$A24&amp;"*",'來案暨出貨明細表-基因檢測(201904起'!$B:$B,BC$1,'來案暨出貨明細表-基因檢測(201904起'!$R:$R,"中英")</f>
        <v>0</v>
      </c>
      <c r="BD24" s="33">
        <f>COUNTIFS('來案暨出貨明細表-基因檢測(201904起'!$P:$P,$A24&amp;"*",'來案暨出貨明細表-基因檢測(201904起'!$B:$B,BD$1)*$B24+COUNTIFS('來案暨出貨明細表-基因檢測(201904起'!$P:$P,$A24&amp;"*",'來案暨出貨明細表-基因檢測(201904起'!$B:$B,BD$1,'來案暨出貨明細表-基因檢測(201904起'!$Q:$Q,"紙本&amp;電子")++COUNTIFS('來案暨出貨明細表-基因檢測(201904起'!$P:$P,$A24&amp;"*",'來案暨出貨明細表-基因檢測(201904起'!$B:$B,BD$1,'來案暨出貨明細表-基因檢測(201904起'!$R:$R,"中英")</f>
        <v>0</v>
      </c>
      <c r="BE24" s="33">
        <f>COUNTIFS('來案暨出貨明細表-基因檢測(201904起'!$P:$P,$A24&amp;"*",'來案暨出貨明細表-基因檢測(201904起'!$B:$B,BE$1)*$B24+COUNTIFS('來案暨出貨明細表-基因檢測(201904起'!$P:$P,$A24&amp;"*",'來案暨出貨明細表-基因檢測(201904起'!$B:$B,BE$1,'來案暨出貨明細表-基因檢測(201904起'!$Q:$Q,"紙本&amp;電子")++COUNTIFS('來案暨出貨明細表-基因檢測(201904起'!$P:$P,$A24&amp;"*",'來案暨出貨明細表-基因檢測(201904起'!$B:$B,BE$1,'來案暨出貨明細表-基因檢測(201904起'!$R:$R,"中英")</f>
        <v>0</v>
      </c>
      <c r="BF24" s="33">
        <f>COUNTIFS('來案暨出貨明細表-基因檢測(201904起'!$P:$P,$A24&amp;"*",'來案暨出貨明細表-基因檢測(201904起'!$B:$B,BF$1)*$B24+COUNTIFS('來案暨出貨明細表-基因檢測(201904起'!$P:$P,$A24&amp;"*",'來案暨出貨明細表-基因檢測(201904起'!$B:$B,BF$1,'來案暨出貨明細表-基因檢測(201904起'!$Q:$Q,"紙本&amp;電子")++COUNTIFS('來案暨出貨明細表-基因檢測(201904起'!$P:$P,$A24&amp;"*",'來案暨出貨明細表-基因檢測(201904起'!$B:$B,BF$1,'來案暨出貨明細表-基因檢測(201904起'!$R:$R,"中英")</f>
        <v>0</v>
      </c>
      <c r="BG24" s="33">
        <f>COUNTIFS('來案暨出貨明細表-基因檢測(201904起'!$P:$P,$A24&amp;"*",'來案暨出貨明細表-基因檢測(201904起'!$B:$B,BG$1)*$B24+COUNTIFS('來案暨出貨明細表-基因檢測(201904起'!$P:$P,$A24&amp;"*",'來案暨出貨明細表-基因檢測(201904起'!$B:$B,BG$1,'來案暨出貨明細表-基因檢測(201904起'!$Q:$Q,"紙本&amp;電子")++COUNTIFS('來案暨出貨明細表-基因檢測(201904起'!$P:$P,$A24&amp;"*",'來案暨出貨明細表-基因檢測(201904起'!$B:$B,BG$1,'來案暨出貨明細表-基因檢測(201904起'!$R:$R,"中英")</f>
        <v>0</v>
      </c>
      <c r="BH24" s="33">
        <f>COUNTIFS('來案暨出貨明細表-基因檢測(201904起'!$P:$P,$A24&amp;"*",'來案暨出貨明細表-基因檢測(201904起'!$B:$B,BH$1)*$B24+COUNTIFS('來案暨出貨明細表-基因檢測(201904起'!$P:$P,$A24&amp;"*",'來案暨出貨明細表-基因檢測(201904起'!$B:$B,BH$1,'來案暨出貨明細表-基因檢測(201904起'!$Q:$Q,"紙本&amp;電子")++COUNTIFS('來案暨出貨明細表-基因檢測(201904起'!$P:$P,$A24&amp;"*",'來案暨出貨明細表-基因檢測(201904起'!$B:$B,BH$1,'來案暨出貨明細表-基因檢測(201904起'!$R:$R,"中英")</f>
        <v>0</v>
      </c>
      <c r="BI24" s="33">
        <f>COUNTIFS('來案暨出貨明細表-基因檢測(201904起'!$P:$P,$A24&amp;"*",'來案暨出貨明細表-基因檢測(201904起'!$B:$B,BI$1)*$B24+COUNTIFS('來案暨出貨明細表-基因檢測(201904起'!$P:$P,$A24&amp;"*",'來案暨出貨明細表-基因檢測(201904起'!$B:$B,BI$1,'來案暨出貨明細表-基因檢測(201904起'!$Q:$Q,"紙本&amp;電子")++COUNTIFS('來案暨出貨明細表-基因檢測(201904起'!$P:$P,$A24&amp;"*",'來案暨出貨明細表-基因檢測(201904起'!$B:$B,BI$1,'來案暨出貨明細表-基因檢測(201904起'!$R:$R,"中英")</f>
        <v>0</v>
      </c>
      <c r="BJ24" s="33">
        <f>COUNTIFS('來案暨出貨明細表-基因檢測(201904起'!$P:$P,$A24&amp;"*",'來案暨出貨明細表-基因檢測(201904起'!$B:$B,BJ$1)*$B24+COUNTIFS('來案暨出貨明細表-基因檢測(201904起'!$P:$P,$A24&amp;"*",'來案暨出貨明細表-基因檢測(201904起'!$B:$B,BJ$1,'來案暨出貨明細表-基因檢測(201904起'!$Q:$Q,"紙本&amp;電子")++COUNTIFS('來案暨出貨明細表-基因檢測(201904起'!$P:$P,$A24&amp;"*",'來案暨出貨明細表-基因檢測(201904起'!$B:$B,BJ$1,'來案暨出貨明細表-基因檢測(201904起'!$R:$R,"中英")</f>
        <v>0</v>
      </c>
      <c r="BK24" s="33">
        <f>COUNTIFS('來案暨出貨明細表-基因檢測(201904起'!$P:$P,$A24&amp;"*",'來案暨出貨明細表-基因檢測(201904起'!$B:$B,BK$1)*$B24+COUNTIFS('來案暨出貨明細表-基因檢測(201904起'!$P:$P,$A24&amp;"*",'來案暨出貨明細表-基因檢測(201904起'!$B:$B,BK$1,'來案暨出貨明細表-基因檢測(201904起'!$Q:$Q,"紙本&amp;電子")++COUNTIFS('來案暨出貨明細表-基因檢測(201904起'!$P:$P,$A24&amp;"*",'來案暨出貨明細表-基因檢測(201904起'!$B:$B,BK$1,'來案暨出貨明細表-基因檢測(201904起'!$R:$R,"中英")</f>
        <v>0</v>
      </c>
      <c r="BL24" s="33">
        <f>COUNTIFS('來案暨出貨明細表-基因檢測(201904起'!$P:$P,$A24&amp;"*",'來案暨出貨明細表-基因檢測(201904起'!$B:$B,BL$1)*$B24+COUNTIFS('來案暨出貨明細表-基因檢測(201904起'!$P:$P,$A24&amp;"*",'來案暨出貨明細表-基因檢測(201904起'!$B:$B,BL$1,'來案暨出貨明細表-基因檢測(201904起'!$Q:$Q,"紙本&amp;電子")++COUNTIFS('來案暨出貨明細表-基因檢測(201904起'!$P:$P,$A24&amp;"*",'來案暨出貨明細表-基因檢測(201904起'!$B:$B,BL$1,'來案暨出貨明細表-基因檢測(201904起'!$R:$R,"中英")</f>
        <v>0</v>
      </c>
      <c r="BM24" s="33">
        <f>COUNTIFS('來案暨出貨明細表-基因檢測(201904起'!$P:$P,$A24&amp;"*",'來案暨出貨明細表-基因檢測(201904起'!$B:$B,BM$1)*$B24+COUNTIFS('來案暨出貨明細表-基因檢測(201904起'!$P:$P,$A24&amp;"*",'來案暨出貨明細表-基因檢測(201904起'!$B:$B,BM$1,'來案暨出貨明細表-基因檢測(201904起'!$Q:$Q,"紙本&amp;電子")++COUNTIFS('來案暨出貨明細表-基因檢測(201904起'!$P:$P,$A24&amp;"*",'來案暨出貨明細表-基因檢測(201904起'!$B:$B,BM$1,'來案暨出貨明細表-基因檢測(201904起'!$R:$R,"中英")</f>
        <v>0</v>
      </c>
    </row>
    <row r="25" spans="1:65" ht="15" customHeight="1">
      <c r="A25" s="9" t="s">
        <v>4537</v>
      </c>
      <c r="B25" s="9">
        <v>1</v>
      </c>
      <c r="C25" s="13" t="s">
        <v>4538</v>
      </c>
      <c r="D25" s="142" t="s">
        <v>4539</v>
      </c>
      <c r="E25" s="33">
        <f>COUNTIFS('來案暨出貨明細表-基因檢測(201904起'!$P:$P,$A25&amp;"*",'來案暨出貨明細表-基因檢測(201904起'!$B:$B,E$1)*$B25+COUNTIFS('來案暨出貨明細表-基因檢測(201904起'!$P:$P,$A25&amp;"*",'來案暨出貨明細表-基因檢測(201904起'!$B:$B,E$1,'來案暨出貨明細表-基因檢測(201904起'!$Q:$Q,"紙本&amp;電子")++COUNTIFS('來案暨出貨明細表-基因檢測(201904起'!$P:$P,$A25&amp;"*",'來案暨出貨明細表-基因檢測(201904起'!$B:$B,E$1,'來案暨出貨明細表-基因檢測(201904起'!$R:$R,"中英")</f>
        <v>0</v>
      </c>
      <c r="F25" s="33">
        <f>COUNTIFS('來案暨出貨明細表-基因檢測(201904起'!$P:$P,$A25&amp;"*",'來案暨出貨明細表-基因檢測(201904起'!$B:$B,F$1)*$B25+COUNTIFS('來案暨出貨明細表-基因檢測(201904起'!$P:$P,$A25&amp;"*",'來案暨出貨明細表-基因檢測(201904起'!$B:$B,F$1,'來案暨出貨明細表-基因檢測(201904起'!$Q:$Q,"紙本&amp;電子")++COUNTIFS('來案暨出貨明細表-基因檢測(201904起'!$P:$P,$A25&amp;"*",'來案暨出貨明細表-基因檢測(201904起'!$B:$B,F$1,'來案暨出貨明細表-基因檢測(201904起'!$R:$R,"中英")</f>
        <v>0</v>
      </c>
      <c r="G25" s="33">
        <f>COUNTIFS('來案暨出貨明細表-基因檢測(201904起'!$P:$P,$A25&amp;"*",'來案暨出貨明細表-基因檢測(201904起'!$B:$B,G$1)*$B25+COUNTIFS('來案暨出貨明細表-基因檢測(201904起'!$P:$P,$A25&amp;"*",'來案暨出貨明細表-基因檢測(201904起'!$B:$B,G$1,'來案暨出貨明細表-基因檢測(201904起'!$Q:$Q,"紙本&amp;電子")++COUNTIFS('來案暨出貨明細表-基因檢測(201904起'!$P:$P,$A25&amp;"*",'來案暨出貨明細表-基因檢測(201904起'!$B:$B,G$1,'來案暨出貨明細表-基因檢測(201904起'!$R:$R,"中英")</f>
        <v>0</v>
      </c>
      <c r="H25" s="33">
        <f>COUNTIFS('來案暨出貨明細表-基因檢測(201904起'!$P:$P,$A25&amp;"*",'來案暨出貨明細表-基因檢測(201904起'!$B:$B,H$1)*$B25+COUNTIFS('來案暨出貨明細表-基因檢測(201904起'!$P:$P,$A25&amp;"*",'來案暨出貨明細表-基因檢測(201904起'!$B:$B,H$1,'來案暨出貨明細表-基因檢測(201904起'!$Q:$Q,"紙本&amp;電子")++COUNTIFS('來案暨出貨明細表-基因檢測(201904起'!$P:$P,$A25&amp;"*",'來案暨出貨明細表-基因檢測(201904起'!$B:$B,H$1,'來案暨出貨明細表-基因檢測(201904起'!$R:$R,"中英")</f>
        <v>0</v>
      </c>
      <c r="I25" s="33">
        <f>COUNTIFS('來案暨出貨明細表-基因檢測(201904起'!$P:$P,$A25&amp;"*",'來案暨出貨明細表-基因檢測(201904起'!$B:$B,I$1)*$B25+COUNTIFS('來案暨出貨明細表-基因檢測(201904起'!$P:$P,$A25&amp;"*",'來案暨出貨明細表-基因檢測(201904起'!$B:$B,I$1,'來案暨出貨明細表-基因檢測(201904起'!$Q:$Q,"紙本&amp;電子")++COUNTIFS('來案暨出貨明細表-基因檢測(201904起'!$P:$P,$A25&amp;"*",'來案暨出貨明細表-基因檢測(201904起'!$B:$B,I$1,'來案暨出貨明細表-基因檢測(201904起'!$R:$R,"中英")</f>
        <v>0</v>
      </c>
      <c r="J25" s="33">
        <f>COUNTIFS('來案暨出貨明細表-基因檢測(201904起'!$P:$P,$A25&amp;"*",'來案暨出貨明細表-基因檢測(201904起'!$B:$B,J$1)*$B25+COUNTIFS('來案暨出貨明細表-基因檢測(201904起'!$P:$P,$A25&amp;"*",'來案暨出貨明細表-基因檢測(201904起'!$B:$B,J$1,'來案暨出貨明細表-基因檢測(201904起'!$Q:$Q,"紙本&amp;電子")++COUNTIFS('來案暨出貨明細表-基因檢測(201904起'!$P:$P,$A25&amp;"*",'來案暨出貨明細表-基因檢測(201904起'!$B:$B,J$1,'來案暨出貨明細表-基因檢測(201904起'!$R:$R,"中英")</f>
        <v>0</v>
      </c>
      <c r="K25" s="33">
        <f>COUNTIFS('來案暨出貨明細表-基因檢測(201904起'!$P:$P,$A25&amp;"*",'來案暨出貨明細表-基因檢測(201904起'!$B:$B,K$1)*$B25+COUNTIFS('來案暨出貨明細表-基因檢測(201904起'!$P:$P,$A25&amp;"*",'來案暨出貨明細表-基因檢測(201904起'!$B:$B,K$1,'來案暨出貨明細表-基因檢測(201904起'!$Q:$Q,"紙本&amp;電子")++COUNTIFS('來案暨出貨明細表-基因檢測(201904起'!$P:$P,$A25&amp;"*",'來案暨出貨明細表-基因檢測(201904起'!$B:$B,K$1,'來案暨出貨明細表-基因檢測(201904起'!$R:$R,"中英")</f>
        <v>0</v>
      </c>
      <c r="L25" s="33">
        <f>COUNTIFS('來案暨出貨明細表-基因檢測(201904起'!$P:$P,$A25&amp;"*",'來案暨出貨明細表-基因檢測(201904起'!$B:$B,L$1)*$B25+COUNTIFS('來案暨出貨明細表-基因檢測(201904起'!$P:$P,$A25&amp;"*",'來案暨出貨明細表-基因檢測(201904起'!$B:$B,L$1,'來案暨出貨明細表-基因檢測(201904起'!$Q:$Q,"紙本&amp;電子")++COUNTIFS('來案暨出貨明細表-基因檢測(201904起'!$P:$P,$A25&amp;"*",'來案暨出貨明細表-基因檢測(201904起'!$B:$B,L$1,'來案暨出貨明細表-基因檢測(201904起'!$R:$R,"中英")</f>
        <v>0</v>
      </c>
      <c r="M25" s="33">
        <f>COUNTIFS('來案暨出貨明細表-基因檢測(201904起'!$P:$P,$A25&amp;"*",'來案暨出貨明細表-基因檢測(201904起'!$B:$B,M$1)*$B25+COUNTIFS('來案暨出貨明細表-基因檢測(201904起'!$P:$P,$A25&amp;"*",'來案暨出貨明細表-基因檢測(201904起'!$B:$B,M$1,'來案暨出貨明細表-基因檢測(201904起'!$Q:$Q,"紙本&amp;電子")++COUNTIFS('來案暨出貨明細表-基因檢測(201904起'!$P:$P,$A25&amp;"*",'來案暨出貨明細表-基因檢測(201904起'!$B:$B,M$1,'來案暨出貨明細表-基因檢測(201904起'!$R:$R,"中英")</f>
        <v>0</v>
      </c>
      <c r="N25" s="33">
        <f>COUNTIFS('來案暨出貨明細表-基因檢測(201904起'!$P:$P,$A25&amp;"*",'來案暨出貨明細表-基因檢測(201904起'!$B:$B,N$1)*$B25+COUNTIFS('來案暨出貨明細表-基因檢測(201904起'!$P:$P,$A25&amp;"*",'來案暨出貨明細表-基因檢測(201904起'!$B:$B,N$1,'來案暨出貨明細表-基因檢測(201904起'!$Q:$Q,"紙本&amp;電子")++COUNTIFS('來案暨出貨明細表-基因檢測(201904起'!$P:$P,$A25&amp;"*",'來案暨出貨明細表-基因檢測(201904起'!$B:$B,N$1,'來案暨出貨明細表-基因檢測(201904起'!$R:$R,"中英")</f>
        <v>0</v>
      </c>
      <c r="O25" s="33">
        <f>COUNTIFS('來案暨出貨明細表-基因檢測(201904起'!$P:$P,$A25&amp;"*",'來案暨出貨明細表-基因檢測(201904起'!$B:$B,O$1)*$B25+COUNTIFS('來案暨出貨明細表-基因檢測(201904起'!$P:$P,$A25&amp;"*",'來案暨出貨明細表-基因檢測(201904起'!$B:$B,O$1,'來案暨出貨明細表-基因檢測(201904起'!$Q:$Q,"紙本&amp;電子")++COUNTIFS('來案暨出貨明細表-基因檢測(201904起'!$P:$P,$A25&amp;"*",'來案暨出貨明細表-基因檢測(201904起'!$B:$B,O$1,'來案暨出貨明細表-基因檢測(201904起'!$R:$R,"中英")</f>
        <v>0</v>
      </c>
      <c r="P25" s="33">
        <f>COUNTIFS('來案暨出貨明細表-基因檢測(201904起'!$P:$P,$A25&amp;"*",'來案暨出貨明細表-基因檢測(201904起'!$B:$B,P$1)*$B25+COUNTIFS('來案暨出貨明細表-基因檢測(201904起'!$P:$P,$A25&amp;"*",'來案暨出貨明細表-基因檢測(201904起'!$B:$B,P$1,'來案暨出貨明細表-基因檢測(201904起'!$Q:$Q,"紙本&amp;電子")++COUNTIFS('來案暨出貨明細表-基因檢測(201904起'!$P:$P,$A25&amp;"*",'來案暨出貨明細表-基因檢測(201904起'!$B:$B,P$1,'來案暨出貨明細表-基因檢測(201904起'!$R:$R,"中英")</f>
        <v>0</v>
      </c>
      <c r="Q25" s="33">
        <f>COUNTIFS('來案暨出貨明細表-基因檢測(201904起'!$P:$P,$A25&amp;"*",'來案暨出貨明細表-基因檢測(201904起'!$B:$B,Q$1)*$B25+COUNTIFS('來案暨出貨明細表-基因檢測(201904起'!$P:$P,$A25&amp;"*",'來案暨出貨明細表-基因檢測(201904起'!$B:$B,Q$1,'來案暨出貨明細表-基因檢測(201904起'!$Q:$Q,"紙本&amp;電子")++COUNTIFS('來案暨出貨明細表-基因檢測(201904起'!$P:$P,$A25&amp;"*",'來案暨出貨明細表-基因檢測(201904起'!$B:$B,Q$1,'來案暨出貨明細表-基因檢測(201904起'!$R:$R,"中英")</f>
        <v>0</v>
      </c>
      <c r="R25" s="33">
        <f>COUNTIFS('來案暨出貨明細表-基因檢測(201904起'!$P:$P,$A25&amp;"*",'來案暨出貨明細表-基因檢測(201904起'!$B:$B,R$1)*$B25+COUNTIFS('來案暨出貨明細表-基因檢測(201904起'!$P:$P,$A25&amp;"*",'來案暨出貨明細表-基因檢測(201904起'!$B:$B,R$1,'來案暨出貨明細表-基因檢測(201904起'!$Q:$Q,"紙本&amp;電子")++COUNTIFS('來案暨出貨明細表-基因檢測(201904起'!$P:$P,$A25&amp;"*",'來案暨出貨明細表-基因檢測(201904起'!$B:$B,R$1,'來案暨出貨明細表-基因檢測(201904起'!$R:$R,"中英")</f>
        <v>0</v>
      </c>
      <c r="S25" s="33">
        <f>COUNTIFS('來案暨出貨明細表-基因檢測(201904起'!$P:$P,$A25&amp;"*",'來案暨出貨明細表-基因檢測(201904起'!$B:$B,S$1)*$B25+COUNTIFS('來案暨出貨明細表-基因檢測(201904起'!$P:$P,$A25&amp;"*",'來案暨出貨明細表-基因檢測(201904起'!$B:$B,S$1,'來案暨出貨明細表-基因檢測(201904起'!$Q:$Q,"紙本&amp;電子")++COUNTIFS('來案暨出貨明細表-基因檢測(201904起'!$P:$P,$A25&amp;"*",'來案暨出貨明細表-基因檢測(201904起'!$B:$B,S$1,'來案暨出貨明細表-基因檢測(201904起'!$R:$R,"中英")</f>
        <v>0</v>
      </c>
      <c r="T25" s="33">
        <f>COUNTIFS('來案暨出貨明細表-基因檢測(201904起'!$P:$P,$A25&amp;"*",'來案暨出貨明細表-基因檢測(201904起'!$B:$B,T$1)*$B25+COUNTIFS('來案暨出貨明細表-基因檢測(201904起'!$P:$P,$A25&amp;"*",'來案暨出貨明細表-基因檢測(201904起'!$B:$B,T$1,'來案暨出貨明細表-基因檢測(201904起'!$Q:$Q,"紙本&amp;電子")++COUNTIFS('來案暨出貨明細表-基因檢測(201904起'!$P:$P,$A25&amp;"*",'來案暨出貨明細表-基因檢測(201904起'!$B:$B,T$1,'來案暨出貨明細表-基因檢測(201904起'!$R:$R,"中英")</f>
        <v>0</v>
      </c>
      <c r="U25" s="33">
        <f>COUNTIFS('來案暨出貨明細表-基因檢測(201904起'!$P:$P,$A25&amp;"*",'來案暨出貨明細表-基因檢測(201904起'!$B:$B,U$1)*$B25+COUNTIFS('來案暨出貨明細表-基因檢測(201904起'!$P:$P,$A25&amp;"*",'來案暨出貨明細表-基因檢測(201904起'!$B:$B,U$1,'來案暨出貨明細表-基因檢測(201904起'!$Q:$Q,"紙本&amp;電子")++COUNTIFS('來案暨出貨明細表-基因檢測(201904起'!$P:$P,$A25&amp;"*",'來案暨出貨明細表-基因檢測(201904起'!$B:$B,U$1,'來案暨出貨明細表-基因檢測(201904起'!$R:$R,"中英")</f>
        <v>0</v>
      </c>
      <c r="V25" s="33">
        <f>COUNTIFS('來案暨出貨明細表-基因檢測(201904起'!$P:$P,$A25&amp;"*",'來案暨出貨明細表-基因檢測(201904起'!$B:$B,V$1)*$B25+COUNTIFS('來案暨出貨明細表-基因檢測(201904起'!$P:$P,$A25&amp;"*",'來案暨出貨明細表-基因檢測(201904起'!$B:$B,V$1,'來案暨出貨明細表-基因檢測(201904起'!$Q:$Q,"紙本&amp;電子")++COUNTIFS('來案暨出貨明細表-基因檢測(201904起'!$P:$P,$A25&amp;"*",'來案暨出貨明細表-基因檢測(201904起'!$B:$B,V$1,'來案暨出貨明細表-基因檢測(201904起'!$R:$R,"中英")</f>
        <v>0</v>
      </c>
      <c r="W25" s="33">
        <f>COUNTIFS('來案暨出貨明細表-基因檢測(201904起'!$P:$P,$A25&amp;"*",'來案暨出貨明細表-基因檢測(201904起'!$B:$B,W$1)*$B25+COUNTIFS('來案暨出貨明細表-基因檢測(201904起'!$P:$P,$A25&amp;"*",'來案暨出貨明細表-基因檢測(201904起'!$B:$B,W$1,'來案暨出貨明細表-基因檢測(201904起'!$Q:$Q,"紙本&amp;電子")++COUNTIFS('來案暨出貨明細表-基因檢測(201904起'!$P:$P,$A25&amp;"*",'來案暨出貨明細表-基因檢測(201904起'!$B:$B,W$1,'來案暨出貨明細表-基因檢測(201904起'!$R:$R,"中英")</f>
        <v>0</v>
      </c>
      <c r="X25" s="33">
        <f>COUNTIFS('來案暨出貨明細表-基因檢測(201904起'!$P:$P,$A25&amp;"*",'來案暨出貨明細表-基因檢測(201904起'!$B:$B,X$1)*$B25+COUNTIFS('來案暨出貨明細表-基因檢測(201904起'!$P:$P,$A25&amp;"*",'來案暨出貨明細表-基因檢測(201904起'!$B:$B,X$1,'來案暨出貨明細表-基因檢測(201904起'!$Q:$Q,"紙本&amp;電子")++COUNTIFS('來案暨出貨明細表-基因檢測(201904起'!$P:$P,$A25&amp;"*",'來案暨出貨明細表-基因檢測(201904起'!$B:$B,X$1,'來案暨出貨明細表-基因檢測(201904起'!$R:$R,"中英")</f>
        <v>0</v>
      </c>
      <c r="Y25" s="33">
        <f>COUNTIFS('來案暨出貨明細表-基因檢測(201904起'!$P:$P,$A25&amp;"*",'來案暨出貨明細表-基因檢測(201904起'!$B:$B,Y$1)*$B25+COUNTIFS('來案暨出貨明細表-基因檢測(201904起'!$P:$P,$A25&amp;"*",'來案暨出貨明細表-基因檢測(201904起'!$B:$B,Y$1,'來案暨出貨明細表-基因檢測(201904起'!$Q:$Q,"紙本&amp;電子")++COUNTIFS('來案暨出貨明細表-基因檢測(201904起'!$P:$P,$A25&amp;"*",'來案暨出貨明細表-基因檢測(201904起'!$B:$B,Y$1,'來案暨出貨明細表-基因檢測(201904起'!$R:$R,"中英")</f>
        <v>0</v>
      </c>
      <c r="Z25" s="33">
        <f>COUNTIFS('來案暨出貨明細表-基因檢測(201904起'!$P:$P,$A25&amp;"*",'來案暨出貨明細表-基因檢測(201904起'!$B:$B,Z$1)*$B25+COUNTIFS('來案暨出貨明細表-基因檢測(201904起'!$P:$P,$A25&amp;"*",'來案暨出貨明細表-基因檢測(201904起'!$B:$B,Z$1,'來案暨出貨明細表-基因檢測(201904起'!$Q:$Q,"紙本&amp;電子")++COUNTIFS('來案暨出貨明細表-基因檢測(201904起'!$P:$P,$A25&amp;"*",'來案暨出貨明細表-基因檢測(201904起'!$B:$B,Z$1,'來案暨出貨明細表-基因檢測(201904起'!$R:$R,"中英")</f>
        <v>0</v>
      </c>
      <c r="AA25" s="33">
        <f>COUNTIFS('來案暨出貨明細表-基因檢測(201904起'!$P:$P,$A25&amp;"*",'來案暨出貨明細表-基因檢測(201904起'!$B:$B,AA$1)*$B25+COUNTIFS('來案暨出貨明細表-基因檢測(201904起'!$P:$P,$A25&amp;"*",'來案暨出貨明細表-基因檢測(201904起'!$B:$B,AA$1,'來案暨出貨明細表-基因檢測(201904起'!$Q:$Q,"紙本&amp;電子")++COUNTIFS('來案暨出貨明細表-基因檢測(201904起'!$P:$P,$A25&amp;"*",'來案暨出貨明細表-基因檢測(201904起'!$B:$B,AA$1,'來案暨出貨明細表-基因檢測(201904起'!$R:$R,"中英")</f>
        <v>0</v>
      </c>
      <c r="AB25" s="33">
        <f>COUNTIFS('來案暨出貨明細表-基因檢測(201904起'!$P:$P,$A25&amp;"*",'來案暨出貨明細表-基因檢測(201904起'!$B:$B,AB$1)*$B25+COUNTIFS('來案暨出貨明細表-基因檢測(201904起'!$P:$P,$A25&amp;"*",'來案暨出貨明細表-基因檢測(201904起'!$B:$B,AB$1,'來案暨出貨明細表-基因檢測(201904起'!$Q:$Q,"紙本&amp;電子")++COUNTIFS('來案暨出貨明細表-基因檢測(201904起'!$P:$P,$A25&amp;"*",'來案暨出貨明細表-基因檢測(201904起'!$B:$B,AB$1,'來案暨出貨明細表-基因檢測(201904起'!$R:$R,"中英")</f>
        <v>0</v>
      </c>
      <c r="AC25" s="33">
        <f>COUNTIFS('來案暨出貨明細表-基因檢測(201904起'!$P:$P,$A25&amp;"*",'來案暨出貨明細表-基因檢測(201904起'!$B:$B,AC$1)*$B25+COUNTIFS('來案暨出貨明細表-基因檢測(201904起'!$P:$P,$A25&amp;"*",'來案暨出貨明細表-基因檢測(201904起'!$B:$B,AC$1,'來案暨出貨明細表-基因檢測(201904起'!$Q:$Q,"紙本&amp;電子")++COUNTIFS('來案暨出貨明細表-基因檢測(201904起'!$P:$P,$A25&amp;"*",'來案暨出貨明細表-基因檢測(201904起'!$B:$B,AC$1,'來案暨出貨明細表-基因檢測(201904起'!$R:$R,"中英")</f>
        <v>0</v>
      </c>
      <c r="AD25" s="33">
        <f>COUNTIFS('來案暨出貨明細表-基因檢測(201904起'!$P:$P,$A25&amp;"*",'來案暨出貨明細表-基因檢測(201904起'!$B:$B,AD$1)*$B25+COUNTIFS('來案暨出貨明細表-基因檢測(201904起'!$P:$P,$A25&amp;"*",'來案暨出貨明細表-基因檢測(201904起'!$B:$B,AD$1,'來案暨出貨明細表-基因檢測(201904起'!$Q:$Q,"紙本&amp;電子")++COUNTIFS('來案暨出貨明細表-基因檢測(201904起'!$P:$P,$A25&amp;"*",'來案暨出貨明細表-基因檢測(201904起'!$B:$B,AD$1,'來案暨出貨明細表-基因檢測(201904起'!$R:$R,"中英")</f>
        <v>0</v>
      </c>
      <c r="AE25" s="33">
        <f>COUNTIFS('來案暨出貨明細表-基因檢測(201904起'!$P:$P,$A25&amp;"*",'來案暨出貨明細表-基因檢測(201904起'!$B:$B,AE$1)*$B25+COUNTIFS('來案暨出貨明細表-基因檢測(201904起'!$P:$P,$A25&amp;"*",'來案暨出貨明細表-基因檢測(201904起'!$B:$B,AE$1,'來案暨出貨明細表-基因檢測(201904起'!$Q:$Q,"紙本&amp;電子")++COUNTIFS('來案暨出貨明細表-基因檢測(201904起'!$P:$P,$A25&amp;"*",'來案暨出貨明細表-基因檢測(201904起'!$B:$B,AE$1,'來案暨出貨明細表-基因檢測(201904起'!$R:$R,"中英")</f>
        <v>0</v>
      </c>
      <c r="AF25" s="33">
        <f>COUNTIFS('來案暨出貨明細表-基因檢測(201904起'!$P:$P,$A25&amp;"*",'來案暨出貨明細表-基因檢測(201904起'!$B:$B,AF$1)*$B25+COUNTIFS('來案暨出貨明細表-基因檢測(201904起'!$P:$P,$A25&amp;"*",'來案暨出貨明細表-基因檢測(201904起'!$B:$B,AF$1,'來案暨出貨明細表-基因檢測(201904起'!$Q:$Q,"紙本&amp;電子")++COUNTIFS('來案暨出貨明細表-基因檢測(201904起'!$P:$P,$A25&amp;"*",'來案暨出貨明細表-基因檢測(201904起'!$B:$B,AF$1,'來案暨出貨明細表-基因檢測(201904起'!$R:$R,"中英")</f>
        <v>0</v>
      </c>
      <c r="AG25" s="33">
        <f>COUNTIFS('來案暨出貨明細表-基因檢測(201904起'!$P:$P,$A25&amp;"*",'來案暨出貨明細表-基因檢測(201904起'!$B:$B,AG$1)*$B25+COUNTIFS('來案暨出貨明細表-基因檢測(201904起'!$P:$P,$A25&amp;"*",'來案暨出貨明細表-基因檢測(201904起'!$B:$B,AG$1,'來案暨出貨明細表-基因檢測(201904起'!$Q:$Q,"紙本&amp;電子")++COUNTIFS('來案暨出貨明細表-基因檢測(201904起'!$P:$P,$A25&amp;"*",'來案暨出貨明細表-基因檢測(201904起'!$B:$B,AG$1,'來案暨出貨明細表-基因檢測(201904起'!$R:$R,"中英")</f>
        <v>0</v>
      </c>
      <c r="AH25" s="33">
        <f>COUNTIFS('來案暨出貨明細表-基因檢測(201904起'!$P:$P,$A25&amp;"*",'來案暨出貨明細表-基因檢測(201904起'!$B:$B,AH$1)*$B25+COUNTIFS('來案暨出貨明細表-基因檢測(201904起'!$P:$P,$A25&amp;"*",'來案暨出貨明細表-基因檢測(201904起'!$B:$B,AH$1,'來案暨出貨明細表-基因檢測(201904起'!$Q:$Q,"紙本&amp;電子")++COUNTIFS('來案暨出貨明細表-基因檢測(201904起'!$P:$P,$A25&amp;"*",'來案暨出貨明細表-基因檢測(201904起'!$B:$B,AH$1,'來案暨出貨明細表-基因檢測(201904起'!$R:$R,"中英")</f>
        <v>0</v>
      </c>
      <c r="AI25" s="33">
        <f>COUNTIFS('來案暨出貨明細表-基因檢測(201904起'!$P:$P,$A25&amp;"*",'來案暨出貨明細表-基因檢測(201904起'!$B:$B,AI$1)*$B25+COUNTIFS('來案暨出貨明細表-基因檢測(201904起'!$P:$P,$A25&amp;"*",'來案暨出貨明細表-基因檢測(201904起'!$B:$B,AI$1,'來案暨出貨明細表-基因檢測(201904起'!$Q:$Q,"紙本&amp;電子")++COUNTIFS('來案暨出貨明細表-基因檢測(201904起'!$P:$P,$A25&amp;"*",'來案暨出貨明細表-基因檢測(201904起'!$B:$B,AI$1,'來案暨出貨明細表-基因檢測(201904起'!$R:$R,"中英")</f>
        <v>0</v>
      </c>
      <c r="AJ25" s="33">
        <f>COUNTIFS('來案暨出貨明細表-基因檢測(201904起'!$P:$P,$A25&amp;"*",'來案暨出貨明細表-基因檢測(201904起'!$B:$B,AJ$1)*$B25+COUNTIFS('來案暨出貨明細表-基因檢測(201904起'!$P:$P,$A25&amp;"*",'來案暨出貨明細表-基因檢測(201904起'!$B:$B,AJ$1,'來案暨出貨明細表-基因檢測(201904起'!$Q:$Q,"紙本&amp;電子")++COUNTIFS('來案暨出貨明細表-基因檢測(201904起'!$P:$P,$A25&amp;"*",'來案暨出貨明細表-基因檢測(201904起'!$B:$B,AJ$1,'來案暨出貨明細表-基因檢測(201904起'!$R:$R,"中英")</f>
        <v>0</v>
      </c>
      <c r="AK25" s="33">
        <f>COUNTIFS('來案暨出貨明細表-基因檢測(201904起'!$P:$P,$A25&amp;"*",'來案暨出貨明細表-基因檢測(201904起'!$B:$B,AK$1)*$B25+COUNTIFS('來案暨出貨明細表-基因檢測(201904起'!$P:$P,$A25&amp;"*",'來案暨出貨明細表-基因檢測(201904起'!$B:$B,AK$1,'來案暨出貨明細表-基因檢測(201904起'!$Q:$Q,"紙本&amp;電子")++COUNTIFS('來案暨出貨明細表-基因檢測(201904起'!$P:$P,$A25&amp;"*",'來案暨出貨明細表-基因檢測(201904起'!$B:$B,AK$1,'來案暨出貨明細表-基因檢測(201904起'!$R:$R,"中英")</f>
        <v>0</v>
      </c>
      <c r="AL25" s="33">
        <f>COUNTIFS('來案暨出貨明細表-基因檢測(201904起'!$P:$P,$A25&amp;"*",'來案暨出貨明細表-基因檢測(201904起'!$B:$B,AL$1)*$B25+COUNTIFS('來案暨出貨明細表-基因檢測(201904起'!$P:$P,$A25&amp;"*",'來案暨出貨明細表-基因檢測(201904起'!$B:$B,AL$1,'來案暨出貨明細表-基因檢測(201904起'!$Q:$Q,"紙本&amp;電子")++COUNTIFS('來案暨出貨明細表-基因檢測(201904起'!$P:$P,$A25&amp;"*",'來案暨出貨明細表-基因檢測(201904起'!$B:$B,AL$1,'來案暨出貨明細表-基因檢測(201904起'!$R:$R,"中英")</f>
        <v>0</v>
      </c>
      <c r="AM25" s="33">
        <f>COUNTIFS('來案暨出貨明細表-基因檢測(201904起'!$P:$P,$A25&amp;"*",'來案暨出貨明細表-基因檢測(201904起'!$B:$B,AM$1)*$B25+COUNTIFS('來案暨出貨明細表-基因檢測(201904起'!$P:$P,$A25&amp;"*",'來案暨出貨明細表-基因檢測(201904起'!$B:$B,AM$1,'來案暨出貨明細表-基因檢測(201904起'!$Q:$Q,"紙本&amp;電子")++COUNTIFS('來案暨出貨明細表-基因檢測(201904起'!$P:$P,$A25&amp;"*",'來案暨出貨明細表-基因檢測(201904起'!$B:$B,AM$1,'來案暨出貨明細表-基因檢測(201904起'!$R:$R,"中英")</f>
        <v>0</v>
      </c>
      <c r="AN25" s="33">
        <f>COUNTIFS('來案暨出貨明細表-基因檢測(201904起'!$P:$P,$A25&amp;"*",'來案暨出貨明細表-基因檢測(201904起'!$B:$B,AN$1)*$B25+COUNTIFS('來案暨出貨明細表-基因檢測(201904起'!$P:$P,$A25&amp;"*",'來案暨出貨明細表-基因檢測(201904起'!$B:$B,AN$1,'來案暨出貨明細表-基因檢測(201904起'!$Q:$Q,"紙本&amp;電子")++COUNTIFS('來案暨出貨明細表-基因檢測(201904起'!$P:$P,$A25&amp;"*",'來案暨出貨明細表-基因檢測(201904起'!$B:$B,AN$1,'來案暨出貨明細表-基因檢測(201904起'!$R:$R,"中英")</f>
        <v>0</v>
      </c>
      <c r="AO25" s="33">
        <f>COUNTIFS('來案暨出貨明細表-基因檢測(201904起'!$P:$P,$A25&amp;"*",'來案暨出貨明細表-基因檢測(201904起'!$B:$B,AO$1)*$B25+COUNTIFS('來案暨出貨明細表-基因檢測(201904起'!$P:$P,$A25&amp;"*",'來案暨出貨明細表-基因檢測(201904起'!$B:$B,AO$1,'來案暨出貨明細表-基因檢測(201904起'!$Q:$Q,"紙本&amp;電子")++COUNTIFS('來案暨出貨明細表-基因檢測(201904起'!$P:$P,$A25&amp;"*",'來案暨出貨明細表-基因檢測(201904起'!$B:$B,AO$1,'來案暨出貨明細表-基因檢測(201904起'!$R:$R,"中英")</f>
        <v>0</v>
      </c>
      <c r="AP25" s="33">
        <f>COUNTIFS('來案暨出貨明細表-基因檢測(201904起'!$P:$P,$A25&amp;"*",'來案暨出貨明細表-基因檢測(201904起'!$B:$B,AP$1)*$B25+COUNTIFS('來案暨出貨明細表-基因檢測(201904起'!$P:$P,$A25&amp;"*",'來案暨出貨明細表-基因檢測(201904起'!$B:$B,AP$1,'來案暨出貨明細表-基因檢測(201904起'!$Q:$Q,"紙本&amp;電子")++COUNTIFS('來案暨出貨明細表-基因檢測(201904起'!$P:$P,$A25&amp;"*",'來案暨出貨明細表-基因檢測(201904起'!$B:$B,AP$1,'來案暨出貨明細表-基因檢測(201904起'!$R:$R,"中英")</f>
        <v>0</v>
      </c>
      <c r="AQ25" s="33">
        <f>COUNTIFS('來案暨出貨明細表-基因檢測(201904起'!$P:$P,$A25&amp;"*",'來案暨出貨明細表-基因檢測(201904起'!$B:$B,AQ$1)*$B25+COUNTIFS('來案暨出貨明細表-基因檢測(201904起'!$P:$P,$A25&amp;"*",'來案暨出貨明細表-基因檢測(201904起'!$B:$B,AQ$1,'來案暨出貨明細表-基因檢測(201904起'!$Q:$Q,"紙本&amp;電子")++COUNTIFS('來案暨出貨明細表-基因檢測(201904起'!$P:$P,$A25&amp;"*",'來案暨出貨明細表-基因檢測(201904起'!$B:$B,AQ$1,'來案暨出貨明細表-基因檢測(201904起'!$R:$R,"中英")</f>
        <v>0</v>
      </c>
      <c r="AR25" s="33">
        <f>COUNTIFS('來案暨出貨明細表-基因檢測(201904起'!$P:$P,$A25&amp;"*",'來案暨出貨明細表-基因檢測(201904起'!$B:$B,AR$1)*$B25+COUNTIFS('來案暨出貨明細表-基因檢測(201904起'!$P:$P,$A25&amp;"*",'來案暨出貨明細表-基因檢測(201904起'!$B:$B,AR$1,'來案暨出貨明細表-基因檢測(201904起'!$Q:$Q,"紙本&amp;電子")++COUNTIFS('來案暨出貨明細表-基因檢測(201904起'!$P:$P,$A25&amp;"*",'來案暨出貨明細表-基因檢測(201904起'!$B:$B,AR$1,'來案暨出貨明細表-基因檢測(201904起'!$R:$R,"中英")</f>
        <v>0</v>
      </c>
      <c r="AS25" s="33">
        <f>COUNTIFS('來案暨出貨明細表-基因檢測(201904起'!$P:$P,$A25&amp;"*",'來案暨出貨明細表-基因檢測(201904起'!$B:$B,AS$1)*$B25+COUNTIFS('來案暨出貨明細表-基因檢測(201904起'!$P:$P,$A25&amp;"*",'來案暨出貨明細表-基因檢測(201904起'!$B:$B,AS$1,'來案暨出貨明細表-基因檢測(201904起'!$Q:$Q,"紙本&amp;電子")++COUNTIFS('來案暨出貨明細表-基因檢測(201904起'!$P:$P,$A25&amp;"*",'來案暨出貨明細表-基因檢測(201904起'!$B:$B,AS$1,'來案暨出貨明細表-基因檢測(201904起'!$R:$R,"中英")</f>
        <v>0</v>
      </c>
      <c r="AT25" s="33">
        <f>COUNTIFS('來案暨出貨明細表-基因檢測(201904起'!$P:$P,$A25&amp;"*",'來案暨出貨明細表-基因檢測(201904起'!$B:$B,AT$1)*$B25+COUNTIFS('來案暨出貨明細表-基因檢測(201904起'!$P:$P,$A25&amp;"*",'來案暨出貨明細表-基因檢測(201904起'!$B:$B,AT$1,'來案暨出貨明細表-基因檢測(201904起'!$Q:$Q,"紙本&amp;電子")++COUNTIFS('來案暨出貨明細表-基因檢測(201904起'!$P:$P,$A25&amp;"*",'來案暨出貨明細表-基因檢測(201904起'!$B:$B,AT$1,'來案暨出貨明細表-基因檢測(201904起'!$R:$R,"中英")</f>
        <v>0</v>
      </c>
      <c r="AU25" s="33">
        <f>COUNTIFS('來案暨出貨明細表-基因檢測(201904起'!$P:$P,$A25&amp;"*",'來案暨出貨明細表-基因檢測(201904起'!$B:$B,AU$1)*$B25+COUNTIFS('來案暨出貨明細表-基因檢測(201904起'!$P:$P,$A25&amp;"*",'來案暨出貨明細表-基因檢測(201904起'!$B:$B,AU$1,'來案暨出貨明細表-基因檢測(201904起'!$Q:$Q,"紙本&amp;電子")++COUNTIFS('來案暨出貨明細表-基因檢測(201904起'!$P:$P,$A25&amp;"*",'來案暨出貨明細表-基因檢測(201904起'!$B:$B,AU$1,'來案暨出貨明細表-基因檢測(201904起'!$R:$R,"中英")</f>
        <v>0</v>
      </c>
      <c r="AV25" s="33">
        <f>COUNTIFS('來案暨出貨明細表-基因檢測(201904起'!$P:$P,$A25&amp;"*",'來案暨出貨明細表-基因檢測(201904起'!$B:$B,AV$1)*$B25+COUNTIFS('來案暨出貨明細表-基因檢測(201904起'!$P:$P,$A25&amp;"*",'來案暨出貨明細表-基因檢測(201904起'!$B:$B,AV$1,'來案暨出貨明細表-基因檢測(201904起'!$Q:$Q,"紙本&amp;電子")++COUNTIFS('來案暨出貨明細表-基因檢測(201904起'!$P:$P,$A25&amp;"*",'來案暨出貨明細表-基因檢測(201904起'!$B:$B,AV$1,'來案暨出貨明細表-基因檢測(201904起'!$R:$R,"中英")</f>
        <v>0</v>
      </c>
      <c r="AW25" s="33">
        <f>COUNTIFS('來案暨出貨明細表-基因檢測(201904起'!$P:$P,$A25&amp;"*",'來案暨出貨明細表-基因檢測(201904起'!$B:$B,AW$1)*$B25+COUNTIFS('來案暨出貨明細表-基因檢測(201904起'!$P:$P,$A25&amp;"*",'來案暨出貨明細表-基因檢測(201904起'!$B:$B,AW$1,'來案暨出貨明細表-基因檢測(201904起'!$Q:$Q,"紙本&amp;電子")++COUNTIFS('來案暨出貨明細表-基因檢測(201904起'!$P:$P,$A25&amp;"*",'來案暨出貨明細表-基因檢測(201904起'!$B:$B,AW$1,'來案暨出貨明細表-基因檢測(201904起'!$R:$R,"中英")</f>
        <v>0</v>
      </c>
      <c r="AX25" s="33">
        <f>COUNTIFS('來案暨出貨明細表-基因檢測(201904起'!$P:$P,$A25&amp;"*",'來案暨出貨明細表-基因檢測(201904起'!$B:$B,AX$1)*$B25+COUNTIFS('來案暨出貨明細表-基因檢測(201904起'!$P:$P,$A25&amp;"*",'來案暨出貨明細表-基因檢測(201904起'!$B:$B,AX$1,'來案暨出貨明細表-基因檢測(201904起'!$Q:$Q,"紙本&amp;電子")++COUNTIFS('來案暨出貨明細表-基因檢測(201904起'!$P:$P,$A25&amp;"*",'來案暨出貨明細表-基因檢測(201904起'!$B:$B,AX$1,'來案暨出貨明細表-基因檢測(201904起'!$R:$R,"中英")</f>
        <v>0</v>
      </c>
      <c r="AY25" s="33">
        <f>COUNTIFS('來案暨出貨明細表-基因檢測(201904起'!$P:$P,$A25&amp;"*",'來案暨出貨明細表-基因檢測(201904起'!$B:$B,AY$1)*$B25+COUNTIFS('來案暨出貨明細表-基因檢測(201904起'!$P:$P,$A25&amp;"*",'來案暨出貨明細表-基因檢測(201904起'!$B:$B,AY$1,'來案暨出貨明細表-基因檢測(201904起'!$Q:$Q,"紙本&amp;電子")++COUNTIFS('來案暨出貨明細表-基因檢測(201904起'!$P:$P,$A25&amp;"*",'來案暨出貨明細表-基因檢測(201904起'!$B:$B,AY$1,'來案暨出貨明細表-基因檢測(201904起'!$R:$R,"中英")</f>
        <v>0</v>
      </c>
      <c r="AZ25" s="33">
        <f>COUNTIFS('來案暨出貨明細表-基因檢測(201904起'!$P:$P,$A25&amp;"*",'來案暨出貨明細表-基因檢測(201904起'!$B:$B,AZ$1)*$B25+COUNTIFS('來案暨出貨明細表-基因檢測(201904起'!$P:$P,$A25&amp;"*",'來案暨出貨明細表-基因檢測(201904起'!$B:$B,AZ$1,'來案暨出貨明細表-基因檢測(201904起'!$Q:$Q,"紙本&amp;電子")++COUNTIFS('來案暨出貨明細表-基因檢測(201904起'!$P:$P,$A25&amp;"*",'來案暨出貨明細表-基因檢測(201904起'!$B:$B,AZ$1,'來案暨出貨明細表-基因檢測(201904起'!$R:$R,"中英")</f>
        <v>0</v>
      </c>
      <c r="BA25" s="33">
        <f>COUNTIFS('來案暨出貨明細表-基因檢測(201904起'!$P:$P,$A25&amp;"*",'來案暨出貨明細表-基因檢測(201904起'!$B:$B,BA$1)*$B25+COUNTIFS('來案暨出貨明細表-基因檢測(201904起'!$P:$P,$A25&amp;"*",'來案暨出貨明細表-基因檢測(201904起'!$B:$B,BA$1,'來案暨出貨明細表-基因檢測(201904起'!$Q:$Q,"紙本&amp;電子")++COUNTIFS('來案暨出貨明細表-基因檢測(201904起'!$P:$P,$A25&amp;"*",'來案暨出貨明細表-基因檢測(201904起'!$B:$B,BA$1,'來案暨出貨明細表-基因檢測(201904起'!$R:$R,"中英")</f>
        <v>0</v>
      </c>
      <c r="BB25" s="33">
        <f>COUNTIFS('來案暨出貨明細表-基因檢測(201904起'!$P:$P,$A25&amp;"*",'來案暨出貨明細表-基因檢測(201904起'!$B:$B,BB$1)*$B25+COUNTIFS('來案暨出貨明細表-基因檢測(201904起'!$P:$P,$A25&amp;"*",'來案暨出貨明細表-基因檢測(201904起'!$B:$B,BB$1,'來案暨出貨明細表-基因檢測(201904起'!$Q:$Q,"紙本&amp;電子")++COUNTIFS('來案暨出貨明細表-基因檢測(201904起'!$P:$P,$A25&amp;"*",'來案暨出貨明細表-基因檢測(201904起'!$B:$B,BB$1,'來案暨出貨明細表-基因檢測(201904起'!$R:$R,"中英")</f>
        <v>0</v>
      </c>
      <c r="BC25" s="33">
        <f>COUNTIFS('來案暨出貨明細表-基因檢測(201904起'!$P:$P,$A25&amp;"*",'來案暨出貨明細表-基因檢測(201904起'!$B:$B,BC$1)*$B25+COUNTIFS('來案暨出貨明細表-基因檢測(201904起'!$P:$P,$A25&amp;"*",'來案暨出貨明細表-基因檢測(201904起'!$B:$B,BC$1,'來案暨出貨明細表-基因檢測(201904起'!$Q:$Q,"紙本&amp;電子")++COUNTIFS('來案暨出貨明細表-基因檢測(201904起'!$P:$P,$A25&amp;"*",'來案暨出貨明細表-基因檢測(201904起'!$B:$B,BC$1,'來案暨出貨明細表-基因檢測(201904起'!$R:$R,"中英")</f>
        <v>0</v>
      </c>
      <c r="BD25" s="33">
        <f>COUNTIFS('來案暨出貨明細表-基因檢測(201904起'!$P:$P,$A25&amp;"*",'來案暨出貨明細表-基因檢測(201904起'!$B:$B,BD$1)*$B25+COUNTIFS('來案暨出貨明細表-基因檢測(201904起'!$P:$P,$A25&amp;"*",'來案暨出貨明細表-基因檢測(201904起'!$B:$B,BD$1,'來案暨出貨明細表-基因檢測(201904起'!$Q:$Q,"紙本&amp;電子")++COUNTIFS('來案暨出貨明細表-基因檢測(201904起'!$P:$P,$A25&amp;"*",'來案暨出貨明細表-基因檢測(201904起'!$B:$B,BD$1,'來案暨出貨明細表-基因檢測(201904起'!$R:$R,"中英")</f>
        <v>0</v>
      </c>
      <c r="BE25" s="33">
        <f>COUNTIFS('來案暨出貨明細表-基因檢測(201904起'!$P:$P,$A25&amp;"*",'來案暨出貨明細表-基因檢測(201904起'!$B:$B,BE$1)*$B25+COUNTIFS('來案暨出貨明細表-基因檢測(201904起'!$P:$P,$A25&amp;"*",'來案暨出貨明細表-基因檢測(201904起'!$B:$B,BE$1,'來案暨出貨明細表-基因檢測(201904起'!$Q:$Q,"紙本&amp;電子")++COUNTIFS('來案暨出貨明細表-基因檢測(201904起'!$P:$P,$A25&amp;"*",'來案暨出貨明細表-基因檢測(201904起'!$B:$B,BE$1,'來案暨出貨明細表-基因檢測(201904起'!$R:$R,"中英")</f>
        <v>0</v>
      </c>
      <c r="BF25" s="33">
        <f>COUNTIFS('來案暨出貨明細表-基因檢測(201904起'!$P:$P,$A25&amp;"*",'來案暨出貨明細表-基因檢測(201904起'!$B:$B,BF$1)*$B25+COUNTIFS('來案暨出貨明細表-基因檢測(201904起'!$P:$P,$A25&amp;"*",'來案暨出貨明細表-基因檢測(201904起'!$B:$B,BF$1,'來案暨出貨明細表-基因檢測(201904起'!$Q:$Q,"紙本&amp;電子")++COUNTIFS('來案暨出貨明細表-基因檢測(201904起'!$P:$P,$A25&amp;"*",'來案暨出貨明細表-基因檢測(201904起'!$B:$B,BF$1,'來案暨出貨明細表-基因檢測(201904起'!$R:$R,"中英")</f>
        <v>0</v>
      </c>
      <c r="BG25" s="33">
        <f>COUNTIFS('來案暨出貨明細表-基因檢測(201904起'!$P:$P,$A25&amp;"*",'來案暨出貨明細表-基因檢測(201904起'!$B:$B,BG$1)*$B25+COUNTIFS('來案暨出貨明細表-基因檢測(201904起'!$P:$P,$A25&amp;"*",'來案暨出貨明細表-基因檢測(201904起'!$B:$B,BG$1,'來案暨出貨明細表-基因檢測(201904起'!$Q:$Q,"紙本&amp;電子")++COUNTIFS('來案暨出貨明細表-基因檢測(201904起'!$P:$P,$A25&amp;"*",'來案暨出貨明細表-基因檢測(201904起'!$B:$B,BG$1,'來案暨出貨明細表-基因檢測(201904起'!$R:$R,"中英")</f>
        <v>0</v>
      </c>
      <c r="BH25" s="33">
        <f>COUNTIFS('來案暨出貨明細表-基因檢測(201904起'!$P:$P,$A25&amp;"*",'來案暨出貨明細表-基因檢測(201904起'!$B:$B,BH$1)*$B25+COUNTIFS('來案暨出貨明細表-基因檢測(201904起'!$P:$P,$A25&amp;"*",'來案暨出貨明細表-基因檢測(201904起'!$B:$B,BH$1,'來案暨出貨明細表-基因檢測(201904起'!$Q:$Q,"紙本&amp;電子")++COUNTIFS('來案暨出貨明細表-基因檢測(201904起'!$P:$P,$A25&amp;"*",'來案暨出貨明細表-基因檢測(201904起'!$B:$B,BH$1,'來案暨出貨明細表-基因檢測(201904起'!$R:$R,"中英")</f>
        <v>0</v>
      </c>
      <c r="BI25" s="33">
        <f>COUNTIFS('來案暨出貨明細表-基因檢測(201904起'!$P:$P,$A25&amp;"*",'來案暨出貨明細表-基因檢測(201904起'!$B:$B,BI$1)*$B25+COUNTIFS('來案暨出貨明細表-基因檢測(201904起'!$P:$P,$A25&amp;"*",'來案暨出貨明細表-基因檢測(201904起'!$B:$B,BI$1,'來案暨出貨明細表-基因檢測(201904起'!$Q:$Q,"紙本&amp;電子")++COUNTIFS('來案暨出貨明細表-基因檢測(201904起'!$P:$P,$A25&amp;"*",'來案暨出貨明細表-基因檢測(201904起'!$B:$B,BI$1,'來案暨出貨明細表-基因檢測(201904起'!$R:$R,"中英")</f>
        <v>0</v>
      </c>
      <c r="BJ25" s="33">
        <f>COUNTIFS('來案暨出貨明細表-基因檢測(201904起'!$P:$P,$A25&amp;"*",'來案暨出貨明細表-基因檢測(201904起'!$B:$B,BJ$1)*$B25+COUNTIFS('來案暨出貨明細表-基因檢測(201904起'!$P:$P,$A25&amp;"*",'來案暨出貨明細表-基因檢測(201904起'!$B:$B,BJ$1,'來案暨出貨明細表-基因檢測(201904起'!$Q:$Q,"紙本&amp;電子")++COUNTIFS('來案暨出貨明細表-基因檢測(201904起'!$P:$P,$A25&amp;"*",'來案暨出貨明細表-基因檢測(201904起'!$B:$B,BJ$1,'來案暨出貨明細表-基因檢測(201904起'!$R:$R,"中英")</f>
        <v>0</v>
      </c>
      <c r="BK25" s="33">
        <f>COUNTIFS('來案暨出貨明細表-基因檢測(201904起'!$P:$P,$A25&amp;"*",'來案暨出貨明細表-基因檢測(201904起'!$B:$B,BK$1)*$B25+COUNTIFS('來案暨出貨明細表-基因檢測(201904起'!$P:$P,$A25&amp;"*",'來案暨出貨明細表-基因檢測(201904起'!$B:$B,BK$1,'來案暨出貨明細表-基因檢測(201904起'!$Q:$Q,"紙本&amp;電子")++COUNTIFS('來案暨出貨明細表-基因檢測(201904起'!$P:$P,$A25&amp;"*",'來案暨出貨明細表-基因檢測(201904起'!$B:$B,BK$1,'來案暨出貨明細表-基因檢測(201904起'!$R:$R,"中英")</f>
        <v>0</v>
      </c>
      <c r="BL25" s="33">
        <f>COUNTIFS('來案暨出貨明細表-基因檢測(201904起'!$P:$P,$A25&amp;"*",'來案暨出貨明細表-基因檢測(201904起'!$B:$B,BL$1)*$B25+COUNTIFS('來案暨出貨明細表-基因檢測(201904起'!$P:$P,$A25&amp;"*",'來案暨出貨明細表-基因檢測(201904起'!$B:$B,BL$1,'來案暨出貨明細表-基因檢測(201904起'!$Q:$Q,"紙本&amp;電子")++COUNTIFS('來案暨出貨明細表-基因檢測(201904起'!$P:$P,$A25&amp;"*",'來案暨出貨明細表-基因檢測(201904起'!$B:$B,BL$1,'來案暨出貨明細表-基因檢測(201904起'!$R:$R,"中英")</f>
        <v>0</v>
      </c>
      <c r="BM25" s="33">
        <f>COUNTIFS('來案暨出貨明細表-基因檢測(201904起'!$P:$P,$A25&amp;"*",'來案暨出貨明細表-基因檢測(201904起'!$B:$B,BM$1)*$B25+COUNTIFS('來案暨出貨明細表-基因檢測(201904起'!$P:$P,$A25&amp;"*",'來案暨出貨明細表-基因檢測(201904起'!$B:$B,BM$1,'來案暨出貨明細表-基因檢測(201904起'!$Q:$Q,"紙本&amp;電子")++COUNTIFS('來案暨出貨明細表-基因檢測(201904起'!$P:$P,$A25&amp;"*",'來案暨出貨明細表-基因檢測(201904起'!$B:$B,BM$1,'來案暨出貨明細表-基因檢測(201904起'!$R:$R,"中英")</f>
        <v>0</v>
      </c>
    </row>
    <row r="26" spans="1:65" ht="15" customHeight="1">
      <c r="A26" s="9" t="s">
        <v>4540</v>
      </c>
      <c r="B26" s="9">
        <v>1</v>
      </c>
      <c r="C26" s="13" t="s">
        <v>4541</v>
      </c>
      <c r="D26" s="142" t="s">
        <v>4542</v>
      </c>
      <c r="E26" s="33">
        <f>COUNTIFS('來案暨出貨明細表-基因檢測(201904起'!$P:$P,$A26&amp;"*",'來案暨出貨明細表-基因檢測(201904起'!$B:$B,E$1)*$B26+COUNTIFS('來案暨出貨明細表-基因檢測(201904起'!$P:$P,$A26&amp;"*",'來案暨出貨明細表-基因檢測(201904起'!$B:$B,E$1,'來案暨出貨明細表-基因檢測(201904起'!$Q:$Q,"紙本&amp;電子")++COUNTIFS('來案暨出貨明細表-基因檢測(201904起'!$P:$P,$A26&amp;"*",'來案暨出貨明細表-基因檢測(201904起'!$B:$B,E$1,'來案暨出貨明細表-基因檢測(201904起'!$R:$R,"中英")</f>
        <v>0</v>
      </c>
      <c r="F26" s="33">
        <f>COUNTIFS('來案暨出貨明細表-基因檢測(201904起'!$P:$P,$A26&amp;"*",'來案暨出貨明細表-基因檢測(201904起'!$B:$B,F$1)*$B26+COUNTIFS('來案暨出貨明細表-基因檢測(201904起'!$P:$P,$A26&amp;"*",'來案暨出貨明細表-基因檢測(201904起'!$B:$B,F$1,'來案暨出貨明細表-基因檢測(201904起'!$Q:$Q,"紙本&amp;電子")++COUNTIFS('來案暨出貨明細表-基因檢測(201904起'!$P:$P,$A26&amp;"*",'來案暨出貨明細表-基因檢測(201904起'!$B:$B,F$1,'來案暨出貨明細表-基因檢測(201904起'!$R:$R,"中英")</f>
        <v>0</v>
      </c>
      <c r="G26" s="33">
        <f>COUNTIFS('來案暨出貨明細表-基因檢測(201904起'!$P:$P,$A26&amp;"*",'來案暨出貨明細表-基因檢測(201904起'!$B:$B,G$1)*$B26+COUNTIFS('來案暨出貨明細表-基因檢測(201904起'!$P:$P,$A26&amp;"*",'來案暨出貨明細表-基因檢測(201904起'!$B:$B,G$1,'來案暨出貨明細表-基因檢測(201904起'!$Q:$Q,"紙本&amp;電子")++COUNTIFS('來案暨出貨明細表-基因檢測(201904起'!$P:$P,$A26&amp;"*",'來案暨出貨明細表-基因檢測(201904起'!$B:$B,G$1,'來案暨出貨明細表-基因檢測(201904起'!$R:$R,"中英")</f>
        <v>0</v>
      </c>
      <c r="H26" s="33">
        <f>COUNTIFS('來案暨出貨明細表-基因檢測(201904起'!$P:$P,$A26&amp;"*",'來案暨出貨明細表-基因檢測(201904起'!$B:$B,H$1)*$B26+COUNTIFS('來案暨出貨明細表-基因檢測(201904起'!$P:$P,$A26&amp;"*",'來案暨出貨明細表-基因檢測(201904起'!$B:$B,H$1,'來案暨出貨明細表-基因檢測(201904起'!$Q:$Q,"紙本&amp;電子")++COUNTIFS('來案暨出貨明細表-基因檢測(201904起'!$P:$P,$A26&amp;"*",'來案暨出貨明細表-基因檢測(201904起'!$B:$B,H$1,'來案暨出貨明細表-基因檢測(201904起'!$R:$R,"中英")</f>
        <v>0</v>
      </c>
      <c r="I26" s="33">
        <f>COUNTIFS('來案暨出貨明細表-基因檢測(201904起'!$P:$P,$A26&amp;"*",'來案暨出貨明細表-基因檢測(201904起'!$B:$B,I$1)*$B26+COUNTIFS('來案暨出貨明細表-基因檢測(201904起'!$P:$P,$A26&amp;"*",'來案暨出貨明細表-基因檢測(201904起'!$B:$B,I$1,'來案暨出貨明細表-基因檢測(201904起'!$Q:$Q,"紙本&amp;電子")++COUNTIFS('來案暨出貨明細表-基因檢測(201904起'!$P:$P,$A26&amp;"*",'來案暨出貨明細表-基因檢測(201904起'!$B:$B,I$1,'來案暨出貨明細表-基因檢測(201904起'!$R:$R,"中英")</f>
        <v>0</v>
      </c>
      <c r="J26" s="33">
        <f>COUNTIFS('來案暨出貨明細表-基因檢測(201904起'!$P:$P,$A26&amp;"*",'來案暨出貨明細表-基因檢測(201904起'!$B:$B,J$1)*$B26+COUNTIFS('來案暨出貨明細表-基因檢測(201904起'!$P:$P,$A26&amp;"*",'來案暨出貨明細表-基因檢測(201904起'!$B:$B,J$1,'來案暨出貨明細表-基因檢測(201904起'!$Q:$Q,"紙本&amp;電子")++COUNTIFS('來案暨出貨明細表-基因檢測(201904起'!$P:$P,$A26&amp;"*",'來案暨出貨明細表-基因檢測(201904起'!$B:$B,J$1,'來案暨出貨明細表-基因檢測(201904起'!$R:$R,"中英")</f>
        <v>0</v>
      </c>
      <c r="K26" s="33">
        <f>COUNTIFS('來案暨出貨明細表-基因檢測(201904起'!$P:$P,$A26&amp;"*",'來案暨出貨明細表-基因檢測(201904起'!$B:$B,K$1)*$B26+COUNTIFS('來案暨出貨明細表-基因檢測(201904起'!$P:$P,$A26&amp;"*",'來案暨出貨明細表-基因檢測(201904起'!$B:$B,K$1,'來案暨出貨明細表-基因檢測(201904起'!$Q:$Q,"紙本&amp;電子")++COUNTIFS('來案暨出貨明細表-基因檢測(201904起'!$P:$P,$A26&amp;"*",'來案暨出貨明細表-基因檢測(201904起'!$B:$B,K$1,'來案暨出貨明細表-基因檢測(201904起'!$R:$R,"中英")</f>
        <v>0</v>
      </c>
      <c r="L26" s="33">
        <f>COUNTIFS('來案暨出貨明細表-基因檢測(201904起'!$P:$P,$A26&amp;"*",'來案暨出貨明細表-基因檢測(201904起'!$B:$B,L$1)*$B26+COUNTIFS('來案暨出貨明細表-基因檢測(201904起'!$P:$P,$A26&amp;"*",'來案暨出貨明細表-基因檢測(201904起'!$B:$B,L$1,'來案暨出貨明細表-基因檢測(201904起'!$Q:$Q,"紙本&amp;電子")++COUNTIFS('來案暨出貨明細表-基因檢測(201904起'!$P:$P,$A26&amp;"*",'來案暨出貨明細表-基因檢測(201904起'!$B:$B,L$1,'來案暨出貨明細表-基因檢測(201904起'!$R:$R,"中英")</f>
        <v>0</v>
      </c>
      <c r="M26" s="33">
        <f>COUNTIFS('來案暨出貨明細表-基因檢測(201904起'!$P:$P,$A26&amp;"*",'來案暨出貨明細表-基因檢測(201904起'!$B:$B,M$1)*$B26+COUNTIFS('來案暨出貨明細表-基因檢測(201904起'!$P:$P,$A26&amp;"*",'來案暨出貨明細表-基因檢測(201904起'!$B:$B,M$1,'來案暨出貨明細表-基因檢測(201904起'!$Q:$Q,"紙本&amp;電子")++COUNTIFS('來案暨出貨明細表-基因檢測(201904起'!$P:$P,$A26&amp;"*",'來案暨出貨明細表-基因檢測(201904起'!$B:$B,M$1,'來案暨出貨明細表-基因檢測(201904起'!$R:$R,"中英")</f>
        <v>0</v>
      </c>
      <c r="N26" s="33">
        <f>COUNTIFS('來案暨出貨明細表-基因檢測(201904起'!$P:$P,$A26&amp;"*",'來案暨出貨明細表-基因檢測(201904起'!$B:$B,N$1)*$B26+COUNTIFS('來案暨出貨明細表-基因檢測(201904起'!$P:$P,$A26&amp;"*",'來案暨出貨明細表-基因檢測(201904起'!$B:$B,N$1,'來案暨出貨明細表-基因檢測(201904起'!$Q:$Q,"紙本&amp;電子")++COUNTIFS('來案暨出貨明細表-基因檢測(201904起'!$P:$P,$A26&amp;"*",'來案暨出貨明細表-基因檢測(201904起'!$B:$B,N$1,'來案暨出貨明細表-基因檢測(201904起'!$R:$R,"中英")</f>
        <v>0</v>
      </c>
      <c r="O26" s="33">
        <f>COUNTIFS('來案暨出貨明細表-基因檢測(201904起'!$P:$P,$A26&amp;"*",'來案暨出貨明細表-基因檢測(201904起'!$B:$B,O$1)*$B26+COUNTIFS('來案暨出貨明細表-基因檢測(201904起'!$P:$P,$A26&amp;"*",'來案暨出貨明細表-基因檢測(201904起'!$B:$B,O$1,'來案暨出貨明細表-基因檢測(201904起'!$Q:$Q,"紙本&amp;電子")++COUNTIFS('來案暨出貨明細表-基因檢測(201904起'!$P:$P,$A26&amp;"*",'來案暨出貨明細表-基因檢測(201904起'!$B:$B,O$1,'來案暨出貨明細表-基因檢測(201904起'!$R:$R,"中英")</f>
        <v>0</v>
      </c>
      <c r="P26" s="33">
        <f>COUNTIFS('來案暨出貨明細表-基因檢測(201904起'!$P:$P,$A26&amp;"*",'來案暨出貨明細表-基因檢測(201904起'!$B:$B,P$1)*$B26+COUNTIFS('來案暨出貨明細表-基因檢測(201904起'!$P:$P,$A26&amp;"*",'來案暨出貨明細表-基因檢測(201904起'!$B:$B,P$1,'來案暨出貨明細表-基因檢測(201904起'!$Q:$Q,"紙本&amp;電子")++COUNTIFS('來案暨出貨明細表-基因檢測(201904起'!$P:$P,$A26&amp;"*",'來案暨出貨明細表-基因檢測(201904起'!$B:$B,P$1,'來案暨出貨明細表-基因檢測(201904起'!$R:$R,"中英")</f>
        <v>0</v>
      </c>
      <c r="Q26" s="33">
        <f>COUNTIFS('來案暨出貨明細表-基因檢測(201904起'!$P:$P,$A26&amp;"*",'來案暨出貨明細表-基因檢測(201904起'!$B:$B,Q$1)*$B26+COUNTIFS('來案暨出貨明細表-基因檢測(201904起'!$P:$P,$A26&amp;"*",'來案暨出貨明細表-基因檢測(201904起'!$B:$B,Q$1,'來案暨出貨明細表-基因檢測(201904起'!$Q:$Q,"紙本&amp;電子")++COUNTIFS('來案暨出貨明細表-基因檢測(201904起'!$P:$P,$A26&amp;"*",'來案暨出貨明細表-基因檢測(201904起'!$B:$B,Q$1,'來案暨出貨明細表-基因檢測(201904起'!$R:$R,"中英")</f>
        <v>0</v>
      </c>
      <c r="R26" s="33">
        <f>COUNTIFS('來案暨出貨明細表-基因檢測(201904起'!$P:$P,$A26&amp;"*",'來案暨出貨明細表-基因檢測(201904起'!$B:$B,R$1)*$B26+COUNTIFS('來案暨出貨明細表-基因檢測(201904起'!$P:$P,$A26&amp;"*",'來案暨出貨明細表-基因檢測(201904起'!$B:$B,R$1,'來案暨出貨明細表-基因檢測(201904起'!$Q:$Q,"紙本&amp;電子")++COUNTIFS('來案暨出貨明細表-基因檢測(201904起'!$P:$P,$A26&amp;"*",'來案暨出貨明細表-基因檢測(201904起'!$B:$B,R$1,'來案暨出貨明細表-基因檢測(201904起'!$R:$R,"中英")</f>
        <v>0</v>
      </c>
      <c r="S26" s="33">
        <f>COUNTIFS('來案暨出貨明細表-基因檢測(201904起'!$P:$P,$A26&amp;"*",'來案暨出貨明細表-基因檢測(201904起'!$B:$B,S$1)*$B26+COUNTIFS('來案暨出貨明細表-基因檢測(201904起'!$P:$P,$A26&amp;"*",'來案暨出貨明細表-基因檢測(201904起'!$B:$B,S$1,'來案暨出貨明細表-基因檢測(201904起'!$Q:$Q,"紙本&amp;電子")++COUNTIFS('來案暨出貨明細表-基因檢測(201904起'!$P:$P,$A26&amp;"*",'來案暨出貨明細表-基因檢測(201904起'!$B:$B,S$1,'來案暨出貨明細表-基因檢測(201904起'!$R:$R,"中英")</f>
        <v>0</v>
      </c>
      <c r="T26" s="33">
        <f>COUNTIFS('來案暨出貨明細表-基因檢測(201904起'!$P:$P,$A26&amp;"*",'來案暨出貨明細表-基因檢測(201904起'!$B:$B,T$1)*$B26+COUNTIFS('來案暨出貨明細表-基因檢測(201904起'!$P:$P,$A26&amp;"*",'來案暨出貨明細表-基因檢測(201904起'!$B:$B,T$1,'來案暨出貨明細表-基因檢測(201904起'!$Q:$Q,"紙本&amp;電子")++COUNTIFS('來案暨出貨明細表-基因檢測(201904起'!$P:$P,$A26&amp;"*",'來案暨出貨明細表-基因檢測(201904起'!$B:$B,T$1,'來案暨出貨明細表-基因檢測(201904起'!$R:$R,"中英")</f>
        <v>0</v>
      </c>
      <c r="U26" s="33">
        <f>COUNTIFS('來案暨出貨明細表-基因檢測(201904起'!$P:$P,$A26&amp;"*",'來案暨出貨明細表-基因檢測(201904起'!$B:$B,U$1)*$B26+COUNTIFS('來案暨出貨明細表-基因檢測(201904起'!$P:$P,$A26&amp;"*",'來案暨出貨明細表-基因檢測(201904起'!$B:$B,U$1,'來案暨出貨明細表-基因檢測(201904起'!$Q:$Q,"紙本&amp;電子")++COUNTIFS('來案暨出貨明細表-基因檢測(201904起'!$P:$P,$A26&amp;"*",'來案暨出貨明細表-基因檢測(201904起'!$B:$B,U$1,'來案暨出貨明細表-基因檢測(201904起'!$R:$R,"中英")</f>
        <v>0</v>
      </c>
      <c r="V26" s="33">
        <f>COUNTIFS('來案暨出貨明細表-基因檢測(201904起'!$P:$P,$A26&amp;"*",'來案暨出貨明細表-基因檢測(201904起'!$B:$B,V$1)*$B26+COUNTIFS('來案暨出貨明細表-基因檢測(201904起'!$P:$P,$A26&amp;"*",'來案暨出貨明細表-基因檢測(201904起'!$B:$B,V$1,'來案暨出貨明細表-基因檢測(201904起'!$Q:$Q,"紙本&amp;電子")++COUNTIFS('來案暨出貨明細表-基因檢測(201904起'!$P:$P,$A26&amp;"*",'來案暨出貨明細表-基因檢測(201904起'!$B:$B,V$1,'來案暨出貨明細表-基因檢測(201904起'!$R:$R,"中英")</f>
        <v>0</v>
      </c>
      <c r="W26" s="33">
        <f>COUNTIFS('來案暨出貨明細表-基因檢測(201904起'!$P:$P,$A26&amp;"*",'來案暨出貨明細表-基因檢測(201904起'!$B:$B,W$1)*$B26+COUNTIFS('來案暨出貨明細表-基因檢測(201904起'!$P:$P,$A26&amp;"*",'來案暨出貨明細表-基因檢測(201904起'!$B:$B,W$1,'來案暨出貨明細表-基因檢測(201904起'!$Q:$Q,"紙本&amp;電子")++COUNTIFS('來案暨出貨明細表-基因檢測(201904起'!$P:$P,$A26&amp;"*",'來案暨出貨明細表-基因檢測(201904起'!$B:$B,W$1,'來案暨出貨明細表-基因檢測(201904起'!$R:$R,"中英")</f>
        <v>0</v>
      </c>
      <c r="X26" s="33">
        <f>COUNTIFS('來案暨出貨明細表-基因檢測(201904起'!$P:$P,$A26&amp;"*",'來案暨出貨明細表-基因檢測(201904起'!$B:$B,X$1)*$B26+COUNTIFS('來案暨出貨明細表-基因檢測(201904起'!$P:$P,$A26&amp;"*",'來案暨出貨明細表-基因檢測(201904起'!$B:$B,X$1,'來案暨出貨明細表-基因檢測(201904起'!$Q:$Q,"紙本&amp;電子")++COUNTIFS('來案暨出貨明細表-基因檢測(201904起'!$P:$P,$A26&amp;"*",'來案暨出貨明細表-基因檢測(201904起'!$B:$B,X$1,'來案暨出貨明細表-基因檢測(201904起'!$R:$R,"中英")</f>
        <v>0</v>
      </c>
      <c r="Y26" s="33">
        <f>COUNTIFS('來案暨出貨明細表-基因檢測(201904起'!$P:$P,$A26&amp;"*",'來案暨出貨明細表-基因檢測(201904起'!$B:$B,Y$1)*$B26+COUNTIFS('來案暨出貨明細表-基因檢測(201904起'!$P:$P,$A26&amp;"*",'來案暨出貨明細表-基因檢測(201904起'!$B:$B,Y$1,'來案暨出貨明細表-基因檢測(201904起'!$Q:$Q,"紙本&amp;電子")++COUNTIFS('來案暨出貨明細表-基因檢測(201904起'!$P:$P,$A26&amp;"*",'來案暨出貨明細表-基因檢測(201904起'!$B:$B,Y$1,'來案暨出貨明細表-基因檢測(201904起'!$R:$R,"中英")</f>
        <v>0</v>
      </c>
      <c r="Z26" s="33">
        <f>COUNTIFS('來案暨出貨明細表-基因檢測(201904起'!$P:$P,$A26&amp;"*",'來案暨出貨明細表-基因檢測(201904起'!$B:$B,Z$1)*$B26+COUNTIFS('來案暨出貨明細表-基因檢測(201904起'!$P:$P,$A26&amp;"*",'來案暨出貨明細表-基因檢測(201904起'!$B:$B,Z$1,'來案暨出貨明細表-基因檢測(201904起'!$Q:$Q,"紙本&amp;電子")++COUNTIFS('來案暨出貨明細表-基因檢測(201904起'!$P:$P,$A26&amp;"*",'來案暨出貨明細表-基因檢測(201904起'!$B:$B,Z$1,'來案暨出貨明細表-基因檢測(201904起'!$R:$R,"中英")</f>
        <v>0</v>
      </c>
      <c r="AA26" s="33">
        <f>COUNTIFS('來案暨出貨明細表-基因檢測(201904起'!$P:$P,$A26&amp;"*",'來案暨出貨明細表-基因檢測(201904起'!$B:$B,AA$1)*$B26+COUNTIFS('來案暨出貨明細表-基因檢測(201904起'!$P:$P,$A26&amp;"*",'來案暨出貨明細表-基因檢測(201904起'!$B:$B,AA$1,'來案暨出貨明細表-基因檢測(201904起'!$Q:$Q,"紙本&amp;電子")++COUNTIFS('來案暨出貨明細表-基因檢測(201904起'!$P:$P,$A26&amp;"*",'來案暨出貨明細表-基因檢測(201904起'!$B:$B,AA$1,'來案暨出貨明細表-基因檢測(201904起'!$R:$R,"中英")</f>
        <v>0</v>
      </c>
      <c r="AB26" s="33">
        <f>COUNTIFS('來案暨出貨明細表-基因檢測(201904起'!$P:$P,$A26&amp;"*",'來案暨出貨明細表-基因檢測(201904起'!$B:$B,AB$1)*$B26+COUNTIFS('來案暨出貨明細表-基因檢測(201904起'!$P:$P,$A26&amp;"*",'來案暨出貨明細表-基因檢測(201904起'!$B:$B,AB$1,'來案暨出貨明細表-基因檢測(201904起'!$Q:$Q,"紙本&amp;電子")++COUNTIFS('來案暨出貨明細表-基因檢測(201904起'!$P:$P,$A26&amp;"*",'來案暨出貨明細表-基因檢測(201904起'!$B:$B,AB$1,'來案暨出貨明細表-基因檢測(201904起'!$R:$R,"中英")</f>
        <v>0</v>
      </c>
      <c r="AC26" s="33">
        <f>COUNTIFS('來案暨出貨明細表-基因檢測(201904起'!$P:$P,$A26&amp;"*",'來案暨出貨明細表-基因檢測(201904起'!$B:$B,AC$1)*$B26+COUNTIFS('來案暨出貨明細表-基因檢測(201904起'!$P:$P,$A26&amp;"*",'來案暨出貨明細表-基因檢測(201904起'!$B:$B,AC$1,'來案暨出貨明細表-基因檢測(201904起'!$Q:$Q,"紙本&amp;電子")++COUNTIFS('來案暨出貨明細表-基因檢測(201904起'!$P:$P,$A26&amp;"*",'來案暨出貨明細表-基因檢測(201904起'!$B:$B,AC$1,'來案暨出貨明細表-基因檢測(201904起'!$R:$R,"中英")</f>
        <v>0</v>
      </c>
      <c r="AD26" s="33">
        <f>COUNTIFS('來案暨出貨明細表-基因檢測(201904起'!$P:$P,$A26&amp;"*",'來案暨出貨明細表-基因檢測(201904起'!$B:$B,AD$1)*$B26+COUNTIFS('來案暨出貨明細表-基因檢測(201904起'!$P:$P,$A26&amp;"*",'來案暨出貨明細表-基因檢測(201904起'!$B:$B,AD$1,'來案暨出貨明細表-基因檢測(201904起'!$Q:$Q,"紙本&amp;電子")++COUNTIFS('來案暨出貨明細表-基因檢測(201904起'!$P:$P,$A26&amp;"*",'來案暨出貨明細表-基因檢測(201904起'!$B:$B,AD$1,'來案暨出貨明細表-基因檢測(201904起'!$R:$R,"中英")</f>
        <v>0</v>
      </c>
      <c r="AE26" s="33">
        <f>COUNTIFS('來案暨出貨明細表-基因檢測(201904起'!$P:$P,$A26&amp;"*",'來案暨出貨明細表-基因檢測(201904起'!$B:$B,AE$1)*$B26+COUNTIFS('來案暨出貨明細表-基因檢測(201904起'!$P:$P,$A26&amp;"*",'來案暨出貨明細表-基因檢測(201904起'!$B:$B,AE$1,'來案暨出貨明細表-基因檢測(201904起'!$Q:$Q,"紙本&amp;電子")++COUNTIFS('來案暨出貨明細表-基因檢測(201904起'!$P:$P,$A26&amp;"*",'來案暨出貨明細表-基因檢測(201904起'!$B:$B,AE$1,'來案暨出貨明細表-基因檢測(201904起'!$R:$R,"中英")</f>
        <v>0</v>
      </c>
      <c r="AF26" s="33">
        <f>COUNTIFS('來案暨出貨明細表-基因檢測(201904起'!$P:$P,$A26&amp;"*",'來案暨出貨明細表-基因檢測(201904起'!$B:$B,AF$1)*$B26+COUNTIFS('來案暨出貨明細表-基因檢測(201904起'!$P:$P,$A26&amp;"*",'來案暨出貨明細表-基因檢測(201904起'!$B:$B,AF$1,'來案暨出貨明細表-基因檢測(201904起'!$Q:$Q,"紙本&amp;電子")++COUNTIFS('來案暨出貨明細表-基因檢測(201904起'!$P:$P,$A26&amp;"*",'來案暨出貨明細表-基因檢測(201904起'!$B:$B,AF$1,'來案暨出貨明細表-基因檢測(201904起'!$R:$R,"中英")</f>
        <v>0</v>
      </c>
      <c r="AG26" s="33">
        <f>COUNTIFS('來案暨出貨明細表-基因檢測(201904起'!$P:$P,$A26&amp;"*",'來案暨出貨明細表-基因檢測(201904起'!$B:$B,AG$1)*$B26+COUNTIFS('來案暨出貨明細表-基因檢測(201904起'!$P:$P,$A26&amp;"*",'來案暨出貨明細表-基因檢測(201904起'!$B:$B,AG$1,'來案暨出貨明細表-基因檢測(201904起'!$Q:$Q,"紙本&amp;電子")++COUNTIFS('來案暨出貨明細表-基因檢測(201904起'!$P:$P,$A26&amp;"*",'來案暨出貨明細表-基因檢測(201904起'!$B:$B,AG$1,'來案暨出貨明細表-基因檢測(201904起'!$R:$R,"中英")</f>
        <v>0</v>
      </c>
      <c r="AH26" s="33">
        <f>COUNTIFS('來案暨出貨明細表-基因檢測(201904起'!$P:$P,$A26&amp;"*",'來案暨出貨明細表-基因檢測(201904起'!$B:$B,AH$1)*$B26+COUNTIFS('來案暨出貨明細表-基因檢測(201904起'!$P:$P,$A26&amp;"*",'來案暨出貨明細表-基因檢測(201904起'!$B:$B,AH$1,'來案暨出貨明細表-基因檢測(201904起'!$Q:$Q,"紙本&amp;電子")++COUNTIFS('來案暨出貨明細表-基因檢測(201904起'!$P:$P,$A26&amp;"*",'來案暨出貨明細表-基因檢測(201904起'!$B:$B,AH$1,'來案暨出貨明細表-基因檢測(201904起'!$R:$R,"中英")</f>
        <v>0</v>
      </c>
      <c r="AI26" s="33">
        <f>COUNTIFS('來案暨出貨明細表-基因檢測(201904起'!$P:$P,$A26&amp;"*",'來案暨出貨明細表-基因檢測(201904起'!$B:$B,AI$1)*$B26+COUNTIFS('來案暨出貨明細表-基因檢測(201904起'!$P:$P,$A26&amp;"*",'來案暨出貨明細表-基因檢測(201904起'!$B:$B,AI$1,'來案暨出貨明細表-基因檢測(201904起'!$Q:$Q,"紙本&amp;電子")++COUNTIFS('來案暨出貨明細表-基因檢測(201904起'!$P:$P,$A26&amp;"*",'來案暨出貨明細表-基因檢測(201904起'!$B:$B,AI$1,'來案暨出貨明細表-基因檢測(201904起'!$R:$R,"中英")</f>
        <v>0</v>
      </c>
      <c r="AJ26" s="33">
        <f>COUNTIFS('來案暨出貨明細表-基因檢測(201904起'!$P:$P,$A26&amp;"*",'來案暨出貨明細表-基因檢測(201904起'!$B:$B,AJ$1)*$B26+COUNTIFS('來案暨出貨明細表-基因檢測(201904起'!$P:$P,$A26&amp;"*",'來案暨出貨明細表-基因檢測(201904起'!$B:$B,AJ$1,'來案暨出貨明細表-基因檢測(201904起'!$Q:$Q,"紙本&amp;電子")++COUNTIFS('來案暨出貨明細表-基因檢測(201904起'!$P:$P,$A26&amp;"*",'來案暨出貨明細表-基因檢測(201904起'!$B:$B,AJ$1,'來案暨出貨明細表-基因檢測(201904起'!$R:$R,"中英")</f>
        <v>0</v>
      </c>
      <c r="AK26" s="33">
        <f>COUNTIFS('來案暨出貨明細表-基因檢測(201904起'!$P:$P,$A26&amp;"*",'來案暨出貨明細表-基因檢測(201904起'!$B:$B,AK$1)*$B26+COUNTIFS('來案暨出貨明細表-基因檢測(201904起'!$P:$P,$A26&amp;"*",'來案暨出貨明細表-基因檢測(201904起'!$B:$B,AK$1,'來案暨出貨明細表-基因檢測(201904起'!$Q:$Q,"紙本&amp;電子")++COUNTIFS('來案暨出貨明細表-基因檢測(201904起'!$P:$P,$A26&amp;"*",'來案暨出貨明細表-基因檢測(201904起'!$B:$B,AK$1,'來案暨出貨明細表-基因檢測(201904起'!$R:$R,"中英")</f>
        <v>0</v>
      </c>
      <c r="AL26" s="33">
        <f>COUNTIFS('來案暨出貨明細表-基因檢測(201904起'!$P:$P,$A26&amp;"*",'來案暨出貨明細表-基因檢測(201904起'!$B:$B,AL$1)*$B26+COUNTIFS('來案暨出貨明細表-基因檢測(201904起'!$P:$P,$A26&amp;"*",'來案暨出貨明細表-基因檢測(201904起'!$B:$B,AL$1,'來案暨出貨明細表-基因檢測(201904起'!$Q:$Q,"紙本&amp;電子")++COUNTIFS('來案暨出貨明細表-基因檢測(201904起'!$P:$P,$A26&amp;"*",'來案暨出貨明細表-基因檢測(201904起'!$B:$B,AL$1,'來案暨出貨明細表-基因檢測(201904起'!$R:$R,"中英")</f>
        <v>0</v>
      </c>
      <c r="AM26" s="33">
        <f>COUNTIFS('來案暨出貨明細表-基因檢測(201904起'!$P:$P,$A26&amp;"*",'來案暨出貨明細表-基因檢測(201904起'!$B:$B,AM$1)*$B26+COUNTIFS('來案暨出貨明細表-基因檢測(201904起'!$P:$P,$A26&amp;"*",'來案暨出貨明細表-基因檢測(201904起'!$B:$B,AM$1,'來案暨出貨明細表-基因檢測(201904起'!$Q:$Q,"紙本&amp;電子")++COUNTIFS('來案暨出貨明細表-基因檢測(201904起'!$P:$P,$A26&amp;"*",'來案暨出貨明細表-基因檢測(201904起'!$B:$B,AM$1,'來案暨出貨明細表-基因檢測(201904起'!$R:$R,"中英")</f>
        <v>0</v>
      </c>
      <c r="AN26" s="33">
        <f>COUNTIFS('來案暨出貨明細表-基因檢測(201904起'!$P:$P,$A26&amp;"*",'來案暨出貨明細表-基因檢測(201904起'!$B:$B,AN$1)*$B26+COUNTIFS('來案暨出貨明細表-基因檢測(201904起'!$P:$P,$A26&amp;"*",'來案暨出貨明細表-基因檢測(201904起'!$B:$B,AN$1,'來案暨出貨明細表-基因檢測(201904起'!$Q:$Q,"紙本&amp;電子")++COUNTIFS('來案暨出貨明細表-基因檢測(201904起'!$P:$P,$A26&amp;"*",'來案暨出貨明細表-基因檢測(201904起'!$B:$B,AN$1,'來案暨出貨明細表-基因檢測(201904起'!$R:$R,"中英")</f>
        <v>0</v>
      </c>
      <c r="AO26" s="33">
        <f>COUNTIFS('來案暨出貨明細表-基因檢測(201904起'!$P:$P,$A26&amp;"*",'來案暨出貨明細表-基因檢測(201904起'!$B:$B,AO$1)*$B26+COUNTIFS('來案暨出貨明細表-基因檢測(201904起'!$P:$P,$A26&amp;"*",'來案暨出貨明細表-基因檢測(201904起'!$B:$B,AO$1,'來案暨出貨明細表-基因檢測(201904起'!$Q:$Q,"紙本&amp;電子")++COUNTIFS('來案暨出貨明細表-基因檢測(201904起'!$P:$P,$A26&amp;"*",'來案暨出貨明細表-基因檢測(201904起'!$B:$B,AO$1,'來案暨出貨明細表-基因檢測(201904起'!$R:$R,"中英")</f>
        <v>0</v>
      </c>
      <c r="AP26" s="33">
        <f>COUNTIFS('來案暨出貨明細表-基因檢測(201904起'!$P:$P,$A26&amp;"*",'來案暨出貨明細表-基因檢測(201904起'!$B:$B,AP$1)*$B26+COUNTIFS('來案暨出貨明細表-基因檢測(201904起'!$P:$P,$A26&amp;"*",'來案暨出貨明細表-基因檢測(201904起'!$B:$B,AP$1,'來案暨出貨明細表-基因檢測(201904起'!$Q:$Q,"紙本&amp;電子")++COUNTIFS('來案暨出貨明細表-基因檢測(201904起'!$P:$P,$A26&amp;"*",'來案暨出貨明細表-基因檢測(201904起'!$B:$B,AP$1,'來案暨出貨明細表-基因檢測(201904起'!$R:$R,"中英")</f>
        <v>0</v>
      </c>
      <c r="AQ26" s="33">
        <f>COUNTIFS('來案暨出貨明細表-基因檢測(201904起'!$P:$P,$A26&amp;"*",'來案暨出貨明細表-基因檢測(201904起'!$B:$B,AQ$1)*$B26+COUNTIFS('來案暨出貨明細表-基因檢測(201904起'!$P:$P,$A26&amp;"*",'來案暨出貨明細表-基因檢測(201904起'!$B:$B,AQ$1,'來案暨出貨明細表-基因檢測(201904起'!$Q:$Q,"紙本&amp;電子")++COUNTIFS('來案暨出貨明細表-基因檢測(201904起'!$P:$P,$A26&amp;"*",'來案暨出貨明細表-基因檢測(201904起'!$B:$B,AQ$1,'來案暨出貨明細表-基因檢測(201904起'!$R:$R,"中英")</f>
        <v>0</v>
      </c>
      <c r="AR26" s="33">
        <f>COUNTIFS('來案暨出貨明細表-基因檢測(201904起'!$P:$P,$A26&amp;"*",'來案暨出貨明細表-基因檢測(201904起'!$B:$B,AR$1)*$B26+COUNTIFS('來案暨出貨明細表-基因檢測(201904起'!$P:$P,$A26&amp;"*",'來案暨出貨明細表-基因檢測(201904起'!$B:$B,AR$1,'來案暨出貨明細表-基因檢測(201904起'!$Q:$Q,"紙本&amp;電子")++COUNTIFS('來案暨出貨明細表-基因檢測(201904起'!$P:$P,$A26&amp;"*",'來案暨出貨明細表-基因檢測(201904起'!$B:$B,AR$1,'來案暨出貨明細表-基因檢測(201904起'!$R:$R,"中英")</f>
        <v>0</v>
      </c>
      <c r="AS26" s="33">
        <f>COUNTIFS('來案暨出貨明細表-基因檢測(201904起'!$P:$P,$A26&amp;"*",'來案暨出貨明細表-基因檢測(201904起'!$B:$B,AS$1)*$B26+COUNTIFS('來案暨出貨明細表-基因檢測(201904起'!$P:$P,$A26&amp;"*",'來案暨出貨明細表-基因檢測(201904起'!$B:$B,AS$1,'來案暨出貨明細表-基因檢測(201904起'!$Q:$Q,"紙本&amp;電子")++COUNTIFS('來案暨出貨明細表-基因檢測(201904起'!$P:$P,$A26&amp;"*",'來案暨出貨明細表-基因檢測(201904起'!$B:$B,AS$1,'來案暨出貨明細表-基因檢測(201904起'!$R:$R,"中英")</f>
        <v>0</v>
      </c>
      <c r="AT26" s="33">
        <f>COUNTIFS('來案暨出貨明細表-基因檢測(201904起'!$P:$P,$A26&amp;"*",'來案暨出貨明細表-基因檢測(201904起'!$B:$B,AT$1)*$B26+COUNTIFS('來案暨出貨明細表-基因檢測(201904起'!$P:$P,$A26&amp;"*",'來案暨出貨明細表-基因檢測(201904起'!$B:$B,AT$1,'來案暨出貨明細表-基因檢測(201904起'!$Q:$Q,"紙本&amp;電子")++COUNTIFS('來案暨出貨明細表-基因檢測(201904起'!$P:$P,$A26&amp;"*",'來案暨出貨明細表-基因檢測(201904起'!$B:$B,AT$1,'來案暨出貨明細表-基因檢測(201904起'!$R:$R,"中英")</f>
        <v>0</v>
      </c>
      <c r="AU26" s="33">
        <f>COUNTIFS('來案暨出貨明細表-基因檢測(201904起'!$P:$P,$A26&amp;"*",'來案暨出貨明細表-基因檢測(201904起'!$B:$B,AU$1)*$B26+COUNTIFS('來案暨出貨明細表-基因檢測(201904起'!$P:$P,$A26&amp;"*",'來案暨出貨明細表-基因檢測(201904起'!$B:$B,AU$1,'來案暨出貨明細表-基因檢測(201904起'!$Q:$Q,"紙本&amp;電子")++COUNTIFS('來案暨出貨明細表-基因檢測(201904起'!$P:$P,$A26&amp;"*",'來案暨出貨明細表-基因檢測(201904起'!$B:$B,AU$1,'來案暨出貨明細表-基因檢測(201904起'!$R:$R,"中英")</f>
        <v>0</v>
      </c>
      <c r="AV26" s="33">
        <f>COUNTIFS('來案暨出貨明細表-基因檢測(201904起'!$P:$P,$A26&amp;"*",'來案暨出貨明細表-基因檢測(201904起'!$B:$B,AV$1)*$B26+COUNTIFS('來案暨出貨明細表-基因檢測(201904起'!$P:$P,$A26&amp;"*",'來案暨出貨明細表-基因檢測(201904起'!$B:$B,AV$1,'來案暨出貨明細表-基因檢測(201904起'!$Q:$Q,"紙本&amp;電子")++COUNTIFS('來案暨出貨明細表-基因檢測(201904起'!$P:$P,$A26&amp;"*",'來案暨出貨明細表-基因檢測(201904起'!$B:$B,AV$1,'來案暨出貨明細表-基因檢測(201904起'!$R:$R,"中英")</f>
        <v>0</v>
      </c>
      <c r="AW26" s="33">
        <f>COUNTIFS('來案暨出貨明細表-基因檢測(201904起'!$P:$P,$A26&amp;"*",'來案暨出貨明細表-基因檢測(201904起'!$B:$B,AW$1)*$B26+COUNTIFS('來案暨出貨明細表-基因檢測(201904起'!$P:$P,$A26&amp;"*",'來案暨出貨明細表-基因檢測(201904起'!$B:$B,AW$1,'來案暨出貨明細表-基因檢測(201904起'!$Q:$Q,"紙本&amp;電子")++COUNTIFS('來案暨出貨明細表-基因檢測(201904起'!$P:$P,$A26&amp;"*",'來案暨出貨明細表-基因檢測(201904起'!$B:$B,AW$1,'來案暨出貨明細表-基因檢測(201904起'!$R:$R,"中英")</f>
        <v>0</v>
      </c>
      <c r="AX26" s="33">
        <f>COUNTIFS('來案暨出貨明細表-基因檢測(201904起'!$P:$P,$A26&amp;"*",'來案暨出貨明細表-基因檢測(201904起'!$B:$B,AX$1)*$B26+COUNTIFS('來案暨出貨明細表-基因檢測(201904起'!$P:$P,$A26&amp;"*",'來案暨出貨明細表-基因檢測(201904起'!$B:$B,AX$1,'來案暨出貨明細表-基因檢測(201904起'!$Q:$Q,"紙本&amp;電子")++COUNTIFS('來案暨出貨明細表-基因檢測(201904起'!$P:$P,$A26&amp;"*",'來案暨出貨明細表-基因檢測(201904起'!$B:$B,AX$1,'來案暨出貨明細表-基因檢測(201904起'!$R:$R,"中英")</f>
        <v>0</v>
      </c>
      <c r="AY26" s="33">
        <f>COUNTIFS('來案暨出貨明細表-基因檢測(201904起'!$P:$P,$A26&amp;"*",'來案暨出貨明細表-基因檢測(201904起'!$B:$B,AY$1)*$B26+COUNTIFS('來案暨出貨明細表-基因檢測(201904起'!$P:$P,$A26&amp;"*",'來案暨出貨明細表-基因檢測(201904起'!$B:$B,AY$1,'來案暨出貨明細表-基因檢測(201904起'!$Q:$Q,"紙本&amp;電子")++COUNTIFS('來案暨出貨明細表-基因檢測(201904起'!$P:$P,$A26&amp;"*",'來案暨出貨明細表-基因檢測(201904起'!$B:$B,AY$1,'來案暨出貨明細表-基因檢測(201904起'!$R:$R,"中英")</f>
        <v>0</v>
      </c>
      <c r="AZ26" s="33">
        <f>COUNTIFS('來案暨出貨明細表-基因檢測(201904起'!$P:$P,$A26&amp;"*",'來案暨出貨明細表-基因檢測(201904起'!$B:$B,AZ$1)*$B26+COUNTIFS('來案暨出貨明細表-基因檢測(201904起'!$P:$P,$A26&amp;"*",'來案暨出貨明細表-基因檢測(201904起'!$B:$B,AZ$1,'來案暨出貨明細表-基因檢測(201904起'!$Q:$Q,"紙本&amp;電子")++COUNTIFS('來案暨出貨明細表-基因檢測(201904起'!$P:$P,$A26&amp;"*",'來案暨出貨明細表-基因檢測(201904起'!$B:$B,AZ$1,'來案暨出貨明細表-基因檢測(201904起'!$R:$R,"中英")</f>
        <v>0</v>
      </c>
      <c r="BA26" s="33">
        <f>COUNTIFS('來案暨出貨明細表-基因檢測(201904起'!$P:$P,$A26&amp;"*",'來案暨出貨明細表-基因檢測(201904起'!$B:$B,BA$1)*$B26+COUNTIFS('來案暨出貨明細表-基因檢測(201904起'!$P:$P,$A26&amp;"*",'來案暨出貨明細表-基因檢測(201904起'!$B:$B,BA$1,'來案暨出貨明細表-基因檢測(201904起'!$Q:$Q,"紙本&amp;電子")++COUNTIFS('來案暨出貨明細表-基因檢測(201904起'!$P:$P,$A26&amp;"*",'來案暨出貨明細表-基因檢測(201904起'!$B:$B,BA$1,'來案暨出貨明細表-基因檢測(201904起'!$R:$R,"中英")</f>
        <v>0</v>
      </c>
      <c r="BB26" s="33">
        <f>COUNTIFS('來案暨出貨明細表-基因檢測(201904起'!$P:$P,$A26&amp;"*",'來案暨出貨明細表-基因檢測(201904起'!$B:$B,BB$1)*$B26+COUNTIFS('來案暨出貨明細表-基因檢測(201904起'!$P:$P,$A26&amp;"*",'來案暨出貨明細表-基因檢測(201904起'!$B:$B,BB$1,'來案暨出貨明細表-基因檢測(201904起'!$Q:$Q,"紙本&amp;電子")++COUNTIFS('來案暨出貨明細表-基因檢測(201904起'!$P:$P,$A26&amp;"*",'來案暨出貨明細表-基因檢測(201904起'!$B:$B,BB$1,'來案暨出貨明細表-基因檢測(201904起'!$R:$R,"中英")</f>
        <v>0</v>
      </c>
      <c r="BC26" s="33">
        <f>COUNTIFS('來案暨出貨明細表-基因檢測(201904起'!$P:$P,$A26&amp;"*",'來案暨出貨明細表-基因檢測(201904起'!$B:$B,BC$1)*$B26+COUNTIFS('來案暨出貨明細表-基因檢測(201904起'!$P:$P,$A26&amp;"*",'來案暨出貨明細表-基因檢測(201904起'!$B:$B,BC$1,'來案暨出貨明細表-基因檢測(201904起'!$Q:$Q,"紙本&amp;電子")++COUNTIFS('來案暨出貨明細表-基因檢測(201904起'!$P:$P,$A26&amp;"*",'來案暨出貨明細表-基因檢測(201904起'!$B:$B,BC$1,'來案暨出貨明細表-基因檢測(201904起'!$R:$R,"中英")</f>
        <v>0</v>
      </c>
      <c r="BD26" s="33">
        <f>COUNTIFS('來案暨出貨明細表-基因檢測(201904起'!$P:$P,$A26&amp;"*",'來案暨出貨明細表-基因檢測(201904起'!$B:$B,BD$1)*$B26+COUNTIFS('來案暨出貨明細表-基因檢測(201904起'!$P:$P,$A26&amp;"*",'來案暨出貨明細表-基因檢測(201904起'!$B:$B,BD$1,'來案暨出貨明細表-基因檢測(201904起'!$Q:$Q,"紙本&amp;電子")++COUNTIFS('來案暨出貨明細表-基因檢測(201904起'!$P:$P,$A26&amp;"*",'來案暨出貨明細表-基因檢測(201904起'!$B:$B,BD$1,'來案暨出貨明細表-基因檢測(201904起'!$R:$R,"中英")</f>
        <v>0</v>
      </c>
      <c r="BE26" s="33">
        <f>COUNTIFS('來案暨出貨明細表-基因檢測(201904起'!$P:$P,$A26&amp;"*",'來案暨出貨明細表-基因檢測(201904起'!$B:$B,BE$1)*$B26+COUNTIFS('來案暨出貨明細表-基因檢測(201904起'!$P:$P,$A26&amp;"*",'來案暨出貨明細表-基因檢測(201904起'!$B:$B,BE$1,'來案暨出貨明細表-基因檢測(201904起'!$Q:$Q,"紙本&amp;電子")++COUNTIFS('來案暨出貨明細表-基因檢測(201904起'!$P:$P,$A26&amp;"*",'來案暨出貨明細表-基因檢測(201904起'!$B:$B,BE$1,'來案暨出貨明細表-基因檢測(201904起'!$R:$R,"中英")</f>
        <v>0</v>
      </c>
      <c r="BF26" s="33">
        <f>COUNTIFS('來案暨出貨明細表-基因檢測(201904起'!$P:$P,$A26&amp;"*",'來案暨出貨明細表-基因檢測(201904起'!$B:$B,BF$1)*$B26+COUNTIFS('來案暨出貨明細表-基因檢測(201904起'!$P:$P,$A26&amp;"*",'來案暨出貨明細表-基因檢測(201904起'!$B:$B,BF$1,'來案暨出貨明細表-基因檢測(201904起'!$Q:$Q,"紙本&amp;電子")++COUNTIFS('來案暨出貨明細表-基因檢測(201904起'!$P:$P,$A26&amp;"*",'來案暨出貨明細表-基因檢測(201904起'!$B:$B,BF$1,'來案暨出貨明細表-基因檢測(201904起'!$R:$R,"中英")</f>
        <v>0</v>
      </c>
      <c r="BG26" s="33">
        <f>COUNTIFS('來案暨出貨明細表-基因檢測(201904起'!$P:$P,$A26&amp;"*",'來案暨出貨明細表-基因檢測(201904起'!$B:$B,BG$1)*$B26+COUNTIFS('來案暨出貨明細表-基因檢測(201904起'!$P:$P,$A26&amp;"*",'來案暨出貨明細表-基因檢測(201904起'!$B:$B,BG$1,'來案暨出貨明細表-基因檢測(201904起'!$Q:$Q,"紙本&amp;電子")++COUNTIFS('來案暨出貨明細表-基因檢測(201904起'!$P:$P,$A26&amp;"*",'來案暨出貨明細表-基因檢測(201904起'!$B:$B,BG$1,'來案暨出貨明細表-基因檢測(201904起'!$R:$R,"中英")</f>
        <v>0</v>
      </c>
      <c r="BH26" s="33">
        <f>COUNTIFS('來案暨出貨明細表-基因檢測(201904起'!$P:$P,$A26&amp;"*",'來案暨出貨明細表-基因檢測(201904起'!$B:$B,BH$1)*$B26+COUNTIFS('來案暨出貨明細表-基因檢測(201904起'!$P:$P,$A26&amp;"*",'來案暨出貨明細表-基因檢測(201904起'!$B:$B,BH$1,'來案暨出貨明細表-基因檢測(201904起'!$Q:$Q,"紙本&amp;電子")++COUNTIFS('來案暨出貨明細表-基因檢測(201904起'!$P:$P,$A26&amp;"*",'來案暨出貨明細表-基因檢測(201904起'!$B:$B,BH$1,'來案暨出貨明細表-基因檢測(201904起'!$R:$R,"中英")</f>
        <v>0</v>
      </c>
      <c r="BI26" s="33">
        <f>COUNTIFS('來案暨出貨明細表-基因檢測(201904起'!$P:$P,$A26&amp;"*",'來案暨出貨明細表-基因檢測(201904起'!$B:$B,BI$1)*$B26+COUNTIFS('來案暨出貨明細表-基因檢測(201904起'!$P:$P,$A26&amp;"*",'來案暨出貨明細表-基因檢測(201904起'!$B:$B,BI$1,'來案暨出貨明細表-基因檢測(201904起'!$Q:$Q,"紙本&amp;電子")++COUNTIFS('來案暨出貨明細表-基因檢測(201904起'!$P:$P,$A26&amp;"*",'來案暨出貨明細表-基因檢測(201904起'!$B:$B,BI$1,'來案暨出貨明細表-基因檢測(201904起'!$R:$R,"中英")</f>
        <v>0</v>
      </c>
      <c r="BJ26" s="33">
        <f>COUNTIFS('來案暨出貨明細表-基因檢測(201904起'!$P:$P,$A26&amp;"*",'來案暨出貨明細表-基因檢測(201904起'!$B:$B,BJ$1)*$B26+COUNTIFS('來案暨出貨明細表-基因檢測(201904起'!$P:$P,$A26&amp;"*",'來案暨出貨明細表-基因檢測(201904起'!$B:$B,BJ$1,'來案暨出貨明細表-基因檢測(201904起'!$Q:$Q,"紙本&amp;電子")++COUNTIFS('來案暨出貨明細表-基因檢測(201904起'!$P:$P,$A26&amp;"*",'來案暨出貨明細表-基因檢測(201904起'!$B:$B,BJ$1,'來案暨出貨明細表-基因檢測(201904起'!$R:$R,"中英")</f>
        <v>0</v>
      </c>
      <c r="BK26" s="33">
        <f>COUNTIFS('來案暨出貨明細表-基因檢測(201904起'!$P:$P,$A26&amp;"*",'來案暨出貨明細表-基因檢測(201904起'!$B:$B,BK$1)*$B26+COUNTIFS('來案暨出貨明細表-基因檢測(201904起'!$P:$P,$A26&amp;"*",'來案暨出貨明細表-基因檢測(201904起'!$B:$B,BK$1,'來案暨出貨明細表-基因檢測(201904起'!$Q:$Q,"紙本&amp;電子")++COUNTIFS('來案暨出貨明細表-基因檢測(201904起'!$P:$P,$A26&amp;"*",'來案暨出貨明細表-基因檢測(201904起'!$B:$B,BK$1,'來案暨出貨明細表-基因檢測(201904起'!$R:$R,"中英")</f>
        <v>0</v>
      </c>
      <c r="BL26" s="33">
        <f>COUNTIFS('來案暨出貨明細表-基因檢測(201904起'!$P:$P,$A26&amp;"*",'來案暨出貨明細表-基因檢測(201904起'!$B:$B,BL$1)*$B26+COUNTIFS('來案暨出貨明細表-基因檢測(201904起'!$P:$P,$A26&amp;"*",'來案暨出貨明細表-基因檢測(201904起'!$B:$B,BL$1,'來案暨出貨明細表-基因檢測(201904起'!$Q:$Q,"紙本&amp;電子")++COUNTIFS('來案暨出貨明細表-基因檢測(201904起'!$P:$P,$A26&amp;"*",'來案暨出貨明細表-基因檢測(201904起'!$B:$B,BL$1,'來案暨出貨明細表-基因檢測(201904起'!$R:$R,"中英")</f>
        <v>0</v>
      </c>
      <c r="BM26" s="33">
        <f>COUNTIFS('來案暨出貨明細表-基因檢測(201904起'!$P:$P,$A26&amp;"*",'來案暨出貨明細表-基因檢測(201904起'!$B:$B,BM$1)*$B26+COUNTIFS('來案暨出貨明細表-基因檢測(201904起'!$P:$P,$A26&amp;"*",'來案暨出貨明細表-基因檢測(201904起'!$B:$B,BM$1,'來案暨出貨明細表-基因檢測(201904起'!$Q:$Q,"紙本&amp;電子")++COUNTIFS('來案暨出貨明細表-基因檢測(201904起'!$P:$P,$A26&amp;"*",'來案暨出貨明細表-基因檢測(201904起'!$B:$B,BM$1,'來案暨出貨明細表-基因檢測(201904起'!$R:$R,"中英")</f>
        <v>0</v>
      </c>
    </row>
    <row r="27" spans="1:65" ht="15" customHeight="1">
      <c r="A27" s="9" t="s">
        <v>4543</v>
      </c>
      <c r="B27" s="9">
        <v>1</v>
      </c>
      <c r="C27" s="13" t="s">
        <v>4544</v>
      </c>
      <c r="D27" s="142" t="s">
        <v>4545</v>
      </c>
      <c r="E27" s="33">
        <f>COUNTIFS('來案暨出貨明細表-基因檢測(201904起'!$P:$P,$A27&amp;"*",'來案暨出貨明細表-基因檢測(201904起'!$B:$B,E$1)*$B27+COUNTIFS('來案暨出貨明細表-基因檢測(201904起'!$P:$P,$A27&amp;"*",'來案暨出貨明細表-基因檢測(201904起'!$B:$B,E$1,'來案暨出貨明細表-基因檢測(201904起'!$Q:$Q,"紙本&amp;電子")++COUNTIFS('來案暨出貨明細表-基因檢測(201904起'!$P:$P,$A27&amp;"*",'來案暨出貨明細表-基因檢測(201904起'!$B:$B,E$1,'來案暨出貨明細表-基因檢測(201904起'!$R:$R,"中英")</f>
        <v>0</v>
      </c>
      <c r="F27" s="33">
        <f>COUNTIFS('來案暨出貨明細表-基因檢測(201904起'!$P:$P,$A27&amp;"*",'來案暨出貨明細表-基因檢測(201904起'!$B:$B,F$1)*$B27+COUNTIFS('來案暨出貨明細表-基因檢測(201904起'!$P:$P,$A27&amp;"*",'來案暨出貨明細表-基因檢測(201904起'!$B:$B,F$1,'來案暨出貨明細表-基因檢測(201904起'!$Q:$Q,"紙本&amp;電子")++COUNTIFS('來案暨出貨明細表-基因檢測(201904起'!$P:$P,$A27&amp;"*",'來案暨出貨明細表-基因檢測(201904起'!$B:$B,F$1,'來案暨出貨明細表-基因檢測(201904起'!$R:$R,"中英")</f>
        <v>0</v>
      </c>
      <c r="G27" s="33">
        <f>COUNTIFS('來案暨出貨明細表-基因檢測(201904起'!$P:$P,$A27&amp;"*",'來案暨出貨明細表-基因檢測(201904起'!$B:$B,G$1)*$B27+COUNTIFS('來案暨出貨明細表-基因檢測(201904起'!$P:$P,$A27&amp;"*",'來案暨出貨明細表-基因檢測(201904起'!$B:$B,G$1,'來案暨出貨明細表-基因檢測(201904起'!$Q:$Q,"紙本&amp;電子")++COUNTIFS('來案暨出貨明細表-基因檢測(201904起'!$P:$P,$A27&amp;"*",'來案暨出貨明細表-基因檢測(201904起'!$B:$B,G$1,'來案暨出貨明細表-基因檢測(201904起'!$R:$R,"中英")</f>
        <v>0</v>
      </c>
      <c r="H27" s="33">
        <f>COUNTIFS('來案暨出貨明細表-基因檢測(201904起'!$P:$P,$A27&amp;"*",'來案暨出貨明細表-基因檢測(201904起'!$B:$B,H$1)*$B27+COUNTIFS('來案暨出貨明細表-基因檢測(201904起'!$P:$P,$A27&amp;"*",'來案暨出貨明細表-基因檢測(201904起'!$B:$B,H$1,'來案暨出貨明細表-基因檢測(201904起'!$Q:$Q,"紙本&amp;電子")++COUNTIFS('來案暨出貨明細表-基因檢測(201904起'!$P:$P,$A27&amp;"*",'來案暨出貨明細表-基因檢測(201904起'!$B:$B,H$1,'來案暨出貨明細表-基因檢測(201904起'!$R:$R,"中英")</f>
        <v>0</v>
      </c>
      <c r="I27" s="33">
        <f>COUNTIFS('來案暨出貨明細表-基因檢測(201904起'!$P:$P,$A27&amp;"*",'來案暨出貨明細表-基因檢測(201904起'!$B:$B,I$1)*$B27+COUNTIFS('來案暨出貨明細表-基因檢測(201904起'!$P:$P,$A27&amp;"*",'來案暨出貨明細表-基因檢測(201904起'!$B:$B,I$1,'來案暨出貨明細表-基因檢測(201904起'!$Q:$Q,"紙本&amp;電子")++COUNTIFS('來案暨出貨明細表-基因檢測(201904起'!$P:$P,$A27&amp;"*",'來案暨出貨明細表-基因檢測(201904起'!$B:$B,I$1,'來案暨出貨明細表-基因檢測(201904起'!$R:$R,"中英")</f>
        <v>0</v>
      </c>
      <c r="J27" s="33">
        <f>COUNTIFS('來案暨出貨明細表-基因檢測(201904起'!$P:$P,$A27&amp;"*",'來案暨出貨明細表-基因檢測(201904起'!$B:$B,J$1)*$B27+COUNTIFS('來案暨出貨明細表-基因檢測(201904起'!$P:$P,$A27&amp;"*",'來案暨出貨明細表-基因檢測(201904起'!$B:$B,J$1,'來案暨出貨明細表-基因檢測(201904起'!$Q:$Q,"紙本&amp;電子")++COUNTIFS('來案暨出貨明細表-基因檢測(201904起'!$P:$P,$A27&amp;"*",'來案暨出貨明細表-基因檢測(201904起'!$B:$B,J$1,'來案暨出貨明細表-基因檢測(201904起'!$R:$R,"中英")</f>
        <v>0</v>
      </c>
      <c r="K27" s="33">
        <f>COUNTIFS('來案暨出貨明細表-基因檢測(201904起'!$P:$P,$A27&amp;"*",'來案暨出貨明細表-基因檢測(201904起'!$B:$B,K$1)*$B27+COUNTIFS('來案暨出貨明細表-基因檢測(201904起'!$P:$P,$A27&amp;"*",'來案暨出貨明細表-基因檢測(201904起'!$B:$B,K$1,'來案暨出貨明細表-基因檢測(201904起'!$Q:$Q,"紙本&amp;電子")++COUNTIFS('來案暨出貨明細表-基因檢測(201904起'!$P:$P,$A27&amp;"*",'來案暨出貨明細表-基因檢測(201904起'!$B:$B,K$1,'來案暨出貨明細表-基因檢測(201904起'!$R:$R,"中英")</f>
        <v>0</v>
      </c>
      <c r="L27" s="33">
        <f>COUNTIFS('來案暨出貨明細表-基因檢測(201904起'!$P:$P,$A27&amp;"*",'來案暨出貨明細表-基因檢測(201904起'!$B:$B,L$1)*$B27+COUNTIFS('來案暨出貨明細表-基因檢測(201904起'!$P:$P,$A27&amp;"*",'來案暨出貨明細表-基因檢測(201904起'!$B:$B,L$1,'來案暨出貨明細表-基因檢測(201904起'!$Q:$Q,"紙本&amp;電子")++COUNTIFS('來案暨出貨明細表-基因檢測(201904起'!$P:$P,$A27&amp;"*",'來案暨出貨明細表-基因檢測(201904起'!$B:$B,L$1,'來案暨出貨明細表-基因檢測(201904起'!$R:$R,"中英")</f>
        <v>0</v>
      </c>
      <c r="M27" s="33">
        <f>COUNTIFS('來案暨出貨明細表-基因檢測(201904起'!$P:$P,$A27&amp;"*",'來案暨出貨明細表-基因檢測(201904起'!$B:$B,M$1)*$B27+COUNTIFS('來案暨出貨明細表-基因檢測(201904起'!$P:$P,$A27&amp;"*",'來案暨出貨明細表-基因檢測(201904起'!$B:$B,M$1,'來案暨出貨明細表-基因檢測(201904起'!$Q:$Q,"紙本&amp;電子")++COUNTIFS('來案暨出貨明細表-基因檢測(201904起'!$P:$P,$A27&amp;"*",'來案暨出貨明細表-基因檢測(201904起'!$B:$B,M$1,'來案暨出貨明細表-基因檢測(201904起'!$R:$R,"中英")</f>
        <v>0</v>
      </c>
      <c r="N27" s="33">
        <f>COUNTIFS('來案暨出貨明細表-基因檢測(201904起'!$P:$P,$A27&amp;"*",'來案暨出貨明細表-基因檢測(201904起'!$B:$B,N$1)*$B27+COUNTIFS('來案暨出貨明細表-基因檢測(201904起'!$P:$P,$A27&amp;"*",'來案暨出貨明細表-基因檢測(201904起'!$B:$B,N$1,'來案暨出貨明細表-基因檢測(201904起'!$Q:$Q,"紙本&amp;電子")++COUNTIFS('來案暨出貨明細表-基因檢測(201904起'!$P:$P,$A27&amp;"*",'來案暨出貨明細表-基因檢測(201904起'!$B:$B,N$1,'來案暨出貨明細表-基因檢測(201904起'!$R:$R,"中英")</f>
        <v>0</v>
      </c>
      <c r="O27" s="33">
        <f>COUNTIFS('來案暨出貨明細表-基因檢測(201904起'!$P:$P,$A27&amp;"*",'來案暨出貨明細表-基因檢測(201904起'!$B:$B,O$1)*$B27+COUNTIFS('來案暨出貨明細表-基因檢測(201904起'!$P:$P,$A27&amp;"*",'來案暨出貨明細表-基因檢測(201904起'!$B:$B,O$1,'來案暨出貨明細表-基因檢測(201904起'!$Q:$Q,"紙本&amp;電子")++COUNTIFS('來案暨出貨明細表-基因檢測(201904起'!$P:$P,$A27&amp;"*",'來案暨出貨明細表-基因檢測(201904起'!$B:$B,O$1,'來案暨出貨明細表-基因檢測(201904起'!$R:$R,"中英")</f>
        <v>0</v>
      </c>
      <c r="P27" s="33">
        <f>COUNTIFS('來案暨出貨明細表-基因檢測(201904起'!$P:$P,$A27&amp;"*",'來案暨出貨明細表-基因檢測(201904起'!$B:$B,P$1)*$B27+COUNTIFS('來案暨出貨明細表-基因檢測(201904起'!$P:$P,$A27&amp;"*",'來案暨出貨明細表-基因檢測(201904起'!$B:$B,P$1,'來案暨出貨明細表-基因檢測(201904起'!$Q:$Q,"紙本&amp;電子")++COUNTIFS('來案暨出貨明細表-基因檢測(201904起'!$P:$P,$A27&amp;"*",'來案暨出貨明細表-基因檢測(201904起'!$B:$B,P$1,'來案暨出貨明細表-基因檢測(201904起'!$R:$R,"中英")</f>
        <v>0</v>
      </c>
      <c r="Q27" s="33">
        <f>COUNTIFS('來案暨出貨明細表-基因檢測(201904起'!$P:$P,$A27&amp;"*",'來案暨出貨明細表-基因檢測(201904起'!$B:$B,Q$1)*$B27+COUNTIFS('來案暨出貨明細表-基因檢測(201904起'!$P:$P,$A27&amp;"*",'來案暨出貨明細表-基因檢測(201904起'!$B:$B,Q$1,'來案暨出貨明細表-基因檢測(201904起'!$Q:$Q,"紙本&amp;電子")++COUNTIFS('來案暨出貨明細表-基因檢測(201904起'!$P:$P,$A27&amp;"*",'來案暨出貨明細表-基因檢測(201904起'!$B:$B,Q$1,'來案暨出貨明細表-基因檢測(201904起'!$R:$R,"中英")</f>
        <v>0</v>
      </c>
      <c r="R27" s="33">
        <f>COUNTIFS('來案暨出貨明細表-基因檢測(201904起'!$P:$P,$A27&amp;"*",'來案暨出貨明細表-基因檢測(201904起'!$B:$B,R$1)*$B27+COUNTIFS('來案暨出貨明細表-基因檢測(201904起'!$P:$P,$A27&amp;"*",'來案暨出貨明細表-基因檢測(201904起'!$B:$B,R$1,'來案暨出貨明細表-基因檢測(201904起'!$Q:$Q,"紙本&amp;電子")++COUNTIFS('來案暨出貨明細表-基因檢測(201904起'!$P:$P,$A27&amp;"*",'來案暨出貨明細表-基因檢測(201904起'!$B:$B,R$1,'來案暨出貨明細表-基因檢測(201904起'!$R:$R,"中英")</f>
        <v>0</v>
      </c>
      <c r="S27" s="33">
        <f>COUNTIFS('來案暨出貨明細表-基因檢測(201904起'!$P:$P,$A27&amp;"*",'來案暨出貨明細表-基因檢測(201904起'!$B:$B,S$1)*$B27+COUNTIFS('來案暨出貨明細表-基因檢測(201904起'!$P:$P,$A27&amp;"*",'來案暨出貨明細表-基因檢測(201904起'!$B:$B,S$1,'來案暨出貨明細表-基因檢測(201904起'!$Q:$Q,"紙本&amp;電子")++COUNTIFS('來案暨出貨明細表-基因檢測(201904起'!$P:$P,$A27&amp;"*",'來案暨出貨明細表-基因檢測(201904起'!$B:$B,S$1,'來案暨出貨明細表-基因檢測(201904起'!$R:$R,"中英")</f>
        <v>0</v>
      </c>
      <c r="T27" s="33">
        <f>COUNTIFS('來案暨出貨明細表-基因檢測(201904起'!$P:$P,$A27&amp;"*",'來案暨出貨明細表-基因檢測(201904起'!$B:$B,T$1)*$B27+COUNTIFS('來案暨出貨明細表-基因檢測(201904起'!$P:$P,$A27&amp;"*",'來案暨出貨明細表-基因檢測(201904起'!$B:$B,T$1,'來案暨出貨明細表-基因檢測(201904起'!$Q:$Q,"紙本&amp;電子")++COUNTIFS('來案暨出貨明細表-基因檢測(201904起'!$P:$P,$A27&amp;"*",'來案暨出貨明細表-基因檢測(201904起'!$B:$B,T$1,'來案暨出貨明細表-基因檢測(201904起'!$R:$R,"中英")</f>
        <v>0</v>
      </c>
      <c r="U27" s="33">
        <f>COUNTIFS('來案暨出貨明細表-基因檢測(201904起'!$P:$P,$A27&amp;"*",'來案暨出貨明細表-基因檢測(201904起'!$B:$B,U$1)*$B27+COUNTIFS('來案暨出貨明細表-基因檢測(201904起'!$P:$P,$A27&amp;"*",'來案暨出貨明細表-基因檢測(201904起'!$B:$B,U$1,'來案暨出貨明細表-基因檢測(201904起'!$Q:$Q,"紙本&amp;電子")++COUNTIFS('來案暨出貨明細表-基因檢測(201904起'!$P:$P,$A27&amp;"*",'來案暨出貨明細表-基因檢測(201904起'!$B:$B,U$1,'來案暨出貨明細表-基因檢測(201904起'!$R:$R,"中英")</f>
        <v>0</v>
      </c>
      <c r="V27" s="33">
        <f>COUNTIFS('來案暨出貨明細表-基因檢測(201904起'!$P:$P,$A27&amp;"*",'來案暨出貨明細表-基因檢測(201904起'!$B:$B,V$1)*$B27+COUNTIFS('來案暨出貨明細表-基因檢測(201904起'!$P:$P,$A27&amp;"*",'來案暨出貨明細表-基因檢測(201904起'!$B:$B,V$1,'來案暨出貨明細表-基因檢測(201904起'!$Q:$Q,"紙本&amp;電子")++COUNTIFS('來案暨出貨明細表-基因檢測(201904起'!$P:$P,$A27&amp;"*",'來案暨出貨明細表-基因檢測(201904起'!$B:$B,V$1,'來案暨出貨明細表-基因檢測(201904起'!$R:$R,"中英")</f>
        <v>0</v>
      </c>
      <c r="W27" s="33">
        <f>COUNTIFS('來案暨出貨明細表-基因檢測(201904起'!$P:$P,$A27&amp;"*",'來案暨出貨明細表-基因檢測(201904起'!$B:$B,W$1)*$B27+COUNTIFS('來案暨出貨明細表-基因檢測(201904起'!$P:$P,$A27&amp;"*",'來案暨出貨明細表-基因檢測(201904起'!$B:$B,W$1,'來案暨出貨明細表-基因檢測(201904起'!$Q:$Q,"紙本&amp;電子")++COUNTIFS('來案暨出貨明細表-基因檢測(201904起'!$P:$P,$A27&amp;"*",'來案暨出貨明細表-基因檢測(201904起'!$B:$B,W$1,'來案暨出貨明細表-基因檢測(201904起'!$R:$R,"中英")</f>
        <v>0</v>
      </c>
      <c r="X27" s="33">
        <f>COUNTIFS('來案暨出貨明細表-基因檢測(201904起'!$P:$P,$A27&amp;"*",'來案暨出貨明細表-基因檢測(201904起'!$B:$B,X$1)*$B27+COUNTIFS('來案暨出貨明細表-基因檢測(201904起'!$P:$P,$A27&amp;"*",'來案暨出貨明細表-基因檢測(201904起'!$B:$B,X$1,'來案暨出貨明細表-基因檢測(201904起'!$Q:$Q,"紙本&amp;電子")++COUNTIFS('來案暨出貨明細表-基因檢測(201904起'!$P:$P,$A27&amp;"*",'來案暨出貨明細表-基因檢測(201904起'!$B:$B,X$1,'來案暨出貨明細表-基因檢測(201904起'!$R:$R,"中英")</f>
        <v>0</v>
      </c>
      <c r="Y27" s="33">
        <f>COUNTIFS('來案暨出貨明細表-基因檢測(201904起'!$P:$P,$A27&amp;"*",'來案暨出貨明細表-基因檢測(201904起'!$B:$B,Y$1)*$B27+COUNTIFS('來案暨出貨明細表-基因檢測(201904起'!$P:$P,$A27&amp;"*",'來案暨出貨明細表-基因檢測(201904起'!$B:$B,Y$1,'來案暨出貨明細表-基因檢測(201904起'!$Q:$Q,"紙本&amp;電子")++COUNTIFS('來案暨出貨明細表-基因檢測(201904起'!$P:$P,$A27&amp;"*",'來案暨出貨明細表-基因檢測(201904起'!$B:$B,Y$1,'來案暨出貨明細表-基因檢測(201904起'!$R:$R,"中英")</f>
        <v>0</v>
      </c>
      <c r="Z27" s="33">
        <f>COUNTIFS('來案暨出貨明細表-基因檢測(201904起'!$P:$P,$A27&amp;"*",'來案暨出貨明細表-基因檢測(201904起'!$B:$B,Z$1)*$B27+COUNTIFS('來案暨出貨明細表-基因檢測(201904起'!$P:$P,$A27&amp;"*",'來案暨出貨明細表-基因檢測(201904起'!$B:$B,Z$1,'來案暨出貨明細表-基因檢測(201904起'!$Q:$Q,"紙本&amp;電子")++COUNTIFS('來案暨出貨明細表-基因檢測(201904起'!$P:$P,$A27&amp;"*",'來案暨出貨明細表-基因檢測(201904起'!$B:$B,Z$1,'來案暨出貨明細表-基因檢測(201904起'!$R:$R,"中英")</f>
        <v>0</v>
      </c>
      <c r="AA27" s="33">
        <f>COUNTIFS('來案暨出貨明細表-基因檢測(201904起'!$P:$P,$A27&amp;"*",'來案暨出貨明細表-基因檢測(201904起'!$B:$B,AA$1)*$B27+COUNTIFS('來案暨出貨明細表-基因檢測(201904起'!$P:$P,$A27&amp;"*",'來案暨出貨明細表-基因檢測(201904起'!$B:$B,AA$1,'來案暨出貨明細表-基因檢測(201904起'!$Q:$Q,"紙本&amp;電子")++COUNTIFS('來案暨出貨明細表-基因檢測(201904起'!$P:$P,$A27&amp;"*",'來案暨出貨明細表-基因檢測(201904起'!$B:$B,AA$1,'來案暨出貨明細表-基因檢測(201904起'!$R:$R,"中英")</f>
        <v>0</v>
      </c>
      <c r="AB27" s="33">
        <f>COUNTIFS('來案暨出貨明細表-基因檢測(201904起'!$P:$P,$A27&amp;"*",'來案暨出貨明細表-基因檢測(201904起'!$B:$B,AB$1)*$B27+COUNTIFS('來案暨出貨明細表-基因檢測(201904起'!$P:$P,$A27&amp;"*",'來案暨出貨明細表-基因檢測(201904起'!$B:$B,AB$1,'來案暨出貨明細表-基因檢測(201904起'!$Q:$Q,"紙本&amp;電子")++COUNTIFS('來案暨出貨明細表-基因檢測(201904起'!$P:$P,$A27&amp;"*",'來案暨出貨明細表-基因檢測(201904起'!$B:$B,AB$1,'來案暨出貨明細表-基因檢測(201904起'!$R:$R,"中英")</f>
        <v>0</v>
      </c>
      <c r="AC27" s="33">
        <f>COUNTIFS('來案暨出貨明細表-基因檢測(201904起'!$P:$P,$A27&amp;"*",'來案暨出貨明細表-基因檢測(201904起'!$B:$B,AC$1)*$B27+COUNTIFS('來案暨出貨明細表-基因檢測(201904起'!$P:$P,$A27&amp;"*",'來案暨出貨明細表-基因檢測(201904起'!$B:$B,AC$1,'來案暨出貨明細表-基因檢測(201904起'!$Q:$Q,"紙本&amp;電子")++COUNTIFS('來案暨出貨明細表-基因檢測(201904起'!$P:$P,$A27&amp;"*",'來案暨出貨明細表-基因檢測(201904起'!$B:$B,AC$1,'來案暨出貨明細表-基因檢測(201904起'!$R:$R,"中英")</f>
        <v>0</v>
      </c>
      <c r="AD27" s="33">
        <f>COUNTIFS('來案暨出貨明細表-基因檢測(201904起'!$P:$P,$A27&amp;"*",'來案暨出貨明細表-基因檢測(201904起'!$B:$B,AD$1)*$B27+COUNTIFS('來案暨出貨明細表-基因檢測(201904起'!$P:$P,$A27&amp;"*",'來案暨出貨明細表-基因檢測(201904起'!$B:$B,AD$1,'來案暨出貨明細表-基因檢測(201904起'!$Q:$Q,"紙本&amp;電子")++COUNTIFS('來案暨出貨明細表-基因檢測(201904起'!$P:$P,$A27&amp;"*",'來案暨出貨明細表-基因檢測(201904起'!$B:$B,AD$1,'來案暨出貨明細表-基因檢測(201904起'!$R:$R,"中英")</f>
        <v>0</v>
      </c>
      <c r="AE27" s="33">
        <f>COUNTIFS('來案暨出貨明細表-基因檢測(201904起'!$P:$P,$A27&amp;"*",'來案暨出貨明細表-基因檢測(201904起'!$B:$B,AE$1)*$B27+COUNTIFS('來案暨出貨明細表-基因檢測(201904起'!$P:$P,$A27&amp;"*",'來案暨出貨明細表-基因檢測(201904起'!$B:$B,AE$1,'來案暨出貨明細表-基因檢測(201904起'!$Q:$Q,"紙本&amp;電子")++COUNTIFS('來案暨出貨明細表-基因檢測(201904起'!$P:$P,$A27&amp;"*",'來案暨出貨明細表-基因檢測(201904起'!$B:$B,AE$1,'來案暨出貨明細表-基因檢測(201904起'!$R:$R,"中英")</f>
        <v>0</v>
      </c>
      <c r="AF27" s="33">
        <f>COUNTIFS('來案暨出貨明細表-基因檢測(201904起'!$P:$P,$A27&amp;"*",'來案暨出貨明細表-基因檢測(201904起'!$B:$B,AF$1)*$B27+COUNTIFS('來案暨出貨明細表-基因檢測(201904起'!$P:$P,$A27&amp;"*",'來案暨出貨明細表-基因檢測(201904起'!$B:$B,AF$1,'來案暨出貨明細表-基因檢測(201904起'!$Q:$Q,"紙本&amp;電子")++COUNTIFS('來案暨出貨明細表-基因檢測(201904起'!$P:$P,$A27&amp;"*",'來案暨出貨明細表-基因檢測(201904起'!$B:$B,AF$1,'來案暨出貨明細表-基因檢測(201904起'!$R:$R,"中英")</f>
        <v>0</v>
      </c>
      <c r="AG27" s="33">
        <f>COUNTIFS('來案暨出貨明細表-基因檢測(201904起'!$P:$P,$A27&amp;"*",'來案暨出貨明細表-基因檢測(201904起'!$B:$B,AG$1)*$B27+COUNTIFS('來案暨出貨明細表-基因檢測(201904起'!$P:$P,$A27&amp;"*",'來案暨出貨明細表-基因檢測(201904起'!$B:$B,AG$1,'來案暨出貨明細表-基因檢測(201904起'!$Q:$Q,"紙本&amp;電子")++COUNTIFS('來案暨出貨明細表-基因檢測(201904起'!$P:$P,$A27&amp;"*",'來案暨出貨明細表-基因檢測(201904起'!$B:$B,AG$1,'來案暨出貨明細表-基因檢測(201904起'!$R:$R,"中英")</f>
        <v>0</v>
      </c>
      <c r="AH27" s="33">
        <f>COUNTIFS('來案暨出貨明細表-基因檢測(201904起'!$P:$P,$A27&amp;"*",'來案暨出貨明細表-基因檢測(201904起'!$B:$B,AH$1)*$B27+COUNTIFS('來案暨出貨明細表-基因檢測(201904起'!$P:$P,$A27&amp;"*",'來案暨出貨明細表-基因檢測(201904起'!$B:$B,AH$1,'來案暨出貨明細表-基因檢測(201904起'!$Q:$Q,"紙本&amp;電子")++COUNTIFS('來案暨出貨明細表-基因檢測(201904起'!$P:$P,$A27&amp;"*",'來案暨出貨明細表-基因檢測(201904起'!$B:$B,AH$1,'來案暨出貨明細表-基因檢測(201904起'!$R:$R,"中英")</f>
        <v>0</v>
      </c>
      <c r="AI27" s="33">
        <f>COUNTIFS('來案暨出貨明細表-基因檢測(201904起'!$P:$P,$A27&amp;"*",'來案暨出貨明細表-基因檢測(201904起'!$B:$B,AI$1)*$B27+COUNTIFS('來案暨出貨明細表-基因檢測(201904起'!$P:$P,$A27&amp;"*",'來案暨出貨明細表-基因檢測(201904起'!$B:$B,AI$1,'來案暨出貨明細表-基因檢測(201904起'!$Q:$Q,"紙本&amp;電子")++COUNTIFS('來案暨出貨明細表-基因檢測(201904起'!$P:$P,$A27&amp;"*",'來案暨出貨明細表-基因檢測(201904起'!$B:$B,AI$1,'來案暨出貨明細表-基因檢測(201904起'!$R:$R,"中英")</f>
        <v>0</v>
      </c>
      <c r="AJ27" s="33">
        <f>COUNTIFS('來案暨出貨明細表-基因檢測(201904起'!$P:$P,$A27&amp;"*",'來案暨出貨明細表-基因檢測(201904起'!$B:$B,AJ$1)*$B27+COUNTIFS('來案暨出貨明細表-基因檢測(201904起'!$P:$P,$A27&amp;"*",'來案暨出貨明細表-基因檢測(201904起'!$B:$B,AJ$1,'來案暨出貨明細表-基因檢測(201904起'!$Q:$Q,"紙本&amp;電子")++COUNTIFS('來案暨出貨明細表-基因檢測(201904起'!$P:$P,$A27&amp;"*",'來案暨出貨明細表-基因檢測(201904起'!$B:$B,AJ$1,'來案暨出貨明細表-基因檢測(201904起'!$R:$R,"中英")</f>
        <v>0</v>
      </c>
      <c r="AK27" s="33">
        <f>COUNTIFS('來案暨出貨明細表-基因檢測(201904起'!$P:$P,$A27&amp;"*",'來案暨出貨明細表-基因檢測(201904起'!$B:$B,AK$1)*$B27+COUNTIFS('來案暨出貨明細表-基因檢測(201904起'!$P:$P,$A27&amp;"*",'來案暨出貨明細表-基因檢測(201904起'!$B:$B,AK$1,'來案暨出貨明細表-基因檢測(201904起'!$Q:$Q,"紙本&amp;電子")++COUNTIFS('來案暨出貨明細表-基因檢測(201904起'!$P:$P,$A27&amp;"*",'來案暨出貨明細表-基因檢測(201904起'!$B:$B,AK$1,'來案暨出貨明細表-基因檢測(201904起'!$R:$R,"中英")</f>
        <v>0</v>
      </c>
      <c r="AL27" s="33">
        <f>COUNTIFS('來案暨出貨明細表-基因檢測(201904起'!$P:$P,$A27&amp;"*",'來案暨出貨明細表-基因檢測(201904起'!$B:$B,AL$1)*$B27+COUNTIFS('來案暨出貨明細表-基因檢測(201904起'!$P:$P,$A27&amp;"*",'來案暨出貨明細表-基因檢測(201904起'!$B:$B,AL$1,'來案暨出貨明細表-基因檢測(201904起'!$Q:$Q,"紙本&amp;電子")++COUNTIFS('來案暨出貨明細表-基因檢測(201904起'!$P:$P,$A27&amp;"*",'來案暨出貨明細表-基因檢測(201904起'!$B:$B,AL$1,'來案暨出貨明細表-基因檢測(201904起'!$R:$R,"中英")</f>
        <v>0</v>
      </c>
      <c r="AM27" s="33">
        <f>COUNTIFS('來案暨出貨明細表-基因檢測(201904起'!$P:$P,$A27&amp;"*",'來案暨出貨明細表-基因檢測(201904起'!$B:$B,AM$1)*$B27+COUNTIFS('來案暨出貨明細表-基因檢測(201904起'!$P:$P,$A27&amp;"*",'來案暨出貨明細表-基因檢測(201904起'!$B:$B,AM$1,'來案暨出貨明細表-基因檢測(201904起'!$Q:$Q,"紙本&amp;電子")++COUNTIFS('來案暨出貨明細表-基因檢測(201904起'!$P:$P,$A27&amp;"*",'來案暨出貨明細表-基因檢測(201904起'!$B:$B,AM$1,'來案暨出貨明細表-基因檢測(201904起'!$R:$R,"中英")</f>
        <v>0</v>
      </c>
      <c r="AN27" s="33">
        <f>COUNTIFS('來案暨出貨明細表-基因檢測(201904起'!$P:$P,$A27&amp;"*",'來案暨出貨明細表-基因檢測(201904起'!$B:$B,AN$1)*$B27+COUNTIFS('來案暨出貨明細表-基因檢測(201904起'!$P:$P,$A27&amp;"*",'來案暨出貨明細表-基因檢測(201904起'!$B:$B,AN$1,'來案暨出貨明細表-基因檢測(201904起'!$Q:$Q,"紙本&amp;電子")++COUNTIFS('來案暨出貨明細表-基因檢測(201904起'!$P:$P,$A27&amp;"*",'來案暨出貨明細表-基因檢測(201904起'!$B:$B,AN$1,'來案暨出貨明細表-基因檢測(201904起'!$R:$R,"中英")</f>
        <v>0</v>
      </c>
      <c r="AO27" s="33">
        <f>COUNTIFS('來案暨出貨明細表-基因檢測(201904起'!$P:$P,$A27&amp;"*",'來案暨出貨明細表-基因檢測(201904起'!$B:$B,AO$1)*$B27+COUNTIFS('來案暨出貨明細表-基因檢測(201904起'!$P:$P,$A27&amp;"*",'來案暨出貨明細表-基因檢測(201904起'!$B:$B,AO$1,'來案暨出貨明細表-基因檢測(201904起'!$Q:$Q,"紙本&amp;電子")++COUNTIFS('來案暨出貨明細表-基因檢測(201904起'!$P:$P,$A27&amp;"*",'來案暨出貨明細表-基因檢測(201904起'!$B:$B,AO$1,'來案暨出貨明細表-基因檢測(201904起'!$R:$R,"中英")</f>
        <v>0</v>
      </c>
      <c r="AP27" s="33">
        <f>COUNTIFS('來案暨出貨明細表-基因檢測(201904起'!$P:$P,$A27&amp;"*",'來案暨出貨明細表-基因檢測(201904起'!$B:$B,AP$1)*$B27+COUNTIFS('來案暨出貨明細表-基因檢測(201904起'!$P:$P,$A27&amp;"*",'來案暨出貨明細表-基因檢測(201904起'!$B:$B,AP$1,'來案暨出貨明細表-基因檢測(201904起'!$Q:$Q,"紙本&amp;電子")++COUNTIFS('來案暨出貨明細表-基因檢測(201904起'!$P:$P,$A27&amp;"*",'來案暨出貨明細表-基因檢測(201904起'!$B:$B,AP$1,'來案暨出貨明細表-基因檢測(201904起'!$R:$R,"中英")</f>
        <v>0</v>
      </c>
      <c r="AQ27" s="33">
        <f>COUNTIFS('來案暨出貨明細表-基因檢測(201904起'!$P:$P,$A27&amp;"*",'來案暨出貨明細表-基因檢測(201904起'!$B:$B,AQ$1)*$B27+COUNTIFS('來案暨出貨明細表-基因檢測(201904起'!$P:$P,$A27&amp;"*",'來案暨出貨明細表-基因檢測(201904起'!$B:$B,AQ$1,'來案暨出貨明細表-基因檢測(201904起'!$Q:$Q,"紙本&amp;電子")++COUNTIFS('來案暨出貨明細表-基因檢測(201904起'!$P:$P,$A27&amp;"*",'來案暨出貨明細表-基因檢測(201904起'!$B:$B,AQ$1,'來案暨出貨明細表-基因檢測(201904起'!$R:$R,"中英")</f>
        <v>0</v>
      </c>
      <c r="AR27" s="33">
        <f>COUNTIFS('來案暨出貨明細表-基因檢測(201904起'!$P:$P,$A27&amp;"*",'來案暨出貨明細表-基因檢測(201904起'!$B:$B,AR$1)*$B27+COUNTIFS('來案暨出貨明細表-基因檢測(201904起'!$P:$P,$A27&amp;"*",'來案暨出貨明細表-基因檢測(201904起'!$B:$B,AR$1,'來案暨出貨明細表-基因檢測(201904起'!$Q:$Q,"紙本&amp;電子")++COUNTIFS('來案暨出貨明細表-基因檢測(201904起'!$P:$P,$A27&amp;"*",'來案暨出貨明細表-基因檢測(201904起'!$B:$B,AR$1,'來案暨出貨明細表-基因檢測(201904起'!$R:$R,"中英")</f>
        <v>0</v>
      </c>
      <c r="AS27" s="33">
        <f>COUNTIFS('來案暨出貨明細表-基因檢測(201904起'!$P:$P,$A27&amp;"*",'來案暨出貨明細表-基因檢測(201904起'!$B:$B,AS$1)*$B27+COUNTIFS('來案暨出貨明細表-基因檢測(201904起'!$P:$P,$A27&amp;"*",'來案暨出貨明細表-基因檢測(201904起'!$B:$B,AS$1,'來案暨出貨明細表-基因檢測(201904起'!$Q:$Q,"紙本&amp;電子")++COUNTIFS('來案暨出貨明細表-基因檢測(201904起'!$P:$P,$A27&amp;"*",'來案暨出貨明細表-基因檢測(201904起'!$B:$B,AS$1,'來案暨出貨明細表-基因檢測(201904起'!$R:$R,"中英")</f>
        <v>0</v>
      </c>
      <c r="AT27" s="33">
        <f>COUNTIFS('來案暨出貨明細表-基因檢測(201904起'!$P:$P,$A27&amp;"*",'來案暨出貨明細表-基因檢測(201904起'!$B:$B,AT$1)*$B27+COUNTIFS('來案暨出貨明細表-基因檢測(201904起'!$P:$P,$A27&amp;"*",'來案暨出貨明細表-基因檢測(201904起'!$B:$B,AT$1,'來案暨出貨明細表-基因檢測(201904起'!$Q:$Q,"紙本&amp;電子")++COUNTIFS('來案暨出貨明細表-基因檢測(201904起'!$P:$P,$A27&amp;"*",'來案暨出貨明細表-基因檢測(201904起'!$B:$B,AT$1,'來案暨出貨明細表-基因檢測(201904起'!$R:$R,"中英")</f>
        <v>0</v>
      </c>
      <c r="AU27" s="33">
        <f>COUNTIFS('來案暨出貨明細表-基因檢測(201904起'!$P:$P,$A27&amp;"*",'來案暨出貨明細表-基因檢測(201904起'!$B:$B,AU$1)*$B27+COUNTIFS('來案暨出貨明細表-基因檢測(201904起'!$P:$P,$A27&amp;"*",'來案暨出貨明細表-基因檢測(201904起'!$B:$B,AU$1,'來案暨出貨明細表-基因檢測(201904起'!$Q:$Q,"紙本&amp;電子")++COUNTIFS('來案暨出貨明細表-基因檢測(201904起'!$P:$P,$A27&amp;"*",'來案暨出貨明細表-基因檢測(201904起'!$B:$B,AU$1,'來案暨出貨明細表-基因檢測(201904起'!$R:$R,"中英")</f>
        <v>0</v>
      </c>
      <c r="AV27" s="33">
        <f>COUNTIFS('來案暨出貨明細表-基因檢測(201904起'!$P:$P,$A27&amp;"*",'來案暨出貨明細表-基因檢測(201904起'!$B:$B,AV$1)*$B27+COUNTIFS('來案暨出貨明細表-基因檢測(201904起'!$P:$P,$A27&amp;"*",'來案暨出貨明細表-基因檢測(201904起'!$B:$B,AV$1,'來案暨出貨明細表-基因檢測(201904起'!$Q:$Q,"紙本&amp;電子")++COUNTIFS('來案暨出貨明細表-基因檢測(201904起'!$P:$P,$A27&amp;"*",'來案暨出貨明細表-基因檢測(201904起'!$B:$B,AV$1,'來案暨出貨明細表-基因檢測(201904起'!$R:$R,"中英")</f>
        <v>0</v>
      </c>
      <c r="AW27" s="33">
        <f>COUNTIFS('來案暨出貨明細表-基因檢測(201904起'!$P:$P,$A27&amp;"*",'來案暨出貨明細表-基因檢測(201904起'!$B:$B,AW$1)*$B27+COUNTIFS('來案暨出貨明細表-基因檢測(201904起'!$P:$P,$A27&amp;"*",'來案暨出貨明細表-基因檢測(201904起'!$B:$B,AW$1,'來案暨出貨明細表-基因檢測(201904起'!$Q:$Q,"紙本&amp;電子")++COUNTIFS('來案暨出貨明細表-基因檢測(201904起'!$P:$P,$A27&amp;"*",'來案暨出貨明細表-基因檢測(201904起'!$B:$B,AW$1,'來案暨出貨明細表-基因檢測(201904起'!$R:$R,"中英")</f>
        <v>0</v>
      </c>
      <c r="AX27" s="33">
        <f>COUNTIFS('來案暨出貨明細表-基因檢測(201904起'!$P:$P,$A27&amp;"*",'來案暨出貨明細表-基因檢測(201904起'!$B:$B,AX$1)*$B27+COUNTIFS('來案暨出貨明細表-基因檢測(201904起'!$P:$P,$A27&amp;"*",'來案暨出貨明細表-基因檢測(201904起'!$B:$B,AX$1,'來案暨出貨明細表-基因檢測(201904起'!$Q:$Q,"紙本&amp;電子")++COUNTIFS('來案暨出貨明細表-基因檢測(201904起'!$P:$P,$A27&amp;"*",'來案暨出貨明細表-基因檢測(201904起'!$B:$B,AX$1,'來案暨出貨明細表-基因檢測(201904起'!$R:$R,"中英")</f>
        <v>0</v>
      </c>
      <c r="AY27" s="33">
        <f>COUNTIFS('來案暨出貨明細表-基因檢測(201904起'!$P:$P,$A27&amp;"*",'來案暨出貨明細表-基因檢測(201904起'!$B:$B,AY$1)*$B27+COUNTIFS('來案暨出貨明細表-基因檢測(201904起'!$P:$P,$A27&amp;"*",'來案暨出貨明細表-基因檢測(201904起'!$B:$B,AY$1,'來案暨出貨明細表-基因檢測(201904起'!$Q:$Q,"紙本&amp;電子")++COUNTIFS('來案暨出貨明細表-基因檢測(201904起'!$P:$P,$A27&amp;"*",'來案暨出貨明細表-基因檢測(201904起'!$B:$B,AY$1,'來案暨出貨明細表-基因檢測(201904起'!$R:$R,"中英")</f>
        <v>0</v>
      </c>
      <c r="AZ27" s="33">
        <f>COUNTIFS('來案暨出貨明細表-基因檢測(201904起'!$P:$P,$A27&amp;"*",'來案暨出貨明細表-基因檢測(201904起'!$B:$B,AZ$1)*$B27+COUNTIFS('來案暨出貨明細表-基因檢測(201904起'!$P:$P,$A27&amp;"*",'來案暨出貨明細表-基因檢測(201904起'!$B:$B,AZ$1,'來案暨出貨明細表-基因檢測(201904起'!$Q:$Q,"紙本&amp;電子")++COUNTIFS('來案暨出貨明細表-基因檢測(201904起'!$P:$P,$A27&amp;"*",'來案暨出貨明細表-基因檢測(201904起'!$B:$B,AZ$1,'來案暨出貨明細表-基因檢測(201904起'!$R:$R,"中英")</f>
        <v>0</v>
      </c>
      <c r="BA27" s="33">
        <f>COUNTIFS('來案暨出貨明細表-基因檢測(201904起'!$P:$P,$A27&amp;"*",'來案暨出貨明細表-基因檢測(201904起'!$B:$B,BA$1)*$B27+COUNTIFS('來案暨出貨明細表-基因檢測(201904起'!$P:$P,$A27&amp;"*",'來案暨出貨明細表-基因檢測(201904起'!$B:$B,BA$1,'來案暨出貨明細表-基因檢測(201904起'!$Q:$Q,"紙本&amp;電子")++COUNTIFS('來案暨出貨明細表-基因檢測(201904起'!$P:$P,$A27&amp;"*",'來案暨出貨明細表-基因檢測(201904起'!$B:$B,BA$1,'來案暨出貨明細表-基因檢測(201904起'!$R:$R,"中英")</f>
        <v>0</v>
      </c>
      <c r="BB27" s="33">
        <f>COUNTIFS('來案暨出貨明細表-基因檢測(201904起'!$P:$P,$A27&amp;"*",'來案暨出貨明細表-基因檢測(201904起'!$B:$B,BB$1)*$B27+COUNTIFS('來案暨出貨明細表-基因檢測(201904起'!$P:$P,$A27&amp;"*",'來案暨出貨明細表-基因檢測(201904起'!$B:$B,BB$1,'來案暨出貨明細表-基因檢測(201904起'!$Q:$Q,"紙本&amp;電子")++COUNTIFS('來案暨出貨明細表-基因檢測(201904起'!$P:$P,$A27&amp;"*",'來案暨出貨明細表-基因檢測(201904起'!$B:$B,BB$1,'來案暨出貨明細表-基因檢測(201904起'!$R:$R,"中英")</f>
        <v>0</v>
      </c>
      <c r="BC27" s="33">
        <f>COUNTIFS('來案暨出貨明細表-基因檢測(201904起'!$P:$P,$A27&amp;"*",'來案暨出貨明細表-基因檢測(201904起'!$B:$B,BC$1)*$B27+COUNTIFS('來案暨出貨明細表-基因檢測(201904起'!$P:$P,$A27&amp;"*",'來案暨出貨明細表-基因檢測(201904起'!$B:$B,BC$1,'來案暨出貨明細表-基因檢測(201904起'!$Q:$Q,"紙本&amp;電子")++COUNTIFS('來案暨出貨明細表-基因檢測(201904起'!$P:$P,$A27&amp;"*",'來案暨出貨明細表-基因檢測(201904起'!$B:$B,BC$1,'來案暨出貨明細表-基因檢測(201904起'!$R:$R,"中英")</f>
        <v>0</v>
      </c>
      <c r="BD27" s="33">
        <f>COUNTIFS('來案暨出貨明細表-基因檢測(201904起'!$P:$P,$A27&amp;"*",'來案暨出貨明細表-基因檢測(201904起'!$B:$B,BD$1)*$B27+COUNTIFS('來案暨出貨明細表-基因檢測(201904起'!$P:$P,$A27&amp;"*",'來案暨出貨明細表-基因檢測(201904起'!$B:$B,BD$1,'來案暨出貨明細表-基因檢測(201904起'!$Q:$Q,"紙本&amp;電子")++COUNTIFS('來案暨出貨明細表-基因檢測(201904起'!$P:$P,$A27&amp;"*",'來案暨出貨明細表-基因檢測(201904起'!$B:$B,BD$1,'來案暨出貨明細表-基因檢測(201904起'!$R:$R,"中英")</f>
        <v>0</v>
      </c>
      <c r="BE27" s="33">
        <f>COUNTIFS('來案暨出貨明細表-基因檢測(201904起'!$P:$P,$A27&amp;"*",'來案暨出貨明細表-基因檢測(201904起'!$B:$B,BE$1)*$B27+COUNTIFS('來案暨出貨明細表-基因檢測(201904起'!$P:$P,$A27&amp;"*",'來案暨出貨明細表-基因檢測(201904起'!$B:$B,BE$1,'來案暨出貨明細表-基因檢測(201904起'!$Q:$Q,"紙本&amp;電子")++COUNTIFS('來案暨出貨明細表-基因檢測(201904起'!$P:$P,$A27&amp;"*",'來案暨出貨明細表-基因檢測(201904起'!$B:$B,BE$1,'來案暨出貨明細表-基因檢測(201904起'!$R:$R,"中英")</f>
        <v>0</v>
      </c>
      <c r="BF27" s="33">
        <f>COUNTIFS('來案暨出貨明細表-基因檢測(201904起'!$P:$P,$A27&amp;"*",'來案暨出貨明細表-基因檢測(201904起'!$B:$B,BF$1)*$B27+COUNTIFS('來案暨出貨明細表-基因檢測(201904起'!$P:$P,$A27&amp;"*",'來案暨出貨明細表-基因檢測(201904起'!$B:$B,BF$1,'來案暨出貨明細表-基因檢測(201904起'!$Q:$Q,"紙本&amp;電子")++COUNTIFS('來案暨出貨明細表-基因檢測(201904起'!$P:$P,$A27&amp;"*",'來案暨出貨明細表-基因檢測(201904起'!$B:$B,BF$1,'來案暨出貨明細表-基因檢測(201904起'!$R:$R,"中英")</f>
        <v>0</v>
      </c>
      <c r="BG27" s="33">
        <f>COUNTIFS('來案暨出貨明細表-基因檢測(201904起'!$P:$P,$A27&amp;"*",'來案暨出貨明細表-基因檢測(201904起'!$B:$B,BG$1)*$B27+COUNTIFS('來案暨出貨明細表-基因檢測(201904起'!$P:$P,$A27&amp;"*",'來案暨出貨明細表-基因檢測(201904起'!$B:$B,BG$1,'來案暨出貨明細表-基因檢測(201904起'!$Q:$Q,"紙本&amp;電子")++COUNTIFS('來案暨出貨明細表-基因檢測(201904起'!$P:$P,$A27&amp;"*",'來案暨出貨明細表-基因檢測(201904起'!$B:$B,BG$1,'來案暨出貨明細表-基因檢測(201904起'!$R:$R,"中英")</f>
        <v>0</v>
      </c>
      <c r="BH27" s="33">
        <f>COUNTIFS('來案暨出貨明細表-基因檢測(201904起'!$P:$P,$A27&amp;"*",'來案暨出貨明細表-基因檢測(201904起'!$B:$B,BH$1)*$B27+COUNTIFS('來案暨出貨明細表-基因檢測(201904起'!$P:$P,$A27&amp;"*",'來案暨出貨明細表-基因檢測(201904起'!$B:$B,BH$1,'來案暨出貨明細表-基因檢測(201904起'!$Q:$Q,"紙本&amp;電子")++COUNTIFS('來案暨出貨明細表-基因檢測(201904起'!$P:$P,$A27&amp;"*",'來案暨出貨明細表-基因檢測(201904起'!$B:$B,BH$1,'來案暨出貨明細表-基因檢測(201904起'!$R:$R,"中英")</f>
        <v>0</v>
      </c>
      <c r="BI27" s="33">
        <f>COUNTIFS('來案暨出貨明細表-基因檢測(201904起'!$P:$P,$A27&amp;"*",'來案暨出貨明細表-基因檢測(201904起'!$B:$B,BI$1)*$B27+COUNTIFS('來案暨出貨明細表-基因檢測(201904起'!$P:$P,$A27&amp;"*",'來案暨出貨明細表-基因檢測(201904起'!$B:$B,BI$1,'來案暨出貨明細表-基因檢測(201904起'!$Q:$Q,"紙本&amp;電子")++COUNTIFS('來案暨出貨明細表-基因檢測(201904起'!$P:$P,$A27&amp;"*",'來案暨出貨明細表-基因檢測(201904起'!$B:$B,BI$1,'來案暨出貨明細表-基因檢測(201904起'!$R:$R,"中英")</f>
        <v>0</v>
      </c>
      <c r="BJ27" s="33">
        <f>COUNTIFS('來案暨出貨明細表-基因檢測(201904起'!$P:$P,$A27&amp;"*",'來案暨出貨明細表-基因檢測(201904起'!$B:$B,BJ$1)*$B27+COUNTIFS('來案暨出貨明細表-基因檢測(201904起'!$P:$P,$A27&amp;"*",'來案暨出貨明細表-基因檢測(201904起'!$B:$B,BJ$1,'來案暨出貨明細表-基因檢測(201904起'!$Q:$Q,"紙本&amp;電子")++COUNTIFS('來案暨出貨明細表-基因檢測(201904起'!$P:$P,$A27&amp;"*",'來案暨出貨明細表-基因檢測(201904起'!$B:$B,BJ$1,'來案暨出貨明細表-基因檢測(201904起'!$R:$R,"中英")</f>
        <v>0</v>
      </c>
      <c r="BK27" s="33">
        <f>COUNTIFS('來案暨出貨明細表-基因檢測(201904起'!$P:$P,$A27&amp;"*",'來案暨出貨明細表-基因檢測(201904起'!$B:$B,BK$1)*$B27+COUNTIFS('來案暨出貨明細表-基因檢測(201904起'!$P:$P,$A27&amp;"*",'來案暨出貨明細表-基因檢測(201904起'!$B:$B,BK$1,'來案暨出貨明細表-基因檢測(201904起'!$Q:$Q,"紙本&amp;電子")++COUNTIFS('來案暨出貨明細表-基因檢測(201904起'!$P:$P,$A27&amp;"*",'來案暨出貨明細表-基因檢測(201904起'!$B:$B,BK$1,'來案暨出貨明細表-基因檢測(201904起'!$R:$R,"中英")</f>
        <v>0</v>
      </c>
      <c r="BL27" s="33">
        <f>COUNTIFS('來案暨出貨明細表-基因檢測(201904起'!$P:$P,$A27&amp;"*",'來案暨出貨明細表-基因檢測(201904起'!$B:$B,BL$1)*$B27+COUNTIFS('來案暨出貨明細表-基因檢測(201904起'!$P:$P,$A27&amp;"*",'來案暨出貨明細表-基因檢測(201904起'!$B:$B,BL$1,'來案暨出貨明細表-基因檢測(201904起'!$Q:$Q,"紙本&amp;電子")++COUNTIFS('來案暨出貨明細表-基因檢測(201904起'!$P:$P,$A27&amp;"*",'來案暨出貨明細表-基因檢測(201904起'!$B:$B,BL$1,'來案暨出貨明細表-基因檢測(201904起'!$R:$R,"中英")</f>
        <v>0</v>
      </c>
      <c r="BM27" s="33">
        <f>COUNTIFS('來案暨出貨明細表-基因檢測(201904起'!$P:$P,$A27&amp;"*",'來案暨出貨明細表-基因檢測(201904起'!$B:$B,BM$1)*$B27+COUNTIFS('來案暨出貨明細表-基因檢測(201904起'!$P:$P,$A27&amp;"*",'來案暨出貨明細表-基因檢測(201904起'!$B:$B,BM$1,'來案暨出貨明細表-基因檢測(201904起'!$Q:$Q,"紙本&amp;電子")++COUNTIFS('來案暨出貨明細表-基因檢測(201904起'!$P:$P,$A27&amp;"*",'來案暨出貨明細表-基因檢測(201904起'!$B:$B,BM$1,'來案暨出貨明細表-基因檢測(201904起'!$R:$R,"中英")</f>
        <v>0</v>
      </c>
    </row>
    <row r="28" spans="1:65" ht="15" customHeight="1">
      <c r="A28" s="9" t="s">
        <v>4546</v>
      </c>
      <c r="B28" s="9">
        <v>1</v>
      </c>
      <c r="C28" s="13" t="s">
        <v>4547</v>
      </c>
      <c r="D28" s="142" t="s">
        <v>4548</v>
      </c>
      <c r="E28" s="33">
        <f>COUNTIFS('來案暨出貨明細表-基因檢測(201904起'!$P:$P,$A28&amp;"*",'來案暨出貨明細表-基因檢測(201904起'!$B:$B,E$1)*$B28+COUNTIFS('來案暨出貨明細表-基因檢測(201904起'!$P:$P,$A28&amp;"*",'來案暨出貨明細表-基因檢測(201904起'!$B:$B,E$1,'來案暨出貨明細表-基因檢測(201904起'!$Q:$Q,"紙本&amp;電子")++COUNTIFS('來案暨出貨明細表-基因檢測(201904起'!$P:$P,$A28&amp;"*",'來案暨出貨明細表-基因檢測(201904起'!$B:$B,E$1,'來案暨出貨明細表-基因檢測(201904起'!$R:$R,"中英")</f>
        <v>0</v>
      </c>
      <c r="F28" s="33">
        <f>COUNTIFS('來案暨出貨明細表-基因檢測(201904起'!$P:$P,$A28&amp;"*",'來案暨出貨明細表-基因檢測(201904起'!$B:$B,F$1)*$B28+COUNTIFS('來案暨出貨明細表-基因檢測(201904起'!$P:$P,$A28&amp;"*",'來案暨出貨明細表-基因檢測(201904起'!$B:$B,F$1,'來案暨出貨明細表-基因檢測(201904起'!$Q:$Q,"紙本&amp;電子")++COUNTIFS('來案暨出貨明細表-基因檢測(201904起'!$P:$P,$A28&amp;"*",'來案暨出貨明細表-基因檢測(201904起'!$B:$B,F$1,'來案暨出貨明細表-基因檢測(201904起'!$R:$R,"中英")</f>
        <v>0</v>
      </c>
      <c r="G28" s="33">
        <f>COUNTIFS('來案暨出貨明細表-基因檢測(201904起'!$P:$P,$A28&amp;"*",'來案暨出貨明細表-基因檢測(201904起'!$B:$B,G$1)*$B28+COUNTIFS('來案暨出貨明細表-基因檢測(201904起'!$P:$P,$A28&amp;"*",'來案暨出貨明細表-基因檢測(201904起'!$B:$B,G$1,'來案暨出貨明細表-基因檢測(201904起'!$Q:$Q,"紙本&amp;電子")++COUNTIFS('來案暨出貨明細表-基因檢測(201904起'!$P:$P,$A28&amp;"*",'來案暨出貨明細表-基因檢測(201904起'!$B:$B,G$1,'來案暨出貨明細表-基因檢測(201904起'!$R:$R,"中英")</f>
        <v>0</v>
      </c>
      <c r="H28" s="33">
        <f>COUNTIFS('來案暨出貨明細表-基因檢測(201904起'!$P:$P,$A28&amp;"*",'來案暨出貨明細表-基因檢測(201904起'!$B:$B,H$1)*$B28+COUNTIFS('來案暨出貨明細表-基因檢測(201904起'!$P:$P,$A28&amp;"*",'來案暨出貨明細表-基因檢測(201904起'!$B:$B,H$1,'來案暨出貨明細表-基因檢測(201904起'!$Q:$Q,"紙本&amp;電子")++COUNTIFS('來案暨出貨明細表-基因檢測(201904起'!$P:$P,$A28&amp;"*",'來案暨出貨明細表-基因檢測(201904起'!$B:$B,H$1,'來案暨出貨明細表-基因檢測(201904起'!$R:$R,"中英")</f>
        <v>0</v>
      </c>
      <c r="I28" s="33">
        <f>COUNTIFS('來案暨出貨明細表-基因檢測(201904起'!$P:$P,$A28&amp;"*",'來案暨出貨明細表-基因檢測(201904起'!$B:$B,I$1)*$B28+COUNTIFS('來案暨出貨明細表-基因檢測(201904起'!$P:$P,$A28&amp;"*",'來案暨出貨明細表-基因檢測(201904起'!$B:$B,I$1,'來案暨出貨明細表-基因檢測(201904起'!$Q:$Q,"紙本&amp;電子")++COUNTIFS('來案暨出貨明細表-基因檢測(201904起'!$P:$P,$A28&amp;"*",'來案暨出貨明細表-基因檢測(201904起'!$B:$B,I$1,'來案暨出貨明細表-基因檢測(201904起'!$R:$R,"中英")</f>
        <v>0</v>
      </c>
      <c r="J28" s="33">
        <f>COUNTIFS('來案暨出貨明細表-基因檢測(201904起'!$P:$P,$A28&amp;"*",'來案暨出貨明細表-基因檢測(201904起'!$B:$B,J$1)*$B28+COUNTIFS('來案暨出貨明細表-基因檢測(201904起'!$P:$P,$A28&amp;"*",'來案暨出貨明細表-基因檢測(201904起'!$B:$B,J$1,'來案暨出貨明細表-基因檢測(201904起'!$Q:$Q,"紙本&amp;電子")++COUNTIFS('來案暨出貨明細表-基因檢測(201904起'!$P:$P,$A28&amp;"*",'來案暨出貨明細表-基因檢測(201904起'!$B:$B,J$1,'來案暨出貨明細表-基因檢測(201904起'!$R:$R,"中英")</f>
        <v>0</v>
      </c>
      <c r="K28" s="33">
        <f>COUNTIFS('來案暨出貨明細表-基因檢測(201904起'!$P:$P,$A28&amp;"*",'來案暨出貨明細表-基因檢測(201904起'!$B:$B,K$1)*$B28+COUNTIFS('來案暨出貨明細表-基因檢測(201904起'!$P:$P,$A28&amp;"*",'來案暨出貨明細表-基因檢測(201904起'!$B:$B,K$1,'來案暨出貨明細表-基因檢測(201904起'!$Q:$Q,"紙本&amp;電子")++COUNTIFS('來案暨出貨明細表-基因檢測(201904起'!$P:$P,$A28&amp;"*",'來案暨出貨明細表-基因檢測(201904起'!$B:$B,K$1,'來案暨出貨明細表-基因檢測(201904起'!$R:$R,"中英")</f>
        <v>0</v>
      </c>
      <c r="L28" s="33">
        <f>COUNTIFS('來案暨出貨明細表-基因檢測(201904起'!$P:$P,$A28&amp;"*",'來案暨出貨明細表-基因檢測(201904起'!$B:$B,L$1)*$B28+COUNTIFS('來案暨出貨明細表-基因檢測(201904起'!$P:$P,$A28&amp;"*",'來案暨出貨明細表-基因檢測(201904起'!$B:$B,L$1,'來案暨出貨明細表-基因檢測(201904起'!$Q:$Q,"紙本&amp;電子")++COUNTIFS('來案暨出貨明細表-基因檢測(201904起'!$P:$P,$A28&amp;"*",'來案暨出貨明細表-基因檢測(201904起'!$B:$B,L$1,'來案暨出貨明細表-基因檢測(201904起'!$R:$R,"中英")</f>
        <v>0</v>
      </c>
      <c r="M28" s="33">
        <f>COUNTIFS('來案暨出貨明細表-基因檢測(201904起'!$P:$P,$A28&amp;"*",'來案暨出貨明細表-基因檢測(201904起'!$B:$B,M$1)*$B28+COUNTIFS('來案暨出貨明細表-基因檢測(201904起'!$P:$P,$A28&amp;"*",'來案暨出貨明細表-基因檢測(201904起'!$B:$B,M$1,'來案暨出貨明細表-基因檢測(201904起'!$Q:$Q,"紙本&amp;電子")++COUNTIFS('來案暨出貨明細表-基因檢測(201904起'!$P:$P,$A28&amp;"*",'來案暨出貨明細表-基因檢測(201904起'!$B:$B,M$1,'來案暨出貨明細表-基因檢測(201904起'!$R:$R,"中英")</f>
        <v>0</v>
      </c>
      <c r="N28" s="33">
        <f>COUNTIFS('來案暨出貨明細表-基因檢測(201904起'!$P:$P,$A28&amp;"*",'來案暨出貨明細表-基因檢測(201904起'!$B:$B,N$1)*$B28+COUNTIFS('來案暨出貨明細表-基因檢測(201904起'!$P:$P,$A28&amp;"*",'來案暨出貨明細表-基因檢測(201904起'!$B:$B,N$1,'來案暨出貨明細表-基因檢測(201904起'!$Q:$Q,"紙本&amp;電子")++COUNTIFS('來案暨出貨明細表-基因檢測(201904起'!$P:$P,$A28&amp;"*",'來案暨出貨明細表-基因檢測(201904起'!$B:$B,N$1,'來案暨出貨明細表-基因檢測(201904起'!$R:$R,"中英")</f>
        <v>0</v>
      </c>
      <c r="O28" s="33">
        <f>COUNTIFS('來案暨出貨明細表-基因檢測(201904起'!$P:$P,$A28&amp;"*",'來案暨出貨明細表-基因檢測(201904起'!$B:$B,O$1)*$B28+COUNTIFS('來案暨出貨明細表-基因檢測(201904起'!$P:$P,$A28&amp;"*",'來案暨出貨明細表-基因檢測(201904起'!$B:$B,O$1,'來案暨出貨明細表-基因檢測(201904起'!$Q:$Q,"紙本&amp;電子")++COUNTIFS('來案暨出貨明細表-基因檢測(201904起'!$P:$P,$A28&amp;"*",'來案暨出貨明細表-基因檢測(201904起'!$B:$B,O$1,'來案暨出貨明細表-基因檢測(201904起'!$R:$R,"中英")</f>
        <v>0</v>
      </c>
      <c r="P28" s="33">
        <f>COUNTIFS('來案暨出貨明細表-基因檢測(201904起'!$P:$P,$A28&amp;"*",'來案暨出貨明細表-基因檢測(201904起'!$B:$B,P$1)*$B28+COUNTIFS('來案暨出貨明細表-基因檢測(201904起'!$P:$P,$A28&amp;"*",'來案暨出貨明細表-基因檢測(201904起'!$B:$B,P$1,'來案暨出貨明細表-基因檢測(201904起'!$Q:$Q,"紙本&amp;電子")++COUNTIFS('來案暨出貨明細表-基因檢測(201904起'!$P:$P,$A28&amp;"*",'來案暨出貨明細表-基因檢測(201904起'!$B:$B,P$1,'來案暨出貨明細表-基因檢測(201904起'!$R:$R,"中英")</f>
        <v>0</v>
      </c>
      <c r="Q28" s="33">
        <f>COUNTIFS('來案暨出貨明細表-基因檢測(201904起'!$P:$P,$A28&amp;"*",'來案暨出貨明細表-基因檢測(201904起'!$B:$B,Q$1)*$B28+COUNTIFS('來案暨出貨明細表-基因檢測(201904起'!$P:$P,$A28&amp;"*",'來案暨出貨明細表-基因檢測(201904起'!$B:$B,Q$1,'來案暨出貨明細表-基因檢測(201904起'!$Q:$Q,"紙本&amp;電子")++COUNTIFS('來案暨出貨明細表-基因檢測(201904起'!$P:$P,$A28&amp;"*",'來案暨出貨明細表-基因檢測(201904起'!$B:$B,Q$1,'來案暨出貨明細表-基因檢測(201904起'!$R:$R,"中英")</f>
        <v>0</v>
      </c>
      <c r="R28" s="33">
        <f>COUNTIFS('來案暨出貨明細表-基因檢測(201904起'!$P:$P,$A28&amp;"*",'來案暨出貨明細表-基因檢測(201904起'!$B:$B,R$1)*$B28+COUNTIFS('來案暨出貨明細表-基因檢測(201904起'!$P:$P,$A28&amp;"*",'來案暨出貨明細表-基因檢測(201904起'!$B:$B,R$1,'來案暨出貨明細表-基因檢測(201904起'!$Q:$Q,"紙本&amp;電子")++COUNTIFS('來案暨出貨明細表-基因檢測(201904起'!$P:$P,$A28&amp;"*",'來案暨出貨明細表-基因檢測(201904起'!$B:$B,R$1,'來案暨出貨明細表-基因檢測(201904起'!$R:$R,"中英")</f>
        <v>0</v>
      </c>
      <c r="S28" s="33">
        <f>COUNTIFS('來案暨出貨明細表-基因檢測(201904起'!$P:$P,$A28&amp;"*",'來案暨出貨明細表-基因檢測(201904起'!$B:$B,S$1)*$B28+COUNTIFS('來案暨出貨明細表-基因檢測(201904起'!$P:$P,$A28&amp;"*",'來案暨出貨明細表-基因檢測(201904起'!$B:$B,S$1,'來案暨出貨明細表-基因檢測(201904起'!$Q:$Q,"紙本&amp;電子")++COUNTIFS('來案暨出貨明細表-基因檢測(201904起'!$P:$P,$A28&amp;"*",'來案暨出貨明細表-基因檢測(201904起'!$B:$B,S$1,'來案暨出貨明細表-基因檢測(201904起'!$R:$R,"中英")</f>
        <v>0</v>
      </c>
      <c r="T28" s="33">
        <f>COUNTIFS('來案暨出貨明細表-基因檢測(201904起'!$P:$P,$A28&amp;"*",'來案暨出貨明細表-基因檢測(201904起'!$B:$B,T$1)*$B28+COUNTIFS('來案暨出貨明細表-基因檢測(201904起'!$P:$P,$A28&amp;"*",'來案暨出貨明細表-基因檢測(201904起'!$B:$B,T$1,'來案暨出貨明細表-基因檢測(201904起'!$Q:$Q,"紙本&amp;電子")++COUNTIFS('來案暨出貨明細表-基因檢測(201904起'!$P:$P,$A28&amp;"*",'來案暨出貨明細表-基因檢測(201904起'!$B:$B,T$1,'來案暨出貨明細表-基因檢測(201904起'!$R:$R,"中英")</f>
        <v>0</v>
      </c>
      <c r="U28" s="33">
        <f>COUNTIFS('來案暨出貨明細表-基因檢測(201904起'!$P:$P,$A28&amp;"*",'來案暨出貨明細表-基因檢測(201904起'!$B:$B,U$1)*$B28+COUNTIFS('來案暨出貨明細表-基因檢測(201904起'!$P:$P,$A28&amp;"*",'來案暨出貨明細表-基因檢測(201904起'!$B:$B,U$1,'來案暨出貨明細表-基因檢測(201904起'!$Q:$Q,"紙本&amp;電子")++COUNTIFS('來案暨出貨明細表-基因檢測(201904起'!$P:$P,$A28&amp;"*",'來案暨出貨明細表-基因檢測(201904起'!$B:$B,U$1,'來案暨出貨明細表-基因檢測(201904起'!$R:$R,"中英")</f>
        <v>0</v>
      </c>
      <c r="V28" s="33">
        <f>COUNTIFS('來案暨出貨明細表-基因檢測(201904起'!$P:$P,$A28&amp;"*",'來案暨出貨明細表-基因檢測(201904起'!$B:$B,V$1)*$B28+COUNTIFS('來案暨出貨明細表-基因檢測(201904起'!$P:$P,$A28&amp;"*",'來案暨出貨明細表-基因檢測(201904起'!$B:$B,V$1,'來案暨出貨明細表-基因檢測(201904起'!$Q:$Q,"紙本&amp;電子")++COUNTIFS('來案暨出貨明細表-基因檢測(201904起'!$P:$P,$A28&amp;"*",'來案暨出貨明細表-基因檢測(201904起'!$B:$B,V$1,'來案暨出貨明細表-基因檢測(201904起'!$R:$R,"中英")</f>
        <v>0</v>
      </c>
      <c r="W28" s="33">
        <f>COUNTIFS('來案暨出貨明細表-基因檢測(201904起'!$P:$P,$A28&amp;"*",'來案暨出貨明細表-基因檢測(201904起'!$B:$B,W$1)*$B28+COUNTIFS('來案暨出貨明細表-基因檢測(201904起'!$P:$P,$A28&amp;"*",'來案暨出貨明細表-基因檢測(201904起'!$B:$B,W$1,'來案暨出貨明細表-基因檢測(201904起'!$Q:$Q,"紙本&amp;電子")++COUNTIFS('來案暨出貨明細表-基因檢測(201904起'!$P:$P,$A28&amp;"*",'來案暨出貨明細表-基因檢測(201904起'!$B:$B,W$1,'來案暨出貨明細表-基因檢測(201904起'!$R:$R,"中英")</f>
        <v>0</v>
      </c>
      <c r="X28" s="33">
        <f>COUNTIFS('來案暨出貨明細表-基因檢測(201904起'!$P:$P,$A28&amp;"*",'來案暨出貨明細表-基因檢測(201904起'!$B:$B,X$1)*$B28+COUNTIFS('來案暨出貨明細表-基因檢測(201904起'!$P:$P,$A28&amp;"*",'來案暨出貨明細表-基因檢測(201904起'!$B:$B,X$1,'來案暨出貨明細表-基因檢測(201904起'!$Q:$Q,"紙本&amp;電子")++COUNTIFS('來案暨出貨明細表-基因檢測(201904起'!$P:$P,$A28&amp;"*",'來案暨出貨明細表-基因檢測(201904起'!$B:$B,X$1,'來案暨出貨明細表-基因檢測(201904起'!$R:$R,"中英")</f>
        <v>0</v>
      </c>
      <c r="Y28" s="33">
        <f>COUNTIFS('來案暨出貨明細表-基因檢測(201904起'!$P:$P,$A28&amp;"*",'來案暨出貨明細表-基因檢測(201904起'!$B:$B,Y$1)*$B28+COUNTIFS('來案暨出貨明細表-基因檢測(201904起'!$P:$P,$A28&amp;"*",'來案暨出貨明細表-基因檢測(201904起'!$B:$B,Y$1,'來案暨出貨明細表-基因檢測(201904起'!$Q:$Q,"紙本&amp;電子")++COUNTIFS('來案暨出貨明細表-基因檢測(201904起'!$P:$P,$A28&amp;"*",'來案暨出貨明細表-基因檢測(201904起'!$B:$B,Y$1,'來案暨出貨明細表-基因檢測(201904起'!$R:$R,"中英")</f>
        <v>0</v>
      </c>
      <c r="Z28" s="33">
        <f>COUNTIFS('來案暨出貨明細表-基因檢測(201904起'!$P:$P,$A28&amp;"*",'來案暨出貨明細表-基因檢測(201904起'!$B:$B,Z$1)*$B28+COUNTIFS('來案暨出貨明細表-基因檢測(201904起'!$P:$P,$A28&amp;"*",'來案暨出貨明細表-基因檢測(201904起'!$B:$B,Z$1,'來案暨出貨明細表-基因檢測(201904起'!$Q:$Q,"紙本&amp;電子")++COUNTIFS('來案暨出貨明細表-基因檢測(201904起'!$P:$P,$A28&amp;"*",'來案暨出貨明細表-基因檢測(201904起'!$B:$B,Z$1,'來案暨出貨明細表-基因檢測(201904起'!$R:$R,"中英")</f>
        <v>0</v>
      </c>
      <c r="AA28" s="33">
        <f>COUNTIFS('來案暨出貨明細表-基因檢測(201904起'!$P:$P,$A28&amp;"*",'來案暨出貨明細表-基因檢測(201904起'!$B:$B,AA$1)*$B28+COUNTIFS('來案暨出貨明細表-基因檢測(201904起'!$P:$P,$A28&amp;"*",'來案暨出貨明細表-基因檢測(201904起'!$B:$B,AA$1,'來案暨出貨明細表-基因檢測(201904起'!$Q:$Q,"紙本&amp;電子")++COUNTIFS('來案暨出貨明細表-基因檢測(201904起'!$P:$P,$A28&amp;"*",'來案暨出貨明細表-基因檢測(201904起'!$B:$B,AA$1,'來案暨出貨明細表-基因檢測(201904起'!$R:$R,"中英")</f>
        <v>0</v>
      </c>
      <c r="AB28" s="33">
        <f>COUNTIFS('來案暨出貨明細表-基因檢測(201904起'!$P:$P,$A28&amp;"*",'來案暨出貨明細表-基因檢測(201904起'!$B:$B,AB$1)*$B28+COUNTIFS('來案暨出貨明細表-基因檢測(201904起'!$P:$P,$A28&amp;"*",'來案暨出貨明細表-基因檢測(201904起'!$B:$B,AB$1,'來案暨出貨明細表-基因檢測(201904起'!$Q:$Q,"紙本&amp;電子")++COUNTIFS('來案暨出貨明細表-基因檢測(201904起'!$P:$P,$A28&amp;"*",'來案暨出貨明細表-基因檢測(201904起'!$B:$B,AB$1,'來案暨出貨明細表-基因檢測(201904起'!$R:$R,"中英")</f>
        <v>0</v>
      </c>
      <c r="AC28" s="33">
        <f>COUNTIFS('來案暨出貨明細表-基因檢測(201904起'!$P:$P,$A28&amp;"*",'來案暨出貨明細表-基因檢測(201904起'!$B:$B,AC$1)*$B28+COUNTIFS('來案暨出貨明細表-基因檢測(201904起'!$P:$P,$A28&amp;"*",'來案暨出貨明細表-基因檢測(201904起'!$B:$B,AC$1,'來案暨出貨明細表-基因檢測(201904起'!$Q:$Q,"紙本&amp;電子")++COUNTIFS('來案暨出貨明細表-基因檢測(201904起'!$P:$P,$A28&amp;"*",'來案暨出貨明細表-基因檢測(201904起'!$B:$B,AC$1,'來案暨出貨明細表-基因檢測(201904起'!$R:$R,"中英")</f>
        <v>0</v>
      </c>
      <c r="AD28" s="33">
        <f>COUNTIFS('來案暨出貨明細表-基因檢測(201904起'!$P:$P,$A28&amp;"*",'來案暨出貨明細表-基因檢測(201904起'!$B:$B,AD$1)*$B28+COUNTIFS('來案暨出貨明細表-基因檢測(201904起'!$P:$P,$A28&amp;"*",'來案暨出貨明細表-基因檢測(201904起'!$B:$B,AD$1,'來案暨出貨明細表-基因檢測(201904起'!$Q:$Q,"紙本&amp;電子")++COUNTIFS('來案暨出貨明細表-基因檢測(201904起'!$P:$P,$A28&amp;"*",'來案暨出貨明細表-基因檢測(201904起'!$B:$B,AD$1,'來案暨出貨明細表-基因檢測(201904起'!$R:$R,"中英")</f>
        <v>0</v>
      </c>
      <c r="AE28" s="33">
        <f>COUNTIFS('來案暨出貨明細表-基因檢測(201904起'!$P:$P,$A28&amp;"*",'來案暨出貨明細表-基因檢測(201904起'!$B:$B,AE$1)*$B28+COUNTIFS('來案暨出貨明細表-基因檢測(201904起'!$P:$P,$A28&amp;"*",'來案暨出貨明細表-基因檢測(201904起'!$B:$B,AE$1,'來案暨出貨明細表-基因檢測(201904起'!$Q:$Q,"紙本&amp;電子")++COUNTIFS('來案暨出貨明細表-基因檢測(201904起'!$P:$P,$A28&amp;"*",'來案暨出貨明細表-基因檢測(201904起'!$B:$B,AE$1,'來案暨出貨明細表-基因檢測(201904起'!$R:$R,"中英")</f>
        <v>0</v>
      </c>
      <c r="AF28" s="33">
        <f>COUNTIFS('來案暨出貨明細表-基因檢測(201904起'!$P:$P,$A28&amp;"*",'來案暨出貨明細表-基因檢測(201904起'!$B:$B,AF$1)*$B28+COUNTIFS('來案暨出貨明細表-基因檢測(201904起'!$P:$P,$A28&amp;"*",'來案暨出貨明細表-基因檢測(201904起'!$B:$B,AF$1,'來案暨出貨明細表-基因檢測(201904起'!$Q:$Q,"紙本&amp;電子")++COUNTIFS('來案暨出貨明細表-基因檢測(201904起'!$P:$P,$A28&amp;"*",'來案暨出貨明細表-基因檢測(201904起'!$B:$B,AF$1,'來案暨出貨明細表-基因檢測(201904起'!$R:$R,"中英")</f>
        <v>0</v>
      </c>
      <c r="AG28" s="33">
        <f>COUNTIFS('來案暨出貨明細表-基因檢測(201904起'!$P:$P,$A28&amp;"*",'來案暨出貨明細表-基因檢測(201904起'!$B:$B,AG$1)*$B28+COUNTIFS('來案暨出貨明細表-基因檢測(201904起'!$P:$P,$A28&amp;"*",'來案暨出貨明細表-基因檢測(201904起'!$B:$B,AG$1,'來案暨出貨明細表-基因檢測(201904起'!$Q:$Q,"紙本&amp;電子")++COUNTIFS('來案暨出貨明細表-基因檢測(201904起'!$P:$P,$A28&amp;"*",'來案暨出貨明細表-基因檢測(201904起'!$B:$B,AG$1,'來案暨出貨明細表-基因檢測(201904起'!$R:$R,"中英")</f>
        <v>0</v>
      </c>
      <c r="AH28" s="33">
        <f>COUNTIFS('來案暨出貨明細表-基因檢測(201904起'!$P:$P,$A28&amp;"*",'來案暨出貨明細表-基因檢測(201904起'!$B:$B,AH$1)*$B28+COUNTIFS('來案暨出貨明細表-基因檢測(201904起'!$P:$P,$A28&amp;"*",'來案暨出貨明細表-基因檢測(201904起'!$B:$B,AH$1,'來案暨出貨明細表-基因檢測(201904起'!$Q:$Q,"紙本&amp;電子")++COUNTIFS('來案暨出貨明細表-基因檢測(201904起'!$P:$P,$A28&amp;"*",'來案暨出貨明細表-基因檢測(201904起'!$B:$B,AH$1,'來案暨出貨明細表-基因檢測(201904起'!$R:$R,"中英")</f>
        <v>0</v>
      </c>
      <c r="AI28" s="33">
        <f>COUNTIFS('來案暨出貨明細表-基因檢測(201904起'!$P:$P,$A28&amp;"*",'來案暨出貨明細表-基因檢測(201904起'!$B:$B,AI$1)*$B28+COUNTIFS('來案暨出貨明細表-基因檢測(201904起'!$P:$P,$A28&amp;"*",'來案暨出貨明細表-基因檢測(201904起'!$B:$B,AI$1,'來案暨出貨明細表-基因檢測(201904起'!$Q:$Q,"紙本&amp;電子")++COUNTIFS('來案暨出貨明細表-基因檢測(201904起'!$P:$P,$A28&amp;"*",'來案暨出貨明細表-基因檢測(201904起'!$B:$B,AI$1,'來案暨出貨明細表-基因檢測(201904起'!$R:$R,"中英")</f>
        <v>0</v>
      </c>
      <c r="AJ28" s="33">
        <f>COUNTIFS('來案暨出貨明細表-基因檢測(201904起'!$P:$P,$A28&amp;"*",'來案暨出貨明細表-基因檢測(201904起'!$B:$B,AJ$1)*$B28+COUNTIFS('來案暨出貨明細表-基因檢測(201904起'!$P:$P,$A28&amp;"*",'來案暨出貨明細表-基因檢測(201904起'!$B:$B,AJ$1,'來案暨出貨明細表-基因檢測(201904起'!$Q:$Q,"紙本&amp;電子")++COUNTIFS('來案暨出貨明細表-基因檢測(201904起'!$P:$P,$A28&amp;"*",'來案暨出貨明細表-基因檢測(201904起'!$B:$B,AJ$1,'來案暨出貨明細表-基因檢測(201904起'!$R:$R,"中英")</f>
        <v>0</v>
      </c>
      <c r="AK28" s="33">
        <f>COUNTIFS('來案暨出貨明細表-基因檢測(201904起'!$P:$P,$A28&amp;"*",'來案暨出貨明細表-基因檢測(201904起'!$B:$B,AK$1)*$B28+COUNTIFS('來案暨出貨明細表-基因檢測(201904起'!$P:$P,$A28&amp;"*",'來案暨出貨明細表-基因檢測(201904起'!$B:$B,AK$1,'來案暨出貨明細表-基因檢測(201904起'!$Q:$Q,"紙本&amp;電子")++COUNTIFS('來案暨出貨明細表-基因檢測(201904起'!$P:$P,$A28&amp;"*",'來案暨出貨明細表-基因檢測(201904起'!$B:$B,AK$1,'來案暨出貨明細表-基因檢測(201904起'!$R:$R,"中英")</f>
        <v>0</v>
      </c>
      <c r="AL28" s="33">
        <f>COUNTIFS('來案暨出貨明細表-基因檢測(201904起'!$P:$P,$A28&amp;"*",'來案暨出貨明細表-基因檢測(201904起'!$B:$B,AL$1)*$B28+COUNTIFS('來案暨出貨明細表-基因檢測(201904起'!$P:$P,$A28&amp;"*",'來案暨出貨明細表-基因檢測(201904起'!$B:$B,AL$1,'來案暨出貨明細表-基因檢測(201904起'!$Q:$Q,"紙本&amp;電子")++COUNTIFS('來案暨出貨明細表-基因檢測(201904起'!$P:$P,$A28&amp;"*",'來案暨出貨明細表-基因檢測(201904起'!$B:$B,AL$1,'來案暨出貨明細表-基因檢測(201904起'!$R:$R,"中英")</f>
        <v>0</v>
      </c>
      <c r="AM28" s="33">
        <f>COUNTIFS('來案暨出貨明細表-基因檢測(201904起'!$P:$P,$A28&amp;"*",'來案暨出貨明細表-基因檢測(201904起'!$B:$B,AM$1)*$B28+COUNTIFS('來案暨出貨明細表-基因檢測(201904起'!$P:$P,$A28&amp;"*",'來案暨出貨明細表-基因檢測(201904起'!$B:$B,AM$1,'來案暨出貨明細表-基因檢測(201904起'!$Q:$Q,"紙本&amp;電子")++COUNTIFS('來案暨出貨明細表-基因檢測(201904起'!$P:$P,$A28&amp;"*",'來案暨出貨明細表-基因檢測(201904起'!$B:$B,AM$1,'來案暨出貨明細表-基因檢測(201904起'!$R:$R,"中英")</f>
        <v>0</v>
      </c>
      <c r="AN28" s="33">
        <f>COUNTIFS('來案暨出貨明細表-基因檢測(201904起'!$P:$P,$A28&amp;"*",'來案暨出貨明細表-基因檢測(201904起'!$B:$B,AN$1)*$B28+COUNTIFS('來案暨出貨明細表-基因檢測(201904起'!$P:$P,$A28&amp;"*",'來案暨出貨明細表-基因檢測(201904起'!$B:$B,AN$1,'來案暨出貨明細表-基因檢測(201904起'!$Q:$Q,"紙本&amp;電子")++COUNTIFS('來案暨出貨明細表-基因檢測(201904起'!$P:$P,$A28&amp;"*",'來案暨出貨明細表-基因檢測(201904起'!$B:$B,AN$1,'來案暨出貨明細表-基因檢測(201904起'!$R:$R,"中英")</f>
        <v>0</v>
      </c>
      <c r="AO28" s="33">
        <f>COUNTIFS('來案暨出貨明細表-基因檢測(201904起'!$P:$P,$A28&amp;"*",'來案暨出貨明細表-基因檢測(201904起'!$B:$B,AO$1)*$B28+COUNTIFS('來案暨出貨明細表-基因檢測(201904起'!$P:$P,$A28&amp;"*",'來案暨出貨明細表-基因檢測(201904起'!$B:$B,AO$1,'來案暨出貨明細表-基因檢測(201904起'!$Q:$Q,"紙本&amp;電子")++COUNTIFS('來案暨出貨明細表-基因檢測(201904起'!$P:$P,$A28&amp;"*",'來案暨出貨明細表-基因檢測(201904起'!$B:$B,AO$1,'來案暨出貨明細表-基因檢測(201904起'!$R:$R,"中英")</f>
        <v>0</v>
      </c>
      <c r="AP28" s="33">
        <f>COUNTIFS('來案暨出貨明細表-基因檢測(201904起'!$P:$P,$A28&amp;"*",'來案暨出貨明細表-基因檢測(201904起'!$B:$B,AP$1)*$B28+COUNTIFS('來案暨出貨明細表-基因檢測(201904起'!$P:$P,$A28&amp;"*",'來案暨出貨明細表-基因檢測(201904起'!$B:$B,AP$1,'來案暨出貨明細表-基因檢測(201904起'!$Q:$Q,"紙本&amp;電子")++COUNTIFS('來案暨出貨明細表-基因檢測(201904起'!$P:$P,$A28&amp;"*",'來案暨出貨明細表-基因檢測(201904起'!$B:$B,AP$1,'來案暨出貨明細表-基因檢測(201904起'!$R:$R,"中英")</f>
        <v>0</v>
      </c>
      <c r="AQ28" s="33">
        <f>COUNTIFS('來案暨出貨明細表-基因檢測(201904起'!$P:$P,$A28&amp;"*",'來案暨出貨明細表-基因檢測(201904起'!$B:$B,AQ$1)*$B28+COUNTIFS('來案暨出貨明細表-基因檢測(201904起'!$P:$P,$A28&amp;"*",'來案暨出貨明細表-基因檢測(201904起'!$B:$B,AQ$1,'來案暨出貨明細表-基因檢測(201904起'!$Q:$Q,"紙本&amp;電子")++COUNTIFS('來案暨出貨明細表-基因檢測(201904起'!$P:$P,$A28&amp;"*",'來案暨出貨明細表-基因檢測(201904起'!$B:$B,AQ$1,'來案暨出貨明細表-基因檢測(201904起'!$R:$R,"中英")</f>
        <v>0</v>
      </c>
      <c r="AR28" s="33">
        <f>COUNTIFS('來案暨出貨明細表-基因檢測(201904起'!$P:$P,$A28&amp;"*",'來案暨出貨明細表-基因檢測(201904起'!$B:$B,AR$1)*$B28+COUNTIFS('來案暨出貨明細表-基因檢測(201904起'!$P:$P,$A28&amp;"*",'來案暨出貨明細表-基因檢測(201904起'!$B:$B,AR$1,'來案暨出貨明細表-基因檢測(201904起'!$Q:$Q,"紙本&amp;電子")++COUNTIFS('來案暨出貨明細表-基因檢測(201904起'!$P:$P,$A28&amp;"*",'來案暨出貨明細表-基因檢測(201904起'!$B:$B,AR$1,'來案暨出貨明細表-基因檢測(201904起'!$R:$R,"中英")</f>
        <v>0</v>
      </c>
      <c r="AS28" s="33">
        <f>COUNTIFS('來案暨出貨明細表-基因檢測(201904起'!$P:$P,$A28&amp;"*",'來案暨出貨明細表-基因檢測(201904起'!$B:$B,AS$1)*$B28+COUNTIFS('來案暨出貨明細表-基因檢測(201904起'!$P:$P,$A28&amp;"*",'來案暨出貨明細表-基因檢測(201904起'!$B:$B,AS$1,'來案暨出貨明細表-基因檢測(201904起'!$Q:$Q,"紙本&amp;電子")++COUNTIFS('來案暨出貨明細表-基因檢測(201904起'!$P:$P,$A28&amp;"*",'來案暨出貨明細表-基因檢測(201904起'!$B:$B,AS$1,'來案暨出貨明細表-基因檢測(201904起'!$R:$R,"中英")</f>
        <v>0</v>
      </c>
      <c r="AT28" s="33">
        <f>COUNTIFS('來案暨出貨明細表-基因檢測(201904起'!$P:$P,$A28&amp;"*",'來案暨出貨明細表-基因檢測(201904起'!$B:$B,AT$1)*$B28+COUNTIFS('來案暨出貨明細表-基因檢測(201904起'!$P:$P,$A28&amp;"*",'來案暨出貨明細表-基因檢測(201904起'!$B:$B,AT$1,'來案暨出貨明細表-基因檢測(201904起'!$Q:$Q,"紙本&amp;電子")++COUNTIFS('來案暨出貨明細表-基因檢測(201904起'!$P:$P,$A28&amp;"*",'來案暨出貨明細表-基因檢測(201904起'!$B:$B,AT$1,'來案暨出貨明細表-基因檢測(201904起'!$R:$R,"中英")</f>
        <v>0</v>
      </c>
      <c r="AU28" s="33">
        <f>COUNTIFS('來案暨出貨明細表-基因檢測(201904起'!$P:$P,$A28&amp;"*",'來案暨出貨明細表-基因檢測(201904起'!$B:$B,AU$1)*$B28+COUNTIFS('來案暨出貨明細表-基因檢測(201904起'!$P:$P,$A28&amp;"*",'來案暨出貨明細表-基因檢測(201904起'!$B:$B,AU$1,'來案暨出貨明細表-基因檢測(201904起'!$Q:$Q,"紙本&amp;電子")++COUNTIFS('來案暨出貨明細表-基因檢測(201904起'!$P:$P,$A28&amp;"*",'來案暨出貨明細表-基因檢測(201904起'!$B:$B,AU$1,'來案暨出貨明細表-基因檢測(201904起'!$R:$R,"中英")</f>
        <v>0</v>
      </c>
      <c r="AV28" s="33">
        <f>COUNTIFS('來案暨出貨明細表-基因檢測(201904起'!$P:$P,$A28&amp;"*",'來案暨出貨明細表-基因檢測(201904起'!$B:$B,AV$1)*$B28+COUNTIFS('來案暨出貨明細表-基因檢測(201904起'!$P:$P,$A28&amp;"*",'來案暨出貨明細表-基因檢測(201904起'!$B:$B,AV$1,'來案暨出貨明細表-基因檢測(201904起'!$Q:$Q,"紙本&amp;電子")++COUNTIFS('來案暨出貨明細表-基因檢測(201904起'!$P:$P,$A28&amp;"*",'來案暨出貨明細表-基因檢測(201904起'!$B:$B,AV$1,'來案暨出貨明細表-基因檢測(201904起'!$R:$R,"中英")</f>
        <v>0</v>
      </c>
      <c r="AW28" s="33">
        <f>COUNTIFS('來案暨出貨明細表-基因檢測(201904起'!$P:$P,$A28&amp;"*",'來案暨出貨明細表-基因檢測(201904起'!$B:$B,AW$1)*$B28+COUNTIFS('來案暨出貨明細表-基因檢測(201904起'!$P:$P,$A28&amp;"*",'來案暨出貨明細表-基因檢測(201904起'!$B:$B,AW$1,'來案暨出貨明細表-基因檢測(201904起'!$Q:$Q,"紙本&amp;電子")++COUNTIFS('來案暨出貨明細表-基因檢測(201904起'!$P:$P,$A28&amp;"*",'來案暨出貨明細表-基因檢測(201904起'!$B:$B,AW$1,'來案暨出貨明細表-基因檢測(201904起'!$R:$R,"中英")</f>
        <v>0</v>
      </c>
      <c r="AX28" s="33">
        <f>COUNTIFS('來案暨出貨明細表-基因檢測(201904起'!$P:$P,$A28&amp;"*",'來案暨出貨明細表-基因檢測(201904起'!$B:$B,AX$1)*$B28+COUNTIFS('來案暨出貨明細表-基因檢測(201904起'!$P:$P,$A28&amp;"*",'來案暨出貨明細表-基因檢測(201904起'!$B:$B,AX$1,'來案暨出貨明細表-基因檢測(201904起'!$Q:$Q,"紙本&amp;電子")++COUNTIFS('來案暨出貨明細表-基因檢測(201904起'!$P:$P,$A28&amp;"*",'來案暨出貨明細表-基因檢測(201904起'!$B:$B,AX$1,'來案暨出貨明細表-基因檢測(201904起'!$R:$R,"中英")</f>
        <v>0</v>
      </c>
      <c r="AY28" s="33">
        <f>COUNTIFS('來案暨出貨明細表-基因檢測(201904起'!$P:$P,$A28&amp;"*",'來案暨出貨明細表-基因檢測(201904起'!$B:$B,AY$1)*$B28+COUNTIFS('來案暨出貨明細表-基因檢測(201904起'!$P:$P,$A28&amp;"*",'來案暨出貨明細表-基因檢測(201904起'!$B:$B,AY$1,'來案暨出貨明細表-基因檢測(201904起'!$Q:$Q,"紙本&amp;電子")++COUNTIFS('來案暨出貨明細表-基因檢測(201904起'!$P:$P,$A28&amp;"*",'來案暨出貨明細表-基因檢測(201904起'!$B:$B,AY$1,'來案暨出貨明細表-基因檢測(201904起'!$R:$R,"中英")</f>
        <v>0</v>
      </c>
      <c r="AZ28" s="33">
        <f>COUNTIFS('來案暨出貨明細表-基因檢測(201904起'!$P:$P,$A28&amp;"*",'來案暨出貨明細表-基因檢測(201904起'!$B:$B,AZ$1)*$B28+COUNTIFS('來案暨出貨明細表-基因檢測(201904起'!$P:$P,$A28&amp;"*",'來案暨出貨明細表-基因檢測(201904起'!$B:$B,AZ$1,'來案暨出貨明細表-基因檢測(201904起'!$Q:$Q,"紙本&amp;電子")++COUNTIFS('來案暨出貨明細表-基因檢測(201904起'!$P:$P,$A28&amp;"*",'來案暨出貨明細表-基因檢測(201904起'!$B:$B,AZ$1,'來案暨出貨明細表-基因檢測(201904起'!$R:$R,"中英")</f>
        <v>0</v>
      </c>
      <c r="BA28" s="33">
        <f>COUNTIFS('來案暨出貨明細表-基因檢測(201904起'!$P:$P,$A28&amp;"*",'來案暨出貨明細表-基因檢測(201904起'!$B:$B,BA$1)*$B28+COUNTIFS('來案暨出貨明細表-基因檢測(201904起'!$P:$P,$A28&amp;"*",'來案暨出貨明細表-基因檢測(201904起'!$B:$B,BA$1,'來案暨出貨明細表-基因檢測(201904起'!$Q:$Q,"紙本&amp;電子")++COUNTIFS('來案暨出貨明細表-基因檢測(201904起'!$P:$P,$A28&amp;"*",'來案暨出貨明細表-基因檢測(201904起'!$B:$B,BA$1,'來案暨出貨明細表-基因檢測(201904起'!$R:$R,"中英")</f>
        <v>0</v>
      </c>
      <c r="BB28" s="33">
        <f>COUNTIFS('來案暨出貨明細表-基因檢測(201904起'!$P:$P,$A28&amp;"*",'來案暨出貨明細表-基因檢測(201904起'!$B:$B,BB$1)*$B28+COUNTIFS('來案暨出貨明細表-基因檢測(201904起'!$P:$P,$A28&amp;"*",'來案暨出貨明細表-基因檢測(201904起'!$B:$B,BB$1,'來案暨出貨明細表-基因檢測(201904起'!$Q:$Q,"紙本&amp;電子")++COUNTIFS('來案暨出貨明細表-基因檢測(201904起'!$P:$P,$A28&amp;"*",'來案暨出貨明細表-基因檢測(201904起'!$B:$B,BB$1,'來案暨出貨明細表-基因檢測(201904起'!$R:$R,"中英")</f>
        <v>0</v>
      </c>
      <c r="BC28" s="33">
        <f>COUNTIFS('來案暨出貨明細表-基因檢測(201904起'!$P:$P,$A28&amp;"*",'來案暨出貨明細表-基因檢測(201904起'!$B:$B,BC$1)*$B28+COUNTIFS('來案暨出貨明細表-基因檢測(201904起'!$P:$P,$A28&amp;"*",'來案暨出貨明細表-基因檢測(201904起'!$B:$B,BC$1,'來案暨出貨明細表-基因檢測(201904起'!$Q:$Q,"紙本&amp;電子")++COUNTIFS('來案暨出貨明細表-基因檢測(201904起'!$P:$P,$A28&amp;"*",'來案暨出貨明細表-基因檢測(201904起'!$B:$B,BC$1,'來案暨出貨明細表-基因檢測(201904起'!$R:$R,"中英")</f>
        <v>0</v>
      </c>
      <c r="BD28" s="33">
        <f>COUNTIFS('來案暨出貨明細表-基因檢測(201904起'!$P:$P,$A28&amp;"*",'來案暨出貨明細表-基因檢測(201904起'!$B:$B,BD$1)*$B28+COUNTIFS('來案暨出貨明細表-基因檢測(201904起'!$P:$P,$A28&amp;"*",'來案暨出貨明細表-基因檢測(201904起'!$B:$B,BD$1,'來案暨出貨明細表-基因檢測(201904起'!$Q:$Q,"紙本&amp;電子")++COUNTIFS('來案暨出貨明細表-基因檢測(201904起'!$P:$P,$A28&amp;"*",'來案暨出貨明細表-基因檢測(201904起'!$B:$B,BD$1,'來案暨出貨明細表-基因檢測(201904起'!$R:$R,"中英")</f>
        <v>0</v>
      </c>
      <c r="BE28" s="33">
        <f>COUNTIFS('來案暨出貨明細表-基因檢測(201904起'!$P:$P,$A28&amp;"*",'來案暨出貨明細表-基因檢測(201904起'!$B:$B,BE$1)*$B28+COUNTIFS('來案暨出貨明細表-基因檢測(201904起'!$P:$P,$A28&amp;"*",'來案暨出貨明細表-基因檢測(201904起'!$B:$B,BE$1,'來案暨出貨明細表-基因檢測(201904起'!$Q:$Q,"紙本&amp;電子")++COUNTIFS('來案暨出貨明細表-基因檢測(201904起'!$P:$P,$A28&amp;"*",'來案暨出貨明細表-基因檢測(201904起'!$B:$B,BE$1,'來案暨出貨明細表-基因檢測(201904起'!$R:$R,"中英")</f>
        <v>0</v>
      </c>
      <c r="BF28" s="33">
        <f>COUNTIFS('來案暨出貨明細表-基因檢測(201904起'!$P:$P,$A28&amp;"*",'來案暨出貨明細表-基因檢測(201904起'!$B:$B,BF$1)*$B28+COUNTIFS('來案暨出貨明細表-基因檢測(201904起'!$P:$P,$A28&amp;"*",'來案暨出貨明細表-基因檢測(201904起'!$B:$B,BF$1,'來案暨出貨明細表-基因檢測(201904起'!$Q:$Q,"紙本&amp;電子")++COUNTIFS('來案暨出貨明細表-基因檢測(201904起'!$P:$P,$A28&amp;"*",'來案暨出貨明細表-基因檢測(201904起'!$B:$B,BF$1,'來案暨出貨明細表-基因檢測(201904起'!$R:$R,"中英")</f>
        <v>0</v>
      </c>
      <c r="BG28" s="33">
        <f>COUNTIFS('來案暨出貨明細表-基因檢測(201904起'!$P:$P,$A28&amp;"*",'來案暨出貨明細表-基因檢測(201904起'!$B:$B,BG$1)*$B28+COUNTIFS('來案暨出貨明細表-基因檢測(201904起'!$P:$P,$A28&amp;"*",'來案暨出貨明細表-基因檢測(201904起'!$B:$B,BG$1,'來案暨出貨明細表-基因檢測(201904起'!$Q:$Q,"紙本&amp;電子")++COUNTIFS('來案暨出貨明細表-基因檢測(201904起'!$P:$P,$A28&amp;"*",'來案暨出貨明細表-基因檢測(201904起'!$B:$B,BG$1,'來案暨出貨明細表-基因檢測(201904起'!$R:$R,"中英")</f>
        <v>0</v>
      </c>
      <c r="BH28" s="33">
        <f>COUNTIFS('來案暨出貨明細表-基因檢測(201904起'!$P:$P,$A28&amp;"*",'來案暨出貨明細表-基因檢測(201904起'!$B:$B,BH$1)*$B28+COUNTIFS('來案暨出貨明細表-基因檢測(201904起'!$P:$P,$A28&amp;"*",'來案暨出貨明細表-基因檢測(201904起'!$B:$B,BH$1,'來案暨出貨明細表-基因檢測(201904起'!$Q:$Q,"紙本&amp;電子")++COUNTIFS('來案暨出貨明細表-基因檢測(201904起'!$P:$P,$A28&amp;"*",'來案暨出貨明細表-基因檢測(201904起'!$B:$B,BH$1,'來案暨出貨明細表-基因檢測(201904起'!$R:$R,"中英")</f>
        <v>0</v>
      </c>
      <c r="BI28" s="33">
        <f>COUNTIFS('來案暨出貨明細表-基因檢測(201904起'!$P:$P,$A28&amp;"*",'來案暨出貨明細表-基因檢測(201904起'!$B:$B,BI$1)*$B28+COUNTIFS('來案暨出貨明細表-基因檢測(201904起'!$P:$P,$A28&amp;"*",'來案暨出貨明細表-基因檢測(201904起'!$B:$B,BI$1,'來案暨出貨明細表-基因檢測(201904起'!$Q:$Q,"紙本&amp;電子")++COUNTIFS('來案暨出貨明細表-基因檢測(201904起'!$P:$P,$A28&amp;"*",'來案暨出貨明細表-基因檢測(201904起'!$B:$B,BI$1,'來案暨出貨明細表-基因檢測(201904起'!$R:$R,"中英")</f>
        <v>0</v>
      </c>
      <c r="BJ28" s="33">
        <f>COUNTIFS('來案暨出貨明細表-基因檢測(201904起'!$P:$P,$A28&amp;"*",'來案暨出貨明細表-基因檢測(201904起'!$B:$B,BJ$1)*$B28+COUNTIFS('來案暨出貨明細表-基因檢測(201904起'!$P:$P,$A28&amp;"*",'來案暨出貨明細表-基因檢測(201904起'!$B:$B,BJ$1,'來案暨出貨明細表-基因檢測(201904起'!$Q:$Q,"紙本&amp;電子")++COUNTIFS('來案暨出貨明細表-基因檢測(201904起'!$P:$P,$A28&amp;"*",'來案暨出貨明細表-基因檢測(201904起'!$B:$B,BJ$1,'來案暨出貨明細表-基因檢測(201904起'!$R:$R,"中英")</f>
        <v>0</v>
      </c>
      <c r="BK28" s="33">
        <f>COUNTIFS('來案暨出貨明細表-基因檢測(201904起'!$P:$P,$A28&amp;"*",'來案暨出貨明細表-基因檢測(201904起'!$B:$B,BK$1)*$B28+COUNTIFS('來案暨出貨明細表-基因檢測(201904起'!$P:$P,$A28&amp;"*",'來案暨出貨明細表-基因檢測(201904起'!$B:$B,BK$1,'來案暨出貨明細表-基因檢測(201904起'!$Q:$Q,"紙本&amp;電子")++COUNTIFS('來案暨出貨明細表-基因檢測(201904起'!$P:$P,$A28&amp;"*",'來案暨出貨明細表-基因檢測(201904起'!$B:$B,BK$1,'來案暨出貨明細表-基因檢測(201904起'!$R:$R,"中英")</f>
        <v>0</v>
      </c>
      <c r="BL28" s="33">
        <f>COUNTIFS('來案暨出貨明細表-基因檢測(201904起'!$P:$P,$A28&amp;"*",'來案暨出貨明細表-基因檢測(201904起'!$B:$B,BL$1)*$B28+COUNTIFS('來案暨出貨明細表-基因檢測(201904起'!$P:$P,$A28&amp;"*",'來案暨出貨明細表-基因檢測(201904起'!$B:$B,BL$1,'來案暨出貨明細表-基因檢測(201904起'!$Q:$Q,"紙本&amp;電子")++COUNTIFS('來案暨出貨明細表-基因檢測(201904起'!$P:$P,$A28&amp;"*",'來案暨出貨明細表-基因檢測(201904起'!$B:$B,BL$1,'來案暨出貨明細表-基因檢測(201904起'!$R:$R,"中英")</f>
        <v>0</v>
      </c>
      <c r="BM28" s="33">
        <f>COUNTIFS('來案暨出貨明細表-基因檢測(201904起'!$P:$P,$A28&amp;"*",'來案暨出貨明細表-基因檢測(201904起'!$B:$B,BM$1)*$B28+COUNTIFS('來案暨出貨明細表-基因檢測(201904起'!$P:$P,$A28&amp;"*",'來案暨出貨明細表-基因檢測(201904起'!$B:$B,BM$1,'來案暨出貨明細表-基因檢測(201904起'!$Q:$Q,"紙本&amp;電子")++COUNTIFS('來案暨出貨明細表-基因檢測(201904起'!$P:$P,$A28&amp;"*",'來案暨出貨明細表-基因檢測(201904起'!$B:$B,BM$1,'來案暨出貨明細表-基因檢測(201904起'!$R:$R,"中英")</f>
        <v>0</v>
      </c>
    </row>
    <row r="29" spans="1:65" ht="15" customHeight="1">
      <c r="A29" s="9" t="s">
        <v>4549</v>
      </c>
      <c r="B29" s="9">
        <v>1</v>
      </c>
      <c r="C29" s="13" t="s">
        <v>4550</v>
      </c>
      <c r="D29" s="142" t="s">
        <v>4551</v>
      </c>
      <c r="E29" s="33">
        <f>COUNTIFS('來案暨出貨明細表-基因檢測(201904起'!$P:$P,$A29&amp;"*",'來案暨出貨明細表-基因檢測(201904起'!$B:$B,E$1)*$B29+COUNTIFS('來案暨出貨明細表-基因檢測(201904起'!$P:$P,$A29&amp;"*",'來案暨出貨明細表-基因檢測(201904起'!$B:$B,E$1,'來案暨出貨明細表-基因檢測(201904起'!$Q:$Q,"紙本&amp;電子")++COUNTIFS('來案暨出貨明細表-基因檢測(201904起'!$P:$P,$A29&amp;"*",'來案暨出貨明細表-基因檢測(201904起'!$B:$B,E$1,'來案暨出貨明細表-基因檢測(201904起'!$R:$R,"中英")</f>
        <v>0</v>
      </c>
      <c r="F29" s="33">
        <f>COUNTIFS('來案暨出貨明細表-基因檢測(201904起'!$P:$P,$A29&amp;"*",'來案暨出貨明細表-基因檢測(201904起'!$B:$B,F$1)*$B29+COUNTIFS('來案暨出貨明細表-基因檢測(201904起'!$P:$P,$A29&amp;"*",'來案暨出貨明細表-基因檢測(201904起'!$B:$B,F$1,'來案暨出貨明細表-基因檢測(201904起'!$Q:$Q,"紙本&amp;電子")++COUNTIFS('來案暨出貨明細表-基因檢測(201904起'!$P:$P,$A29&amp;"*",'來案暨出貨明細表-基因檢測(201904起'!$B:$B,F$1,'來案暨出貨明細表-基因檢測(201904起'!$R:$R,"中英")</f>
        <v>0</v>
      </c>
      <c r="G29" s="33">
        <f>COUNTIFS('來案暨出貨明細表-基因檢測(201904起'!$P:$P,$A29&amp;"*",'來案暨出貨明細表-基因檢測(201904起'!$B:$B,G$1)*$B29+COUNTIFS('來案暨出貨明細表-基因檢測(201904起'!$P:$P,$A29&amp;"*",'來案暨出貨明細表-基因檢測(201904起'!$B:$B,G$1,'來案暨出貨明細表-基因檢測(201904起'!$Q:$Q,"紙本&amp;電子")++COUNTIFS('來案暨出貨明細表-基因檢測(201904起'!$P:$P,$A29&amp;"*",'來案暨出貨明細表-基因檢測(201904起'!$B:$B,G$1,'來案暨出貨明細表-基因檢測(201904起'!$R:$R,"中英")</f>
        <v>0</v>
      </c>
      <c r="H29" s="33">
        <f>COUNTIFS('來案暨出貨明細表-基因檢測(201904起'!$P:$P,$A29&amp;"*",'來案暨出貨明細表-基因檢測(201904起'!$B:$B,H$1)*$B29+COUNTIFS('來案暨出貨明細表-基因檢測(201904起'!$P:$P,$A29&amp;"*",'來案暨出貨明細表-基因檢測(201904起'!$B:$B,H$1,'來案暨出貨明細表-基因檢測(201904起'!$Q:$Q,"紙本&amp;電子")++COUNTIFS('來案暨出貨明細表-基因檢測(201904起'!$P:$P,$A29&amp;"*",'來案暨出貨明細表-基因檢測(201904起'!$B:$B,H$1,'來案暨出貨明細表-基因檢測(201904起'!$R:$R,"中英")</f>
        <v>0</v>
      </c>
      <c r="I29" s="33">
        <f>COUNTIFS('來案暨出貨明細表-基因檢測(201904起'!$P:$P,$A29&amp;"*",'來案暨出貨明細表-基因檢測(201904起'!$B:$B,I$1)*$B29+COUNTIFS('來案暨出貨明細表-基因檢測(201904起'!$P:$P,$A29&amp;"*",'來案暨出貨明細表-基因檢測(201904起'!$B:$B,I$1,'來案暨出貨明細表-基因檢測(201904起'!$Q:$Q,"紙本&amp;電子")++COUNTIFS('來案暨出貨明細表-基因檢測(201904起'!$P:$P,$A29&amp;"*",'來案暨出貨明細表-基因檢測(201904起'!$B:$B,I$1,'來案暨出貨明細表-基因檢測(201904起'!$R:$R,"中英")</f>
        <v>0</v>
      </c>
      <c r="J29" s="33">
        <f>COUNTIFS('來案暨出貨明細表-基因檢測(201904起'!$P:$P,$A29&amp;"*",'來案暨出貨明細表-基因檢測(201904起'!$B:$B,J$1)*$B29+COUNTIFS('來案暨出貨明細表-基因檢測(201904起'!$P:$P,$A29&amp;"*",'來案暨出貨明細表-基因檢測(201904起'!$B:$B,J$1,'來案暨出貨明細表-基因檢測(201904起'!$Q:$Q,"紙本&amp;電子")++COUNTIFS('來案暨出貨明細表-基因檢測(201904起'!$P:$P,$A29&amp;"*",'來案暨出貨明細表-基因檢測(201904起'!$B:$B,J$1,'來案暨出貨明細表-基因檢測(201904起'!$R:$R,"中英")</f>
        <v>0</v>
      </c>
      <c r="K29" s="33">
        <f>COUNTIFS('來案暨出貨明細表-基因檢測(201904起'!$P:$P,$A29&amp;"*",'來案暨出貨明細表-基因檢測(201904起'!$B:$B,K$1)*$B29+COUNTIFS('來案暨出貨明細表-基因檢測(201904起'!$P:$P,$A29&amp;"*",'來案暨出貨明細表-基因檢測(201904起'!$B:$B,K$1,'來案暨出貨明細表-基因檢測(201904起'!$Q:$Q,"紙本&amp;電子")++COUNTIFS('來案暨出貨明細表-基因檢測(201904起'!$P:$P,$A29&amp;"*",'來案暨出貨明細表-基因檢測(201904起'!$B:$B,K$1,'來案暨出貨明細表-基因檢測(201904起'!$R:$R,"中英")</f>
        <v>0</v>
      </c>
      <c r="L29" s="33">
        <f>COUNTIFS('來案暨出貨明細表-基因檢測(201904起'!$P:$P,$A29&amp;"*",'來案暨出貨明細表-基因檢測(201904起'!$B:$B,L$1)*$B29+COUNTIFS('來案暨出貨明細表-基因檢測(201904起'!$P:$P,$A29&amp;"*",'來案暨出貨明細表-基因檢測(201904起'!$B:$B,L$1,'來案暨出貨明細表-基因檢測(201904起'!$Q:$Q,"紙本&amp;電子")++COUNTIFS('來案暨出貨明細表-基因檢測(201904起'!$P:$P,$A29&amp;"*",'來案暨出貨明細表-基因檢測(201904起'!$B:$B,L$1,'來案暨出貨明細表-基因檢測(201904起'!$R:$R,"中英")</f>
        <v>0</v>
      </c>
      <c r="M29" s="33">
        <f>COUNTIFS('來案暨出貨明細表-基因檢測(201904起'!$P:$P,$A29&amp;"*",'來案暨出貨明細表-基因檢測(201904起'!$B:$B,M$1)*$B29+COUNTIFS('來案暨出貨明細表-基因檢測(201904起'!$P:$P,$A29&amp;"*",'來案暨出貨明細表-基因檢測(201904起'!$B:$B,M$1,'來案暨出貨明細表-基因檢測(201904起'!$Q:$Q,"紙本&amp;電子")++COUNTIFS('來案暨出貨明細表-基因檢測(201904起'!$P:$P,$A29&amp;"*",'來案暨出貨明細表-基因檢測(201904起'!$B:$B,M$1,'來案暨出貨明細表-基因檢測(201904起'!$R:$R,"中英")</f>
        <v>0</v>
      </c>
      <c r="N29" s="33">
        <f>COUNTIFS('來案暨出貨明細表-基因檢測(201904起'!$P:$P,$A29&amp;"*",'來案暨出貨明細表-基因檢測(201904起'!$B:$B,N$1)*$B29+COUNTIFS('來案暨出貨明細表-基因檢測(201904起'!$P:$P,$A29&amp;"*",'來案暨出貨明細表-基因檢測(201904起'!$B:$B,N$1,'來案暨出貨明細表-基因檢測(201904起'!$Q:$Q,"紙本&amp;電子")++COUNTIFS('來案暨出貨明細表-基因檢測(201904起'!$P:$P,$A29&amp;"*",'來案暨出貨明細表-基因檢測(201904起'!$B:$B,N$1,'來案暨出貨明細表-基因檢測(201904起'!$R:$R,"中英")</f>
        <v>0</v>
      </c>
      <c r="O29" s="33">
        <f>COUNTIFS('來案暨出貨明細表-基因檢測(201904起'!$P:$P,$A29&amp;"*",'來案暨出貨明細表-基因檢測(201904起'!$B:$B,O$1)*$B29+COUNTIFS('來案暨出貨明細表-基因檢測(201904起'!$P:$P,$A29&amp;"*",'來案暨出貨明細表-基因檢測(201904起'!$B:$B,O$1,'來案暨出貨明細表-基因檢測(201904起'!$Q:$Q,"紙本&amp;電子")++COUNTIFS('來案暨出貨明細表-基因檢測(201904起'!$P:$P,$A29&amp;"*",'來案暨出貨明細表-基因檢測(201904起'!$B:$B,O$1,'來案暨出貨明細表-基因檢測(201904起'!$R:$R,"中英")</f>
        <v>0</v>
      </c>
      <c r="P29" s="33">
        <f>COUNTIFS('來案暨出貨明細表-基因檢測(201904起'!$P:$P,$A29&amp;"*",'來案暨出貨明細表-基因檢測(201904起'!$B:$B,P$1)*$B29+COUNTIFS('來案暨出貨明細表-基因檢測(201904起'!$P:$P,$A29&amp;"*",'來案暨出貨明細表-基因檢測(201904起'!$B:$B,P$1,'來案暨出貨明細表-基因檢測(201904起'!$Q:$Q,"紙本&amp;電子")++COUNTIFS('來案暨出貨明細表-基因檢測(201904起'!$P:$P,$A29&amp;"*",'來案暨出貨明細表-基因檢測(201904起'!$B:$B,P$1,'來案暨出貨明細表-基因檢測(201904起'!$R:$R,"中英")</f>
        <v>0</v>
      </c>
      <c r="Q29" s="33">
        <f>COUNTIFS('來案暨出貨明細表-基因檢測(201904起'!$P:$P,$A29&amp;"*",'來案暨出貨明細表-基因檢測(201904起'!$B:$B,Q$1)*$B29+COUNTIFS('來案暨出貨明細表-基因檢測(201904起'!$P:$P,$A29&amp;"*",'來案暨出貨明細表-基因檢測(201904起'!$B:$B,Q$1,'來案暨出貨明細表-基因檢測(201904起'!$Q:$Q,"紙本&amp;電子")++COUNTIFS('來案暨出貨明細表-基因檢測(201904起'!$P:$P,$A29&amp;"*",'來案暨出貨明細表-基因檢測(201904起'!$B:$B,Q$1,'來案暨出貨明細表-基因檢測(201904起'!$R:$R,"中英")</f>
        <v>0</v>
      </c>
      <c r="R29" s="33">
        <f>COUNTIFS('來案暨出貨明細表-基因檢測(201904起'!$P:$P,$A29&amp;"*",'來案暨出貨明細表-基因檢測(201904起'!$B:$B,R$1)*$B29+COUNTIFS('來案暨出貨明細表-基因檢測(201904起'!$P:$P,$A29&amp;"*",'來案暨出貨明細表-基因檢測(201904起'!$B:$B,R$1,'來案暨出貨明細表-基因檢測(201904起'!$Q:$Q,"紙本&amp;電子")++COUNTIFS('來案暨出貨明細表-基因檢測(201904起'!$P:$P,$A29&amp;"*",'來案暨出貨明細表-基因檢測(201904起'!$B:$B,R$1,'來案暨出貨明細表-基因檢測(201904起'!$R:$R,"中英")</f>
        <v>0</v>
      </c>
      <c r="S29" s="33">
        <f>COUNTIFS('來案暨出貨明細表-基因檢測(201904起'!$P:$P,$A29&amp;"*",'來案暨出貨明細表-基因檢測(201904起'!$B:$B,S$1)*$B29+COUNTIFS('來案暨出貨明細表-基因檢測(201904起'!$P:$P,$A29&amp;"*",'來案暨出貨明細表-基因檢測(201904起'!$B:$B,S$1,'來案暨出貨明細表-基因檢測(201904起'!$Q:$Q,"紙本&amp;電子")++COUNTIFS('來案暨出貨明細表-基因檢測(201904起'!$P:$P,$A29&amp;"*",'來案暨出貨明細表-基因檢測(201904起'!$B:$B,S$1,'來案暨出貨明細表-基因檢測(201904起'!$R:$R,"中英")</f>
        <v>0</v>
      </c>
      <c r="T29" s="33">
        <f>COUNTIFS('來案暨出貨明細表-基因檢測(201904起'!$P:$P,$A29&amp;"*",'來案暨出貨明細表-基因檢測(201904起'!$B:$B,T$1)*$B29+COUNTIFS('來案暨出貨明細表-基因檢測(201904起'!$P:$P,$A29&amp;"*",'來案暨出貨明細表-基因檢測(201904起'!$B:$B,T$1,'來案暨出貨明細表-基因檢測(201904起'!$Q:$Q,"紙本&amp;電子")++COUNTIFS('來案暨出貨明細表-基因檢測(201904起'!$P:$P,$A29&amp;"*",'來案暨出貨明細表-基因檢測(201904起'!$B:$B,T$1,'來案暨出貨明細表-基因檢測(201904起'!$R:$R,"中英")</f>
        <v>0</v>
      </c>
      <c r="U29" s="33">
        <f>COUNTIFS('來案暨出貨明細表-基因檢測(201904起'!$P:$P,$A29&amp;"*",'來案暨出貨明細表-基因檢測(201904起'!$B:$B,U$1)*$B29+COUNTIFS('來案暨出貨明細表-基因檢測(201904起'!$P:$P,$A29&amp;"*",'來案暨出貨明細表-基因檢測(201904起'!$B:$B,U$1,'來案暨出貨明細表-基因檢測(201904起'!$Q:$Q,"紙本&amp;電子")++COUNTIFS('來案暨出貨明細表-基因檢測(201904起'!$P:$P,$A29&amp;"*",'來案暨出貨明細表-基因檢測(201904起'!$B:$B,U$1,'來案暨出貨明細表-基因檢測(201904起'!$R:$R,"中英")</f>
        <v>0</v>
      </c>
      <c r="V29" s="33">
        <f>COUNTIFS('來案暨出貨明細表-基因檢測(201904起'!$P:$P,$A29&amp;"*",'來案暨出貨明細表-基因檢測(201904起'!$B:$B,V$1)*$B29+COUNTIFS('來案暨出貨明細表-基因檢測(201904起'!$P:$P,$A29&amp;"*",'來案暨出貨明細表-基因檢測(201904起'!$B:$B,V$1,'來案暨出貨明細表-基因檢測(201904起'!$Q:$Q,"紙本&amp;電子")++COUNTIFS('來案暨出貨明細表-基因檢測(201904起'!$P:$P,$A29&amp;"*",'來案暨出貨明細表-基因檢測(201904起'!$B:$B,V$1,'來案暨出貨明細表-基因檢測(201904起'!$R:$R,"中英")</f>
        <v>0</v>
      </c>
      <c r="W29" s="33">
        <f>COUNTIFS('來案暨出貨明細表-基因檢測(201904起'!$P:$P,$A29&amp;"*",'來案暨出貨明細表-基因檢測(201904起'!$B:$B,W$1)*$B29+COUNTIFS('來案暨出貨明細表-基因檢測(201904起'!$P:$P,$A29&amp;"*",'來案暨出貨明細表-基因檢測(201904起'!$B:$B,W$1,'來案暨出貨明細表-基因檢測(201904起'!$Q:$Q,"紙本&amp;電子")++COUNTIFS('來案暨出貨明細表-基因檢測(201904起'!$P:$P,$A29&amp;"*",'來案暨出貨明細表-基因檢測(201904起'!$B:$B,W$1,'來案暨出貨明細表-基因檢測(201904起'!$R:$R,"中英")</f>
        <v>0</v>
      </c>
      <c r="X29" s="33">
        <f>COUNTIFS('來案暨出貨明細表-基因檢測(201904起'!$P:$P,$A29&amp;"*",'來案暨出貨明細表-基因檢測(201904起'!$B:$B,X$1)*$B29+COUNTIFS('來案暨出貨明細表-基因檢測(201904起'!$P:$P,$A29&amp;"*",'來案暨出貨明細表-基因檢測(201904起'!$B:$B,X$1,'來案暨出貨明細表-基因檢測(201904起'!$Q:$Q,"紙本&amp;電子")++COUNTIFS('來案暨出貨明細表-基因檢測(201904起'!$P:$P,$A29&amp;"*",'來案暨出貨明細表-基因檢測(201904起'!$B:$B,X$1,'來案暨出貨明細表-基因檢測(201904起'!$R:$R,"中英")</f>
        <v>0</v>
      </c>
      <c r="Y29" s="33">
        <f>COUNTIFS('來案暨出貨明細表-基因檢測(201904起'!$P:$P,$A29&amp;"*",'來案暨出貨明細表-基因檢測(201904起'!$B:$B,Y$1)*$B29+COUNTIFS('來案暨出貨明細表-基因檢測(201904起'!$P:$P,$A29&amp;"*",'來案暨出貨明細表-基因檢測(201904起'!$B:$B,Y$1,'來案暨出貨明細表-基因檢測(201904起'!$Q:$Q,"紙本&amp;電子")++COUNTIFS('來案暨出貨明細表-基因檢測(201904起'!$P:$P,$A29&amp;"*",'來案暨出貨明細表-基因檢測(201904起'!$B:$B,Y$1,'來案暨出貨明細表-基因檢測(201904起'!$R:$R,"中英")</f>
        <v>0</v>
      </c>
      <c r="Z29" s="33">
        <f>COUNTIFS('來案暨出貨明細表-基因檢測(201904起'!$P:$P,$A29&amp;"*",'來案暨出貨明細表-基因檢測(201904起'!$B:$B,Z$1)*$B29+COUNTIFS('來案暨出貨明細表-基因檢測(201904起'!$P:$P,$A29&amp;"*",'來案暨出貨明細表-基因檢測(201904起'!$B:$B,Z$1,'來案暨出貨明細表-基因檢測(201904起'!$Q:$Q,"紙本&amp;電子")++COUNTIFS('來案暨出貨明細表-基因檢測(201904起'!$P:$P,$A29&amp;"*",'來案暨出貨明細表-基因檢測(201904起'!$B:$B,Z$1,'來案暨出貨明細表-基因檢測(201904起'!$R:$R,"中英")</f>
        <v>0</v>
      </c>
      <c r="AA29" s="33">
        <f>COUNTIFS('來案暨出貨明細表-基因檢測(201904起'!$P:$P,$A29&amp;"*",'來案暨出貨明細表-基因檢測(201904起'!$B:$B,AA$1)*$B29+COUNTIFS('來案暨出貨明細表-基因檢測(201904起'!$P:$P,$A29&amp;"*",'來案暨出貨明細表-基因檢測(201904起'!$B:$B,AA$1,'來案暨出貨明細表-基因檢測(201904起'!$Q:$Q,"紙本&amp;電子")++COUNTIFS('來案暨出貨明細表-基因檢測(201904起'!$P:$P,$A29&amp;"*",'來案暨出貨明細表-基因檢測(201904起'!$B:$B,AA$1,'來案暨出貨明細表-基因檢測(201904起'!$R:$R,"中英")</f>
        <v>0</v>
      </c>
      <c r="AB29" s="33">
        <f>COUNTIFS('來案暨出貨明細表-基因檢測(201904起'!$P:$P,$A29&amp;"*",'來案暨出貨明細表-基因檢測(201904起'!$B:$B,AB$1)*$B29+COUNTIFS('來案暨出貨明細表-基因檢測(201904起'!$P:$P,$A29&amp;"*",'來案暨出貨明細表-基因檢測(201904起'!$B:$B,AB$1,'來案暨出貨明細表-基因檢測(201904起'!$Q:$Q,"紙本&amp;電子")++COUNTIFS('來案暨出貨明細表-基因檢測(201904起'!$P:$P,$A29&amp;"*",'來案暨出貨明細表-基因檢測(201904起'!$B:$B,AB$1,'來案暨出貨明細表-基因檢測(201904起'!$R:$R,"中英")</f>
        <v>0</v>
      </c>
      <c r="AC29" s="33">
        <f>COUNTIFS('來案暨出貨明細表-基因檢測(201904起'!$P:$P,$A29&amp;"*",'來案暨出貨明細表-基因檢測(201904起'!$B:$B,AC$1)*$B29+COUNTIFS('來案暨出貨明細表-基因檢測(201904起'!$P:$P,$A29&amp;"*",'來案暨出貨明細表-基因檢測(201904起'!$B:$B,AC$1,'來案暨出貨明細表-基因檢測(201904起'!$Q:$Q,"紙本&amp;電子")++COUNTIFS('來案暨出貨明細表-基因檢測(201904起'!$P:$P,$A29&amp;"*",'來案暨出貨明細表-基因檢測(201904起'!$B:$B,AC$1,'來案暨出貨明細表-基因檢測(201904起'!$R:$R,"中英")</f>
        <v>0</v>
      </c>
      <c r="AD29" s="33">
        <f>COUNTIFS('來案暨出貨明細表-基因檢測(201904起'!$P:$P,$A29&amp;"*",'來案暨出貨明細表-基因檢測(201904起'!$B:$B,AD$1)*$B29+COUNTIFS('來案暨出貨明細表-基因檢測(201904起'!$P:$P,$A29&amp;"*",'來案暨出貨明細表-基因檢測(201904起'!$B:$B,AD$1,'來案暨出貨明細表-基因檢測(201904起'!$Q:$Q,"紙本&amp;電子")++COUNTIFS('來案暨出貨明細表-基因檢測(201904起'!$P:$P,$A29&amp;"*",'來案暨出貨明細表-基因檢測(201904起'!$B:$B,AD$1,'來案暨出貨明細表-基因檢測(201904起'!$R:$R,"中英")</f>
        <v>0</v>
      </c>
      <c r="AE29" s="33">
        <f>COUNTIFS('來案暨出貨明細表-基因檢測(201904起'!$P:$P,$A29&amp;"*",'來案暨出貨明細表-基因檢測(201904起'!$B:$B,AE$1)*$B29+COUNTIFS('來案暨出貨明細表-基因檢測(201904起'!$P:$P,$A29&amp;"*",'來案暨出貨明細表-基因檢測(201904起'!$B:$B,AE$1,'來案暨出貨明細表-基因檢測(201904起'!$Q:$Q,"紙本&amp;電子")++COUNTIFS('來案暨出貨明細表-基因檢測(201904起'!$P:$P,$A29&amp;"*",'來案暨出貨明細表-基因檢測(201904起'!$B:$B,AE$1,'來案暨出貨明細表-基因檢測(201904起'!$R:$R,"中英")</f>
        <v>0</v>
      </c>
      <c r="AF29" s="33">
        <f>COUNTIFS('來案暨出貨明細表-基因檢測(201904起'!$P:$P,$A29&amp;"*",'來案暨出貨明細表-基因檢測(201904起'!$B:$B,AF$1)*$B29+COUNTIFS('來案暨出貨明細表-基因檢測(201904起'!$P:$P,$A29&amp;"*",'來案暨出貨明細表-基因檢測(201904起'!$B:$B,AF$1,'來案暨出貨明細表-基因檢測(201904起'!$Q:$Q,"紙本&amp;電子")++COUNTIFS('來案暨出貨明細表-基因檢測(201904起'!$P:$P,$A29&amp;"*",'來案暨出貨明細表-基因檢測(201904起'!$B:$B,AF$1,'來案暨出貨明細表-基因檢測(201904起'!$R:$R,"中英")</f>
        <v>0</v>
      </c>
      <c r="AG29" s="33">
        <f>COUNTIFS('來案暨出貨明細表-基因檢測(201904起'!$P:$P,$A29&amp;"*",'來案暨出貨明細表-基因檢測(201904起'!$B:$B,AG$1)*$B29+COUNTIFS('來案暨出貨明細表-基因檢測(201904起'!$P:$P,$A29&amp;"*",'來案暨出貨明細表-基因檢測(201904起'!$B:$B,AG$1,'來案暨出貨明細表-基因檢測(201904起'!$Q:$Q,"紙本&amp;電子")++COUNTIFS('來案暨出貨明細表-基因檢測(201904起'!$P:$P,$A29&amp;"*",'來案暨出貨明細表-基因檢測(201904起'!$B:$B,AG$1,'來案暨出貨明細表-基因檢測(201904起'!$R:$R,"中英")</f>
        <v>0</v>
      </c>
      <c r="AH29" s="33">
        <f>COUNTIFS('來案暨出貨明細表-基因檢測(201904起'!$P:$P,$A29&amp;"*",'來案暨出貨明細表-基因檢測(201904起'!$B:$B,AH$1)*$B29+COUNTIFS('來案暨出貨明細表-基因檢測(201904起'!$P:$P,$A29&amp;"*",'來案暨出貨明細表-基因檢測(201904起'!$B:$B,AH$1,'來案暨出貨明細表-基因檢測(201904起'!$Q:$Q,"紙本&amp;電子")++COUNTIFS('來案暨出貨明細表-基因檢測(201904起'!$P:$P,$A29&amp;"*",'來案暨出貨明細表-基因檢測(201904起'!$B:$B,AH$1,'來案暨出貨明細表-基因檢測(201904起'!$R:$R,"中英")</f>
        <v>0</v>
      </c>
      <c r="AI29" s="33">
        <f>COUNTIFS('來案暨出貨明細表-基因檢測(201904起'!$P:$P,$A29&amp;"*",'來案暨出貨明細表-基因檢測(201904起'!$B:$B,AI$1)*$B29+COUNTIFS('來案暨出貨明細表-基因檢測(201904起'!$P:$P,$A29&amp;"*",'來案暨出貨明細表-基因檢測(201904起'!$B:$B,AI$1,'來案暨出貨明細表-基因檢測(201904起'!$Q:$Q,"紙本&amp;電子")++COUNTIFS('來案暨出貨明細表-基因檢測(201904起'!$P:$P,$A29&amp;"*",'來案暨出貨明細表-基因檢測(201904起'!$B:$B,AI$1,'來案暨出貨明細表-基因檢測(201904起'!$R:$R,"中英")</f>
        <v>0</v>
      </c>
      <c r="AJ29" s="33">
        <f>COUNTIFS('來案暨出貨明細表-基因檢測(201904起'!$P:$P,$A29&amp;"*",'來案暨出貨明細表-基因檢測(201904起'!$B:$B,AJ$1)*$B29+COUNTIFS('來案暨出貨明細表-基因檢測(201904起'!$P:$P,$A29&amp;"*",'來案暨出貨明細表-基因檢測(201904起'!$B:$B,AJ$1,'來案暨出貨明細表-基因檢測(201904起'!$Q:$Q,"紙本&amp;電子")++COUNTIFS('來案暨出貨明細表-基因檢測(201904起'!$P:$P,$A29&amp;"*",'來案暨出貨明細表-基因檢測(201904起'!$B:$B,AJ$1,'來案暨出貨明細表-基因檢測(201904起'!$R:$R,"中英")</f>
        <v>0</v>
      </c>
      <c r="AK29" s="33">
        <f>COUNTIFS('來案暨出貨明細表-基因檢測(201904起'!$P:$P,$A29&amp;"*",'來案暨出貨明細表-基因檢測(201904起'!$B:$B,AK$1)*$B29+COUNTIFS('來案暨出貨明細表-基因檢測(201904起'!$P:$P,$A29&amp;"*",'來案暨出貨明細表-基因檢測(201904起'!$B:$B,AK$1,'來案暨出貨明細表-基因檢測(201904起'!$Q:$Q,"紙本&amp;電子")++COUNTIFS('來案暨出貨明細表-基因檢測(201904起'!$P:$P,$A29&amp;"*",'來案暨出貨明細表-基因檢測(201904起'!$B:$B,AK$1,'來案暨出貨明細表-基因檢測(201904起'!$R:$R,"中英")</f>
        <v>0</v>
      </c>
      <c r="AL29" s="33">
        <f>COUNTIFS('來案暨出貨明細表-基因檢測(201904起'!$P:$P,$A29&amp;"*",'來案暨出貨明細表-基因檢測(201904起'!$B:$B,AL$1)*$B29+COUNTIFS('來案暨出貨明細表-基因檢測(201904起'!$P:$P,$A29&amp;"*",'來案暨出貨明細表-基因檢測(201904起'!$B:$B,AL$1,'來案暨出貨明細表-基因檢測(201904起'!$Q:$Q,"紙本&amp;電子")++COUNTIFS('來案暨出貨明細表-基因檢測(201904起'!$P:$P,$A29&amp;"*",'來案暨出貨明細表-基因檢測(201904起'!$B:$B,AL$1,'來案暨出貨明細表-基因檢測(201904起'!$R:$R,"中英")</f>
        <v>0</v>
      </c>
      <c r="AM29" s="33">
        <f>COUNTIFS('來案暨出貨明細表-基因檢測(201904起'!$P:$P,$A29&amp;"*",'來案暨出貨明細表-基因檢測(201904起'!$B:$B,AM$1)*$B29+COUNTIFS('來案暨出貨明細表-基因檢測(201904起'!$P:$P,$A29&amp;"*",'來案暨出貨明細表-基因檢測(201904起'!$B:$B,AM$1,'來案暨出貨明細表-基因檢測(201904起'!$Q:$Q,"紙本&amp;電子")++COUNTIFS('來案暨出貨明細表-基因檢測(201904起'!$P:$P,$A29&amp;"*",'來案暨出貨明細表-基因檢測(201904起'!$B:$B,AM$1,'來案暨出貨明細表-基因檢測(201904起'!$R:$R,"中英")</f>
        <v>0</v>
      </c>
      <c r="AN29" s="33">
        <f>COUNTIFS('來案暨出貨明細表-基因檢測(201904起'!$P:$P,$A29&amp;"*",'來案暨出貨明細表-基因檢測(201904起'!$B:$B,AN$1)*$B29+COUNTIFS('來案暨出貨明細表-基因檢測(201904起'!$P:$P,$A29&amp;"*",'來案暨出貨明細表-基因檢測(201904起'!$B:$B,AN$1,'來案暨出貨明細表-基因檢測(201904起'!$Q:$Q,"紙本&amp;電子")++COUNTIFS('來案暨出貨明細表-基因檢測(201904起'!$P:$P,$A29&amp;"*",'來案暨出貨明細表-基因檢測(201904起'!$B:$B,AN$1,'來案暨出貨明細表-基因檢測(201904起'!$R:$R,"中英")</f>
        <v>0</v>
      </c>
      <c r="AO29" s="33">
        <f>COUNTIFS('來案暨出貨明細表-基因檢測(201904起'!$P:$P,$A29&amp;"*",'來案暨出貨明細表-基因檢測(201904起'!$B:$B,AO$1)*$B29+COUNTIFS('來案暨出貨明細表-基因檢測(201904起'!$P:$P,$A29&amp;"*",'來案暨出貨明細表-基因檢測(201904起'!$B:$B,AO$1,'來案暨出貨明細表-基因檢測(201904起'!$Q:$Q,"紙本&amp;電子")++COUNTIFS('來案暨出貨明細表-基因檢測(201904起'!$P:$P,$A29&amp;"*",'來案暨出貨明細表-基因檢測(201904起'!$B:$B,AO$1,'來案暨出貨明細表-基因檢測(201904起'!$R:$R,"中英")</f>
        <v>0</v>
      </c>
      <c r="AP29" s="33">
        <f>COUNTIFS('來案暨出貨明細表-基因檢測(201904起'!$P:$P,$A29&amp;"*",'來案暨出貨明細表-基因檢測(201904起'!$B:$B,AP$1)*$B29+COUNTIFS('來案暨出貨明細表-基因檢測(201904起'!$P:$P,$A29&amp;"*",'來案暨出貨明細表-基因檢測(201904起'!$B:$B,AP$1,'來案暨出貨明細表-基因檢測(201904起'!$Q:$Q,"紙本&amp;電子")++COUNTIFS('來案暨出貨明細表-基因檢測(201904起'!$P:$P,$A29&amp;"*",'來案暨出貨明細表-基因檢測(201904起'!$B:$B,AP$1,'來案暨出貨明細表-基因檢測(201904起'!$R:$R,"中英")</f>
        <v>0</v>
      </c>
      <c r="AQ29" s="33">
        <f>COUNTIFS('來案暨出貨明細表-基因檢測(201904起'!$P:$P,$A29&amp;"*",'來案暨出貨明細表-基因檢測(201904起'!$B:$B,AQ$1)*$B29+COUNTIFS('來案暨出貨明細表-基因檢測(201904起'!$P:$P,$A29&amp;"*",'來案暨出貨明細表-基因檢測(201904起'!$B:$B,AQ$1,'來案暨出貨明細表-基因檢測(201904起'!$Q:$Q,"紙本&amp;電子")++COUNTIFS('來案暨出貨明細表-基因檢測(201904起'!$P:$P,$A29&amp;"*",'來案暨出貨明細表-基因檢測(201904起'!$B:$B,AQ$1,'來案暨出貨明細表-基因檢測(201904起'!$R:$R,"中英")</f>
        <v>0</v>
      </c>
      <c r="AR29" s="33">
        <f>COUNTIFS('來案暨出貨明細表-基因檢測(201904起'!$P:$P,$A29&amp;"*",'來案暨出貨明細表-基因檢測(201904起'!$B:$B,AR$1)*$B29+COUNTIFS('來案暨出貨明細表-基因檢測(201904起'!$P:$P,$A29&amp;"*",'來案暨出貨明細表-基因檢測(201904起'!$B:$B,AR$1,'來案暨出貨明細表-基因檢測(201904起'!$Q:$Q,"紙本&amp;電子")++COUNTIFS('來案暨出貨明細表-基因檢測(201904起'!$P:$P,$A29&amp;"*",'來案暨出貨明細表-基因檢測(201904起'!$B:$B,AR$1,'來案暨出貨明細表-基因檢測(201904起'!$R:$R,"中英")</f>
        <v>0</v>
      </c>
      <c r="AS29" s="33">
        <f>COUNTIFS('來案暨出貨明細表-基因檢測(201904起'!$P:$P,$A29&amp;"*",'來案暨出貨明細表-基因檢測(201904起'!$B:$B,AS$1)*$B29+COUNTIFS('來案暨出貨明細表-基因檢測(201904起'!$P:$P,$A29&amp;"*",'來案暨出貨明細表-基因檢測(201904起'!$B:$B,AS$1,'來案暨出貨明細表-基因檢測(201904起'!$Q:$Q,"紙本&amp;電子")++COUNTIFS('來案暨出貨明細表-基因檢測(201904起'!$P:$P,$A29&amp;"*",'來案暨出貨明細表-基因檢測(201904起'!$B:$B,AS$1,'來案暨出貨明細表-基因檢測(201904起'!$R:$R,"中英")</f>
        <v>0</v>
      </c>
      <c r="AT29" s="33">
        <f>COUNTIFS('來案暨出貨明細表-基因檢測(201904起'!$P:$P,$A29&amp;"*",'來案暨出貨明細表-基因檢測(201904起'!$B:$B,AT$1)*$B29+COUNTIFS('來案暨出貨明細表-基因檢測(201904起'!$P:$P,$A29&amp;"*",'來案暨出貨明細表-基因檢測(201904起'!$B:$B,AT$1,'來案暨出貨明細表-基因檢測(201904起'!$Q:$Q,"紙本&amp;電子")++COUNTIFS('來案暨出貨明細表-基因檢測(201904起'!$P:$P,$A29&amp;"*",'來案暨出貨明細表-基因檢測(201904起'!$B:$B,AT$1,'來案暨出貨明細表-基因檢測(201904起'!$R:$R,"中英")</f>
        <v>0</v>
      </c>
      <c r="AU29" s="33">
        <f>COUNTIFS('來案暨出貨明細表-基因檢測(201904起'!$P:$P,$A29&amp;"*",'來案暨出貨明細表-基因檢測(201904起'!$B:$B,AU$1)*$B29+COUNTIFS('來案暨出貨明細表-基因檢測(201904起'!$P:$P,$A29&amp;"*",'來案暨出貨明細表-基因檢測(201904起'!$B:$B,AU$1,'來案暨出貨明細表-基因檢測(201904起'!$Q:$Q,"紙本&amp;電子")++COUNTIFS('來案暨出貨明細表-基因檢測(201904起'!$P:$P,$A29&amp;"*",'來案暨出貨明細表-基因檢測(201904起'!$B:$B,AU$1,'來案暨出貨明細表-基因檢測(201904起'!$R:$R,"中英")</f>
        <v>0</v>
      </c>
      <c r="AV29" s="33">
        <f>COUNTIFS('來案暨出貨明細表-基因檢測(201904起'!$P:$P,$A29&amp;"*",'來案暨出貨明細表-基因檢測(201904起'!$B:$B,AV$1)*$B29+COUNTIFS('來案暨出貨明細表-基因檢測(201904起'!$P:$P,$A29&amp;"*",'來案暨出貨明細表-基因檢測(201904起'!$B:$B,AV$1,'來案暨出貨明細表-基因檢測(201904起'!$Q:$Q,"紙本&amp;電子")++COUNTIFS('來案暨出貨明細表-基因檢測(201904起'!$P:$P,$A29&amp;"*",'來案暨出貨明細表-基因檢測(201904起'!$B:$B,AV$1,'來案暨出貨明細表-基因檢測(201904起'!$R:$R,"中英")</f>
        <v>0</v>
      </c>
      <c r="AW29" s="33">
        <f>COUNTIFS('來案暨出貨明細表-基因檢測(201904起'!$P:$P,$A29&amp;"*",'來案暨出貨明細表-基因檢測(201904起'!$B:$B,AW$1)*$B29+COUNTIFS('來案暨出貨明細表-基因檢測(201904起'!$P:$P,$A29&amp;"*",'來案暨出貨明細表-基因檢測(201904起'!$B:$B,AW$1,'來案暨出貨明細表-基因檢測(201904起'!$Q:$Q,"紙本&amp;電子")++COUNTIFS('來案暨出貨明細表-基因檢測(201904起'!$P:$P,$A29&amp;"*",'來案暨出貨明細表-基因檢測(201904起'!$B:$B,AW$1,'來案暨出貨明細表-基因檢測(201904起'!$R:$R,"中英")</f>
        <v>0</v>
      </c>
      <c r="AX29" s="33">
        <f>COUNTIFS('來案暨出貨明細表-基因檢測(201904起'!$P:$P,$A29&amp;"*",'來案暨出貨明細表-基因檢測(201904起'!$B:$B,AX$1)*$B29+COUNTIFS('來案暨出貨明細表-基因檢測(201904起'!$P:$P,$A29&amp;"*",'來案暨出貨明細表-基因檢測(201904起'!$B:$B,AX$1,'來案暨出貨明細表-基因檢測(201904起'!$Q:$Q,"紙本&amp;電子")++COUNTIFS('來案暨出貨明細表-基因檢測(201904起'!$P:$P,$A29&amp;"*",'來案暨出貨明細表-基因檢測(201904起'!$B:$B,AX$1,'來案暨出貨明細表-基因檢測(201904起'!$R:$R,"中英")</f>
        <v>0</v>
      </c>
      <c r="AY29" s="33">
        <f>COUNTIFS('來案暨出貨明細表-基因檢測(201904起'!$P:$P,$A29&amp;"*",'來案暨出貨明細表-基因檢測(201904起'!$B:$B,AY$1)*$B29+COUNTIFS('來案暨出貨明細表-基因檢測(201904起'!$P:$P,$A29&amp;"*",'來案暨出貨明細表-基因檢測(201904起'!$B:$B,AY$1,'來案暨出貨明細表-基因檢測(201904起'!$Q:$Q,"紙本&amp;電子")++COUNTIFS('來案暨出貨明細表-基因檢測(201904起'!$P:$P,$A29&amp;"*",'來案暨出貨明細表-基因檢測(201904起'!$B:$B,AY$1,'來案暨出貨明細表-基因檢測(201904起'!$R:$R,"中英")</f>
        <v>0</v>
      </c>
      <c r="AZ29" s="33">
        <f>COUNTIFS('來案暨出貨明細表-基因檢測(201904起'!$P:$P,$A29&amp;"*",'來案暨出貨明細表-基因檢測(201904起'!$B:$B,AZ$1)*$B29+COUNTIFS('來案暨出貨明細表-基因檢測(201904起'!$P:$P,$A29&amp;"*",'來案暨出貨明細表-基因檢測(201904起'!$B:$B,AZ$1,'來案暨出貨明細表-基因檢測(201904起'!$Q:$Q,"紙本&amp;電子")++COUNTIFS('來案暨出貨明細表-基因檢測(201904起'!$P:$P,$A29&amp;"*",'來案暨出貨明細表-基因檢測(201904起'!$B:$B,AZ$1,'來案暨出貨明細表-基因檢測(201904起'!$R:$R,"中英")</f>
        <v>0</v>
      </c>
      <c r="BA29" s="33">
        <f>COUNTIFS('來案暨出貨明細表-基因檢測(201904起'!$P:$P,$A29&amp;"*",'來案暨出貨明細表-基因檢測(201904起'!$B:$B,BA$1)*$B29+COUNTIFS('來案暨出貨明細表-基因檢測(201904起'!$P:$P,$A29&amp;"*",'來案暨出貨明細表-基因檢測(201904起'!$B:$B,BA$1,'來案暨出貨明細表-基因檢測(201904起'!$Q:$Q,"紙本&amp;電子")++COUNTIFS('來案暨出貨明細表-基因檢測(201904起'!$P:$P,$A29&amp;"*",'來案暨出貨明細表-基因檢測(201904起'!$B:$B,BA$1,'來案暨出貨明細表-基因檢測(201904起'!$R:$R,"中英")</f>
        <v>0</v>
      </c>
      <c r="BB29" s="33">
        <f>COUNTIFS('來案暨出貨明細表-基因檢測(201904起'!$P:$P,$A29&amp;"*",'來案暨出貨明細表-基因檢測(201904起'!$B:$B,BB$1)*$B29+COUNTIFS('來案暨出貨明細表-基因檢測(201904起'!$P:$P,$A29&amp;"*",'來案暨出貨明細表-基因檢測(201904起'!$B:$B,BB$1,'來案暨出貨明細表-基因檢測(201904起'!$Q:$Q,"紙本&amp;電子")++COUNTIFS('來案暨出貨明細表-基因檢測(201904起'!$P:$P,$A29&amp;"*",'來案暨出貨明細表-基因檢測(201904起'!$B:$B,BB$1,'來案暨出貨明細表-基因檢測(201904起'!$R:$R,"中英")</f>
        <v>0</v>
      </c>
      <c r="BC29" s="33">
        <f>COUNTIFS('來案暨出貨明細表-基因檢測(201904起'!$P:$P,$A29&amp;"*",'來案暨出貨明細表-基因檢測(201904起'!$B:$B,BC$1)*$B29+COUNTIFS('來案暨出貨明細表-基因檢測(201904起'!$P:$P,$A29&amp;"*",'來案暨出貨明細表-基因檢測(201904起'!$B:$B,BC$1,'來案暨出貨明細表-基因檢測(201904起'!$Q:$Q,"紙本&amp;電子")++COUNTIFS('來案暨出貨明細表-基因檢測(201904起'!$P:$P,$A29&amp;"*",'來案暨出貨明細表-基因檢測(201904起'!$B:$B,BC$1,'來案暨出貨明細表-基因檢測(201904起'!$R:$R,"中英")</f>
        <v>0</v>
      </c>
      <c r="BD29" s="33">
        <f>COUNTIFS('來案暨出貨明細表-基因檢測(201904起'!$P:$P,$A29&amp;"*",'來案暨出貨明細表-基因檢測(201904起'!$B:$B,BD$1)*$B29+COUNTIFS('來案暨出貨明細表-基因檢測(201904起'!$P:$P,$A29&amp;"*",'來案暨出貨明細表-基因檢測(201904起'!$B:$B,BD$1,'來案暨出貨明細表-基因檢測(201904起'!$Q:$Q,"紙本&amp;電子")++COUNTIFS('來案暨出貨明細表-基因檢測(201904起'!$P:$P,$A29&amp;"*",'來案暨出貨明細表-基因檢測(201904起'!$B:$B,BD$1,'來案暨出貨明細表-基因檢測(201904起'!$R:$R,"中英")</f>
        <v>0</v>
      </c>
      <c r="BE29" s="33">
        <f>COUNTIFS('來案暨出貨明細表-基因檢測(201904起'!$P:$P,$A29&amp;"*",'來案暨出貨明細表-基因檢測(201904起'!$B:$B,BE$1)*$B29+COUNTIFS('來案暨出貨明細表-基因檢測(201904起'!$P:$P,$A29&amp;"*",'來案暨出貨明細表-基因檢測(201904起'!$B:$B,BE$1,'來案暨出貨明細表-基因檢測(201904起'!$Q:$Q,"紙本&amp;電子")++COUNTIFS('來案暨出貨明細表-基因檢測(201904起'!$P:$P,$A29&amp;"*",'來案暨出貨明細表-基因檢測(201904起'!$B:$B,BE$1,'來案暨出貨明細表-基因檢測(201904起'!$R:$R,"中英")</f>
        <v>0</v>
      </c>
      <c r="BF29" s="33">
        <f>COUNTIFS('來案暨出貨明細表-基因檢測(201904起'!$P:$P,$A29&amp;"*",'來案暨出貨明細表-基因檢測(201904起'!$B:$B,BF$1)*$B29+COUNTIFS('來案暨出貨明細表-基因檢測(201904起'!$P:$P,$A29&amp;"*",'來案暨出貨明細表-基因檢測(201904起'!$B:$B,BF$1,'來案暨出貨明細表-基因檢測(201904起'!$Q:$Q,"紙本&amp;電子")++COUNTIFS('來案暨出貨明細表-基因檢測(201904起'!$P:$P,$A29&amp;"*",'來案暨出貨明細表-基因檢測(201904起'!$B:$B,BF$1,'來案暨出貨明細表-基因檢測(201904起'!$R:$R,"中英")</f>
        <v>0</v>
      </c>
      <c r="BG29" s="33">
        <f>COUNTIFS('來案暨出貨明細表-基因檢測(201904起'!$P:$P,$A29&amp;"*",'來案暨出貨明細表-基因檢測(201904起'!$B:$B,BG$1)*$B29+COUNTIFS('來案暨出貨明細表-基因檢測(201904起'!$P:$P,$A29&amp;"*",'來案暨出貨明細表-基因檢測(201904起'!$B:$B,BG$1,'來案暨出貨明細表-基因檢測(201904起'!$Q:$Q,"紙本&amp;電子")++COUNTIFS('來案暨出貨明細表-基因檢測(201904起'!$P:$P,$A29&amp;"*",'來案暨出貨明細表-基因檢測(201904起'!$B:$B,BG$1,'來案暨出貨明細表-基因檢測(201904起'!$R:$R,"中英")</f>
        <v>0</v>
      </c>
      <c r="BH29" s="33">
        <f>COUNTIFS('來案暨出貨明細表-基因檢測(201904起'!$P:$P,$A29&amp;"*",'來案暨出貨明細表-基因檢測(201904起'!$B:$B,BH$1)*$B29+COUNTIFS('來案暨出貨明細表-基因檢測(201904起'!$P:$P,$A29&amp;"*",'來案暨出貨明細表-基因檢測(201904起'!$B:$B,BH$1,'來案暨出貨明細表-基因檢測(201904起'!$Q:$Q,"紙本&amp;電子")++COUNTIFS('來案暨出貨明細表-基因檢測(201904起'!$P:$P,$A29&amp;"*",'來案暨出貨明細表-基因檢測(201904起'!$B:$B,BH$1,'來案暨出貨明細表-基因檢測(201904起'!$R:$R,"中英")</f>
        <v>0</v>
      </c>
      <c r="BI29" s="33">
        <f>COUNTIFS('來案暨出貨明細表-基因檢測(201904起'!$P:$P,$A29&amp;"*",'來案暨出貨明細表-基因檢測(201904起'!$B:$B,BI$1)*$B29+COUNTIFS('來案暨出貨明細表-基因檢測(201904起'!$P:$P,$A29&amp;"*",'來案暨出貨明細表-基因檢測(201904起'!$B:$B,BI$1,'來案暨出貨明細表-基因檢測(201904起'!$Q:$Q,"紙本&amp;電子")++COUNTIFS('來案暨出貨明細表-基因檢測(201904起'!$P:$P,$A29&amp;"*",'來案暨出貨明細表-基因檢測(201904起'!$B:$B,BI$1,'來案暨出貨明細表-基因檢測(201904起'!$R:$R,"中英")</f>
        <v>0</v>
      </c>
      <c r="BJ29" s="33">
        <f>COUNTIFS('來案暨出貨明細表-基因檢測(201904起'!$P:$P,$A29&amp;"*",'來案暨出貨明細表-基因檢測(201904起'!$B:$B,BJ$1)*$B29+COUNTIFS('來案暨出貨明細表-基因檢測(201904起'!$P:$P,$A29&amp;"*",'來案暨出貨明細表-基因檢測(201904起'!$B:$B,BJ$1,'來案暨出貨明細表-基因檢測(201904起'!$Q:$Q,"紙本&amp;電子")++COUNTIFS('來案暨出貨明細表-基因檢測(201904起'!$P:$P,$A29&amp;"*",'來案暨出貨明細表-基因檢測(201904起'!$B:$B,BJ$1,'來案暨出貨明細表-基因檢測(201904起'!$R:$R,"中英")</f>
        <v>0</v>
      </c>
      <c r="BK29" s="33">
        <f>COUNTIFS('來案暨出貨明細表-基因檢測(201904起'!$P:$P,$A29&amp;"*",'來案暨出貨明細表-基因檢測(201904起'!$B:$B,BK$1)*$B29+COUNTIFS('來案暨出貨明細表-基因檢測(201904起'!$P:$P,$A29&amp;"*",'來案暨出貨明細表-基因檢測(201904起'!$B:$B,BK$1,'來案暨出貨明細表-基因檢測(201904起'!$Q:$Q,"紙本&amp;電子")++COUNTIFS('來案暨出貨明細表-基因檢測(201904起'!$P:$P,$A29&amp;"*",'來案暨出貨明細表-基因檢測(201904起'!$B:$B,BK$1,'來案暨出貨明細表-基因檢測(201904起'!$R:$R,"中英")</f>
        <v>0</v>
      </c>
      <c r="BL29" s="33">
        <f>COUNTIFS('來案暨出貨明細表-基因檢測(201904起'!$P:$P,$A29&amp;"*",'來案暨出貨明細表-基因檢測(201904起'!$B:$B,BL$1)*$B29+COUNTIFS('來案暨出貨明細表-基因檢測(201904起'!$P:$P,$A29&amp;"*",'來案暨出貨明細表-基因檢測(201904起'!$B:$B,BL$1,'來案暨出貨明細表-基因檢測(201904起'!$Q:$Q,"紙本&amp;電子")++COUNTIFS('來案暨出貨明細表-基因檢測(201904起'!$P:$P,$A29&amp;"*",'來案暨出貨明細表-基因檢測(201904起'!$B:$B,BL$1,'來案暨出貨明細表-基因檢測(201904起'!$R:$R,"中英")</f>
        <v>0</v>
      </c>
      <c r="BM29" s="33">
        <f>COUNTIFS('來案暨出貨明細表-基因檢測(201904起'!$P:$P,$A29&amp;"*",'來案暨出貨明細表-基因檢測(201904起'!$B:$B,BM$1)*$B29+COUNTIFS('來案暨出貨明細表-基因檢測(201904起'!$P:$P,$A29&amp;"*",'來案暨出貨明細表-基因檢測(201904起'!$B:$B,BM$1,'來案暨出貨明細表-基因檢測(201904起'!$Q:$Q,"紙本&amp;電子")++COUNTIFS('來案暨出貨明細表-基因檢測(201904起'!$P:$P,$A29&amp;"*",'來案暨出貨明細表-基因檢測(201904起'!$B:$B,BM$1,'來案暨出貨明細表-基因檢測(201904起'!$R:$R,"中英")</f>
        <v>0</v>
      </c>
    </row>
    <row r="30" spans="1:65" ht="15" customHeight="1">
      <c r="A30" s="9" t="s">
        <v>4552</v>
      </c>
      <c r="B30" s="9">
        <v>1</v>
      </c>
      <c r="C30" s="13" t="s">
        <v>4553</v>
      </c>
      <c r="D30" s="142" t="s">
        <v>626</v>
      </c>
      <c r="E30" s="33">
        <f>COUNTIFS('來案暨出貨明細表-基因檢測(201904起'!$P:$P,$A30&amp;"*",'來案暨出貨明細表-基因檢測(201904起'!$B:$B,E$1)*$B30+COUNTIFS('來案暨出貨明細表-基因檢測(201904起'!$P:$P,$A30&amp;"*",'來案暨出貨明細表-基因檢測(201904起'!$B:$B,E$1,'來案暨出貨明細表-基因檢測(201904起'!$Q:$Q,"紙本&amp;電子")++COUNTIFS('來案暨出貨明細表-基因檢測(201904起'!$P:$P,$A30&amp;"*",'來案暨出貨明細表-基因檢測(201904起'!$B:$B,E$1,'來案暨出貨明細表-基因檢測(201904起'!$R:$R,"中英")</f>
        <v>0</v>
      </c>
      <c r="F30" s="33">
        <f>COUNTIFS('來案暨出貨明細表-基因檢測(201904起'!$P:$P,$A30&amp;"*",'來案暨出貨明細表-基因檢測(201904起'!$B:$B,F$1)*$B30+COUNTIFS('來案暨出貨明細表-基因檢測(201904起'!$P:$P,$A30&amp;"*",'來案暨出貨明細表-基因檢測(201904起'!$B:$B,F$1,'來案暨出貨明細表-基因檢測(201904起'!$Q:$Q,"紙本&amp;電子")++COUNTIFS('來案暨出貨明細表-基因檢測(201904起'!$P:$P,$A30&amp;"*",'來案暨出貨明細表-基因檢測(201904起'!$B:$B,F$1,'來案暨出貨明細表-基因檢測(201904起'!$R:$R,"中英")</f>
        <v>0</v>
      </c>
      <c r="G30" s="33">
        <f>COUNTIFS('來案暨出貨明細表-基因檢測(201904起'!$P:$P,$A30&amp;"*",'來案暨出貨明細表-基因檢測(201904起'!$B:$B,G$1)*$B30+COUNTIFS('來案暨出貨明細表-基因檢測(201904起'!$P:$P,$A30&amp;"*",'來案暨出貨明細表-基因檢測(201904起'!$B:$B,G$1,'來案暨出貨明細表-基因檢測(201904起'!$Q:$Q,"紙本&amp;電子")++COUNTIFS('來案暨出貨明細表-基因檢測(201904起'!$P:$P,$A30&amp;"*",'來案暨出貨明細表-基因檢測(201904起'!$B:$B,G$1,'來案暨出貨明細表-基因檢測(201904起'!$R:$R,"中英")</f>
        <v>0</v>
      </c>
      <c r="H30" s="33">
        <f>COUNTIFS('來案暨出貨明細表-基因檢測(201904起'!$P:$P,$A30&amp;"*",'來案暨出貨明細表-基因檢測(201904起'!$B:$B,H$1)*$B30+COUNTIFS('來案暨出貨明細表-基因檢測(201904起'!$P:$P,$A30&amp;"*",'來案暨出貨明細表-基因檢測(201904起'!$B:$B,H$1,'來案暨出貨明細表-基因檢測(201904起'!$Q:$Q,"紙本&amp;電子")++COUNTIFS('來案暨出貨明細表-基因檢測(201904起'!$P:$P,$A30&amp;"*",'來案暨出貨明細表-基因檢測(201904起'!$B:$B,H$1,'來案暨出貨明細表-基因檢測(201904起'!$R:$R,"中英")</f>
        <v>0</v>
      </c>
      <c r="I30" s="33">
        <f>COUNTIFS('來案暨出貨明細表-基因檢測(201904起'!$P:$P,$A30&amp;"*",'來案暨出貨明細表-基因檢測(201904起'!$B:$B,I$1)*$B30+COUNTIFS('來案暨出貨明細表-基因檢測(201904起'!$P:$P,$A30&amp;"*",'來案暨出貨明細表-基因檢測(201904起'!$B:$B,I$1,'來案暨出貨明細表-基因檢測(201904起'!$Q:$Q,"紙本&amp;電子")++COUNTIFS('來案暨出貨明細表-基因檢測(201904起'!$P:$P,$A30&amp;"*",'來案暨出貨明細表-基因檢測(201904起'!$B:$B,I$1,'來案暨出貨明細表-基因檢測(201904起'!$R:$R,"中英")</f>
        <v>0</v>
      </c>
      <c r="J30" s="33">
        <f>COUNTIFS('來案暨出貨明細表-基因檢測(201904起'!$P:$P,$A30&amp;"*",'來案暨出貨明細表-基因檢測(201904起'!$B:$B,J$1)*$B30+COUNTIFS('來案暨出貨明細表-基因檢測(201904起'!$P:$P,$A30&amp;"*",'來案暨出貨明細表-基因檢測(201904起'!$B:$B,J$1,'來案暨出貨明細表-基因檢測(201904起'!$Q:$Q,"紙本&amp;電子")++COUNTIFS('來案暨出貨明細表-基因檢測(201904起'!$P:$P,$A30&amp;"*",'來案暨出貨明細表-基因檢測(201904起'!$B:$B,J$1,'來案暨出貨明細表-基因檢測(201904起'!$R:$R,"中英")</f>
        <v>0</v>
      </c>
      <c r="K30" s="33">
        <f>COUNTIFS('來案暨出貨明細表-基因檢測(201904起'!$P:$P,$A30&amp;"*",'來案暨出貨明細表-基因檢測(201904起'!$B:$B,K$1)*$B30+COUNTIFS('來案暨出貨明細表-基因檢測(201904起'!$P:$P,$A30&amp;"*",'來案暨出貨明細表-基因檢測(201904起'!$B:$B,K$1,'來案暨出貨明細表-基因檢測(201904起'!$Q:$Q,"紙本&amp;電子")++COUNTIFS('來案暨出貨明細表-基因檢測(201904起'!$P:$P,$A30&amp;"*",'來案暨出貨明細表-基因檢測(201904起'!$B:$B,K$1,'來案暨出貨明細表-基因檢測(201904起'!$R:$R,"中英")</f>
        <v>0</v>
      </c>
      <c r="L30" s="33">
        <f>COUNTIFS('來案暨出貨明細表-基因檢測(201904起'!$P:$P,$A30&amp;"*",'來案暨出貨明細表-基因檢測(201904起'!$B:$B,L$1)*$B30+COUNTIFS('來案暨出貨明細表-基因檢測(201904起'!$P:$P,$A30&amp;"*",'來案暨出貨明細表-基因檢測(201904起'!$B:$B,L$1,'來案暨出貨明細表-基因檢測(201904起'!$Q:$Q,"紙本&amp;電子")++COUNTIFS('來案暨出貨明細表-基因檢測(201904起'!$P:$P,$A30&amp;"*",'來案暨出貨明細表-基因檢測(201904起'!$B:$B,L$1,'來案暨出貨明細表-基因檢測(201904起'!$R:$R,"中英")</f>
        <v>0</v>
      </c>
      <c r="M30" s="33">
        <f>COUNTIFS('來案暨出貨明細表-基因檢測(201904起'!$P:$P,$A30&amp;"*",'來案暨出貨明細表-基因檢測(201904起'!$B:$B,M$1)*$B30+COUNTIFS('來案暨出貨明細表-基因檢測(201904起'!$P:$P,$A30&amp;"*",'來案暨出貨明細表-基因檢測(201904起'!$B:$B,M$1,'來案暨出貨明細表-基因檢測(201904起'!$Q:$Q,"紙本&amp;電子")++COUNTIFS('來案暨出貨明細表-基因檢測(201904起'!$P:$P,$A30&amp;"*",'來案暨出貨明細表-基因檢測(201904起'!$B:$B,M$1,'來案暨出貨明細表-基因檢測(201904起'!$R:$R,"中英")</f>
        <v>0</v>
      </c>
      <c r="N30" s="33">
        <f>COUNTIFS('來案暨出貨明細表-基因檢測(201904起'!$P:$P,$A30&amp;"*",'來案暨出貨明細表-基因檢測(201904起'!$B:$B,N$1)*$B30+COUNTIFS('來案暨出貨明細表-基因檢測(201904起'!$P:$P,$A30&amp;"*",'來案暨出貨明細表-基因檢測(201904起'!$B:$B,N$1,'來案暨出貨明細表-基因檢測(201904起'!$Q:$Q,"紙本&amp;電子")++COUNTIFS('來案暨出貨明細表-基因檢測(201904起'!$P:$P,$A30&amp;"*",'來案暨出貨明細表-基因檢測(201904起'!$B:$B,N$1,'來案暨出貨明細表-基因檢測(201904起'!$R:$R,"中英")</f>
        <v>0</v>
      </c>
      <c r="O30" s="33">
        <f>COUNTIFS('來案暨出貨明細表-基因檢測(201904起'!$P:$P,$A30&amp;"*",'來案暨出貨明細表-基因檢測(201904起'!$B:$B,O$1)*$B30+COUNTIFS('來案暨出貨明細表-基因檢測(201904起'!$P:$P,$A30&amp;"*",'來案暨出貨明細表-基因檢測(201904起'!$B:$B,O$1,'來案暨出貨明細表-基因檢測(201904起'!$Q:$Q,"紙本&amp;電子")++COUNTIFS('來案暨出貨明細表-基因檢測(201904起'!$P:$P,$A30&amp;"*",'來案暨出貨明細表-基因檢測(201904起'!$B:$B,O$1,'來案暨出貨明細表-基因檢測(201904起'!$R:$R,"中英")</f>
        <v>0</v>
      </c>
      <c r="P30" s="33">
        <f>COUNTIFS('來案暨出貨明細表-基因檢測(201904起'!$P:$P,$A30&amp;"*",'來案暨出貨明細表-基因檢測(201904起'!$B:$B,P$1)*$B30+COUNTIFS('來案暨出貨明細表-基因檢測(201904起'!$P:$P,$A30&amp;"*",'來案暨出貨明細表-基因檢測(201904起'!$B:$B,P$1,'來案暨出貨明細表-基因檢測(201904起'!$Q:$Q,"紙本&amp;電子")++COUNTIFS('來案暨出貨明細表-基因檢測(201904起'!$P:$P,$A30&amp;"*",'來案暨出貨明細表-基因檢測(201904起'!$B:$B,P$1,'來案暨出貨明細表-基因檢測(201904起'!$R:$R,"中英")</f>
        <v>0</v>
      </c>
      <c r="Q30" s="33">
        <f>COUNTIFS('來案暨出貨明細表-基因檢測(201904起'!$P:$P,$A30&amp;"*",'來案暨出貨明細表-基因檢測(201904起'!$B:$B,Q$1)*$B30+COUNTIFS('來案暨出貨明細表-基因檢測(201904起'!$P:$P,$A30&amp;"*",'來案暨出貨明細表-基因檢測(201904起'!$B:$B,Q$1,'來案暨出貨明細表-基因檢測(201904起'!$Q:$Q,"紙本&amp;電子")++COUNTIFS('來案暨出貨明細表-基因檢測(201904起'!$P:$P,$A30&amp;"*",'來案暨出貨明細表-基因檢測(201904起'!$B:$B,Q$1,'來案暨出貨明細表-基因檢測(201904起'!$R:$R,"中英")</f>
        <v>0</v>
      </c>
      <c r="R30" s="33">
        <f>COUNTIFS('來案暨出貨明細表-基因檢測(201904起'!$P:$P,$A30&amp;"*",'來案暨出貨明細表-基因檢測(201904起'!$B:$B,R$1)*$B30+COUNTIFS('來案暨出貨明細表-基因檢測(201904起'!$P:$P,$A30&amp;"*",'來案暨出貨明細表-基因檢測(201904起'!$B:$B,R$1,'來案暨出貨明細表-基因檢測(201904起'!$Q:$Q,"紙本&amp;電子")++COUNTIFS('來案暨出貨明細表-基因檢測(201904起'!$P:$P,$A30&amp;"*",'來案暨出貨明細表-基因檢測(201904起'!$B:$B,R$1,'來案暨出貨明細表-基因檢測(201904起'!$R:$R,"中英")</f>
        <v>0</v>
      </c>
      <c r="S30" s="33">
        <f>COUNTIFS('來案暨出貨明細表-基因檢測(201904起'!$P:$P,$A30&amp;"*",'來案暨出貨明細表-基因檢測(201904起'!$B:$B,S$1)*$B30+COUNTIFS('來案暨出貨明細表-基因檢測(201904起'!$P:$P,$A30&amp;"*",'來案暨出貨明細表-基因檢測(201904起'!$B:$B,S$1,'來案暨出貨明細表-基因檢測(201904起'!$Q:$Q,"紙本&amp;電子")++COUNTIFS('來案暨出貨明細表-基因檢測(201904起'!$P:$P,$A30&amp;"*",'來案暨出貨明細表-基因檢測(201904起'!$B:$B,S$1,'來案暨出貨明細表-基因檢測(201904起'!$R:$R,"中英")</f>
        <v>0</v>
      </c>
      <c r="T30" s="33">
        <f>COUNTIFS('來案暨出貨明細表-基因檢測(201904起'!$P:$P,$A30&amp;"*",'來案暨出貨明細表-基因檢測(201904起'!$B:$B,T$1)*$B30+COUNTIFS('來案暨出貨明細表-基因檢測(201904起'!$P:$P,$A30&amp;"*",'來案暨出貨明細表-基因檢測(201904起'!$B:$B,T$1,'來案暨出貨明細表-基因檢測(201904起'!$Q:$Q,"紙本&amp;電子")++COUNTIFS('來案暨出貨明細表-基因檢測(201904起'!$P:$P,$A30&amp;"*",'來案暨出貨明細表-基因檢測(201904起'!$B:$B,T$1,'來案暨出貨明細表-基因檢測(201904起'!$R:$R,"中英")</f>
        <v>0</v>
      </c>
      <c r="U30" s="33">
        <f>COUNTIFS('來案暨出貨明細表-基因檢測(201904起'!$P:$P,$A30&amp;"*",'來案暨出貨明細表-基因檢測(201904起'!$B:$B,U$1)*$B30+COUNTIFS('來案暨出貨明細表-基因檢測(201904起'!$P:$P,$A30&amp;"*",'來案暨出貨明細表-基因檢測(201904起'!$B:$B,U$1,'來案暨出貨明細表-基因檢測(201904起'!$Q:$Q,"紙本&amp;電子")++COUNTIFS('來案暨出貨明細表-基因檢測(201904起'!$P:$P,$A30&amp;"*",'來案暨出貨明細表-基因檢測(201904起'!$B:$B,U$1,'來案暨出貨明細表-基因檢測(201904起'!$R:$R,"中英")</f>
        <v>0</v>
      </c>
      <c r="V30" s="33">
        <f>COUNTIFS('來案暨出貨明細表-基因檢測(201904起'!$P:$P,$A30&amp;"*",'來案暨出貨明細表-基因檢測(201904起'!$B:$B,V$1)*$B30+COUNTIFS('來案暨出貨明細表-基因檢測(201904起'!$P:$P,$A30&amp;"*",'來案暨出貨明細表-基因檢測(201904起'!$B:$B,V$1,'來案暨出貨明細表-基因檢測(201904起'!$Q:$Q,"紙本&amp;電子")++COUNTIFS('來案暨出貨明細表-基因檢測(201904起'!$P:$P,$A30&amp;"*",'來案暨出貨明細表-基因檢測(201904起'!$B:$B,V$1,'來案暨出貨明細表-基因檢測(201904起'!$R:$R,"中英")</f>
        <v>0</v>
      </c>
      <c r="W30" s="33">
        <f>COUNTIFS('來案暨出貨明細表-基因檢測(201904起'!$P:$P,$A30&amp;"*",'來案暨出貨明細表-基因檢測(201904起'!$B:$B,W$1)*$B30+COUNTIFS('來案暨出貨明細表-基因檢測(201904起'!$P:$P,$A30&amp;"*",'來案暨出貨明細表-基因檢測(201904起'!$B:$B,W$1,'來案暨出貨明細表-基因檢測(201904起'!$Q:$Q,"紙本&amp;電子")++COUNTIFS('來案暨出貨明細表-基因檢測(201904起'!$P:$P,$A30&amp;"*",'來案暨出貨明細表-基因檢測(201904起'!$B:$B,W$1,'來案暨出貨明細表-基因檢測(201904起'!$R:$R,"中英")</f>
        <v>0</v>
      </c>
      <c r="X30" s="33">
        <f>COUNTIFS('來案暨出貨明細表-基因檢測(201904起'!$P:$P,$A30&amp;"*",'來案暨出貨明細表-基因檢測(201904起'!$B:$B,X$1)*$B30+COUNTIFS('來案暨出貨明細表-基因檢測(201904起'!$P:$P,$A30&amp;"*",'來案暨出貨明細表-基因檢測(201904起'!$B:$B,X$1,'來案暨出貨明細表-基因檢測(201904起'!$Q:$Q,"紙本&amp;電子")++COUNTIFS('來案暨出貨明細表-基因檢測(201904起'!$P:$P,$A30&amp;"*",'來案暨出貨明細表-基因檢測(201904起'!$B:$B,X$1,'來案暨出貨明細表-基因檢測(201904起'!$R:$R,"中英")</f>
        <v>0</v>
      </c>
      <c r="Y30" s="33">
        <f>COUNTIFS('來案暨出貨明細表-基因檢測(201904起'!$P:$P,$A30&amp;"*",'來案暨出貨明細表-基因檢測(201904起'!$B:$B,Y$1)*$B30+COUNTIFS('來案暨出貨明細表-基因檢測(201904起'!$P:$P,$A30&amp;"*",'來案暨出貨明細表-基因檢測(201904起'!$B:$B,Y$1,'來案暨出貨明細表-基因檢測(201904起'!$Q:$Q,"紙本&amp;電子")++COUNTIFS('來案暨出貨明細表-基因檢測(201904起'!$P:$P,$A30&amp;"*",'來案暨出貨明細表-基因檢測(201904起'!$B:$B,Y$1,'來案暨出貨明細表-基因檢測(201904起'!$R:$R,"中英")</f>
        <v>0</v>
      </c>
      <c r="Z30" s="33">
        <f>COUNTIFS('來案暨出貨明細表-基因檢測(201904起'!$P:$P,$A30&amp;"*",'來案暨出貨明細表-基因檢測(201904起'!$B:$B,Z$1)*$B30+COUNTIFS('來案暨出貨明細表-基因檢測(201904起'!$P:$P,$A30&amp;"*",'來案暨出貨明細表-基因檢測(201904起'!$B:$B,Z$1,'來案暨出貨明細表-基因檢測(201904起'!$Q:$Q,"紙本&amp;電子")++COUNTIFS('來案暨出貨明細表-基因檢測(201904起'!$P:$P,$A30&amp;"*",'來案暨出貨明細表-基因檢測(201904起'!$B:$B,Z$1,'來案暨出貨明細表-基因檢測(201904起'!$R:$R,"中英")</f>
        <v>0</v>
      </c>
      <c r="AA30" s="33">
        <f>COUNTIFS('來案暨出貨明細表-基因檢測(201904起'!$P:$P,$A30&amp;"*",'來案暨出貨明細表-基因檢測(201904起'!$B:$B,AA$1)*$B30+COUNTIFS('來案暨出貨明細表-基因檢測(201904起'!$P:$P,$A30&amp;"*",'來案暨出貨明細表-基因檢測(201904起'!$B:$B,AA$1,'來案暨出貨明細表-基因檢測(201904起'!$Q:$Q,"紙本&amp;電子")++COUNTIFS('來案暨出貨明細表-基因檢測(201904起'!$P:$P,$A30&amp;"*",'來案暨出貨明細表-基因檢測(201904起'!$B:$B,AA$1,'來案暨出貨明細表-基因檢測(201904起'!$R:$R,"中英")</f>
        <v>0</v>
      </c>
      <c r="AB30" s="33">
        <f>COUNTIFS('來案暨出貨明細表-基因檢測(201904起'!$P:$P,$A30&amp;"*",'來案暨出貨明細表-基因檢測(201904起'!$B:$B,AB$1)*$B30+COUNTIFS('來案暨出貨明細表-基因檢測(201904起'!$P:$P,$A30&amp;"*",'來案暨出貨明細表-基因檢測(201904起'!$B:$B,AB$1,'來案暨出貨明細表-基因檢測(201904起'!$Q:$Q,"紙本&amp;電子")++COUNTIFS('來案暨出貨明細表-基因檢測(201904起'!$P:$P,$A30&amp;"*",'來案暨出貨明細表-基因檢測(201904起'!$B:$B,AB$1,'來案暨出貨明細表-基因檢測(201904起'!$R:$R,"中英")</f>
        <v>0</v>
      </c>
      <c r="AC30" s="33">
        <f>COUNTIFS('來案暨出貨明細表-基因檢測(201904起'!$P:$P,$A30&amp;"*",'來案暨出貨明細表-基因檢測(201904起'!$B:$B,AC$1)*$B30+COUNTIFS('來案暨出貨明細表-基因檢測(201904起'!$P:$P,$A30&amp;"*",'來案暨出貨明細表-基因檢測(201904起'!$B:$B,AC$1,'來案暨出貨明細表-基因檢測(201904起'!$Q:$Q,"紙本&amp;電子")++COUNTIFS('來案暨出貨明細表-基因檢測(201904起'!$P:$P,$A30&amp;"*",'來案暨出貨明細表-基因檢測(201904起'!$B:$B,AC$1,'來案暨出貨明細表-基因檢測(201904起'!$R:$R,"中英")</f>
        <v>0</v>
      </c>
      <c r="AD30" s="33">
        <f>COUNTIFS('來案暨出貨明細表-基因檢測(201904起'!$P:$P,$A30&amp;"*",'來案暨出貨明細表-基因檢測(201904起'!$B:$B,AD$1)*$B30+COUNTIFS('來案暨出貨明細表-基因檢測(201904起'!$P:$P,$A30&amp;"*",'來案暨出貨明細表-基因檢測(201904起'!$B:$B,AD$1,'來案暨出貨明細表-基因檢測(201904起'!$Q:$Q,"紙本&amp;電子")++COUNTIFS('來案暨出貨明細表-基因檢測(201904起'!$P:$P,$A30&amp;"*",'來案暨出貨明細表-基因檢測(201904起'!$B:$B,AD$1,'來案暨出貨明細表-基因檢測(201904起'!$R:$R,"中英")</f>
        <v>0</v>
      </c>
      <c r="AE30" s="33">
        <f>COUNTIFS('來案暨出貨明細表-基因檢測(201904起'!$P:$P,$A30&amp;"*",'來案暨出貨明細表-基因檢測(201904起'!$B:$B,AE$1)*$B30+COUNTIFS('來案暨出貨明細表-基因檢測(201904起'!$P:$P,$A30&amp;"*",'來案暨出貨明細表-基因檢測(201904起'!$B:$B,AE$1,'來案暨出貨明細表-基因檢測(201904起'!$Q:$Q,"紙本&amp;電子")++COUNTIFS('來案暨出貨明細表-基因檢測(201904起'!$P:$P,$A30&amp;"*",'來案暨出貨明細表-基因檢測(201904起'!$B:$B,AE$1,'來案暨出貨明細表-基因檢測(201904起'!$R:$R,"中英")</f>
        <v>0</v>
      </c>
      <c r="AF30" s="33">
        <f>COUNTIFS('來案暨出貨明細表-基因檢測(201904起'!$P:$P,$A30&amp;"*",'來案暨出貨明細表-基因檢測(201904起'!$B:$B,AF$1)*$B30+COUNTIFS('來案暨出貨明細表-基因檢測(201904起'!$P:$P,$A30&amp;"*",'來案暨出貨明細表-基因檢測(201904起'!$B:$B,AF$1,'來案暨出貨明細表-基因檢測(201904起'!$Q:$Q,"紙本&amp;電子")++COUNTIFS('來案暨出貨明細表-基因檢測(201904起'!$P:$P,$A30&amp;"*",'來案暨出貨明細表-基因檢測(201904起'!$B:$B,AF$1,'來案暨出貨明細表-基因檢測(201904起'!$R:$R,"中英")</f>
        <v>0</v>
      </c>
      <c r="AG30" s="33">
        <f>COUNTIFS('來案暨出貨明細表-基因檢測(201904起'!$P:$P,$A30&amp;"*",'來案暨出貨明細表-基因檢測(201904起'!$B:$B,AG$1)*$B30+COUNTIFS('來案暨出貨明細表-基因檢測(201904起'!$P:$P,$A30&amp;"*",'來案暨出貨明細表-基因檢測(201904起'!$B:$B,AG$1,'來案暨出貨明細表-基因檢測(201904起'!$Q:$Q,"紙本&amp;電子")++COUNTIFS('來案暨出貨明細表-基因檢測(201904起'!$P:$P,$A30&amp;"*",'來案暨出貨明細表-基因檢測(201904起'!$B:$B,AG$1,'來案暨出貨明細表-基因檢測(201904起'!$R:$R,"中英")</f>
        <v>0</v>
      </c>
      <c r="AH30" s="33">
        <f>COUNTIFS('來案暨出貨明細表-基因檢測(201904起'!$P:$P,$A30&amp;"*",'來案暨出貨明細表-基因檢測(201904起'!$B:$B,AH$1)*$B30+COUNTIFS('來案暨出貨明細表-基因檢測(201904起'!$P:$P,$A30&amp;"*",'來案暨出貨明細表-基因檢測(201904起'!$B:$B,AH$1,'來案暨出貨明細表-基因檢測(201904起'!$Q:$Q,"紙本&amp;電子")++COUNTIFS('來案暨出貨明細表-基因檢測(201904起'!$P:$P,$A30&amp;"*",'來案暨出貨明細表-基因檢測(201904起'!$B:$B,AH$1,'來案暨出貨明細表-基因檢測(201904起'!$R:$R,"中英")</f>
        <v>0</v>
      </c>
      <c r="AI30" s="33">
        <f>COUNTIFS('來案暨出貨明細表-基因檢測(201904起'!$P:$P,$A30&amp;"*",'來案暨出貨明細表-基因檢測(201904起'!$B:$B,AI$1)*$B30+COUNTIFS('來案暨出貨明細表-基因檢測(201904起'!$P:$P,$A30&amp;"*",'來案暨出貨明細表-基因檢測(201904起'!$B:$B,AI$1,'來案暨出貨明細表-基因檢測(201904起'!$Q:$Q,"紙本&amp;電子")++COUNTIFS('來案暨出貨明細表-基因檢測(201904起'!$P:$P,$A30&amp;"*",'來案暨出貨明細表-基因檢測(201904起'!$B:$B,AI$1,'來案暨出貨明細表-基因檢測(201904起'!$R:$R,"中英")</f>
        <v>0</v>
      </c>
      <c r="AJ30" s="33">
        <f>COUNTIFS('來案暨出貨明細表-基因檢測(201904起'!$P:$P,$A30&amp;"*",'來案暨出貨明細表-基因檢測(201904起'!$B:$B,AJ$1)*$B30+COUNTIFS('來案暨出貨明細表-基因檢測(201904起'!$P:$P,$A30&amp;"*",'來案暨出貨明細表-基因檢測(201904起'!$B:$B,AJ$1,'來案暨出貨明細表-基因檢測(201904起'!$Q:$Q,"紙本&amp;電子")++COUNTIFS('來案暨出貨明細表-基因檢測(201904起'!$P:$P,$A30&amp;"*",'來案暨出貨明細表-基因檢測(201904起'!$B:$B,AJ$1,'來案暨出貨明細表-基因檢測(201904起'!$R:$R,"中英")</f>
        <v>0</v>
      </c>
      <c r="AK30" s="33">
        <f>COUNTIFS('來案暨出貨明細表-基因檢測(201904起'!$P:$P,$A30&amp;"*",'來案暨出貨明細表-基因檢測(201904起'!$B:$B,AK$1)*$B30+COUNTIFS('來案暨出貨明細表-基因檢測(201904起'!$P:$P,$A30&amp;"*",'來案暨出貨明細表-基因檢測(201904起'!$B:$B,AK$1,'來案暨出貨明細表-基因檢測(201904起'!$Q:$Q,"紙本&amp;電子")++COUNTIFS('來案暨出貨明細表-基因檢測(201904起'!$P:$P,$A30&amp;"*",'來案暨出貨明細表-基因檢測(201904起'!$B:$B,AK$1,'來案暨出貨明細表-基因檢測(201904起'!$R:$R,"中英")</f>
        <v>0</v>
      </c>
      <c r="AL30" s="33">
        <f>COUNTIFS('來案暨出貨明細表-基因檢測(201904起'!$P:$P,$A30&amp;"*",'來案暨出貨明細表-基因檢測(201904起'!$B:$B,AL$1)*$B30+COUNTIFS('來案暨出貨明細表-基因檢測(201904起'!$P:$P,$A30&amp;"*",'來案暨出貨明細表-基因檢測(201904起'!$B:$B,AL$1,'來案暨出貨明細表-基因檢測(201904起'!$Q:$Q,"紙本&amp;電子")++COUNTIFS('來案暨出貨明細表-基因檢測(201904起'!$P:$P,$A30&amp;"*",'來案暨出貨明細表-基因檢測(201904起'!$B:$B,AL$1,'來案暨出貨明細表-基因檢測(201904起'!$R:$R,"中英")</f>
        <v>0</v>
      </c>
      <c r="AM30" s="33">
        <f>COUNTIFS('來案暨出貨明細表-基因檢測(201904起'!$P:$P,$A30&amp;"*",'來案暨出貨明細表-基因檢測(201904起'!$B:$B,AM$1)*$B30+COUNTIFS('來案暨出貨明細表-基因檢測(201904起'!$P:$P,$A30&amp;"*",'來案暨出貨明細表-基因檢測(201904起'!$B:$B,AM$1,'來案暨出貨明細表-基因檢測(201904起'!$Q:$Q,"紙本&amp;電子")++COUNTIFS('來案暨出貨明細表-基因檢測(201904起'!$P:$P,$A30&amp;"*",'來案暨出貨明細表-基因檢測(201904起'!$B:$B,AM$1,'來案暨出貨明細表-基因檢測(201904起'!$R:$R,"中英")</f>
        <v>0</v>
      </c>
      <c r="AN30" s="33">
        <f>COUNTIFS('來案暨出貨明細表-基因檢測(201904起'!$P:$P,$A30&amp;"*",'來案暨出貨明細表-基因檢測(201904起'!$B:$B,AN$1)*$B30+COUNTIFS('來案暨出貨明細表-基因檢測(201904起'!$P:$P,$A30&amp;"*",'來案暨出貨明細表-基因檢測(201904起'!$B:$B,AN$1,'來案暨出貨明細表-基因檢測(201904起'!$Q:$Q,"紙本&amp;電子")++COUNTIFS('來案暨出貨明細表-基因檢測(201904起'!$P:$P,$A30&amp;"*",'來案暨出貨明細表-基因檢測(201904起'!$B:$B,AN$1,'來案暨出貨明細表-基因檢測(201904起'!$R:$R,"中英")</f>
        <v>0</v>
      </c>
      <c r="AO30" s="33">
        <f>COUNTIFS('來案暨出貨明細表-基因檢測(201904起'!$P:$P,$A30&amp;"*",'來案暨出貨明細表-基因檢測(201904起'!$B:$B,AO$1)*$B30+COUNTIFS('來案暨出貨明細表-基因檢測(201904起'!$P:$P,$A30&amp;"*",'來案暨出貨明細表-基因檢測(201904起'!$B:$B,AO$1,'來案暨出貨明細表-基因檢測(201904起'!$Q:$Q,"紙本&amp;電子")++COUNTIFS('來案暨出貨明細表-基因檢測(201904起'!$P:$P,$A30&amp;"*",'來案暨出貨明細表-基因檢測(201904起'!$B:$B,AO$1,'來案暨出貨明細表-基因檢測(201904起'!$R:$R,"中英")</f>
        <v>0</v>
      </c>
      <c r="AP30" s="33">
        <f>COUNTIFS('來案暨出貨明細表-基因檢測(201904起'!$P:$P,$A30&amp;"*",'來案暨出貨明細表-基因檢測(201904起'!$B:$B,AP$1)*$B30+COUNTIFS('來案暨出貨明細表-基因檢測(201904起'!$P:$P,$A30&amp;"*",'來案暨出貨明細表-基因檢測(201904起'!$B:$B,AP$1,'來案暨出貨明細表-基因檢測(201904起'!$Q:$Q,"紙本&amp;電子")++COUNTIFS('來案暨出貨明細表-基因檢測(201904起'!$P:$P,$A30&amp;"*",'來案暨出貨明細表-基因檢測(201904起'!$B:$B,AP$1,'來案暨出貨明細表-基因檢測(201904起'!$R:$R,"中英")</f>
        <v>0</v>
      </c>
      <c r="AQ30" s="33">
        <f>COUNTIFS('來案暨出貨明細表-基因檢測(201904起'!$P:$P,$A30&amp;"*",'來案暨出貨明細表-基因檢測(201904起'!$B:$B,AQ$1)*$B30+COUNTIFS('來案暨出貨明細表-基因檢測(201904起'!$P:$P,$A30&amp;"*",'來案暨出貨明細表-基因檢測(201904起'!$B:$B,AQ$1,'來案暨出貨明細表-基因檢測(201904起'!$Q:$Q,"紙本&amp;電子")++COUNTIFS('來案暨出貨明細表-基因檢測(201904起'!$P:$P,$A30&amp;"*",'來案暨出貨明細表-基因檢測(201904起'!$B:$B,AQ$1,'來案暨出貨明細表-基因檢測(201904起'!$R:$R,"中英")</f>
        <v>0</v>
      </c>
      <c r="AR30" s="33">
        <f>COUNTIFS('來案暨出貨明細表-基因檢測(201904起'!$P:$P,$A30&amp;"*",'來案暨出貨明細表-基因檢測(201904起'!$B:$B,AR$1)*$B30+COUNTIFS('來案暨出貨明細表-基因檢測(201904起'!$P:$P,$A30&amp;"*",'來案暨出貨明細表-基因檢測(201904起'!$B:$B,AR$1,'來案暨出貨明細表-基因檢測(201904起'!$Q:$Q,"紙本&amp;電子")++COUNTIFS('來案暨出貨明細表-基因檢測(201904起'!$P:$P,$A30&amp;"*",'來案暨出貨明細表-基因檢測(201904起'!$B:$B,AR$1,'來案暨出貨明細表-基因檢測(201904起'!$R:$R,"中英")</f>
        <v>0</v>
      </c>
      <c r="AS30" s="33">
        <f>COUNTIFS('來案暨出貨明細表-基因檢測(201904起'!$P:$P,$A30&amp;"*",'來案暨出貨明細表-基因檢測(201904起'!$B:$B,AS$1)*$B30+COUNTIFS('來案暨出貨明細表-基因檢測(201904起'!$P:$P,$A30&amp;"*",'來案暨出貨明細表-基因檢測(201904起'!$B:$B,AS$1,'來案暨出貨明細表-基因檢測(201904起'!$Q:$Q,"紙本&amp;電子")++COUNTIFS('來案暨出貨明細表-基因檢測(201904起'!$P:$P,$A30&amp;"*",'來案暨出貨明細表-基因檢測(201904起'!$B:$B,AS$1,'來案暨出貨明細表-基因檢測(201904起'!$R:$R,"中英")</f>
        <v>0</v>
      </c>
      <c r="AT30" s="33">
        <f>COUNTIFS('來案暨出貨明細表-基因檢測(201904起'!$P:$P,$A30&amp;"*",'來案暨出貨明細表-基因檢測(201904起'!$B:$B,AT$1)*$B30+COUNTIFS('來案暨出貨明細表-基因檢測(201904起'!$P:$P,$A30&amp;"*",'來案暨出貨明細表-基因檢測(201904起'!$B:$B,AT$1,'來案暨出貨明細表-基因檢測(201904起'!$Q:$Q,"紙本&amp;電子")++COUNTIFS('來案暨出貨明細表-基因檢測(201904起'!$P:$P,$A30&amp;"*",'來案暨出貨明細表-基因檢測(201904起'!$B:$B,AT$1,'來案暨出貨明細表-基因檢測(201904起'!$R:$R,"中英")</f>
        <v>0</v>
      </c>
      <c r="AU30" s="33">
        <f>COUNTIFS('來案暨出貨明細表-基因檢測(201904起'!$P:$P,$A30&amp;"*",'來案暨出貨明細表-基因檢測(201904起'!$B:$B,AU$1)*$B30+COUNTIFS('來案暨出貨明細表-基因檢測(201904起'!$P:$P,$A30&amp;"*",'來案暨出貨明細表-基因檢測(201904起'!$B:$B,AU$1,'來案暨出貨明細表-基因檢測(201904起'!$Q:$Q,"紙本&amp;電子")++COUNTIFS('來案暨出貨明細表-基因檢測(201904起'!$P:$P,$A30&amp;"*",'來案暨出貨明細表-基因檢測(201904起'!$B:$B,AU$1,'來案暨出貨明細表-基因檢測(201904起'!$R:$R,"中英")</f>
        <v>0</v>
      </c>
      <c r="AV30" s="33">
        <f>COUNTIFS('來案暨出貨明細表-基因檢測(201904起'!$P:$P,$A30&amp;"*",'來案暨出貨明細表-基因檢測(201904起'!$B:$B,AV$1)*$B30+COUNTIFS('來案暨出貨明細表-基因檢測(201904起'!$P:$P,$A30&amp;"*",'來案暨出貨明細表-基因檢測(201904起'!$B:$B,AV$1,'來案暨出貨明細表-基因檢測(201904起'!$Q:$Q,"紙本&amp;電子")++COUNTIFS('來案暨出貨明細表-基因檢測(201904起'!$P:$P,$A30&amp;"*",'來案暨出貨明細表-基因檢測(201904起'!$B:$B,AV$1,'來案暨出貨明細表-基因檢測(201904起'!$R:$R,"中英")</f>
        <v>0</v>
      </c>
      <c r="AW30" s="33">
        <f>COUNTIFS('來案暨出貨明細表-基因檢測(201904起'!$P:$P,$A30&amp;"*",'來案暨出貨明細表-基因檢測(201904起'!$B:$B,AW$1)*$B30+COUNTIFS('來案暨出貨明細表-基因檢測(201904起'!$P:$P,$A30&amp;"*",'來案暨出貨明細表-基因檢測(201904起'!$B:$B,AW$1,'來案暨出貨明細表-基因檢測(201904起'!$Q:$Q,"紙本&amp;電子")++COUNTIFS('來案暨出貨明細表-基因檢測(201904起'!$P:$P,$A30&amp;"*",'來案暨出貨明細表-基因檢測(201904起'!$B:$B,AW$1,'來案暨出貨明細表-基因檢測(201904起'!$R:$R,"中英")</f>
        <v>0</v>
      </c>
      <c r="AX30" s="33">
        <f>COUNTIFS('來案暨出貨明細表-基因檢測(201904起'!$P:$P,$A30&amp;"*",'來案暨出貨明細表-基因檢測(201904起'!$B:$B,AX$1)*$B30+COUNTIFS('來案暨出貨明細表-基因檢測(201904起'!$P:$P,$A30&amp;"*",'來案暨出貨明細表-基因檢測(201904起'!$B:$B,AX$1,'來案暨出貨明細表-基因檢測(201904起'!$Q:$Q,"紙本&amp;電子")++COUNTIFS('來案暨出貨明細表-基因檢測(201904起'!$P:$P,$A30&amp;"*",'來案暨出貨明細表-基因檢測(201904起'!$B:$B,AX$1,'來案暨出貨明細表-基因檢測(201904起'!$R:$R,"中英")</f>
        <v>0</v>
      </c>
      <c r="AY30" s="33">
        <f>COUNTIFS('來案暨出貨明細表-基因檢測(201904起'!$P:$P,$A30&amp;"*",'來案暨出貨明細表-基因檢測(201904起'!$B:$B,AY$1)*$B30+COUNTIFS('來案暨出貨明細表-基因檢測(201904起'!$P:$P,$A30&amp;"*",'來案暨出貨明細表-基因檢測(201904起'!$B:$B,AY$1,'來案暨出貨明細表-基因檢測(201904起'!$Q:$Q,"紙本&amp;電子")++COUNTIFS('來案暨出貨明細表-基因檢測(201904起'!$P:$P,$A30&amp;"*",'來案暨出貨明細表-基因檢測(201904起'!$B:$B,AY$1,'來案暨出貨明細表-基因檢測(201904起'!$R:$R,"中英")</f>
        <v>0</v>
      </c>
      <c r="AZ30" s="33">
        <f>COUNTIFS('來案暨出貨明細表-基因檢測(201904起'!$P:$P,$A30&amp;"*",'來案暨出貨明細表-基因檢測(201904起'!$B:$B,AZ$1)*$B30+COUNTIFS('來案暨出貨明細表-基因檢測(201904起'!$P:$P,$A30&amp;"*",'來案暨出貨明細表-基因檢測(201904起'!$B:$B,AZ$1,'來案暨出貨明細表-基因檢測(201904起'!$Q:$Q,"紙本&amp;電子")++COUNTIFS('來案暨出貨明細表-基因檢測(201904起'!$P:$P,$A30&amp;"*",'來案暨出貨明細表-基因檢測(201904起'!$B:$B,AZ$1,'來案暨出貨明細表-基因檢測(201904起'!$R:$R,"中英")</f>
        <v>0</v>
      </c>
      <c r="BA30" s="33">
        <f>COUNTIFS('來案暨出貨明細表-基因檢測(201904起'!$P:$P,$A30&amp;"*",'來案暨出貨明細表-基因檢測(201904起'!$B:$B,BA$1)*$B30+COUNTIFS('來案暨出貨明細表-基因檢測(201904起'!$P:$P,$A30&amp;"*",'來案暨出貨明細表-基因檢測(201904起'!$B:$B,BA$1,'來案暨出貨明細表-基因檢測(201904起'!$Q:$Q,"紙本&amp;電子")++COUNTIFS('來案暨出貨明細表-基因檢測(201904起'!$P:$P,$A30&amp;"*",'來案暨出貨明細表-基因檢測(201904起'!$B:$B,BA$1,'來案暨出貨明細表-基因檢測(201904起'!$R:$R,"中英")</f>
        <v>0</v>
      </c>
      <c r="BB30" s="33">
        <f>COUNTIFS('來案暨出貨明細表-基因檢測(201904起'!$P:$P,$A30&amp;"*",'來案暨出貨明細表-基因檢測(201904起'!$B:$B,BB$1)*$B30+COUNTIFS('來案暨出貨明細表-基因檢測(201904起'!$P:$P,$A30&amp;"*",'來案暨出貨明細表-基因檢測(201904起'!$B:$B,BB$1,'來案暨出貨明細表-基因檢測(201904起'!$Q:$Q,"紙本&amp;電子")++COUNTIFS('來案暨出貨明細表-基因檢測(201904起'!$P:$P,$A30&amp;"*",'來案暨出貨明細表-基因檢測(201904起'!$B:$B,BB$1,'來案暨出貨明細表-基因檢測(201904起'!$R:$R,"中英")</f>
        <v>0</v>
      </c>
      <c r="BC30" s="33">
        <f>COUNTIFS('來案暨出貨明細表-基因檢測(201904起'!$P:$P,$A30&amp;"*",'來案暨出貨明細表-基因檢測(201904起'!$B:$B,BC$1)*$B30+COUNTIFS('來案暨出貨明細表-基因檢測(201904起'!$P:$P,$A30&amp;"*",'來案暨出貨明細表-基因檢測(201904起'!$B:$B,BC$1,'來案暨出貨明細表-基因檢測(201904起'!$Q:$Q,"紙本&amp;電子")++COUNTIFS('來案暨出貨明細表-基因檢測(201904起'!$P:$P,$A30&amp;"*",'來案暨出貨明細表-基因檢測(201904起'!$B:$B,BC$1,'來案暨出貨明細表-基因檢測(201904起'!$R:$R,"中英")</f>
        <v>0</v>
      </c>
      <c r="BD30" s="33">
        <f>COUNTIFS('來案暨出貨明細表-基因檢測(201904起'!$P:$P,$A30&amp;"*",'來案暨出貨明細表-基因檢測(201904起'!$B:$B,BD$1)*$B30+COUNTIFS('來案暨出貨明細表-基因檢測(201904起'!$P:$P,$A30&amp;"*",'來案暨出貨明細表-基因檢測(201904起'!$B:$B,BD$1,'來案暨出貨明細表-基因檢測(201904起'!$Q:$Q,"紙本&amp;電子")++COUNTIFS('來案暨出貨明細表-基因檢測(201904起'!$P:$P,$A30&amp;"*",'來案暨出貨明細表-基因檢測(201904起'!$B:$B,BD$1,'來案暨出貨明細表-基因檢測(201904起'!$R:$R,"中英")</f>
        <v>0</v>
      </c>
      <c r="BE30" s="33">
        <f>COUNTIFS('來案暨出貨明細表-基因檢測(201904起'!$P:$P,$A30&amp;"*",'來案暨出貨明細表-基因檢測(201904起'!$B:$B,BE$1)*$B30+COUNTIFS('來案暨出貨明細表-基因檢測(201904起'!$P:$P,$A30&amp;"*",'來案暨出貨明細表-基因檢測(201904起'!$B:$B,BE$1,'來案暨出貨明細表-基因檢測(201904起'!$Q:$Q,"紙本&amp;電子")++COUNTIFS('來案暨出貨明細表-基因檢測(201904起'!$P:$P,$A30&amp;"*",'來案暨出貨明細表-基因檢測(201904起'!$B:$B,BE$1,'來案暨出貨明細表-基因檢測(201904起'!$R:$R,"中英")</f>
        <v>0</v>
      </c>
      <c r="BF30" s="33">
        <f>COUNTIFS('來案暨出貨明細表-基因檢測(201904起'!$P:$P,$A30&amp;"*",'來案暨出貨明細表-基因檢測(201904起'!$B:$B,BF$1)*$B30+COUNTIFS('來案暨出貨明細表-基因檢測(201904起'!$P:$P,$A30&amp;"*",'來案暨出貨明細表-基因檢測(201904起'!$B:$B,BF$1,'來案暨出貨明細表-基因檢測(201904起'!$Q:$Q,"紙本&amp;電子")++COUNTIFS('來案暨出貨明細表-基因檢測(201904起'!$P:$P,$A30&amp;"*",'來案暨出貨明細表-基因檢測(201904起'!$B:$B,BF$1,'來案暨出貨明細表-基因檢測(201904起'!$R:$R,"中英")</f>
        <v>0</v>
      </c>
      <c r="BG30" s="33">
        <f>COUNTIFS('來案暨出貨明細表-基因檢測(201904起'!$P:$P,$A30&amp;"*",'來案暨出貨明細表-基因檢測(201904起'!$B:$B,BG$1)*$B30+COUNTIFS('來案暨出貨明細表-基因檢測(201904起'!$P:$P,$A30&amp;"*",'來案暨出貨明細表-基因檢測(201904起'!$B:$B,BG$1,'來案暨出貨明細表-基因檢測(201904起'!$Q:$Q,"紙本&amp;電子")++COUNTIFS('來案暨出貨明細表-基因檢測(201904起'!$P:$P,$A30&amp;"*",'來案暨出貨明細表-基因檢測(201904起'!$B:$B,BG$1,'來案暨出貨明細表-基因檢測(201904起'!$R:$R,"中英")</f>
        <v>0</v>
      </c>
      <c r="BH30" s="33">
        <f>COUNTIFS('來案暨出貨明細表-基因檢測(201904起'!$P:$P,$A30&amp;"*",'來案暨出貨明細表-基因檢測(201904起'!$B:$B,BH$1)*$B30+COUNTIFS('來案暨出貨明細表-基因檢測(201904起'!$P:$P,$A30&amp;"*",'來案暨出貨明細表-基因檢測(201904起'!$B:$B,BH$1,'來案暨出貨明細表-基因檢測(201904起'!$Q:$Q,"紙本&amp;電子")++COUNTIFS('來案暨出貨明細表-基因檢測(201904起'!$P:$P,$A30&amp;"*",'來案暨出貨明細表-基因檢測(201904起'!$B:$B,BH$1,'來案暨出貨明細表-基因檢測(201904起'!$R:$R,"中英")</f>
        <v>0</v>
      </c>
      <c r="BI30" s="33">
        <f>COUNTIFS('來案暨出貨明細表-基因檢測(201904起'!$P:$P,$A30&amp;"*",'來案暨出貨明細表-基因檢測(201904起'!$B:$B,BI$1)*$B30+COUNTIFS('來案暨出貨明細表-基因檢測(201904起'!$P:$P,$A30&amp;"*",'來案暨出貨明細表-基因檢測(201904起'!$B:$B,BI$1,'來案暨出貨明細表-基因檢測(201904起'!$Q:$Q,"紙本&amp;電子")++COUNTIFS('來案暨出貨明細表-基因檢測(201904起'!$P:$P,$A30&amp;"*",'來案暨出貨明細表-基因檢測(201904起'!$B:$B,BI$1,'來案暨出貨明細表-基因檢測(201904起'!$R:$R,"中英")</f>
        <v>0</v>
      </c>
      <c r="BJ30" s="33">
        <f>COUNTIFS('來案暨出貨明細表-基因檢測(201904起'!$P:$P,$A30&amp;"*",'來案暨出貨明細表-基因檢測(201904起'!$B:$B,BJ$1)*$B30+COUNTIFS('來案暨出貨明細表-基因檢測(201904起'!$P:$P,$A30&amp;"*",'來案暨出貨明細表-基因檢測(201904起'!$B:$B,BJ$1,'來案暨出貨明細表-基因檢測(201904起'!$Q:$Q,"紙本&amp;電子")++COUNTIFS('來案暨出貨明細表-基因檢測(201904起'!$P:$P,$A30&amp;"*",'來案暨出貨明細表-基因檢測(201904起'!$B:$B,BJ$1,'來案暨出貨明細表-基因檢測(201904起'!$R:$R,"中英")</f>
        <v>0</v>
      </c>
      <c r="BK30" s="33">
        <f>COUNTIFS('來案暨出貨明細表-基因檢測(201904起'!$P:$P,$A30&amp;"*",'來案暨出貨明細表-基因檢測(201904起'!$B:$B,BK$1)*$B30+COUNTIFS('來案暨出貨明細表-基因檢測(201904起'!$P:$P,$A30&amp;"*",'來案暨出貨明細表-基因檢測(201904起'!$B:$B,BK$1,'來案暨出貨明細表-基因檢測(201904起'!$Q:$Q,"紙本&amp;電子")++COUNTIFS('來案暨出貨明細表-基因檢測(201904起'!$P:$P,$A30&amp;"*",'來案暨出貨明細表-基因檢測(201904起'!$B:$B,BK$1,'來案暨出貨明細表-基因檢測(201904起'!$R:$R,"中英")</f>
        <v>0</v>
      </c>
      <c r="BL30" s="33">
        <f>COUNTIFS('來案暨出貨明細表-基因檢測(201904起'!$P:$P,$A30&amp;"*",'來案暨出貨明細表-基因檢測(201904起'!$B:$B,BL$1)*$B30+COUNTIFS('來案暨出貨明細表-基因檢測(201904起'!$P:$P,$A30&amp;"*",'來案暨出貨明細表-基因檢測(201904起'!$B:$B,BL$1,'來案暨出貨明細表-基因檢測(201904起'!$Q:$Q,"紙本&amp;電子")++COUNTIFS('來案暨出貨明細表-基因檢測(201904起'!$P:$P,$A30&amp;"*",'來案暨出貨明細表-基因檢測(201904起'!$B:$B,BL$1,'來案暨出貨明細表-基因檢測(201904起'!$R:$R,"中英")</f>
        <v>0</v>
      </c>
      <c r="BM30" s="33">
        <f>COUNTIFS('來案暨出貨明細表-基因檢測(201904起'!$P:$P,$A30&amp;"*",'來案暨出貨明細表-基因檢測(201904起'!$B:$B,BM$1)*$B30+COUNTIFS('來案暨出貨明細表-基因檢測(201904起'!$P:$P,$A30&amp;"*",'來案暨出貨明細表-基因檢測(201904起'!$B:$B,BM$1,'來案暨出貨明細表-基因檢測(201904起'!$Q:$Q,"紙本&amp;電子")++COUNTIFS('來案暨出貨明細表-基因檢測(201904起'!$P:$P,$A30&amp;"*",'來案暨出貨明細表-基因檢測(201904起'!$B:$B,BM$1,'來案暨出貨明細表-基因檢測(201904起'!$R:$R,"中英")</f>
        <v>0</v>
      </c>
    </row>
    <row r="31" spans="1:65" ht="15" customHeight="1">
      <c r="A31" s="9" t="s">
        <v>4554</v>
      </c>
      <c r="B31" s="9">
        <v>1</v>
      </c>
      <c r="C31" s="13" t="s">
        <v>4555</v>
      </c>
      <c r="D31" s="142" t="s">
        <v>4556</v>
      </c>
      <c r="E31" s="33">
        <f>COUNTIFS('來案暨出貨明細表-基因檢測(201904起'!$P:$P,$A31&amp;"*",'來案暨出貨明細表-基因檢測(201904起'!$B:$B,E$1)*$B31+COUNTIFS('來案暨出貨明細表-基因檢測(201904起'!$P:$P,$A31&amp;"*",'來案暨出貨明細表-基因檢測(201904起'!$B:$B,E$1,'來案暨出貨明細表-基因檢測(201904起'!$Q:$Q,"紙本&amp;電子")++COUNTIFS('來案暨出貨明細表-基因檢測(201904起'!$P:$P,$A31&amp;"*",'來案暨出貨明細表-基因檢測(201904起'!$B:$B,E$1,'來案暨出貨明細表-基因檢測(201904起'!$R:$R,"中英")</f>
        <v>0</v>
      </c>
      <c r="F31" s="33">
        <f>COUNTIFS('來案暨出貨明細表-基因檢測(201904起'!$P:$P,$A31&amp;"*",'來案暨出貨明細表-基因檢測(201904起'!$B:$B,F$1)*$B31+COUNTIFS('來案暨出貨明細表-基因檢測(201904起'!$P:$P,$A31&amp;"*",'來案暨出貨明細表-基因檢測(201904起'!$B:$B,F$1,'來案暨出貨明細表-基因檢測(201904起'!$Q:$Q,"紙本&amp;電子")++COUNTIFS('來案暨出貨明細表-基因檢測(201904起'!$P:$P,$A31&amp;"*",'來案暨出貨明細表-基因檢測(201904起'!$B:$B,F$1,'來案暨出貨明細表-基因檢測(201904起'!$R:$R,"中英")</f>
        <v>0</v>
      </c>
      <c r="G31" s="33">
        <f>COUNTIFS('來案暨出貨明細表-基因檢測(201904起'!$P:$P,$A31&amp;"*",'來案暨出貨明細表-基因檢測(201904起'!$B:$B,G$1)*$B31+COUNTIFS('來案暨出貨明細表-基因檢測(201904起'!$P:$P,$A31&amp;"*",'來案暨出貨明細表-基因檢測(201904起'!$B:$B,G$1,'來案暨出貨明細表-基因檢測(201904起'!$Q:$Q,"紙本&amp;電子")++COUNTIFS('來案暨出貨明細表-基因檢測(201904起'!$P:$P,$A31&amp;"*",'來案暨出貨明細表-基因檢測(201904起'!$B:$B,G$1,'來案暨出貨明細表-基因檢測(201904起'!$R:$R,"中英")</f>
        <v>0</v>
      </c>
      <c r="H31" s="33">
        <f>COUNTIFS('來案暨出貨明細表-基因檢測(201904起'!$P:$P,$A31&amp;"*",'來案暨出貨明細表-基因檢測(201904起'!$B:$B,H$1)*$B31+COUNTIFS('來案暨出貨明細表-基因檢測(201904起'!$P:$P,$A31&amp;"*",'來案暨出貨明細表-基因檢測(201904起'!$B:$B,H$1,'來案暨出貨明細表-基因檢測(201904起'!$Q:$Q,"紙本&amp;電子")++COUNTIFS('來案暨出貨明細表-基因檢測(201904起'!$P:$P,$A31&amp;"*",'來案暨出貨明細表-基因檢測(201904起'!$B:$B,H$1,'來案暨出貨明細表-基因檢測(201904起'!$R:$R,"中英")</f>
        <v>0</v>
      </c>
      <c r="I31" s="33">
        <f>COUNTIFS('來案暨出貨明細表-基因檢測(201904起'!$P:$P,$A31&amp;"*",'來案暨出貨明細表-基因檢測(201904起'!$B:$B,I$1)*$B31+COUNTIFS('來案暨出貨明細表-基因檢測(201904起'!$P:$P,$A31&amp;"*",'來案暨出貨明細表-基因檢測(201904起'!$B:$B,I$1,'來案暨出貨明細表-基因檢測(201904起'!$Q:$Q,"紙本&amp;電子")++COUNTIFS('來案暨出貨明細表-基因檢測(201904起'!$P:$P,$A31&amp;"*",'來案暨出貨明細表-基因檢測(201904起'!$B:$B,I$1,'來案暨出貨明細表-基因檢測(201904起'!$R:$R,"中英")</f>
        <v>0</v>
      </c>
      <c r="J31" s="33">
        <f>COUNTIFS('來案暨出貨明細表-基因檢測(201904起'!$P:$P,$A31&amp;"*",'來案暨出貨明細表-基因檢測(201904起'!$B:$B,J$1)*$B31+COUNTIFS('來案暨出貨明細表-基因檢測(201904起'!$P:$P,$A31&amp;"*",'來案暨出貨明細表-基因檢測(201904起'!$B:$B,J$1,'來案暨出貨明細表-基因檢測(201904起'!$Q:$Q,"紙本&amp;電子")++COUNTIFS('來案暨出貨明細表-基因檢測(201904起'!$P:$P,$A31&amp;"*",'來案暨出貨明細表-基因檢測(201904起'!$B:$B,J$1,'來案暨出貨明細表-基因檢測(201904起'!$R:$R,"中英")</f>
        <v>0</v>
      </c>
      <c r="K31" s="33">
        <f>COUNTIFS('來案暨出貨明細表-基因檢測(201904起'!$P:$P,$A31&amp;"*",'來案暨出貨明細表-基因檢測(201904起'!$B:$B,K$1)*$B31+COUNTIFS('來案暨出貨明細表-基因檢測(201904起'!$P:$P,$A31&amp;"*",'來案暨出貨明細表-基因檢測(201904起'!$B:$B,K$1,'來案暨出貨明細表-基因檢測(201904起'!$Q:$Q,"紙本&amp;電子")++COUNTIFS('來案暨出貨明細表-基因檢測(201904起'!$P:$P,$A31&amp;"*",'來案暨出貨明細表-基因檢測(201904起'!$B:$B,K$1,'來案暨出貨明細表-基因檢測(201904起'!$R:$R,"中英")</f>
        <v>0</v>
      </c>
      <c r="L31" s="33">
        <f>COUNTIFS('來案暨出貨明細表-基因檢測(201904起'!$P:$P,$A31&amp;"*",'來案暨出貨明細表-基因檢測(201904起'!$B:$B,L$1)*$B31+COUNTIFS('來案暨出貨明細表-基因檢測(201904起'!$P:$P,$A31&amp;"*",'來案暨出貨明細表-基因檢測(201904起'!$B:$B,L$1,'來案暨出貨明細表-基因檢測(201904起'!$Q:$Q,"紙本&amp;電子")++COUNTIFS('來案暨出貨明細表-基因檢測(201904起'!$P:$P,$A31&amp;"*",'來案暨出貨明細表-基因檢測(201904起'!$B:$B,L$1,'來案暨出貨明細表-基因檢測(201904起'!$R:$R,"中英")</f>
        <v>0</v>
      </c>
      <c r="M31" s="33">
        <f>COUNTIFS('來案暨出貨明細表-基因檢測(201904起'!$P:$P,$A31&amp;"*",'來案暨出貨明細表-基因檢測(201904起'!$B:$B,M$1)*$B31+COUNTIFS('來案暨出貨明細表-基因檢測(201904起'!$P:$P,$A31&amp;"*",'來案暨出貨明細表-基因檢測(201904起'!$B:$B,M$1,'來案暨出貨明細表-基因檢測(201904起'!$Q:$Q,"紙本&amp;電子")++COUNTIFS('來案暨出貨明細表-基因檢測(201904起'!$P:$P,$A31&amp;"*",'來案暨出貨明細表-基因檢測(201904起'!$B:$B,M$1,'來案暨出貨明細表-基因檢測(201904起'!$R:$R,"中英")</f>
        <v>0</v>
      </c>
      <c r="N31" s="33">
        <f>COUNTIFS('來案暨出貨明細表-基因檢測(201904起'!$P:$P,$A31&amp;"*",'來案暨出貨明細表-基因檢測(201904起'!$B:$B,N$1)*$B31+COUNTIFS('來案暨出貨明細表-基因檢測(201904起'!$P:$P,$A31&amp;"*",'來案暨出貨明細表-基因檢測(201904起'!$B:$B,N$1,'來案暨出貨明細表-基因檢測(201904起'!$Q:$Q,"紙本&amp;電子")++COUNTIFS('來案暨出貨明細表-基因檢測(201904起'!$P:$P,$A31&amp;"*",'來案暨出貨明細表-基因檢測(201904起'!$B:$B,N$1,'來案暨出貨明細表-基因檢測(201904起'!$R:$R,"中英")</f>
        <v>0</v>
      </c>
      <c r="O31" s="33">
        <f>COUNTIFS('來案暨出貨明細表-基因檢測(201904起'!$P:$P,$A31&amp;"*",'來案暨出貨明細表-基因檢測(201904起'!$B:$B,O$1)*$B31+COUNTIFS('來案暨出貨明細表-基因檢測(201904起'!$P:$P,$A31&amp;"*",'來案暨出貨明細表-基因檢測(201904起'!$B:$B,O$1,'來案暨出貨明細表-基因檢測(201904起'!$Q:$Q,"紙本&amp;電子")++COUNTIFS('來案暨出貨明細表-基因檢測(201904起'!$P:$P,$A31&amp;"*",'來案暨出貨明細表-基因檢測(201904起'!$B:$B,O$1,'來案暨出貨明細表-基因檢測(201904起'!$R:$R,"中英")</f>
        <v>0</v>
      </c>
      <c r="P31" s="33">
        <f>COUNTIFS('來案暨出貨明細表-基因檢測(201904起'!$P:$P,$A31&amp;"*",'來案暨出貨明細表-基因檢測(201904起'!$B:$B,P$1)*$B31+COUNTIFS('來案暨出貨明細表-基因檢測(201904起'!$P:$P,$A31&amp;"*",'來案暨出貨明細表-基因檢測(201904起'!$B:$B,P$1,'來案暨出貨明細表-基因檢測(201904起'!$Q:$Q,"紙本&amp;電子")++COUNTIFS('來案暨出貨明細表-基因檢測(201904起'!$P:$P,$A31&amp;"*",'來案暨出貨明細表-基因檢測(201904起'!$B:$B,P$1,'來案暨出貨明細表-基因檢測(201904起'!$R:$R,"中英")</f>
        <v>0</v>
      </c>
      <c r="Q31" s="33">
        <f>COUNTIFS('來案暨出貨明細表-基因檢測(201904起'!$P:$P,$A31&amp;"*",'來案暨出貨明細表-基因檢測(201904起'!$B:$B,Q$1)*$B31+COUNTIFS('來案暨出貨明細表-基因檢測(201904起'!$P:$P,$A31&amp;"*",'來案暨出貨明細表-基因檢測(201904起'!$B:$B,Q$1,'來案暨出貨明細表-基因檢測(201904起'!$Q:$Q,"紙本&amp;電子")++COUNTIFS('來案暨出貨明細表-基因檢測(201904起'!$P:$P,$A31&amp;"*",'來案暨出貨明細表-基因檢測(201904起'!$B:$B,Q$1,'來案暨出貨明細表-基因檢測(201904起'!$R:$R,"中英")</f>
        <v>0</v>
      </c>
      <c r="R31" s="33">
        <f>COUNTIFS('來案暨出貨明細表-基因檢測(201904起'!$P:$P,$A31&amp;"*",'來案暨出貨明細表-基因檢測(201904起'!$B:$B,R$1)*$B31+COUNTIFS('來案暨出貨明細表-基因檢測(201904起'!$P:$P,$A31&amp;"*",'來案暨出貨明細表-基因檢測(201904起'!$B:$B,R$1,'來案暨出貨明細表-基因檢測(201904起'!$Q:$Q,"紙本&amp;電子")++COUNTIFS('來案暨出貨明細表-基因檢測(201904起'!$P:$P,$A31&amp;"*",'來案暨出貨明細表-基因檢測(201904起'!$B:$B,R$1,'來案暨出貨明細表-基因檢測(201904起'!$R:$R,"中英")</f>
        <v>0</v>
      </c>
      <c r="S31" s="33">
        <f>COUNTIFS('來案暨出貨明細表-基因檢測(201904起'!$P:$P,$A31&amp;"*",'來案暨出貨明細表-基因檢測(201904起'!$B:$B,S$1)*$B31+COUNTIFS('來案暨出貨明細表-基因檢測(201904起'!$P:$P,$A31&amp;"*",'來案暨出貨明細表-基因檢測(201904起'!$B:$B,S$1,'來案暨出貨明細表-基因檢測(201904起'!$Q:$Q,"紙本&amp;電子")++COUNTIFS('來案暨出貨明細表-基因檢測(201904起'!$P:$P,$A31&amp;"*",'來案暨出貨明細表-基因檢測(201904起'!$B:$B,S$1,'來案暨出貨明細表-基因檢測(201904起'!$R:$R,"中英")</f>
        <v>0</v>
      </c>
      <c r="T31" s="33">
        <f>COUNTIFS('來案暨出貨明細表-基因檢測(201904起'!$P:$P,$A31&amp;"*",'來案暨出貨明細表-基因檢測(201904起'!$B:$B,T$1)*$B31+COUNTIFS('來案暨出貨明細表-基因檢測(201904起'!$P:$P,$A31&amp;"*",'來案暨出貨明細表-基因檢測(201904起'!$B:$B,T$1,'來案暨出貨明細表-基因檢測(201904起'!$Q:$Q,"紙本&amp;電子")++COUNTIFS('來案暨出貨明細表-基因檢測(201904起'!$P:$P,$A31&amp;"*",'來案暨出貨明細表-基因檢測(201904起'!$B:$B,T$1,'來案暨出貨明細表-基因檢測(201904起'!$R:$R,"中英")</f>
        <v>0</v>
      </c>
      <c r="U31" s="33">
        <f>COUNTIFS('來案暨出貨明細表-基因檢測(201904起'!$P:$P,$A31&amp;"*",'來案暨出貨明細表-基因檢測(201904起'!$B:$B,U$1)*$B31+COUNTIFS('來案暨出貨明細表-基因檢測(201904起'!$P:$P,$A31&amp;"*",'來案暨出貨明細表-基因檢測(201904起'!$B:$B,U$1,'來案暨出貨明細表-基因檢測(201904起'!$Q:$Q,"紙本&amp;電子")++COUNTIFS('來案暨出貨明細表-基因檢測(201904起'!$P:$P,$A31&amp;"*",'來案暨出貨明細表-基因檢測(201904起'!$B:$B,U$1,'來案暨出貨明細表-基因檢測(201904起'!$R:$R,"中英")</f>
        <v>0</v>
      </c>
      <c r="V31" s="33">
        <f>COUNTIFS('來案暨出貨明細表-基因檢測(201904起'!$P:$P,$A31&amp;"*",'來案暨出貨明細表-基因檢測(201904起'!$B:$B,V$1)*$B31+COUNTIFS('來案暨出貨明細表-基因檢測(201904起'!$P:$P,$A31&amp;"*",'來案暨出貨明細表-基因檢測(201904起'!$B:$B,V$1,'來案暨出貨明細表-基因檢測(201904起'!$Q:$Q,"紙本&amp;電子")++COUNTIFS('來案暨出貨明細表-基因檢測(201904起'!$P:$P,$A31&amp;"*",'來案暨出貨明細表-基因檢測(201904起'!$B:$B,V$1,'來案暨出貨明細表-基因檢測(201904起'!$R:$R,"中英")</f>
        <v>0</v>
      </c>
      <c r="W31" s="33">
        <f>COUNTIFS('來案暨出貨明細表-基因檢測(201904起'!$P:$P,$A31&amp;"*",'來案暨出貨明細表-基因檢測(201904起'!$B:$B,W$1)*$B31+COUNTIFS('來案暨出貨明細表-基因檢測(201904起'!$P:$P,$A31&amp;"*",'來案暨出貨明細表-基因檢測(201904起'!$B:$B,W$1,'來案暨出貨明細表-基因檢測(201904起'!$Q:$Q,"紙本&amp;電子")++COUNTIFS('來案暨出貨明細表-基因檢測(201904起'!$P:$P,$A31&amp;"*",'來案暨出貨明細表-基因檢測(201904起'!$B:$B,W$1,'來案暨出貨明細表-基因檢測(201904起'!$R:$R,"中英")</f>
        <v>0</v>
      </c>
      <c r="X31" s="33">
        <f>COUNTIFS('來案暨出貨明細表-基因檢測(201904起'!$P:$P,$A31&amp;"*",'來案暨出貨明細表-基因檢測(201904起'!$B:$B,X$1)*$B31+COUNTIFS('來案暨出貨明細表-基因檢測(201904起'!$P:$P,$A31&amp;"*",'來案暨出貨明細表-基因檢測(201904起'!$B:$B,X$1,'來案暨出貨明細表-基因檢測(201904起'!$Q:$Q,"紙本&amp;電子")++COUNTIFS('來案暨出貨明細表-基因檢測(201904起'!$P:$P,$A31&amp;"*",'來案暨出貨明細表-基因檢測(201904起'!$B:$B,X$1,'來案暨出貨明細表-基因檢測(201904起'!$R:$R,"中英")</f>
        <v>0</v>
      </c>
      <c r="Y31" s="33">
        <f>COUNTIFS('來案暨出貨明細表-基因檢測(201904起'!$P:$P,$A31&amp;"*",'來案暨出貨明細表-基因檢測(201904起'!$B:$B,Y$1)*$B31+COUNTIFS('來案暨出貨明細表-基因檢測(201904起'!$P:$P,$A31&amp;"*",'來案暨出貨明細表-基因檢測(201904起'!$B:$B,Y$1,'來案暨出貨明細表-基因檢測(201904起'!$Q:$Q,"紙本&amp;電子")++COUNTIFS('來案暨出貨明細表-基因檢測(201904起'!$P:$P,$A31&amp;"*",'來案暨出貨明細表-基因檢測(201904起'!$B:$B,Y$1,'來案暨出貨明細表-基因檢測(201904起'!$R:$R,"中英")</f>
        <v>0</v>
      </c>
      <c r="Z31" s="33">
        <f>COUNTIFS('來案暨出貨明細表-基因檢測(201904起'!$P:$P,$A31&amp;"*",'來案暨出貨明細表-基因檢測(201904起'!$B:$B,Z$1)*$B31+COUNTIFS('來案暨出貨明細表-基因檢測(201904起'!$P:$P,$A31&amp;"*",'來案暨出貨明細表-基因檢測(201904起'!$B:$B,Z$1,'來案暨出貨明細表-基因檢測(201904起'!$Q:$Q,"紙本&amp;電子")++COUNTIFS('來案暨出貨明細表-基因檢測(201904起'!$P:$P,$A31&amp;"*",'來案暨出貨明細表-基因檢測(201904起'!$B:$B,Z$1,'來案暨出貨明細表-基因檢測(201904起'!$R:$R,"中英")</f>
        <v>0</v>
      </c>
      <c r="AA31" s="33">
        <f>COUNTIFS('來案暨出貨明細表-基因檢測(201904起'!$P:$P,$A31&amp;"*",'來案暨出貨明細表-基因檢測(201904起'!$B:$B,AA$1)*$B31+COUNTIFS('來案暨出貨明細表-基因檢測(201904起'!$P:$P,$A31&amp;"*",'來案暨出貨明細表-基因檢測(201904起'!$B:$B,AA$1,'來案暨出貨明細表-基因檢測(201904起'!$Q:$Q,"紙本&amp;電子")++COUNTIFS('來案暨出貨明細表-基因檢測(201904起'!$P:$P,$A31&amp;"*",'來案暨出貨明細表-基因檢測(201904起'!$B:$B,AA$1,'來案暨出貨明細表-基因檢測(201904起'!$R:$R,"中英")</f>
        <v>0</v>
      </c>
      <c r="AB31" s="33">
        <f>COUNTIFS('來案暨出貨明細表-基因檢測(201904起'!$P:$P,$A31&amp;"*",'來案暨出貨明細表-基因檢測(201904起'!$B:$B,AB$1)*$B31+COUNTIFS('來案暨出貨明細表-基因檢測(201904起'!$P:$P,$A31&amp;"*",'來案暨出貨明細表-基因檢測(201904起'!$B:$B,AB$1,'來案暨出貨明細表-基因檢測(201904起'!$Q:$Q,"紙本&amp;電子")++COUNTIFS('來案暨出貨明細表-基因檢測(201904起'!$P:$P,$A31&amp;"*",'來案暨出貨明細表-基因檢測(201904起'!$B:$B,AB$1,'來案暨出貨明細表-基因檢測(201904起'!$R:$R,"中英")</f>
        <v>0</v>
      </c>
      <c r="AC31" s="33">
        <f>COUNTIFS('來案暨出貨明細表-基因檢測(201904起'!$P:$P,$A31&amp;"*",'來案暨出貨明細表-基因檢測(201904起'!$B:$B,AC$1)*$B31+COUNTIFS('來案暨出貨明細表-基因檢測(201904起'!$P:$P,$A31&amp;"*",'來案暨出貨明細表-基因檢測(201904起'!$B:$B,AC$1,'來案暨出貨明細表-基因檢測(201904起'!$Q:$Q,"紙本&amp;電子")++COUNTIFS('來案暨出貨明細表-基因檢測(201904起'!$P:$P,$A31&amp;"*",'來案暨出貨明細表-基因檢測(201904起'!$B:$B,AC$1,'來案暨出貨明細表-基因檢測(201904起'!$R:$R,"中英")</f>
        <v>0</v>
      </c>
      <c r="AD31" s="33">
        <f>COUNTIFS('來案暨出貨明細表-基因檢測(201904起'!$P:$P,$A31&amp;"*",'來案暨出貨明細表-基因檢測(201904起'!$B:$B,AD$1)*$B31+COUNTIFS('來案暨出貨明細表-基因檢測(201904起'!$P:$P,$A31&amp;"*",'來案暨出貨明細表-基因檢測(201904起'!$B:$B,AD$1,'來案暨出貨明細表-基因檢測(201904起'!$Q:$Q,"紙本&amp;電子")++COUNTIFS('來案暨出貨明細表-基因檢測(201904起'!$P:$P,$A31&amp;"*",'來案暨出貨明細表-基因檢測(201904起'!$B:$B,AD$1,'來案暨出貨明細表-基因檢測(201904起'!$R:$R,"中英")</f>
        <v>0</v>
      </c>
      <c r="AE31" s="33">
        <f>COUNTIFS('來案暨出貨明細表-基因檢測(201904起'!$P:$P,$A31&amp;"*",'來案暨出貨明細表-基因檢測(201904起'!$B:$B,AE$1)*$B31+COUNTIFS('來案暨出貨明細表-基因檢測(201904起'!$P:$P,$A31&amp;"*",'來案暨出貨明細表-基因檢測(201904起'!$B:$B,AE$1,'來案暨出貨明細表-基因檢測(201904起'!$Q:$Q,"紙本&amp;電子")++COUNTIFS('來案暨出貨明細表-基因檢測(201904起'!$P:$P,$A31&amp;"*",'來案暨出貨明細表-基因檢測(201904起'!$B:$B,AE$1,'來案暨出貨明細表-基因檢測(201904起'!$R:$R,"中英")</f>
        <v>0</v>
      </c>
      <c r="AF31" s="33">
        <f>COUNTIFS('來案暨出貨明細表-基因檢測(201904起'!$P:$P,$A31&amp;"*",'來案暨出貨明細表-基因檢測(201904起'!$B:$B,AF$1)*$B31+COUNTIFS('來案暨出貨明細表-基因檢測(201904起'!$P:$P,$A31&amp;"*",'來案暨出貨明細表-基因檢測(201904起'!$B:$B,AF$1,'來案暨出貨明細表-基因檢測(201904起'!$Q:$Q,"紙本&amp;電子")++COUNTIFS('來案暨出貨明細表-基因檢測(201904起'!$P:$P,$A31&amp;"*",'來案暨出貨明細表-基因檢測(201904起'!$B:$B,AF$1,'來案暨出貨明細表-基因檢測(201904起'!$R:$R,"中英")</f>
        <v>0</v>
      </c>
      <c r="AG31" s="33">
        <f>COUNTIFS('來案暨出貨明細表-基因檢測(201904起'!$P:$P,$A31&amp;"*",'來案暨出貨明細表-基因檢測(201904起'!$B:$B,AG$1)*$B31+COUNTIFS('來案暨出貨明細表-基因檢測(201904起'!$P:$P,$A31&amp;"*",'來案暨出貨明細表-基因檢測(201904起'!$B:$B,AG$1,'來案暨出貨明細表-基因檢測(201904起'!$Q:$Q,"紙本&amp;電子")++COUNTIFS('來案暨出貨明細表-基因檢測(201904起'!$P:$P,$A31&amp;"*",'來案暨出貨明細表-基因檢測(201904起'!$B:$B,AG$1,'來案暨出貨明細表-基因檢測(201904起'!$R:$R,"中英")</f>
        <v>0</v>
      </c>
      <c r="AH31" s="33">
        <f>COUNTIFS('來案暨出貨明細表-基因檢測(201904起'!$P:$P,$A31&amp;"*",'來案暨出貨明細表-基因檢測(201904起'!$B:$B,AH$1)*$B31+COUNTIFS('來案暨出貨明細表-基因檢測(201904起'!$P:$P,$A31&amp;"*",'來案暨出貨明細表-基因檢測(201904起'!$B:$B,AH$1,'來案暨出貨明細表-基因檢測(201904起'!$Q:$Q,"紙本&amp;電子")++COUNTIFS('來案暨出貨明細表-基因檢測(201904起'!$P:$P,$A31&amp;"*",'來案暨出貨明細表-基因檢測(201904起'!$B:$B,AH$1,'來案暨出貨明細表-基因檢測(201904起'!$R:$R,"中英")</f>
        <v>0</v>
      </c>
      <c r="AI31" s="33">
        <f>COUNTIFS('來案暨出貨明細表-基因檢測(201904起'!$P:$P,$A31&amp;"*",'來案暨出貨明細表-基因檢測(201904起'!$B:$B,AI$1)*$B31+COUNTIFS('來案暨出貨明細表-基因檢測(201904起'!$P:$P,$A31&amp;"*",'來案暨出貨明細表-基因檢測(201904起'!$B:$B,AI$1,'來案暨出貨明細表-基因檢測(201904起'!$Q:$Q,"紙本&amp;電子")++COUNTIFS('來案暨出貨明細表-基因檢測(201904起'!$P:$P,$A31&amp;"*",'來案暨出貨明細表-基因檢測(201904起'!$B:$B,AI$1,'來案暨出貨明細表-基因檢測(201904起'!$R:$R,"中英")</f>
        <v>0</v>
      </c>
      <c r="AJ31" s="33">
        <f>COUNTIFS('來案暨出貨明細表-基因檢測(201904起'!$P:$P,$A31&amp;"*",'來案暨出貨明細表-基因檢測(201904起'!$B:$B,AJ$1)*$B31+COUNTIFS('來案暨出貨明細表-基因檢測(201904起'!$P:$P,$A31&amp;"*",'來案暨出貨明細表-基因檢測(201904起'!$B:$B,AJ$1,'來案暨出貨明細表-基因檢測(201904起'!$Q:$Q,"紙本&amp;電子")++COUNTIFS('來案暨出貨明細表-基因檢測(201904起'!$P:$P,$A31&amp;"*",'來案暨出貨明細表-基因檢測(201904起'!$B:$B,AJ$1,'來案暨出貨明細表-基因檢測(201904起'!$R:$R,"中英")</f>
        <v>0</v>
      </c>
      <c r="AK31" s="33">
        <f>COUNTIFS('來案暨出貨明細表-基因檢測(201904起'!$P:$P,$A31&amp;"*",'來案暨出貨明細表-基因檢測(201904起'!$B:$B,AK$1)*$B31+COUNTIFS('來案暨出貨明細表-基因檢測(201904起'!$P:$P,$A31&amp;"*",'來案暨出貨明細表-基因檢測(201904起'!$B:$B,AK$1,'來案暨出貨明細表-基因檢測(201904起'!$Q:$Q,"紙本&amp;電子")++COUNTIFS('來案暨出貨明細表-基因檢測(201904起'!$P:$P,$A31&amp;"*",'來案暨出貨明細表-基因檢測(201904起'!$B:$B,AK$1,'來案暨出貨明細表-基因檢測(201904起'!$R:$R,"中英")</f>
        <v>0</v>
      </c>
      <c r="AL31" s="33">
        <f>COUNTIFS('來案暨出貨明細表-基因檢測(201904起'!$P:$P,$A31&amp;"*",'來案暨出貨明細表-基因檢測(201904起'!$B:$B,AL$1)*$B31+COUNTIFS('來案暨出貨明細表-基因檢測(201904起'!$P:$P,$A31&amp;"*",'來案暨出貨明細表-基因檢測(201904起'!$B:$B,AL$1,'來案暨出貨明細表-基因檢測(201904起'!$Q:$Q,"紙本&amp;電子")++COUNTIFS('來案暨出貨明細表-基因檢測(201904起'!$P:$P,$A31&amp;"*",'來案暨出貨明細表-基因檢測(201904起'!$B:$B,AL$1,'來案暨出貨明細表-基因檢測(201904起'!$R:$R,"中英")</f>
        <v>0</v>
      </c>
      <c r="AM31" s="33">
        <f>COUNTIFS('來案暨出貨明細表-基因檢測(201904起'!$P:$P,$A31&amp;"*",'來案暨出貨明細表-基因檢測(201904起'!$B:$B,AM$1)*$B31+COUNTIFS('來案暨出貨明細表-基因檢測(201904起'!$P:$P,$A31&amp;"*",'來案暨出貨明細表-基因檢測(201904起'!$B:$B,AM$1,'來案暨出貨明細表-基因檢測(201904起'!$Q:$Q,"紙本&amp;電子")++COUNTIFS('來案暨出貨明細表-基因檢測(201904起'!$P:$P,$A31&amp;"*",'來案暨出貨明細表-基因檢測(201904起'!$B:$B,AM$1,'來案暨出貨明細表-基因檢測(201904起'!$R:$R,"中英")</f>
        <v>0</v>
      </c>
      <c r="AN31" s="33">
        <f>COUNTIFS('來案暨出貨明細表-基因檢測(201904起'!$P:$P,$A31&amp;"*",'來案暨出貨明細表-基因檢測(201904起'!$B:$B,AN$1)*$B31+COUNTIFS('來案暨出貨明細表-基因檢測(201904起'!$P:$P,$A31&amp;"*",'來案暨出貨明細表-基因檢測(201904起'!$B:$B,AN$1,'來案暨出貨明細表-基因檢測(201904起'!$Q:$Q,"紙本&amp;電子")++COUNTIFS('來案暨出貨明細表-基因檢測(201904起'!$P:$P,$A31&amp;"*",'來案暨出貨明細表-基因檢測(201904起'!$B:$B,AN$1,'來案暨出貨明細表-基因檢測(201904起'!$R:$R,"中英")</f>
        <v>0</v>
      </c>
      <c r="AO31" s="33">
        <f>COUNTIFS('來案暨出貨明細表-基因檢測(201904起'!$P:$P,$A31&amp;"*",'來案暨出貨明細表-基因檢測(201904起'!$B:$B,AO$1)*$B31+COUNTIFS('來案暨出貨明細表-基因檢測(201904起'!$P:$P,$A31&amp;"*",'來案暨出貨明細表-基因檢測(201904起'!$B:$B,AO$1,'來案暨出貨明細表-基因檢測(201904起'!$Q:$Q,"紙本&amp;電子")++COUNTIFS('來案暨出貨明細表-基因檢測(201904起'!$P:$P,$A31&amp;"*",'來案暨出貨明細表-基因檢測(201904起'!$B:$B,AO$1,'來案暨出貨明細表-基因檢測(201904起'!$R:$R,"中英")</f>
        <v>0</v>
      </c>
      <c r="AP31" s="33">
        <f>COUNTIFS('來案暨出貨明細表-基因檢測(201904起'!$P:$P,$A31&amp;"*",'來案暨出貨明細表-基因檢測(201904起'!$B:$B,AP$1)*$B31+COUNTIFS('來案暨出貨明細表-基因檢測(201904起'!$P:$P,$A31&amp;"*",'來案暨出貨明細表-基因檢測(201904起'!$B:$B,AP$1,'來案暨出貨明細表-基因檢測(201904起'!$Q:$Q,"紙本&amp;電子")++COUNTIFS('來案暨出貨明細表-基因檢測(201904起'!$P:$P,$A31&amp;"*",'來案暨出貨明細表-基因檢測(201904起'!$B:$B,AP$1,'來案暨出貨明細表-基因檢測(201904起'!$R:$R,"中英")</f>
        <v>0</v>
      </c>
      <c r="AQ31" s="33">
        <f>COUNTIFS('來案暨出貨明細表-基因檢測(201904起'!$P:$P,$A31&amp;"*",'來案暨出貨明細表-基因檢測(201904起'!$B:$B,AQ$1)*$B31+COUNTIFS('來案暨出貨明細表-基因檢測(201904起'!$P:$P,$A31&amp;"*",'來案暨出貨明細表-基因檢測(201904起'!$B:$B,AQ$1,'來案暨出貨明細表-基因檢測(201904起'!$Q:$Q,"紙本&amp;電子")++COUNTIFS('來案暨出貨明細表-基因檢測(201904起'!$P:$P,$A31&amp;"*",'來案暨出貨明細表-基因檢測(201904起'!$B:$B,AQ$1,'來案暨出貨明細表-基因檢測(201904起'!$R:$R,"中英")</f>
        <v>0</v>
      </c>
      <c r="AR31" s="33">
        <f>COUNTIFS('來案暨出貨明細表-基因檢測(201904起'!$P:$P,$A31&amp;"*",'來案暨出貨明細表-基因檢測(201904起'!$B:$B,AR$1)*$B31+COUNTIFS('來案暨出貨明細表-基因檢測(201904起'!$P:$P,$A31&amp;"*",'來案暨出貨明細表-基因檢測(201904起'!$B:$B,AR$1,'來案暨出貨明細表-基因檢測(201904起'!$Q:$Q,"紙本&amp;電子")++COUNTIFS('來案暨出貨明細表-基因檢測(201904起'!$P:$P,$A31&amp;"*",'來案暨出貨明細表-基因檢測(201904起'!$B:$B,AR$1,'來案暨出貨明細表-基因檢測(201904起'!$R:$R,"中英")</f>
        <v>0</v>
      </c>
      <c r="AS31" s="33">
        <f>COUNTIFS('來案暨出貨明細表-基因檢測(201904起'!$P:$P,$A31&amp;"*",'來案暨出貨明細表-基因檢測(201904起'!$B:$B,AS$1)*$B31+COUNTIFS('來案暨出貨明細表-基因檢測(201904起'!$P:$P,$A31&amp;"*",'來案暨出貨明細表-基因檢測(201904起'!$B:$B,AS$1,'來案暨出貨明細表-基因檢測(201904起'!$Q:$Q,"紙本&amp;電子")++COUNTIFS('來案暨出貨明細表-基因檢測(201904起'!$P:$P,$A31&amp;"*",'來案暨出貨明細表-基因檢測(201904起'!$B:$B,AS$1,'來案暨出貨明細表-基因檢測(201904起'!$R:$R,"中英")</f>
        <v>0</v>
      </c>
      <c r="AT31" s="33">
        <f>COUNTIFS('來案暨出貨明細表-基因檢測(201904起'!$P:$P,$A31&amp;"*",'來案暨出貨明細表-基因檢測(201904起'!$B:$B,AT$1)*$B31+COUNTIFS('來案暨出貨明細表-基因檢測(201904起'!$P:$P,$A31&amp;"*",'來案暨出貨明細表-基因檢測(201904起'!$B:$B,AT$1,'來案暨出貨明細表-基因檢測(201904起'!$Q:$Q,"紙本&amp;電子")++COUNTIFS('來案暨出貨明細表-基因檢測(201904起'!$P:$P,$A31&amp;"*",'來案暨出貨明細表-基因檢測(201904起'!$B:$B,AT$1,'來案暨出貨明細表-基因檢測(201904起'!$R:$R,"中英")</f>
        <v>0</v>
      </c>
      <c r="AU31" s="33">
        <f>COUNTIFS('來案暨出貨明細表-基因檢測(201904起'!$P:$P,$A31&amp;"*",'來案暨出貨明細表-基因檢測(201904起'!$B:$B,AU$1)*$B31+COUNTIFS('來案暨出貨明細表-基因檢測(201904起'!$P:$P,$A31&amp;"*",'來案暨出貨明細表-基因檢測(201904起'!$B:$B,AU$1,'來案暨出貨明細表-基因檢測(201904起'!$Q:$Q,"紙本&amp;電子")++COUNTIFS('來案暨出貨明細表-基因檢測(201904起'!$P:$P,$A31&amp;"*",'來案暨出貨明細表-基因檢測(201904起'!$B:$B,AU$1,'來案暨出貨明細表-基因檢測(201904起'!$R:$R,"中英")</f>
        <v>0</v>
      </c>
      <c r="AV31" s="33">
        <f>COUNTIFS('來案暨出貨明細表-基因檢測(201904起'!$P:$P,$A31&amp;"*",'來案暨出貨明細表-基因檢測(201904起'!$B:$B,AV$1)*$B31+COUNTIFS('來案暨出貨明細表-基因檢測(201904起'!$P:$P,$A31&amp;"*",'來案暨出貨明細表-基因檢測(201904起'!$B:$B,AV$1,'來案暨出貨明細表-基因檢測(201904起'!$Q:$Q,"紙本&amp;電子")++COUNTIFS('來案暨出貨明細表-基因檢測(201904起'!$P:$P,$A31&amp;"*",'來案暨出貨明細表-基因檢測(201904起'!$B:$B,AV$1,'來案暨出貨明細表-基因檢測(201904起'!$R:$R,"中英")</f>
        <v>0</v>
      </c>
      <c r="AW31" s="33">
        <f>COUNTIFS('來案暨出貨明細表-基因檢測(201904起'!$P:$P,$A31&amp;"*",'來案暨出貨明細表-基因檢測(201904起'!$B:$B,AW$1)*$B31+COUNTIFS('來案暨出貨明細表-基因檢測(201904起'!$P:$P,$A31&amp;"*",'來案暨出貨明細表-基因檢測(201904起'!$B:$B,AW$1,'來案暨出貨明細表-基因檢測(201904起'!$Q:$Q,"紙本&amp;電子")++COUNTIFS('來案暨出貨明細表-基因檢測(201904起'!$P:$P,$A31&amp;"*",'來案暨出貨明細表-基因檢測(201904起'!$B:$B,AW$1,'來案暨出貨明細表-基因檢測(201904起'!$R:$R,"中英")</f>
        <v>0</v>
      </c>
      <c r="AX31" s="33">
        <f>COUNTIFS('來案暨出貨明細表-基因檢測(201904起'!$P:$P,$A31&amp;"*",'來案暨出貨明細表-基因檢測(201904起'!$B:$B,AX$1)*$B31+COUNTIFS('來案暨出貨明細表-基因檢測(201904起'!$P:$P,$A31&amp;"*",'來案暨出貨明細表-基因檢測(201904起'!$B:$B,AX$1,'來案暨出貨明細表-基因檢測(201904起'!$Q:$Q,"紙本&amp;電子")++COUNTIFS('來案暨出貨明細表-基因檢測(201904起'!$P:$P,$A31&amp;"*",'來案暨出貨明細表-基因檢測(201904起'!$B:$B,AX$1,'來案暨出貨明細表-基因檢測(201904起'!$R:$R,"中英")</f>
        <v>0</v>
      </c>
      <c r="AY31" s="33">
        <f>COUNTIFS('來案暨出貨明細表-基因檢測(201904起'!$P:$P,$A31&amp;"*",'來案暨出貨明細表-基因檢測(201904起'!$B:$B,AY$1)*$B31+COUNTIFS('來案暨出貨明細表-基因檢測(201904起'!$P:$P,$A31&amp;"*",'來案暨出貨明細表-基因檢測(201904起'!$B:$B,AY$1,'來案暨出貨明細表-基因檢測(201904起'!$Q:$Q,"紙本&amp;電子")++COUNTIFS('來案暨出貨明細表-基因檢測(201904起'!$P:$P,$A31&amp;"*",'來案暨出貨明細表-基因檢測(201904起'!$B:$B,AY$1,'來案暨出貨明細表-基因檢測(201904起'!$R:$R,"中英")</f>
        <v>0</v>
      </c>
      <c r="AZ31" s="33">
        <f>COUNTIFS('來案暨出貨明細表-基因檢測(201904起'!$P:$P,$A31&amp;"*",'來案暨出貨明細表-基因檢測(201904起'!$B:$B,AZ$1)*$B31+COUNTIFS('來案暨出貨明細表-基因檢測(201904起'!$P:$P,$A31&amp;"*",'來案暨出貨明細表-基因檢測(201904起'!$B:$B,AZ$1,'來案暨出貨明細表-基因檢測(201904起'!$Q:$Q,"紙本&amp;電子")++COUNTIFS('來案暨出貨明細表-基因檢測(201904起'!$P:$P,$A31&amp;"*",'來案暨出貨明細表-基因檢測(201904起'!$B:$B,AZ$1,'來案暨出貨明細表-基因檢測(201904起'!$R:$R,"中英")</f>
        <v>0</v>
      </c>
      <c r="BA31" s="33">
        <f>COUNTIFS('來案暨出貨明細表-基因檢測(201904起'!$P:$P,$A31&amp;"*",'來案暨出貨明細表-基因檢測(201904起'!$B:$B,BA$1)*$B31+COUNTIFS('來案暨出貨明細表-基因檢測(201904起'!$P:$P,$A31&amp;"*",'來案暨出貨明細表-基因檢測(201904起'!$B:$B,BA$1,'來案暨出貨明細表-基因檢測(201904起'!$Q:$Q,"紙本&amp;電子")++COUNTIFS('來案暨出貨明細表-基因檢測(201904起'!$P:$P,$A31&amp;"*",'來案暨出貨明細表-基因檢測(201904起'!$B:$B,BA$1,'來案暨出貨明細表-基因檢測(201904起'!$R:$R,"中英")</f>
        <v>0</v>
      </c>
      <c r="BB31" s="33">
        <f>COUNTIFS('來案暨出貨明細表-基因檢測(201904起'!$P:$P,$A31&amp;"*",'來案暨出貨明細表-基因檢測(201904起'!$B:$B,BB$1)*$B31+COUNTIFS('來案暨出貨明細表-基因檢測(201904起'!$P:$P,$A31&amp;"*",'來案暨出貨明細表-基因檢測(201904起'!$B:$B,BB$1,'來案暨出貨明細表-基因檢測(201904起'!$Q:$Q,"紙本&amp;電子")++COUNTIFS('來案暨出貨明細表-基因檢測(201904起'!$P:$P,$A31&amp;"*",'來案暨出貨明細表-基因檢測(201904起'!$B:$B,BB$1,'來案暨出貨明細表-基因檢測(201904起'!$R:$R,"中英")</f>
        <v>0</v>
      </c>
      <c r="BC31" s="33">
        <f>COUNTIFS('來案暨出貨明細表-基因檢測(201904起'!$P:$P,$A31&amp;"*",'來案暨出貨明細表-基因檢測(201904起'!$B:$B,BC$1)*$B31+COUNTIFS('來案暨出貨明細表-基因檢測(201904起'!$P:$P,$A31&amp;"*",'來案暨出貨明細表-基因檢測(201904起'!$B:$B,BC$1,'來案暨出貨明細表-基因檢測(201904起'!$Q:$Q,"紙本&amp;電子")++COUNTIFS('來案暨出貨明細表-基因檢測(201904起'!$P:$P,$A31&amp;"*",'來案暨出貨明細表-基因檢測(201904起'!$B:$B,BC$1,'來案暨出貨明細表-基因檢測(201904起'!$R:$R,"中英")</f>
        <v>0</v>
      </c>
      <c r="BD31" s="33">
        <f>COUNTIFS('來案暨出貨明細表-基因檢測(201904起'!$P:$P,$A31&amp;"*",'來案暨出貨明細表-基因檢測(201904起'!$B:$B,BD$1)*$B31+COUNTIFS('來案暨出貨明細表-基因檢測(201904起'!$P:$P,$A31&amp;"*",'來案暨出貨明細表-基因檢測(201904起'!$B:$B,BD$1,'來案暨出貨明細表-基因檢測(201904起'!$Q:$Q,"紙本&amp;電子")++COUNTIFS('來案暨出貨明細表-基因檢測(201904起'!$P:$P,$A31&amp;"*",'來案暨出貨明細表-基因檢測(201904起'!$B:$B,BD$1,'來案暨出貨明細表-基因檢測(201904起'!$R:$R,"中英")</f>
        <v>0</v>
      </c>
      <c r="BE31" s="33">
        <f>COUNTIFS('來案暨出貨明細表-基因檢測(201904起'!$P:$P,$A31&amp;"*",'來案暨出貨明細表-基因檢測(201904起'!$B:$B,BE$1)*$B31+COUNTIFS('來案暨出貨明細表-基因檢測(201904起'!$P:$P,$A31&amp;"*",'來案暨出貨明細表-基因檢測(201904起'!$B:$B,BE$1,'來案暨出貨明細表-基因檢測(201904起'!$Q:$Q,"紙本&amp;電子")++COUNTIFS('來案暨出貨明細表-基因檢測(201904起'!$P:$P,$A31&amp;"*",'來案暨出貨明細表-基因檢測(201904起'!$B:$B,BE$1,'來案暨出貨明細表-基因檢測(201904起'!$R:$R,"中英")</f>
        <v>0</v>
      </c>
      <c r="BF31" s="33">
        <f>COUNTIFS('來案暨出貨明細表-基因檢測(201904起'!$P:$P,$A31&amp;"*",'來案暨出貨明細表-基因檢測(201904起'!$B:$B,BF$1)*$B31+COUNTIFS('來案暨出貨明細表-基因檢測(201904起'!$P:$P,$A31&amp;"*",'來案暨出貨明細表-基因檢測(201904起'!$B:$B,BF$1,'來案暨出貨明細表-基因檢測(201904起'!$Q:$Q,"紙本&amp;電子")++COUNTIFS('來案暨出貨明細表-基因檢測(201904起'!$P:$P,$A31&amp;"*",'來案暨出貨明細表-基因檢測(201904起'!$B:$B,BF$1,'來案暨出貨明細表-基因檢測(201904起'!$R:$R,"中英")</f>
        <v>0</v>
      </c>
      <c r="BG31" s="33">
        <f>COUNTIFS('來案暨出貨明細表-基因檢測(201904起'!$P:$P,$A31&amp;"*",'來案暨出貨明細表-基因檢測(201904起'!$B:$B,BG$1)*$B31+COUNTIFS('來案暨出貨明細表-基因檢測(201904起'!$P:$P,$A31&amp;"*",'來案暨出貨明細表-基因檢測(201904起'!$B:$B,BG$1,'來案暨出貨明細表-基因檢測(201904起'!$Q:$Q,"紙本&amp;電子")++COUNTIFS('來案暨出貨明細表-基因檢測(201904起'!$P:$P,$A31&amp;"*",'來案暨出貨明細表-基因檢測(201904起'!$B:$B,BG$1,'來案暨出貨明細表-基因檢測(201904起'!$R:$R,"中英")</f>
        <v>0</v>
      </c>
      <c r="BH31" s="33">
        <f>COUNTIFS('來案暨出貨明細表-基因檢測(201904起'!$P:$P,$A31&amp;"*",'來案暨出貨明細表-基因檢測(201904起'!$B:$B,BH$1)*$B31+COUNTIFS('來案暨出貨明細表-基因檢測(201904起'!$P:$P,$A31&amp;"*",'來案暨出貨明細表-基因檢測(201904起'!$B:$B,BH$1,'來案暨出貨明細表-基因檢測(201904起'!$Q:$Q,"紙本&amp;電子")++COUNTIFS('來案暨出貨明細表-基因檢測(201904起'!$P:$P,$A31&amp;"*",'來案暨出貨明細表-基因檢測(201904起'!$B:$B,BH$1,'來案暨出貨明細表-基因檢測(201904起'!$R:$R,"中英")</f>
        <v>0</v>
      </c>
      <c r="BI31" s="33">
        <f>COUNTIFS('來案暨出貨明細表-基因檢測(201904起'!$P:$P,$A31&amp;"*",'來案暨出貨明細表-基因檢測(201904起'!$B:$B,BI$1)*$B31+COUNTIFS('來案暨出貨明細表-基因檢測(201904起'!$P:$P,$A31&amp;"*",'來案暨出貨明細表-基因檢測(201904起'!$B:$B,BI$1,'來案暨出貨明細表-基因檢測(201904起'!$Q:$Q,"紙本&amp;電子")++COUNTIFS('來案暨出貨明細表-基因檢測(201904起'!$P:$P,$A31&amp;"*",'來案暨出貨明細表-基因檢測(201904起'!$B:$B,BI$1,'來案暨出貨明細表-基因檢測(201904起'!$R:$R,"中英")</f>
        <v>0</v>
      </c>
      <c r="BJ31" s="33">
        <f>COUNTIFS('來案暨出貨明細表-基因檢測(201904起'!$P:$P,$A31&amp;"*",'來案暨出貨明細表-基因檢測(201904起'!$B:$B,BJ$1)*$B31+COUNTIFS('來案暨出貨明細表-基因檢測(201904起'!$P:$P,$A31&amp;"*",'來案暨出貨明細表-基因檢測(201904起'!$B:$B,BJ$1,'來案暨出貨明細表-基因檢測(201904起'!$Q:$Q,"紙本&amp;電子")++COUNTIFS('來案暨出貨明細表-基因檢測(201904起'!$P:$P,$A31&amp;"*",'來案暨出貨明細表-基因檢測(201904起'!$B:$B,BJ$1,'來案暨出貨明細表-基因檢測(201904起'!$R:$R,"中英")</f>
        <v>0</v>
      </c>
      <c r="BK31" s="33">
        <f>COUNTIFS('來案暨出貨明細表-基因檢測(201904起'!$P:$P,$A31&amp;"*",'來案暨出貨明細表-基因檢測(201904起'!$B:$B,BK$1)*$B31+COUNTIFS('來案暨出貨明細表-基因檢測(201904起'!$P:$P,$A31&amp;"*",'來案暨出貨明細表-基因檢測(201904起'!$B:$B,BK$1,'來案暨出貨明細表-基因檢測(201904起'!$Q:$Q,"紙本&amp;電子")++COUNTIFS('來案暨出貨明細表-基因檢測(201904起'!$P:$P,$A31&amp;"*",'來案暨出貨明細表-基因檢測(201904起'!$B:$B,BK$1,'來案暨出貨明細表-基因檢測(201904起'!$R:$R,"中英")</f>
        <v>0</v>
      </c>
      <c r="BL31" s="33">
        <f>COUNTIFS('來案暨出貨明細表-基因檢測(201904起'!$P:$P,$A31&amp;"*",'來案暨出貨明細表-基因檢測(201904起'!$B:$B,BL$1)*$B31+COUNTIFS('來案暨出貨明細表-基因檢測(201904起'!$P:$P,$A31&amp;"*",'來案暨出貨明細表-基因檢測(201904起'!$B:$B,BL$1,'來案暨出貨明細表-基因檢測(201904起'!$Q:$Q,"紙本&amp;電子")++COUNTIFS('來案暨出貨明細表-基因檢測(201904起'!$P:$P,$A31&amp;"*",'來案暨出貨明細表-基因檢測(201904起'!$B:$B,BL$1,'來案暨出貨明細表-基因檢測(201904起'!$R:$R,"中英")</f>
        <v>0</v>
      </c>
      <c r="BM31" s="33">
        <f>COUNTIFS('來案暨出貨明細表-基因檢測(201904起'!$P:$P,$A31&amp;"*",'來案暨出貨明細表-基因檢測(201904起'!$B:$B,BM$1)*$B31+COUNTIFS('來案暨出貨明細表-基因檢測(201904起'!$P:$P,$A31&amp;"*",'來案暨出貨明細表-基因檢測(201904起'!$B:$B,BM$1,'來案暨出貨明細表-基因檢測(201904起'!$Q:$Q,"紙本&amp;電子")++COUNTIFS('來案暨出貨明細表-基因檢測(201904起'!$P:$P,$A31&amp;"*",'來案暨出貨明細表-基因檢測(201904起'!$B:$B,BM$1,'來案暨出貨明細表-基因檢測(201904起'!$R:$R,"中英")</f>
        <v>0</v>
      </c>
    </row>
    <row r="32" spans="1:65" ht="15" customHeight="1">
      <c r="A32" s="9" t="s">
        <v>4557</v>
      </c>
      <c r="B32" s="9">
        <v>1</v>
      </c>
      <c r="C32" s="13" t="s">
        <v>4558</v>
      </c>
      <c r="D32" s="142" t="s">
        <v>627</v>
      </c>
      <c r="E32" s="33">
        <f>COUNTIFS('來案暨出貨明細表-基因檢測(201904起'!$P:$P,$A32&amp;"*",'來案暨出貨明細表-基因檢測(201904起'!$B:$B,E$1)*$B32+COUNTIFS('來案暨出貨明細表-基因檢測(201904起'!$P:$P,$A32&amp;"*",'來案暨出貨明細表-基因檢測(201904起'!$B:$B,E$1,'來案暨出貨明細表-基因檢測(201904起'!$Q:$Q,"紙本&amp;電子")++COUNTIFS('來案暨出貨明細表-基因檢測(201904起'!$P:$P,$A32&amp;"*",'來案暨出貨明細表-基因檢測(201904起'!$B:$B,E$1,'來案暨出貨明細表-基因檢測(201904起'!$R:$R,"中英")</f>
        <v>0</v>
      </c>
      <c r="F32" s="33">
        <f>COUNTIFS('來案暨出貨明細表-基因檢測(201904起'!$P:$P,$A32&amp;"*",'來案暨出貨明細表-基因檢測(201904起'!$B:$B,F$1)*$B32+COUNTIFS('來案暨出貨明細表-基因檢測(201904起'!$P:$P,$A32&amp;"*",'來案暨出貨明細表-基因檢測(201904起'!$B:$B,F$1,'來案暨出貨明細表-基因檢測(201904起'!$Q:$Q,"紙本&amp;電子")++COUNTIFS('來案暨出貨明細表-基因檢測(201904起'!$P:$P,$A32&amp;"*",'來案暨出貨明細表-基因檢測(201904起'!$B:$B,F$1,'來案暨出貨明細表-基因檢測(201904起'!$R:$R,"中英")</f>
        <v>0</v>
      </c>
      <c r="G32" s="33">
        <f>COUNTIFS('來案暨出貨明細表-基因檢測(201904起'!$P:$P,$A32&amp;"*",'來案暨出貨明細表-基因檢測(201904起'!$B:$B,G$1)*$B32+COUNTIFS('來案暨出貨明細表-基因檢測(201904起'!$P:$P,$A32&amp;"*",'來案暨出貨明細表-基因檢測(201904起'!$B:$B,G$1,'來案暨出貨明細表-基因檢測(201904起'!$Q:$Q,"紙本&amp;電子")++COUNTIFS('來案暨出貨明細表-基因檢測(201904起'!$P:$P,$A32&amp;"*",'來案暨出貨明細表-基因檢測(201904起'!$B:$B,G$1,'來案暨出貨明細表-基因檢測(201904起'!$R:$R,"中英")</f>
        <v>0</v>
      </c>
      <c r="H32" s="33">
        <f>COUNTIFS('來案暨出貨明細表-基因檢測(201904起'!$P:$P,$A32&amp;"*",'來案暨出貨明細表-基因檢測(201904起'!$B:$B,H$1)*$B32+COUNTIFS('來案暨出貨明細表-基因檢測(201904起'!$P:$P,$A32&amp;"*",'來案暨出貨明細表-基因檢測(201904起'!$B:$B,H$1,'來案暨出貨明細表-基因檢測(201904起'!$Q:$Q,"紙本&amp;電子")++COUNTIFS('來案暨出貨明細表-基因檢測(201904起'!$P:$P,$A32&amp;"*",'來案暨出貨明細表-基因檢測(201904起'!$B:$B,H$1,'來案暨出貨明細表-基因檢測(201904起'!$R:$R,"中英")</f>
        <v>0</v>
      </c>
      <c r="I32" s="33">
        <f>COUNTIFS('來案暨出貨明細表-基因檢測(201904起'!$P:$P,$A32&amp;"*",'來案暨出貨明細表-基因檢測(201904起'!$B:$B,I$1)*$B32+COUNTIFS('來案暨出貨明細表-基因檢測(201904起'!$P:$P,$A32&amp;"*",'來案暨出貨明細表-基因檢測(201904起'!$B:$B,I$1,'來案暨出貨明細表-基因檢測(201904起'!$Q:$Q,"紙本&amp;電子")++COUNTIFS('來案暨出貨明細表-基因檢測(201904起'!$P:$P,$A32&amp;"*",'來案暨出貨明細表-基因檢測(201904起'!$B:$B,I$1,'來案暨出貨明細表-基因檢測(201904起'!$R:$R,"中英")</f>
        <v>0</v>
      </c>
      <c r="J32" s="33">
        <f>COUNTIFS('來案暨出貨明細表-基因檢測(201904起'!$P:$P,$A32&amp;"*",'來案暨出貨明細表-基因檢測(201904起'!$B:$B,J$1)*$B32+COUNTIFS('來案暨出貨明細表-基因檢測(201904起'!$P:$P,$A32&amp;"*",'來案暨出貨明細表-基因檢測(201904起'!$B:$B,J$1,'來案暨出貨明細表-基因檢測(201904起'!$Q:$Q,"紙本&amp;電子")++COUNTIFS('來案暨出貨明細表-基因檢測(201904起'!$P:$P,$A32&amp;"*",'來案暨出貨明細表-基因檢測(201904起'!$B:$B,J$1,'來案暨出貨明細表-基因檢測(201904起'!$R:$R,"中英")</f>
        <v>0</v>
      </c>
      <c r="K32" s="33">
        <f>COUNTIFS('來案暨出貨明細表-基因檢測(201904起'!$P:$P,$A32&amp;"*",'來案暨出貨明細表-基因檢測(201904起'!$B:$B,K$1)*$B32+COUNTIFS('來案暨出貨明細表-基因檢測(201904起'!$P:$P,$A32&amp;"*",'來案暨出貨明細表-基因檢測(201904起'!$B:$B,K$1,'來案暨出貨明細表-基因檢測(201904起'!$Q:$Q,"紙本&amp;電子")++COUNTIFS('來案暨出貨明細表-基因檢測(201904起'!$P:$P,$A32&amp;"*",'來案暨出貨明細表-基因檢測(201904起'!$B:$B,K$1,'來案暨出貨明細表-基因檢測(201904起'!$R:$R,"中英")</f>
        <v>0</v>
      </c>
      <c r="L32" s="33">
        <f>COUNTIFS('來案暨出貨明細表-基因檢測(201904起'!$P:$P,$A32&amp;"*",'來案暨出貨明細表-基因檢測(201904起'!$B:$B,L$1)*$B32+COUNTIFS('來案暨出貨明細表-基因檢測(201904起'!$P:$P,$A32&amp;"*",'來案暨出貨明細表-基因檢測(201904起'!$B:$B,L$1,'來案暨出貨明細表-基因檢測(201904起'!$Q:$Q,"紙本&amp;電子")++COUNTIFS('來案暨出貨明細表-基因檢測(201904起'!$P:$P,$A32&amp;"*",'來案暨出貨明細表-基因檢測(201904起'!$B:$B,L$1,'來案暨出貨明細表-基因檢測(201904起'!$R:$R,"中英")</f>
        <v>0</v>
      </c>
      <c r="M32" s="33">
        <f>COUNTIFS('來案暨出貨明細表-基因檢測(201904起'!$P:$P,$A32&amp;"*",'來案暨出貨明細表-基因檢測(201904起'!$B:$B,M$1)*$B32+COUNTIFS('來案暨出貨明細表-基因檢測(201904起'!$P:$P,$A32&amp;"*",'來案暨出貨明細表-基因檢測(201904起'!$B:$B,M$1,'來案暨出貨明細表-基因檢測(201904起'!$Q:$Q,"紙本&amp;電子")++COUNTIFS('來案暨出貨明細表-基因檢測(201904起'!$P:$P,$A32&amp;"*",'來案暨出貨明細表-基因檢測(201904起'!$B:$B,M$1,'來案暨出貨明細表-基因檢測(201904起'!$R:$R,"中英")</f>
        <v>0</v>
      </c>
      <c r="N32" s="33">
        <f>COUNTIFS('來案暨出貨明細表-基因檢測(201904起'!$P:$P,$A32&amp;"*",'來案暨出貨明細表-基因檢測(201904起'!$B:$B,N$1)*$B32+COUNTIFS('來案暨出貨明細表-基因檢測(201904起'!$P:$P,$A32&amp;"*",'來案暨出貨明細表-基因檢測(201904起'!$B:$B,N$1,'來案暨出貨明細表-基因檢測(201904起'!$Q:$Q,"紙本&amp;電子")++COUNTIFS('來案暨出貨明細表-基因檢測(201904起'!$P:$P,$A32&amp;"*",'來案暨出貨明細表-基因檢測(201904起'!$B:$B,N$1,'來案暨出貨明細表-基因檢測(201904起'!$R:$R,"中英")</f>
        <v>0</v>
      </c>
      <c r="O32" s="33">
        <f>COUNTIFS('來案暨出貨明細表-基因檢測(201904起'!$P:$P,$A32&amp;"*",'來案暨出貨明細表-基因檢測(201904起'!$B:$B,O$1)*$B32+COUNTIFS('來案暨出貨明細表-基因檢測(201904起'!$P:$P,$A32&amp;"*",'來案暨出貨明細表-基因檢測(201904起'!$B:$B,O$1,'來案暨出貨明細表-基因檢測(201904起'!$Q:$Q,"紙本&amp;電子")++COUNTIFS('來案暨出貨明細表-基因檢測(201904起'!$P:$P,$A32&amp;"*",'來案暨出貨明細表-基因檢測(201904起'!$B:$B,O$1,'來案暨出貨明細表-基因檢測(201904起'!$R:$R,"中英")</f>
        <v>0</v>
      </c>
      <c r="P32" s="33">
        <f>COUNTIFS('來案暨出貨明細表-基因檢測(201904起'!$P:$P,$A32&amp;"*",'來案暨出貨明細表-基因檢測(201904起'!$B:$B,P$1)*$B32+COUNTIFS('來案暨出貨明細表-基因檢測(201904起'!$P:$P,$A32&amp;"*",'來案暨出貨明細表-基因檢測(201904起'!$B:$B,P$1,'來案暨出貨明細表-基因檢測(201904起'!$Q:$Q,"紙本&amp;電子")++COUNTIFS('來案暨出貨明細表-基因檢測(201904起'!$P:$P,$A32&amp;"*",'來案暨出貨明細表-基因檢測(201904起'!$B:$B,P$1,'來案暨出貨明細表-基因檢測(201904起'!$R:$R,"中英")</f>
        <v>0</v>
      </c>
      <c r="Q32" s="33">
        <f>COUNTIFS('來案暨出貨明細表-基因檢測(201904起'!$P:$P,$A32&amp;"*",'來案暨出貨明細表-基因檢測(201904起'!$B:$B,Q$1)*$B32+COUNTIFS('來案暨出貨明細表-基因檢測(201904起'!$P:$P,$A32&amp;"*",'來案暨出貨明細表-基因檢測(201904起'!$B:$B,Q$1,'來案暨出貨明細表-基因檢測(201904起'!$Q:$Q,"紙本&amp;電子")++COUNTIFS('來案暨出貨明細表-基因檢測(201904起'!$P:$P,$A32&amp;"*",'來案暨出貨明細表-基因檢測(201904起'!$B:$B,Q$1,'來案暨出貨明細表-基因檢測(201904起'!$R:$R,"中英")</f>
        <v>0</v>
      </c>
      <c r="R32" s="33">
        <f>COUNTIFS('來案暨出貨明細表-基因檢測(201904起'!$P:$P,$A32&amp;"*",'來案暨出貨明細表-基因檢測(201904起'!$B:$B,R$1)*$B32+COUNTIFS('來案暨出貨明細表-基因檢測(201904起'!$P:$P,$A32&amp;"*",'來案暨出貨明細表-基因檢測(201904起'!$B:$B,R$1,'來案暨出貨明細表-基因檢測(201904起'!$Q:$Q,"紙本&amp;電子")++COUNTIFS('來案暨出貨明細表-基因檢測(201904起'!$P:$P,$A32&amp;"*",'來案暨出貨明細表-基因檢測(201904起'!$B:$B,R$1,'來案暨出貨明細表-基因檢測(201904起'!$R:$R,"中英")</f>
        <v>0</v>
      </c>
      <c r="S32" s="33">
        <f>COUNTIFS('來案暨出貨明細表-基因檢測(201904起'!$P:$P,$A32&amp;"*",'來案暨出貨明細表-基因檢測(201904起'!$B:$B,S$1)*$B32+COUNTIFS('來案暨出貨明細表-基因檢測(201904起'!$P:$P,$A32&amp;"*",'來案暨出貨明細表-基因檢測(201904起'!$B:$B,S$1,'來案暨出貨明細表-基因檢測(201904起'!$Q:$Q,"紙本&amp;電子")++COUNTIFS('來案暨出貨明細表-基因檢測(201904起'!$P:$P,$A32&amp;"*",'來案暨出貨明細表-基因檢測(201904起'!$B:$B,S$1,'來案暨出貨明細表-基因檢測(201904起'!$R:$R,"中英")</f>
        <v>0</v>
      </c>
      <c r="T32" s="33">
        <f>COUNTIFS('來案暨出貨明細表-基因檢測(201904起'!$P:$P,$A32&amp;"*",'來案暨出貨明細表-基因檢測(201904起'!$B:$B,T$1)*$B32+COUNTIFS('來案暨出貨明細表-基因檢測(201904起'!$P:$P,$A32&amp;"*",'來案暨出貨明細表-基因檢測(201904起'!$B:$B,T$1,'來案暨出貨明細表-基因檢測(201904起'!$Q:$Q,"紙本&amp;電子")++COUNTIFS('來案暨出貨明細表-基因檢測(201904起'!$P:$P,$A32&amp;"*",'來案暨出貨明細表-基因檢測(201904起'!$B:$B,T$1,'來案暨出貨明細表-基因檢測(201904起'!$R:$R,"中英")</f>
        <v>0</v>
      </c>
      <c r="U32" s="33">
        <f>COUNTIFS('來案暨出貨明細表-基因檢測(201904起'!$P:$P,$A32&amp;"*",'來案暨出貨明細表-基因檢測(201904起'!$B:$B,U$1)*$B32+COUNTIFS('來案暨出貨明細表-基因檢測(201904起'!$P:$P,$A32&amp;"*",'來案暨出貨明細表-基因檢測(201904起'!$B:$B,U$1,'來案暨出貨明細表-基因檢測(201904起'!$Q:$Q,"紙本&amp;電子")++COUNTIFS('來案暨出貨明細表-基因檢測(201904起'!$P:$P,$A32&amp;"*",'來案暨出貨明細表-基因檢測(201904起'!$B:$B,U$1,'來案暨出貨明細表-基因檢測(201904起'!$R:$R,"中英")</f>
        <v>0</v>
      </c>
      <c r="V32" s="33">
        <f>COUNTIFS('來案暨出貨明細表-基因檢測(201904起'!$P:$P,$A32&amp;"*",'來案暨出貨明細表-基因檢測(201904起'!$B:$B,V$1)*$B32+COUNTIFS('來案暨出貨明細表-基因檢測(201904起'!$P:$P,$A32&amp;"*",'來案暨出貨明細表-基因檢測(201904起'!$B:$B,V$1,'來案暨出貨明細表-基因檢測(201904起'!$Q:$Q,"紙本&amp;電子")++COUNTIFS('來案暨出貨明細表-基因檢測(201904起'!$P:$P,$A32&amp;"*",'來案暨出貨明細表-基因檢測(201904起'!$B:$B,V$1,'來案暨出貨明細表-基因檢測(201904起'!$R:$R,"中英")</f>
        <v>0</v>
      </c>
      <c r="W32" s="33">
        <f>COUNTIFS('來案暨出貨明細表-基因檢測(201904起'!$P:$P,$A32&amp;"*",'來案暨出貨明細表-基因檢測(201904起'!$B:$B,W$1)*$B32+COUNTIFS('來案暨出貨明細表-基因檢測(201904起'!$P:$P,$A32&amp;"*",'來案暨出貨明細表-基因檢測(201904起'!$B:$B,W$1,'來案暨出貨明細表-基因檢測(201904起'!$Q:$Q,"紙本&amp;電子")++COUNTIFS('來案暨出貨明細表-基因檢測(201904起'!$P:$P,$A32&amp;"*",'來案暨出貨明細表-基因檢測(201904起'!$B:$B,W$1,'來案暨出貨明細表-基因檢測(201904起'!$R:$R,"中英")</f>
        <v>0</v>
      </c>
      <c r="X32" s="33">
        <f>COUNTIFS('來案暨出貨明細表-基因檢測(201904起'!$P:$P,$A32&amp;"*",'來案暨出貨明細表-基因檢測(201904起'!$B:$B,X$1)*$B32+COUNTIFS('來案暨出貨明細表-基因檢測(201904起'!$P:$P,$A32&amp;"*",'來案暨出貨明細表-基因檢測(201904起'!$B:$B,X$1,'來案暨出貨明細表-基因檢測(201904起'!$Q:$Q,"紙本&amp;電子")++COUNTIFS('來案暨出貨明細表-基因檢測(201904起'!$P:$P,$A32&amp;"*",'來案暨出貨明細表-基因檢測(201904起'!$B:$B,X$1,'來案暨出貨明細表-基因檢測(201904起'!$R:$R,"中英")</f>
        <v>0</v>
      </c>
      <c r="Y32" s="33">
        <f>COUNTIFS('來案暨出貨明細表-基因檢測(201904起'!$P:$P,$A32&amp;"*",'來案暨出貨明細表-基因檢測(201904起'!$B:$B,Y$1)*$B32+COUNTIFS('來案暨出貨明細表-基因檢測(201904起'!$P:$P,$A32&amp;"*",'來案暨出貨明細表-基因檢測(201904起'!$B:$B,Y$1,'來案暨出貨明細表-基因檢測(201904起'!$Q:$Q,"紙本&amp;電子")++COUNTIFS('來案暨出貨明細表-基因檢測(201904起'!$P:$P,$A32&amp;"*",'來案暨出貨明細表-基因檢測(201904起'!$B:$B,Y$1,'來案暨出貨明細表-基因檢測(201904起'!$R:$R,"中英")</f>
        <v>0</v>
      </c>
      <c r="Z32" s="33">
        <f>COUNTIFS('來案暨出貨明細表-基因檢測(201904起'!$P:$P,$A32&amp;"*",'來案暨出貨明細表-基因檢測(201904起'!$B:$B,Z$1)*$B32+COUNTIFS('來案暨出貨明細表-基因檢測(201904起'!$P:$P,$A32&amp;"*",'來案暨出貨明細表-基因檢測(201904起'!$B:$B,Z$1,'來案暨出貨明細表-基因檢測(201904起'!$Q:$Q,"紙本&amp;電子")++COUNTIFS('來案暨出貨明細表-基因檢測(201904起'!$P:$P,$A32&amp;"*",'來案暨出貨明細表-基因檢測(201904起'!$B:$B,Z$1,'來案暨出貨明細表-基因檢測(201904起'!$R:$R,"中英")</f>
        <v>0</v>
      </c>
      <c r="AA32" s="33">
        <f>COUNTIFS('來案暨出貨明細表-基因檢測(201904起'!$P:$P,$A32&amp;"*",'來案暨出貨明細表-基因檢測(201904起'!$B:$B,AA$1)*$B32+COUNTIFS('來案暨出貨明細表-基因檢測(201904起'!$P:$P,$A32&amp;"*",'來案暨出貨明細表-基因檢測(201904起'!$B:$B,AA$1,'來案暨出貨明細表-基因檢測(201904起'!$Q:$Q,"紙本&amp;電子")++COUNTIFS('來案暨出貨明細表-基因檢測(201904起'!$P:$P,$A32&amp;"*",'來案暨出貨明細表-基因檢測(201904起'!$B:$B,AA$1,'來案暨出貨明細表-基因檢測(201904起'!$R:$R,"中英")</f>
        <v>0</v>
      </c>
      <c r="AB32" s="33">
        <f>COUNTIFS('來案暨出貨明細表-基因檢測(201904起'!$P:$P,$A32&amp;"*",'來案暨出貨明細表-基因檢測(201904起'!$B:$B,AB$1)*$B32+COUNTIFS('來案暨出貨明細表-基因檢測(201904起'!$P:$P,$A32&amp;"*",'來案暨出貨明細表-基因檢測(201904起'!$B:$B,AB$1,'來案暨出貨明細表-基因檢測(201904起'!$Q:$Q,"紙本&amp;電子")++COUNTIFS('來案暨出貨明細表-基因檢測(201904起'!$P:$P,$A32&amp;"*",'來案暨出貨明細表-基因檢測(201904起'!$B:$B,AB$1,'來案暨出貨明細表-基因檢測(201904起'!$R:$R,"中英")</f>
        <v>0</v>
      </c>
      <c r="AC32" s="33">
        <f>COUNTIFS('來案暨出貨明細表-基因檢測(201904起'!$P:$P,$A32&amp;"*",'來案暨出貨明細表-基因檢測(201904起'!$B:$B,AC$1)*$B32+COUNTIFS('來案暨出貨明細表-基因檢測(201904起'!$P:$P,$A32&amp;"*",'來案暨出貨明細表-基因檢測(201904起'!$B:$B,AC$1,'來案暨出貨明細表-基因檢測(201904起'!$Q:$Q,"紙本&amp;電子")++COUNTIFS('來案暨出貨明細表-基因檢測(201904起'!$P:$P,$A32&amp;"*",'來案暨出貨明細表-基因檢測(201904起'!$B:$B,AC$1,'來案暨出貨明細表-基因檢測(201904起'!$R:$R,"中英")</f>
        <v>0</v>
      </c>
      <c r="AD32" s="33">
        <f>COUNTIFS('來案暨出貨明細表-基因檢測(201904起'!$P:$P,$A32&amp;"*",'來案暨出貨明細表-基因檢測(201904起'!$B:$B,AD$1)*$B32+COUNTIFS('來案暨出貨明細表-基因檢測(201904起'!$P:$P,$A32&amp;"*",'來案暨出貨明細表-基因檢測(201904起'!$B:$B,AD$1,'來案暨出貨明細表-基因檢測(201904起'!$Q:$Q,"紙本&amp;電子")++COUNTIFS('來案暨出貨明細表-基因檢測(201904起'!$P:$P,$A32&amp;"*",'來案暨出貨明細表-基因檢測(201904起'!$B:$B,AD$1,'來案暨出貨明細表-基因檢測(201904起'!$R:$R,"中英")</f>
        <v>0</v>
      </c>
      <c r="AE32" s="33">
        <f>COUNTIFS('來案暨出貨明細表-基因檢測(201904起'!$P:$P,$A32&amp;"*",'來案暨出貨明細表-基因檢測(201904起'!$B:$B,AE$1)*$B32+COUNTIFS('來案暨出貨明細表-基因檢測(201904起'!$P:$P,$A32&amp;"*",'來案暨出貨明細表-基因檢測(201904起'!$B:$B,AE$1,'來案暨出貨明細表-基因檢測(201904起'!$Q:$Q,"紙本&amp;電子")++COUNTIFS('來案暨出貨明細表-基因檢測(201904起'!$P:$P,$A32&amp;"*",'來案暨出貨明細表-基因檢測(201904起'!$B:$B,AE$1,'來案暨出貨明細表-基因檢測(201904起'!$R:$R,"中英")</f>
        <v>0</v>
      </c>
      <c r="AF32" s="33">
        <f>COUNTIFS('來案暨出貨明細表-基因檢測(201904起'!$P:$P,$A32&amp;"*",'來案暨出貨明細表-基因檢測(201904起'!$B:$B,AF$1)*$B32+COUNTIFS('來案暨出貨明細表-基因檢測(201904起'!$P:$P,$A32&amp;"*",'來案暨出貨明細表-基因檢測(201904起'!$B:$B,AF$1,'來案暨出貨明細表-基因檢測(201904起'!$Q:$Q,"紙本&amp;電子")++COUNTIFS('來案暨出貨明細表-基因檢測(201904起'!$P:$P,$A32&amp;"*",'來案暨出貨明細表-基因檢測(201904起'!$B:$B,AF$1,'來案暨出貨明細表-基因檢測(201904起'!$R:$R,"中英")</f>
        <v>0</v>
      </c>
      <c r="AG32" s="33">
        <f>COUNTIFS('來案暨出貨明細表-基因檢測(201904起'!$P:$P,$A32&amp;"*",'來案暨出貨明細表-基因檢測(201904起'!$B:$B,AG$1)*$B32+COUNTIFS('來案暨出貨明細表-基因檢測(201904起'!$P:$P,$A32&amp;"*",'來案暨出貨明細表-基因檢測(201904起'!$B:$B,AG$1,'來案暨出貨明細表-基因檢測(201904起'!$Q:$Q,"紙本&amp;電子")++COUNTIFS('來案暨出貨明細表-基因檢測(201904起'!$P:$P,$A32&amp;"*",'來案暨出貨明細表-基因檢測(201904起'!$B:$B,AG$1,'來案暨出貨明細表-基因檢測(201904起'!$R:$R,"中英")</f>
        <v>0</v>
      </c>
      <c r="AH32" s="33">
        <f>COUNTIFS('來案暨出貨明細表-基因檢測(201904起'!$P:$P,$A32&amp;"*",'來案暨出貨明細表-基因檢測(201904起'!$B:$B,AH$1)*$B32+COUNTIFS('來案暨出貨明細表-基因檢測(201904起'!$P:$P,$A32&amp;"*",'來案暨出貨明細表-基因檢測(201904起'!$B:$B,AH$1,'來案暨出貨明細表-基因檢測(201904起'!$Q:$Q,"紙本&amp;電子")++COUNTIFS('來案暨出貨明細表-基因檢測(201904起'!$P:$P,$A32&amp;"*",'來案暨出貨明細表-基因檢測(201904起'!$B:$B,AH$1,'來案暨出貨明細表-基因檢測(201904起'!$R:$R,"中英")</f>
        <v>0</v>
      </c>
      <c r="AI32" s="33">
        <f>COUNTIFS('來案暨出貨明細表-基因檢測(201904起'!$P:$P,$A32&amp;"*",'來案暨出貨明細表-基因檢測(201904起'!$B:$B,AI$1)*$B32+COUNTIFS('來案暨出貨明細表-基因檢測(201904起'!$P:$P,$A32&amp;"*",'來案暨出貨明細表-基因檢測(201904起'!$B:$B,AI$1,'來案暨出貨明細表-基因檢測(201904起'!$Q:$Q,"紙本&amp;電子")++COUNTIFS('來案暨出貨明細表-基因檢測(201904起'!$P:$P,$A32&amp;"*",'來案暨出貨明細表-基因檢測(201904起'!$B:$B,AI$1,'來案暨出貨明細表-基因檢測(201904起'!$R:$R,"中英")</f>
        <v>0</v>
      </c>
      <c r="AJ32" s="33">
        <f>COUNTIFS('來案暨出貨明細表-基因檢測(201904起'!$P:$P,$A32&amp;"*",'來案暨出貨明細表-基因檢測(201904起'!$B:$B,AJ$1)*$B32+COUNTIFS('來案暨出貨明細表-基因檢測(201904起'!$P:$P,$A32&amp;"*",'來案暨出貨明細表-基因檢測(201904起'!$B:$B,AJ$1,'來案暨出貨明細表-基因檢測(201904起'!$Q:$Q,"紙本&amp;電子")++COUNTIFS('來案暨出貨明細表-基因檢測(201904起'!$P:$P,$A32&amp;"*",'來案暨出貨明細表-基因檢測(201904起'!$B:$B,AJ$1,'來案暨出貨明細表-基因檢測(201904起'!$R:$R,"中英")</f>
        <v>0</v>
      </c>
      <c r="AK32" s="33">
        <f>COUNTIFS('來案暨出貨明細表-基因檢測(201904起'!$P:$P,$A32&amp;"*",'來案暨出貨明細表-基因檢測(201904起'!$B:$B,AK$1)*$B32+COUNTIFS('來案暨出貨明細表-基因檢測(201904起'!$P:$P,$A32&amp;"*",'來案暨出貨明細表-基因檢測(201904起'!$B:$B,AK$1,'來案暨出貨明細表-基因檢測(201904起'!$Q:$Q,"紙本&amp;電子")++COUNTIFS('來案暨出貨明細表-基因檢測(201904起'!$P:$P,$A32&amp;"*",'來案暨出貨明細表-基因檢測(201904起'!$B:$B,AK$1,'來案暨出貨明細表-基因檢測(201904起'!$R:$R,"中英")</f>
        <v>0</v>
      </c>
      <c r="AL32" s="33">
        <f>COUNTIFS('來案暨出貨明細表-基因檢測(201904起'!$P:$P,$A32&amp;"*",'來案暨出貨明細表-基因檢測(201904起'!$B:$B,AL$1)*$B32+COUNTIFS('來案暨出貨明細表-基因檢測(201904起'!$P:$P,$A32&amp;"*",'來案暨出貨明細表-基因檢測(201904起'!$B:$B,AL$1,'來案暨出貨明細表-基因檢測(201904起'!$Q:$Q,"紙本&amp;電子")++COUNTIFS('來案暨出貨明細表-基因檢測(201904起'!$P:$P,$A32&amp;"*",'來案暨出貨明細表-基因檢測(201904起'!$B:$B,AL$1,'來案暨出貨明細表-基因檢測(201904起'!$R:$R,"中英")</f>
        <v>0</v>
      </c>
      <c r="AM32" s="33">
        <f>COUNTIFS('來案暨出貨明細表-基因檢測(201904起'!$P:$P,$A32&amp;"*",'來案暨出貨明細表-基因檢測(201904起'!$B:$B,AM$1)*$B32+COUNTIFS('來案暨出貨明細表-基因檢測(201904起'!$P:$P,$A32&amp;"*",'來案暨出貨明細表-基因檢測(201904起'!$B:$B,AM$1,'來案暨出貨明細表-基因檢測(201904起'!$Q:$Q,"紙本&amp;電子")++COUNTIFS('來案暨出貨明細表-基因檢測(201904起'!$P:$P,$A32&amp;"*",'來案暨出貨明細表-基因檢測(201904起'!$B:$B,AM$1,'來案暨出貨明細表-基因檢測(201904起'!$R:$R,"中英")</f>
        <v>0</v>
      </c>
      <c r="AN32" s="33">
        <f>COUNTIFS('來案暨出貨明細表-基因檢測(201904起'!$P:$P,$A32&amp;"*",'來案暨出貨明細表-基因檢測(201904起'!$B:$B,AN$1)*$B32+COUNTIFS('來案暨出貨明細表-基因檢測(201904起'!$P:$P,$A32&amp;"*",'來案暨出貨明細表-基因檢測(201904起'!$B:$B,AN$1,'來案暨出貨明細表-基因檢測(201904起'!$Q:$Q,"紙本&amp;電子")++COUNTIFS('來案暨出貨明細表-基因檢測(201904起'!$P:$P,$A32&amp;"*",'來案暨出貨明細表-基因檢測(201904起'!$B:$B,AN$1,'來案暨出貨明細表-基因檢測(201904起'!$R:$R,"中英")</f>
        <v>0</v>
      </c>
      <c r="AO32" s="33">
        <f>COUNTIFS('來案暨出貨明細表-基因檢測(201904起'!$P:$P,$A32&amp;"*",'來案暨出貨明細表-基因檢測(201904起'!$B:$B,AO$1)*$B32+COUNTIFS('來案暨出貨明細表-基因檢測(201904起'!$P:$P,$A32&amp;"*",'來案暨出貨明細表-基因檢測(201904起'!$B:$B,AO$1,'來案暨出貨明細表-基因檢測(201904起'!$Q:$Q,"紙本&amp;電子")++COUNTIFS('來案暨出貨明細表-基因檢測(201904起'!$P:$P,$A32&amp;"*",'來案暨出貨明細表-基因檢測(201904起'!$B:$B,AO$1,'來案暨出貨明細表-基因檢測(201904起'!$R:$R,"中英")</f>
        <v>0</v>
      </c>
      <c r="AP32" s="33">
        <f>COUNTIFS('來案暨出貨明細表-基因檢測(201904起'!$P:$P,$A32&amp;"*",'來案暨出貨明細表-基因檢測(201904起'!$B:$B,AP$1)*$B32+COUNTIFS('來案暨出貨明細表-基因檢測(201904起'!$P:$P,$A32&amp;"*",'來案暨出貨明細表-基因檢測(201904起'!$B:$B,AP$1,'來案暨出貨明細表-基因檢測(201904起'!$Q:$Q,"紙本&amp;電子")++COUNTIFS('來案暨出貨明細表-基因檢測(201904起'!$P:$P,$A32&amp;"*",'來案暨出貨明細表-基因檢測(201904起'!$B:$B,AP$1,'來案暨出貨明細表-基因檢測(201904起'!$R:$R,"中英")</f>
        <v>0</v>
      </c>
      <c r="AQ32" s="33">
        <f>COUNTIFS('來案暨出貨明細表-基因檢測(201904起'!$P:$P,$A32&amp;"*",'來案暨出貨明細表-基因檢測(201904起'!$B:$B,AQ$1)*$B32+COUNTIFS('來案暨出貨明細表-基因檢測(201904起'!$P:$P,$A32&amp;"*",'來案暨出貨明細表-基因檢測(201904起'!$B:$B,AQ$1,'來案暨出貨明細表-基因檢測(201904起'!$Q:$Q,"紙本&amp;電子")++COUNTIFS('來案暨出貨明細表-基因檢測(201904起'!$P:$P,$A32&amp;"*",'來案暨出貨明細表-基因檢測(201904起'!$B:$B,AQ$1,'來案暨出貨明細表-基因檢測(201904起'!$R:$R,"中英")</f>
        <v>0</v>
      </c>
      <c r="AR32" s="33">
        <f>COUNTIFS('來案暨出貨明細表-基因檢測(201904起'!$P:$P,$A32&amp;"*",'來案暨出貨明細表-基因檢測(201904起'!$B:$B,AR$1)*$B32+COUNTIFS('來案暨出貨明細表-基因檢測(201904起'!$P:$P,$A32&amp;"*",'來案暨出貨明細表-基因檢測(201904起'!$B:$B,AR$1,'來案暨出貨明細表-基因檢測(201904起'!$Q:$Q,"紙本&amp;電子")++COUNTIFS('來案暨出貨明細表-基因檢測(201904起'!$P:$P,$A32&amp;"*",'來案暨出貨明細表-基因檢測(201904起'!$B:$B,AR$1,'來案暨出貨明細表-基因檢測(201904起'!$R:$R,"中英")</f>
        <v>0</v>
      </c>
      <c r="AS32" s="33">
        <f>COUNTIFS('來案暨出貨明細表-基因檢測(201904起'!$P:$P,$A32&amp;"*",'來案暨出貨明細表-基因檢測(201904起'!$B:$B,AS$1)*$B32+COUNTIFS('來案暨出貨明細表-基因檢測(201904起'!$P:$P,$A32&amp;"*",'來案暨出貨明細表-基因檢測(201904起'!$B:$B,AS$1,'來案暨出貨明細表-基因檢測(201904起'!$Q:$Q,"紙本&amp;電子")++COUNTIFS('來案暨出貨明細表-基因檢測(201904起'!$P:$P,$A32&amp;"*",'來案暨出貨明細表-基因檢測(201904起'!$B:$B,AS$1,'來案暨出貨明細表-基因檢測(201904起'!$R:$R,"中英")</f>
        <v>0</v>
      </c>
      <c r="AT32" s="33">
        <f>COUNTIFS('來案暨出貨明細表-基因檢測(201904起'!$P:$P,$A32&amp;"*",'來案暨出貨明細表-基因檢測(201904起'!$B:$B,AT$1)*$B32+COUNTIFS('來案暨出貨明細表-基因檢測(201904起'!$P:$P,$A32&amp;"*",'來案暨出貨明細表-基因檢測(201904起'!$B:$B,AT$1,'來案暨出貨明細表-基因檢測(201904起'!$Q:$Q,"紙本&amp;電子")++COUNTIFS('來案暨出貨明細表-基因檢測(201904起'!$P:$P,$A32&amp;"*",'來案暨出貨明細表-基因檢測(201904起'!$B:$B,AT$1,'來案暨出貨明細表-基因檢測(201904起'!$R:$R,"中英")</f>
        <v>0</v>
      </c>
      <c r="AU32" s="33">
        <f>COUNTIFS('來案暨出貨明細表-基因檢測(201904起'!$P:$P,$A32&amp;"*",'來案暨出貨明細表-基因檢測(201904起'!$B:$B,AU$1)*$B32+COUNTIFS('來案暨出貨明細表-基因檢測(201904起'!$P:$P,$A32&amp;"*",'來案暨出貨明細表-基因檢測(201904起'!$B:$B,AU$1,'來案暨出貨明細表-基因檢測(201904起'!$Q:$Q,"紙本&amp;電子")++COUNTIFS('來案暨出貨明細表-基因檢測(201904起'!$P:$P,$A32&amp;"*",'來案暨出貨明細表-基因檢測(201904起'!$B:$B,AU$1,'來案暨出貨明細表-基因檢測(201904起'!$R:$R,"中英")</f>
        <v>0</v>
      </c>
      <c r="AV32" s="33">
        <f>COUNTIFS('來案暨出貨明細表-基因檢測(201904起'!$P:$P,$A32&amp;"*",'來案暨出貨明細表-基因檢測(201904起'!$B:$B,AV$1)*$B32+COUNTIFS('來案暨出貨明細表-基因檢測(201904起'!$P:$P,$A32&amp;"*",'來案暨出貨明細表-基因檢測(201904起'!$B:$B,AV$1,'來案暨出貨明細表-基因檢測(201904起'!$Q:$Q,"紙本&amp;電子")++COUNTIFS('來案暨出貨明細表-基因檢測(201904起'!$P:$P,$A32&amp;"*",'來案暨出貨明細表-基因檢測(201904起'!$B:$B,AV$1,'來案暨出貨明細表-基因檢測(201904起'!$R:$R,"中英")</f>
        <v>0</v>
      </c>
      <c r="AW32" s="33">
        <f>COUNTIFS('來案暨出貨明細表-基因檢測(201904起'!$P:$P,$A32&amp;"*",'來案暨出貨明細表-基因檢測(201904起'!$B:$B,AW$1)*$B32+COUNTIFS('來案暨出貨明細表-基因檢測(201904起'!$P:$P,$A32&amp;"*",'來案暨出貨明細表-基因檢測(201904起'!$B:$B,AW$1,'來案暨出貨明細表-基因檢測(201904起'!$Q:$Q,"紙本&amp;電子")++COUNTIFS('來案暨出貨明細表-基因檢測(201904起'!$P:$P,$A32&amp;"*",'來案暨出貨明細表-基因檢測(201904起'!$B:$B,AW$1,'來案暨出貨明細表-基因檢測(201904起'!$R:$R,"中英")</f>
        <v>0</v>
      </c>
      <c r="AX32" s="33">
        <f>COUNTIFS('來案暨出貨明細表-基因檢測(201904起'!$P:$P,$A32&amp;"*",'來案暨出貨明細表-基因檢測(201904起'!$B:$B,AX$1)*$B32+COUNTIFS('來案暨出貨明細表-基因檢測(201904起'!$P:$P,$A32&amp;"*",'來案暨出貨明細表-基因檢測(201904起'!$B:$B,AX$1,'來案暨出貨明細表-基因檢測(201904起'!$Q:$Q,"紙本&amp;電子")++COUNTIFS('來案暨出貨明細表-基因檢測(201904起'!$P:$P,$A32&amp;"*",'來案暨出貨明細表-基因檢測(201904起'!$B:$B,AX$1,'來案暨出貨明細表-基因檢測(201904起'!$R:$R,"中英")</f>
        <v>0</v>
      </c>
      <c r="AY32" s="33">
        <f>COUNTIFS('來案暨出貨明細表-基因檢測(201904起'!$P:$P,$A32&amp;"*",'來案暨出貨明細表-基因檢測(201904起'!$B:$B,AY$1)*$B32+COUNTIFS('來案暨出貨明細表-基因檢測(201904起'!$P:$P,$A32&amp;"*",'來案暨出貨明細表-基因檢測(201904起'!$B:$B,AY$1,'來案暨出貨明細表-基因檢測(201904起'!$Q:$Q,"紙本&amp;電子")++COUNTIFS('來案暨出貨明細表-基因檢測(201904起'!$P:$P,$A32&amp;"*",'來案暨出貨明細表-基因檢測(201904起'!$B:$B,AY$1,'來案暨出貨明細表-基因檢測(201904起'!$R:$R,"中英")</f>
        <v>0</v>
      </c>
      <c r="AZ32" s="33">
        <f>COUNTIFS('來案暨出貨明細表-基因檢測(201904起'!$P:$P,$A32&amp;"*",'來案暨出貨明細表-基因檢測(201904起'!$B:$B,AZ$1)*$B32+COUNTIFS('來案暨出貨明細表-基因檢測(201904起'!$P:$P,$A32&amp;"*",'來案暨出貨明細表-基因檢測(201904起'!$B:$B,AZ$1,'來案暨出貨明細表-基因檢測(201904起'!$Q:$Q,"紙本&amp;電子")++COUNTIFS('來案暨出貨明細表-基因檢測(201904起'!$P:$P,$A32&amp;"*",'來案暨出貨明細表-基因檢測(201904起'!$B:$B,AZ$1,'來案暨出貨明細表-基因檢測(201904起'!$R:$R,"中英")</f>
        <v>0</v>
      </c>
      <c r="BA32" s="33">
        <f>COUNTIFS('來案暨出貨明細表-基因檢測(201904起'!$P:$P,$A32&amp;"*",'來案暨出貨明細表-基因檢測(201904起'!$B:$B,BA$1)*$B32+COUNTIFS('來案暨出貨明細表-基因檢測(201904起'!$P:$P,$A32&amp;"*",'來案暨出貨明細表-基因檢測(201904起'!$B:$B,BA$1,'來案暨出貨明細表-基因檢測(201904起'!$Q:$Q,"紙本&amp;電子")++COUNTIFS('來案暨出貨明細表-基因檢測(201904起'!$P:$P,$A32&amp;"*",'來案暨出貨明細表-基因檢測(201904起'!$B:$B,BA$1,'來案暨出貨明細表-基因檢測(201904起'!$R:$R,"中英")</f>
        <v>0</v>
      </c>
      <c r="BB32" s="33">
        <f>COUNTIFS('來案暨出貨明細表-基因檢測(201904起'!$P:$P,$A32&amp;"*",'來案暨出貨明細表-基因檢測(201904起'!$B:$B,BB$1)*$B32+COUNTIFS('來案暨出貨明細表-基因檢測(201904起'!$P:$P,$A32&amp;"*",'來案暨出貨明細表-基因檢測(201904起'!$B:$B,BB$1,'來案暨出貨明細表-基因檢測(201904起'!$Q:$Q,"紙本&amp;電子")++COUNTIFS('來案暨出貨明細表-基因檢測(201904起'!$P:$P,$A32&amp;"*",'來案暨出貨明細表-基因檢測(201904起'!$B:$B,BB$1,'來案暨出貨明細表-基因檢測(201904起'!$R:$R,"中英")</f>
        <v>0</v>
      </c>
      <c r="BC32" s="33">
        <f>COUNTIFS('來案暨出貨明細表-基因檢測(201904起'!$P:$P,$A32&amp;"*",'來案暨出貨明細表-基因檢測(201904起'!$B:$B,BC$1)*$B32+COUNTIFS('來案暨出貨明細表-基因檢測(201904起'!$P:$P,$A32&amp;"*",'來案暨出貨明細表-基因檢測(201904起'!$B:$B,BC$1,'來案暨出貨明細表-基因檢測(201904起'!$Q:$Q,"紙本&amp;電子")++COUNTIFS('來案暨出貨明細表-基因檢測(201904起'!$P:$P,$A32&amp;"*",'來案暨出貨明細表-基因檢測(201904起'!$B:$B,BC$1,'來案暨出貨明細表-基因檢測(201904起'!$R:$R,"中英")</f>
        <v>0</v>
      </c>
      <c r="BD32" s="33">
        <f>COUNTIFS('來案暨出貨明細表-基因檢測(201904起'!$P:$P,$A32&amp;"*",'來案暨出貨明細表-基因檢測(201904起'!$B:$B,BD$1)*$B32+COUNTIFS('來案暨出貨明細表-基因檢測(201904起'!$P:$P,$A32&amp;"*",'來案暨出貨明細表-基因檢測(201904起'!$B:$B,BD$1,'來案暨出貨明細表-基因檢測(201904起'!$Q:$Q,"紙本&amp;電子")++COUNTIFS('來案暨出貨明細表-基因檢測(201904起'!$P:$P,$A32&amp;"*",'來案暨出貨明細表-基因檢測(201904起'!$B:$B,BD$1,'來案暨出貨明細表-基因檢測(201904起'!$R:$R,"中英")</f>
        <v>0</v>
      </c>
      <c r="BE32" s="33">
        <f>COUNTIFS('來案暨出貨明細表-基因檢測(201904起'!$P:$P,$A32&amp;"*",'來案暨出貨明細表-基因檢測(201904起'!$B:$B,BE$1)*$B32+COUNTIFS('來案暨出貨明細表-基因檢測(201904起'!$P:$P,$A32&amp;"*",'來案暨出貨明細表-基因檢測(201904起'!$B:$B,BE$1,'來案暨出貨明細表-基因檢測(201904起'!$Q:$Q,"紙本&amp;電子")++COUNTIFS('來案暨出貨明細表-基因檢測(201904起'!$P:$P,$A32&amp;"*",'來案暨出貨明細表-基因檢測(201904起'!$B:$B,BE$1,'來案暨出貨明細表-基因檢測(201904起'!$R:$R,"中英")</f>
        <v>0</v>
      </c>
      <c r="BF32" s="33">
        <f>COUNTIFS('來案暨出貨明細表-基因檢測(201904起'!$P:$P,$A32&amp;"*",'來案暨出貨明細表-基因檢測(201904起'!$B:$B,BF$1)*$B32+COUNTIFS('來案暨出貨明細表-基因檢測(201904起'!$P:$P,$A32&amp;"*",'來案暨出貨明細表-基因檢測(201904起'!$B:$B,BF$1,'來案暨出貨明細表-基因檢測(201904起'!$Q:$Q,"紙本&amp;電子")++COUNTIFS('來案暨出貨明細表-基因檢測(201904起'!$P:$P,$A32&amp;"*",'來案暨出貨明細表-基因檢測(201904起'!$B:$B,BF$1,'來案暨出貨明細表-基因檢測(201904起'!$R:$R,"中英")</f>
        <v>0</v>
      </c>
      <c r="BG32" s="33">
        <f>COUNTIFS('來案暨出貨明細表-基因檢測(201904起'!$P:$P,$A32&amp;"*",'來案暨出貨明細表-基因檢測(201904起'!$B:$B,BG$1)*$B32+COUNTIFS('來案暨出貨明細表-基因檢測(201904起'!$P:$P,$A32&amp;"*",'來案暨出貨明細表-基因檢測(201904起'!$B:$B,BG$1,'來案暨出貨明細表-基因檢測(201904起'!$Q:$Q,"紙本&amp;電子")++COUNTIFS('來案暨出貨明細表-基因檢測(201904起'!$P:$P,$A32&amp;"*",'來案暨出貨明細表-基因檢測(201904起'!$B:$B,BG$1,'來案暨出貨明細表-基因檢測(201904起'!$R:$R,"中英")</f>
        <v>0</v>
      </c>
      <c r="BH32" s="33">
        <f>COUNTIFS('來案暨出貨明細表-基因檢測(201904起'!$P:$P,$A32&amp;"*",'來案暨出貨明細表-基因檢測(201904起'!$B:$B,BH$1)*$B32+COUNTIFS('來案暨出貨明細表-基因檢測(201904起'!$P:$P,$A32&amp;"*",'來案暨出貨明細表-基因檢測(201904起'!$B:$B,BH$1,'來案暨出貨明細表-基因檢測(201904起'!$Q:$Q,"紙本&amp;電子")++COUNTIFS('來案暨出貨明細表-基因檢測(201904起'!$P:$P,$A32&amp;"*",'來案暨出貨明細表-基因檢測(201904起'!$B:$B,BH$1,'來案暨出貨明細表-基因檢測(201904起'!$R:$R,"中英")</f>
        <v>0</v>
      </c>
      <c r="BI32" s="33">
        <f>COUNTIFS('來案暨出貨明細表-基因檢測(201904起'!$P:$P,$A32&amp;"*",'來案暨出貨明細表-基因檢測(201904起'!$B:$B,BI$1)*$B32+COUNTIFS('來案暨出貨明細表-基因檢測(201904起'!$P:$P,$A32&amp;"*",'來案暨出貨明細表-基因檢測(201904起'!$B:$B,BI$1,'來案暨出貨明細表-基因檢測(201904起'!$Q:$Q,"紙本&amp;電子")++COUNTIFS('來案暨出貨明細表-基因檢測(201904起'!$P:$P,$A32&amp;"*",'來案暨出貨明細表-基因檢測(201904起'!$B:$B,BI$1,'來案暨出貨明細表-基因檢測(201904起'!$R:$R,"中英")</f>
        <v>0</v>
      </c>
      <c r="BJ32" s="33">
        <f>COUNTIFS('來案暨出貨明細表-基因檢測(201904起'!$P:$P,$A32&amp;"*",'來案暨出貨明細表-基因檢測(201904起'!$B:$B,BJ$1)*$B32+COUNTIFS('來案暨出貨明細表-基因檢測(201904起'!$P:$P,$A32&amp;"*",'來案暨出貨明細表-基因檢測(201904起'!$B:$B,BJ$1,'來案暨出貨明細表-基因檢測(201904起'!$Q:$Q,"紙本&amp;電子")++COUNTIFS('來案暨出貨明細表-基因檢測(201904起'!$P:$P,$A32&amp;"*",'來案暨出貨明細表-基因檢測(201904起'!$B:$B,BJ$1,'來案暨出貨明細表-基因檢測(201904起'!$R:$R,"中英")</f>
        <v>0</v>
      </c>
      <c r="BK32" s="33">
        <f>COUNTIFS('來案暨出貨明細表-基因檢測(201904起'!$P:$P,$A32&amp;"*",'來案暨出貨明細表-基因檢測(201904起'!$B:$B,BK$1)*$B32+COUNTIFS('來案暨出貨明細表-基因檢測(201904起'!$P:$P,$A32&amp;"*",'來案暨出貨明細表-基因檢測(201904起'!$B:$B,BK$1,'來案暨出貨明細表-基因檢測(201904起'!$Q:$Q,"紙本&amp;電子")++COUNTIFS('來案暨出貨明細表-基因檢測(201904起'!$P:$P,$A32&amp;"*",'來案暨出貨明細表-基因檢測(201904起'!$B:$B,BK$1,'來案暨出貨明細表-基因檢測(201904起'!$R:$R,"中英")</f>
        <v>0</v>
      </c>
      <c r="BL32" s="33">
        <f>COUNTIFS('來案暨出貨明細表-基因檢測(201904起'!$P:$P,$A32&amp;"*",'來案暨出貨明細表-基因檢測(201904起'!$B:$B,BL$1)*$B32+COUNTIFS('來案暨出貨明細表-基因檢測(201904起'!$P:$P,$A32&amp;"*",'來案暨出貨明細表-基因檢測(201904起'!$B:$B,BL$1,'來案暨出貨明細表-基因檢測(201904起'!$Q:$Q,"紙本&amp;電子")++COUNTIFS('來案暨出貨明細表-基因檢測(201904起'!$P:$P,$A32&amp;"*",'來案暨出貨明細表-基因檢測(201904起'!$B:$B,BL$1,'來案暨出貨明細表-基因檢測(201904起'!$R:$R,"中英")</f>
        <v>0</v>
      </c>
      <c r="BM32" s="33">
        <f>COUNTIFS('來案暨出貨明細表-基因檢測(201904起'!$P:$P,$A32&amp;"*",'來案暨出貨明細表-基因檢測(201904起'!$B:$B,BM$1)*$B32+COUNTIFS('來案暨出貨明細表-基因檢測(201904起'!$P:$P,$A32&amp;"*",'來案暨出貨明細表-基因檢測(201904起'!$B:$B,BM$1,'來案暨出貨明細表-基因檢測(201904起'!$Q:$Q,"紙本&amp;電子")++COUNTIFS('來案暨出貨明細表-基因檢測(201904起'!$P:$P,$A32&amp;"*",'來案暨出貨明細表-基因檢測(201904起'!$B:$B,BM$1,'來案暨出貨明細表-基因檢測(201904起'!$R:$R,"中英")</f>
        <v>0</v>
      </c>
    </row>
    <row r="33" spans="1:65" ht="15" customHeight="1">
      <c r="A33" s="9" t="s">
        <v>4559</v>
      </c>
      <c r="B33" s="9">
        <v>1</v>
      </c>
      <c r="C33" s="13" t="s">
        <v>4560</v>
      </c>
      <c r="D33" s="142" t="s">
        <v>4561</v>
      </c>
      <c r="E33" s="33">
        <f>COUNTIFS('來案暨出貨明細表-基因檢測(201904起'!$P:$P,$A33&amp;"*",'來案暨出貨明細表-基因檢測(201904起'!$B:$B,E$1)*$B33+COUNTIFS('來案暨出貨明細表-基因檢測(201904起'!$P:$P,$A33&amp;"*",'來案暨出貨明細表-基因檢測(201904起'!$B:$B,E$1,'來案暨出貨明細表-基因檢測(201904起'!$Q:$Q,"紙本&amp;電子")++COUNTIFS('來案暨出貨明細表-基因檢測(201904起'!$P:$P,$A33&amp;"*",'來案暨出貨明細表-基因檢測(201904起'!$B:$B,E$1,'來案暨出貨明細表-基因檢測(201904起'!$R:$R,"中英")</f>
        <v>0</v>
      </c>
      <c r="F33" s="33">
        <f>COUNTIFS('來案暨出貨明細表-基因檢測(201904起'!$P:$P,$A33&amp;"*",'來案暨出貨明細表-基因檢測(201904起'!$B:$B,F$1)*$B33+COUNTIFS('來案暨出貨明細表-基因檢測(201904起'!$P:$P,$A33&amp;"*",'來案暨出貨明細表-基因檢測(201904起'!$B:$B,F$1,'來案暨出貨明細表-基因檢測(201904起'!$Q:$Q,"紙本&amp;電子")++COUNTIFS('來案暨出貨明細表-基因檢測(201904起'!$P:$P,$A33&amp;"*",'來案暨出貨明細表-基因檢測(201904起'!$B:$B,F$1,'來案暨出貨明細表-基因檢測(201904起'!$R:$R,"中英")</f>
        <v>0</v>
      </c>
      <c r="G33" s="33">
        <f>COUNTIFS('來案暨出貨明細表-基因檢測(201904起'!$P:$P,$A33&amp;"*",'來案暨出貨明細表-基因檢測(201904起'!$B:$B,G$1)*$B33+COUNTIFS('來案暨出貨明細表-基因檢測(201904起'!$P:$P,$A33&amp;"*",'來案暨出貨明細表-基因檢測(201904起'!$B:$B,G$1,'來案暨出貨明細表-基因檢測(201904起'!$Q:$Q,"紙本&amp;電子")++COUNTIFS('來案暨出貨明細表-基因檢測(201904起'!$P:$P,$A33&amp;"*",'來案暨出貨明細表-基因檢測(201904起'!$B:$B,G$1,'來案暨出貨明細表-基因檢測(201904起'!$R:$R,"中英")</f>
        <v>0</v>
      </c>
      <c r="H33" s="33">
        <f>COUNTIFS('來案暨出貨明細表-基因檢測(201904起'!$P:$P,$A33&amp;"*",'來案暨出貨明細表-基因檢測(201904起'!$B:$B,H$1)*$B33+COUNTIFS('來案暨出貨明細表-基因檢測(201904起'!$P:$P,$A33&amp;"*",'來案暨出貨明細表-基因檢測(201904起'!$B:$B,H$1,'來案暨出貨明細表-基因檢測(201904起'!$Q:$Q,"紙本&amp;電子")++COUNTIFS('來案暨出貨明細表-基因檢測(201904起'!$P:$P,$A33&amp;"*",'來案暨出貨明細表-基因檢測(201904起'!$B:$B,H$1,'來案暨出貨明細表-基因檢測(201904起'!$R:$R,"中英")</f>
        <v>0</v>
      </c>
      <c r="I33" s="33">
        <f>COUNTIFS('來案暨出貨明細表-基因檢測(201904起'!$P:$P,$A33&amp;"*",'來案暨出貨明細表-基因檢測(201904起'!$B:$B,I$1)*$B33+COUNTIFS('來案暨出貨明細表-基因檢測(201904起'!$P:$P,$A33&amp;"*",'來案暨出貨明細表-基因檢測(201904起'!$B:$B,I$1,'來案暨出貨明細表-基因檢測(201904起'!$Q:$Q,"紙本&amp;電子")++COUNTIFS('來案暨出貨明細表-基因檢測(201904起'!$P:$P,$A33&amp;"*",'來案暨出貨明細表-基因檢測(201904起'!$B:$B,I$1,'來案暨出貨明細表-基因檢測(201904起'!$R:$R,"中英")</f>
        <v>0</v>
      </c>
      <c r="J33" s="33">
        <f>COUNTIFS('來案暨出貨明細表-基因檢測(201904起'!$P:$P,$A33&amp;"*",'來案暨出貨明細表-基因檢測(201904起'!$B:$B,J$1)*$B33+COUNTIFS('來案暨出貨明細表-基因檢測(201904起'!$P:$P,$A33&amp;"*",'來案暨出貨明細表-基因檢測(201904起'!$B:$B,J$1,'來案暨出貨明細表-基因檢測(201904起'!$Q:$Q,"紙本&amp;電子")++COUNTIFS('來案暨出貨明細表-基因檢測(201904起'!$P:$P,$A33&amp;"*",'來案暨出貨明細表-基因檢測(201904起'!$B:$B,J$1,'來案暨出貨明細表-基因檢測(201904起'!$R:$R,"中英")</f>
        <v>0</v>
      </c>
      <c r="K33" s="33">
        <f>COUNTIFS('來案暨出貨明細表-基因檢測(201904起'!$P:$P,$A33&amp;"*",'來案暨出貨明細表-基因檢測(201904起'!$B:$B,K$1)*$B33+COUNTIFS('來案暨出貨明細表-基因檢測(201904起'!$P:$P,$A33&amp;"*",'來案暨出貨明細表-基因檢測(201904起'!$B:$B,K$1,'來案暨出貨明細表-基因檢測(201904起'!$Q:$Q,"紙本&amp;電子")++COUNTIFS('來案暨出貨明細表-基因檢測(201904起'!$P:$P,$A33&amp;"*",'來案暨出貨明細表-基因檢測(201904起'!$B:$B,K$1,'來案暨出貨明細表-基因檢測(201904起'!$R:$R,"中英")</f>
        <v>0</v>
      </c>
      <c r="L33" s="33">
        <f>COUNTIFS('來案暨出貨明細表-基因檢測(201904起'!$P:$P,$A33&amp;"*",'來案暨出貨明細表-基因檢測(201904起'!$B:$B,L$1)*$B33+COUNTIFS('來案暨出貨明細表-基因檢測(201904起'!$P:$P,$A33&amp;"*",'來案暨出貨明細表-基因檢測(201904起'!$B:$B,L$1,'來案暨出貨明細表-基因檢測(201904起'!$Q:$Q,"紙本&amp;電子")++COUNTIFS('來案暨出貨明細表-基因檢測(201904起'!$P:$P,$A33&amp;"*",'來案暨出貨明細表-基因檢測(201904起'!$B:$B,L$1,'來案暨出貨明細表-基因檢測(201904起'!$R:$R,"中英")</f>
        <v>0</v>
      </c>
      <c r="M33" s="33">
        <f>COUNTIFS('來案暨出貨明細表-基因檢測(201904起'!$P:$P,$A33&amp;"*",'來案暨出貨明細表-基因檢測(201904起'!$B:$B,M$1)*$B33+COUNTIFS('來案暨出貨明細表-基因檢測(201904起'!$P:$P,$A33&amp;"*",'來案暨出貨明細表-基因檢測(201904起'!$B:$B,M$1,'來案暨出貨明細表-基因檢測(201904起'!$Q:$Q,"紙本&amp;電子")++COUNTIFS('來案暨出貨明細表-基因檢測(201904起'!$P:$P,$A33&amp;"*",'來案暨出貨明細表-基因檢測(201904起'!$B:$B,M$1,'來案暨出貨明細表-基因檢測(201904起'!$R:$R,"中英")</f>
        <v>0</v>
      </c>
      <c r="N33" s="33">
        <f>COUNTIFS('來案暨出貨明細表-基因檢測(201904起'!$P:$P,$A33&amp;"*",'來案暨出貨明細表-基因檢測(201904起'!$B:$B,N$1)*$B33+COUNTIFS('來案暨出貨明細表-基因檢測(201904起'!$P:$P,$A33&amp;"*",'來案暨出貨明細表-基因檢測(201904起'!$B:$B,N$1,'來案暨出貨明細表-基因檢測(201904起'!$Q:$Q,"紙本&amp;電子")++COUNTIFS('來案暨出貨明細表-基因檢測(201904起'!$P:$P,$A33&amp;"*",'來案暨出貨明細表-基因檢測(201904起'!$B:$B,N$1,'來案暨出貨明細表-基因檢測(201904起'!$R:$R,"中英")</f>
        <v>0</v>
      </c>
      <c r="O33" s="33">
        <f>COUNTIFS('來案暨出貨明細表-基因檢測(201904起'!$P:$P,$A33&amp;"*",'來案暨出貨明細表-基因檢測(201904起'!$B:$B,O$1)*$B33+COUNTIFS('來案暨出貨明細表-基因檢測(201904起'!$P:$P,$A33&amp;"*",'來案暨出貨明細表-基因檢測(201904起'!$B:$B,O$1,'來案暨出貨明細表-基因檢測(201904起'!$Q:$Q,"紙本&amp;電子")++COUNTIFS('來案暨出貨明細表-基因檢測(201904起'!$P:$P,$A33&amp;"*",'來案暨出貨明細表-基因檢測(201904起'!$B:$B,O$1,'來案暨出貨明細表-基因檢測(201904起'!$R:$R,"中英")</f>
        <v>0</v>
      </c>
      <c r="P33" s="33">
        <f>COUNTIFS('來案暨出貨明細表-基因檢測(201904起'!$P:$P,$A33&amp;"*",'來案暨出貨明細表-基因檢測(201904起'!$B:$B,P$1)*$B33+COUNTIFS('來案暨出貨明細表-基因檢測(201904起'!$P:$P,$A33&amp;"*",'來案暨出貨明細表-基因檢測(201904起'!$B:$B,P$1,'來案暨出貨明細表-基因檢測(201904起'!$Q:$Q,"紙本&amp;電子")++COUNTIFS('來案暨出貨明細表-基因檢測(201904起'!$P:$P,$A33&amp;"*",'來案暨出貨明細表-基因檢測(201904起'!$B:$B,P$1,'來案暨出貨明細表-基因檢測(201904起'!$R:$R,"中英")</f>
        <v>0</v>
      </c>
      <c r="Q33" s="33">
        <f>COUNTIFS('來案暨出貨明細表-基因檢測(201904起'!$P:$P,$A33&amp;"*",'來案暨出貨明細表-基因檢測(201904起'!$B:$B,Q$1)*$B33+COUNTIFS('來案暨出貨明細表-基因檢測(201904起'!$P:$P,$A33&amp;"*",'來案暨出貨明細表-基因檢測(201904起'!$B:$B,Q$1,'來案暨出貨明細表-基因檢測(201904起'!$Q:$Q,"紙本&amp;電子")++COUNTIFS('來案暨出貨明細表-基因檢測(201904起'!$P:$P,$A33&amp;"*",'來案暨出貨明細表-基因檢測(201904起'!$B:$B,Q$1,'來案暨出貨明細表-基因檢測(201904起'!$R:$R,"中英")</f>
        <v>0</v>
      </c>
      <c r="R33" s="33">
        <f>COUNTIFS('來案暨出貨明細表-基因檢測(201904起'!$P:$P,$A33&amp;"*",'來案暨出貨明細表-基因檢測(201904起'!$B:$B,R$1)*$B33+COUNTIFS('來案暨出貨明細表-基因檢測(201904起'!$P:$P,$A33&amp;"*",'來案暨出貨明細表-基因檢測(201904起'!$B:$B,R$1,'來案暨出貨明細表-基因檢測(201904起'!$Q:$Q,"紙本&amp;電子")++COUNTIFS('來案暨出貨明細表-基因檢測(201904起'!$P:$P,$A33&amp;"*",'來案暨出貨明細表-基因檢測(201904起'!$B:$B,R$1,'來案暨出貨明細表-基因檢測(201904起'!$R:$R,"中英")</f>
        <v>0</v>
      </c>
      <c r="S33" s="33">
        <f>COUNTIFS('來案暨出貨明細表-基因檢測(201904起'!$P:$P,$A33&amp;"*",'來案暨出貨明細表-基因檢測(201904起'!$B:$B,S$1)*$B33+COUNTIFS('來案暨出貨明細表-基因檢測(201904起'!$P:$P,$A33&amp;"*",'來案暨出貨明細表-基因檢測(201904起'!$B:$B,S$1,'來案暨出貨明細表-基因檢測(201904起'!$Q:$Q,"紙本&amp;電子")++COUNTIFS('來案暨出貨明細表-基因檢測(201904起'!$P:$P,$A33&amp;"*",'來案暨出貨明細表-基因檢測(201904起'!$B:$B,S$1,'來案暨出貨明細表-基因檢測(201904起'!$R:$R,"中英")</f>
        <v>0</v>
      </c>
      <c r="T33" s="33">
        <f>COUNTIFS('來案暨出貨明細表-基因檢測(201904起'!$P:$P,$A33&amp;"*",'來案暨出貨明細表-基因檢測(201904起'!$B:$B,T$1)*$B33+COUNTIFS('來案暨出貨明細表-基因檢測(201904起'!$P:$P,$A33&amp;"*",'來案暨出貨明細表-基因檢測(201904起'!$B:$B,T$1,'來案暨出貨明細表-基因檢測(201904起'!$Q:$Q,"紙本&amp;電子")++COUNTIFS('來案暨出貨明細表-基因檢測(201904起'!$P:$P,$A33&amp;"*",'來案暨出貨明細表-基因檢測(201904起'!$B:$B,T$1,'來案暨出貨明細表-基因檢測(201904起'!$R:$R,"中英")</f>
        <v>0</v>
      </c>
      <c r="U33" s="33">
        <f>COUNTIFS('來案暨出貨明細表-基因檢測(201904起'!$P:$P,$A33&amp;"*",'來案暨出貨明細表-基因檢測(201904起'!$B:$B,U$1)*$B33+COUNTIFS('來案暨出貨明細表-基因檢測(201904起'!$P:$P,$A33&amp;"*",'來案暨出貨明細表-基因檢測(201904起'!$B:$B,U$1,'來案暨出貨明細表-基因檢測(201904起'!$Q:$Q,"紙本&amp;電子")++COUNTIFS('來案暨出貨明細表-基因檢測(201904起'!$P:$P,$A33&amp;"*",'來案暨出貨明細表-基因檢測(201904起'!$B:$B,U$1,'來案暨出貨明細表-基因檢測(201904起'!$R:$R,"中英")</f>
        <v>0</v>
      </c>
      <c r="V33" s="33">
        <f>COUNTIFS('來案暨出貨明細表-基因檢測(201904起'!$P:$P,$A33&amp;"*",'來案暨出貨明細表-基因檢測(201904起'!$B:$B,V$1)*$B33+COUNTIFS('來案暨出貨明細表-基因檢測(201904起'!$P:$P,$A33&amp;"*",'來案暨出貨明細表-基因檢測(201904起'!$B:$B,V$1,'來案暨出貨明細表-基因檢測(201904起'!$Q:$Q,"紙本&amp;電子")++COUNTIFS('來案暨出貨明細表-基因檢測(201904起'!$P:$P,$A33&amp;"*",'來案暨出貨明細表-基因檢測(201904起'!$B:$B,V$1,'來案暨出貨明細表-基因檢測(201904起'!$R:$R,"中英")</f>
        <v>0</v>
      </c>
      <c r="W33" s="33">
        <f>COUNTIFS('來案暨出貨明細表-基因檢測(201904起'!$P:$P,$A33&amp;"*",'來案暨出貨明細表-基因檢測(201904起'!$B:$B,W$1)*$B33+COUNTIFS('來案暨出貨明細表-基因檢測(201904起'!$P:$P,$A33&amp;"*",'來案暨出貨明細表-基因檢測(201904起'!$B:$B,W$1,'來案暨出貨明細表-基因檢測(201904起'!$Q:$Q,"紙本&amp;電子")++COUNTIFS('來案暨出貨明細表-基因檢測(201904起'!$P:$P,$A33&amp;"*",'來案暨出貨明細表-基因檢測(201904起'!$B:$B,W$1,'來案暨出貨明細表-基因檢測(201904起'!$R:$R,"中英")</f>
        <v>0</v>
      </c>
      <c r="X33" s="33">
        <f>COUNTIFS('來案暨出貨明細表-基因檢測(201904起'!$P:$P,$A33&amp;"*",'來案暨出貨明細表-基因檢測(201904起'!$B:$B,X$1)*$B33+COUNTIFS('來案暨出貨明細表-基因檢測(201904起'!$P:$P,$A33&amp;"*",'來案暨出貨明細表-基因檢測(201904起'!$B:$B,X$1,'來案暨出貨明細表-基因檢測(201904起'!$Q:$Q,"紙本&amp;電子")++COUNTIFS('來案暨出貨明細表-基因檢測(201904起'!$P:$P,$A33&amp;"*",'來案暨出貨明細表-基因檢測(201904起'!$B:$B,X$1,'來案暨出貨明細表-基因檢測(201904起'!$R:$R,"中英")</f>
        <v>0</v>
      </c>
      <c r="Y33" s="33">
        <f>COUNTIFS('來案暨出貨明細表-基因檢測(201904起'!$P:$P,$A33&amp;"*",'來案暨出貨明細表-基因檢測(201904起'!$B:$B,Y$1)*$B33+COUNTIFS('來案暨出貨明細表-基因檢測(201904起'!$P:$P,$A33&amp;"*",'來案暨出貨明細表-基因檢測(201904起'!$B:$B,Y$1,'來案暨出貨明細表-基因檢測(201904起'!$Q:$Q,"紙本&amp;電子")++COUNTIFS('來案暨出貨明細表-基因檢測(201904起'!$P:$P,$A33&amp;"*",'來案暨出貨明細表-基因檢測(201904起'!$B:$B,Y$1,'來案暨出貨明細表-基因檢測(201904起'!$R:$R,"中英")</f>
        <v>0</v>
      </c>
      <c r="Z33" s="33">
        <f>COUNTIFS('來案暨出貨明細表-基因檢測(201904起'!$P:$P,$A33&amp;"*",'來案暨出貨明細表-基因檢測(201904起'!$B:$B,Z$1)*$B33+COUNTIFS('來案暨出貨明細表-基因檢測(201904起'!$P:$P,$A33&amp;"*",'來案暨出貨明細表-基因檢測(201904起'!$B:$B,Z$1,'來案暨出貨明細表-基因檢測(201904起'!$Q:$Q,"紙本&amp;電子")++COUNTIFS('來案暨出貨明細表-基因檢測(201904起'!$P:$P,$A33&amp;"*",'來案暨出貨明細表-基因檢測(201904起'!$B:$B,Z$1,'來案暨出貨明細表-基因檢測(201904起'!$R:$R,"中英")</f>
        <v>0</v>
      </c>
      <c r="AA33" s="33">
        <f>COUNTIFS('來案暨出貨明細表-基因檢測(201904起'!$P:$P,$A33&amp;"*",'來案暨出貨明細表-基因檢測(201904起'!$B:$B,AA$1)*$B33+COUNTIFS('來案暨出貨明細表-基因檢測(201904起'!$P:$P,$A33&amp;"*",'來案暨出貨明細表-基因檢測(201904起'!$B:$B,AA$1,'來案暨出貨明細表-基因檢測(201904起'!$Q:$Q,"紙本&amp;電子")++COUNTIFS('來案暨出貨明細表-基因檢測(201904起'!$P:$P,$A33&amp;"*",'來案暨出貨明細表-基因檢測(201904起'!$B:$B,AA$1,'來案暨出貨明細表-基因檢測(201904起'!$R:$R,"中英")</f>
        <v>0</v>
      </c>
      <c r="AB33" s="33">
        <f>COUNTIFS('來案暨出貨明細表-基因檢測(201904起'!$P:$P,$A33&amp;"*",'來案暨出貨明細表-基因檢測(201904起'!$B:$B,AB$1)*$B33+COUNTIFS('來案暨出貨明細表-基因檢測(201904起'!$P:$P,$A33&amp;"*",'來案暨出貨明細表-基因檢測(201904起'!$B:$B,AB$1,'來案暨出貨明細表-基因檢測(201904起'!$Q:$Q,"紙本&amp;電子")++COUNTIFS('來案暨出貨明細表-基因檢測(201904起'!$P:$P,$A33&amp;"*",'來案暨出貨明細表-基因檢測(201904起'!$B:$B,AB$1,'來案暨出貨明細表-基因檢測(201904起'!$R:$R,"中英")</f>
        <v>0</v>
      </c>
      <c r="AC33" s="33">
        <f>COUNTIFS('來案暨出貨明細表-基因檢測(201904起'!$P:$P,$A33&amp;"*",'來案暨出貨明細表-基因檢測(201904起'!$B:$B,AC$1)*$B33+COUNTIFS('來案暨出貨明細表-基因檢測(201904起'!$P:$P,$A33&amp;"*",'來案暨出貨明細表-基因檢測(201904起'!$B:$B,AC$1,'來案暨出貨明細表-基因檢測(201904起'!$Q:$Q,"紙本&amp;電子")++COUNTIFS('來案暨出貨明細表-基因檢測(201904起'!$P:$P,$A33&amp;"*",'來案暨出貨明細表-基因檢測(201904起'!$B:$B,AC$1,'來案暨出貨明細表-基因檢測(201904起'!$R:$R,"中英")</f>
        <v>0</v>
      </c>
      <c r="AD33" s="33">
        <f>COUNTIFS('來案暨出貨明細表-基因檢測(201904起'!$P:$P,$A33&amp;"*",'來案暨出貨明細表-基因檢測(201904起'!$B:$B,AD$1)*$B33+COUNTIFS('來案暨出貨明細表-基因檢測(201904起'!$P:$P,$A33&amp;"*",'來案暨出貨明細表-基因檢測(201904起'!$B:$B,AD$1,'來案暨出貨明細表-基因檢測(201904起'!$Q:$Q,"紙本&amp;電子")++COUNTIFS('來案暨出貨明細表-基因檢測(201904起'!$P:$P,$A33&amp;"*",'來案暨出貨明細表-基因檢測(201904起'!$B:$B,AD$1,'來案暨出貨明細表-基因檢測(201904起'!$R:$R,"中英")</f>
        <v>0</v>
      </c>
      <c r="AE33" s="33">
        <f>COUNTIFS('來案暨出貨明細表-基因檢測(201904起'!$P:$P,$A33&amp;"*",'來案暨出貨明細表-基因檢測(201904起'!$B:$B,AE$1)*$B33+COUNTIFS('來案暨出貨明細表-基因檢測(201904起'!$P:$P,$A33&amp;"*",'來案暨出貨明細表-基因檢測(201904起'!$B:$B,AE$1,'來案暨出貨明細表-基因檢測(201904起'!$Q:$Q,"紙本&amp;電子")++COUNTIFS('來案暨出貨明細表-基因檢測(201904起'!$P:$P,$A33&amp;"*",'來案暨出貨明細表-基因檢測(201904起'!$B:$B,AE$1,'來案暨出貨明細表-基因檢測(201904起'!$R:$R,"中英")</f>
        <v>0</v>
      </c>
      <c r="AF33" s="33">
        <f>COUNTIFS('來案暨出貨明細表-基因檢測(201904起'!$P:$P,$A33&amp;"*",'來案暨出貨明細表-基因檢測(201904起'!$B:$B,AF$1)*$B33+COUNTIFS('來案暨出貨明細表-基因檢測(201904起'!$P:$P,$A33&amp;"*",'來案暨出貨明細表-基因檢測(201904起'!$B:$B,AF$1,'來案暨出貨明細表-基因檢測(201904起'!$Q:$Q,"紙本&amp;電子")++COUNTIFS('來案暨出貨明細表-基因檢測(201904起'!$P:$P,$A33&amp;"*",'來案暨出貨明細表-基因檢測(201904起'!$B:$B,AF$1,'來案暨出貨明細表-基因檢測(201904起'!$R:$R,"中英")</f>
        <v>0</v>
      </c>
      <c r="AG33" s="33">
        <f>COUNTIFS('來案暨出貨明細表-基因檢測(201904起'!$P:$P,$A33&amp;"*",'來案暨出貨明細表-基因檢測(201904起'!$B:$B,AG$1)*$B33+COUNTIFS('來案暨出貨明細表-基因檢測(201904起'!$P:$P,$A33&amp;"*",'來案暨出貨明細表-基因檢測(201904起'!$B:$B,AG$1,'來案暨出貨明細表-基因檢測(201904起'!$Q:$Q,"紙本&amp;電子")++COUNTIFS('來案暨出貨明細表-基因檢測(201904起'!$P:$P,$A33&amp;"*",'來案暨出貨明細表-基因檢測(201904起'!$B:$B,AG$1,'來案暨出貨明細表-基因檢測(201904起'!$R:$R,"中英")</f>
        <v>0</v>
      </c>
      <c r="AH33" s="33">
        <f>COUNTIFS('來案暨出貨明細表-基因檢測(201904起'!$P:$P,$A33&amp;"*",'來案暨出貨明細表-基因檢測(201904起'!$B:$B,AH$1)*$B33+COUNTIFS('來案暨出貨明細表-基因檢測(201904起'!$P:$P,$A33&amp;"*",'來案暨出貨明細表-基因檢測(201904起'!$B:$B,AH$1,'來案暨出貨明細表-基因檢測(201904起'!$Q:$Q,"紙本&amp;電子")++COUNTIFS('來案暨出貨明細表-基因檢測(201904起'!$P:$P,$A33&amp;"*",'來案暨出貨明細表-基因檢測(201904起'!$B:$B,AH$1,'來案暨出貨明細表-基因檢測(201904起'!$R:$R,"中英")</f>
        <v>0</v>
      </c>
      <c r="AI33" s="33">
        <f>COUNTIFS('來案暨出貨明細表-基因檢測(201904起'!$P:$P,$A33&amp;"*",'來案暨出貨明細表-基因檢測(201904起'!$B:$B,AI$1)*$B33+COUNTIFS('來案暨出貨明細表-基因檢測(201904起'!$P:$P,$A33&amp;"*",'來案暨出貨明細表-基因檢測(201904起'!$B:$B,AI$1,'來案暨出貨明細表-基因檢測(201904起'!$Q:$Q,"紙本&amp;電子")++COUNTIFS('來案暨出貨明細表-基因檢測(201904起'!$P:$P,$A33&amp;"*",'來案暨出貨明細表-基因檢測(201904起'!$B:$B,AI$1,'來案暨出貨明細表-基因檢測(201904起'!$R:$R,"中英")</f>
        <v>0</v>
      </c>
      <c r="AJ33" s="33">
        <f>COUNTIFS('來案暨出貨明細表-基因檢測(201904起'!$P:$P,$A33&amp;"*",'來案暨出貨明細表-基因檢測(201904起'!$B:$B,AJ$1)*$B33+COUNTIFS('來案暨出貨明細表-基因檢測(201904起'!$P:$P,$A33&amp;"*",'來案暨出貨明細表-基因檢測(201904起'!$B:$B,AJ$1,'來案暨出貨明細表-基因檢測(201904起'!$Q:$Q,"紙本&amp;電子")++COUNTIFS('來案暨出貨明細表-基因檢測(201904起'!$P:$P,$A33&amp;"*",'來案暨出貨明細表-基因檢測(201904起'!$B:$B,AJ$1,'來案暨出貨明細表-基因檢測(201904起'!$R:$R,"中英")</f>
        <v>0</v>
      </c>
      <c r="AK33" s="33">
        <f>COUNTIFS('來案暨出貨明細表-基因檢測(201904起'!$P:$P,$A33&amp;"*",'來案暨出貨明細表-基因檢測(201904起'!$B:$B,AK$1)*$B33+COUNTIFS('來案暨出貨明細表-基因檢測(201904起'!$P:$P,$A33&amp;"*",'來案暨出貨明細表-基因檢測(201904起'!$B:$B,AK$1,'來案暨出貨明細表-基因檢測(201904起'!$Q:$Q,"紙本&amp;電子")++COUNTIFS('來案暨出貨明細表-基因檢測(201904起'!$P:$P,$A33&amp;"*",'來案暨出貨明細表-基因檢測(201904起'!$B:$B,AK$1,'來案暨出貨明細表-基因檢測(201904起'!$R:$R,"中英")</f>
        <v>0</v>
      </c>
      <c r="AL33" s="33">
        <f>COUNTIFS('來案暨出貨明細表-基因檢測(201904起'!$P:$P,$A33&amp;"*",'來案暨出貨明細表-基因檢測(201904起'!$B:$B,AL$1)*$B33+COUNTIFS('來案暨出貨明細表-基因檢測(201904起'!$P:$P,$A33&amp;"*",'來案暨出貨明細表-基因檢測(201904起'!$B:$B,AL$1,'來案暨出貨明細表-基因檢測(201904起'!$Q:$Q,"紙本&amp;電子")++COUNTIFS('來案暨出貨明細表-基因檢測(201904起'!$P:$P,$A33&amp;"*",'來案暨出貨明細表-基因檢測(201904起'!$B:$B,AL$1,'來案暨出貨明細表-基因檢測(201904起'!$R:$R,"中英")</f>
        <v>0</v>
      </c>
      <c r="AM33" s="33">
        <f>COUNTIFS('來案暨出貨明細表-基因檢測(201904起'!$P:$P,$A33&amp;"*",'來案暨出貨明細表-基因檢測(201904起'!$B:$B,AM$1)*$B33+COUNTIFS('來案暨出貨明細表-基因檢測(201904起'!$P:$P,$A33&amp;"*",'來案暨出貨明細表-基因檢測(201904起'!$B:$B,AM$1,'來案暨出貨明細表-基因檢測(201904起'!$Q:$Q,"紙本&amp;電子")++COUNTIFS('來案暨出貨明細表-基因檢測(201904起'!$P:$P,$A33&amp;"*",'來案暨出貨明細表-基因檢測(201904起'!$B:$B,AM$1,'來案暨出貨明細表-基因檢測(201904起'!$R:$R,"中英")</f>
        <v>0</v>
      </c>
      <c r="AN33" s="33">
        <f>COUNTIFS('來案暨出貨明細表-基因檢測(201904起'!$P:$P,$A33&amp;"*",'來案暨出貨明細表-基因檢測(201904起'!$B:$B,AN$1)*$B33+COUNTIFS('來案暨出貨明細表-基因檢測(201904起'!$P:$P,$A33&amp;"*",'來案暨出貨明細表-基因檢測(201904起'!$B:$B,AN$1,'來案暨出貨明細表-基因檢測(201904起'!$Q:$Q,"紙本&amp;電子")++COUNTIFS('來案暨出貨明細表-基因檢測(201904起'!$P:$P,$A33&amp;"*",'來案暨出貨明細表-基因檢測(201904起'!$B:$B,AN$1,'來案暨出貨明細表-基因檢測(201904起'!$R:$R,"中英")</f>
        <v>0</v>
      </c>
      <c r="AO33" s="33">
        <f>COUNTIFS('來案暨出貨明細表-基因檢測(201904起'!$P:$P,$A33&amp;"*",'來案暨出貨明細表-基因檢測(201904起'!$B:$B,AO$1)*$B33+COUNTIFS('來案暨出貨明細表-基因檢測(201904起'!$P:$P,$A33&amp;"*",'來案暨出貨明細表-基因檢測(201904起'!$B:$B,AO$1,'來案暨出貨明細表-基因檢測(201904起'!$Q:$Q,"紙本&amp;電子")++COUNTIFS('來案暨出貨明細表-基因檢測(201904起'!$P:$P,$A33&amp;"*",'來案暨出貨明細表-基因檢測(201904起'!$B:$B,AO$1,'來案暨出貨明細表-基因檢測(201904起'!$R:$R,"中英")</f>
        <v>0</v>
      </c>
      <c r="AP33" s="33">
        <f>COUNTIFS('來案暨出貨明細表-基因檢測(201904起'!$P:$P,$A33&amp;"*",'來案暨出貨明細表-基因檢測(201904起'!$B:$B,AP$1)*$B33+COUNTIFS('來案暨出貨明細表-基因檢測(201904起'!$P:$P,$A33&amp;"*",'來案暨出貨明細表-基因檢測(201904起'!$B:$B,AP$1,'來案暨出貨明細表-基因檢測(201904起'!$Q:$Q,"紙本&amp;電子")++COUNTIFS('來案暨出貨明細表-基因檢測(201904起'!$P:$P,$A33&amp;"*",'來案暨出貨明細表-基因檢測(201904起'!$B:$B,AP$1,'來案暨出貨明細表-基因檢測(201904起'!$R:$R,"中英")</f>
        <v>0</v>
      </c>
      <c r="AQ33" s="33">
        <f>COUNTIFS('來案暨出貨明細表-基因檢測(201904起'!$P:$P,$A33&amp;"*",'來案暨出貨明細表-基因檢測(201904起'!$B:$B,AQ$1)*$B33+COUNTIFS('來案暨出貨明細表-基因檢測(201904起'!$P:$P,$A33&amp;"*",'來案暨出貨明細表-基因檢測(201904起'!$B:$B,AQ$1,'來案暨出貨明細表-基因檢測(201904起'!$Q:$Q,"紙本&amp;電子")++COUNTIFS('來案暨出貨明細表-基因檢測(201904起'!$P:$P,$A33&amp;"*",'來案暨出貨明細表-基因檢測(201904起'!$B:$B,AQ$1,'來案暨出貨明細表-基因檢測(201904起'!$R:$R,"中英")</f>
        <v>0</v>
      </c>
      <c r="AR33" s="33">
        <f>COUNTIFS('來案暨出貨明細表-基因檢測(201904起'!$P:$P,$A33&amp;"*",'來案暨出貨明細表-基因檢測(201904起'!$B:$B,AR$1)*$B33+COUNTIFS('來案暨出貨明細表-基因檢測(201904起'!$P:$P,$A33&amp;"*",'來案暨出貨明細表-基因檢測(201904起'!$B:$B,AR$1,'來案暨出貨明細表-基因檢測(201904起'!$Q:$Q,"紙本&amp;電子")++COUNTIFS('來案暨出貨明細表-基因檢測(201904起'!$P:$P,$A33&amp;"*",'來案暨出貨明細表-基因檢測(201904起'!$B:$B,AR$1,'來案暨出貨明細表-基因檢測(201904起'!$R:$R,"中英")</f>
        <v>0</v>
      </c>
      <c r="AS33" s="33">
        <f>COUNTIFS('來案暨出貨明細表-基因檢測(201904起'!$P:$P,$A33&amp;"*",'來案暨出貨明細表-基因檢測(201904起'!$B:$B,AS$1)*$B33+COUNTIFS('來案暨出貨明細表-基因檢測(201904起'!$P:$P,$A33&amp;"*",'來案暨出貨明細表-基因檢測(201904起'!$B:$B,AS$1,'來案暨出貨明細表-基因檢測(201904起'!$Q:$Q,"紙本&amp;電子")++COUNTIFS('來案暨出貨明細表-基因檢測(201904起'!$P:$P,$A33&amp;"*",'來案暨出貨明細表-基因檢測(201904起'!$B:$B,AS$1,'來案暨出貨明細表-基因檢測(201904起'!$R:$R,"中英")</f>
        <v>0</v>
      </c>
      <c r="AT33" s="33">
        <f>COUNTIFS('來案暨出貨明細表-基因檢測(201904起'!$P:$P,$A33&amp;"*",'來案暨出貨明細表-基因檢測(201904起'!$B:$B,AT$1)*$B33+COUNTIFS('來案暨出貨明細表-基因檢測(201904起'!$P:$P,$A33&amp;"*",'來案暨出貨明細表-基因檢測(201904起'!$B:$B,AT$1,'來案暨出貨明細表-基因檢測(201904起'!$Q:$Q,"紙本&amp;電子")++COUNTIFS('來案暨出貨明細表-基因檢測(201904起'!$P:$P,$A33&amp;"*",'來案暨出貨明細表-基因檢測(201904起'!$B:$B,AT$1,'來案暨出貨明細表-基因檢測(201904起'!$R:$R,"中英")</f>
        <v>0</v>
      </c>
      <c r="AU33" s="33">
        <f>COUNTIFS('來案暨出貨明細表-基因檢測(201904起'!$P:$P,$A33&amp;"*",'來案暨出貨明細表-基因檢測(201904起'!$B:$B,AU$1)*$B33+COUNTIFS('來案暨出貨明細表-基因檢測(201904起'!$P:$P,$A33&amp;"*",'來案暨出貨明細表-基因檢測(201904起'!$B:$B,AU$1,'來案暨出貨明細表-基因檢測(201904起'!$Q:$Q,"紙本&amp;電子")++COUNTIFS('來案暨出貨明細表-基因檢測(201904起'!$P:$P,$A33&amp;"*",'來案暨出貨明細表-基因檢測(201904起'!$B:$B,AU$1,'來案暨出貨明細表-基因檢測(201904起'!$R:$R,"中英")</f>
        <v>0</v>
      </c>
      <c r="AV33" s="33">
        <f>COUNTIFS('來案暨出貨明細表-基因檢測(201904起'!$P:$P,$A33&amp;"*",'來案暨出貨明細表-基因檢測(201904起'!$B:$B,AV$1)*$B33+COUNTIFS('來案暨出貨明細表-基因檢測(201904起'!$P:$P,$A33&amp;"*",'來案暨出貨明細表-基因檢測(201904起'!$B:$B,AV$1,'來案暨出貨明細表-基因檢測(201904起'!$Q:$Q,"紙本&amp;電子")++COUNTIFS('來案暨出貨明細表-基因檢測(201904起'!$P:$P,$A33&amp;"*",'來案暨出貨明細表-基因檢測(201904起'!$B:$B,AV$1,'來案暨出貨明細表-基因檢測(201904起'!$R:$R,"中英")</f>
        <v>0</v>
      </c>
      <c r="AW33" s="33">
        <f>COUNTIFS('來案暨出貨明細表-基因檢測(201904起'!$P:$P,$A33&amp;"*",'來案暨出貨明細表-基因檢測(201904起'!$B:$B,AW$1)*$B33+COUNTIFS('來案暨出貨明細表-基因檢測(201904起'!$P:$P,$A33&amp;"*",'來案暨出貨明細表-基因檢測(201904起'!$B:$B,AW$1,'來案暨出貨明細表-基因檢測(201904起'!$Q:$Q,"紙本&amp;電子")++COUNTIFS('來案暨出貨明細表-基因檢測(201904起'!$P:$P,$A33&amp;"*",'來案暨出貨明細表-基因檢測(201904起'!$B:$B,AW$1,'來案暨出貨明細表-基因檢測(201904起'!$R:$R,"中英")</f>
        <v>0</v>
      </c>
      <c r="AX33" s="33">
        <f>COUNTIFS('來案暨出貨明細表-基因檢測(201904起'!$P:$P,$A33&amp;"*",'來案暨出貨明細表-基因檢測(201904起'!$B:$B,AX$1)*$B33+COUNTIFS('來案暨出貨明細表-基因檢測(201904起'!$P:$P,$A33&amp;"*",'來案暨出貨明細表-基因檢測(201904起'!$B:$B,AX$1,'來案暨出貨明細表-基因檢測(201904起'!$Q:$Q,"紙本&amp;電子")++COUNTIFS('來案暨出貨明細表-基因檢測(201904起'!$P:$P,$A33&amp;"*",'來案暨出貨明細表-基因檢測(201904起'!$B:$B,AX$1,'來案暨出貨明細表-基因檢測(201904起'!$R:$R,"中英")</f>
        <v>0</v>
      </c>
      <c r="AY33" s="33">
        <f>COUNTIFS('來案暨出貨明細表-基因檢測(201904起'!$P:$P,$A33&amp;"*",'來案暨出貨明細表-基因檢測(201904起'!$B:$B,AY$1)*$B33+COUNTIFS('來案暨出貨明細表-基因檢測(201904起'!$P:$P,$A33&amp;"*",'來案暨出貨明細表-基因檢測(201904起'!$B:$B,AY$1,'來案暨出貨明細表-基因檢測(201904起'!$Q:$Q,"紙本&amp;電子")++COUNTIFS('來案暨出貨明細表-基因檢測(201904起'!$P:$P,$A33&amp;"*",'來案暨出貨明細表-基因檢測(201904起'!$B:$B,AY$1,'來案暨出貨明細表-基因檢測(201904起'!$R:$R,"中英")</f>
        <v>0</v>
      </c>
      <c r="AZ33" s="33">
        <f>COUNTIFS('來案暨出貨明細表-基因檢測(201904起'!$P:$P,$A33&amp;"*",'來案暨出貨明細表-基因檢測(201904起'!$B:$B,AZ$1)*$B33+COUNTIFS('來案暨出貨明細表-基因檢測(201904起'!$P:$P,$A33&amp;"*",'來案暨出貨明細表-基因檢測(201904起'!$B:$B,AZ$1,'來案暨出貨明細表-基因檢測(201904起'!$Q:$Q,"紙本&amp;電子")++COUNTIFS('來案暨出貨明細表-基因檢測(201904起'!$P:$P,$A33&amp;"*",'來案暨出貨明細表-基因檢測(201904起'!$B:$B,AZ$1,'來案暨出貨明細表-基因檢測(201904起'!$R:$R,"中英")</f>
        <v>0</v>
      </c>
      <c r="BA33" s="33">
        <f>COUNTIFS('來案暨出貨明細表-基因檢測(201904起'!$P:$P,$A33&amp;"*",'來案暨出貨明細表-基因檢測(201904起'!$B:$B,BA$1)*$B33+COUNTIFS('來案暨出貨明細表-基因檢測(201904起'!$P:$P,$A33&amp;"*",'來案暨出貨明細表-基因檢測(201904起'!$B:$B,BA$1,'來案暨出貨明細表-基因檢測(201904起'!$Q:$Q,"紙本&amp;電子")++COUNTIFS('來案暨出貨明細表-基因檢測(201904起'!$P:$P,$A33&amp;"*",'來案暨出貨明細表-基因檢測(201904起'!$B:$B,BA$1,'來案暨出貨明細表-基因檢測(201904起'!$R:$R,"中英")</f>
        <v>0</v>
      </c>
      <c r="BB33" s="33">
        <f>COUNTIFS('來案暨出貨明細表-基因檢測(201904起'!$P:$P,$A33&amp;"*",'來案暨出貨明細表-基因檢測(201904起'!$B:$B,BB$1)*$B33+COUNTIFS('來案暨出貨明細表-基因檢測(201904起'!$P:$P,$A33&amp;"*",'來案暨出貨明細表-基因檢測(201904起'!$B:$B,BB$1,'來案暨出貨明細表-基因檢測(201904起'!$Q:$Q,"紙本&amp;電子")++COUNTIFS('來案暨出貨明細表-基因檢測(201904起'!$P:$P,$A33&amp;"*",'來案暨出貨明細表-基因檢測(201904起'!$B:$B,BB$1,'來案暨出貨明細表-基因檢測(201904起'!$R:$R,"中英")</f>
        <v>0</v>
      </c>
      <c r="BC33" s="33">
        <f>COUNTIFS('來案暨出貨明細表-基因檢測(201904起'!$P:$P,$A33&amp;"*",'來案暨出貨明細表-基因檢測(201904起'!$B:$B,BC$1)*$B33+COUNTIFS('來案暨出貨明細表-基因檢測(201904起'!$P:$P,$A33&amp;"*",'來案暨出貨明細表-基因檢測(201904起'!$B:$B,BC$1,'來案暨出貨明細表-基因檢測(201904起'!$Q:$Q,"紙本&amp;電子")++COUNTIFS('來案暨出貨明細表-基因檢測(201904起'!$P:$P,$A33&amp;"*",'來案暨出貨明細表-基因檢測(201904起'!$B:$B,BC$1,'來案暨出貨明細表-基因檢測(201904起'!$R:$R,"中英")</f>
        <v>0</v>
      </c>
      <c r="BD33" s="33">
        <f>COUNTIFS('來案暨出貨明細表-基因檢測(201904起'!$P:$P,$A33&amp;"*",'來案暨出貨明細表-基因檢測(201904起'!$B:$B,BD$1)*$B33+COUNTIFS('來案暨出貨明細表-基因檢測(201904起'!$P:$P,$A33&amp;"*",'來案暨出貨明細表-基因檢測(201904起'!$B:$B,BD$1,'來案暨出貨明細表-基因檢測(201904起'!$Q:$Q,"紙本&amp;電子")++COUNTIFS('來案暨出貨明細表-基因檢測(201904起'!$P:$P,$A33&amp;"*",'來案暨出貨明細表-基因檢測(201904起'!$B:$B,BD$1,'來案暨出貨明細表-基因檢測(201904起'!$R:$R,"中英")</f>
        <v>0</v>
      </c>
      <c r="BE33" s="33">
        <f>COUNTIFS('來案暨出貨明細表-基因檢測(201904起'!$P:$P,$A33&amp;"*",'來案暨出貨明細表-基因檢測(201904起'!$B:$B,BE$1)*$B33+COUNTIFS('來案暨出貨明細表-基因檢測(201904起'!$P:$P,$A33&amp;"*",'來案暨出貨明細表-基因檢測(201904起'!$B:$B,BE$1,'來案暨出貨明細表-基因檢測(201904起'!$Q:$Q,"紙本&amp;電子")++COUNTIFS('來案暨出貨明細表-基因檢測(201904起'!$P:$P,$A33&amp;"*",'來案暨出貨明細表-基因檢測(201904起'!$B:$B,BE$1,'來案暨出貨明細表-基因檢測(201904起'!$R:$R,"中英")</f>
        <v>0</v>
      </c>
      <c r="BF33" s="33">
        <f>COUNTIFS('來案暨出貨明細表-基因檢測(201904起'!$P:$P,$A33&amp;"*",'來案暨出貨明細表-基因檢測(201904起'!$B:$B,BF$1)*$B33+COUNTIFS('來案暨出貨明細表-基因檢測(201904起'!$P:$P,$A33&amp;"*",'來案暨出貨明細表-基因檢測(201904起'!$B:$B,BF$1,'來案暨出貨明細表-基因檢測(201904起'!$Q:$Q,"紙本&amp;電子")++COUNTIFS('來案暨出貨明細表-基因檢測(201904起'!$P:$P,$A33&amp;"*",'來案暨出貨明細表-基因檢測(201904起'!$B:$B,BF$1,'來案暨出貨明細表-基因檢測(201904起'!$R:$R,"中英")</f>
        <v>0</v>
      </c>
      <c r="BG33" s="33">
        <f>COUNTIFS('來案暨出貨明細表-基因檢測(201904起'!$P:$P,$A33&amp;"*",'來案暨出貨明細表-基因檢測(201904起'!$B:$B,BG$1)*$B33+COUNTIFS('來案暨出貨明細表-基因檢測(201904起'!$P:$P,$A33&amp;"*",'來案暨出貨明細表-基因檢測(201904起'!$B:$B,BG$1,'來案暨出貨明細表-基因檢測(201904起'!$Q:$Q,"紙本&amp;電子")++COUNTIFS('來案暨出貨明細表-基因檢測(201904起'!$P:$P,$A33&amp;"*",'來案暨出貨明細表-基因檢測(201904起'!$B:$B,BG$1,'來案暨出貨明細表-基因檢測(201904起'!$R:$R,"中英")</f>
        <v>0</v>
      </c>
      <c r="BH33" s="33">
        <f>COUNTIFS('來案暨出貨明細表-基因檢測(201904起'!$P:$P,$A33&amp;"*",'來案暨出貨明細表-基因檢測(201904起'!$B:$B,BH$1)*$B33+COUNTIFS('來案暨出貨明細表-基因檢測(201904起'!$P:$P,$A33&amp;"*",'來案暨出貨明細表-基因檢測(201904起'!$B:$B,BH$1,'來案暨出貨明細表-基因檢測(201904起'!$Q:$Q,"紙本&amp;電子")++COUNTIFS('來案暨出貨明細表-基因檢測(201904起'!$P:$P,$A33&amp;"*",'來案暨出貨明細表-基因檢測(201904起'!$B:$B,BH$1,'來案暨出貨明細表-基因檢測(201904起'!$R:$R,"中英")</f>
        <v>0</v>
      </c>
      <c r="BI33" s="33">
        <f>COUNTIFS('來案暨出貨明細表-基因檢測(201904起'!$P:$P,$A33&amp;"*",'來案暨出貨明細表-基因檢測(201904起'!$B:$B,BI$1)*$B33+COUNTIFS('來案暨出貨明細表-基因檢測(201904起'!$P:$P,$A33&amp;"*",'來案暨出貨明細表-基因檢測(201904起'!$B:$B,BI$1,'來案暨出貨明細表-基因檢測(201904起'!$Q:$Q,"紙本&amp;電子")++COUNTIFS('來案暨出貨明細表-基因檢測(201904起'!$P:$P,$A33&amp;"*",'來案暨出貨明細表-基因檢測(201904起'!$B:$B,BI$1,'來案暨出貨明細表-基因檢測(201904起'!$R:$R,"中英")</f>
        <v>0</v>
      </c>
      <c r="BJ33" s="33">
        <f>COUNTIFS('來案暨出貨明細表-基因檢測(201904起'!$P:$P,$A33&amp;"*",'來案暨出貨明細表-基因檢測(201904起'!$B:$B,BJ$1)*$B33+COUNTIFS('來案暨出貨明細表-基因檢測(201904起'!$P:$P,$A33&amp;"*",'來案暨出貨明細表-基因檢測(201904起'!$B:$B,BJ$1,'來案暨出貨明細表-基因檢測(201904起'!$Q:$Q,"紙本&amp;電子")++COUNTIFS('來案暨出貨明細表-基因檢測(201904起'!$P:$P,$A33&amp;"*",'來案暨出貨明細表-基因檢測(201904起'!$B:$B,BJ$1,'來案暨出貨明細表-基因檢測(201904起'!$R:$R,"中英")</f>
        <v>0</v>
      </c>
      <c r="BK33" s="33">
        <f>COUNTIFS('來案暨出貨明細表-基因檢測(201904起'!$P:$P,$A33&amp;"*",'來案暨出貨明細表-基因檢測(201904起'!$B:$B,BK$1)*$B33+COUNTIFS('來案暨出貨明細表-基因檢測(201904起'!$P:$P,$A33&amp;"*",'來案暨出貨明細表-基因檢測(201904起'!$B:$B,BK$1,'來案暨出貨明細表-基因檢測(201904起'!$Q:$Q,"紙本&amp;電子")++COUNTIFS('來案暨出貨明細表-基因檢測(201904起'!$P:$P,$A33&amp;"*",'來案暨出貨明細表-基因檢測(201904起'!$B:$B,BK$1,'來案暨出貨明細表-基因檢測(201904起'!$R:$R,"中英")</f>
        <v>0</v>
      </c>
      <c r="BL33" s="33">
        <f>COUNTIFS('來案暨出貨明細表-基因檢測(201904起'!$P:$P,$A33&amp;"*",'來案暨出貨明細表-基因檢測(201904起'!$B:$B,BL$1)*$B33+COUNTIFS('來案暨出貨明細表-基因檢測(201904起'!$P:$P,$A33&amp;"*",'來案暨出貨明細表-基因檢測(201904起'!$B:$B,BL$1,'來案暨出貨明細表-基因檢測(201904起'!$Q:$Q,"紙本&amp;電子")++COUNTIFS('來案暨出貨明細表-基因檢測(201904起'!$P:$P,$A33&amp;"*",'來案暨出貨明細表-基因檢測(201904起'!$B:$B,BL$1,'來案暨出貨明細表-基因檢測(201904起'!$R:$R,"中英")</f>
        <v>0</v>
      </c>
      <c r="BM33" s="33">
        <f>COUNTIFS('來案暨出貨明細表-基因檢測(201904起'!$P:$P,$A33&amp;"*",'來案暨出貨明細表-基因檢測(201904起'!$B:$B,BM$1)*$B33+COUNTIFS('來案暨出貨明細表-基因檢測(201904起'!$P:$P,$A33&amp;"*",'來案暨出貨明細表-基因檢測(201904起'!$B:$B,BM$1,'來案暨出貨明細表-基因檢測(201904起'!$Q:$Q,"紙本&amp;電子")++COUNTIFS('來案暨出貨明細表-基因檢測(201904起'!$P:$P,$A33&amp;"*",'來案暨出貨明細表-基因檢測(201904起'!$B:$B,BM$1,'來案暨出貨明細表-基因檢測(201904起'!$R:$R,"中英")</f>
        <v>0</v>
      </c>
    </row>
    <row r="34" spans="1:65" ht="15" customHeight="1">
      <c r="A34" s="9" t="s">
        <v>4562</v>
      </c>
      <c r="B34" s="9">
        <v>1</v>
      </c>
      <c r="C34" s="13" t="s">
        <v>4563</v>
      </c>
      <c r="D34" s="142" t="s">
        <v>4564</v>
      </c>
      <c r="E34" s="33">
        <f>COUNTIFS('來案暨出貨明細表-基因檢測(201904起'!$P:$P,$A34&amp;"*",'來案暨出貨明細表-基因檢測(201904起'!$B:$B,E$1)*$B34+COUNTIFS('來案暨出貨明細表-基因檢測(201904起'!$P:$P,$A34&amp;"*",'來案暨出貨明細表-基因檢測(201904起'!$B:$B,E$1,'來案暨出貨明細表-基因檢測(201904起'!$Q:$Q,"紙本&amp;電子")++COUNTIFS('來案暨出貨明細表-基因檢測(201904起'!$P:$P,$A34&amp;"*",'來案暨出貨明細表-基因檢測(201904起'!$B:$B,E$1,'來案暨出貨明細表-基因檢測(201904起'!$R:$R,"中英")</f>
        <v>0</v>
      </c>
      <c r="F34" s="33">
        <f>COUNTIFS('來案暨出貨明細表-基因檢測(201904起'!$P:$P,$A34&amp;"*",'來案暨出貨明細表-基因檢測(201904起'!$B:$B,F$1)*$B34+COUNTIFS('來案暨出貨明細表-基因檢測(201904起'!$P:$P,$A34&amp;"*",'來案暨出貨明細表-基因檢測(201904起'!$B:$B,F$1,'來案暨出貨明細表-基因檢測(201904起'!$Q:$Q,"紙本&amp;電子")++COUNTIFS('來案暨出貨明細表-基因檢測(201904起'!$P:$P,$A34&amp;"*",'來案暨出貨明細表-基因檢測(201904起'!$B:$B,F$1,'來案暨出貨明細表-基因檢測(201904起'!$R:$R,"中英")</f>
        <v>0</v>
      </c>
      <c r="G34" s="33">
        <f>COUNTIFS('來案暨出貨明細表-基因檢測(201904起'!$P:$P,$A34&amp;"*",'來案暨出貨明細表-基因檢測(201904起'!$B:$B,G$1)*$B34+COUNTIFS('來案暨出貨明細表-基因檢測(201904起'!$P:$P,$A34&amp;"*",'來案暨出貨明細表-基因檢測(201904起'!$B:$B,G$1,'來案暨出貨明細表-基因檢測(201904起'!$Q:$Q,"紙本&amp;電子")++COUNTIFS('來案暨出貨明細表-基因檢測(201904起'!$P:$P,$A34&amp;"*",'來案暨出貨明細表-基因檢測(201904起'!$B:$B,G$1,'來案暨出貨明細表-基因檢測(201904起'!$R:$R,"中英")</f>
        <v>0</v>
      </c>
      <c r="H34" s="33">
        <f>COUNTIFS('來案暨出貨明細表-基因檢測(201904起'!$P:$P,$A34&amp;"*",'來案暨出貨明細表-基因檢測(201904起'!$B:$B,H$1)*$B34+COUNTIFS('來案暨出貨明細表-基因檢測(201904起'!$P:$P,$A34&amp;"*",'來案暨出貨明細表-基因檢測(201904起'!$B:$B,H$1,'來案暨出貨明細表-基因檢測(201904起'!$Q:$Q,"紙本&amp;電子")++COUNTIFS('來案暨出貨明細表-基因檢測(201904起'!$P:$P,$A34&amp;"*",'來案暨出貨明細表-基因檢測(201904起'!$B:$B,H$1,'來案暨出貨明細表-基因檢測(201904起'!$R:$R,"中英")</f>
        <v>0</v>
      </c>
      <c r="I34" s="33">
        <f>COUNTIFS('來案暨出貨明細表-基因檢測(201904起'!$P:$P,$A34&amp;"*",'來案暨出貨明細表-基因檢測(201904起'!$B:$B,I$1)*$B34+COUNTIFS('來案暨出貨明細表-基因檢測(201904起'!$P:$P,$A34&amp;"*",'來案暨出貨明細表-基因檢測(201904起'!$B:$B,I$1,'來案暨出貨明細表-基因檢測(201904起'!$Q:$Q,"紙本&amp;電子")++COUNTIFS('來案暨出貨明細表-基因檢測(201904起'!$P:$P,$A34&amp;"*",'來案暨出貨明細表-基因檢測(201904起'!$B:$B,I$1,'來案暨出貨明細表-基因檢測(201904起'!$R:$R,"中英")</f>
        <v>0</v>
      </c>
      <c r="J34" s="33">
        <f>COUNTIFS('來案暨出貨明細表-基因檢測(201904起'!$P:$P,$A34&amp;"*",'來案暨出貨明細表-基因檢測(201904起'!$B:$B,J$1)*$B34+COUNTIFS('來案暨出貨明細表-基因檢測(201904起'!$P:$P,$A34&amp;"*",'來案暨出貨明細表-基因檢測(201904起'!$B:$B,J$1,'來案暨出貨明細表-基因檢測(201904起'!$Q:$Q,"紙本&amp;電子")++COUNTIFS('來案暨出貨明細表-基因檢測(201904起'!$P:$P,$A34&amp;"*",'來案暨出貨明細表-基因檢測(201904起'!$B:$B,J$1,'來案暨出貨明細表-基因檢測(201904起'!$R:$R,"中英")</f>
        <v>0</v>
      </c>
      <c r="K34" s="33">
        <f>COUNTIFS('來案暨出貨明細表-基因檢測(201904起'!$P:$P,$A34&amp;"*",'來案暨出貨明細表-基因檢測(201904起'!$B:$B,K$1)*$B34+COUNTIFS('來案暨出貨明細表-基因檢測(201904起'!$P:$P,$A34&amp;"*",'來案暨出貨明細表-基因檢測(201904起'!$B:$B,K$1,'來案暨出貨明細表-基因檢測(201904起'!$Q:$Q,"紙本&amp;電子")++COUNTIFS('來案暨出貨明細表-基因檢測(201904起'!$P:$P,$A34&amp;"*",'來案暨出貨明細表-基因檢測(201904起'!$B:$B,K$1,'來案暨出貨明細表-基因檢測(201904起'!$R:$R,"中英")</f>
        <v>0</v>
      </c>
      <c r="L34" s="33">
        <f>COUNTIFS('來案暨出貨明細表-基因檢測(201904起'!$P:$P,$A34&amp;"*",'來案暨出貨明細表-基因檢測(201904起'!$B:$B,L$1)*$B34+COUNTIFS('來案暨出貨明細表-基因檢測(201904起'!$P:$P,$A34&amp;"*",'來案暨出貨明細表-基因檢測(201904起'!$B:$B,L$1,'來案暨出貨明細表-基因檢測(201904起'!$Q:$Q,"紙本&amp;電子")++COUNTIFS('來案暨出貨明細表-基因檢測(201904起'!$P:$P,$A34&amp;"*",'來案暨出貨明細表-基因檢測(201904起'!$B:$B,L$1,'來案暨出貨明細表-基因檢測(201904起'!$R:$R,"中英")</f>
        <v>0</v>
      </c>
      <c r="M34" s="33">
        <f>COUNTIFS('來案暨出貨明細表-基因檢測(201904起'!$P:$P,$A34&amp;"*",'來案暨出貨明細表-基因檢測(201904起'!$B:$B,M$1)*$B34+COUNTIFS('來案暨出貨明細表-基因檢測(201904起'!$P:$P,$A34&amp;"*",'來案暨出貨明細表-基因檢測(201904起'!$B:$B,M$1,'來案暨出貨明細表-基因檢測(201904起'!$Q:$Q,"紙本&amp;電子")++COUNTIFS('來案暨出貨明細表-基因檢測(201904起'!$P:$P,$A34&amp;"*",'來案暨出貨明細表-基因檢測(201904起'!$B:$B,M$1,'來案暨出貨明細表-基因檢測(201904起'!$R:$R,"中英")</f>
        <v>0</v>
      </c>
      <c r="N34" s="33">
        <f>COUNTIFS('來案暨出貨明細表-基因檢測(201904起'!$P:$P,$A34&amp;"*",'來案暨出貨明細表-基因檢測(201904起'!$B:$B,N$1)*$B34+COUNTIFS('來案暨出貨明細表-基因檢測(201904起'!$P:$P,$A34&amp;"*",'來案暨出貨明細表-基因檢測(201904起'!$B:$B,N$1,'來案暨出貨明細表-基因檢測(201904起'!$Q:$Q,"紙本&amp;電子")++COUNTIFS('來案暨出貨明細表-基因檢測(201904起'!$P:$P,$A34&amp;"*",'來案暨出貨明細表-基因檢測(201904起'!$B:$B,N$1,'來案暨出貨明細表-基因檢測(201904起'!$R:$R,"中英")</f>
        <v>0</v>
      </c>
      <c r="O34" s="33">
        <f>COUNTIFS('來案暨出貨明細表-基因檢測(201904起'!$P:$P,$A34&amp;"*",'來案暨出貨明細表-基因檢測(201904起'!$B:$B,O$1)*$B34+COUNTIFS('來案暨出貨明細表-基因檢測(201904起'!$P:$P,$A34&amp;"*",'來案暨出貨明細表-基因檢測(201904起'!$B:$B,O$1,'來案暨出貨明細表-基因檢測(201904起'!$Q:$Q,"紙本&amp;電子")++COUNTIFS('來案暨出貨明細表-基因檢測(201904起'!$P:$P,$A34&amp;"*",'來案暨出貨明細表-基因檢測(201904起'!$B:$B,O$1,'來案暨出貨明細表-基因檢測(201904起'!$R:$R,"中英")</f>
        <v>0</v>
      </c>
      <c r="P34" s="33">
        <f>COUNTIFS('來案暨出貨明細表-基因檢測(201904起'!$P:$P,$A34&amp;"*",'來案暨出貨明細表-基因檢測(201904起'!$B:$B,P$1)*$B34+COUNTIFS('來案暨出貨明細表-基因檢測(201904起'!$P:$P,$A34&amp;"*",'來案暨出貨明細表-基因檢測(201904起'!$B:$B,P$1,'來案暨出貨明細表-基因檢測(201904起'!$Q:$Q,"紙本&amp;電子")++COUNTIFS('來案暨出貨明細表-基因檢測(201904起'!$P:$P,$A34&amp;"*",'來案暨出貨明細表-基因檢測(201904起'!$B:$B,P$1,'來案暨出貨明細表-基因檢測(201904起'!$R:$R,"中英")</f>
        <v>0</v>
      </c>
      <c r="Q34" s="33">
        <f>COUNTIFS('來案暨出貨明細表-基因檢測(201904起'!$P:$P,$A34&amp;"*",'來案暨出貨明細表-基因檢測(201904起'!$B:$B,Q$1)*$B34+COUNTIFS('來案暨出貨明細表-基因檢測(201904起'!$P:$P,$A34&amp;"*",'來案暨出貨明細表-基因檢測(201904起'!$B:$B,Q$1,'來案暨出貨明細表-基因檢測(201904起'!$Q:$Q,"紙本&amp;電子")++COUNTIFS('來案暨出貨明細表-基因檢測(201904起'!$P:$P,$A34&amp;"*",'來案暨出貨明細表-基因檢測(201904起'!$B:$B,Q$1,'來案暨出貨明細表-基因檢測(201904起'!$R:$R,"中英")</f>
        <v>0</v>
      </c>
      <c r="R34" s="33">
        <f>COUNTIFS('來案暨出貨明細表-基因檢測(201904起'!$P:$P,$A34&amp;"*",'來案暨出貨明細表-基因檢測(201904起'!$B:$B,R$1)*$B34+COUNTIFS('來案暨出貨明細表-基因檢測(201904起'!$P:$P,$A34&amp;"*",'來案暨出貨明細表-基因檢測(201904起'!$B:$B,R$1,'來案暨出貨明細表-基因檢測(201904起'!$Q:$Q,"紙本&amp;電子")++COUNTIFS('來案暨出貨明細表-基因檢測(201904起'!$P:$P,$A34&amp;"*",'來案暨出貨明細表-基因檢測(201904起'!$B:$B,R$1,'來案暨出貨明細表-基因檢測(201904起'!$R:$R,"中英")</f>
        <v>0</v>
      </c>
      <c r="S34" s="33">
        <f>COUNTIFS('來案暨出貨明細表-基因檢測(201904起'!$P:$P,$A34&amp;"*",'來案暨出貨明細表-基因檢測(201904起'!$B:$B,S$1)*$B34+COUNTIFS('來案暨出貨明細表-基因檢測(201904起'!$P:$P,$A34&amp;"*",'來案暨出貨明細表-基因檢測(201904起'!$B:$B,S$1,'來案暨出貨明細表-基因檢測(201904起'!$Q:$Q,"紙本&amp;電子")++COUNTIFS('來案暨出貨明細表-基因檢測(201904起'!$P:$P,$A34&amp;"*",'來案暨出貨明細表-基因檢測(201904起'!$B:$B,S$1,'來案暨出貨明細表-基因檢測(201904起'!$R:$R,"中英")</f>
        <v>0</v>
      </c>
      <c r="T34" s="33">
        <f>COUNTIFS('來案暨出貨明細表-基因檢測(201904起'!$P:$P,$A34&amp;"*",'來案暨出貨明細表-基因檢測(201904起'!$B:$B,T$1)*$B34+COUNTIFS('來案暨出貨明細表-基因檢測(201904起'!$P:$P,$A34&amp;"*",'來案暨出貨明細表-基因檢測(201904起'!$B:$B,T$1,'來案暨出貨明細表-基因檢測(201904起'!$Q:$Q,"紙本&amp;電子")++COUNTIFS('來案暨出貨明細表-基因檢測(201904起'!$P:$P,$A34&amp;"*",'來案暨出貨明細表-基因檢測(201904起'!$B:$B,T$1,'來案暨出貨明細表-基因檢測(201904起'!$R:$R,"中英")</f>
        <v>0</v>
      </c>
      <c r="U34" s="33">
        <f>COUNTIFS('來案暨出貨明細表-基因檢測(201904起'!$P:$P,$A34&amp;"*",'來案暨出貨明細表-基因檢測(201904起'!$B:$B,U$1)*$B34+COUNTIFS('來案暨出貨明細表-基因檢測(201904起'!$P:$P,$A34&amp;"*",'來案暨出貨明細表-基因檢測(201904起'!$B:$B,U$1,'來案暨出貨明細表-基因檢測(201904起'!$Q:$Q,"紙本&amp;電子")++COUNTIFS('來案暨出貨明細表-基因檢測(201904起'!$P:$P,$A34&amp;"*",'來案暨出貨明細表-基因檢測(201904起'!$B:$B,U$1,'來案暨出貨明細表-基因檢測(201904起'!$R:$R,"中英")</f>
        <v>0</v>
      </c>
      <c r="V34" s="33">
        <f>COUNTIFS('來案暨出貨明細表-基因檢測(201904起'!$P:$P,$A34&amp;"*",'來案暨出貨明細表-基因檢測(201904起'!$B:$B,V$1)*$B34+COUNTIFS('來案暨出貨明細表-基因檢測(201904起'!$P:$P,$A34&amp;"*",'來案暨出貨明細表-基因檢測(201904起'!$B:$B,V$1,'來案暨出貨明細表-基因檢測(201904起'!$Q:$Q,"紙本&amp;電子")++COUNTIFS('來案暨出貨明細表-基因檢測(201904起'!$P:$P,$A34&amp;"*",'來案暨出貨明細表-基因檢測(201904起'!$B:$B,V$1,'來案暨出貨明細表-基因檢測(201904起'!$R:$R,"中英")</f>
        <v>0</v>
      </c>
      <c r="W34" s="33">
        <f>COUNTIFS('來案暨出貨明細表-基因檢測(201904起'!$P:$P,$A34&amp;"*",'來案暨出貨明細表-基因檢測(201904起'!$B:$B,W$1)*$B34+COUNTIFS('來案暨出貨明細表-基因檢測(201904起'!$P:$P,$A34&amp;"*",'來案暨出貨明細表-基因檢測(201904起'!$B:$B,W$1,'來案暨出貨明細表-基因檢測(201904起'!$Q:$Q,"紙本&amp;電子")++COUNTIFS('來案暨出貨明細表-基因檢測(201904起'!$P:$P,$A34&amp;"*",'來案暨出貨明細表-基因檢測(201904起'!$B:$B,W$1,'來案暨出貨明細表-基因檢測(201904起'!$R:$R,"中英")</f>
        <v>0</v>
      </c>
      <c r="X34" s="33">
        <f>COUNTIFS('來案暨出貨明細表-基因檢測(201904起'!$P:$P,$A34&amp;"*",'來案暨出貨明細表-基因檢測(201904起'!$B:$B,X$1)*$B34+COUNTIFS('來案暨出貨明細表-基因檢測(201904起'!$P:$P,$A34&amp;"*",'來案暨出貨明細表-基因檢測(201904起'!$B:$B,X$1,'來案暨出貨明細表-基因檢測(201904起'!$Q:$Q,"紙本&amp;電子")++COUNTIFS('來案暨出貨明細表-基因檢測(201904起'!$P:$P,$A34&amp;"*",'來案暨出貨明細表-基因檢測(201904起'!$B:$B,X$1,'來案暨出貨明細表-基因檢測(201904起'!$R:$R,"中英")</f>
        <v>0</v>
      </c>
      <c r="Y34" s="33">
        <f>COUNTIFS('來案暨出貨明細表-基因檢測(201904起'!$P:$P,$A34&amp;"*",'來案暨出貨明細表-基因檢測(201904起'!$B:$B,Y$1)*$B34+COUNTIFS('來案暨出貨明細表-基因檢測(201904起'!$P:$P,$A34&amp;"*",'來案暨出貨明細表-基因檢測(201904起'!$B:$B,Y$1,'來案暨出貨明細表-基因檢測(201904起'!$Q:$Q,"紙本&amp;電子")++COUNTIFS('來案暨出貨明細表-基因檢測(201904起'!$P:$P,$A34&amp;"*",'來案暨出貨明細表-基因檢測(201904起'!$B:$B,Y$1,'來案暨出貨明細表-基因檢測(201904起'!$R:$R,"中英")</f>
        <v>0</v>
      </c>
      <c r="Z34" s="33">
        <f>COUNTIFS('來案暨出貨明細表-基因檢測(201904起'!$P:$P,$A34&amp;"*",'來案暨出貨明細表-基因檢測(201904起'!$B:$B,Z$1)*$B34+COUNTIFS('來案暨出貨明細表-基因檢測(201904起'!$P:$P,$A34&amp;"*",'來案暨出貨明細表-基因檢測(201904起'!$B:$B,Z$1,'來案暨出貨明細表-基因檢測(201904起'!$Q:$Q,"紙本&amp;電子")++COUNTIFS('來案暨出貨明細表-基因檢測(201904起'!$P:$P,$A34&amp;"*",'來案暨出貨明細表-基因檢測(201904起'!$B:$B,Z$1,'來案暨出貨明細表-基因檢測(201904起'!$R:$R,"中英")</f>
        <v>0</v>
      </c>
      <c r="AA34" s="33">
        <f>COUNTIFS('來案暨出貨明細表-基因檢測(201904起'!$P:$P,$A34&amp;"*",'來案暨出貨明細表-基因檢測(201904起'!$B:$B,AA$1)*$B34+COUNTIFS('來案暨出貨明細表-基因檢測(201904起'!$P:$P,$A34&amp;"*",'來案暨出貨明細表-基因檢測(201904起'!$B:$B,AA$1,'來案暨出貨明細表-基因檢測(201904起'!$Q:$Q,"紙本&amp;電子")++COUNTIFS('來案暨出貨明細表-基因檢測(201904起'!$P:$P,$A34&amp;"*",'來案暨出貨明細表-基因檢測(201904起'!$B:$B,AA$1,'來案暨出貨明細表-基因檢測(201904起'!$R:$R,"中英")</f>
        <v>0</v>
      </c>
      <c r="AB34" s="33">
        <f>COUNTIFS('來案暨出貨明細表-基因檢測(201904起'!$P:$P,$A34&amp;"*",'來案暨出貨明細表-基因檢測(201904起'!$B:$B,AB$1)*$B34+COUNTIFS('來案暨出貨明細表-基因檢測(201904起'!$P:$P,$A34&amp;"*",'來案暨出貨明細表-基因檢測(201904起'!$B:$B,AB$1,'來案暨出貨明細表-基因檢測(201904起'!$Q:$Q,"紙本&amp;電子")++COUNTIFS('來案暨出貨明細表-基因檢測(201904起'!$P:$P,$A34&amp;"*",'來案暨出貨明細表-基因檢測(201904起'!$B:$B,AB$1,'來案暨出貨明細表-基因檢測(201904起'!$R:$R,"中英")</f>
        <v>0</v>
      </c>
      <c r="AC34" s="33">
        <f>COUNTIFS('來案暨出貨明細表-基因檢測(201904起'!$P:$P,$A34&amp;"*",'來案暨出貨明細表-基因檢測(201904起'!$B:$B,AC$1)*$B34+COUNTIFS('來案暨出貨明細表-基因檢測(201904起'!$P:$P,$A34&amp;"*",'來案暨出貨明細表-基因檢測(201904起'!$B:$B,AC$1,'來案暨出貨明細表-基因檢測(201904起'!$Q:$Q,"紙本&amp;電子")++COUNTIFS('來案暨出貨明細表-基因檢測(201904起'!$P:$P,$A34&amp;"*",'來案暨出貨明細表-基因檢測(201904起'!$B:$B,AC$1,'來案暨出貨明細表-基因檢測(201904起'!$R:$R,"中英")</f>
        <v>0</v>
      </c>
      <c r="AD34" s="33">
        <f>COUNTIFS('來案暨出貨明細表-基因檢測(201904起'!$P:$P,$A34&amp;"*",'來案暨出貨明細表-基因檢測(201904起'!$B:$B,AD$1)*$B34+COUNTIFS('來案暨出貨明細表-基因檢測(201904起'!$P:$P,$A34&amp;"*",'來案暨出貨明細表-基因檢測(201904起'!$B:$B,AD$1,'來案暨出貨明細表-基因檢測(201904起'!$Q:$Q,"紙本&amp;電子")++COUNTIFS('來案暨出貨明細表-基因檢測(201904起'!$P:$P,$A34&amp;"*",'來案暨出貨明細表-基因檢測(201904起'!$B:$B,AD$1,'來案暨出貨明細表-基因檢測(201904起'!$R:$R,"中英")</f>
        <v>0</v>
      </c>
      <c r="AE34" s="33">
        <f>COUNTIFS('來案暨出貨明細表-基因檢測(201904起'!$P:$P,$A34&amp;"*",'來案暨出貨明細表-基因檢測(201904起'!$B:$B,AE$1)*$B34+COUNTIFS('來案暨出貨明細表-基因檢測(201904起'!$P:$P,$A34&amp;"*",'來案暨出貨明細表-基因檢測(201904起'!$B:$B,AE$1,'來案暨出貨明細表-基因檢測(201904起'!$Q:$Q,"紙本&amp;電子")++COUNTIFS('來案暨出貨明細表-基因檢測(201904起'!$P:$P,$A34&amp;"*",'來案暨出貨明細表-基因檢測(201904起'!$B:$B,AE$1,'來案暨出貨明細表-基因檢測(201904起'!$R:$R,"中英")</f>
        <v>0</v>
      </c>
      <c r="AF34" s="33">
        <f>COUNTIFS('來案暨出貨明細表-基因檢測(201904起'!$P:$P,$A34&amp;"*",'來案暨出貨明細表-基因檢測(201904起'!$B:$B,AF$1)*$B34+COUNTIFS('來案暨出貨明細表-基因檢測(201904起'!$P:$P,$A34&amp;"*",'來案暨出貨明細表-基因檢測(201904起'!$B:$B,AF$1,'來案暨出貨明細表-基因檢測(201904起'!$Q:$Q,"紙本&amp;電子")++COUNTIFS('來案暨出貨明細表-基因檢測(201904起'!$P:$P,$A34&amp;"*",'來案暨出貨明細表-基因檢測(201904起'!$B:$B,AF$1,'來案暨出貨明細表-基因檢測(201904起'!$R:$R,"中英")</f>
        <v>0</v>
      </c>
      <c r="AG34" s="33">
        <f>COUNTIFS('來案暨出貨明細表-基因檢測(201904起'!$P:$P,$A34&amp;"*",'來案暨出貨明細表-基因檢測(201904起'!$B:$B,AG$1)*$B34+COUNTIFS('來案暨出貨明細表-基因檢測(201904起'!$P:$P,$A34&amp;"*",'來案暨出貨明細表-基因檢測(201904起'!$B:$B,AG$1,'來案暨出貨明細表-基因檢測(201904起'!$Q:$Q,"紙本&amp;電子")++COUNTIFS('來案暨出貨明細表-基因檢測(201904起'!$P:$P,$A34&amp;"*",'來案暨出貨明細表-基因檢測(201904起'!$B:$B,AG$1,'來案暨出貨明細表-基因檢測(201904起'!$R:$R,"中英")</f>
        <v>0</v>
      </c>
      <c r="AH34" s="33">
        <f>COUNTIFS('來案暨出貨明細表-基因檢測(201904起'!$P:$P,$A34&amp;"*",'來案暨出貨明細表-基因檢測(201904起'!$B:$B,AH$1)*$B34+COUNTIFS('來案暨出貨明細表-基因檢測(201904起'!$P:$P,$A34&amp;"*",'來案暨出貨明細表-基因檢測(201904起'!$B:$B,AH$1,'來案暨出貨明細表-基因檢測(201904起'!$Q:$Q,"紙本&amp;電子")++COUNTIFS('來案暨出貨明細表-基因檢測(201904起'!$P:$P,$A34&amp;"*",'來案暨出貨明細表-基因檢測(201904起'!$B:$B,AH$1,'來案暨出貨明細表-基因檢測(201904起'!$R:$R,"中英")</f>
        <v>0</v>
      </c>
      <c r="AI34" s="33">
        <f>COUNTIFS('來案暨出貨明細表-基因檢測(201904起'!$P:$P,$A34&amp;"*",'來案暨出貨明細表-基因檢測(201904起'!$B:$B,AI$1)*$B34+COUNTIFS('來案暨出貨明細表-基因檢測(201904起'!$P:$P,$A34&amp;"*",'來案暨出貨明細表-基因檢測(201904起'!$B:$B,AI$1,'來案暨出貨明細表-基因檢測(201904起'!$Q:$Q,"紙本&amp;電子")++COUNTIFS('來案暨出貨明細表-基因檢測(201904起'!$P:$P,$A34&amp;"*",'來案暨出貨明細表-基因檢測(201904起'!$B:$B,AI$1,'來案暨出貨明細表-基因檢測(201904起'!$R:$R,"中英")</f>
        <v>0</v>
      </c>
      <c r="AJ34" s="33">
        <f>COUNTIFS('來案暨出貨明細表-基因檢測(201904起'!$P:$P,$A34&amp;"*",'來案暨出貨明細表-基因檢測(201904起'!$B:$B,AJ$1)*$B34+COUNTIFS('來案暨出貨明細表-基因檢測(201904起'!$P:$P,$A34&amp;"*",'來案暨出貨明細表-基因檢測(201904起'!$B:$B,AJ$1,'來案暨出貨明細表-基因檢測(201904起'!$Q:$Q,"紙本&amp;電子")++COUNTIFS('來案暨出貨明細表-基因檢測(201904起'!$P:$P,$A34&amp;"*",'來案暨出貨明細表-基因檢測(201904起'!$B:$B,AJ$1,'來案暨出貨明細表-基因檢測(201904起'!$R:$R,"中英")</f>
        <v>0</v>
      </c>
      <c r="AK34" s="33">
        <f>COUNTIFS('來案暨出貨明細表-基因檢測(201904起'!$P:$P,$A34&amp;"*",'來案暨出貨明細表-基因檢測(201904起'!$B:$B,AK$1)*$B34+COUNTIFS('來案暨出貨明細表-基因檢測(201904起'!$P:$P,$A34&amp;"*",'來案暨出貨明細表-基因檢測(201904起'!$B:$B,AK$1,'來案暨出貨明細表-基因檢測(201904起'!$Q:$Q,"紙本&amp;電子")++COUNTIFS('來案暨出貨明細表-基因檢測(201904起'!$P:$P,$A34&amp;"*",'來案暨出貨明細表-基因檢測(201904起'!$B:$B,AK$1,'來案暨出貨明細表-基因檢測(201904起'!$R:$R,"中英")</f>
        <v>0</v>
      </c>
      <c r="AL34" s="33">
        <f>COUNTIFS('來案暨出貨明細表-基因檢測(201904起'!$P:$P,$A34&amp;"*",'來案暨出貨明細表-基因檢測(201904起'!$B:$B,AL$1)*$B34+COUNTIFS('來案暨出貨明細表-基因檢測(201904起'!$P:$P,$A34&amp;"*",'來案暨出貨明細表-基因檢測(201904起'!$B:$B,AL$1,'來案暨出貨明細表-基因檢測(201904起'!$Q:$Q,"紙本&amp;電子")++COUNTIFS('來案暨出貨明細表-基因檢測(201904起'!$P:$P,$A34&amp;"*",'來案暨出貨明細表-基因檢測(201904起'!$B:$B,AL$1,'來案暨出貨明細表-基因檢測(201904起'!$R:$R,"中英")</f>
        <v>0</v>
      </c>
      <c r="AM34" s="33">
        <f>COUNTIFS('來案暨出貨明細表-基因檢測(201904起'!$P:$P,$A34&amp;"*",'來案暨出貨明細表-基因檢測(201904起'!$B:$B,AM$1)*$B34+COUNTIFS('來案暨出貨明細表-基因檢測(201904起'!$P:$P,$A34&amp;"*",'來案暨出貨明細表-基因檢測(201904起'!$B:$B,AM$1,'來案暨出貨明細表-基因檢測(201904起'!$Q:$Q,"紙本&amp;電子")++COUNTIFS('來案暨出貨明細表-基因檢測(201904起'!$P:$P,$A34&amp;"*",'來案暨出貨明細表-基因檢測(201904起'!$B:$B,AM$1,'來案暨出貨明細表-基因檢測(201904起'!$R:$R,"中英")</f>
        <v>0</v>
      </c>
      <c r="AN34" s="33">
        <f>COUNTIFS('來案暨出貨明細表-基因檢測(201904起'!$P:$P,$A34&amp;"*",'來案暨出貨明細表-基因檢測(201904起'!$B:$B,AN$1)*$B34+COUNTIFS('來案暨出貨明細表-基因檢測(201904起'!$P:$P,$A34&amp;"*",'來案暨出貨明細表-基因檢測(201904起'!$B:$B,AN$1,'來案暨出貨明細表-基因檢測(201904起'!$Q:$Q,"紙本&amp;電子")++COUNTIFS('來案暨出貨明細表-基因檢測(201904起'!$P:$P,$A34&amp;"*",'來案暨出貨明細表-基因檢測(201904起'!$B:$B,AN$1,'來案暨出貨明細表-基因檢測(201904起'!$R:$R,"中英")</f>
        <v>0</v>
      </c>
      <c r="AO34" s="33">
        <f>COUNTIFS('來案暨出貨明細表-基因檢測(201904起'!$P:$P,$A34&amp;"*",'來案暨出貨明細表-基因檢測(201904起'!$B:$B,AO$1)*$B34+COUNTIFS('來案暨出貨明細表-基因檢測(201904起'!$P:$P,$A34&amp;"*",'來案暨出貨明細表-基因檢測(201904起'!$B:$B,AO$1,'來案暨出貨明細表-基因檢測(201904起'!$Q:$Q,"紙本&amp;電子")++COUNTIFS('來案暨出貨明細表-基因檢測(201904起'!$P:$P,$A34&amp;"*",'來案暨出貨明細表-基因檢測(201904起'!$B:$B,AO$1,'來案暨出貨明細表-基因檢測(201904起'!$R:$R,"中英")</f>
        <v>0</v>
      </c>
      <c r="AP34" s="33">
        <f>COUNTIFS('來案暨出貨明細表-基因檢測(201904起'!$P:$P,$A34&amp;"*",'來案暨出貨明細表-基因檢測(201904起'!$B:$B,AP$1)*$B34+COUNTIFS('來案暨出貨明細表-基因檢測(201904起'!$P:$P,$A34&amp;"*",'來案暨出貨明細表-基因檢測(201904起'!$B:$B,AP$1,'來案暨出貨明細表-基因檢測(201904起'!$Q:$Q,"紙本&amp;電子")++COUNTIFS('來案暨出貨明細表-基因檢測(201904起'!$P:$P,$A34&amp;"*",'來案暨出貨明細表-基因檢測(201904起'!$B:$B,AP$1,'來案暨出貨明細表-基因檢測(201904起'!$R:$R,"中英")</f>
        <v>0</v>
      </c>
      <c r="AQ34" s="33">
        <f>COUNTIFS('來案暨出貨明細表-基因檢測(201904起'!$P:$P,$A34&amp;"*",'來案暨出貨明細表-基因檢測(201904起'!$B:$B,AQ$1)*$B34+COUNTIFS('來案暨出貨明細表-基因檢測(201904起'!$P:$P,$A34&amp;"*",'來案暨出貨明細表-基因檢測(201904起'!$B:$B,AQ$1,'來案暨出貨明細表-基因檢測(201904起'!$Q:$Q,"紙本&amp;電子")++COUNTIFS('來案暨出貨明細表-基因檢測(201904起'!$P:$P,$A34&amp;"*",'來案暨出貨明細表-基因檢測(201904起'!$B:$B,AQ$1,'來案暨出貨明細表-基因檢測(201904起'!$R:$R,"中英")</f>
        <v>0</v>
      </c>
      <c r="AR34" s="33">
        <f>COUNTIFS('來案暨出貨明細表-基因檢測(201904起'!$P:$P,$A34&amp;"*",'來案暨出貨明細表-基因檢測(201904起'!$B:$B,AR$1)*$B34+COUNTIFS('來案暨出貨明細表-基因檢測(201904起'!$P:$P,$A34&amp;"*",'來案暨出貨明細表-基因檢測(201904起'!$B:$B,AR$1,'來案暨出貨明細表-基因檢測(201904起'!$Q:$Q,"紙本&amp;電子")++COUNTIFS('來案暨出貨明細表-基因檢測(201904起'!$P:$P,$A34&amp;"*",'來案暨出貨明細表-基因檢測(201904起'!$B:$B,AR$1,'來案暨出貨明細表-基因檢測(201904起'!$R:$R,"中英")</f>
        <v>0</v>
      </c>
      <c r="AS34" s="33">
        <f>COUNTIFS('來案暨出貨明細表-基因檢測(201904起'!$P:$P,$A34&amp;"*",'來案暨出貨明細表-基因檢測(201904起'!$B:$B,AS$1)*$B34+COUNTIFS('來案暨出貨明細表-基因檢測(201904起'!$P:$P,$A34&amp;"*",'來案暨出貨明細表-基因檢測(201904起'!$B:$B,AS$1,'來案暨出貨明細表-基因檢測(201904起'!$Q:$Q,"紙本&amp;電子")++COUNTIFS('來案暨出貨明細表-基因檢測(201904起'!$P:$P,$A34&amp;"*",'來案暨出貨明細表-基因檢測(201904起'!$B:$B,AS$1,'來案暨出貨明細表-基因檢測(201904起'!$R:$R,"中英")</f>
        <v>0</v>
      </c>
      <c r="AT34" s="33">
        <f>COUNTIFS('來案暨出貨明細表-基因檢測(201904起'!$P:$P,$A34&amp;"*",'來案暨出貨明細表-基因檢測(201904起'!$B:$B,AT$1)*$B34+COUNTIFS('來案暨出貨明細表-基因檢測(201904起'!$P:$P,$A34&amp;"*",'來案暨出貨明細表-基因檢測(201904起'!$B:$B,AT$1,'來案暨出貨明細表-基因檢測(201904起'!$Q:$Q,"紙本&amp;電子")++COUNTIFS('來案暨出貨明細表-基因檢測(201904起'!$P:$P,$A34&amp;"*",'來案暨出貨明細表-基因檢測(201904起'!$B:$B,AT$1,'來案暨出貨明細表-基因檢測(201904起'!$R:$R,"中英")</f>
        <v>0</v>
      </c>
      <c r="AU34" s="33">
        <f>COUNTIFS('來案暨出貨明細表-基因檢測(201904起'!$P:$P,$A34&amp;"*",'來案暨出貨明細表-基因檢測(201904起'!$B:$B,AU$1)*$B34+COUNTIFS('來案暨出貨明細表-基因檢測(201904起'!$P:$P,$A34&amp;"*",'來案暨出貨明細表-基因檢測(201904起'!$B:$B,AU$1,'來案暨出貨明細表-基因檢測(201904起'!$Q:$Q,"紙本&amp;電子")++COUNTIFS('來案暨出貨明細表-基因檢測(201904起'!$P:$P,$A34&amp;"*",'來案暨出貨明細表-基因檢測(201904起'!$B:$B,AU$1,'來案暨出貨明細表-基因檢測(201904起'!$R:$R,"中英")</f>
        <v>0</v>
      </c>
      <c r="AV34" s="33">
        <f>COUNTIFS('來案暨出貨明細表-基因檢測(201904起'!$P:$P,$A34&amp;"*",'來案暨出貨明細表-基因檢測(201904起'!$B:$B,AV$1)*$B34+COUNTIFS('來案暨出貨明細表-基因檢測(201904起'!$P:$P,$A34&amp;"*",'來案暨出貨明細表-基因檢測(201904起'!$B:$B,AV$1,'來案暨出貨明細表-基因檢測(201904起'!$Q:$Q,"紙本&amp;電子")++COUNTIFS('來案暨出貨明細表-基因檢測(201904起'!$P:$P,$A34&amp;"*",'來案暨出貨明細表-基因檢測(201904起'!$B:$B,AV$1,'來案暨出貨明細表-基因檢測(201904起'!$R:$R,"中英")</f>
        <v>0</v>
      </c>
      <c r="AW34" s="33">
        <f>COUNTIFS('來案暨出貨明細表-基因檢測(201904起'!$P:$P,$A34&amp;"*",'來案暨出貨明細表-基因檢測(201904起'!$B:$B,AW$1)*$B34+COUNTIFS('來案暨出貨明細表-基因檢測(201904起'!$P:$P,$A34&amp;"*",'來案暨出貨明細表-基因檢測(201904起'!$B:$B,AW$1,'來案暨出貨明細表-基因檢測(201904起'!$Q:$Q,"紙本&amp;電子")++COUNTIFS('來案暨出貨明細表-基因檢測(201904起'!$P:$P,$A34&amp;"*",'來案暨出貨明細表-基因檢測(201904起'!$B:$B,AW$1,'來案暨出貨明細表-基因檢測(201904起'!$R:$R,"中英")</f>
        <v>0</v>
      </c>
      <c r="AX34" s="33">
        <f>COUNTIFS('來案暨出貨明細表-基因檢測(201904起'!$P:$P,$A34&amp;"*",'來案暨出貨明細表-基因檢測(201904起'!$B:$B,AX$1)*$B34+COUNTIFS('來案暨出貨明細表-基因檢測(201904起'!$P:$P,$A34&amp;"*",'來案暨出貨明細表-基因檢測(201904起'!$B:$B,AX$1,'來案暨出貨明細表-基因檢測(201904起'!$Q:$Q,"紙本&amp;電子")++COUNTIFS('來案暨出貨明細表-基因檢測(201904起'!$P:$P,$A34&amp;"*",'來案暨出貨明細表-基因檢測(201904起'!$B:$B,AX$1,'來案暨出貨明細表-基因檢測(201904起'!$R:$R,"中英")</f>
        <v>0</v>
      </c>
      <c r="AY34" s="33">
        <f>COUNTIFS('來案暨出貨明細表-基因檢測(201904起'!$P:$P,$A34&amp;"*",'來案暨出貨明細表-基因檢測(201904起'!$B:$B,AY$1)*$B34+COUNTIFS('來案暨出貨明細表-基因檢測(201904起'!$P:$P,$A34&amp;"*",'來案暨出貨明細表-基因檢測(201904起'!$B:$B,AY$1,'來案暨出貨明細表-基因檢測(201904起'!$Q:$Q,"紙本&amp;電子")++COUNTIFS('來案暨出貨明細表-基因檢測(201904起'!$P:$P,$A34&amp;"*",'來案暨出貨明細表-基因檢測(201904起'!$B:$B,AY$1,'來案暨出貨明細表-基因檢測(201904起'!$R:$R,"中英")</f>
        <v>0</v>
      </c>
      <c r="AZ34" s="33">
        <f>COUNTIFS('來案暨出貨明細表-基因檢測(201904起'!$P:$P,$A34&amp;"*",'來案暨出貨明細表-基因檢測(201904起'!$B:$B,AZ$1)*$B34+COUNTIFS('來案暨出貨明細表-基因檢測(201904起'!$P:$P,$A34&amp;"*",'來案暨出貨明細表-基因檢測(201904起'!$B:$B,AZ$1,'來案暨出貨明細表-基因檢測(201904起'!$Q:$Q,"紙本&amp;電子")++COUNTIFS('來案暨出貨明細表-基因檢測(201904起'!$P:$P,$A34&amp;"*",'來案暨出貨明細表-基因檢測(201904起'!$B:$B,AZ$1,'來案暨出貨明細表-基因檢測(201904起'!$R:$R,"中英")</f>
        <v>0</v>
      </c>
      <c r="BA34" s="33">
        <f>COUNTIFS('來案暨出貨明細表-基因檢測(201904起'!$P:$P,$A34&amp;"*",'來案暨出貨明細表-基因檢測(201904起'!$B:$B,BA$1)*$B34+COUNTIFS('來案暨出貨明細表-基因檢測(201904起'!$P:$P,$A34&amp;"*",'來案暨出貨明細表-基因檢測(201904起'!$B:$B,BA$1,'來案暨出貨明細表-基因檢測(201904起'!$Q:$Q,"紙本&amp;電子")++COUNTIFS('來案暨出貨明細表-基因檢測(201904起'!$P:$P,$A34&amp;"*",'來案暨出貨明細表-基因檢測(201904起'!$B:$B,BA$1,'來案暨出貨明細表-基因檢測(201904起'!$R:$R,"中英")</f>
        <v>0</v>
      </c>
      <c r="BB34" s="33">
        <f>COUNTIFS('來案暨出貨明細表-基因檢測(201904起'!$P:$P,$A34&amp;"*",'來案暨出貨明細表-基因檢測(201904起'!$B:$B,BB$1)*$B34+COUNTIFS('來案暨出貨明細表-基因檢測(201904起'!$P:$P,$A34&amp;"*",'來案暨出貨明細表-基因檢測(201904起'!$B:$B,BB$1,'來案暨出貨明細表-基因檢測(201904起'!$Q:$Q,"紙本&amp;電子")++COUNTIFS('來案暨出貨明細表-基因檢測(201904起'!$P:$P,$A34&amp;"*",'來案暨出貨明細表-基因檢測(201904起'!$B:$B,BB$1,'來案暨出貨明細表-基因檢測(201904起'!$R:$R,"中英")</f>
        <v>0</v>
      </c>
      <c r="BC34" s="33">
        <f>COUNTIFS('來案暨出貨明細表-基因檢測(201904起'!$P:$P,$A34&amp;"*",'來案暨出貨明細表-基因檢測(201904起'!$B:$B,BC$1)*$B34+COUNTIFS('來案暨出貨明細表-基因檢測(201904起'!$P:$P,$A34&amp;"*",'來案暨出貨明細表-基因檢測(201904起'!$B:$B,BC$1,'來案暨出貨明細表-基因檢測(201904起'!$Q:$Q,"紙本&amp;電子")++COUNTIFS('來案暨出貨明細表-基因檢測(201904起'!$P:$P,$A34&amp;"*",'來案暨出貨明細表-基因檢測(201904起'!$B:$B,BC$1,'來案暨出貨明細表-基因檢測(201904起'!$R:$R,"中英")</f>
        <v>0</v>
      </c>
      <c r="BD34" s="33">
        <f>COUNTIFS('來案暨出貨明細表-基因檢測(201904起'!$P:$P,$A34&amp;"*",'來案暨出貨明細表-基因檢測(201904起'!$B:$B,BD$1)*$B34+COUNTIFS('來案暨出貨明細表-基因檢測(201904起'!$P:$P,$A34&amp;"*",'來案暨出貨明細表-基因檢測(201904起'!$B:$B,BD$1,'來案暨出貨明細表-基因檢測(201904起'!$Q:$Q,"紙本&amp;電子")++COUNTIFS('來案暨出貨明細表-基因檢測(201904起'!$P:$P,$A34&amp;"*",'來案暨出貨明細表-基因檢測(201904起'!$B:$B,BD$1,'來案暨出貨明細表-基因檢測(201904起'!$R:$R,"中英")</f>
        <v>0</v>
      </c>
      <c r="BE34" s="33">
        <f>COUNTIFS('來案暨出貨明細表-基因檢測(201904起'!$P:$P,$A34&amp;"*",'來案暨出貨明細表-基因檢測(201904起'!$B:$B,BE$1)*$B34+COUNTIFS('來案暨出貨明細表-基因檢測(201904起'!$P:$P,$A34&amp;"*",'來案暨出貨明細表-基因檢測(201904起'!$B:$B,BE$1,'來案暨出貨明細表-基因檢測(201904起'!$Q:$Q,"紙本&amp;電子")++COUNTIFS('來案暨出貨明細表-基因檢測(201904起'!$P:$P,$A34&amp;"*",'來案暨出貨明細表-基因檢測(201904起'!$B:$B,BE$1,'來案暨出貨明細表-基因檢測(201904起'!$R:$R,"中英")</f>
        <v>0</v>
      </c>
      <c r="BF34" s="33">
        <f>COUNTIFS('來案暨出貨明細表-基因檢測(201904起'!$P:$P,$A34&amp;"*",'來案暨出貨明細表-基因檢測(201904起'!$B:$B,BF$1)*$B34+COUNTIFS('來案暨出貨明細表-基因檢測(201904起'!$P:$P,$A34&amp;"*",'來案暨出貨明細表-基因檢測(201904起'!$B:$B,BF$1,'來案暨出貨明細表-基因檢測(201904起'!$Q:$Q,"紙本&amp;電子")++COUNTIFS('來案暨出貨明細表-基因檢測(201904起'!$P:$P,$A34&amp;"*",'來案暨出貨明細表-基因檢測(201904起'!$B:$B,BF$1,'來案暨出貨明細表-基因檢測(201904起'!$R:$R,"中英")</f>
        <v>0</v>
      </c>
      <c r="BG34" s="33">
        <f>COUNTIFS('來案暨出貨明細表-基因檢測(201904起'!$P:$P,$A34&amp;"*",'來案暨出貨明細表-基因檢測(201904起'!$B:$B,BG$1)*$B34+COUNTIFS('來案暨出貨明細表-基因檢測(201904起'!$P:$P,$A34&amp;"*",'來案暨出貨明細表-基因檢測(201904起'!$B:$B,BG$1,'來案暨出貨明細表-基因檢測(201904起'!$Q:$Q,"紙本&amp;電子")++COUNTIFS('來案暨出貨明細表-基因檢測(201904起'!$P:$P,$A34&amp;"*",'來案暨出貨明細表-基因檢測(201904起'!$B:$B,BG$1,'來案暨出貨明細表-基因檢測(201904起'!$R:$R,"中英")</f>
        <v>0</v>
      </c>
      <c r="BH34" s="33">
        <f>COUNTIFS('來案暨出貨明細表-基因檢測(201904起'!$P:$P,$A34&amp;"*",'來案暨出貨明細表-基因檢測(201904起'!$B:$B,BH$1)*$B34+COUNTIFS('來案暨出貨明細表-基因檢測(201904起'!$P:$P,$A34&amp;"*",'來案暨出貨明細表-基因檢測(201904起'!$B:$B,BH$1,'來案暨出貨明細表-基因檢測(201904起'!$Q:$Q,"紙本&amp;電子")++COUNTIFS('來案暨出貨明細表-基因檢測(201904起'!$P:$P,$A34&amp;"*",'來案暨出貨明細表-基因檢測(201904起'!$B:$B,BH$1,'來案暨出貨明細表-基因檢測(201904起'!$R:$R,"中英")</f>
        <v>0</v>
      </c>
      <c r="BI34" s="33">
        <f>COUNTIFS('來案暨出貨明細表-基因檢測(201904起'!$P:$P,$A34&amp;"*",'來案暨出貨明細表-基因檢測(201904起'!$B:$B,BI$1)*$B34+COUNTIFS('來案暨出貨明細表-基因檢測(201904起'!$P:$P,$A34&amp;"*",'來案暨出貨明細表-基因檢測(201904起'!$B:$B,BI$1,'來案暨出貨明細表-基因檢測(201904起'!$Q:$Q,"紙本&amp;電子")++COUNTIFS('來案暨出貨明細表-基因檢測(201904起'!$P:$P,$A34&amp;"*",'來案暨出貨明細表-基因檢測(201904起'!$B:$B,BI$1,'來案暨出貨明細表-基因檢測(201904起'!$R:$R,"中英")</f>
        <v>0</v>
      </c>
      <c r="BJ34" s="33">
        <f>COUNTIFS('來案暨出貨明細表-基因檢測(201904起'!$P:$P,$A34&amp;"*",'來案暨出貨明細表-基因檢測(201904起'!$B:$B,BJ$1)*$B34+COUNTIFS('來案暨出貨明細表-基因檢測(201904起'!$P:$P,$A34&amp;"*",'來案暨出貨明細表-基因檢測(201904起'!$B:$B,BJ$1,'來案暨出貨明細表-基因檢測(201904起'!$Q:$Q,"紙本&amp;電子")++COUNTIFS('來案暨出貨明細表-基因檢測(201904起'!$P:$P,$A34&amp;"*",'來案暨出貨明細表-基因檢測(201904起'!$B:$B,BJ$1,'來案暨出貨明細表-基因檢測(201904起'!$R:$R,"中英")</f>
        <v>0</v>
      </c>
      <c r="BK34" s="33">
        <f>COUNTIFS('來案暨出貨明細表-基因檢測(201904起'!$P:$P,$A34&amp;"*",'來案暨出貨明細表-基因檢測(201904起'!$B:$B,BK$1)*$B34+COUNTIFS('來案暨出貨明細表-基因檢測(201904起'!$P:$P,$A34&amp;"*",'來案暨出貨明細表-基因檢測(201904起'!$B:$B,BK$1,'來案暨出貨明細表-基因檢測(201904起'!$Q:$Q,"紙本&amp;電子")++COUNTIFS('來案暨出貨明細表-基因檢測(201904起'!$P:$P,$A34&amp;"*",'來案暨出貨明細表-基因檢測(201904起'!$B:$B,BK$1,'來案暨出貨明細表-基因檢測(201904起'!$R:$R,"中英")</f>
        <v>0</v>
      </c>
      <c r="BL34" s="33">
        <f>COUNTIFS('來案暨出貨明細表-基因檢測(201904起'!$P:$P,$A34&amp;"*",'來案暨出貨明細表-基因檢測(201904起'!$B:$B,BL$1)*$B34+COUNTIFS('來案暨出貨明細表-基因檢測(201904起'!$P:$P,$A34&amp;"*",'來案暨出貨明細表-基因檢測(201904起'!$B:$B,BL$1,'來案暨出貨明細表-基因檢測(201904起'!$Q:$Q,"紙本&amp;電子")++COUNTIFS('來案暨出貨明細表-基因檢測(201904起'!$P:$P,$A34&amp;"*",'來案暨出貨明細表-基因檢測(201904起'!$B:$B,BL$1,'來案暨出貨明細表-基因檢測(201904起'!$R:$R,"中英")</f>
        <v>0</v>
      </c>
      <c r="BM34" s="33">
        <f>COUNTIFS('來案暨出貨明細表-基因檢測(201904起'!$P:$P,$A34&amp;"*",'來案暨出貨明細表-基因檢測(201904起'!$B:$B,BM$1)*$B34+COUNTIFS('來案暨出貨明細表-基因檢測(201904起'!$P:$P,$A34&amp;"*",'來案暨出貨明細表-基因檢測(201904起'!$B:$B,BM$1,'來案暨出貨明細表-基因檢測(201904起'!$Q:$Q,"紙本&amp;電子")++COUNTIFS('來案暨出貨明細表-基因檢測(201904起'!$P:$P,$A34&amp;"*",'來案暨出貨明細表-基因檢測(201904起'!$B:$B,BM$1,'來案暨出貨明細表-基因檢測(201904起'!$R:$R,"中英")</f>
        <v>0</v>
      </c>
    </row>
    <row r="35" spans="1:65" ht="15" customHeight="1">
      <c r="A35" s="9" t="s">
        <v>4565</v>
      </c>
      <c r="B35" s="9">
        <v>1</v>
      </c>
      <c r="C35" s="13" t="s">
        <v>4566</v>
      </c>
      <c r="D35" s="142" t="s">
        <v>606</v>
      </c>
      <c r="E35" s="33">
        <f>COUNTIFS('來案暨出貨明細表-基因檢測(201904起'!$P:$P,$A35&amp;"*",'來案暨出貨明細表-基因檢測(201904起'!$B:$B,E$1)*$B35+COUNTIFS('來案暨出貨明細表-基因檢測(201904起'!$P:$P,$A35&amp;"*",'來案暨出貨明細表-基因檢測(201904起'!$B:$B,E$1,'來案暨出貨明細表-基因檢測(201904起'!$Q:$Q,"紙本&amp;電子")++COUNTIFS('來案暨出貨明細表-基因檢測(201904起'!$P:$P,$A35&amp;"*",'來案暨出貨明細表-基因檢測(201904起'!$B:$B,E$1,'來案暨出貨明細表-基因檢測(201904起'!$R:$R,"中英")</f>
        <v>0</v>
      </c>
      <c r="F35" s="33">
        <f>COUNTIFS('來案暨出貨明細表-基因檢測(201904起'!$P:$P,$A35&amp;"*",'來案暨出貨明細表-基因檢測(201904起'!$B:$B,F$1)*$B35+COUNTIFS('來案暨出貨明細表-基因檢測(201904起'!$P:$P,$A35&amp;"*",'來案暨出貨明細表-基因檢測(201904起'!$B:$B,F$1,'來案暨出貨明細表-基因檢測(201904起'!$Q:$Q,"紙本&amp;電子")++COUNTIFS('來案暨出貨明細表-基因檢測(201904起'!$P:$P,$A35&amp;"*",'來案暨出貨明細表-基因檢測(201904起'!$B:$B,F$1,'來案暨出貨明細表-基因檢測(201904起'!$R:$R,"中英")</f>
        <v>0</v>
      </c>
      <c r="G35" s="33">
        <f>COUNTIFS('來案暨出貨明細表-基因檢測(201904起'!$P:$P,$A35&amp;"*",'來案暨出貨明細表-基因檢測(201904起'!$B:$B,G$1)*$B35+COUNTIFS('來案暨出貨明細表-基因檢測(201904起'!$P:$P,$A35&amp;"*",'來案暨出貨明細表-基因檢測(201904起'!$B:$B,G$1,'來案暨出貨明細表-基因檢測(201904起'!$Q:$Q,"紙本&amp;電子")++COUNTIFS('來案暨出貨明細表-基因檢測(201904起'!$P:$P,$A35&amp;"*",'來案暨出貨明細表-基因檢測(201904起'!$B:$B,G$1,'來案暨出貨明細表-基因檢測(201904起'!$R:$R,"中英")</f>
        <v>0</v>
      </c>
      <c r="H35" s="33">
        <f>COUNTIFS('來案暨出貨明細表-基因檢測(201904起'!$P:$P,$A35&amp;"*",'來案暨出貨明細表-基因檢測(201904起'!$B:$B,H$1)*$B35+COUNTIFS('來案暨出貨明細表-基因檢測(201904起'!$P:$P,$A35&amp;"*",'來案暨出貨明細表-基因檢測(201904起'!$B:$B,H$1,'來案暨出貨明細表-基因檢測(201904起'!$Q:$Q,"紙本&amp;電子")++COUNTIFS('來案暨出貨明細表-基因檢測(201904起'!$P:$P,$A35&amp;"*",'來案暨出貨明細表-基因檢測(201904起'!$B:$B,H$1,'來案暨出貨明細表-基因檢測(201904起'!$R:$R,"中英")</f>
        <v>0</v>
      </c>
      <c r="I35" s="33">
        <f>COUNTIFS('來案暨出貨明細表-基因檢測(201904起'!$P:$P,$A35&amp;"*",'來案暨出貨明細表-基因檢測(201904起'!$B:$B,I$1)*$B35+COUNTIFS('來案暨出貨明細表-基因檢測(201904起'!$P:$P,$A35&amp;"*",'來案暨出貨明細表-基因檢測(201904起'!$B:$B,I$1,'來案暨出貨明細表-基因檢測(201904起'!$Q:$Q,"紙本&amp;電子")++COUNTIFS('來案暨出貨明細表-基因檢測(201904起'!$P:$P,$A35&amp;"*",'來案暨出貨明細表-基因檢測(201904起'!$B:$B,I$1,'來案暨出貨明細表-基因檢測(201904起'!$R:$R,"中英")</f>
        <v>0</v>
      </c>
      <c r="J35" s="33">
        <f>COUNTIFS('來案暨出貨明細表-基因檢測(201904起'!$P:$P,$A35&amp;"*",'來案暨出貨明細表-基因檢測(201904起'!$B:$B,J$1)*$B35+COUNTIFS('來案暨出貨明細表-基因檢測(201904起'!$P:$P,$A35&amp;"*",'來案暨出貨明細表-基因檢測(201904起'!$B:$B,J$1,'來案暨出貨明細表-基因檢測(201904起'!$Q:$Q,"紙本&amp;電子")++COUNTIFS('來案暨出貨明細表-基因檢測(201904起'!$P:$P,$A35&amp;"*",'來案暨出貨明細表-基因檢測(201904起'!$B:$B,J$1,'來案暨出貨明細表-基因檢測(201904起'!$R:$R,"中英")</f>
        <v>0</v>
      </c>
      <c r="K35" s="33">
        <f>COUNTIFS('來案暨出貨明細表-基因檢測(201904起'!$P:$P,$A35&amp;"*",'來案暨出貨明細表-基因檢測(201904起'!$B:$B,K$1)*$B35+COUNTIFS('來案暨出貨明細表-基因檢測(201904起'!$P:$P,$A35&amp;"*",'來案暨出貨明細表-基因檢測(201904起'!$B:$B,K$1,'來案暨出貨明細表-基因檢測(201904起'!$Q:$Q,"紙本&amp;電子")++COUNTIFS('來案暨出貨明細表-基因檢測(201904起'!$P:$P,$A35&amp;"*",'來案暨出貨明細表-基因檢測(201904起'!$B:$B,K$1,'來案暨出貨明細表-基因檢測(201904起'!$R:$R,"中英")</f>
        <v>0</v>
      </c>
      <c r="L35" s="33">
        <f>COUNTIFS('來案暨出貨明細表-基因檢測(201904起'!$P:$P,$A35&amp;"*",'來案暨出貨明細表-基因檢測(201904起'!$B:$B,L$1)*$B35+COUNTIFS('來案暨出貨明細表-基因檢測(201904起'!$P:$P,$A35&amp;"*",'來案暨出貨明細表-基因檢測(201904起'!$B:$B,L$1,'來案暨出貨明細表-基因檢測(201904起'!$Q:$Q,"紙本&amp;電子")++COUNTIFS('來案暨出貨明細表-基因檢測(201904起'!$P:$P,$A35&amp;"*",'來案暨出貨明細表-基因檢測(201904起'!$B:$B,L$1,'來案暨出貨明細表-基因檢測(201904起'!$R:$R,"中英")</f>
        <v>0</v>
      </c>
      <c r="M35" s="33">
        <f>COUNTIFS('來案暨出貨明細表-基因檢測(201904起'!$P:$P,$A35&amp;"*",'來案暨出貨明細表-基因檢測(201904起'!$B:$B,M$1)*$B35+COUNTIFS('來案暨出貨明細表-基因檢測(201904起'!$P:$P,$A35&amp;"*",'來案暨出貨明細表-基因檢測(201904起'!$B:$B,M$1,'來案暨出貨明細表-基因檢測(201904起'!$Q:$Q,"紙本&amp;電子")++COUNTIFS('來案暨出貨明細表-基因檢測(201904起'!$P:$P,$A35&amp;"*",'來案暨出貨明細表-基因檢測(201904起'!$B:$B,M$1,'來案暨出貨明細表-基因檢測(201904起'!$R:$R,"中英")</f>
        <v>0</v>
      </c>
      <c r="N35" s="33">
        <f>COUNTIFS('來案暨出貨明細表-基因檢測(201904起'!$P:$P,$A35&amp;"*",'來案暨出貨明細表-基因檢測(201904起'!$B:$B,N$1)*$B35+COUNTIFS('來案暨出貨明細表-基因檢測(201904起'!$P:$P,$A35&amp;"*",'來案暨出貨明細表-基因檢測(201904起'!$B:$B,N$1,'來案暨出貨明細表-基因檢測(201904起'!$Q:$Q,"紙本&amp;電子")++COUNTIFS('來案暨出貨明細表-基因檢測(201904起'!$P:$P,$A35&amp;"*",'來案暨出貨明細表-基因檢測(201904起'!$B:$B,N$1,'來案暨出貨明細表-基因檢測(201904起'!$R:$R,"中英")</f>
        <v>0</v>
      </c>
      <c r="O35" s="33">
        <f>COUNTIFS('來案暨出貨明細表-基因檢測(201904起'!$P:$P,$A35&amp;"*",'來案暨出貨明細表-基因檢測(201904起'!$B:$B,O$1)*$B35+COUNTIFS('來案暨出貨明細表-基因檢測(201904起'!$P:$P,$A35&amp;"*",'來案暨出貨明細表-基因檢測(201904起'!$B:$B,O$1,'來案暨出貨明細表-基因檢測(201904起'!$Q:$Q,"紙本&amp;電子")++COUNTIFS('來案暨出貨明細表-基因檢測(201904起'!$P:$P,$A35&amp;"*",'來案暨出貨明細表-基因檢測(201904起'!$B:$B,O$1,'來案暨出貨明細表-基因檢測(201904起'!$R:$R,"中英")</f>
        <v>0</v>
      </c>
      <c r="P35" s="33">
        <f>COUNTIFS('來案暨出貨明細表-基因檢測(201904起'!$P:$P,$A35&amp;"*",'來案暨出貨明細表-基因檢測(201904起'!$B:$B,P$1)*$B35+COUNTIFS('來案暨出貨明細表-基因檢測(201904起'!$P:$P,$A35&amp;"*",'來案暨出貨明細表-基因檢測(201904起'!$B:$B,P$1,'來案暨出貨明細表-基因檢測(201904起'!$Q:$Q,"紙本&amp;電子")++COUNTIFS('來案暨出貨明細表-基因檢測(201904起'!$P:$P,$A35&amp;"*",'來案暨出貨明細表-基因檢測(201904起'!$B:$B,P$1,'來案暨出貨明細表-基因檢測(201904起'!$R:$R,"中英")</f>
        <v>0</v>
      </c>
      <c r="Q35" s="33">
        <f>COUNTIFS('來案暨出貨明細表-基因檢測(201904起'!$P:$P,$A35&amp;"*",'來案暨出貨明細表-基因檢測(201904起'!$B:$B,Q$1)*$B35+COUNTIFS('來案暨出貨明細表-基因檢測(201904起'!$P:$P,$A35&amp;"*",'來案暨出貨明細表-基因檢測(201904起'!$B:$B,Q$1,'來案暨出貨明細表-基因檢測(201904起'!$Q:$Q,"紙本&amp;電子")++COUNTIFS('來案暨出貨明細表-基因檢測(201904起'!$P:$P,$A35&amp;"*",'來案暨出貨明細表-基因檢測(201904起'!$B:$B,Q$1,'來案暨出貨明細表-基因檢測(201904起'!$R:$R,"中英")</f>
        <v>0</v>
      </c>
      <c r="R35" s="33">
        <f>COUNTIFS('來案暨出貨明細表-基因檢測(201904起'!$P:$P,$A35&amp;"*",'來案暨出貨明細表-基因檢測(201904起'!$B:$B,R$1)*$B35+COUNTIFS('來案暨出貨明細表-基因檢測(201904起'!$P:$P,$A35&amp;"*",'來案暨出貨明細表-基因檢測(201904起'!$B:$B,R$1,'來案暨出貨明細表-基因檢測(201904起'!$Q:$Q,"紙本&amp;電子")++COUNTIFS('來案暨出貨明細表-基因檢測(201904起'!$P:$P,$A35&amp;"*",'來案暨出貨明細表-基因檢測(201904起'!$B:$B,R$1,'來案暨出貨明細表-基因檢測(201904起'!$R:$R,"中英")</f>
        <v>0</v>
      </c>
      <c r="S35" s="33">
        <f>COUNTIFS('來案暨出貨明細表-基因檢測(201904起'!$P:$P,$A35&amp;"*",'來案暨出貨明細表-基因檢測(201904起'!$B:$B,S$1)*$B35+COUNTIFS('來案暨出貨明細表-基因檢測(201904起'!$P:$P,$A35&amp;"*",'來案暨出貨明細表-基因檢測(201904起'!$B:$B,S$1,'來案暨出貨明細表-基因檢測(201904起'!$Q:$Q,"紙本&amp;電子")++COUNTIFS('來案暨出貨明細表-基因檢測(201904起'!$P:$P,$A35&amp;"*",'來案暨出貨明細表-基因檢測(201904起'!$B:$B,S$1,'來案暨出貨明細表-基因檢測(201904起'!$R:$R,"中英")</f>
        <v>0</v>
      </c>
      <c r="T35" s="33">
        <f>COUNTIFS('來案暨出貨明細表-基因檢測(201904起'!$P:$P,$A35&amp;"*",'來案暨出貨明細表-基因檢測(201904起'!$B:$B,T$1)*$B35+COUNTIFS('來案暨出貨明細表-基因檢測(201904起'!$P:$P,$A35&amp;"*",'來案暨出貨明細表-基因檢測(201904起'!$B:$B,T$1,'來案暨出貨明細表-基因檢測(201904起'!$Q:$Q,"紙本&amp;電子")++COUNTIFS('來案暨出貨明細表-基因檢測(201904起'!$P:$P,$A35&amp;"*",'來案暨出貨明細表-基因檢測(201904起'!$B:$B,T$1,'來案暨出貨明細表-基因檢測(201904起'!$R:$R,"中英")</f>
        <v>0</v>
      </c>
      <c r="U35" s="33">
        <f>COUNTIFS('來案暨出貨明細表-基因檢測(201904起'!$P:$P,$A35&amp;"*",'來案暨出貨明細表-基因檢測(201904起'!$B:$B,U$1)*$B35+COUNTIFS('來案暨出貨明細表-基因檢測(201904起'!$P:$P,$A35&amp;"*",'來案暨出貨明細表-基因檢測(201904起'!$B:$B,U$1,'來案暨出貨明細表-基因檢測(201904起'!$Q:$Q,"紙本&amp;電子")++COUNTIFS('來案暨出貨明細表-基因檢測(201904起'!$P:$P,$A35&amp;"*",'來案暨出貨明細表-基因檢測(201904起'!$B:$B,U$1,'來案暨出貨明細表-基因檢測(201904起'!$R:$R,"中英")</f>
        <v>0</v>
      </c>
      <c r="V35" s="33">
        <f>COUNTIFS('來案暨出貨明細表-基因檢測(201904起'!$P:$P,$A35&amp;"*",'來案暨出貨明細表-基因檢測(201904起'!$B:$B,V$1)*$B35+COUNTIFS('來案暨出貨明細表-基因檢測(201904起'!$P:$P,$A35&amp;"*",'來案暨出貨明細表-基因檢測(201904起'!$B:$B,V$1,'來案暨出貨明細表-基因檢測(201904起'!$Q:$Q,"紙本&amp;電子")++COUNTIFS('來案暨出貨明細表-基因檢測(201904起'!$P:$P,$A35&amp;"*",'來案暨出貨明細表-基因檢測(201904起'!$B:$B,V$1,'來案暨出貨明細表-基因檢測(201904起'!$R:$R,"中英")</f>
        <v>0</v>
      </c>
      <c r="W35" s="33">
        <f>COUNTIFS('來案暨出貨明細表-基因檢測(201904起'!$P:$P,$A35&amp;"*",'來案暨出貨明細表-基因檢測(201904起'!$B:$B,W$1)*$B35+COUNTIFS('來案暨出貨明細表-基因檢測(201904起'!$P:$P,$A35&amp;"*",'來案暨出貨明細表-基因檢測(201904起'!$B:$B,W$1,'來案暨出貨明細表-基因檢測(201904起'!$Q:$Q,"紙本&amp;電子")++COUNTIFS('來案暨出貨明細表-基因檢測(201904起'!$P:$P,$A35&amp;"*",'來案暨出貨明細表-基因檢測(201904起'!$B:$B,W$1,'來案暨出貨明細表-基因檢測(201904起'!$R:$R,"中英")</f>
        <v>0</v>
      </c>
      <c r="X35" s="33">
        <f>COUNTIFS('來案暨出貨明細表-基因檢測(201904起'!$P:$P,$A35&amp;"*",'來案暨出貨明細表-基因檢測(201904起'!$B:$B,X$1)*$B35+COUNTIFS('來案暨出貨明細表-基因檢測(201904起'!$P:$P,$A35&amp;"*",'來案暨出貨明細表-基因檢測(201904起'!$B:$B,X$1,'來案暨出貨明細表-基因檢測(201904起'!$Q:$Q,"紙本&amp;電子")++COUNTIFS('來案暨出貨明細表-基因檢測(201904起'!$P:$P,$A35&amp;"*",'來案暨出貨明細表-基因檢測(201904起'!$B:$B,X$1,'來案暨出貨明細表-基因檢測(201904起'!$R:$R,"中英")</f>
        <v>0</v>
      </c>
      <c r="Y35" s="33">
        <f>COUNTIFS('來案暨出貨明細表-基因檢測(201904起'!$P:$P,$A35&amp;"*",'來案暨出貨明細表-基因檢測(201904起'!$B:$B,Y$1)*$B35+COUNTIFS('來案暨出貨明細表-基因檢測(201904起'!$P:$P,$A35&amp;"*",'來案暨出貨明細表-基因檢測(201904起'!$B:$B,Y$1,'來案暨出貨明細表-基因檢測(201904起'!$Q:$Q,"紙本&amp;電子")++COUNTIFS('來案暨出貨明細表-基因檢測(201904起'!$P:$P,$A35&amp;"*",'來案暨出貨明細表-基因檢測(201904起'!$B:$B,Y$1,'來案暨出貨明細表-基因檢測(201904起'!$R:$R,"中英")</f>
        <v>0</v>
      </c>
      <c r="Z35" s="33">
        <f>COUNTIFS('來案暨出貨明細表-基因檢測(201904起'!$P:$P,$A35&amp;"*",'來案暨出貨明細表-基因檢測(201904起'!$B:$B,Z$1)*$B35+COUNTIFS('來案暨出貨明細表-基因檢測(201904起'!$P:$P,$A35&amp;"*",'來案暨出貨明細表-基因檢測(201904起'!$B:$B,Z$1,'來案暨出貨明細表-基因檢測(201904起'!$Q:$Q,"紙本&amp;電子")++COUNTIFS('來案暨出貨明細表-基因檢測(201904起'!$P:$P,$A35&amp;"*",'來案暨出貨明細表-基因檢測(201904起'!$B:$B,Z$1,'來案暨出貨明細表-基因檢測(201904起'!$R:$R,"中英")</f>
        <v>0</v>
      </c>
      <c r="AA35" s="33">
        <f>COUNTIFS('來案暨出貨明細表-基因檢測(201904起'!$P:$P,$A35&amp;"*",'來案暨出貨明細表-基因檢測(201904起'!$B:$B,AA$1)*$B35+COUNTIFS('來案暨出貨明細表-基因檢測(201904起'!$P:$P,$A35&amp;"*",'來案暨出貨明細表-基因檢測(201904起'!$B:$B,AA$1,'來案暨出貨明細表-基因檢測(201904起'!$Q:$Q,"紙本&amp;電子")++COUNTIFS('來案暨出貨明細表-基因檢測(201904起'!$P:$P,$A35&amp;"*",'來案暨出貨明細表-基因檢測(201904起'!$B:$B,AA$1,'來案暨出貨明細表-基因檢測(201904起'!$R:$R,"中英")</f>
        <v>0</v>
      </c>
      <c r="AB35" s="33">
        <f>COUNTIFS('來案暨出貨明細表-基因檢測(201904起'!$P:$P,$A35&amp;"*",'來案暨出貨明細表-基因檢測(201904起'!$B:$B,AB$1)*$B35+COUNTIFS('來案暨出貨明細表-基因檢測(201904起'!$P:$P,$A35&amp;"*",'來案暨出貨明細表-基因檢測(201904起'!$B:$B,AB$1,'來案暨出貨明細表-基因檢測(201904起'!$Q:$Q,"紙本&amp;電子")++COUNTIFS('來案暨出貨明細表-基因檢測(201904起'!$P:$P,$A35&amp;"*",'來案暨出貨明細表-基因檢測(201904起'!$B:$B,AB$1,'來案暨出貨明細表-基因檢測(201904起'!$R:$R,"中英")</f>
        <v>0</v>
      </c>
      <c r="AC35" s="33">
        <f>COUNTIFS('來案暨出貨明細表-基因檢測(201904起'!$P:$P,$A35&amp;"*",'來案暨出貨明細表-基因檢測(201904起'!$B:$B,AC$1)*$B35+COUNTIFS('來案暨出貨明細表-基因檢測(201904起'!$P:$P,$A35&amp;"*",'來案暨出貨明細表-基因檢測(201904起'!$B:$B,AC$1,'來案暨出貨明細表-基因檢測(201904起'!$Q:$Q,"紙本&amp;電子")++COUNTIFS('來案暨出貨明細表-基因檢測(201904起'!$P:$P,$A35&amp;"*",'來案暨出貨明細表-基因檢測(201904起'!$B:$B,AC$1,'來案暨出貨明細表-基因檢測(201904起'!$R:$R,"中英")</f>
        <v>0</v>
      </c>
      <c r="AD35" s="33">
        <f>COUNTIFS('來案暨出貨明細表-基因檢測(201904起'!$P:$P,$A35&amp;"*",'來案暨出貨明細表-基因檢測(201904起'!$B:$B,AD$1)*$B35+COUNTIFS('來案暨出貨明細表-基因檢測(201904起'!$P:$P,$A35&amp;"*",'來案暨出貨明細表-基因檢測(201904起'!$B:$B,AD$1,'來案暨出貨明細表-基因檢測(201904起'!$Q:$Q,"紙本&amp;電子")++COUNTIFS('來案暨出貨明細表-基因檢測(201904起'!$P:$P,$A35&amp;"*",'來案暨出貨明細表-基因檢測(201904起'!$B:$B,AD$1,'來案暨出貨明細表-基因檢測(201904起'!$R:$R,"中英")</f>
        <v>0</v>
      </c>
      <c r="AE35" s="33">
        <f>COUNTIFS('來案暨出貨明細表-基因檢測(201904起'!$P:$P,$A35&amp;"*",'來案暨出貨明細表-基因檢測(201904起'!$B:$B,AE$1)*$B35+COUNTIFS('來案暨出貨明細表-基因檢測(201904起'!$P:$P,$A35&amp;"*",'來案暨出貨明細表-基因檢測(201904起'!$B:$B,AE$1,'來案暨出貨明細表-基因檢測(201904起'!$Q:$Q,"紙本&amp;電子")++COUNTIFS('來案暨出貨明細表-基因檢測(201904起'!$P:$P,$A35&amp;"*",'來案暨出貨明細表-基因檢測(201904起'!$B:$B,AE$1,'來案暨出貨明細表-基因檢測(201904起'!$R:$R,"中英")</f>
        <v>0</v>
      </c>
      <c r="AF35" s="33">
        <f>COUNTIFS('來案暨出貨明細表-基因檢測(201904起'!$P:$P,$A35&amp;"*",'來案暨出貨明細表-基因檢測(201904起'!$B:$B,AF$1)*$B35+COUNTIFS('來案暨出貨明細表-基因檢測(201904起'!$P:$P,$A35&amp;"*",'來案暨出貨明細表-基因檢測(201904起'!$B:$B,AF$1,'來案暨出貨明細表-基因檢測(201904起'!$Q:$Q,"紙本&amp;電子")++COUNTIFS('來案暨出貨明細表-基因檢測(201904起'!$P:$P,$A35&amp;"*",'來案暨出貨明細表-基因檢測(201904起'!$B:$B,AF$1,'來案暨出貨明細表-基因檢測(201904起'!$R:$R,"中英")</f>
        <v>0</v>
      </c>
      <c r="AG35" s="33">
        <f>COUNTIFS('來案暨出貨明細表-基因檢測(201904起'!$P:$P,$A35&amp;"*",'來案暨出貨明細表-基因檢測(201904起'!$B:$B,AG$1)*$B35+COUNTIFS('來案暨出貨明細表-基因檢測(201904起'!$P:$P,$A35&amp;"*",'來案暨出貨明細表-基因檢測(201904起'!$B:$B,AG$1,'來案暨出貨明細表-基因檢測(201904起'!$Q:$Q,"紙本&amp;電子")++COUNTIFS('來案暨出貨明細表-基因檢測(201904起'!$P:$P,$A35&amp;"*",'來案暨出貨明細表-基因檢測(201904起'!$B:$B,AG$1,'來案暨出貨明細表-基因檢測(201904起'!$R:$R,"中英")</f>
        <v>0</v>
      </c>
      <c r="AH35" s="33">
        <f>COUNTIFS('來案暨出貨明細表-基因檢測(201904起'!$P:$P,$A35&amp;"*",'來案暨出貨明細表-基因檢測(201904起'!$B:$B,AH$1)*$B35+COUNTIFS('來案暨出貨明細表-基因檢測(201904起'!$P:$P,$A35&amp;"*",'來案暨出貨明細表-基因檢測(201904起'!$B:$B,AH$1,'來案暨出貨明細表-基因檢測(201904起'!$Q:$Q,"紙本&amp;電子")++COUNTIFS('來案暨出貨明細表-基因檢測(201904起'!$P:$P,$A35&amp;"*",'來案暨出貨明細表-基因檢測(201904起'!$B:$B,AH$1,'來案暨出貨明細表-基因檢測(201904起'!$R:$R,"中英")</f>
        <v>0</v>
      </c>
      <c r="AI35" s="33">
        <f>COUNTIFS('來案暨出貨明細表-基因檢測(201904起'!$P:$P,$A35&amp;"*",'來案暨出貨明細表-基因檢測(201904起'!$B:$B,AI$1)*$B35+COUNTIFS('來案暨出貨明細表-基因檢測(201904起'!$P:$P,$A35&amp;"*",'來案暨出貨明細表-基因檢測(201904起'!$B:$B,AI$1,'來案暨出貨明細表-基因檢測(201904起'!$Q:$Q,"紙本&amp;電子")++COUNTIFS('來案暨出貨明細表-基因檢測(201904起'!$P:$P,$A35&amp;"*",'來案暨出貨明細表-基因檢測(201904起'!$B:$B,AI$1,'來案暨出貨明細表-基因檢測(201904起'!$R:$R,"中英")</f>
        <v>0</v>
      </c>
      <c r="AJ35" s="33">
        <f>COUNTIFS('來案暨出貨明細表-基因檢測(201904起'!$P:$P,$A35&amp;"*",'來案暨出貨明細表-基因檢測(201904起'!$B:$B,AJ$1)*$B35+COUNTIFS('來案暨出貨明細表-基因檢測(201904起'!$P:$P,$A35&amp;"*",'來案暨出貨明細表-基因檢測(201904起'!$B:$B,AJ$1,'來案暨出貨明細表-基因檢測(201904起'!$Q:$Q,"紙本&amp;電子")++COUNTIFS('來案暨出貨明細表-基因檢測(201904起'!$P:$P,$A35&amp;"*",'來案暨出貨明細表-基因檢測(201904起'!$B:$B,AJ$1,'來案暨出貨明細表-基因檢測(201904起'!$R:$R,"中英")</f>
        <v>0</v>
      </c>
      <c r="AK35" s="33">
        <f>COUNTIFS('來案暨出貨明細表-基因檢測(201904起'!$P:$P,$A35&amp;"*",'來案暨出貨明細表-基因檢測(201904起'!$B:$B,AK$1)*$B35+COUNTIFS('來案暨出貨明細表-基因檢測(201904起'!$P:$P,$A35&amp;"*",'來案暨出貨明細表-基因檢測(201904起'!$B:$B,AK$1,'來案暨出貨明細表-基因檢測(201904起'!$Q:$Q,"紙本&amp;電子")++COUNTIFS('來案暨出貨明細表-基因檢測(201904起'!$P:$P,$A35&amp;"*",'來案暨出貨明細表-基因檢測(201904起'!$B:$B,AK$1,'來案暨出貨明細表-基因檢測(201904起'!$R:$R,"中英")</f>
        <v>0</v>
      </c>
      <c r="AL35" s="33">
        <f>COUNTIFS('來案暨出貨明細表-基因檢測(201904起'!$P:$P,$A35&amp;"*",'來案暨出貨明細表-基因檢測(201904起'!$B:$B,AL$1)*$B35+COUNTIFS('來案暨出貨明細表-基因檢測(201904起'!$P:$P,$A35&amp;"*",'來案暨出貨明細表-基因檢測(201904起'!$B:$B,AL$1,'來案暨出貨明細表-基因檢測(201904起'!$Q:$Q,"紙本&amp;電子")++COUNTIFS('來案暨出貨明細表-基因檢測(201904起'!$P:$P,$A35&amp;"*",'來案暨出貨明細表-基因檢測(201904起'!$B:$B,AL$1,'來案暨出貨明細表-基因檢測(201904起'!$R:$R,"中英")</f>
        <v>0</v>
      </c>
      <c r="AM35" s="33">
        <f>COUNTIFS('來案暨出貨明細表-基因檢測(201904起'!$P:$P,$A35&amp;"*",'來案暨出貨明細表-基因檢測(201904起'!$B:$B,AM$1)*$B35+COUNTIFS('來案暨出貨明細表-基因檢測(201904起'!$P:$P,$A35&amp;"*",'來案暨出貨明細表-基因檢測(201904起'!$B:$B,AM$1,'來案暨出貨明細表-基因檢測(201904起'!$Q:$Q,"紙本&amp;電子")++COUNTIFS('來案暨出貨明細表-基因檢測(201904起'!$P:$P,$A35&amp;"*",'來案暨出貨明細表-基因檢測(201904起'!$B:$B,AM$1,'來案暨出貨明細表-基因檢測(201904起'!$R:$R,"中英")</f>
        <v>0</v>
      </c>
      <c r="AN35" s="33">
        <f>COUNTIFS('來案暨出貨明細表-基因檢測(201904起'!$P:$P,$A35&amp;"*",'來案暨出貨明細表-基因檢測(201904起'!$B:$B,AN$1)*$B35+COUNTIFS('來案暨出貨明細表-基因檢測(201904起'!$P:$P,$A35&amp;"*",'來案暨出貨明細表-基因檢測(201904起'!$B:$B,AN$1,'來案暨出貨明細表-基因檢測(201904起'!$Q:$Q,"紙本&amp;電子")++COUNTIFS('來案暨出貨明細表-基因檢測(201904起'!$P:$P,$A35&amp;"*",'來案暨出貨明細表-基因檢測(201904起'!$B:$B,AN$1,'來案暨出貨明細表-基因檢測(201904起'!$R:$R,"中英")</f>
        <v>0</v>
      </c>
      <c r="AO35" s="33">
        <f>COUNTIFS('來案暨出貨明細表-基因檢測(201904起'!$P:$P,$A35&amp;"*",'來案暨出貨明細表-基因檢測(201904起'!$B:$B,AO$1)*$B35+COUNTIFS('來案暨出貨明細表-基因檢測(201904起'!$P:$P,$A35&amp;"*",'來案暨出貨明細表-基因檢測(201904起'!$B:$B,AO$1,'來案暨出貨明細表-基因檢測(201904起'!$Q:$Q,"紙本&amp;電子")++COUNTIFS('來案暨出貨明細表-基因檢測(201904起'!$P:$P,$A35&amp;"*",'來案暨出貨明細表-基因檢測(201904起'!$B:$B,AO$1,'來案暨出貨明細表-基因檢測(201904起'!$R:$R,"中英")</f>
        <v>0</v>
      </c>
      <c r="AP35" s="33">
        <f>COUNTIFS('來案暨出貨明細表-基因檢測(201904起'!$P:$P,$A35&amp;"*",'來案暨出貨明細表-基因檢測(201904起'!$B:$B,AP$1)*$B35+COUNTIFS('來案暨出貨明細表-基因檢測(201904起'!$P:$P,$A35&amp;"*",'來案暨出貨明細表-基因檢測(201904起'!$B:$B,AP$1,'來案暨出貨明細表-基因檢測(201904起'!$Q:$Q,"紙本&amp;電子")++COUNTIFS('來案暨出貨明細表-基因檢測(201904起'!$P:$P,$A35&amp;"*",'來案暨出貨明細表-基因檢測(201904起'!$B:$B,AP$1,'來案暨出貨明細表-基因檢測(201904起'!$R:$R,"中英")</f>
        <v>0</v>
      </c>
      <c r="AQ35" s="33">
        <f>COUNTIFS('來案暨出貨明細表-基因檢測(201904起'!$P:$P,$A35&amp;"*",'來案暨出貨明細表-基因檢測(201904起'!$B:$B,AQ$1)*$B35+COUNTIFS('來案暨出貨明細表-基因檢測(201904起'!$P:$P,$A35&amp;"*",'來案暨出貨明細表-基因檢測(201904起'!$B:$B,AQ$1,'來案暨出貨明細表-基因檢測(201904起'!$Q:$Q,"紙本&amp;電子")++COUNTIFS('來案暨出貨明細表-基因檢測(201904起'!$P:$P,$A35&amp;"*",'來案暨出貨明細表-基因檢測(201904起'!$B:$B,AQ$1,'來案暨出貨明細表-基因檢測(201904起'!$R:$R,"中英")</f>
        <v>0</v>
      </c>
      <c r="AR35" s="33">
        <f>COUNTIFS('來案暨出貨明細表-基因檢測(201904起'!$P:$P,$A35&amp;"*",'來案暨出貨明細表-基因檢測(201904起'!$B:$B,AR$1)*$B35+COUNTIFS('來案暨出貨明細表-基因檢測(201904起'!$P:$P,$A35&amp;"*",'來案暨出貨明細表-基因檢測(201904起'!$B:$B,AR$1,'來案暨出貨明細表-基因檢測(201904起'!$Q:$Q,"紙本&amp;電子")++COUNTIFS('來案暨出貨明細表-基因檢測(201904起'!$P:$P,$A35&amp;"*",'來案暨出貨明細表-基因檢測(201904起'!$B:$B,AR$1,'來案暨出貨明細表-基因檢測(201904起'!$R:$R,"中英")</f>
        <v>0</v>
      </c>
      <c r="AS35" s="33">
        <f>COUNTIFS('來案暨出貨明細表-基因檢測(201904起'!$P:$P,$A35&amp;"*",'來案暨出貨明細表-基因檢測(201904起'!$B:$B,AS$1)*$B35+COUNTIFS('來案暨出貨明細表-基因檢測(201904起'!$P:$P,$A35&amp;"*",'來案暨出貨明細表-基因檢測(201904起'!$B:$B,AS$1,'來案暨出貨明細表-基因檢測(201904起'!$Q:$Q,"紙本&amp;電子")++COUNTIFS('來案暨出貨明細表-基因檢測(201904起'!$P:$P,$A35&amp;"*",'來案暨出貨明細表-基因檢測(201904起'!$B:$B,AS$1,'來案暨出貨明細表-基因檢測(201904起'!$R:$R,"中英")</f>
        <v>0</v>
      </c>
      <c r="AT35" s="33">
        <f>COUNTIFS('來案暨出貨明細表-基因檢測(201904起'!$P:$P,$A35&amp;"*",'來案暨出貨明細表-基因檢測(201904起'!$B:$B,AT$1)*$B35+COUNTIFS('來案暨出貨明細表-基因檢測(201904起'!$P:$P,$A35&amp;"*",'來案暨出貨明細表-基因檢測(201904起'!$B:$B,AT$1,'來案暨出貨明細表-基因檢測(201904起'!$Q:$Q,"紙本&amp;電子")++COUNTIFS('來案暨出貨明細表-基因檢測(201904起'!$P:$P,$A35&amp;"*",'來案暨出貨明細表-基因檢測(201904起'!$B:$B,AT$1,'來案暨出貨明細表-基因檢測(201904起'!$R:$R,"中英")</f>
        <v>0</v>
      </c>
      <c r="AU35" s="33">
        <f>COUNTIFS('來案暨出貨明細表-基因檢測(201904起'!$P:$P,$A35&amp;"*",'來案暨出貨明細表-基因檢測(201904起'!$B:$B,AU$1)*$B35+COUNTIFS('來案暨出貨明細表-基因檢測(201904起'!$P:$P,$A35&amp;"*",'來案暨出貨明細表-基因檢測(201904起'!$B:$B,AU$1,'來案暨出貨明細表-基因檢測(201904起'!$Q:$Q,"紙本&amp;電子")++COUNTIFS('來案暨出貨明細表-基因檢測(201904起'!$P:$P,$A35&amp;"*",'來案暨出貨明細表-基因檢測(201904起'!$B:$B,AU$1,'來案暨出貨明細表-基因檢測(201904起'!$R:$R,"中英")</f>
        <v>0</v>
      </c>
      <c r="AV35" s="33">
        <f>COUNTIFS('來案暨出貨明細表-基因檢測(201904起'!$P:$P,$A35&amp;"*",'來案暨出貨明細表-基因檢測(201904起'!$B:$B,AV$1)*$B35+COUNTIFS('來案暨出貨明細表-基因檢測(201904起'!$P:$P,$A35&amp;"*",'來案暨出貨明細表-基因檢測(201904起'!$B:$B,AV$1,'來案暨出貨明細表-基因檢測(201904起'!$Q:$Q,"紙本&amp;電子")++COUNTIFS('來案暨出貨明細表-基因檢測(201904起'!$P:$P,$A35&amp;"*",'來案暨出貨明細表-基因檢測(201904起'!$B:$B,AV$1,'來案暨出貨明細表-基因檢測(201904起'!$R:$R,"中英")</f>
        <v>0</v>
      </c>
      <c r="AW35" s="33">
        <f>COUNTIFS('來案暨出貨明細表-基因檢測(201904起'!$P:$P,$A35&amp;"*",'來案暨出貨明細表-基因檢測(201904起'!$B:$B,AW$1)*$B35+COUNTIFS('來案暨出貨明細表-基因檢測(201904起'!$P:$P,$A35&amp;"*",'來案暨出貨明細表-基因檢測(201904起'!$B:$B,AW$1,'來案暨出貨明細表-基因檢測(201904起'!$Q:$Q,"紙本&amp;電子")++COUNTIFS('來案暨出貨明細表-基因檢測(201904起'!$P:$P,$A35&amp;"*",'來案暨出貨明細表-基因檢測(201904起'!$B:$B,AW$1,'來案暨出貨明細表-基因檢測(201904起'!$R:$R,"中英")</f>
        <v>0</v>
      </c>
      <c r="AX35" s="33">
        <f>COUNTIFS('來案暨出貨明細表-基因檢測(201904起'!$P:$P,$A35&amp;"*",'來案暨出貨明細表-基因檢測(201904起'!$B:$B,AX$1)*$B35+COUNTIFS('來案暨出貨明細表-基因檢測(201904起'!$P:$P,$A35&amp;"*",'來案暨出貨明細表-基因檢測(201904起'!$B:$B,AX$1,'來案暨出貨明細表-基因檢測(201904起'!$Q:$Q,"紙本&amp;電子")++COUNTIFS('來案暨出貨明細表-基因檢測(201904起'!$P:$P,$A35&amp;"*",'來案暨出貨明細表-基因檢測(201904起'!$B:$B,AX$1,'來案暨出貨明細表-基因檢測(201904起'!$R:$R,"中英")</f>
        <v>0</v>
      </c>
      <c r="AY35" s="33">
        <f>COUNTIFS('來案暨出貨明細表-基因檢測(201904起'!$P:$P,$A35&amp;"*",'來案暨出貨明細表-基因檢測(201904起'!$B:$B,AY$1)*$B35+COUNTIFS('來案暨出貨明細表-基因檢測(201904起'!$P:$P,$A35&amp;"*",'來案暨出貨明細表-基因檢測(201904起'!$B:$B,AY$1,'來案暨出貨明細表-基因檢測(201904起'!$Q:$Q,"紙本&amp;電子")++COUNTIFS('來案暨出貨明細表-基因檢測(201904起'!$P:$P,$A35&amp;"*",'來案暨出貨明細表-基因檢測(201904起'!$B:$B,AY$1,'來案暨出貨明細表-基因檢測(201904起'!$R:$R,"中英")</f>
        <v>0</v>
      </c>
      <c r="AZ35" s="33">
        <f>COUNTIFS('來案暨出貨明細表-基因檢測(201904起'!$P:$P,$A35&amp;"*",'來案暨出貨明細表-基因檢測(201904起'!$B:$B,AZ$1)*$B35+COUNTIFS('來案暨出貨明細表-基因檢測(201904起'!$P:$P,$A35&amp;"*",'來案暨出貨明細表-基因檢測(201904起'!$B:$B,AZ$1,'來案暨出貨明細表-基因檢測(201904起'!$Q:$Q,"紙本&amp;電子")++COUNTIFS('來案暨出貨明細表-基因檢測(201904起'!$P:$P,$A35&amp;"*",'來案暨出貨明細表-基因檢測(201904起'!$B:$B,AZ$1,'來案暨出貨明細表-基因檢測(201904起'!$R:$R,"中英")</f>
        <v>0</v>
      </c>
      <c r="BA35" s="33">
        <f>COUNTIFS('來案暨出貨明細表-基因檢測(201904起'!$P:$P,$A35&amp;"*",'來案暨出貨明細表-基因檢測(201904起'!$B:$B,BA$1)*$B35+COUNTIFS('來案暨出貨明細表-基因檢測(201904起'!$P:$P,$A35&amp;"*",'來案暨出貨明細表-基因檢測(201904起'!$B:$B,BA$1,'來案暨出貨明細表-基因檢測(201904起'!$Q:$Q,"紙本&amp;電子")++COUNTIFS('來案暨出貨明細表-基因檢測(201904起'!$P:$P,$A35&amp;"*",'來案暨出貨明細表-基因檢測(201904起'!$B:$B,BA$1,'來案暨出貨明細表-基因檢測(201904起'!$R:$R,"中英")</f>
        <v>0</v>
      </c>
      <c r="BB35" s="33">
        <f>COUNTIFS('來案暨出貨明細表-基因檢測(201904起'!$P:$P,$A35&amp;"*",'來案暨出貨明細表-基因檢測(201904起'!$B:$B,BB$1)*$B35+COUNTIFS('來案暨出貨明細表-基因檢測(201904起'!$P:$P,$A35&amp;"*",'來案暨出貨明細表-基因檢測(201904起'!$B:$B,BB$1,'來案暨出貨明細表-基因檢測(201904起'!$Q:$Q,"紙本&amp;電子")++COUNTIFS('來案暨出貨明細表-基因檢測(201904起'!$P:$P,$A35&amp;"*",'來案暨出貨明細表-基因檢測(201904起'!$B:$B,BB$1,'來案暨出貨明細表-基因檢測(201904起'!$R:$R,"中英")</f>
        <v>0</v>
      </c>
      <c r="BC35" s="33">
        <f>COUNTIFS('來案暨出貨明細表-基因檢測(201904起'!$P:$P,$A35&amp;"*",'來案暨出貨明細表-基因檢測(201904起'!$B:$B,BC$1)*$B35+COUNTIFS('來案暨出貨明細表-基因檢測(201904起'!$P:$P,$A35&amp;"*",'來案暨出貨明細表-基因檢測(201904起'!$B:$B,BC$1,'來案暨出貨明細表-基因檢測(201904起'!$Q:$Q,"紙本&amp;電子")++COUNTIFS('來案暨出貨明細表-基因檢測(201904起'!$P:$P,$A35&amp;"*",'來案暨出貨明細表-基因檢測(201904起'!$B:$B,BC$1,'來案暨出貨明細表-基因檢測(201904起'!$R:$R,"中英")</f>
        <v>0</v>
      </c>
      <c r="BD35" s="33">
        <f>COUNTIFS('來案暨出貨明細表-基因檢測(201904起'!$P:$P,$A35&amp;"*",'來案暨出貨明細表-基因檢測(201904起'!$B:$B,BD$1)*$B35+COUNTIFS('來案暨出貨明細表-基因檢測(201904起'!$P:$P,$A35&amp;"*",'來案暨出貨明細表-基因檢測(201904起'!$B:$B,BD$1,'來案暨出貨明細表-基因檢測(201904起'!$Q:$Q,"紙本&amp;電子")++COUNTIFS('來案暨出貨明細表-基因檢測(201904起'!$P:$P,$A35&amp;"*",'來案暨出貨明細表-基因檢測(201904起'!$B:$B,BD$1,'來案暨出貨明細表-基因檢測(201904起'!$R:$R,"中英")</f>
        <v>0</v>
      </c>
      <c r="BE35" s="33">
        <f>COUNTIFS('來案暨出貨明細表-基因檢測(201904起'!$P:$P,$A35&amp;"*",'來案暨出貨明細表-基因檢測(201904起'!$B:$B,BE$1)*$B35+COUNTIFS('來案暨出貨明細表-基因檢測(201904起'!$P:$P,$A35&amp;"*",'來案暨出貨明細表-基因檢測(201904起'!$B:$B,BE$1,'來案暨出貨明細表-基因檢測(201904起'!$Q:$Q,"紙本&amp;電子")++COUNTIFS('來案暨出貨明細表-基因檢測(201904起'!$P:$P,$A35&amp;"*",'來案暨出貨明細表-基因檢測(201904起'!$B:$B,BE$1,'來案暨出貨明細表-基因檢測(201904起'!$R:$R,"中英")</f>
        <v>0</v>
      </c>
      <c r="BF35" s="33">
        <f>COUNTIFS('來案暨出貨明細表-基因檢測(201904起'!$P:$P,$A35&amp;"*",'來案暨出貨明細表-基因檢測(201904起'!$B:$B,BF$1)*$B35+COUNTIFS('來案暨出貨明細表-基因檢測(201904起'!$P:$P,$A35&amp;"*",'來案暨出貨明細表-基因檢測(201904起'!$B:$B,BF$1,'來案暨出貨明細表-基因檢測(201904起'!$Q:$Q,"紙本&amp;電子")++COUNTIFS('來案暨出貨明細表-基因檢測(201904起'!$P:$P,$A35&amp;"*",'來案暨出貨明細表-基因檢測(201904起'!$B:$B,BF$1,'來案暨出貨明細表-基因檢測(201904起'!$R:$R,"中英")</f>
        <v>0</v>
      </c>
      <c r="BG35" s="33">
        <f>COUNTIFS('來案暨出貨明細表-基因檢測(201904起'!$P:$P,$A35&amp;"*",'來案暨出貨明細表-基因檢測(201904起'!$B:$B,BG$1)*$B35+COUNTIFS('來案暨出貨明細表-基因檢測(201904起'!$P:$P,$A35&amp;"*",'來案暨出貨明細表-基因檢測(201904起'!$B:$B,BG$1,'來案暨出貨明細表-基因檢測(201904起'!$Q:$Q,"紙本&amp;電子")++COUNTIFS('來案暨出貨明細表-基因檢測(201904起'!$P:$P,$A35&amp;"*",'來案暨出貨明細表-基因檢測(201904起'!$B:$B,BG$1,'來案暨出貨明細表-基因檢測(201904起'!$R:$R,"中英")</f>
        <v>0</v>
      </c>
      <c r="BH35" s="33">
        <f>COUNTIFS('來案暨出貨明細表-基因檢測(201904起'!$P:$P,$A35&amp;"*",'來案暨出貨明細表-基因檢測(201904起'!$B:$B,BH$1)*$B35+COUNTIFS('來案暨出貨明細表-基因檢測(201904起'!$P:$P,$A35&amp;"*",'來案暨出貨明細表-基因檢測(201904起'!$B:$B,BH$1,'來案暨出貨明細表-基因檢測(201904起'!$Q:$Q,"紙本&amp;電子")++COUNTIFS('來案暨出貨明細表-基因檢測(201904起'!$P:$P,$A35&amp;"*",'來案暨出貨明細表-基因檢測(201904起'!$B:$B,BH$1,'來案暨出貨明細表-基因檢測(201904起'!$R:$R,"中英")</f>
        <v>0</v>
      </c>
      <c r="BI35" s="33">
        <f>COUNTIFS('來案暨出貨明細表-基因檢測(201904起'!$P:$P,$A35&amp;"*",'來案暨出貨明細表-基因檢測(201904起'!$B:$B,BI$1)*$B35+COUNTIFS('來案暨出貨明細表-基因檢測(201904起'!$P:$P,$A35&amp;"*",'來案暨出貨明細表-基因檢測(201904起'!$B:$B,BI$1,'來案暨出貨明細表-基因檢測(201904起'!$Q:$Q,"紙本&amp;電子")++COUNTIFS('來案暨出貨明細表-基因檢測(201904起'!$P:$P,$A35&amp;"*",'來案暨出貨明細表-基因檢測(201904起'!$B:$B,BI$1,'來案暨出貨明細表-基因檢測(201904起'!$R:$R,"中英")</f>
        <v>0</v>
      </c>
      <c r="BJ35" s="33">
        <f>COUNTIFS('來案暨出貨明細表-基因檢測(201904起'!$P:$P,$A35&amp;"*",'來案暨出貨明細表-基因檢測(201904起'!$B:$B,BJ$1)*$B35+COUNTIFS('來案暨出貨明細表-基因檢測(201904起'!$P:$P,$A35&amp;"*",'來案暨出貨明細表-基因檢測(201904起'!$B:$B,BJ$1,'來案暨出貨明細表-基因檢測(201904起'!$Q:$Q,"紙本&amp;電子")++COUNTIFS('來案暨出貨明細表-基因檢測(201904起'!$P:$P,$A35&amp;"*",'來案暨出貨明細表-基因檢測(201904起'!$B:$B,BJ$1,'來案暨出貨明細表-基因檢測(201904起'!$R:$R,"中英")</f>
        <v>0</v>
      </c>
      <c r="BK35" s="33">
        <f>COUNTIFS('來案暨出貨明細表-基因檢測(201904起'!$P:$P,$A35&amp;"*",'來案暨出貨明細表-基因檢測(201904起'!$B:$B,BK$1)*$B35+COUNTIFS('來案暨出貨明細表-基因檢測(201904起'!$P:$P,$A35&amp;"*",'來案暨出貨明細表-基因檢測(201904起'!$B:$B,BK$1,'來案暨出貨明細表-基因檢測(201904起'!$Q:$Q,"紙本&amp;電子")++COUNTIFS('來案暨出貨明細表-基因檢測(201904起'!$P:$P,$A35&amp;"*",'來案暨出貨明細表-基因檢測(201904起'!$B:$B,BK$1,'來案暨出貨明細表-基因檢測(201904起'!$R:$R,"中英")</f>
        <v>0</v>
      </c>
      <c r="BL35" s="33">
        <f>COUNTIFS('來案暨出貨明細表-基因檢測(201904起'!$P:$P,$A35&amp;"*",'來案暨出貨明細表-基因檢測(201904起'!$B:$B,BL$1)*$B35+COUNTIFS('來案暨出貨明細表-基因檢測(201904起'!$P:$P,$A35&amp;"*",'來案暨出貨明細表-基因檢測(201904起'!$B:$B,BL$1,'來案暨出貨明細表-基因檢測(201904起'!$Q:$Q,"紙本&amp;電子")++COUNTIFS('來案暨出貨明細表-基因檢測(201904起'!$P:$P,$A35&amp;"*",'來案暨出貨明細表-基因檢測(201904起'!$B:$B,BL$1,'來案暨出貨明細表-基因檢測(201904起'!$R:$R,"中英")</f>
        <v>0</v>
      </c>
      <c r="BM35" s="33">
        <f>COUNTIFS('來案暨出貨明細表-基因檢測(201904起'!$P:$P,$A35&amp;"*",'來案暨出貨明細表-基因檢測(201904起'!$B:$B,BM$1)*$B35+COUNTIFS('來案暨出貨明細表-基因檢測(201904起'!$P:$P,$A35&amp;"*",'來案暨出貨明細表-基因檢測(201904起'!$B:$B,BM$1,'來案暨出貨明細表-基因檢測(201904起'!$Q:$Q,"紙本&amp;電子")++COUNTIFS('來案暨出貨明細表-基因檢測(201904起'!$P:$P,$A35&amp;"*",'來案暨出貨明細表-基因檢測(201904起'!$B:$B,BM$1,'來案暨出貨明細表-基因檢測(201904起'!$R:$R,"中英")</f>
        <v>0</v>
      </c>
    </row>
    <row r="36" spans="1:65" ht="15" customHeight="1">
      <c r="A36" s="9" t="s">
        <v>4567</v>
      </c>
      <c r="B36" s="9">
        <v>1</v>
      </c>
      <c r="C36" s="13" t="s">
        <v>4568</v>
      </c>
      <c r="D36" s="142" t="s">
        <v>612</v>
      </c>
      <c r="E36" s="33">
        <f>COUNTIFS('來案暨出貨明細表-基因檢測(201904起'!$P:$P,$A36&amp;"*",'來案暨出貨明細表-基因檢測(201904起'!$B:$B,E$1)*$B36+COUNTIFS('來案暨出貨明細表-基因檢測(201904起'!$P:$P,$A36&amp;"*",'來案暨出貨明細表-基因檢測(201904起'!$B:$B,E$1,'來案暨出貨明細表-基因檢測(201904起'!$Q:$Q,"紙本&amp;電子")++COUNTIFS('來案暨出貨明細表-基因檢測(201904起'!$P:$P,$A36&amp;"*",'來案暨出貨明細表-基因檢測(201904起'!$B:$B,E$1,'來案暨出貨明細表-基因檢測(201904起'!$R:$R,"中英")</f>
        <v>0</v>
      </c>
      <c r="F36" s="33">
        <f>COUNTIFS('來案暨出貨明細表-基因檢測(201904起'!$P:$P,$A36&amp;"*",'來案暨出貨明細表-基因檢測(201904起'!$B:$B,F$1)*$B36+COUNTIFS('來案暨出貨明細表-基因檢測(201904起'!$P:$P,$A36&amp;"*",'來案暨出貨明細表-基因檢測(201904起'!$B:$B,F$1,'來案暨出貨明細表-基因檢測(201904起'!$Q:$Q,"紙本&amp;電子")++COUNTIFS('來案暨出貨明細表-基因檢測(201904起'!$P:$P,$A36&amp;"*",'來案暨出貨明細表-基因檢測(201904起'!$B:$B,F$1,'來案暨出貨明細表-基因檢測(201904起'!$R:$R,"中英")</f>
        <v>0</v>
      </c>
      <c r="G36" s="33">
        <f>COUNTIFS('來案暨出貨明細表-基因檢測(201904起'!$P:$P,$A36&amp;"*",'來案暨出貨明細表-基因檢測(201904起'!$B:$B,G$1)*$B36+COUNTIFS('來案暨出貨明細表-基因檢測(201904起'!$P:$P,$A36&amp;"*",'來案暨出貨明細表-基因檢測(201904起'!$B:$B,G$1,'來案暨出貨明細表-基因檢測(201904起'!$Q:$Q,"紙本&amp;電子")++COUNTIFS('來案暨出貨明細表-基因檢測(201904起'!$P:$P,$A36&amp;"*",'來案暨出貨明細表-基因檢測(201904起'!$B:$B,G$1,'來案暨出貨明細表-基因檢測(201904起'!$R:$R,"中英")</f>
        <v>0</v>
      </c>
      <c r="H36" s="33">
        <f>COUNTIFS('來案暨出貨明細表-基因檢測(201904起'!$P:$P,$A36&amp;"*",'來案暨出貨明細表-基因檢測(201904起'!$B:$B,H$1)*$B36+COUNTIFS('來案暨出貨明細表-基因檢測(201904起'!$P:$P,$A36&amp;"*",'來案暨出貨明細表-基因檢測(201904起'!$B:$B,H$1,'來案暨出貨明細表-基因檢測(201904起'!$Q:$Q,"紙本&amp;電子")++COUNTIFS('來案暨出貨明細表-基因檢測(201904起'!$P:$P,$A36&amp;"*",'來案暨出貨明細表-基因檢測(201904起'!$B:$B,H$1,'來案暨出貨明細表-基因檢測(201904起'!$R:$R,"中英")</f>
        <v>0</v>
      </c>
      <c r="I36" s="33">
        <f>COUNTIFS('來案暨出貨明細表-基因檢測(201904起'!$P:$P,$A36&amp;"*",'來案暨出貨明細表-基因檢測(201904起'!$B:$B,I$1)*$B36+COUNTIFS('來案暨出貨明細表-基因檢測(201904起'!$P:$P,$A36&amp;"*",'來案暨出貨明細表-基因檢測(201904起'!$B:$B,I$1,'來案暨出貨明細表-基因檢測(201904起'!$Q:$Q,"紙本&amp;電子")++COUNTIFS('來案暨出貨明細表-基因檢測(201904起'!$P:$P,$A36&amp;"*",'來案暨出貨明細表-基因檢測(201904起'!$B:$B,I$1,'來案暨出貨明細表-基因檢測(201904起'!$R:$R,"中英")</f>
        <v>0</v>
      </c>
      <c r="J36" s="33">
        <f>COUNTIFS('來案暨出貨明細表-基因檢測(201904起'!$P:$P,$A36&amp;"*",'來案暨出貨明細表-基因檢測(201904起'!$B:$B,J$1)*$B36+COUNTIFS('來案暨出貨明細表-基因檢測(201904起'!$P:$P,$A36&amp;"*",'來案暨出貨明細表-基因檢測(201904起'!$B:$B,J$1,'來案暨出貨明細表-基因檢測(201904起'!$Q:$Q,"紙本&amp;電子")++COUNTIFS('來案暨出貨明細表-基因檢測(201904起'!$P:$P,$A36&amp;"*",'來案暨出貨明細表-基因檢測(201904起'!$B:$B,J$1,'來案暨出貨明細表-基因檢測(201904起'!$R:$R,"中英")</f>
        <v>0</v>
      </c>
      <c r="K36" s="33">
        <f>COUNTIFS('來案暨出貨明細表-基因檢測(201904起'!$P:$P,$A36&amp;"*",'來案暨出貨明細表-基因檢測(201904起'!$B:$B,K$1)*$B36+COUNTIFS('來案暨出貨明細表-基因檢測(201904起'!$P:$P,$A36&amp;"*",'來案暨出貨明細表-基因檢測(201904起'!$B:$B,K$1,'來案暨出貨明細表-基因檢測(201904起'!$Q:$Q,"紙本&amp;電子")++COUNTIFS('來案暨出貨明細表-基因檢測(201904起'!$P:$P,$A36&amp;"*",'來案暨出貨明細表-基因檢測(201904起'!$B:$B,K$1,'來案暨出貨明細表-基因檢測(201904起'!$R:$R,"中英")</f>
        <v>0</v>
      </c>
      <c r="L36" s="33">
        <f>COUNTIFS('來案暨出貨明細表-基因檢測(201904起'!$P:$P,$A36&amp;"*",'來案暨出貨明細表-基因檢測(201904起'!$B:$B,L$1)*$B36+COUNTIFS('來案暨出貨明細表-基因檢測(201904起'!$P:$P,$A36&amp;"*",'來案暨出貨明細表-基因檢測(201904起'!$B:$B,L$1,'來案暨出貨明細表-基因檢測(201904起'!$Q:$Q,"紙本&amp;電子")++COUNTIFS('來案暨出貨明細表-基因檢測(201904起'!$P:$P,$A36&amp;"*",'來案暨出貨明細表-基因檢測(201904起'!$B:$B,L$1,'來案暨出貨明細表-基因檢測(201904起'!$R:$R,"中英")</f>
        <v>0</v>
      </c>
      <c r="M36" s="33">
        <f>COUNTIFS('來案暨出貨明細表-基因檢測(201904起'!$P:$P,$A36&amp;"*",'來案暨出貨明細表-基因檢測(201904起'!$B:$B,M$1)*$B36+COUNTIFS('來案暨出貨明細表-基因檢測(201904起'!$P:$P,$A36&amp;"*",'來案暨出貨明細表-基因檢測(201904起'!$B:$B,M$1,'來案暨出貨明細表-基因檢測(201904起'!$Q:$Q,"紙本&amp;電子")++COUNTIFS('來案暨出貨明細表-基因檢測(201904起'!$P:$P,$A36&amp;"*",'來案暨出貨明細表-基因檢測(201904起'!$B:$B,M$1,'來案暨出貨明細表-基因檢測(201904起'!$R:$R,"中英")</f>
        <v>0</v>
      </c>
      <c r="N36" s="33">
        <f>COUNTIFS('來案暨出貨明細表-基因檢測(201904起'!$P:$P,$A36&amp;"*",'來案暨出貨明細表-基因檢測(201904起'!$B:$B,N$1)*$B36+COUNTIFS('來案暨出貨明細表-基因檢測(201904起'!$P:$P,$A36&amp;"*",'來案暨出貨明細表-基因檢測(201904起'!$B:$B,N$1,'來案暨出貨明細表-基因檢測(201904起'!$Q:$Q,"紙本&amp;電子")++COUNTIFS('來案暨出貨明細表-基因檢測(201904起'!$P:$P,$A36&amp;"*",'來案暨出貨明細表-基因檢測(201904起'!$B:$B,N$1,'來案暨出貨明細表-基因檢測(201904起'!$R:$R,"中英")</f>
        <v>0</v>
      </c>
      <c r="O36" s="33">
        <f>COUNTIFS('來案暨出貨明細表-基因檢測(201904起'!$P:$P,$A36&amp;"*",'來案暨出貨明細表-基因檢測(201904起'!$B:$B,O$1)*$B36+COUNTIFS('來案暨出貨明細表-基因檢測(201904起'!$P:$P,$A36&amp;"*",'來案暨出貨明細表-基因檢測(201904起'!$B:$B,O$1,'來案暨出貨明細表-基因檢測(201904起'!$Q:$Q,"紙本&amp;電子")++COUNTIFS('來案暨出貨明細表-基因檢測(201904起'!$P:$P,$A36&amp;"*",'來案暨出貨明細表-基因檢測(201904起'!$B:$B,O$1,'來案暨出貨明細表-基因檢測(201904起'!$R:$R,"中英")</f>
        <v>0</v>
      </c>
      <c r="P36" s="33">
        <f>COUNTIFS('來案暨出貨明細表-基因檢測(201904起'!$P:$P,$A36&amp;"*",'來案暨出貨明細表-基因檢測(201904起'!$B:$B,P$1)*$B36+COUNTIFS('來案暨出貨明細表-基因檢測(201904起'!$P:$P,$A36&amp;"*",'來案暨出貨明細表-基因檢測(201904起'!$B:$B,P$1,'來案暨出貨明細表-基因檢測(201904起'!$Q:$Q,"紙本&amp;電子")++COUNTIFS('來案暨出貨明細表-基因檢測(201904起'!$P:$P,$A36&amp;"*",'來案暨出貨明細表-基因檢測(201904起'!$B:$B,P$1,'來案暨出貨明細表-基因檢測(201904起'!$R:$R,"中英")</f>
        <v>0</v>
      </c>
      <c r="Q36" s="33">
        <f>COUNTIFS('來案暨出貨明細表-基因檢測(201904起'!$P:$P,$A36&amp;"*",'來案暨出貨明細表-基因檢測(201904起'!$B:$B,Q$1)*$B36+COUNTIFS('來案暨出貨明細表-基因檢測(201904起'!$P:$P,$A36&amp;"*",'來案暨出貨明細表-基因檢測(201904起'!$B:$B,Q$1,'來案暨出貨明細表-基因檢測(201904起'!$Q:$Q,"紙本&amp;電子")++COUNTIFS('來案暨出貨明細表-基因檢測(201904起'!$P:$P,$A36&amp;"*",'來案暨出貨明細表-基因檢測(201904起'!$B:$B,Q$1,'來案暨出貨明細表-基因檢測(201904起'!$R:$R,"中英")</f>
        <v>0</v>
      </c>
      <c r="R36" s="33">
        <f>COUNTIFS('來案暨出貨明細表-基因檢測(201904起'!$P:$P,$A36&amp;"*",'來案暨出貨明細表-基因檢測(201904起'!$B:$B,R$1)*$B36+COUNTIFS('來案暨出貨明細表-基因檢測(201904起'!$P:$P,$A36&amp;"*",'來案暨出貨明細表-基因檢測(201904起'!$B:$B,R$1,'來案暨出貨明細表-基因檢測(201904起'!$Q:$Q,"紙本&amp;電子")++COUNTIFS('來案暨出貨明細表-基因檢測(201904起'!$P:$P,$A36&amp;"*",'來案暨出貨明細表-基因檢測(201904起'!$B:$B,R$1,'來案暨出貨明細表-基因檢測(201904起'!$R:$R,"中英")</f>
        <v>0</v>
      </c>
      <c r="S36" s="33">
        <f>COUNTIFS('來案暨出貨明細表-基因檢測(201904起'!$P:$P,$A36&amp;"*",'來案暨出貨明細表-基因檢測(201904起'!$B:$B,S$1)*$B36+COUNTIFS('來案暨出貨明細表-基因檢測(201904起'!$P:$P,$A36&amp;"*",'來案暨出貨明細表-基因檢測(201904起'!$B:$B,S$1,'來案暨出貨明細表-基因檢測(201904起'!$Q:$Q,"紙本&amp;電子")++COUNTIFS('來案暨出貨明細表-基因檢測(201904起'!$P:$P,$A36&amp;"*",'來案暨出貨明細表-基因檢測(201904起'!$B:$B,S$1,'來案暨出貨明細表-基因檢測(201904起'!$R:$R,"中英")</f>
        <v>0</v>
      </c>
      <c r="T36" s="33">
        <f>COUNTIFS('來案暨出貨明細表-基因檢測(201904起'!$P:$P,$A36&amp;"*",'來案暨出貨明細表-基因檢測(201904起'!$B:$B,T$1)*$B36+COUNTIFS('來案暨出貨明細表-基因檢測(201904起'!$P:$P,$A36&amp;"*",'來案暨出貨明細表-基因檢測(201904起'!$B:$B,T$1,'來案暨出貨明細表-基因檢測(201904起'!$Q:$Q,"紙本&amp;電子")++COUNTIFS('來案暨出貨明細表-基因檢測(201904起'!$P:$P,$A36&amp;"*",'來案暨出貨明細表-基因檢測(201904起'!$B:$B,T$1,'來案暨出貨明細表-基因檢測(201904起'!$R:$R,"中英")</f>
        <v>0</v>
      </c>
      <c r="U36" s="33">
        <f>COUNTIFS('來案暨出貨明細表-基因檢測(201904起'!$P:$P,$A36&amp;"*",'來案暨出貨明細表-基因檢測(201904起'!$B:$B,U$1)*$B36+COUNTIFS('來案暨出貨明細表-基因檢測(201904起'!$P:$P,$A36&amp;"*",'來案暨出貨明細表-基因檢測(201904起'!$B:$B,U$1,'來案暨出貨明細表-基因檢測(201904起'!$Q:$Q,"紙本&amp;電子")++COUNTIFS('來案暨出貨明細表-基因檢測(201904起'!$P:$P,$A36&amp;"*",'來案暨出貨明細表-基因檢測(201904起'!$B:$B,U$1,'來案暨出貨明細表-基因檢測(201904起'!$R:$R,"中英")</f>
        <v>0</v>
      </c>
      <c r="V36" s="33">
        <f>COUNTIFS('來案暨出貨明細表-基因檢測(201904起'!$P:$P,$A36&amp;"*",'來案暨出貨明細表-基因檢測(201904起'!$B:$B,V$1)*$B36+COUNTIFS('來案暨出貨明細表-基因檢測(201904起'!$P:$P,$A36&amp;"*",'來案暨出貨明細表-基因檢測(201904起'!$B:$B,V$1,'來案暨出貨明細表-基因檢測(201904起'!$Q:$Q,"紙本&amp;電子")++COUNTIFS('來案暨出貨明細表-基因檢測(201904起'!$P:$P,$A36&amp;"*",'來案暨出貨明細表-基因檢測(201904起'!$B:$B,V$1,'來案暨出貨明細表-基因檢測(201904起'!$R:$R,"中英")</f>
        <v>0</v>
      </c>
      <c r="W36" s="33">
        <f>COUNTIFS('來案暨出貨明細表-基因檢測(201904起'!$P:$P,$A36&amp;"*",'來案暨出貨明細表-基因檢測(201904起'!$B:$B,W$1)*$B36+COUNTIFS('來案暨出貨明細表-基因檢測(201904起'!$P:$P,$A36&amp;"*",'來案暨出貨明細表-基因檢測(201904起'!$B:$B,W$1,'來案暨出貨明細表-基因檢測(201904起'!$Q:$Q,"紙本&amp;電子")++COUNTIFS('來案暨出貨明細表-基因檢測(201904起'!$P:$P,$A36&amp;"*",'來案暨出貨明細表-基因檢測(201904起'!$B:$B,W$1,'來案暨出貨明細表-基因檢測(201904起'!$R:$R,"中英")</f>
        <v>0</v>
      </c>
      <c r="X36" s="33">
        <f>COUNTIFS('來案暨出貨明細表-基因檢測(201904起'!$P:$P,$A36&amp;"*",'來案暨出貨明細表-基因檢測(201904起'!$B:$B,X$1)*$B36+COUNTIFS('來案暨出貨明細表-基因檢測(201904起'!$P:$P,$A36&amp;"*",'來案暨出貨明細表-基因檢測(201904起'!$B:$B,X$1,'來案暨出貨明細表-基因檢測(201904起'!$Q:$Q,"紙本&amp;電子")++COUNTIFS('來案暨出貨明細表-基因檢測(201904起'!$P:$P,$A36&amp;"*",'來案暨出貨明細表-基因檢測(201904起'!$B:$B,X$1,'來案暨出貨明細表-基因檢測(201904起'!$R:$R,"中英")</f>
        <v>0</v>
      </c>
      <c r="Y36" s="33">
        <f>COUNTIFS('來案暨出貨明細表-基因檢測(201904起'!$P:$P,$A36&amp;"*",'來案暨出貨明細表-基因檢測(201904起'!$B:$B,Y$1)*$B36+COUNTIFS('來案暨出貨明細表-基因檢測(201904起'!$P:$P,$A36&amp;"*",'來案暨出貨明細表-基因檢測(201904起'!$B:$B,Y$1,'來案暨出貨明細表-基因檢測(201904起'!$Q:$Q,"紙本&amp;電子")++COUNTIFS('來案暨出貨明細表-基因檢測(201904起'!$P:$P,$A36&amp;"*",'來案暨出貨明細表-基因檢測(201904起'!$B:$B,Y$1,'來案暨出貨明細表-基因檢測(201904起'!$R:$R,"中英")</f>
        <v>0</v>
      </c>
      <c r="Z36" s="33">
        <f>COUNTIFS('來案暨出貨明細表-基因檢測(201904起'!$P:$P,$A36&amp;"*",'來案暨出貨明細表-基因檢測(201904起'!$B:$B,Z$1)*$B36+COUNTIFS('來案暨出貨明細表-基因檢測(201904起'!$P:$P,$A36&amp;"*",'來案暨出貨明細表-基因檢測(201904起'!$B:$B,Z$1,'來案暨出貨明細表-基因檢測(201904起'!$Q:$Q,"紙本&amp;電子")++COUNTIFS('來案暨出貨明細表-基因檢測(201904起'!$P:$P,$A36&amp;"*",'來案暨出貨明細表-基因檢測(201904起'!$B:$B,Z$1,'來案暨出貨明細表-基因檢測(201904起'!$R:$R,"中英")</f>
        <v>0</v>
      </c>
      <c r="AA36" s="33">
        <f>COUNTIFS('來案暨出貨明細表-基因檢測(201904起'!$P:$P,$A36&amp;"*",'來案暨出貨明細表-基因檢測(201904起'!$B:$B,AA$1)*$B36+COUNTIFS('來案暨出貨明細表-基因檢測(201904起'!$P:$P,$A36&amp;"*",'來案暨出貨明細表-基因檢測(201904起'!$B:$B,AA$1,'來案暨出貨明細表-基因檢測(201904起'!$Q:$Q,"紙本&amp;電子")++COUNTIFS('來案暨出貨明細表-基因檢測(201904起'!$P:$P,$A36&amp;"*",'來案暨出貨明細表-基因檢測(201904起'!$B:$B,AA$1,'來案暨出貨明細表-基因檢測(201904起'!$R:$R,"中英")</f>
        <v>0</v>
      </c>
      <c r="AB36" s="33">
        <f>COUNTIFS('來案暨出貨明細表-基因檢測(201904起'!$P:$P,$A36&amp;"*",'來案暨出貨明細表-基因檢測(201904起'!$B:$B,AB$1)*$B36+COUNTIFS('來案暨出貨明細表-基因檢測(201904起'!$P:$P,$A36&amp;"*",'來案暨出貨明細表-基因檢測(201904起'!$B:$B,AB$1,'來案暨出貨明細表-基因檢測(201904起'!$Q:$Q,"紙本&amp;電子")++COUNTIFS('來案暨出貨明細表-基因檢測(201904起'!$P:$P,$A36&amp;"*",'來案暨出貨明細表-基因檢測(201904起'!$B:$B,AB$1,'來案暨出貨明細表-基因檢測(201904起'!$R:$R,"中英")</f>
        <v>0</v>
      </c>
      <c r="AC36" s="33">
        <f>COUNTIFS('來案暨出貨明細表-基因檢測(201904起'!$P:$P,$A36&amp;"*",'來案暨出貨明細表-基因檢測(201904起'!$B:$B,AC$1)*$B36+COUNTIFS('來案暨出貨明細表-基因檢測(201904起'!$P:$P,$A36&amp;"*",'來案暨出貨明細表-基因檢測(201904起'!$B:$B,AC$1,'來案暨出貨明細表-基因檢測(201904起'!$Q:$Q,"紙本&amp;電子")++COUNTIFS('來案暨出貨明細表-基因檢測(201904起'!$P:$P,$A36&amp;"*",'來案暨出貨明細表-基因檢測(201904起'!$B:$B,AC$1,'來案暨出貨明細表-基因檢測(201904起'!$R:$R,"中英")</f>
        <v>0</v>
      </c>
      <c r="AD36" s="33">
        <f>COUNTIFS('來案暨出貨明細表-基因檢測(201904起'!$P:$P,$A36&amp;"*",'來案暨出貨明細表-基因檢測(201904起'!$B:$B,AD$1)*$B36+COUNTIFS('來案暨出貨明細表-基因檢測(201904起'!$P:$P,$A36&amp;"*",'來案暨出貨明細表-基因檢測(201904起'!$B:$B,AD$1,'來案暨出貨明細表-基因檢測(201904起'!$Q:$Q,"紙本&amp;電子")++COUNTIFS('來案暨出貨明細表-基因檢測(201904起'!$P:$P,$A36&amp;"*",'來案暨出貨明細表-基因檢測(201904起'!$B:$B,AD$1,'來案暨出貨明細表-基因檢測(201904起'!$R:$R,"中英")</f>
        <v>0</v>
      </c>
      <c r="AE36" s="33">
        <f>COUNTIFS('來案暨出貨明細表-基因檢測(201904起'!$P:$P,$A36&amp;"*",'來案暨出貨明細表-基因檢測(201904起'!$B:$B,AE$1)*$B36+COUNTIFS('來案暨出貨明細表-基因檢測(201904起'!$P:$P,$A36&amp;"*",'來案暨出貨明細表-基因檢測(201904起'!$B:$B,AE$1,'來案暨出貨明細表-基因檢測(201904起'!$Q:$Q,"紙本&amp;電子")++COUNTIFS('來案暨出貨明細表-基因檢測(201904起'!$P:$P,$A36&amp;"*",'來案暨出貨明細表-基因檢測(201904起'!$B:$B,AE$1,'來案暨出貨明細表-基因檢測(201904起'!$R:$R,"中英")</f>
        <v>0</v>
      </c>
      <c r="AF36" s="33">
        <f>COUNTIFS('來案暨出貨明細表-基因檢測(201904起'!$P:$P,$A36&amp;"*",'來案暨出貨明細表-基因檢測(201904起'!$B:$B,AF$1)*$B36+COUNTIFS('來案暨出貨明細表-基因檢測(201904起'!$P:$P,$A36&amp;"*",'來案暨出貨明細表-基因檢測(201904起'!$B:$B,AF$1,'來案暨出貨明細表-基因檢測(201904起'!$Q:$Q,"紙本&amp;電子")++COUNTIFS('來案暨出貨明細表-基因檢測(201904起'!$P:$P,$A36&amp;"*",'來案暨出貨明細表-基因檢測(201904起'!$B:$B,AF$1,'來案暨出貨明細表-基因檢測(201904起'!$R:$R,"中英")</f>
        <v>0</v>
      </c>
      <c r="AG36" s="33">
        <f>COUNTIFS('來案暨出貨明細表-基因檢測(201904起'!$P:$P,$A36&amp;"*",'來案暨出貨明細表-基因檢測(201904起'!$B:$B,AG$1)*$B36+COUNTIFS('來案暨出貨明細表-基因檢測(201904起'!$P:$P,$A36&amp;"*",'來案暨出貨明細表-基因檢測(201904起'!$B:$B,AG$1,'來案暨出貨明細表-基因檢測(201904起'!$Q:$Q,"紙本&amp;電子")++COUNTIFS('來案暨出貨明細表-基因檢測(201904起'!$P:$P,$A36&amp;"*",'來案暨出貨明細表-基因檢測(201904起'!$B:$B,AG$1,'來案暨出貨明細表-基因檢測(201904起'!$R:$R,"中英")</f>
        <v>0</v>
      </c>
      <c r="AH36" s="33">
        <f>COUNTIFS('來案暨出貨明細表-基因檢測(201904起'!$P:$P,$A36&amp;"*",'來案暨出貨明細表-基因檢測(201904起'!$B:$B,AH$1)*$B36+COUNTIFS('來案暨出貨明細表-基因檢測(201904起'!$P:$P,$A36&amp;"*",'來案暨出貨明細表-基因檢測(201904起'!$B:$B,AH$1,'來案暨出貨明細表-基因檢測(201904起'!$Q:$Q,"紙本&amp;電子")++COUNTIFS('來案暨出貨明細表-基因檢測(201904起'!$P:$P,$A36&amp;"*",'來案暨出貨明細表-基因檢測(201904起'!$B:$B,AH$1,'來案暨出貨明細表-基因檢測(201904起'!$R:$R,"中英")</f>
        <v>0</v>
      </c>
      <c r="AI36" s="33">
        <f>COUNTIFS('來案暨出貨明細表-基因檢測(201904起'!$P:$P,$A36&amp;"*",'來案暨出貨明細表-基因檢測(201904起'!$B:$B,AI$1)*$B36+COUNTIFS('來案暨出貨明細表-基因檢測(201904起'!$P:$P,$A36&amp;"*",'來案暨出貨明細表-基因檢測(201904起'!$B:$B,AI$1,'來案暨出貨明細表-基因檢測(201904起'!$Q:$Q,"紙本&amp;電子")++COUNTIFS('來案暨出貨明細表-基因檢測(201904起'!$P:$P,$A36&amp;"*",'來案暨出貨明細表-基因檢測(201904起'!$B:$B,AI$1,'來案暨出貨明細表-基因檢測(201904起'!$R:$R,"中英")</f>
        <v>0</v>
      </c>
      <c r="AJ36" s="33">
        <f>COUNTIFS('來案暨出貨明細表-基因檢測(201904起'!$P:$P,$A36&amp;"*",'來案暨出貨明細表-基因檢測(201904起'!$B:$B,AJ$1)*$B36+COUNTIFS('來案暨出貨明細表-基因檢測(201904起'!$P:$P,$A36&amp;"*",'來案暨出貨明細表-基因檢測(201904起'!$B:$B,AJ$1,'來案暨出貨明細表-基因檢測(201904起'!$Q:$Q,"紙本&amp;電子")++COUNTIFS('來案暨出貨明細表-基因檢測(201904起'!$P:$P,$A36&amp;"*",'來案暨出貨明細表-基因檢測(201904起'!$B:$B,AJ$1,'來案暨出貨明細表-基因檢測(201904起'!$R:$R,"中英")</f>
        <v>0</v>
      </c>
      <c r="AK36" s="33">
        <f>COUNTIFS('來案暨出貨明細表-基因檢測(201904起'!$P:$P,$A36&amp;"*",'來案暨出貨明細表-基因檢測(201904起'!$B:$B,AK$1)*$B36+COUNTIFS('來案暨出貨明細表-基因檢測(201904起'!$P:$P,$A36&amp;"*",'來案暨出貨明細表-基因檢測(201904起'!$B:$B,AK$1,'來案暨出貨明細表-基因檢測(201904起'!$Q:$Q,"紙本&amp;電子")++COUNTIFS('來案暨出貨明細表-基因檢測(201904起'!$P:$P,$A36&amp;"*",'來案暨出貨明細表-基因檢測(201904起'!$B:$B,AK$1,'來案暨出貨明細表-基因檢測(201904起'!$R:$R,"中英")</f>
        <v>0</v>
      </c>
      <c r="AL36" s="33">
        <f>COUNTIFS('來案暨出貨明細表-基因檢測(201904起'!$P:$P,$A36&amp;"*",'來案暨出貨明細表-基因檢測(201904起'!$B:$B,AL$1)*$B36+COUNTIFS('來案暨出貨明細表-基因檢測(201904起'!$P:$P,$A36&amp;"*",'來案暨出貨明細表-基因檢測(201904起'!$B:$B,AL$1,'來案暨出貨明細表-基因檢測(201904起'!$Q:$Q,"紙本&amp;電子")++COUNTIFS('來案暨出貨明細表-基因檢測(201904起'!$P:$P,$A36&amp;"*",'來案暨出貨明細表-基因檢測(201904起'!$B:$B,AL$1,'來案暨出貨明細表-基因檢測(201904起'!$R:$R,"中英")</f>
        <v>0</v>
      </c>
      <c r="AM36" s="33">
        <f>COUNTIFS('來案暨出貨明細表-基因檢測(201904起'!$P:$P,$A36&amp;"*",'來案暨出貨明細表-基因檢測(201904起'!$B:$B,AM$1)*$B36+COUNTIFS('來案暨出貨明細表-基因檢測(201904起'!$P:$P,$A36&amp;"*",'來案暨出貨明細表-基因檢測(201904起'!$B:$B,AM$1,'來案暨出貨明細表-基因檢測(201904起'!$Q:$Q,"紙本&amp;電子")++COUNTIFS('來案暨出貨明細表-基因檢測(201904起'!$P:$P,$A36&amp;"*",'來案暨出貨明細表-基因檢測(201904起'!$B:$B,AM$1,'來案暨出貨明細表-基因檢測(201904起'!$R:$R,"中英")</f>
        <v>0</v>
      </c>
      <c r="AN36" s="33">
        <f>COUNTIFS('來案暨出貨明細表-基因檢測(201904起'!$P:$P,$A36&amp;"*",'來案暨出貨明細表-基因檢測(201904起'!$B:$B,AN$1)*$B36+COUNTIFS('來案暨出貨明細表-基因檢測(201904起'!$P:$P,$A36&amp;"*",'來案暨出貨明細表-基因檢測(201904起'!$B:$B,AN$1,'來案暨出貨明細表-基因檢測(201904起'!$Q:$Q,"紙本&amp;電子")++COUNTIFS('來案暨出貨明細表-基因檢測(201904起'!$P:$P,$A36&amp;"*",'來案暨出貨明細表-基因檢測(201904起'!$B:$B,AN$1,'來案暨出貨明細表-基因檢測(201904起'!$R:$R,"中英")</f>
        <v>0</v>
      </c>
      <c r="AO36" s="33">
        <f>COUNTIFS('來案暨出貨明細表-基因檢測(201904起'!$P:$P,$A36&amp;"*",'來案暨出貨明細表-基因檢測(201904起'!$B:$B,AO$1)*$B36+COUNTIFS('來案暨出貨明細表-基因檢測(201904起'!$P:$P,$A36&amp;"*",'來案暨出貨明細表-基因檢測(201904起'!$B:$B,AO$1,'來案暨出貨明細表-基因檢測(201904起'!$Q:$Q,"紙本&amp;電子")++COUNTIFS('來案暨出貨明細表-基因檢測(201904起'!$P:$P,$A36&amp;"*",'來案暨出貨明細表-基因檢測(201904起'!$B:$B,AO$1,'來案暨出貨明細表-基因檢測(201904起'!$R:$R,"中英")</f>
        <v>0</v>
      </c>
      <c r="AP36" s="33">
        <f>COUNTIFS('來案暨出貨明細表-基因檢測(201904起'!$P:$P,$A36&amp;"*",'來案暨出貨明細表-基因檢測(201904起'!$B:$B,AP$1)*$B36+COUNTIFS('來案暨出貨明細表-基因檢測(201904起'!$P:$P,$A36&amp;"*",'來案暨出貨明細表-基因檢測(201904起'!$B:$B,AP$1,'來案暨出貨明細表-基因檢測(201904起'!$Q:$Q,"紙本&amp;電子")++COUNTIFS('來案暨出貨明細表-基因檢測(201904起'!$P:$P,$A36&amp;"*",'來案暨出貨明細表-基因檢測(201904起'!$B:$B,AP$1,'來案暨出貨明細表-基因檢測(201904起'!$R:$R,"中英")</f>
        <v>0</v>
      </c>
      <c r="AQ36" s="33">
        <f>COUNTIFS('來案暨出貨明細表-基因檢測(201904起'!$P:$P,$A36&amp;"*",'來案暨出貨明細表-基因檢測(201904起'!$B:$B,AQ$1)*$B36+COUNTIFS('來案暨出貨明細表-基因檢測(201904起'!$P:$P,$A36&amp;"*",'來案暨出貨明細表-基因檢測(201904起'!$B:$B,AQ$1,'來案暨出貨明細表-基因檢測(201904起'!$Q:$Q,"紙本&amp;電子")++COUNTIFS('來案暨出貨明細表-基因檢測(201904起'!$P:$P,$A36&amp;"*",'來案暨出貨明細表-基因檢測(201904起'!$B:$B,AQ$1,'來案暨出貨明細表-基因檢測(201904起'!$R:$R,"中英")</f>
        <v>0</v>
      </c>
      <c r="AR36" s="33">
        <f>COUNTIFS('來案暨出貨明細表-基因檢測(201904起'!$P:$P,$A36&amp;"*",'來案暨出貨明細表-基因檢測(201904起'!$B:$B,AR$1)*$B36+COUNTIFS('來案暨出貨明細表-基因檢測(201904起'!$P:$P,$A36&amp;"*",'來案暨出貨明細表-基因檢測(201904起'!$B:$B,AR$1,'來案暨出貨明細表-基因檢測(201904起'!$Q:$Q,"紙本&amp;電子")++COUNTIFS('來案暨出貨明細表-基因檢測(201904起'!$P:$P,$A36&amp;"*",'來案暨出貨明細表-基因檢測(201904起'!$B:$B,AR$1,'來案暨出貨明細表-基因檢測(201904起'!$R:$R,"中英")</f>
        <v>0</v>
      </c>
      <c r="AS36" s="33">
        <f>COUNTIFS('來案暨出貨明細表-基因檢測(201904起'!$P:$P,$A36&amp;"*",'來案暨出貨明細表-基因檢測(201904起'!$B:$B,AS$1)*$B36+COUNTIFS('來案暨出貨明細表-基因檢測(201904起'!$P:$P,$A36&amp;"*",'來案暨出貨明細表-基因檢測(201904起'!$B:$B,AS$1,'來案暨出貨明細表-基因檢測(201904起'!$Q:$Q,"紙本&amp;電子")++COUNTIFS('來案暨出貨明細表-基因檢測(201904起'!$P:$P,$A36&amp;"*",'來案暨出貨明細表-基因檢測(201904起'!$B:$B,AS$1,'來案暨出貨明細表-基因檢測(201904起'!$R:$R,"中英")</f>
        <v>0</v>
      </c>
      <c r="AT36" s="33">
        <f>COUNTIFS('來案暨出貨明細表-基因檢測(201904起'!$P:$P,$A36&amp;"*",'來案暨出貨明細表-基因檢測(201904起'!$B:$B,AT$1)*$B36+COUNTIFS('來案暨出貨明細表-基因檢測(201904起'!$P:$P,$A36&amp;"*",'來案暨出貨明細表-基因檢測(201904起'!$B:$B,AT$1,'來案暨出貨明細表-基因檢測(201904起'!$Q:$Q,"紙本&amp;電子")++COUNTIFS('來案暨出貨明細表-基因檢測(201904起'!$P:$P,$A36&amp;"*",'來案暨出貨明細表-基因檢測(201904起'!$B:$B,AT$1,'來案暨出貨明細表-基因檢測(201904起'!$R:$R,"中英")</f>
        <v>0</v>
      </c>
      <c r="AU36" s="33">
        <f>COUNTIFS('來案暨出貨明細表-基因檢測(201904起'!$P:$P,$A36&amp;"*",'來案暨出貨明細表-基因檢測(201904起'!$B:$B,AU$1)*$B36+COUNTIFS('來案暨出貨明細表-基因檢測(201904起'!$P:$P,$A36&amp;"*",'來案暨出貨明細表-基因檢測(201904起'!$B:$B,AU$1,'來案暨出貨明細表-基因檢測(201904起'!$Q:$Q,"紙本&amp;電子")++COUNTIFS('來案暨出貨明細表-基因檢測(201904起'!$P:$P,$A36&amp;"*",'來案暨出貨明細表-基因檢測(201904起'!$B:$B,AU$1,'來案暨出貨明細表-基因檢測(201904起'!$R:$R,"中英")</f>
        <v>0</v>
      </c>
      <c r="AV36" s="33">
        <f>COUNTIFS('來案暨出貨明細表-基因檢測(201904起'!$P:$P,$A36&amp;"*",'來案暨出貨明細表-基因檢測(201904起'!$B:$B,AV$1)*$B36+COUNTIFS('來案暨出貨明細表-基因檢測(201904起'!$P:$P,$A36&amp;"*",'來案暨出貨明細表-基因檢測(201904起'!$B:$B,AV$1,'來案暨出貨明細表-基因檢測(201904起'!$Q:$Q,"紙本&amp;電子")++COUNTIFS('來案暨出貨明細表-基因檢測(201904起'!$P:$P,$A36&amp;"*",'來案暨出貨明細表-基因檢測(201904起'!$B:$B,AV$1,'來案暨出貨明細表-基因檢測(201904起'!$R:$R,"中英")</f>
        <v>0</v>
      </c>
      <c r="AW36" s="33">
        <f>COUNTIFS('來案暨出貨明細表-基因檢測(201904起'!$P:$P,$A36&amp;"*",'來案暨出貨明細表-基因檢測(201904起'!$B:$B,AW$1)*$B36+COUNTIFS('來案暨出貨明細表-基因檢測(201904起'!$P:$P,$A36&amp;"*",'來案暨出貨明細表-基因檢測(201904起'!$B:$B,AW$1,'來案暨出貨明細表-基因檢測(201904起'!$Q:$Q,"紙本&amp;電子")++COUNTIFS('來案暨出貨明細表-基因檢測(201904起'!$P:$P,$A36&amp;"*",'來案暨出貨明細表-基因檢測(201904起'!$B:$B,AW$1,'來案暨出貨明細表-基因檢測(201904起'!$R:$R,"中英")</f>
        <v>0</v>
      </c>
      <c r="AX36" s="33">
        <f>COUNTIFS('來案暨出貨明細表-基因檢測(201904起'!$P:$P,$A36&amp;"*",'來案暨出貨明細表-基因檢測(201904起'!$B:$B,AX$1)*$B36+COUNTIFS('來案暨出貨明細表-基因檢測(201904起'!$P:$P,$A36&amp;"*",'來案暨出貨明細表-基因檢測(201904起'!$B:$B,AX$1,'來案暨出貨明細表-基因檢測(201904起'!$Q:$Q,"紙本&amp;電子")++COUNTIFS('來案暨出貨明細表-基因檢測(201904起'!$P:$P,$A36&amp;"*",'來案暨出貨明細表-基因檢測(201904起'!$B:$B,AX$1,'來案暨出貨明細表-基因檢測(201904起'!$R:$R,"中英")</f>
        <v>0</v>
      </c>
      <c r="AY36" s="33">
        <f>COUNTIFS('來案暨出貨明細表-基因檢測(201904起'!$P:$P,$A36&amp;"*",'來案暨出貨明細表-基因檢測(201904起'!$B:$B,AY$1)*$B36+COUNTIFS('來案暨出貨明細表-基因檢測(201904起'!$P:$P,$A36&amp;"*",'來案暨出貨明細表-基因檢測(201904起'!$B:$B,AY$1,'來案暨出貨明細表-基因檢測(201904起'!$Q:$Q,"紙本&amp;電子")++COUNTIFS('來案暨出貨明細表-基因檢測(201904起'!$P:$P,$A36&amp;"*",'來案暨出貨明細表-基因檢測(201904起'!$B:$B,AY$1,'來案暨出貨明細表-基因檢測(201904起'!$R:$R,"中英")</f>
        <v>0</v>
      </c>
      <c r="AZ36" s="33">
        <f>COUNTIFS('來案暨出貨明細表-基因檢測(201904起'!$P:$P,$A36&amp;"*",'來案暨出貨明細表-基因檢測(201904起'!$B:$B,AZ$1)*$B36+COUNTIFS('來案暨出貨明細表-基因檢測(201904起'!$P:$P,$A36&amp;"*",'來案暨出貨明細表-基因檢測(201904起'!$B:$B,AZ$1,'來案暨出貨明細表-基因檢測(201904起'!$Q:$Q,"紙本&amp;電子")++COUNTIFS('來案暨出貨明細表-基因檢測(201904起'!$P:$P,$A36&amp;"*",'來案暨出貨明細表-基因檢測(201904起'!$B:$B,AZ$1,'來案暨出貨明細表-基因檢測(201904起'!$R:$R,"中英")</f>
        <v>0</v>
      </c>
      <c r="BA36" s="33">
        <f>COUNTIFS('來案暨出貨明細表-基因檢測(201904起'!$P:$P,$A36&amp;"*",'來案暨出貨明細表-基因檢測(201904起'!$B:$B,BA$1)*$B36+COUNTIFS('來案暨出貨明細表-基因檢測(201904起'!$P:$P,$A36&amp;"*",'來案暨出貨明細表-基因檢測(201904起'!$B:$B,BA$1,'來案暨出貨明細表-基因檢測(201904起'!$Q:$Q,"紙本&amp;電子")++COUNTIFS('來案暨出貨明細表-基因檢測(201904起'!$P:$P,$A36&amp;"*",'來案暨出貨明細表-基因檢測(201904起'!$B:$B,BA$1,'來案暨出貨明細表-基因檢測(201904起'!$R:$R,"中英")</f>
        <v>0</v>
      </c>
      <c r="BB36" s="33">
        <f>COUNTIFS('來案暨出貨明細表-基因檢測(201904起'!$P:$P,$A36&amp;"*",'來案暨出貨明細表-基因檢測(201904起'!$B:$B,BB$1)*$B36+COUNTIFS('來案暨出貨明細表-基因檢測(201904起'!$P:$P,$A36&amp;"*",'來案暨出貨明細表-基因檢測(201904起'!$B:$B,BB$1,'來案暨出貨明細表-基因檢測(201904起'!$Q:$Q,"紙本&amp;電子")++COUNTIFS('來案暨出貨明細表-基因檢測(201904起'!$P:$P,$A36&amp;"*",'來案暨出貨明細表-基因檢測(201904起'!$B:$B,BB$1,'來案暨出貨明細表-基因檢測(201904起'!$R:$R,"中英")</f>
        <v>0</v>
      </c>
      <c r="BC36" s="33">
        <f>COUNTIFS('來案暨出貨明細表-基因檢測(201904起'!$P:$P,$A36&amp;"*",'來案暨出貨明細表-基因檢測(201904起'!$B:$B,BC$1)*$B36+COUNTIFS('來案暨出貨明細表-基因檢測(201904起'!$P:$P,$A36&amp;"*",'來案暨出貨明細表-基因檢測(201904起'!$B:$B,BC$1,'來案暨出貨明細表-基因檢測(201904起'!$Q:$Q,"紙本&amp;電子")++COUNTIFS('來案暨出貨明細表-基因檢測(201904起'!$P:$P,$A36&amp;"*",'來案暨出貨明細表-基因檢測(201904起'!$B:$B,BC$1,'來案暨出貨明細表-基因檢測(201904起'!$R:$R,"中英")</f>
        <v>0</v>
      </c>
      <c r="BD36" s="33">
        <f>COUNTIFS('來案暨出貨明細表-基因檢測(201904起'!$P:$P,$A36&amp;"*",'來案暨出貨明細表-基因檢測(201904起'!$B:$B,BD$1)*$B36+COUNTIFS('來案暨出貨明細表-基因檢測(201904起'!$P:$P,$A36&amp;"*",'來案暨出貨明細表-基因檢測(201904起'!$B:$B,BD$1,'來案暨出貨明細表-基因檢測(201904起'!$Q:$Q,"紙本&amp;電子")++COUNTIFS('來案暨出貨明細表-基因檢測(201904起'!$P:$P,$A36&amp;"*",'來案暨出貨明細表-基因檢測(201904起'!$B:$B,BD$1,'來案暨出貨明細表-基因檢測(201904起'!$R:$R,"中英")</f>
        <v>0</v>
      </c>
      <c r="BE36" s="33">
        <f>COUNTIFS('來案暨出貨明細表-基因檢測(201904起'!$P:$P,$A36&amp;"*",'來案暨出貨明細表-基因檢測(201904起'!$B:$B,BE$1)*$B36+COUNTIFS('來案暨出貨明細表-基因檢測(201904起'!$P:$P,$A36&amp;"*",'來案暨出貨明細表-基因檢測(201904起'!$B:$B,BE$1,'來案暨出貨明細表-基因檢測(201904起'!$Q:$Q,"紙本&amp;電子")++COUNTIFS('來案暨出貨明細表-基因檢測(201904起'!$P:$P,$A36&amp;"*",'來案暨出貨明細表-基因檢測(201904起'!$B:$B,BE$1,'來案暨出貨明細表-基因檢測(201904起'!$R:$R,"中英")</f>
        <v>0</v>
      </c>
      <c r="BF36" s="33">
        <f>COUNTIFS('來案暨出貨明細表-基因檢測(201904起'!$P:$P,$A36&amp;"*",'來案暨出貨明細表-基因檢測(201904起'!$B:$B,BF$1)*$B36+COUNTIFS('來案暨出貨明細表-基因檢測(201904起'!$P:$P,$A36&amp;"*",'來案暨出貨明細表-基因檢測(201904起'!$B:$B,BF$1,'來案暨出貨明細表-基因檢測(201904起'!$Q:$Q,"紙本&amp;電子")++COUNTIFS('來案暨出貨明細表-基因檢測(201904起'!$P:$P,$A36&amp;"*",'來案暨出貨明細表-基因檢測(201904起'!$B:$B,BF$1,'來案暨出貨明細表-基因檢測(201904起'!$R:$R,"中英")</f>
        <v>0</v>
      </c>
      <c r="BG36" s="33">
        <f>COUNTIFS('來案暨出貨明細表-基因檢測(201904起'!$P:$P,$A36&amp;"*",'來案暨出貨明細表-基因檢測(201904起'!$B:$B,BG$1)*$B36+COUNTIFS('來案暨出貨明細表-基因檢測(201904起'!$P:$P,$A36&amp;"*",'來案暨出貨明細表-基因檢測(201904起'!$B:$B,BG$1,'來案暨出貨明細表-基因檢測(201904起'!$Q:$Q,"紙本&amp;電子")++COUNTIFS('來案暨出貨明細表-基因檢測(201904起'!$P:$P,$A36&amp;"*",'來案暨出貨明細表-基因檢測(201904起'!$B:$B,BG$1,'來案暨出貨明細表-基因檢測(201904起'!$R:$R,"中英")</f>
        <v>0</v>
      </c>
      <c r="BH36" s="33">
        <f>COUNTIFS('來案暨出貨明細表-基因檢測(201904起'!$P:$P,$A36&amp;"*",'來案暨出貨明細表-基因檢測(201904起'!$B:$B,BH$1)*$B36+COUNTIFS('來案暨出貨明細表-基因檢測(201904起'!$P:$P,$A36&amp;"*",'來案暨出貨明細表-基因檢測(201904起'!$B:$B,BH$1,'來案暨出貨明細表-基因檢測(201904起'!$Q:$Q,"紙本&amp;電子")++COUNTIFS('來案暨出貨明細表-基因檢測(201904起'!$P:$P,$A36&amp;"*",'來案暨出貨明細表-基因檢測(201904起'!$B:$B,BH$1,'來案暨出貨明細表-基因檢測(201904起'!$R:$R,"中英")</f>
        <v>0</v>
      </c>
      <c r="BI36" s="33">
        <f>COUNTIFS('來案暨出貨明細表-基因檢測(201904起'!$P:$P,$A36&amp;"*",'來案暨出貨明細表-基因檢測(201904起'!$B:$B,BI$1)*$B36+COUNTIFS('來案暨出貨明細表-基因檢測(201904起'!$P:$P,$A36&amp;"*",'來案暨出貨明細表-基因檢測(201904起'!$B:$B,BI$1,'來案暨出貨明細表-基因檢測(201904起'!$Q:$Q,"紙本&amp;電子")++COUNTIFS('來案暨出貨明細表-基因檢測(201904起'!$P:$P,$A36&amp;"*",'來案暨出貨明細表-基因檢測(201904起'!$B:$B,BI$1,'來案暨出貨明細表-基因檢測(201904起'!$R:$R,"中英")</f>
        <v>0</v>
      </c>
      <c r="BJ36" s="33">
        <f>COUNTIFS('來案暨出貨明細表-基因檢測(201904起'!$P:$P,$A36&amp;"*",'來案暨出貨明細表-基因檢測(201904起'!$B:$B,BJ$1)*$B36+COUNTIFS('來案暨出貨明細表-基因檢測(201904起'!$P:$P,$A36&amp;"*",'來案暨出貨明細表-基因檢測(201904起'!$B:$B,BJ$1,'來案暨出貨明細表-基因檢測(201904起'!$Q:$Q,"紙本&amp;電子")++COUNTIFS('來案暨出貨明細表-基因檢測(201904起'!$P:$P,$A36&amp;"*",'來案暨出貨明細表-基因檢測(201904起'!$B:$B,BJ$1,'來案暨出貨明細表-基因檢測(201904起'!$R:$R,"中英")</f>
        <v>0</v>
      </c>
      <c r="BK36" s="33">
        <f>COUNTIFS('來案暨出貨明細表-基因檢測(201904起'!$P:$P,$A36&amp;"*",'來案暨出貨明細表-基因檢測(201904起'!$B:$B,BK$1)*$B36+COUNTIFS('來案暨出貨明細表-基因檢測(201904起'!$P:$P,$A36&amp;"*",'來案暨出貨明細表-基因檢測(201904起'!$B:$B,BK$1,'來案暨出貨明細表-基因檢測(201904起'!$Q:$Q,"紙本&amp;電子")++COUNTIFS('來案暨出貨明細表-基因檢測(201904起'!$P:$P,$A36&amp;"*",'來案暨出貨明細表-基因檢測(201904起'!$B:$B,BK$1,'來案暨出貨明細表-基因檢測(201904起'!$R:$R,"中英")</f>
        <v>0</v>
      </c>
      <c r="BL36" s="33">
        <f>COUNTIFS('來案暨出貨明細表-基因檢測(201904起'!$P:$P,$A36&amp;"*",'來案暨出貨明細表-基因檢測(201904起'!$B:$B,BL$1)*$B36+COUNTIFS('來案暨出貨明細表-基因檢測(201904起'!$P:$P,$A36&amp;"*",'來案暨出貨明細表-基因檢測(201904起'!$B:$B,BL$1,'來案暨出貨明細表-基因檢測(201904起'!$Q:$Q,"紙本&amp;電子")++COUNTIFS('來案暨出貨明細表-基因檢測(201904起'!$P:$P,$A36&amp;"*",'來案暨出貨明細表-基因檢測(201904起'!$B:$B,BL$1,'來案暨出貨明細表-基因檢測(201904起'!$R:$R,"中英")</f>
        <v>0</v>
      </c>
      <c r="BM36" s="33">
        <f>COUNTIFS('來案暨出貨明細表-基因檢測(201904起'!$P:$P,$A36&amp;"*",'來案暨出貨明細表-基因檢測(201904起'!$B:$B,BM$1)*$B36+COUNTIFS('來案暨出貨明細表-基因檢測(201904起'!$P:$P,$A36&amp;"*",'來案暨出貨明細表-基因檢測(201904起'!$B:$B,BM$1,'來案暨出貨明細表-基因檢測(201904起'!$Q:$Q,"紙本&amp;電子")++COUNTIFS('來案暨出貨明細表-基因檢測(201904起'!$P:$P,$A36&amp;"*",'來案暨出貨明細表-基因檢測(201904起'!$B:$B,BM$1,'來案暨出貨明細表-基因檢測(201904起'!$R:$R,"中英")</f>
        <v>0</v>
      </c>
    </row>
    <row r="37" spans="1:65" ht="15" customHeight="1">
      <c r="A37" s="9" t="s">
        <v>4569</v>
      </c>
      <c r="B37" s="9">
        <v>1</v>
      </c>
      <c r="C37" s="13" t="s">
        <v>4570</v>
      </c>
      <c r="D37" s="142" t="s">
        <v>4571</v>
      </c>
      <c r="E37" s="33">
        <f>COUNTIFS('來案暨出貨明細表-基因檢測(201904起'!$P:$P,$A37&amp;"*",'來案暨出貨明細表-基因檢測(201904起'!$B:$B,E$1)*$B37+COUNTIFS('來案暨出貨明細表-基因檢測(201904起'!$P:$P,$A37&amp;"*",'來案暨出貨明細表-基因檢測(201904起'!$B:$B,E$1,'來案暨出貨明細表-基因檢測(201904起'!$Q:$Q,"紙本&amp;電子")++COUNTIFS('來案暨出貨明細表-基因檢測(201904起'!$P:$P,$A37&amp;"*",'來案暨出貨明細表-基因檢測(201904起'!$B:$B,E$1,'來案暨出貨明細表-基因檢測(201904起'!$R:$R,"中英")</f>
        <v>0</v>
      </c>
      <c r="F37" s="33">
        <f>COUNTIFS('來案暨出貨明細表-基因檢測(201904起'!$P:$P,$A37&amp;"*",'來案暨出貨明細表-基因檢測(201904起'!$B:$B,F$1)*$B37+COUNTIFS('來案暨出貨明細表-基因檢測(201904起'!$P:$P,$A37&amp;"*",'來案暨出貨明細表-基因檢測(201904起'!$B:$B,F$1,'來案暨出貨明細表-基因檢測(201904起'!$Q:$Q,"紙本&amp;電子")++COUNTIFS('來案暨出貨明細表-基因檢測(201904起'!$P:$P,$A37&amp;"*",'來案暨出貨明細表-基因檢測(201904起'!$B:$B,F$1,'來案暨出貨明細表-基因檢測(201904起'!$R:$R,"中英")</f>
        <v>0</v>
      </c>
      <c r="G37" s="33">
        <f>COUNTIFS('來案暨出貨明細表-基因檢測(201904起'!$P:$P,$A37&amp;"*",'來案暨出貨明細表-基因檢測(201904起'!$B:$B,G$1)*$B37+COUNTIFS('來案暨出貨明細表-基因檢測(201904起'!$P:$P,$A37&amp;"*",'來案暨出貨明細表-基因檢測(201904起'!$B:$B,G$1,'來案暨出貨明細表-基因檢測(201904起'!$Q:$Q,"紙本&amp;電子")++COUNTIFS('來案暨出貨明細表-基因檢測(201904起'!$P:$P,$A37&amp;"*",'來案暨出貨明細表-基因檢測(201904起'!$B:$B,G$1,'來案暨出貨明細表-基因檢測(201904起'!$R:$R,"中英")</f>
        <v>0</v>
      </c>
      <c r="H37" s="33">
        <f>COUNTIFS('來案暨出貨明細表-基因檢測(201904起'!$P:$P,$A37&amp;"*",'來案暨出貨明細表-基因檢測(201904起'!$B:$B,H$1)*$B37+COUNTIFS('來案暨出貨明細表-基因檢測(201904起'!$P:$P,$A37&amp;"*",'來案暨出貨明細表-基因檢測(201904起'!$B:$B,H$1,'來案暨出貨明細表-基因檢測(201904起'!$Q:$Q,"紙本&amp;電子")++COUNTIFS('來案暨出貨明細表-基因檢測(201904起'!$P:$P,$A37&amp;"*",'來案暨出貨明細表-基因檢測(201904起'!$B:$B,H$1,'來案暨出貨明細表-基因檢測(201904起'!$R:$R,"中英")</f>
        <v>0</v>
      </c>
      <c r="I37" s="33">
        <f>COUNTIFS('來案暨出貨明細表-基因檢測(201904起'!$P:$P,$A37&amp;"*",'來案暨出貨明細表-基因檢測(201904起'!$B:$B,I$1)*$B37+COUNTIFS('來案暨出貨明細表-基因檢測(201904起'!$P:$P,$A37&amp;"*",'來案暨出貨明細表-基因檢測(201904起'!$B:$B,I$1,'來案暨出貨明細表-基因檢測(201904起'!$Q:$Q,"紙本&amp;電子")++COUNTIFS('來案暨出貨明細表-基因檢測(201904起'!$P:$P,$A37&amp;"*",'來案暨出貨明細表-基因檢測(201904起'!$B:$B,I$1,'來案暨出貨明細表-基因檢測(201904起'!$R:$R,"中英")</f>
        <v>0</v>
      </c>
      <c r="J37" s="33">
        <f>COUNTIFS('來案暨出貨明細表-基因檢測(201904起'!$P:$P,$A37&amp;"*",'來案暨出貨明細表-基因檢測(201904起'!$B:$B,J$1)*$B37+COUNTIFS('來案暨出貨明細表-基因檢測(201904起'!$P:$P,$A37&amp;"*",'來案暨出貨明細表-基因檢測(201904起'!$B:$B,J$1,'來案暨出貨明細表-基因檢測(201904起'!$Q:$Q,"紙本&amp;電子")++COUNTIFS('來案暨出貨明細表-基因檢測(201904起'!$P:$P,$A37&amp;"*",'來案暨出貨明細表-基因檢測(201904起'!$B:$B,J$1,'來案暨出貨明細表-基因檢測(201904起'!$R:$R,"中英")</f>
        <v>0</v>
      </c>
      <c r="K37" s="33">
        <f>COUNTIFS('來案暨出貨明細表-基因檢測(201904起'!$P:$P,$A37&amp;"*",'來案暨出貨明細表-基因檢測(201904起'!$B:$B,K$1)*$B37+COUNTIFS('來案暨出貨明細表-基因檢測(201904起'!$P:$P,$A37&amp;"*",'來案暨出貨明細表-基因檢測(201904起'!$B:$B,K$1,'來案暨出貨明細表-基因檢測(201904起'!$Q:$Q,"紙本&amp;電子")++COUNTIFS('來案暨出貨明細表-基因檢測(201904起'!$P:$P,$A37&amp;"*",'來案暨出貨明細表-基因檢測(201904起'!$B:$B,K$1,'來案暨出貨明細表-基因檢測(201904起'!$R:$R,"中英")</f>
        <v>0</v>
      </c>
      <c r="L37" s="33">
        <f>COUNTIFS('來案暨出貨明細表-基因檢測(201904起'!$P:$P,$A37&amp;"*",'來案暨出貨明細表-基因檢測(201904起'!$B:$B,L$1)*$B37+COUNTIFS('來案暨出貨明細表-基因檢測(201904起'!$P:$P,$A37&amp;"*",'來案暨出貨明細表-基因檢測(201904起'!$B:$B,L$1,'來案暨出貨明細表-基因檢測(201904起'!$Q:$Q,"紙本&amp;電子")++COUNTIFS('來案暨出貨明細表-基因檢測(201904起'!$P:$P,$A37&amp;"*",'來案暨出貨明細表-基因檢測(201904起'!$B:$B,L$1,'來案暨出貨明細表-基因檢測(201904起'!$R:$R,"中英")</f>
        <v>0</v>
      </c>
      <c r="M37" s="33">
        <f>COUNTIFS('來案暨出貨明細表-基因檢測(201904起'!$P:$P,$A37&amp;"*",'來案暨出貨明細表-基因檢測(201904起'!$B:$B,M$1)*$B37+COUNTIFS('來案暨出貨明細表-基因檢測(201904起'!$P:$P,$A37&amp;"*",'來案暨出貨明細表-基因檢測(201904起'!$B:$B,M$1,'來案暨出貨明細表-基因檢測(201904起'!$Q:$Q,"紙本&amp;電子")++COUNTIFS('來案暨出貨明細表-基因檢測(201904起'!$P:$P,$A37&amp;"*",'來案暨出貨明細表-基因檢測(201904起'!$B:$B,M$1,'來案暨出貨明細表-基因檢測(201904起'!$R:$R,"中英")</f>
        <v>0</v>
      </c>
      <c r="N37" s="33">
        <f>COUNTIFS('來案暨出貨明細表-基因檢測(201904起'!$P:$P,$A37&amp;"*",'來案暨出貨明細表-基因檢測(201904起'!$B:$B,N$1)*$B37+COUNTIFS('來案暨出貨明細表-基因檢測(201904起'!$P:$P,$A37&amp;"*",'來案暨出貨明細表-基因檢測(201904起'!$B:$B,N$1,'來案暨出貨明細表-基因檢測(201904起'!$Q:$Q,"紙本&amp;電子")++COUNTIFS('來案暨出貨明細表-基因檢測(201904起'!$P:$P,$A37&amp;"*",'來案暨出貨明細表-基因檢測(201904起'!$B:$B,N$1,'來案暨出貨明細表-基因檢測(201904起'!$R:$R,"中英")</f>
        <v>0</v>
      </c>
      <c r="O37" s="33">
        <f>COUNTIFS('來案暨出貨明細表-基因檢測(201904起'!$P:$P,$A37&amp;"*",'來案暨出貨明細表-基因檢測(201904起'!$B:$B,O$1)*$B37+COUNTIFS('來案暨出貨明細表-基因檢測(201904起'!$P:$P,$A37&amp;"*",'來案暨出貨明細表-基因檢測(201904起'!$B:$B,O$1,'來案暨出貨明細表-基因檢測(201904起'!$Q:$Q,"紙本&amp;電子")++COUNTIFS('來案暨出貨明細表-基因檢測(201904起'!$P:$P,$A37&amp;"*",'來案暨出貨明細表-基因檢測(201904起'!$B:$B,O$1,'來案暨出貨明細表-基因檢測(201904起'!$R:$R,"中英")</f>
        <v>0</v>
      </c>
      <c r="P37" s="33">
        <f>COUNTIFS('來案暨出貨明細表-基因檢測(201904起'!$P:$P,$A37&amp;"*",'來案暨出貨明細表-基因檢測(201904起'!$B:$B,P$1)*$B37+COUNTIFS('來案暨出貨明細表-基因檢測(201904起'!$P:$P,$A37&amp;"*",'來案暨出貨明細表-基因檢測(201904起'!$B:$B,P$1,'來案暨出貨明細表-基因檢測(201904起'!$Q:$Q,"紙本&amp;電子")++COUNTIFS('來案暨出貨明細表-基因檢測(201904起'!$P:$P,$A37&amp;"*",'來案暨出貨明細表-基因檢測(201904起'!$B:$B,P$1,'來案暨出貨明細表-基因檢測(201904起'!$R:$R,"中英")</f>
        <v>0</v>
      </c>
      <c r="Q37" s="33">
        <f>COUNTIFS('來案暨出貨明細表-基因檢測(201904起'!$P:$P,$A37&amp;"*",'來案暨出貨明細表-基因檢測(201904起'!$B:$B,Q$1)*$B37+COUNTIFS('來案暨出貨明細表-基因檢測(201904起'!$P:$P,$A37&amp;"*",'來案暨出貨明細表-基因檢測(201904起'!$B:$B,Q$1,'來案暨出貨明細表-基因檢測(201904起'!$Q:$Q,"紙本&amp;電子")++COUNTIFS('來案暨出貨明細表-基因檢測(201904起'!$P:$P,$A37&amp;"*",'來案暨出貨明細表-基因檢測(201904起'!$B:$B,Q$1,'來案暨出貨明細表-基因檢測(201904起'!$R:$R,"中英")</f>
        <v>0</v>
      </c>
      <c r="R37" s="33">
        <f>COUNTIFS('來案暨出貨明細表-基因檢測(201904起'!$P:$P,$A37&amp;"*",'來案暨出貨明細表-基因檢測(201904起'!$B:$B,R$1)*$B37+COUNTIFS('來案暨出貨明細表-基因檢測(201904起'!$P:$P,$A37&amp;"*",'來案暨出貨明細表-基因檢測(201904起'!$B:$B,R$1,'來案暨出貨明細表-基因檢測(201904起'!$Q:$Q,"紙本&amp;電子")++COUNTIFS('來案暨出貨明細表-基因檢測(201904起'!$P:$P,$A37&amp;"*",'來案暨出貨明細表-基因檢測(201904起'!$B:$B,R$1,'來案暨出貨明細表-基因檢測(201904起'!$R:$R,"中英")</f>
        <v>0</v>
      </c>
      <c r="S37" s="33">
        <f>COUNTIFS('來案暨出貨明細表-基因檢測(201904起'!$P:$P,$A37&amp;"*",'來案暨出貨明細表-基因檢測(201904起'!$B:$B,S$1)*$B37+COUNTIFS('來案暨出貨明細表-基因檢測(201904起'!$P:$P,$A37&amp;"*",'來案暨出貨明細表-基因檢測(201904起'!$B:$B,S$1,'來案暨出貨明細表-基因檢測(201904起'!$Q:$Q,"紙本&amp;電子")++COUNTIFS('來案暨出貨明細表-基因檢測(201904起'!$P:$P,$A37&amp;"*",'來案暨出貨明細表-基因檢測(201904起'!$B:$B,S$1,'來案暨出貨明細表-基因檢測(201904起'!$R:$R,"中英")</f>
        <v>0</v>
      </c>
      <c r="T37" s="33">
        <f>COUNTIFS('來案暨出貨明細表-基因檢測(201904起'!$P:$P,$A37&amp;"*",'來案暨出貨明細表-基因檢測(201904起'!$B:$B,T$1)*$B37+COUNTIFS('來案暨出貨明細表-基因檢測(201904起'!$P:$P,$A37&amp;"*",'來案暨出貨明細表-基因檢測(201904起'!$B:$B,T$1,'來案暨出貨明細表-基因檢測(201904起'!$Q:$Q,"紙本&amp;電子")++COUNTIFS('來案暨出貨明細表-基因檢測(201904起'!$P:$P,$A37&amp;"*",'來案暨出貨明細表-基因檢測(201904起'!$B:$B,T$1,'來案暨出貨明細表-基因檢測(201904起'!$R:$R,"中英")</f>
        <v>0</v>
      </c>
      <c r="U37" s="33">
        <f>COUNTIFS('來案暨出貨明細表-基因檢測(201904起'!$P:$P,$A37&amp;"*",'來案暨出貨明細表-基因檢測(201904起'!$B:$B,U$1)*$B37+COUNTIFS('來案暨出貨明細表-基因檢測(201904起'!$P:$P,$A37&amp;"*",'來案暨出貨明細表-基因檢測(201904起'!$B:$B,U$1,'來案暨出貨明細表-基因檢測(201904起'!$Q:$Q,"紙本&amp;電子")++COUNTIFS('來案暨出貨明細表-基因檢測(201904起'!$P:$P,$A37&amp;"*",'來案暨出貨明細表-基因檢測(201904起'!$B:$B,U$1,'來案暨出貨明細表-基因檢測(201904起'!$R:$R,"中英")</f>
        <v>0</v>
      </c>
      <c r="V37" s="33">
        <f>COUNTIFS('來案暨出貨明細表-基因檢測(201904起'!$P:$P,$A37&amp;"*",'來案暨出貨明細表-基因檢測(201904起'!$B:$B,V$1)*$B37+COUNTIFS('來案暨出貨明細表-基因檢測(201904起'!$P:$P,$A37&amp;"*",'來案暨出貨明細表-基因檢測(201904起'!$B:$B,V$1,'來案暨出貨明細表-基因檢測(201904起'!$Q:$Q,"紙本&amp;電子")++COUNTIFS('來案暨出貨明細表-基因檢測(201904起'!$P:$P,$A37&amp;"*",'來案暨出貨明細表-基因檢測(201904起'!$B:$B,V$1,'來案暨出貨明細表-基因檢測(201904起'!$R:$R,"中英")</f>
        <v>0</v>
      </c>
      <c r="W37" s="33">
        <f>COUNTIFS('來案暨出貨明細表-基因檢測(201904起'!$P:$P,$A37&amp;"*",'來案暨出貨明細表-基因檢測(201904起'!$B:$B,W$1)*$B37+COUNTIFS('來案暨出貨明細表-基因檢測(201904起'!$P:$P,$A37&amp;"*",'來案暨出貨明細表-基因檢測(201904起'!$B:$B,W$1,'來案暨出貨明細表-基因檢測(201904起'!$Q:$Q,"紙本&amp;電子")++COUNTIFS('來案暨出貨明細表-基因檢測(201904起'!$P:$P,$A37&amp;"*",'來案暨出貨明細表-基因檢測(201904起'!$B:$B,W$1,'來案暨出貨明細表-基因檢測(201904起'!$R:$R,"中英")</f>
        <v>0</v>
      </c>
      <c r="X37" s="33">
        <f>COUNTIFS('來案暨出貨明細表-基因檢測(201904起'!$P:$P,$A37&amp;"*",'來案暨出貨明細表-基因檢測(201904起'!$B:$B,X$1)*$B37+COUNTIFS('來案暨出貨明細表-基因檢測(201904起'!$P:$P,$A37&amp;"*",'來案暨出貨明細表-基因檢測(201904起'!$B:$B,X$1,'來案暨出貨明細表-基因檢測(201904起'!$Q:$Q,"紙本&amp;電子")++COUNTIFS('來案暨出貨明細表-基因檢測(201904起'!$P:$P,$A37&amp;"*",'來案暨出貨明細表-基因檢測(201904起'!$B:$B,X$1,'來案暨出貨明細表-基因檢測(201904起'!$R:$R,"中英")</f>
        <v>0</v>
      </c>
      <c r="Y37" s="33">
        <f>COUNTIFS('來案暨出貨明細表-基因檢測(201904起'!$P:$P,$A37&amp;"*",'來案暨出貨明細表-基因檢測(201904起'!$B:$B,Y$1)*$B37+COUNTIFS('來案暨出貨明細表-基因檢測(201904起'!$P:$P,$A37&amp;"*",'來案暨出貨明細表-基因檢測(201904起'!$B:$B,Y$1,'來案暨出貨明細表-基因檢測(201904起'!$Q:$Q,"紙本&amp;電子")++COUNTIFS('來案暨出貨明細表-基因檢測(201904起'!$P:$P,$A37&amp;"*",'來案暨出貨明細表-基因檢測(201904起'!$B:$B,Y$1,'來案暨出貨明細表-基因檢測(201904起'!$R:$R,"中英")</f>
        <v>0</v>
      </c>
      <c r="Z37" s="33">
        <f>COUNTIFS('來案暨出貨明細表-基因檢測(201904起'!$P:$P,$A37&amp;"*",'來案暨出貨明細表-基因檢測(201904起'!$B:$B,Z$1)*$B37+COUNTIFS('來案暨出貨明細表-基因檢測(201904起'!$P:$P,$A37&amp;"*",'來案暨出貨明細表-基因檢測(201904起'!$B:$B,Z$1,'來案暨出貨明細表-基因檢測(201904起'!$Q:$Q,"紙本&amp;電子")++COUNTIFS('來案暨出貨明細表-基因檢測(201904起'!$P:$P,$A37&amp;"*",'來案暨出貨明細表-基因檢測(201904起'!$B:$B,Z$1,'來案暨出貨明細表-基因檢測(201904起'!$R:$R,"中英")</f>
        <v>0</v>
      </c>
      <c r="AA37" s="33">
        <f>COUNTIFS('來案暨出貨明細表-基因檢測(201904起'!$P:$P,$A37&amp;"*",'來案暨出貨明細表-基因檢測(201904起'!$B:$B,AA$1)*$B37+COUNTIFS('來案暨出貨明細表-基因檢測(201904起'!$P:$P,$A37&amp;"*",'來案暨出貨明細表-基因檢測(201904起'!$B:$B,AA$1,'來案暨出貨明細表-基因檢測(201904起'!$Q:$Q,"紙本&amp;電子")++COUNTIFS('來案暨出貨明細表-基因檢測(201904起'!$P:$P,$A37&amp;"*",'來案暨出貨明細表-基因檢測(201904起'!$B:$B,AA$1,'來案暨出貨明細表-基因檢測(201904起'!$R:$R,"中英")</f>
        <v>2</v>
      </c>
      <c r="AB37" s="33">
        <f>COUNTIFS('來案暨出貨明細表-基因檢測(201904起'!$P:$P,$A37&amp;"*",'來案暨出貨明細表-基因檢測(201904起'!$B:$B,AB$1)*$B37+COUNTIFS('來案暨出貨明細表-基因檢測(201904起'!$P:$P,$A37&amp;"*",'來案暨出貨明細表-基因檢測(201904起'!$B:$B,AB$1,'來案暨出貨明細表-基因檢測(201904起'!$Q:$Q,"紙本&amp;電子")++COUNTIFS('來案暨出貨明細表-基因檢測(201904起'!$P:$P,$A37&amp;"*",'來案暨出貨明細表-基因檢測(201904起'!$B:$B,AB$1,'來案暨出貨明細表-基因檢測(201904起'!$R:$R,"中英")</f>
        <v>0</v>
      </c>
      <c r="AC37" s="33">
        <f>COUNTIFS('來案暨出貨明細表-基因檢測(201904起'!$P:$P,$A37&amp;"*",'來案暨出貨明細表-基因檢測(201904起'!$B:$B,AC$1)*$B37+COUNTIFS('來案暨出貨明細表-基因檢測(201904起'!$P:$P,$A37&amp;"*",'來案暨出貨明細表-基因檢測(201904起'!$B:$B,AC$1,'來案暨出貨明細表-基因檢測(201904起'!$Q:$Q,"紙本&amp;電子")++COUNTIFS('來案暨出貨明細表-基因檢測(201904起'!$P:$P,$A37&amp;"*",'來案暨出貨明細表-基因檢測(201904起'!$B:$B,AC$1,'來案暨出貨明細表-基因檢測(201904起'!$R:$R,"中英")</f>
        <v>0</v>
      </c>
      <c r="AD37" s="33">
        <f>COUNTIFS('來案暨出貨明細表-基因檢測(201904起'!$P:$P,$A37&amp;"*",'來案暨出貨明細表-基因檢測(201904起'!$B:$B,AD$1)*$B37+COUNTIFS('來案暨出貨明細表-基因檢測(201904起'!$P:$P,$A37&amp;"*",'來案暨出貨明細表-基因檢測(201904起'!$B:$B,AD$1,'來案暨出貨明細表-基因檢測(201904起'!$Q:$Q,"紙本&amp;電子")++COUNTIFS('來案暨出貨明細表-基因檢測(201904起'!$P:$P,$A37&amp;"*",'來案暨出貨明細表-基因檢測(201904起'!$B:$B,AD$1,'來案暨出貨明細表-基因檢測(201904起'!$R:$R,"中英")</f>
        <v>0</v>
      </c>
      <c r="AE37" s="33">
        <f>COUNTIFS('來案暨出貨明細表-基因檢測(201904起'!$P:$P,$A37&amp;"*",'來案暨出貨明細表-基因檢測(201904起'!$B:$B,AE$1)*$B37+COUNTIFS('來案暨出貨明細表-基因檢測(201904起'!$P:$P,$A37&amp;"*",'來案暨出貨明細表-基因檢測(201904起'!$B:$B,AE$1,'來案暨出貨明細表-基因檢測(201904起'!$Q:$Q,"紙本&amp;電子")++COUNTIFS('來案暨出貨明細表-基因檢測(201904起'!$P:$P,$A37&amp;"*",'來案暨出貨明細表-基因檢測(201904起'!$B:$B,AE$1,'來案暨出貨明細表-基因檢測(201904起'!$R:$R,"中英")</f>
        <v>0</v>
      </c>
      <c r="AF37" s="33">
        <f>COUNTIFS('來案暨出貨明細表-基因檢測(201904起'!$P:$P,$A37&amp;"*",'來案暨出貨明細表-基因檢測(201904起'!$B:$B,AF$1)*$B37+COUNTIFS('來案暨出貨明細表-基因檢測(201904起'!$P:$P,$A37&amp;"*",'來案暨出貨明細表-基因檢測(201904起'!$B:$B,AF$1,'來案暨出貨明細表-基因檢測(201904起'!$Q:$Q,"紙本&amp;電子")++COUNTIFS('來案暨出貨明細表-基因檢測(201904起'!$P:$P,$A37&amp;"*",'來案暨出貨明細表-基因檢測(201904起'!$B:$B,AF$1,'來案暨出貨明細表-基因檢測(201904起'!$R:$R,"中英")</f>
        <v>0</v>
      </c>
      <c r="AG37" s="33">
        <f>COUNTIFS('來案暨出貨明細表-基因檢測(201904起'!$P:$P,$A37&amp;"*",'來案暨出貨明細表-基因檢測(201904起'!$B:$B,AG$1)*$B37+COUNTIFS('來案暨出貨明細表-基因檢測(201904起'!$P:$P,$A37&amp;"*",'來案暨出貨明細表-基因檢測(201904起'!$B:$B,AG$1,'來案暨出貨明細表-基因檢測(201904起'!$Q:$Q,"紙本&amp;電子")++COUNTIFS('來案暨出貨明細表-基因檢測(201904起'!$P:$P,$A37&amp;"*",'來案暨出貨明細表-基因檢測(201904起'!$B:$B,AG$1,'來案暨出貨明細表-基因檢測(201904起'!$R:$R,"中英")</f>
        <v>1</v>
      </c>
      <c r="AH37" s="33">
        <f>COUNTIFS('來案暨出貨明細表-基因檢測(201904起'!$P:$P,$A37&amp;"*",'來案暨出貨明細表-基因檢測(201904起'!$B:$B,AH$1)*$B37+COUNTIFS('來案暨出貨明細表-基因檢測(201904起'!$P:$P,$A37&amp;"*",'來案暨出貨明細表-基因檢測(201904起'!$B:$B,AH$1,'來案暨出貨明細表-基因檢測(201904起'!$Q:$Q,"紙本&amp;電子")++COUNTIFS('來案暨出貨明細表-基因檢測(201904起'!$P:$P,$A37&amp;"*",'來案暨出貨明細表-基因檢測(201904起'!$B:$B,AH$1,'來案暨出貨明細表-基因檢測(201904起'!$R:$R,"中英")</f>
        <v>0</v>
      </c>
      <c r="AI37" s="33">
        <f>COUNTIFS('來案暨出貨明細表-基因檢測(201904起'!$P:$P,$A37&amp;"*",'來案暨出貨明細表-基因檢測(201904起'!$B:$B,AI$1)*$B37+COUNTIFS('來案暨出貨明細表-基因檢測(201904起'!$P:$P,$A37&amp;"*",'來案暨出貨明細表-基因檢測(201904起'!$B:$B,AI$1,'來案暨出貨明細表-基因檢測(201904起'!$Q:$Q,"紙本&amp;電子")++COUNTIFS('來案暨出貨明細表-基因檢測(201904起'!$P:$P,$A37&amp;"*",'來案暨出貨明細表-基因檢測(201904起'!$B:$B,AI$1,'來案暨出貨明細表-基因檢測(201904起'!$R:$R,"中英")</f>
        <v>0</v>
      </c>
      <c r="AJ37" s="33">
        <f>COUNTIFS('來案暨出貨明細表-基因檢測(201904起'!$P:$P,$A37&amp;"*",'來案暨出貨明細表-基因檢測(201904起'!$B:$B,AJ$1)*$B37+COUNTIFS('來案暨出貨明細表-基因檢測(201904起'!$P:$P,$A37&amp;"*",'來案暨出貨明細表-基因檢測(201904起'!$B:$B,AJ$1,'來案暨出貨明細表-基因檢測(201904起'!$Q:$Q,"紙本&amp;電子")++COUNTIFS('來案暨出貨明細表-基因檢測(201904起'!$P:$P,$A37&amp;"*",'來案暨出貨明細表-基因檢測(201904起'!$B:$B,AJ$1,'來案暨出貨明細表-基因檢測(201904起'!$R:$R,"中英")</f>
        <v>0</v>
      </c>
      <c r="AK37" s="33">
        <f>COUNTIFS('來案暨出貨明細表-基因檢測(201904起'!$P:$P,$A37&amp;"*",'來案暨出貨明細表-基因檢測(201904起'!$B:$B,AK$1)*$B37+COUNTIFS('來案暨出貨明細表-基因檢測(201904起'!$P:$P,$A37&amp;"*",'來案暨出貨明細表-基因檢測(201904起'!$B:$B,AK$1,'來案暨出貨明細表-基因檢測(201904起'!$Q:$Q,"紙本&amp;電子")++COUNTIFS('來案暨出貨明細表-基因檢測(201904起'!$P:$P,$A37&amp;"*",'來案暨出貨明細表-基因檢測(201904起'!$B:$B,AK$1,'來案暨出貨明細表-基因檢測(201904起'!$R:$R,"中英")</f>
        <v>0</v>
      </c>
      <c r="AL37" s="33">
        <f>COUNTIFS('來案暨出貨明細表-基因檢測(201904起'!$P:$P,$A37&amp;"*",'來案暨出貨明細表-基因檢測(201904起'!$B:$B,AL$1)*$B37+COUNTIFS('來案暨出貨明細表-基因檢測(201904起'!$P:$P,$A37&amp;"*",'來案暨出貨明細表-基因檢測(201904起'!$B:$B,AL$1,'來案暨出貨明細表-基因檢測(201904起'!$Q:$Q,"紙本&amp;電子")++COUNTIFS('來案暨出貨明細表-基因檢測(201904起'!$P:$P,$A37&amp;"*",'來案暨出貨明細表-基因檢測(201904起'!$B:$B,AL$1,'來案暨出貨明細表-基因檢測(201904起'!$R:$R,"中英")</f>
        <v>0</v>
      </c>
      <c r="AM37" s="33">
        <f>COUNTIFS('來案暨出貨明細表-基因檢測(201904起'!$P:$P,$A37&amp;"*",'來案暨出貨明細表-基因檢測(201904起'!$B:$B,AM$1)*$B37+COUNTIFS('來案暨出貨明細表-基因檢測(201904起'!$P:$P,$A37&amp;"*",'來案暨出貨明細表-基因檢測(201904起'!$B:$B,AM$1,'來案暨出貨明細表-基因檢測(201904起'!$Q:$Q,"紙本&amp;電子")++COUNTIFS('來案暨出貨明細表-基因檢測(201904起'!$P:$P,$A37&amp;"*",'來案暨出貨明細表-基因檢測(201904起'!$B:$B,AM$1,'來案暨出貨明細表-基因檢測(201904起'!$R:$R,"中英")</f>
        <v>0</v>
      </c>
      <c r="AN37" s="33">
        <f>COUNTIFS('來案暨出貨明細表-基因檢測(201904起'!$P:$P,$A37&amp;"*",'來案暨出貨明細表-基因檢測(201904起'!$B:$B,AN$1)*$B37+COUNTIFS('來案暨出貨明細表-基因檢測(201904起'!$P:$P,$A37&amp;"*",'來案暨出貨明細表-基因檢測(201904起'!$B:$B,AN$1,'來案暨出貨明細表-基因檢測(201904起'!$Q:$Q,"紙本&amp;電子")++COUNTIFS('來案暨出貨明細表-基因檢測(201904起'!$P:$P,$A37&amp;"*",'來案暨出貨明細表-基因檢測(201904起'!$B:$B,AN$1,'來案暨出貨明細表-基因檢測(201904起'!$R:$R,"中英")</f>
        <v>0</v>
      </c>
      <c r="AO37" s="33">
        <f>COUNTIFS('來案暨出貨明細表-基因檢測(201904起'!$P:$P,$A37&amp;"*",'來案暨出貨明細表-基因檢測(201904起'!$B:$B,AO$1)*$B37+COUNTIFS('來案暨出貨明細表-基因檢測(201904起'!$P:$P,$A37&amp;"*",'來案暨出貨明細表-基因檢測(201904起'!$B:$B,AO$1,'來案暨出貨明細表-基因檢測(201904起'!$Q:$Q,"紙本&amp;電子")++COUNTIFS('來案暨出貨明細表-基因檢測(201904起'!$P:$P,$A37&amp;"*",'來案暨出貨明細表-基因檢測(201904起'!$B:$B,AO$1,'來案暨出貨明細表-基因檢測(201904起'!$R:$R,"中英")</f>
        <v>0</v>
      </c>
      <c r="AP37" s="33">
        <f>COUNTIFS('來案暨出貨明細表-基因檢測(201904起'!$P:$P,$A37&amp;"*",'來案暨出貨明細表-基因檢測(201904起'!$B:$B,AP$1)*$B37+COUNTIFS('來案暨出貨明細表-基因檢測(201904起'!$P:$P,$A37&amp;"*",'來案暨出貨明細表-基因檢測(201904起'!$B:$B,AP$1,'來案暨出貨明細表-基因檢測(201904起'!$Q:$Q,"紙本&amp;電子")++COUNTIFS('來案暨出貨明細表-基因檢測(201904起'!$P:$P,$A37&amp;"*",'來案暨出貨明細表-基因檢測(201904起'!$B:$B,AP$1,'來案暨出貨明細表-基因檢測(201904起'!$R:$R,"中英")</f>
        <v>0</v>
      </c>
      <c r="AQ37" s="33">
        <f>COUNTIFS('來案暨出貨明細表-基因檢測(201904起'!$P:$P,$A37&amp;"*",'來案暨出貨明細表-基因檢測(201904起'!$B:$B,AQ$1)*$B37+COUNTIFS('來案暨出貨明細表-基因檢測(201904起'!$P:$P,$A37&amp;"*",'來案暨出貨明細表-基因檢測(201904起'!$B:$B,AQ$1,'來案暨出貨明細表-基因檢測(201904起'!$Q:$Q,"紙本&amp;電子")++COUNTIFS('來案暨出貨明細表-基因檢測(201904起'!$P:$P,$A37&amp;"*",'來案暨出貨明細表-基因檢測(201904起'!$B:$B,AQ$1,'來案暨出貨明細表-基因檢測(201904起'!$R:$R,"中英")</f>
        <v>0</v>
      </c>
      <c r="AR37" s="33">
        <f>COUNTIFS('來案暨出貨明細表-基因檢測(201904起'!$P:$P,$A37&amp;"*",'來案暨出貨明細表-基因檢測(201904起'!$B:$B,AR$1)*$B37+COUNTIFS('來案暨出貨明細表-基因檢測(201904起'!$P:$P,$A37&amp;"*",'來案暨出貨明細表-基因檢測(201904起'!$B:$B,AR$1,'來案暨出貨明細表-基因檢測(201904起'!$Q:$Q,"紙本&amp;電子")++COUNTIFS('來案暨出貨明細表-基因檢測(201904起'!$P:$P,$A37&amp;"*",'來案暨出貨明細表-基因檢測(201904起'!$B:$B,AR$1,'來案暨出貨明細表-基因檢測(201904起'!$R:$R,"中英")</f>
        <v>0</v>
      </c>
      <c r="AS37" s="33">
        <f>COUNTIFS('來案暨出貨明細表-基因檢測(201904起'!$P:$P,$A37&amp;"*",'來案暨出貨明細表-基因檢測(201904起'!$B:$B,AS$1)*$B37+COUNTIFS('來案暨出貨明細表-基因檢測(201904起'!$P:$P,$A37&amp;"*",'來案暨出貨明細表-基因檢測(201904起'!$B:$B,AS$1,'來案暨出貨明細表-基因檢測(201904起'!$Q:$Q,"紙本&amp;電子")++COUNTIFS('來案暨出貨明細表-基因檢測(201904起'!$P:$P,$A37&amp;"*",'來案暨出貨明細表-基因檢測(201904起'!$B:$B,AS$1,'來案暨出貨明細表-基因檢測(201904起'!$R:$R,"中英")</f>
        <v>0</v>
      </c>
      <c r="AT37" s="33">
        <f>COUNTIFS('來案暨出貨明細表-基因檢測(201904起'!$P:$P,$A37&amp;"*",'來案暨出貨明細表-基因檢測(201904起'!$B:$B,AT$1)*$B37+COUNTIFS('來案暨出貨明細表-基因檢測(201904起'!$P:$P,$A37&amp;"*",'來案暨出貨明細表-基因檢測(201904起'!$B:$B,AT$1,'來案暨出貨明細表-基因檢測(201904起'!$Q:$Q,"紙本&amp;電子")++COUNTIFS('來案暨出貨明細表-基因檢測(201904起'!$P:$P,$A37&amp;"*",'來案暨出貨明細表-基因檢測(201904起'!$B:$B,AT$1,'來案暨出貨明細表-基因檢測(201904起'!$R:$R,"中英")</f>
        <v>0</v>
      </c>
      <c r="AU37" s="33">
        <f>COUNTIFS('來案暨出貨明細表-基因檢測(201904起'!$P:$P,$A37&amp;"*",'來案暨出貨明細表-基因檢測(201904起'!$B:$B,AU$1)*$B37+COUNTIFS('來案暨出貨明細表-基因檢測(201904起'!$P:$P,$A37&amp;"*",'來案暨出貨明細表-基因檢測(201904起'!$B:$B,AU$1,'來案暨出貨明細表-基因檢測(201904起'!$Q:$Q,"紙本&amp;電子")++COUNTIFS('來案暨出貨明細表-基因檢測(201904起'!$P:$P,$A37&amp;"*",'來案暨出貨明細表-基因檢測(201904起'!$B:$B,AU$1,'來案暨出貨明細表-基因檢測(201904起'!$R:$R,"中英")</f>
        <v>0</v>
      </c>
      <c r="AV37" s="33">
        <f>COUNTIFS('來案暨出貨明細表-基因檢測(201904起'!$P:$P,$A37&amp;"*",'來案暨出貨明細表-基因檢測(201904起'!$B:$B,AV$1)*$B37+COUNTIFS('來案暨出貨明細表-基因檢測(201904起'!$P:$P,$A37&amp;"*",'來案暨出貨明細表-基因檢測(201904起'!$B:$B,AV$1,'來案暨出貨明細表-基因檢測(201904起'!$Q:$Q,"紙本&amp;電子")++COUNTIFS('來案暨出貨明細表-基因檢測(201904起'!$P:$P,$A37&amp;"*",'來案暨出貨明細表-基因檢測(201904起'!$B:$B,AV$1,'來案暨出貨明細表-基因檢測(201904起'!$R:$R,"中英")</f>
        <v>0</v>
      </c>
      <c r="AW37" s="33">
        <f>COUNTIFS('來案暨出貨明細表-基因檢測(201904起'!$P:$P,$A37&amp;"*",'來案暨出貨明細表-基因檢測(201904起'!$B:$B,AW$1)*$B37+COUNTIFS('來案暨出貨明細表-基因檢測(201904起'!$P:$P,$A37&amp;"*",'來案暨出貨明細表-基因檢測(201904起'!$B:$B,AW$1,'來案暨出貨明細表-基因檢測(201904起'!$Q:$Q,"紙本&amp;電子")++COUNTIFS('來案暨出貨明細表-基因檢測(201904起'!$P:$P,$A37&amp;"*",'來案暨出貨明細表-基因檢測(201904起'!$B:$B,AW$1,'來案暨出貨明細表-基因檢測(201904起'!$R:$R,"中英")</f>
        <v>0</v>
      </c>
      <c r="AX37" s="33">
        <f>COUNTIFS('來案暨出貨明細表-基因檢測(201904起'!$P:$P,$A37&amp;"*",'來案暨出貨明細表-基因檢測(201904起'!$B:$B,AX$1)*$B37+COUNTIFS('來案暨出貨明細表-基因檢測(201904起'!$P:$P,$A37&amp;"*",'來案暨出貨明細表-基因檢測(201904起'!$B:$B,AX$1,'來案暨出貨明細表-基因檢測(201904起'!$Q:$Q,"紙本&amp;電子")++COUNTIFS('來案暨出貨明細表-基因檢測(201904起'!$P:$P,$A37&amp;"*",'來案暨出貨明細表-基因檢測(201904起'!$B:$B,AX$1,'來案暨出貨明細表-基因檢測(201904起'!$R:$R,"中英")</f>
        <v>0</v>
      </c>
      <c r="AY37" s="33">
        <f>COUNTIFS('來案暨出貨明細表-基因檢測(201904起'!$P:$P,$A37&amp;"*",'來案暨出貨明細表-基因檢測(201904起'!$B:$B,AY$1)*$B37+COUNTIFS('來案暨出貨明細表-基因檢測(201904起'!$P:$P,$A37&amp;"*",'來案暨出貨明細表-基因檢測(201904起'!$B:$B,AY$1,'來案暨出貨明細表-基因檢測(201904起'!$Q:$Q,"紙本&amp;電子")++COUNTIFS('來案暨出貨明細表-基因檢測(201904起'!$P:$P,$A37&amp;"*",'來案暨出貨明細表-基因檢測(201904起'!$B:$B,AY$1,'來案暨出貨明細表-基因檢測(201904起'!$R:$R,"中英")</f>
        <v>0</v>
      </c>
      <c r="AZ37" s="33">
        <f>COUNTIFS('來案暨出貨明細表-基因檢測(201904起'!$P:$P,$A37&amp;"*",'來案暨出貨明細表-基因檢測(201904起'!$B:$B,AZ$1)*$B37+COUNTIFS('來案暨出貨明細表-基因檢測(201904起'!$P:$P,$A37&amp;"*",'來案暨出貨明細表-基因檢測(201904起'!$B:$B,AZ$1,'來案暨出貨明細表-基因檢測(201904起'!$Q:$Q,"紙本&amp;電子")++COUNTIFS('來案暨出貨明細表-基因檢測(201904起'!$P:$P,$A37&amp;"*",'來案暨出貨明細表-基因檢測(201904起'!$B:$B,AZ$1,'來案暨出貨明細表-基因檢測(201904起'!$R:$R,"中英")</f>
        <v>0</v>
      </c>
      <c r="BA37" s="33">
        <f>COUNTIFS('來案暨出貨明細表-基因檢測(201904起'!$P:$P,$A37&amp;"*",'來案暨出貨明細表-基因檢測(201904起'!$B:$B,BA$1)*$B37+COUNTIFS('來案暨出貨明細表-基因檢測(201904起'!$P:$P,$A37&amp;"*",'來案暨出貨明細表-基因檢測(201904起'!$B:$B,BA$1,'來案暨出貨明細表-基因檢測(201904起'!$Q:$Q,"紙本&amp;電子")++COUNTIFS('來案暨出貨明細表-基因檢測(201904起'!$P:$P,$A37&amp;"*",'來案暨出貨明細表-基因檢測(201904起'!$B:$B,BA$1,'來案暨出貨明細表-基因檢測(201904起'!$R:$R,"中英")</f>
        <v>0</v>
      </c>
      <c r="BB37" s="33">
        <f>COUNTIFS('來案暨出貨明細表-基因檢測(201904起'!$P:$P,$A37&amp;"*",'來案暨出貨明細表-基因檢測(201904起'!$B:$B,BB$1)*$B37+COUNTIFS('來案暨出貨明細表-基因檢測(201904起'!$P:$P,$A37&amp;"*",'來案暨出貨明細表-基因檢測(201904起'!$B:$B,BB$1,'來案暨出貨明細表-基因檢測(201904起'!$Q:$Q,"紙本&amp;電子")++COUNTIFS('來案暨出貨明細表-基因檢測(201904起'!$P:$P,$A37&amp;"*",'來案暨出貨明細表-基因檢測(201904起'!$B:$B,BB$1,'來案暨出貨明細表-基因檢測(201904起'!$R:$R,"中英")</f>
        <v>0</v>
      </c>
      <c r="BC37" s="33">
        <f>COUNTIFS('來案暨出貨明細表-基因檢測(201904起'!$P:$P,$A37&amp;"*",'來案暨出貨明細表-基因檢測(201904起'!$B:$B,BC$1)*$B37+COUNTIFS('來案暨出貨明細表-基因檢測(201904起'!$P:$P,$A37&amp;"*",'來案暨出貨明細表-基因檢測(201904起'!$B:$B,BC$1,'來案暨出貨明細表-基因檢測(201904起'!$Q:$Q,"紙本&amp;電子")++COUNTIFS('來案暨出貨明細表-基因檢測(201904起'!$P:$P,$A37&amp;"*",'來案暨出貨明細表-基因檢測(201904起'!$B:$B,BC$1,'來案暨出貨明細表-基因檢測(201904起'!$R:$R,"中英")</f>
        <v>0</v>
      </c>
      <c r="BD37" s="33">
        <f>COUNTIFS('來案暨出貨明細表-基因檢測(201904起'!$P:$P,$A37&amp;"*",'來案暨出貨明細表-基因檢測(201904起'!$B:$B,BD$1)*$B37+COUNTIFS('來案暨出貨明細表-基因檢測(201904起'!$P:$P,$A37&amp;"*",'來案暨出貨明細表-基因檢測(201904起'!$B:$B,BD$1,'來案暨出貨明細表-基因檢測(201904起'!$Q:$Q,"紙本&amp;電子")++COUNTIFS('來案暨出貨明細表-基因檢測(201904起'!$P:$P,$A37&amp;"*",'來案暨出貨明細表-基因檢測(201904起'!$B:$B,BD$1,'來案暨出貨明細表-基因檢測(201904起'!$R:$R,"中英")</f>
        <v>0</v>
      </c>
      <c r="BE37" s="33">
        <f>COUNTIFS('來案暨出貨明細表-基因檢測(201904起'!$P:$P,$A37&amp;"*",'來案暨出貨明細表-基因檢測(201904起'!$B:$B,BE$1)*$B37+COUNTIFS('來案暨出貨明細表-基因檢測(201904起'!$P:$P,$A37&amp;"*",'來案暨出貨明細表-基因檢測(201904起'!$B:$B,BE$1,'來案暨出貨明細表-基因檢測(201904起'!$Q:$Q,"紙本&amp;電子")++COUNTIFS('來案暨出貨明細表-基因檢測(201904起'!$P:$P,$A37&amp;"*",'來案暨出貨明細表-基因檢測(201904起'!$B:$B,BE$1,'來案暨出貨明細表-基因檢測(201904起'!$R:$R,"中英")</f>
        <v>0</v>
      </c>
      <c r="BF37" s="33">
        <f>COUNTIFS('來案暨出貨明細表-基因檢測(201904起'!$P:$P,$A37&amp;"*",'來案暨出貨明細表-基因檢測(201904起'!$B:$B,BF$1)*$B37+COUNTIFS('來案暨出貨明細表-基因檢測(201904起'!$P:$P,$A37&amp;"*",'來案暨出貨明細表-基因檢測(201904起'!$B:$B,BF$1,'來案暨出貨明細表-基因檢測(201904起'!$Q:$Q,"紙本&amp;電子")++COUNTIFS('來案暨出貨明細表-基因檢測(201904起'!$P:$P,$A37&amp;"*",'來案暨出貨明細表-基因檢測(201904起'!$B:$B,BF$1,'來案暨出貨明細表-基因檢測(201904起'!$R:$R,"中英")</f>
        <v>0</v>
      </c>
      <c r="BG37" s="33">
        <f>COUNTIFS('來案暨出貨明細表-基因檢測(201904起'!$P:$P,$A37&amp;"*",'來案暨出貨明細表-基因檢測(201904起'!$B:$B,BG$1)*$B37+COUNTIFS('來案暨出貨明細表-基因檢測(201904起'!$P:$P,$A37&amp;"*",'來案暨出貨明細表-基因檢測(201904起'!$B:$B,BG$1,'來案暨出貨明細表-基因檢測(201904起'!$Q:$Q,"紙本&amp;電子")++COUNTIFS('來案暨出貨明細表-基因檢測(201904起'!$P:$P,$A37&amp;"*",'來案暨出貨明細表-基因檢測(201904起'!$B:$B,BG$1,'來案暨出貨明細表-基因檢測(201904起'!$R:$R,"中英")</f>
        <v>0</v>
      </c>
      <c r="BH37" s="33">
        <f>COUNTIFS('來案暨出貨明細表-基因檢測(201904起'!$P:$P,$A37&amp;"*",'來案暨出貨明細表-基因檢測(201904起'!$B:$B,BH$1)*$B37+COUNTIFS('來案暨出貨明細表-基因檢測(201904起'!$P:$P,$A37&amp;"*",'來案暨出貨明細表-基因檢測(201904起'!$B:$B,BH$1,'來案暨出貨明細表-基因檢測(201904起'!$Q:$Q,"紙本&amp;電子")++COUNTIFS('來案暨出貨明細表-基因檢測(201904起'!$P:$P,$A37&amp;"*",'來案暨出貨明細表-基因檢測(201904起'!$B:$B,BH$1,'來案暨出貨明細表-基因檢測(201904起'!$R:$R,"中英")</f>
        <v>0</v>
      </c>
      <c r="BI37" s="33">
        <f>COUNTIFS('來案暨出貨明細表-基因檢測(201904起'!$P:$P,$A37&amp;"*",'來案暨出貨明細表-基因檢測(201904起'!$B:$B,BI$1)*$B37+COUNTIFS('來案暨出貨明細表-基因檢測(201904起'!$P:$P,$A37&amp;"*",'來案暨出貨明細表-基因檢測(201904起'!$B:$B,BI$1,'來案暨出貨明細表-基因檢測(201904起'!$Q:$Q,"紙本&amp;電子")++COUNTIFS('來案暨出貨明細表-基因檢測(201904起'!$P:$P,$A37&amp;"*",'來案暨出貨明細表-基因檢測(201904起'!$B:$B,BI$1,'來案暨出貨明細表-基因檢測(201904起'!$R:$R,"中英")</f>
        <v>0</v>
      </c>
      <c r="BJ37" s="33">
        <f>COUNTIFS('來案暨出貨明細表-基因檢測(201904起'!$P:$P,$A37&amp;"*",'來案暨出貨明細表-基因檢測(201904起'!$B:$B,BJ$1)*$B37+COUNTIFS('來案暨出貨明細表-基因檢測(201904起'!$P:$P,$A37&amp;"*",'來案暨出貨明細表-基因檢測(201904起'!$B:$B,BJ$1,'來案暨出貨明細表-基因檢測(201904起'!$Q:$Q,"紙本&amp;電子")++COUNTIFS('來案暨出貨明細表-基因檢測(201904起'!$P:$P,$A37&amp;"*",'來案暨出貨明細表-基因檢測(201904起'!$B:$B,BJ$1,'來案暨出貨明細表-基因檢測(201904起'!$R:$R,"中英")</f>
        <v>0</v>
      </c>
      <c r="BK37" s="33">
        <f>COUNTIFS('來案暨出貨明細表-基因檢測(201904起'!$P:$P,$A37&amp;"*",'來案暨出貨明細表-基因檢測(201904起'!$B:$B,BK$1)*$B37+COUNTIFS('來案暨出貨明細表-基因檢測(201904起'!$P:$P,$A37&amp;"*",'來案暨出貨明細表-基因檢測(201904起'!$B:$B,BK$1,'來案暨出貨明細表-基因檢測(201904起'!$Q:$Q,"紙本&amp;電子")++COUNTIFS('來案暨出貨明細表-基因檢測(201904起'!$P:$P,$A37&amp;"*",'來案暨出貨明細表-基因檢測(201904起'!$B:$B,BK$1,'來案暨出貨明細表-基因檢測(201904起'!$R:$R,"中英")</f>
        <v>0</v>
      </c>
      <c r="BL37" s="33">
        <f>COUNTIFS('來案暨出貨明細表-基因檢測(201904起'!$P:$P,$A37&amp;"*",'來案暨出貨明細表-基因檢測(201904起'!$B:$B,BL$1)*$B37+COUNTIFS('來案暨出貨明細表-基因檢測(201904起'!$P:$P,$A37&amp;"*",'來案暨出貨明細表-基因檢測(201904起'!$B:$B,BL$1,'來案暨出貨明細表-基因檢測(201904起'!$Q:$Q,"紙本&amp;電子")++COUNTIFS('來案暨出貨明細表-基因檢測(201904起'!$P:$P,$A37&amp;"*",'來案暨出貨明細表-基因檢測(201904起'!$B:$B,BL$1,'來案暨出貨明細表-基因檢測(201904起'!$R:$R,"中英")</f>
        <v>0</v>
      </c>
      <c r="BM37" s="33">
        <f>COUNTIFS('來案暨出貨明細表-基因檢測(201904起'!$P:$P,$A37&amp;"*",'來案暨出貨明細表-基因檢測(201904起'!$B:$B,BM$1)*$B37+COUNTIFS('來案暨出貨明細表-基因檢測(201904起'!$P:$P,$A37&amp;"*",'來案暨出貨明細表-基因檢測(201904起'!$B:$B,BM$1,'來案暨出貨明細表-基因檢測(201904起'!$Q:$Q,"紙本&amp;電子")++COUNTIFS('來案暨出貨明細表-基因檢測(201904起'!$P:$P,$A37&amp;"*",'來案暨出貨明細表-基因檢測(201904起'!$B:$B,BM$1,'來案暨出貨明細表-基因檢測(201904起'!$R:$R,"中英")</f>
        <v>0</v>
      </c>
    </row>
    <row r="38" spans="1:65" ht="15" customHeight="1">
      <c r="A38" s="33"/>
      <c r="B38" s="33"/>
      <c r="C38" s="228" t="s">
        <v>2434</v>
      </c>
      <c r="D38" s="229" t="s">
        <v>2434</v>
      </c>
      <c r="E38" s="202">
        <f t="shared" ref="E38:BM38" si="0">SUM(E2:E37)</f>
        <v>6</v>
      </c>
      <c r="F38" s="202">
        <f t="shared" si="0"/>
        <v>6</v>
      </c>
      <c r="G38" s="202">
        <f t="shared" si="0"/>
        <v>0</v>
      </c>
      <c r="H38" s="202">
        <f t="shared" si="0"/>
        <v>10</v>
      </c>
      <c r="I38" s="202">
        <f t="shared" si="0"/>
        <v>0</v>
      </c>
      <c r="J38" s="202">
        <f t="shared" si="0"/>
        <v>0</v>
      </c>
      <c r="K38" s="202">
        <f t="shared" si="0"/>
        <v>0</v>
      </c>
      <c r="L38" s="202">
        <f t="shared" si="0"/>
        <v>0</v>
      </c>
      <c r="M38" s="202">
        <f t="shared" si="0"/>
        <v>21</v>
      </c>
      <c r="N38" s="202">
        <f t="shared" si="0"/>
        <v>0</v>
      </c>
      <c r="O38" s="202">
        <f t="shared" si="0"/>
        <v>0</v>
      </c>
      <c r="P38" s="202">
        <f t="shared" si="0"/>
        <v>0</v>
      </c>
      <c r="Q38" s="202">
        <f t="shared" si="0"/>
        <v>0</v>
      </c>
      <c r="R38" s="202">
        <f t="shared" si="0"/>
        <v>14</v>
      </c>
      <c r="S38" s="202">
        <f t="shared" si="0"/>
        <v>5</v>
      </c>
      <c r="T38" s="202">
        <f t="shared" si="0"/>
        <v>4</v>
      </c>
      <c r="U38" s="202">
        <f t="shared" si="0"/>
        <v>1</v>
      </c>
      <c r="V38" s="202">
        <f t="shared" si="0"/>
        <v>4</v>
      </c>
      <c r="W38" s="202">
        <f t="shared" si="0"/>
        <v>0</v>
      </c>
      <c r="X38" s="202">
        <f t="shared" si="0"/>
        <v>0</v>
      </c>
      <c r="Y38" s="202">
        <f t="shared" si="0"/>
        <v>0</v>
      </c>
      <c r="Z38" s="202">
        <f t="shared" si="0"/>
        <v>0</v>
      </c>
      <c r="AA38" s="202">
        <f t="shared" si="0"/>
        <v>12</v>
      </c>
      <c r="AB38" s="202">
        <f t="shared" si="0"/>
        <v>16</v>
      </c>
      <c r="AC38" s="202">
        <f t="shared" si="0"/>
        <v>8</v>
      </c>
      <c r="AD38" s="202">
        <f t="shared" si="0"/>
        <v>0</v>
      </c>
      <c r="AE38" s="202">
        <f t="shared" si="0"/>
        <v>0</v>
      </c>
      <c r="AF38" s="202">
        <f t="shared" si="0"/>
        <v>5</v>
      </c>
      <c r="AG38" s="202">
        <f t="shared" si="0"/>
        <v>3</v>
      </c>
      <c r="AH38" s="202">
        <f t="shared" si="0"/>
        <v>2</v>
      </c>
      <c r="AI38" s="202">
        <f t="shared" si="0"/>
        <v>0</v>
      </c>
      <c r="AJ38" s="202">
        <f t="shared" si="0"/>
        <v>3</v>
      </c>
      <c r="AK38" s="202">
        <f t="shared" si="0"/>
        <v>0</v>
      </c>
      <c r="AL38" s="202">
        <f t="shared" si="0"/>
        <v>0</v>
      </c>
      <c r="AM38" s="202">
        <f t="shared" si="0"/>
        <v>0</v>
      </c>
      <c r="AN38" s="202">
        <f t="shared" si="0"/>
        <v>8</v>
      </c>
      <c r="AO38" s="202">
        <f t="shared" si="0"/>
        <v>3</v>
      </c>
      <c r="AP38" s="202">
        <f t="shared" si="0"/>
        <v>0</v>
      </c>
      <c r="AQ38" s="202">
        <f t="shared" si="0"/>
        <v>20</v>
      </c>
      <c r="AR38" s="202">
        <f t="shared" si="0"/>
        <v>0</v>
      </c>
      <c r="AS38" s="202">
        <f t="shared" si="0"/>
        <v>0</v>
      </c>
      <c r="AT38" s="202">
        <f t="shared" si="0"/>
        <v>7</v>
      </c>
      <c r="AU38" s="202">
        <f t="shared" si="0"/>
        <v>0</v>
      </c>
      <c r="AV38" s="202">
        <f t="shared" si="0"/>
        <v>24</v>
      </c>
      <c r="AW38" s="202">
        <f t="shared" si="0"/>
        <v>0</v>
      </c>
      <c r="AX38" s="202">
        <f t="shared" si="0"/>
        <v>5</v>
      </c>
      <c r="AY38" s="202">
        <f t="shared" si="0"/>
        <v>0</v>
      </c>
      <c r="AZ38" s="202">
        <f t="shared" si="0"/>
        <v>0</v>
      </c>
      <c r="BA38" s="202">
        <f t="shared" si="0"/>
        <v>0</v>
      </c>
      <c r="BB38" s="202">
        <f t="shared" si="0"/>
        <v>8</v>
      </c>
      <c r="BC38" s="202">
        <f t="shared" si="0"/>
        <v>0</v>
      </c>
      <c r="BD38" s="202">
        <f t="shared" si="0"/>
        <v>0</v>
      </c>
      <c r="BE38" s="202">
        <f t="shared" si="0"/>
        <v>0</v>
      </c>
      <c r="BF38" s="202">
        <f t="shared" si="0"/>
        <v>0</v>
      </c>
      <c r="BG38" s="202">
        <f t="shared" si="0"/>
        <v>0</v>
      </c>
      <c r="BH38" s="202">
        <f t="shared" si="0"/>
        <v>0</v>
      </c>
      <c r="BI38" s="202">
        <f t="shared" si="0"/>
        <v>0</v>
      </c>
      <c r="BJ38" s="202">
        <f t="shared" si="0"/>
        <v>0</v>
      </c>
      <c r="BK38" s="202">
        <f t="shared" si="0"/>
        <v>0</v>
      </c>
      <c r="BL38" s="202">
        <f t="shared" si="0"/>
        <v>0</v>
      </c>
      <c r="BM38" s="202">
        <f t="shared" si="0"/>
        <v>0</v>
      </c>
    </row>
    <row r="39" spans="1:65" ht="15" customHeight="1">
      <c r="A39" s="33"/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</row>
    <row r="40" spans="1:65" ht="15" customHeight="1">
      <c r="A40" s="33"/>
      <c r="B40" s="33"/>
      <c r="C40" s="33"/>
      <c r="D40" s="33"/>
      <c r="E40" s="33"/>
      <c r="F40" s="33"/>
      <c r="G40" s="33"/>
      <c r="H40" s="33"/>
      <c r="I40" s="33"/>
      <c r="J40" s="33"/>
      <c r="K40" s="33"/>
      <c r="L40" s="33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</row>
    <row r="41" spans="1:65" ht="15" customHeight="1">
      <c r="A41" s="33"/>
      <c r="B41" s="33"/>
      <c r="C41" s="33"/>
      <c r="D41" s="33"/>
      <c r="E41" s="33"/>
      <c r="F41" s="33"/>
      <c r="G41" s="33"/>
      <c r="H41" s="33"/>
      <c r="I41" s="33"/>
      <c r="J41" s="33"/>
      <c r="K41" s="33"/>
      <c r="L41" s="33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</row>
    <row r="42" spans="1:65" ht="15" customHeight="1">
      <c r="A42" s="33"/>
      <c r="B42" s="33"/>
      <c r="C42" s="33"/>
      <c r="D42" s="33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</row>
    <row r="43" spans="1:65" ht="15" customHeight="1">
      <c r="A43" s="33"/>
      <c r="B43" s="33"/>
      <c r="C43" s="33"/>
      <c r="D43" s="33"/>
      <c r="E43" s="33"/>
      <c r="F43" s="33"/>
      <c r="G43" s="33"/>
      <c r="H43" s="33"/>
      <c r="I43" s="33"/>
      <c r="J43" s="33"/>
      <c r="K43" s="33"/>
      <c r="L43" s="33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</row>
    <row r="44" spans="1:65" ht="15" customHeight="1">
      <c r="A44" s="33"/>
      <c r="B44" s="33"/>
      <c r="C44" s="33"/>
      <c r="D44" s="33"/>
      <c r="E44" s="33"/>
      <c r="F44" s="33"/>
      <c r="G44" s="33"/>
      <c r="H44" s="33"/>
      <c r="I44" s="33"/>
      <c r="J44" s="33"/>
      <c r="K44" s="33"/>
      <c r="L44" s="33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</row>
    <row r="45" spans="1:65" ht="15" customHeight="1">
      <c r="A45" s="33"/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</row>
    <row r="46" spans="1:65" ht="15" customHeight="1">
      <c r="A46" s="33"/>
      <c r="B46" s="33"/>
      <c r="C46" s="33"/>
      <c r="D46" s="33"/>
      <c r="E46" s="33"/>
      <c r="F46" s="33"/>
      <c r="G46" s="33"/>
      <c r="H46" s="33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</row>
    <row r="47" spans="1:65" ht="15" customHeight="1">
      <c r="A47" s="33"/>
      <c r="B47" s="33"/>
      <c r="C47" s="33"/>
      <c r="D47" s="33"/>
      <c r="E47" s="33"/>
      <c r="F47" s="33"/>
      <c r="G47" s="33"/>
      <c r="H47" s="33"/>
      <c r="I47" s="33"/>
      <c r="J47" s="33"/>
      <c r="K47" s="33"/>
      <c r="L47" s="33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</row>
    <row r="48" spans="1:65" ht="15" customHeight="1">
      <c r="A48" s="33"/>
      <c r="B48" s="33"/>
      <c r="C48" s="33"/>
      <c r="D48" s="33"/>
      <c r="E48" s="33"/>
      <c r="F48" s="33"/>
      <c r="G48" s="33"/>
      <c r="H48" s="33"/>
      <c r="I48" s="33"/>
      <c r="J48" s="33"/>
      <c r="K48" s="33"/>
      <c r="L48" s="33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</row>
    <row r="49" spans="1:65" ht="15" customHeight="1">
      <c r="A49" s="33"/>
      <c r="B49" s="33"/>
      <c r="C49" s="33"/>
      <c r="D49" s="33"/>
      <c r="E49" s="33"/>
      <c r="F49" s="33"/>
      <c r="G49" s="33"/>
      <c r="H49" s="33"/>
      <c r="I49" s="33"/>
      <c r="J49" s="33"/>
      <c r="K49" s="33"/>
      <c r="L49" s="33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</row>
    <row r="50" spans="1:65" ht="15" customHeight="1">
      <c r="A50" s="33"/>
      <c r="B50" s="33"/>
      <c r="C50" s="33"/>
      <c r="D50" s="33"/>
      <c r="E50" s="33"/>
      <c r="F50" s="33"/>
      <c r="G50" s="33"/>
      <c r="H50" s="33"/>
      <c r="I50" s="33"/>
      <c r="J50" s="33"/>
      <c r="K50" s="33"/>
      <c r="L50" s="33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</row>
    <row r="51" spans="1:65" ht="15" customHeight="1">
      <c r="A51" s="33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</row>
    <row r="52" spans="1:65" ht="15" customHeight="1">
      <c r="A52" s="33"/>
      <c r="B52" s="33"/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</row>
    <row r="53" spans="1:65" ht="15" customHeight="1">
      <c r="A53" s="33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</row>
    <row r="54" spans="1:65" ht="15" customHeight="1">
      <c r="A54" s="33"/>
      <c r="B54" s="33"/>
      <c r="C54" s="33"/>
      <c r="D54" s="33"/>
      <c r="E54" s="33"/>
      <c r="F54" s="33"/>
      <c r="G54" s="33"/>
      <c r="H54" s="33"/>
      <c r="I54" s="33"/>
      <c r="J54" s="33"/>
      <c r="K54" s="33"/>
      <c r="L54" s="33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</row>
    <row r="55" spans="1:65" ht="15" customHeight="1">
      <c r="A55" s="33"/>
      <c r="B55" s="33"/>
      <c r="C55" s="33"/>
      <c r="D55" s="33"/>
      <c r="E55" s="33"/>
      <c r="F55" s="33"/>
      <c r="G55" s="33"/>
      <c r="H55" s="33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</row>
    <row r="56" spans="1:65" ht="15" customHeight="1">
      <c r="A56" s="33"/>
      <c r="B56" s="33"/>
      <c r="C56" s="33"/>
      <c r="D56" s="33"/>
      <c r="E56" s="33"/>
      <c r="F56" s="33"/>
      <c r="G56" s="33"/>
      <c r="H56" s="33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</row>
    <row r="57" spans="1:65" ht="15" customHeight="1">
      <c r="A57" s="33"/>
      <c r="B57" s="33"/>
      <c r="C57" s="33"/>
      <c r="D57" s="33"/>
      <c r="E57" s="33"/>
      <c r="F57" s="33"/>
      <c r="G57" s="33"/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</row>
    <row r="58" spans="1:65" ht="15" customHeight="1">
      <c r="A58" s="33"/>
      <c r="B58" s="33"/>
      <c r="C58" s="33"/>
      <c r="D58" s="33"/>
      <c r="E58" s="33"/>
      <c r="F58" s="33"/>
      <c r="G58" s="33"/>
      <c r="H58" s="33"/>
      <c r="I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</row>
    <row r="59" spans="1:65" ht="15" customHeight="1">
      <c r="A59" s="33"/>
      <c r="B59" s="33"/>
      <c r="C59" s="33"/>
      <c r="D59" s="33"/>
      <c r="E59" s="33"/>
      <c r="F59" s="33"/>
      <c r="G59" s="33"/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</row>
    <row r="60" spans="1:65" ht="15" customHeight="1">
      <c r="A60" s="33"/>
      <c r="B60" s="33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</row>
    <row r="61" spans="1:65" ht="15" customHeight="1">
      <c r="A61" s="33"/>
      <c r="B61" s="33"/>
      <c r="C61" s="33"/>
      <c r="D61" s="33"/>
      <c r="E61" s="33"/>
      <c r="F61" s="33"/>
      <c r="G61" s="33"/>
      <c r="H61" s="33"/>
      <c r="I61" s="33"/>
      <c r="J61" s="33"/>
      <c r="K61" s="33"/>
      <c r="L61" s="33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</row>
    <row r="62" spans="1:65" ht="15" customHeight="1">
      <c r="A62" s="33"/>
      <c r="B62" s="33"/>
      <c r="C62" s="33"/>
      <c r="D62" s="33"/>
      <c r="E62" s="33"/>
      <c r="F62" s="33"/>
      <c r="G62" s="33"/>
      <c r="H62" s="33"/>
      <c r="I62" s="33"/>
      <c r="J62" s="33"/>
      <c r="K62" s="33"/>
      <c r="L62" s="33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</row>
    <row r="63" spans="1:65" ht="15" customHeight="1">
      <c r="A63" s="33"/>
      <c r="B63" s="33"/>
      <c r="C63" s="33"/>
      <c r="D63" s="33"/>
      <c r="E63" s="33"/>
      <c r="F63" s="33"/>
      <c r="G63" s="33"/>
      <c r="H63" s="33"/>
      <c r="I63" s="33"/>
      <c r="J63" s="33"/>
      <c r="K63" s="33"/>
      <c r="L63" s="33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</row>
    <row r="64" spans="1:65" ht="15" customHeight="1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</row>
    <row r="65" spans="1:65" ht="15" customHeight="1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</row>
    <row r="66" spans="1:65" ht="15" customHeight="1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</row>
    <row r="67" spans="1:65" ht="15" customHeight="1">
      <c r="A67" s="33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</row>
    <row r="68" spans="1:65" ht="15" customHeight="1">
      <c r="A68" s="33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</row>
    <row r="69" spans="1:65" ht="15" customHeight="1">
      <c r="A69" s="33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</row>
    <row r="70" spans="1:65" ht="15" customHeight="1">
      <c r="A70" s="33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</row>
    <row r="71" spans="1:65" ht="15" customHeight="1">
      <c r="A71" s="33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</row>
    <row r="72" spans="1:65" ht="15" customHeight="1">
      <c r="A72" s="33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</row>
    <row r="73" spans="1:65" ht="15" customHeight="1">
      <c r="A73" s="33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</row>
    <row r="74" spans="1:65" ht="15" customHeight="1">
      <c r="A74" s="33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</row>
    <row r="75" spans="1:65" ht="15" customHeight="1">
      <c r="A75" s="33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</row>
    <row r="76" spans="1:65" ht="15" customHeight="1">
      <c r="A76" s="33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</row>
    <row r="77" spans="1:65" ht="15" customHeight="1">
      <c r="A77" s="33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</row>
    <row r="78" spans="1:65" ht="15" customHeight="1">
      <c r="A78" s="33"/>
      <c r="B78" s="33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</row>
    <row r="79" spans="1:65" ht="15" customHeight="1">
      <c r="A79" s="33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</row>
    <row r="80" spans="1:65" ht="15" customHeight="1">
      <c r="A80" s="33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</row>
    <row r="81" spans="1:65" ht="15" customHeight="1">
      <c r="A81" s="33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</row>
    <row r="82" spans="1:65" ht="15" customHeight="1">
      <c r="A82" s="33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</row>
    <row r="83" spans="1:65" ht="15" customHeight="1">
      <c r="A83" s="33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</row>
    <row r="84" spans="1:65" ht="15" customHeight="1">
      <c r="A84" s="33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</row>
    <row r="85" spans="1:65" ht="15" customHeight="1">
      <c r="A85" s="33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</row>
    <row r="86" spans="1:65" ht="15" customHeight="1">
      <c r="A86" s="33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</row>
    <row r="87" spans="1:65" ht="15" customHeight="1">
      <c r="A87" s="33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</row>
    <row r="88" spans="1:65" ht="15" customHeight="1">
      <c r="A88" s="33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</row>
    <row r="89" spans="1:65" ht="15" customHeight="1">
      <c r="A89" s="33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</row>
    <row r="90" spans="1:65" ht="15" customHeight="1">
      <c r="A90" s="33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</row>
    <row r="91" spans="1:65" ht="15" customHeight="1">
      <c r="A91" s="33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</row>
    <row r="92" spans="1:65" ht="15" customHeight="1">
      <c r="A92" s="33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</row>
    <row r="93" spans="1:65" ht="15" customHeight="1">
      <c r="A93" s="33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</row>
    <row r="94" spans="1:65" ht="15" customHeight="1">
      <c r="A94" s="33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</row>
    <row r="95" spans="1:65" ht="15" customHeight="1">
      <c r="A95" s="33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</row>
    <row r="96" spans="1:65" ht="15" customHeight="1">
      <c r="A96" s="33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</row>
    <row r="97" spans="1:65" ht="15" customHeight="1">
      <c r="A97" s="33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</row>
    <row r="98" spans="1:65" ht="15" customHeight="1">
      <c r="A98" s="33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</row>
    <row r="99" spans="1:65" ht="15" customHeight="1">
      <c r="A99" s="33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</row>
    <row r="100" spans="1:65" ht="15" customHeight="1">
      <c r="A100" s="33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</row>
    <row r="101" spans="1:65" ht="15" customHeight="1">
      <c r="A101" s="33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</row>
    <row r="102" spans="1:65" ht="15" customHeight="1">
      <c r="A102" s="33"/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</row>
    <row r="103" spans="1:65" ht="15" customHeight="1">
      <c r="A103" s="33"/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</row>
    <row r="104" spans="1:65" ht="15" customHeight="1">
      <c r="A104" s="33"/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</row>
    <row r="105" spans="1:65" ht="15" customHeight="1">
      <c r="A105" s="33"/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</row>
    <row r="106" spans="1:65" ht="15" customHeight="1">
      <c r="A106" s="33"/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</row>
    <row r="107" spans="1:65" ht="15" customHeight="1">
      <c r="A107" s="33"/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</row>
    <row r="108" spans="1:65" ht="15" customHeight="1">
      <c r="A108" s="33"/>
      <c r="B108" s="33"/>
      <c r="C108" s="33"/>
      <c r="D108" s="33"/>
      <c r="E108" s="33"/>
      <c r="F108" s="33"/>
      <c r="G108" s="33"/>
      <c r="H108" s="33"/>
      <c r="I108" s="33"/>
      <c r="J108" s="33"/>
      <c r="K108" s="33"/>
      <c r="L108" s="33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</row>
    <row r="109" spans="1:65" ht="15" customHeight="1">
      <c r="A109" s="33"/>
      <c r="B109" s="33"/>
      <c r="C109" s="33"/>
      <c r="D109" s="33"/>
      <c r="E109" s="33"/>
      <c r="F109" s="33"/>
      <c r="G109" s="33"/>
      <c r="H109" s="33"/>
      <c r="I109" s="33"/>
      <c r="J109" s="33"/>
      <c r="K109" s="33"/>
      <c r="L109" s="33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</row>
    <row r="110" spans="1:65" ht="15" customHeight="1">
      <c r="A110" s="33"/>
      <c r="B110" s="33"/>
      <c r="C110" s="33"/>
      <c r="D110" s="33"/>
      <c r="E110" s="33"/>
      <c r="F110" s="33"/>
      <c r="G110" s="33"/>
      <c r="H110" s="33"/>
      <c r="I110" s="33"/>
      <c r="J110" s="33"/>
      <c r="K110" s="33"/>
      <c r="L110" s="33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</row>
    <row r="111" spans="1:65" ht="15" customHeight="1">
      <c r="A111" s="33"/>
      <c r="B111" s="33"/>
      <c r="C111" s="33"/>
      <c r="D111" s="33"/>
      <c r="E111" s="33"/>
      <c r="F111" s="33"/>
      <c r="G111" s="33"/>
      <c r="H111" s="33"/>
      <c r="I111" s="33"/>
      <c r="J111" s="33"/>
      <c r="K111" s="33"/>
      <c r="L111" s="33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</row>
    <row r="112" spans="1:65" ht="15" customHeight="1">
      <c r="A112" s="33"/>
      <c r="B112" s="33"/>
      <c r="C112" s="33"/>
      <c r="D112" s="33"/>
      <c r="E112" s="33"/>
      <c r="F112" s="33"/>
      <c r="G112" s="33"/>
      <c r="H112" s="33"/>
      <c r="I112" s="33"/>
      <c r="J112" s="33"/>
      <c r="K112" s="33"/>
      <c r="L112" s="33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</row>
    <row r="113" spans="1:65" ht="15" customHeight="1">
      <c r="A113" s="33"/>
      <c r="B113" s="33"/>
      <c r="C113" s="33"/>
      <c r="D113" s="33"/>
      <c r="E113" s="33"/>
      <c r="F113" s="33"/>
      <c r="G113" s="33"/>
      <c r="H113" s="33"/>
      <c r="I113" s="33"/>
      <c r="J113" s="33"/>
      <c r="K113" s="33"/>
      <c r="L113" s="33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</row>
    <row r="114" spans="1:65" ht="15" customHeight="1">
      <c r="A114" s="33"/>
      <c r="B114" s="33"/>
      <c r="C114" s="33"/>
      <c r="D114" s="33"/>
      <c r="E114" s="33"/>
      <c r="F114" s="33"/>
      <c r="G114" s="33"/>
      <c r="H114" s="33"/>
      <c r="I114" s="33"/>
      <c r="J114" s="33"/>
      <c r="K114" s="33"/>
      <c r="L114" s="33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</row>
    <row r="115" spans="1:65" ht="15" customHeight="1">
      <c r="A115" s="33"/>
      <c r="B115" s="33"/>
      <c r="C115" s="33"/>
      <c r="D115" s="33"/>
      <c r="E115" s="33"/>
      <c r="F115" s="33"/>
      <c r="G115" s="33"/>
      <c r="H115" s="33"/>
      <c r="I115" s="33"/>
      <c r="J115" s="33"/>
      <c r="K115" s="33"/>
      <c r="L115" s="33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</row>
    <row r="116" spans="1:65" ht="15" customHeight="1">
      <c r="A116" s="33"/>
      <c r="B116" s="33"/>
      <c r="C116" s="33"/>
      <c r="D116" s="33"/>
      <c r="E116" s="33"/>
      <c r="F116" s="33"/>
      <c r="G116" s="33"/>
      <c r="H116" s="33"/>
      <c r="I116" s="33"/>
      <c r="J116" s="33"/>
      <c r="K116" s="33"/>
      <c r="L116" s="33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</row>
    <row r="117" spans="1:65" ht="15" customHeight="1">
      <c r="A117" s="33"/>
      <c r="B117" s="33"/>
      <c r="C117" s="33"/>
      <c r="D117" s="33"/>
      <c r="E117" s="33"/>
      <c r="F117" s="33"/>
      <c r="G117" s="33"/>
      <c r="H117" s="33"/>
      <c r="I117" s="33"/>
      <c r="J117" s="33"/>
      <c r="K117" s="33"/>
      <c r="L117" s="33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</row>
    <row r="118" spans="1:65" ht="15" customHeight="1">
      <c r="A118" s="33"/>
      <c r="B118" s="33"/>
      <c r="C118" s="33"/>
      <c r="D118" s="33"/>
      <c r="E118" s="33"/>
      <c r="F118" s="33"/>
      <c r="G118" s="33"/>
      <c r="H118" s="33"/>
      <c r="I118" s="33"/>
      <c r="J118" s="33"/>
      <c r="K118" s="33"/>
      <c r="L118" s="33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</row>
    <row r="119" spans="1:65" ht="15" customHeight="1">
      <c r="A119" s="33"/>
      <c r="B119" s="33"/>
      <c r="C119" s="33"/>
      <c r="D119" s="33"/>
      <c r="E119" s="33"/>
      <c r="F119" s="33"/>
      <c r="G119" s="33"/>
      <c r="H119" s="33"/>
      <c r="I119" s="33"/>
      <c r="J119" s="33"/>
      <c r="K119" s="33"/>
      <c r="L119" s="33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</row>
    <row r="120" spans="1:65" ht="15" customHeight="1">
      <c r="A120" s="33"/>
      <c r="B120" s="33"/>
      <c r="C120" s="33"/>
      <c r="D120" s="33"/>
      <c r="E120" s="33"/>
      <c r="F120" s="33"/>
      <c r="G120" s="33"/>
      <c r="H120" s="33"/>
      <c r="I120" s="33"/>
      <c r="J120" s="33"/>
      <c r="K120" s="33"/>
      <c r="L120" s="33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</row>
    <row r="121" spans="1:65" ht="15" customHeight="1">
      <c r="A121" s="33"/>
      <c r="B121" s="33"/>
      <c r="C121" s="33"/>
      <c r="D121" s="33"/>
      <c r="E121" s="33"/>
      <c r="F121" s="33"/>
      <c r="G121" s="33"/>
      <c r="H121" s="33"/>
      <c r="I121" s="33"/>
      <c r="J121" s="33"/>
      <c r="K121" s="33"/>
      <c r="L121" s="33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</row>
    <row r="122" spans="1:65" ht="15" customHeight="1">
      <c r="A122" s="33"/>
      <c r="B122" s="33"/>
      <c r="C122" s="33"/>
      <c r="D122" s="33"/>
      <c r="E122" s="33"/>
      <c r="F122" s="33"/>
      <c r="G122" s="33"/>
      <c r="H122" s="33"/>
      <c r="I122" s="33"/>
      <c r="J122" s="33"/>
      <c r="K122" s="33"/>
      <c r="L122" s="33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</row>
    <row r="123" spans="1:65" ht="15" customHeight="1">
      <c r="A123" s="33"/>
      <c r="B123" s="33"/>
      <c r="C123" s="33"/>
      <c r="D123" s="33"/>
      <c r="E123" s="33"/>
      <c r="F123" s="33"/>
      <c r="G123" s="33"/>
      <c r="H123" s="33"/>
      <c r="I123" s="33"/>
      <c r="J123" s="33"/>
      <c r="K123" s="33"/>
      <c r="L123" s="33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</row>
    <row r="124" spans="1:65" ht="15" customHeight="1">
      <c r="A124" s="33"/>
      <c r="B124" s="33"/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</row>
    <row r="125" spans="1:65" ht="15" customHeight="1">
      <c r="A125" s="33"/>
      <c r="B125" s="33"/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</row>
    <row r="126" spans="1:65" ht="15" customHeight="1">
      <c r="A126" s="33"/>
      <c r="B126" s="33"/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</row>
    <row r="127" spans="1:65" ht="15" customHeight="1">
      <c r="A127" s="33"/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</row>
    <row r="128" spans="1:65" ht="15" customHeight="1">
      <c r="A128" s="33"/>
      <c r="B128" s="33"/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</row>
    <row r="129" spans="1:65" ht="15" customHeight="1">
      <c r="A129" s="33"/>
      <c r="B129" s="33"/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</row>
    <row r="130" spans="1:65" ht="15" customHeight="1">
      <c r="A130" s="33"/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</row>
    <row r="131" spans="1:65" ht="15" customHeight="1">
      <c r="A131" s="33"/>
      <c r="B131" s="33"/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</row>
    <row r="132" spans="1:65" ht="15" customHeight="1">
      <c r="A132" s="33"/>
      <c r="B132" s="33"/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</row>
    <row r="133" spans="1:65" ht="15" customHeight="1">
      <c r="A133" s="33"/>
      <c r="B133" s="33"/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</row>
    <row r="134" spans="1:65" ht="15" customHeight="1">
      <c r="A134" s="33"/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</row>
    <row r="135" spans="1:65" ht="15" customHeight="1">
      <c r="A135" s="33"/>
      <c r="B135" s="33"/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</row>
    <row r="136" spans="1:65" ht="15" customHeight="1">
      <c r="A136" s="33"/>
      <c r="B136" s="33"/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</row>
    <row r="137" spans="1:65" ht="15" customHeight="1">
      <c r="A137" s="33"/>
      <c r="B137" s="33"/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</row>
    <row r="138" spans="1:65" ht="15" customHeight="1">
      <c r="A138" s="33"/>
      <c r="B138" s="33"/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</row>
    <row r="139" spans="1:65" ht="15" customHeight="1">
      <c r="A139" s="33"/>
      <c r="B139" s="33"/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</row>
    <row r="140" spans="1:65" ht="15" customHeight="1">
      <c r="A140" s="33"/>
      <c r="B140" s="33"/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</row>
    <row r="141" spans="1:65" ht="15" customHeight="1">
      <c r="A141" s="33"/>
      <c r="B141" s="33"/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</row>
    <row r="142" spans="1:65" ht="15" customHeight="1">
      <c r="A142" s="33"/>
      <c r="B142" s="33"/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</row>
    <row r="143" spans="1:65" ht="15" customHeight="1">
      <c r="A143" s="33"/>
      <c r="B143" s="33"/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</row>
    <row r="144" spans="1:65" ht="15" customHeight="1">
      <c r="A144" s="33"/>
      <c r="B144" s="33"/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</row>
    <row r="145" spans="1:65" ht="15" customHeight="1">
      <c r="A145" s="33"/>
      <c r="B145" s="33"/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</row>
    <row r="146" spans="1:65" ht="15" customHeight="1">
      <c r="A146" s="33"/>
      <c r="B146" s="33"/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</row>
    <row r="147" spans="1:65" ht="15" customHeight="1">
      <c r="A147" s="33"/>
      <c r="B147" s="33"/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</row>
    <row r="148" spans="1:65" ht="15" customHeight="1">
      <c r="A148" s="33"/>
      <c r="B148" s="33"/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</row>
    <row r="149" spans="1:65" ht="15" customHeight="1">
      <c r="A149" s="33"/>
      <c r="B149" s="33"/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</row>
    <row r="150" spans="1:65" ht="15" customHeight="1">
      <c r="A150" s="33"/>
      <c r="B150" s="33"/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</row>
    <row r="151" spans="1:65" ht="15" customHeight="1">
      <c r="A151" s="33"/>
      <c r="B151" s="33"/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</row>
    <row r="152" spans="1:65" ht="15" customHeight="1">
      <c r="A152" s="33"/>
      <c r="B152" s="33"/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</row>
    <row r="153" spans="1:65" ht="15" customHeight="1">
      <c r="A153" s="33"/>
      <c r="B153" s="33"/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</row>
    <row r="154" spans="1:65" ht="15" customHeight="1">
      <c r="A154" s="33"/>
      <c r="B154" s="33"/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</row>
    <row r="155" spans="1:65" ht="15" customHeight="1">
      <c r="A155" s="33"/>
      <c r="B155" s="33"/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</row>
    <row r="156" spans="1:65" ht="15" customHeight="1">
      <c r="A156" s="33"/>
      <c r="B156" s="33"/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</row>
    <row r="157" spans="1:65" ht="15" customHeight="1">
      <c r="A157" s="33"/>
      <c r="B157" s="33"/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</row>
    <row r="158" spans="1:65" ht="15" customHeight="1">
      <c r="A158" s="33"/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</row>
    <row r="159" spans="1:65" ht="15" customHeight="1">
      <c r="A159" s="33"/>
      <c r="B159" s="33"/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</row>
    <row r="160" spans="1:65" ht="15" customHeight="1">
      <c r="A160" s="33"/>
      <c r="B160" s="33"/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</row>
    <row r="161" spans="1:65" ht="15" customHeight="1">
      <c r="A161" s="33"/>
      <c r="B161" s="33"/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</row>
    <row r="162" spans="1:65" ht="15" customHeight="1">
      <c r="A162" s="33"/>
      <c r="B162" s="33"/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</row>
    <row r="163" spans="1:65" ht="15" customHeight="1">
      <c r="A163" s="33"/>
      <c r="B163" s="33"/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</row>
    <row r="164" spans="1:65" ht="15" customHeight="1">
      <c r="A164" s="33"/>
      <c r="B164" s="33"/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</row>
    <row r="165" spans="1:65" ht="15" customHeight="1">
      <c r="A165" s="33"/>
      <c r="B165" s="33"/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</row>
    <row r="166" spans="1:65" ht="15" customHeight="1">
      <c r="A166" s="33"/>
      <c r="B166" s="33"/>
      <c r="C166" s="33"/>
      <c r="D166" s="33"/>
      <c r="E166" s="33"/>
      <c r="F166" s="33"/>
      <c r="G166" s="33"/>
      <c r="H166" s="33"/>
      <c r="I166" s="33"/>
      <c r="J166" s="33"/>
      <c r="K166" s="33"/>
      <c r="L166" s="33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</row>
    <row r="167" spans="1:65" ht="15" customHeight="1">
      <c r="A167" s="33"/>
      <c r="B167" s="33"/>
      <c r="C167" s="33"/>
      <c r="D167" s="33"/>
      <c r="E167" s="33"/>
      <c r="F167" s="33"/>
      <c r="G167" s="33"/>
      <c r="H167" s="33"/>
      <c r="I167" s="33"/>
      <c r="J167" s="33"/>
      <c r="K167" s="33"/>
      <c r="L167" s="33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</row>
    <row r="168" spans="1:65" ht="15" customHeight="1">
      <c r="A168" s="33"/>
      <c r="B168" s="33"/>
      <c r="C168" s="33"/>
      <c r="D168" s="33"/>
      <c r="E168" s="33"/>
      <c r="F168" s="33"/>
      <c r="G168" s="33"/>
      <c r="H168" s="33"/>
      <c r="I168" s="33"/>
      <c r="J168" s="33"/>
      <c r="K168" s="33"/>
      <c r="L168" s="33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</row>
    <row r="169" spans="1:65" ht="15" customHeight="1">
      <c r="A169" s="33"/>
      <c r="B169" s="33"/>
      <c r="C169" s="33"/>
      <c r="D169" s="33"/>
      <c r="E169" s="33"/>
      <c r="F169" s="33"/>
      <c r="G169" s="33"/>
      <c r="H169" s="33"/>
      <c r="I169" s="33"/>
      <c r="J169" s="33"/>
      <c r="K169" s="33"/>
      <c r="L169" s="33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</row>
    <row r="170" spans="1:65" ht="15" customHeight="1">
      <c r="A170" s="33"/>
      <c r="B170" s="33"/>
      <c r="C170" s="33"/>
      <c r="D170" s="33"/>
      <c r="E170" s="33"/>
      <c r="F170" s="33"/>
      <c r="G170" s="33"/>
      <c r="H170" s="33"/>
      <c r="I170" s="33"/>
      <c r="J170" s="33"/>
      <c r="K170" s="33"/>
      <c r="L170" s="33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</row>
    <row r="171" spans="1:65" ht="15" customHeight="1">
      <c r="A171" s="33"/>
      <c r="B171" s="33"/>
      <c r="C171" s="33"/>
      <c r="D171" s="33"/>
      <c r="E171" s="33"/>
      <c r="F171" s="33"/>
      <c r="G171" s="33"/>
      <c r="H171" s="33"/>
      <c r="I171" s="33"/>
      <c r="J171" s="33"/>
      <c r="K171" s="33"/>
      <c r="L171" s="33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</row>
    <row r="172" spans="1:65" ht="15" customHeight="1">
      <c r="A172" s="33"/>
      <c r="B172" s="33"/>
      <c r="C172" s="33"/>
      <c r="D172" s="33"/>
      <c r="E172" s="33"/>
      <c r="F172" s="33"/>
      <c r="G172" s="33"/>
      <c r="H172" s="33"/>
      <c r="I172" s="33"/>
      <c r="J172" s="33"/>
      <c r="K172" s="33"/>
      <c r="L172" s="33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</row>
    <row r="173" spans="1:65" ht="15" customHeight="1">
      <c r="A173" s="33"/>
      <c r="B173" s="33"/>
      <c r="C173" s="33"/>
      <c r="D173" s="33"/>
      <c r="E173" s="33"/>
      <c r="F173" s="33"/>
      <c r="G173" s="33"/>
      <c r="H173" s="33"/>
      <c r="I173" s="33"/>
      <c r="J173" s="33"/>
      <c r="K173" s="33"/>
      <c r="L173" s="33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</row>
    <row r="174" spans="1:65" ht="15" customHeight="1">
      <c r="A174" s="33"/>
      <c r="B174" s="33"/>
      <c r="C174" s="33"/>
      <c r="D174" s="33"/>
      <c r="E174" s="33"/>
      <c r="F174" s="33"/>
      <c r="G174" s="33"/>
      <c r="H174" s="33"/>
      <c r="I174" s="33"/>
      <c r="J174" s="33"/>
      <c r="K174" s="33"/>
      <c r="L174" s="33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</row>
    <row r="175" spans="1:65" ht="15" customHeight="1">
      <c r="A175" s="33"/>
      <c r="B175" s="33"/>
      <c r="C175" s="33"/>
      <c r="D175" s="33"/>
      <c r="E175" s="33"/>
      <c r="F175" s="33"/>
      <c r="G175" s="33"/>
      <c r="H175" s="33"/>
      <c r="I175" s="33"/>
      <c r="J175" s="33"/>
      <c r="K175" s="33"/>
      <c r="L175" s="33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</row>
    <row r="176" spans="1:65" ht="15" customHeight="1">
      <c r="A176" s="33"/>
      <c r="B176" s="33"/>
      <c r="C176" s="33"/>
      <c r="D176" s="33"/>
      <c r="E176" s="33"/>
      <c r="F176" s="33"/>
      <c r="G176" s="33"/>
      <c r="H176" s="33"/>
      <c r="I176" s="33"/>
      <c r="J176" s="33"/>
      <c r="K176" s="33"/>
      <c r="L176" s="33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</row>
    <row r="177" spans="1:65" ht="15" customHeight="1">
      <c r="A177" s="33"/>
      <c r="B177" s="33"/>
      <c r="C177" s="33"/>
      <c r="D177" s="33"/>
      <c r="E177" s="33"/>
      <c r="F177" s="33"/>
      <c r="G177" s="33"/>
      <c r="H177" s="33"/>
      <c r="I177" s="33"/>
      <c r="J177" s="33"/>
      <c r="K177" s="33"/>
      <c r="L177" s="33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</row>
    <row r="178" spans="1:65" ht="15" customHeight="1">
      <c r="A178" s="33"/>
      <c r="B178" s="33"/>
      <c r="C178" s="33"/>
      <c r="D178" s="33"/>
      <c r="E178" s="33"/>
      <c r="F178" s="33"/>
      <c r="G178" s="33"/>
      <c r="H178" s="33"/>
      <c r="I178" s="33"/>
      <c r="J178" s="33"/>
      <c r="K178" s="33"/>
      <c r="L178" s="33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</row>
    <row r="179" spans="1:65" ht="15" customHeight="1">
      <c r="A179" s="33"/>
      <c r="B179" s="33"/>
      <c r="C179" s="33"/>
      <c r="D179" s="33"/>
      <c r="E179" s="33"/>
      <c r="F179" s="33"/>
      <c r="G179" s="33"/>
      <c r="H179" s="33"/>
      <c r="I179" s="33"/>
      <c r="J179" s="33"/>
      <c r="K179" s="33"/>
      <c r="L179" s="33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</row>
    <row r="180" spans="1:65" ht="15" customHeight="1">
      <c r="A180" s="33"/>
      <c r="B180" s="33"/>
      <c r="C180" s="33"/>
      <c r="D180" s="33"/>
      <c r="E180" s="33"/>
      <c r="F180" s="33"/>
      <c r="G180" s="33"/>
      <c r="H180" s="33"/>
      <c r="I180" s="33"/>
      <c r="J180" s="33"/>
      <c r="K180" s="33"/>
      <c r="L180" s="33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</row>
    <row r="181" spans="1:65" ht="15" customHeight="1">
      <c r="A181" s="33"/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</row>
    <row r="182" spans="1:65" ht="15" customHeight="1">
      <c r="A182" s="33"/>
      <c r="B182" s="33"/>
      <c r="C182" s="33"/>
      <c r="D182" s="33"/>
      <c r="E182" s="33"/>
      <c r="F182" s="33"/>
      <c r="G182" s="33"/>
      <c r="H182" s="33"/>
      <c r="I182" s="33"/>
      <c r="J182" s="33"/>
      <c r="K182" s="33"/>
      <c r="L182" s="33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</row>
    <row r="183" spans="1:65" ht="15" customHeight="1">
      <c r="A183" s="33"/>
      <c r="B183" s="33"/>
      <c r="C183" s="33"/>
      <c r="D183" s="33"/>
      <c r="E183" s="33"/>
      <c r="F183" s="33"/>
      <c r="G183" s="33"/>
      <c r="H183" s="33"/>
      <c r="I183" s="33"/>
      <c r="J183" s="33"/>
      <c r="K183" s="33"/>
      <c r="L183" s="33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</row>
    <row r="184" spans="1:65" ht="15" customHeight="1">
      <c r="A184" s="33"/>
      <c r="B184" s="33"/>
      <c r="C184" s="33"/>
      <c r="D184" s="33"/>
      <c r="E184" s="33"/>
      <c r="F184" s="33"/>
      <c r="G184" s="33"/>
      <c r="H184" s="33"/>
      <c r="I184" s="33"/>
      <c r="J184" s="33"/>
      <c r="K184" s="33"/>
      <c r="L184" s="33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</row>
    <row r="185" spans="1:65" ht="15" customHeight="1">
      <c r="A185" s="33"/>
      <c r="B185" s="33"/>
      <c r="C185" s="33"/>
      <c r="D185" s="33"/>
      <c r="E185" s="33"/>
      <c r="F185" s="33"/>
      <c r="G185" s="33"/>
      <c r="H185" s="33"/>
      <c r="I185" s="33"/>
      <c r="J185" s="33"/>
      <c r="K185" s="33"/>
      <c r="L185" s="33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</row>
    <row r="186" spans="1:65" ht="15" customHeight="1">
      <c r="A186" s="33"/>
      <c r="B186" s="33"/>
      <c r="C186" s="33"/>
      <c r="D186" s="33"/>
      <c r="E186" s="33"/>
      <c r="F186" s="33"/>
      <c r="G186" s="33"/>
      <c r="H186" s="33"/>
      <c r="I186" s="33"/>
      <c r="J186" s="33"/>
      <c r="K186" s="33"/>
      <c r="L186" s="33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</row>
    <row r="187" spans="1:65" ht="15" customHeight="1">
      <c r="A187" s="33"/>
      <c r="B187" s="33"/>
      <c r="C187" s="33"/>
      <c r="D187" s="33"/>
      <c r="E187" s="33"/>
      <c r="F187" s="33"/>
      <c r="G187" s="33"/>
      <c r="H187" s="33"/>
      <c r="I187" s="33"/>
      <c r="J187" s="33"/>
      <c r="K187" s="33"/>
      <c r="L187" s="33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</row>
    <row r="188" spans="1:65" ht="15" customHeight="1">
      <c r="A188" s="33"/>
      <c r="B188" s="33"/>
      <c r="C188" s="33"/>
      <c r="D188" s="33"/>
      <c r="E188" s="33"/>
      <c r="F188" s="33"/>
      <c r="G188" s="33"/>
      <c r="H188" s="33"/>
      <c r="I188" s="33"/>
      <c r="J188" s="33"/>
      <c r="K188" s="33"/>
      <c r="L188" s="33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</row>
    <row r="189" spans="1:65" ht="15" customHeight="1">
      <c r="A189" s="33"/>
      <c r="B189" s="33"/>
      <c r="C189" s="33"/>
      <c r="D189" s="33"/>
      <c r="E189" s="33"/>
      <c r="F189" s="33"/>
      <c r="G189" s="33"/>
      <c r="H189" s="33"/>
      <c r="I189" s="33"/>
      <c r="J189" s="33"/>
      <c r="K189" s="33"/>
      <c r="L189" s="33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</row>
    <row r="190" spans="1:65" ht="15" customHeight="1">
      <c r="A190" s="33"/>
      <c r="B190" s="33"/>
      <c r="C190" s="33"/>
      <c r="D190" s="33"/>
      <c r="E190" s="33"/>
      <c r="F190" s="33"/>
      <c r="G190" s="33"/>
      <c r="H190" s="33"/>
      <c r="I190" s="33"/>
      <c r="J190" s="33"/>
      <c r="K190" s="33"/>
      <c r="L190" s="33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</row>
    <row r="191" spans="1:65" ht="15" customHeight="1">
      <c r="A191" s="33"/>
      <c r="B191" s="33"/>
      <c r="C191" s="33"/>
      <c r="D191" s="33"/>
      <c r="E191" s="33"/>
      <c r="F191" s="33"/>
      <c r="G191" s="33"/>
      <c r="H191" s="33"/>
      <c r="I191" s="33"/>
      <c r="J191" s="33"/>
      <c r="K191" s="33"/>
      <c r="L191" s="33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</row>
    <row r="192" spans="1:65" ht="15" customHeight="1">
      <c r="A192" s="33"/>
      <c r="B192" s="33"/>
      <c r="C192" s="33"/>
      <c r="D192" s="33"/>
      <c r="E192" s="33"/>
      <c r="F192" s="33"/>
      <c r="G192" s="33"/>
      <c r="H192" s="33"/>
      <c r="I192" s="33"/>
      <c r="J192" s="33"/>
      <c r="K192" s="33"/>
      <c r="L192" s="33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</row>
    <row r="193" spans="1:65" ht="15" customHeight="1">
      <c r="A193" s="33"/>
      <c r="B193" s="33"/>
      <c r="C193" s="33"/>
      <c r="D193" s="33"/>
      <c r="E193" s="33"/>
      <c r="F193" s="33"/>
      <c r="G193" s="33"/>
      <c r="H193" s="33"/>
      <c r="I193" s="33"/>
      <c r="J193" s="33"/>
      <c r="K193" s="33"/>
      <c r="L193" s="33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</row>
    <row r="194" spans="1:65" ht="15" customHeight="1">
      <c r="A194" s="33"/>
      <c r="B194" s="33"/>
      <c r="C194" s="33"/>
      <c r="D194" s="33"/>
      <c r="E194" s="33"/>
      <c r="F194" s="33"/>
      <c r="G194" s="33"/>
      <c r="H194" s="33"/>
      <c r="I194" s="33"/>
      <c r="J194" s="33"/>
      <c r="K194" s="33"/>
      <c r="L194" s="33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</row>
    <row r="195" spans="1:65" ht="15" customHeight="1">
      <c r="A195" s="33"/>
      <c r="B195" s="33"/>
      <c r="C195" s="33"/>
      <c r="D195" s="33"/>
      <c r="E195" s="33"/>
      <c r="F195" s="33"/>
      <c r="G195" s="33"/>
      <c r="H195" s="33"/>
      <c r="I195" s="33"/>
      <c r="J195" s="33"/>
      <c r="K195" s="33"/>
      <c r="L195" s="33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</row>
    <row r="196" spans="1:65" ht="15" customHeight="1">
      <c r="A196" s="33"/>
      <c r="B196" s="33"/>
      <c r="C196" s="33"/>
      <c r="D196" s="33"/>
      <c r="E196" s="33"/>
      <c r="F196" s="33"/>
      <c r="G196" s="33"/>
      <c r="H196" s="33"/>
      <c r="I196" s="33"/>
      <c r="J196" s="33"/>
      <c r="K196" s="33"/>
      <c r="L196" s="33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</row>
    <row r="197" spans="1:65" ht="15" customHeight="1">
      <c r="A197" s="33"/>
      <c r="B197" s="33"/>
      <c r="C197" s="33"/>
      <c r="D197" s="33"/>
      <c r="E197" s="33"/>
      <c r="F197" s="33"/>
      <c r="G197" s="33"/>
      <c r="H197" s="33"/>
      <c r="I197" s="33"/>
      <c r="J197" s="33"/>
      <c r="K197" s="33"/>
      <c r="L197" s="33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</row>
    <row r="198" spans="1:65" ht="15" customHeight="1">
      <c r="A198" s="33"/>
      <c r="B198" s="33"/>
      <c r="C198" s="33"/>
      <c r="D198" s="33"/>
      <c r="E198" s="33"/>
      <c r="F198" s="33"/>
      <c r="G198" s="33"/>
      <c r="H198" s="33"/>
      <c r="I198" s="33"/>
      <c r="J198" s="33"/>
      <c r="K198" s="33"/>
      <c r="L198" s="33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</row>
    <row r="199" spans="1:65" ht="15" customHeight="1">
      <c r="A199" s="33"/>
      <c r="B199" s="33"/>
      <c r="C199" s="33"/>
      <c r="D199" s="33"/>
      <c r="E199" s="33"/>
      <c r="F199" s="33"/>
      <c r="G199" s="33"/>
      <c r="H199" s="33"/>
      <c r="I199" s="33"/>
      <c r="J199" s="33"/>
      <c r="K199" s="33"/>
      <c r="L199" s="33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</row>
    <row r="200" spans="1:65" ht="15" customHeight="1">
      <c r="A200" s="33"/>
      <c r="B200" s="33"/>
      <c r="C200" s="33"/>
      <c r="D200" s="33"/>
      <c r="E200" s="33"/>
      <c r="F200" s="33"/>
      <c r="G200" s="33"/>
      <c r="H200" s="33"/>
      <c r="I200" s="33"/>
      <c r="J200" s="33"/>
      <c r="K200" s="33"/>
      <c r="L200" s="33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</row>
    <row r="201" spans="1:65" ht="15" customHeight="1">
      <c r="A201" s="33"/>
      <c r="B201" s="33"/>
      <c r="C201" s="33"/>
      <c r="D201" s="33"/>
      <c r="E201" s="33"/>
      <c r="F201" s="33"/>
      <c r="G201" s="33"/>
      <c r="H201" s="33"/>
      <c r="I201" s="33"/>
      <c r="J201" s="33"/>
      <c r="K201" s="33"/>
      <c r="L201" s="33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</row>
    <row r="202" spans="1:65" ht="15" customHeight="1">
      <c r="A202" s="33"/>
      <c r="B202" s="33"/>
      <c r="C202" s="33"/>
      <c r="D202" s="33"/>
      <c r="E202" s="33"/>
      <c r="F202" s="33"/>
      <c r="G202" s="33"/>
      <c r="H202" s="33"/>
      <c r="I202" s="33"/>
      <c r="J202" s="33"/>
      <c r="K202" s="33"/>
      <c r="L202" s="33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</row>
    <row r="203" spans="1:65" ht="15" customHeight="1">
      <c r="A203" s="33"/>
      <c r="B203" s="33"/>
      <c r="C203" s="33"/>
      <c r="D203" s="33"/>
      <c r="E203" s="33"/>
      <c r="F203" s="33"/>
      <c r="G203" s="33"/>
      <c r="H203" s="33"/>
      <c r="I203" s="33"/>
      <c r="J203" s="33"/>
      <c r="K203" s="33"/>
      <c r="L203" s="33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</row>
    <row r="204" spans="1:65" ht="15" customHeight="1">
      <c r="A204" s="33"/>
      <c r="B204" s="33"/>
      <c r="C204" s="33"/>
      <c r="D204" s="33"/>
      <c r="E204" s="33"/>
      <c r="F204" s="33"/>
      <c r="G204" s="33"/>
      <c r="H204" s="33"/>
      <c r="I204" s="33"/>
      <c r="J204" s="33"/>
      <c r="K204" s="33"/>
      <c r="L204" s="33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</row>
    <row r="205" spans="1:65" ht="15" customHeight="1">
      <c r="A205" s="33"/>
      <c r="B205" s="33"/>
      <c r="C205" s="33"/>
      <c r="D205" s="33"/>
      <c r="E205" s="33"/>
      <c r="F205" s="33"/>
      <c r="G205" s="33"/>
      <c r="H205" s="33"/>
      <c r="I205" s="33"/>
      <c r="J205" s="33"/>
      <c r="K205" s="33"/>
      <c r="L205" s="33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</row>
    <row r="206" spans="1:65" ht="15" customHeight="1">
      <c r="A206" s="33"/>
      <c r="B206" s="33"/>
      <c r="C206" s="33"/>
      <c r="D206" s="33"/>
      <c r="E206" s="33"/>
      <c r="F206" s="33"/>
      <c r="G206" s="33"/>
      <c r="H206" s="33"/>
      <c r="I206" s="33"/>
      <c r="J206" s="33"/>
      <c r="K206" s="33"/>
      <c r="L206" s="33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</row>
    <row r="207" spans="1:65" ht="15" customHeight="1">
      <c r="A207" s="33"/>
      <c r="B207" s="33"/>
      <c r="C207" s="33"/>
      <c r="D207" s="33"/>
      <c r="E207" s="33"/>
      <c r="F207" s="33"/>
      <c r="G207" s="33"/>
      <c r="H207" s="33"/>
      <c r="I207" s="33"/>
      <c r="J207" s="33"/>
      <c r="K207" s="33"/>
      <c r="L207" s="33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</row>
    <row r="208" spans="1:65" ht="15" customHeight="1">
      <c r="A208" s="33"/>
      <c r="B208" s="33"/>
      <c r="C208" s="33"/>
      <c r="D208" s="33"/>
      <c r="E208" s="33"/>
      <c r="F208" s="33"/>
      <c r="G208" s="33"/>
      <c r="H208" s="33"/>
      <c r="I208" s="33"/>
      <c r="J208" s="33"/>
      <c r="K208" s="33"/>
      <c r="L208" s="33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</row>
    <row r="209" spans="1:65" ht="15" customHeight="1">
      <c r="A209" s="33"/>
      <c r="B209" s="33"/>
      <c r="C209" s="33"/>
      <c r="D209" s="33"/>
      <c r="E209" s="33"/>
      <c r="F209" s="33"/>
      <c r="G209" s="33"/>
      <c r="H209" s="33"/>
      <c r="I209" s="33"/>
      <c r="J209" s="33"/>
      <c r="K209" s="33"/>
      <c r="L209" s="33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</row>
    <row r="210" spans="1:65" ht="15" customHeight="1">
      <c r="A210" s="33"/>
      <c r="B210" s="33"/>
      <c r="C210" s="33"/>
      <c r="D210" s="33"/>
      <c r="E210" s="33"/>
      <c r="F210" s="33"/>
      <c r="G210" s="33"/>
      <c r="H210" s="33"/>
      <c r="I210" s="33"/>
      <c r="J210" s="33"/>
      <c r="K210" s="33"/>
      <c r="L210" s="33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</row>
    <row r="211" spans="1:65" ht="15" customHeight="1">
      <c r="A211" s="33"/>
      <c r="B211" s="33"/>
      <c r="C211" s="33"/>
      <c r="D211" s="33"/>
      <c r="E211" s="33"/>
      <c r="F211" s="33"/>
      <c r="G211" s="33"/>
      <c r="H211" s="33"/>
      <c r="I211" s="33"/>
      <c r="J211" s="33"/>
      <c r="K211" s="33"/>
      <c r="L211" s="33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</row>
    <row r="212" spans="1:65" ht="15" customHeight="1">
      <c r="A212" s="33"/>
      <c r="B212" s="33"/>
      <c r="C212" s="33"/>
      <c r="D212" s="33"/>
      <c r="E212" s="33"/>
      <c r="F212" s="33"/>
      <c r="G212" s="33"/>
      <c r="H212" s="33"/>
      <c r="I212" s="33"/>
      <c r="J212" s="33"/>
      <c r="K212" s="33"/>
      <c r="L212" s="33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</row>
    <row r="213" spans="1:65" ht="15" customHeight="1">
      <c r="A213" s="33"/>
      <c r="B213" s="33"/>
      <c r="C213" s="33"/>
      <c r="D213" s="33"/>
      <c r="E213" s="33"/>
      <c r="F213" s="33"/>
      <c r="G213" s="33"/>
      <c r="H213" s="33"/>
      <c r="I213" s="33"/>
      <c r="J213" s="33"/>
      <c r="K213" s="33"/>
      <c r="L213" s="33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</row>
    <row r="214" spans="1:65" ht="15" customHeight="1">
      <c r="A214" s="33"/>
      <c r="B214" s="33"/>
      <c r="C214" s="33"/>
      <c r="D214" s="33"/>
      <c r="E214" s="33"/>
      <c r="F214" s="33"/>
      <c r="G214" s="33"/>
      <c r="H214" s="33"/>
      <c r="I214" s="33"/>
      <c r="J214" s="33"/>
      <c r="K214" s="33"/>
      <c r="L214" s="33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</row>
    <row r="215" spans="1:65" ht="15" customHeight="1">
      <c r="A215" s="33"/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</row>
    <row r="216" spans="1:65" ht="15" customHeight="1">
      <c r="A216" s="33"/>
      <c r="B216" s="33"/>
      <c r="C216" s="33"/>
      <c r="D216" s="33"/>
      <c r="E216" s="33"/>
      <c r="F216" s="33"/>
      <c r="G216" s="33"/>
      <c r="H216" s="33"/>
      <c r="I216" s="33"/>
      <c r="J216" s="33"/>
      <c r="K216" s="33"/>
      <c r="L216" s="33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</row>
    <row r="217" spans="1:65" ht="15" customHeight="1">
      <c r="A217" s="33"/>
      <c r="B217" s="33"/>
      <c r="C217" s="33"/>
      <c r="D217" s="33"/>
      <c r="E217" s="33"/>
      <c r="F217" s="33"/>
      <c r="G217" s="33"/>
      <c r="H217" s="33"/>
      <c r="I217" s="33"/>
      <c r="J217" s="33"/>
      <c r="K217" s="33"/>
      <c r="L217" s="33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</row>
    <row r="218" spans="1:65" ht="15" customHeight="1">
      <c r="A218" s="33"/>
      <c r="B218" s="33"/>
      <c r="C218" s="33"/>
      <c r="D218" s="33"/>
      <c r="E218" s="33"/>
      <c r="F218" s="33"/>
      <c r="G218" s="33"/>
      <c r="H218" s="33"/>
      <c r="I218" s="33"/>
      <c r="J218" s="33"/>
      <c r="K218" s="33"/>
      <c r="L218" s="33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</row>
    <row r="219" spans="1:65" ht="15" customHeight="1">
      <c r="A219" s="33"/>
      <c r="B219" s="33"/>
      <c r="C219" s="33"/>
      <c r="D219" s="33"/>
      <c r="E219" s="33"/>
      <c r="F219" s="33"/>
      <c r="G219" s="33"/>
      <c r="H219" s="33"/>
      <c r="I219" s="33"/>
      <c r="J219" s="33"/>
      <c r="K219" s="33"/>
      <c r="L219" s="33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</row>
    <row r="220" spans="1:65" ht="15" customHeight="1">
      <c r="A220" s="33"/>
      <c r="B220" s="33"/>
      <c r="C220" s="33"/>
      <c r="D220" s="33"/>
      <c r="E220" s="33"/>
      <c r="F220" s="33"/>
      <c r="G220" s="33"/>
      <c r="H220" s="33"/>
      <c r="I220" s="33"/>
      <c r="J220" s="33"/>
      <c r="K220" s="33"/>
      <c r="L220" s="33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</row>
    <row r="221" spans="1:65" ht="15" customHeight="1">
      <c r="A221" s="33"/>
      <c r="B221" s="33"/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</row>
    <row r="222" spans="1:65" ht="15" customHeight="1">
      <c r="A222" s="33"/>
      <c r="B222" s="33"/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</row>
    <row r="223" spans="1:65" ht="15" customHeight="1">
      <c r="A223" s="33"/>
      <c r="B223" s="33"/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</row>
    <row r="224" spans="1:65" ht="15" customHeight="1">
      <c r="A224" s="33"/>
      <c r="B224" s="33"/>
      <c r="C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</row>
    <row r="225" spans="1:65" ht="15" customHeight="1">
      <c r="A225" s="33"/>
      <c r="B225" s="33"/>
      <c r="C225" s="33"/>
      <c r="D225" s="33"/>
      <c r="E225" s="33"/>
      <c r="F225" s="33"/>
      <c r="G225" s="33"/>
      <c r="H225" s="33"/>
      <c r="I225" s="33"/>
      <c r="J225" s="33"/>
      <c r="K225" s="33"/>
      <c r="L225" s="33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</row>
    <row r="226" spans="1:65" ht="15" customHeight="1">
      <c r="A226" s="33"/>
      <c r="B226" s="33"/>
      <c r="C226" s="33"/>
      <c r="D226" s="33"/>
      <c r="E226" s="33"/>
      <c r="F226" s="33"/>
      <c r="G226" s="33"/>
      <c r="H226" s="33"/>
      <c r="I226" s="33"/>
      <c r="J226" s="33"/>
      <c r="K226" s="33"/>
      <c r="L226" s="33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</row>
    <row r="227" spans="1:65" ht="15" customHeight="1">
      <c r="A227" s="33"/>
      <c r="B227" s="33"/>
      <c r="C227" s="33"/>
      <c r="D227" s="33"/>
      <c r="E227" s="33"/>
      <c r="F227" s="33"/>
      <c r="G227" s="33"/>
      <c r="H227" s="33"/>
      <c r="I227" s="33"/>
      <c r="J227" s="33"/>
      <c r="K227" s="33"/>
      <c r="L227" s="33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</row>
    <row r="228" spans="1:65" ht="15" customHeight="1">
      <c r="A228" s="33"/>
      <c r="B228" s="33"/>
      <c r="C228" s="33"/>
      <c r="D228" s="33"/>
      <c r="E228" s="33"/>
      <c r="F228" s="33"/>
      <c r="G228" s="33"/>
      <c r="H228" s="33"/>
      <c r="I228" s="33"/>
      <c r="J228" s="33"/>
      <c r="K228" s="33"/>
      <c r="L228" s="33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</row>
    <row r="229" spans="1:65" ht="15" customHeight="1">
      <c r="A229" s="33"/>
      <c r="B229" s="33"/>
      <c r="C229" s="33"/>
      <c r="D229" s="33"/>
      <c r="E229" s="33"/>
      <c r="F229" s="33"/>
      <c r="G229" s="33"/>
      <c r="H229" s="33"/>
      <c r="I229" s="33"/>
      <c r="J229" s="33"/>
      <c r="K229" s="33"/>
      <c r="L229" s="33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</row>
    <row r="230" spans="1:65" ht="15" customHeight="1">
      <c r="A230" s="33"/>
      <c r="B230" s="33"/>
      <c r="C230" s="33"/>
      <c r="D230" s="33"/>
      <c r="E230" s="33"/>
      <c r="F230" s="33"/>
      <c r="G230" s="33"/>
      <c r="H230" s="33"/>
      <c r="I230" s="33"/>
      <c r="J230" s="33"/>
      <c r="K230" s="33"/>
      <c r="L230" s="33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</row>
    <row r="231" spans="1:65" ht="15" customHeight="1">
      <c r="A231" s="33"/>
      <c r="B231" s="33"/>
      <c r="C231" s="33"/>
      <c r="D231" s="33"/>
      <c r="E231" s="33"/>
      <c r="F231" s="33"/>
      <c r="G231" s="33"/>
      <c r="H231" s="33"/>
      <c r="I231" s="33"/>
      <c r="J231" s="33"/>
      <c r="K231" s="33"/>
      <c r="L231" s="33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</row>
    <row r="232" spans="1:65" ht="15" customHeight="1">
      <c r="A232" s="33"/>
      <c r="B232" s="33"/>
      <c r="C232" s="33"/>
      <c r="D232" s="33"/>
      <c r="E232" s="33"/>
      <c r="F232" s="33"/>
      <c r="G232" s="33"/>
      <c r="H232" s="33"/>
      <c r="I232" s="33"/>
      <c r="J232" s="33"/>
      <c r="K232" s="33"/>
      <c r="L232" s="33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</row>
    <row r="233" spans="1:65" ht="15" customHeight="1">
      <c r="A233" s="33"/>
      <c r="B233" s="33"/>
      <c r="C233" s="33"/>
      <c r="D233" s="33"/>
      <c r="E233" s="33"/>
      <c r="F233" s="33"/>
      <c r="G233" s="33"/>
      <c r="H233" s="33"/>
      <c r="I233" s="33"/>
      <c r="J233" s="33"/>
      <c r="K233" s="33"/>
      <c r="L233" s="33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</row>
    <row r="234" spans="1:65" ht="15" customHeight="1">
      <c r="A234" s="33"/>
      <c r="B234" s="33"/>
      <c r="C234" s="33"/>
      <c r="D234" s="33"/>
      <c r="E234" s="33"/>
      <c r="F234" s="33"/>
      <c r="G234" s="33"/>
      <c r="H234" s="33"/>
      <c r="I234" s="33"/>
      <c r="J234" s="33"/>
      <c r="K234" s="33"/>
      <c r="L234" s="33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</row>
    <row r="235" spans="1:65" ht="15" customHeight="1">
      <c r="A235" s="33"/>
      <c r="B235" s="33"/>
      <c r="C235" s="33"/>
      <c r="D235" s="33"/>
      <c r="E235" s="33"/>
      <c r="F235" s="33"/>
      <c r="G235" s="33"/>
      <c r="H235" s="33"/>
      <c r="I235" s="33"/>
      <c r="J235" s="33"/>
      <c r="K235" s="33"/>
      <c r="L235" s="33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</row>
    <row r="236" spans="1:65" ht="15" customHeight="1">
      <c r="A236" s="33"/>
      <c r="B236" s="33"/>
      <c r="C236" s="33"/>
      <c r="D236" s="33"/>
      <c r="E236" s="33"/>
      <c r="F236" s="33"/>
      <c r="G236" s="33"/>
      <c r="H236" s="33"/>
      <c r="I236" s="33"/>
      <c r="J236" s="33"/>
      <c r="K236" s="33"/>
      <c r="L236" s="33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</row>
    <row r="237" spans="1:65" ht="15" customHeight="1">
      <c r="A237" s="33"/>
      <c r="B237" s="33"/>
      <c r="C237" s="33"/>
      <c r="D237" s="33"/>
      <c r="E237" s="33"/>
      <c r="F237" s="33"/>
      <c r="G237" s="33"/>
      <c r="H237" s="33"/>
      <c r="I237" s="33"/>
      <c r="J237" s="33"/>
      <c r="K237" s="33"/>
      <c r="L237" s="33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</row>
    <row r="238" spans="1:65" ht="15" customHeight="1">
      <c r="A238" s="33"/>
      <c r="B238" s="33"/>
      <c r="C238" s="33"/>
      <c r="D238" s="33"/>
      <c r="E238" s="33"/>
      <c r="F238" s="33"/>
      <c r="G238" s="33"/>
      <c r="H238" s="33"/>
      <c r="I238" s="33"/>
      <c r="J238" s="33"/>
      <c r="K238" s="33"/>
      <c r="L238" s="33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</row>
    <row r="239" spans="1:65" ht="15" customHeight="1">
      <c r="A239" s="33"/>
      <c r="B239" s="33"/>
      <c r="C239" s="33"/>
      <c r="D239" s="33"/>
      <c r="E239" s="33"/>
      <c r="F239" s="33"/>
      <c r="G239" s="33"/>
      <c r="H239" s="33"/>
      <c r="I239" s="33"/>
      <c r="J239" s="33"/>
      <c r="K239" s="33"/>
      <c r="L239" s="33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</row>
    <row r="240" spans="1:65" ht="15" customHeight="1">
      <c r="A240" s="33"/>
      <c r="B240" s="33"/>
      <c r="C240" s="33"/>
      <c r="D240" s="33"/>
      <c r="E240" s="33"/>
      <c r="F240" s="33"/>
      <c r="G240" s="33"/>
      <c r="H240" s="33"/>
      <c r="I240" s="33"/>
      <c r="J240" s="33"/>
      <c r="K240" s="33"/>
      <c r="L240" s="33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</row>
    <row r="241" spans="1:65" ht="15" customHeight="1">
      <c r="A241" s="33"/>
      <c r="B241" s="33"/>
      <c r="C241" s="33"/>
      <c r="D241" s="33"/>
      <c r="E241" s="33"/>
      <c r="F241" s="33"/>
      <c r="G241" s="33"/>
      <c r="H241" s="33"/>
      <c r="I241" s="33"/>
      <c r="J241" s="33"/>
      <c r="K241" s="33"/>
      <c r="L241" s="33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</row>
    <row r="242" spans="1:65" ht="15" customHeight="1">
      <c r="A242" s="33"/>
      <c r="B242" s="33"/>
      <c r="C242" s="33"/>
      <c r="D242" s="33"/>
      <c r="E242" s="33"/>
      <c r="F242" s="33"/>
      <c r="G242" s="33"/>
      <c r="H242" s="33"/>
      <c r="I242" s="33"/>
      <c r="J242" s="33"/>
      <c r="K242" s="33"/>
      <c r="L242" s="33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</row>
    <row r="243" spans="1:65" ht="15" customHeight="1">
      <c r="A243" s="33"/>
      <c r="B243" s="33"/>
      <c r="C243" s="33"/>
      <c r="D243" s="33"/>
      <c r="E243" s="33"/>
      <c r="F243" s="33"/>
      <c r="G243" s="33"/>
      <c r="H243" s="33"/>
      <c r="I243" s="33"/>
      <c r="J243" s="33"/>
      <c r="K243" s="33"/>
      <c r="L243" s="33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</row>
    <row r="244" spans="1:65" ht="15" customHeight="1">
      <c r="A244" s="33"/>
      <c r="B244" s="33"/>
      <c r="C244" s="33"/>
      <c r="D244" s="33"/>
      <c r="E244" s="33"/>
      <c r="F244" s="33"/>
      <c r="G244" s="33"/>
      <c r="H244" s="33"/>
      <c r="I244" s="33"/>
      <c r="J244" s="33"/>
      <c r="K244" s="33"/>
      <c r="L244" s="33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</row>
    <row r="245" spans="1:65" ht="15" customHeight="1">
      <c r="A245" s="33"/>
      <c r="B245" s="33"/>
      <c r="C245" s="33"/>
      <c r="D245" s="33"/>
      <c r="E245" s="33"/>
      <c r="F245" s="33"/>
      <c r="G245" s="33"/>
      <c r="H245" s="33"/>
      <c r="I245" s="33"/>
      <c r="J245" s="33"/>
      <c r="K245" s="33"/>
      <c r="L245" s="33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</row>
    <row r="246" spans="1:65" ht="15" customHeight="1">
      <c r="A246" s="33"/>
      <c r="B246" s="33"/>
      <c r="C246" s="33"/>
      <c r="D246" s="33"/>
      <c r="E246" s="33"/>
      <c r="F246" s="33"/>
      <c r="G246" s="33"/>
      <c r="H246" s="33"/>
      <c r="I246" s="33"/>
      <c r="J246" s="33"/>
      <c r="K246" s="33"/>
      <c r="L246" s="33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</row>
    <row r="247" spans="1:65" ht="15" customHeight="1">
      <c r="A247" s="33"/>
      <c r="B247" s="33"/>
      <c r="C247" s="33"/>
      <c r="D247" s="33"/>
      <c r="E247" s="33"/>
      <c r="F247" s="33"/>
      <c r="G247" s="33"/>
      <c r="H247" s="33"/>
      <c r="I247" s="33"/>
      <c r="J247" s="33"/>
      <c r="K247" s="33"/>
      <c r="L247" s="33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</row>
    <row r="248" spans="1:65" ht="15" customHeight="1">
      <c r="A248" s="33"/>
      <c r="B248" s="33"/>
      <c r="C248" s="33"/>
      <c r="D248" s="33"/>
      <c r="E248" s="33"/>
      <c r="F248" s="33"/>
      <c r="G248" s="33"/>
      <c r="H248" s="33"/>
      <c r="I248" s="33"/>
      <c r="J248" s="33"/>
      <c r="K248" s="33"/>
      <c r="L248" s="33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</row>
    <row r="249" spans="1:65" ht="15" customHeight="1">
      <c r="A249" s="33"/>
      <c r="B249" s="33"/>
      <c r="C249" s="33"/>
      <c r="D249" s="33"/>
      <c r="E249" s="33"/>
      <c r="F249" s="33"/>
      <c r="G249" s="33"/>
      <c r="H249" s="33"/>
      <c r="I249" s="33"/>
      <c r="J249" s="33"/>
      <c r="K249" s="33"/>
      <c r="L249" s="33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</row>
    <row r="250" spans="1:65" ht="15" customHeight="1">
      <c r="A250" s="33"/>
      <c r="B250" s="33"/>
      <c r="C250" s="33"/>
      <c r="D250" s="33"/>
      <c r="E250" s="33"/>
      <c r="F250" s="33"/>
      <c r="G250" s="33"/>
      <c r="H250" s="33"/>
      <c r="I250" s="33"/>
      <c r="J250" s="33"/>
      <c r="K250" s="33"/>
      <c r="L250" s="33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</row>
    <row r="251" spans="1:65" ht="15" customHeight="1">
      <c r="A251" s="33"/>
      <c r="B251" s="33"/>
      <c r="C251" s="33"/>
      <c r="D251" s="33"/>
      <c r="E251" s="33"/>
      <c r="F251" s="33"/>
      <c r="G251" s="33"/>
      <c r="H251" s="33"/>
      <c r="I251" s="33"/>
      <c r="J251" s="33"/>
      <c r="K251" s="33"/>
      <c r="L251" s="33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</row>
    <row r="252" spans="1:65" ht="15" customHeight="1">
      <c r="A252" s="33"/>
      <c r="B252" s="33"/>
      <c r="C252" s="33"/>
      <c r="D252" s="33"/>
      <c r="E252" s="33"/>
      <c r="F252" s="33"/>
      <c r="G252" s="33"/>
      <c r="H252" s="33"/>
      <c r="I252" s="33"/>
      <c r="J252" s="33"/>
      <c r="K252" s="33"/>
      <c r="L252" s="33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</row>
    <row r="253" spans="1:65" ht="15" customHeight="1">
      <c r="A253" s="33"/>
      <c r="B253" s="33"/>
      <c r="C253" s="33"/>
      <c r="D253" s="33"/>
      <c r="E253" s="33"/>
      <c r="F253" s="33"/>
      <c r="G253" s="33"/>
      <c r="H253" s="33"/>
      <c r="I253" s="33"/>
      <c r="J253" s="33"/>
      <c r="K253" s="33"/>
      <c r="L253" s="33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</row>
    <row r="254" spans="1:65" ht="15" customHeight="1">
      <c r="A254" s="33"/>
      <c r="B254" s="33"/>
      <c r="C254" s="33"/>
      <c r="D254" s="33"/>
      <c r="E254" s="33"/>
      <c r="F254" s="33"/>
      <c r="G254" s="33"/>
      <c r="H254" s="33"/>
      <c r="I254" s="33"/>
      <c r="J254" s="33"/>
      <c r="K254" s="33"/>
      <c r="L254" s="33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</row>
    <row r="255" spans="1:65" ht="15" customHeight="1">
      <c r="A255" s="33"/>
      <c r="B255" s="33"/>
      <c r="C255" s="33"/>
      <c r="D255" s="33"/>
      <c r="E255" s="33"/>
      <c r="F255" s="33"/>
      <c r="G255" s="33"/>
      <c r="H255" s="33"/>
      <c r="I255" s="33"/>
      <c r="J255" s="33"/>
      <c r="K255" s="33"/>
      <c r="L255" s="33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</row>
    <row r="256" spans="1:65" ht="15" customHeight="1">
      <c r="A256" s="33"/>
      <c r="B256" s="33"/>
      <c r="C256" s="33"/>
      <c r="D256" s="33"/>
      <c r="E256" s="33"/>
      <c r="F256" s="33"/>
      <c r="G256" s="33"/>
      <c r="H256" s="33"/>
      <c r="I256" s="33"/>
      <c r="J256" s="33"/>
      <c r="K256" s="33"/>
      <c r="L256" s="33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</row>
    <row r="257" spans="1:65" ht="15" customHeight="1">
      <c r="A257" s="33"/>
      <c r="B257" s="33"/>
      <c r="C257" s="33"/>
      <c r="D257" s="33"/>
      <c r="E257" s="33"/>
      <c r="F257" s="33"/>
      <c r="G257" s="33"/>
      <c r="H257" s="33"/>
      <c r="I257" s="33"/>
      <c r="J257" s="33"/>
      <c r="K257" s="33"/>
      <c r="L257" s="33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</row>
    <row r="258" spans="1:65" ht="15" customHeight="1">
      <c r="A258" s="33"/>
      <c r="B258" s="33"/>
      <c r="C258" s="33"/>
      <c r="D258" s="33"/>
      <c r="E258" s="33"/>
      <c r="F258" s="33"/>
      <c r="G258" s="33"/>
      <c r="H258" s="33"/>
      <c r="I258" s="33"/>
      <c r="J258" s="33"/>
      <c r="K258" s="33"/>
      <c r="L258" s="33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</row>
    <row r="259" spans="1:65" ht="15" customHeight="1">
      <c r="A259" s="33"/>
      <c r="B259" s="33"/>
      <c r="C259" s="33"/>
      <c r="D259" s="33"/>
      <c r="E259" s="33"/>
      <c r="F259" s="33"/>
      <c r="G259" s="33"/>
      <c r="H259" s="33"/>
      <c r="I259" s="33"/>
      <c r="J259" s="33"/>
      <c r="K259" s="33"/>
      <c r="L259" s="33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</row>
    <row r="260" spans="1:65" ht="15" customHeight="1">
      <c r="A260" s="33"/>
      <c r="B260" s="33"/>
      <c r="C260" s="33"/>
      <c r="D260" s="33"/>
      <c r="E260" s="33"/>
      <c r="F260" s="33"/>
      <c r="G260" s="33"/>
      <c r="H260" s="33"/>
      <c r="I260" s="33"/>
      <c r="J260" s="33"/>
      <c r="K260" s="33"/>
      <c r="L260" s="33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</row>
    <row r="261" spans="1:65" ht="15" customHeight="1">
      <c r="A261" s="33"/>
      <c r="B261" s="33"/>
      <c r="C261" s="33"/>
      <c r="D261" s="33"/>
      <c r="E261" s="33"/>
      <c r="F261" s="33"/>
      <c r="G261" s="33"/>
      <c r="H261" s="33"/>
      <c r="I261" s="33"/>
      <c r="J261" s="33"/>
      <c r="K261" s="33"/>
      <c r="L261" s="33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</row>
    <row r="262" spans="1:65" ht="15" customHeight="1">
      <c r="A262" s="33"/>
      <c r="B262" s="33"/>
      <c r="C262" s="33"/>
      <c r="D262" s="33"/>
      <c r="E262" s="33"/>
      <c r="F262" s="33"/>
      <c r="G262" s="33"/>
      <c r="H262" s="33"/>
      <c r="I262" s="33"/>
      <c r="J262" s="33"/>
      <c r="K262" s="33"/>
      <c r="L262" s="33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</row>
    <row r="263" spans="1:65" ht="15" customHeight="1">
      <c r="A263" s="33"/>
      <c r="B263" s="33"/>
      <c r="C263" s="33"/>
      <c r="D263" s="33"/>
      <c r="E263" s="33"/>
      <c r="F263" s="33"/>
      <c r="G263" s="33"/>
      <c r="H263" s="33"/>
      <c r="I263" s="33"/>
      <c r="J263" s="33"/>
      <c r="K263" s="33"/>
      <c r="L263" s="33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</row>
    <row r="264" spans="1:65" ht="15" customHeight="1">
      <c r="A264" s="33"/>
      <c r="B264" s="33"/>
      <c r="C264" s="33"/>
      <c r="D264" s="33"/>
      <c r="E264" s="33"/>
      <c r="F264" s="33"/>
      <c r="G264" s="33"/>
      <c r="H264" s="33"/>
      <c r="I264" s="33"/>
      <c r="J264" s="33"/>
      <c r="K264" s="33"/>
      <c r="L264" s="33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</row>
    <row r="265" spans="1:65" ht="15" customHeight="1">
      <c r="A265" s="33"/>
      <c r="B265" s="33"/>
      <c r="C265" s="33"/>
      <c r="D265" s="33"/>
      <c r="E265" s="33"/>
      <c r="F265" s="33"/>
      <c r="G265" s="33"/>
      <c r="H265" s="33"/>
      <c r="I265" s="33"/>
      <c r="J265" s="33"/>
      <c r="K265" s="33"/>
      <c r="L265" s="33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</row>
    <row r="266" spans="1:65" ht="15" customHeight="1">
      <c r="A266" s="33"/>
      <c r="B266" s="33"/>
      <c r="C266" s="33"/>
      <c r="D266" s="33"/>
      <c r="E266" s="33"/>
      <c r="F266" s="33"/>
      <c r="G266" s="33"/>
      <c r="H266" s="33"/>
      <c r="I266" s="33"/>
      <c r="J266" s="33"/>
      <c r="K266" s="33"/>
      <c r="L266" s="33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</row>
    <row r="267" spans="1:65" ht="15" customHeight="1">
      <c r="A267" s="33"/>
      <c r="B267" s="33"/>
      <c r="C267" s="33"/>
      <c r="D267" s="33"/>
      <c r="E267" s="33"/>
      <c r="F267" s="33"/>
      <c r="G267" s="33"/>
      <c r="H267" s="33"/>
      <c r="I267" s="33"/>
      <c r="J267" s="33"/>
      <c r="K267" s="33"/>
      <c r="L267" s="33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</row>
    <row r="268" spans="1:65" ht="15" customHeight="1">
      <c r="A268" s="33"/>
      <c r="B268" s="33"/>
      <c r="C268" s="33"/>
      <c r="D268" s="33"/>
      <c r="E268" s="33"/>
      <c r="F268" s="33"/>
      <c r="G268" s="33"/>
      <c r="H268" s="33"/>
      <c r="I268" s="33"/>
      <c r="J268" s="33"/>
      <c r="K268" s="33"/>
      <c r="L268" s="33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</row>
    <row r="269" spans="1:65" ht="15" customHeight="1">
      <c r="A269" s="33"/>
      <c r="B269" s="33"/>
      <c r="C269" s="33"/>
      <c r="D269" s="33"/>
      <c r="E269" s="33"/>
      <c r="F269" s="33"/>
      <c r="G269" s="33"/>
      <c r="H269" s="33"/>
      <c r="I269" s="33"/>
      <c r="J269" s="33"/>
      <c r="K269" s="33"/>
      <c r="L269" s="33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</row>
    <row r="270" spans="1:65" ht="15" customHeight="1">
      <c r="A270" s="33"/>
      <c r="B270" s="33"/>
      <c r="C270" s="33"/>
      <c r="D270" s="33"/>
      <c r="E270" s="33"/>
      <c r="F270" s="33"/>
      <c r="G270" s="33"/>
      <c r="H270" s="33"/>
      <c r="I270" s="33"/>
      <c r="J270" s="33"/>
      <c r="K270" s="33"/>
      <c r="L270" s="33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</row>
    <row r="271" spans="1:65" ht="15" customHeight="1">
      <c r="A271" s="33"/>
      <c r="B271" s="33"/>
      <c r="C271" s="33"/>
      <c r="D271" s="33"/>
      <c r="E271" s="33"/>
      <c r="F271" s="33"/>
      <c r="G271" s="33"/>
      <c r="H271" s="33"/>
      <c r="I271" s="33"/>
      <c r="J271" s="33"/>
      <c r="K271" s="33"/>
      <c r="L271" s="33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</row>
    <row r="272" spans="1:65" ht="15" customHeight="1">
      <c r="A272" s="33"/>
      <c r="B272" s="33"/>
      <c r="C272" s="33"/>
      <c r="D272" s="33"/>
      <c r="E272" s="33"/>
      <c r="F272" s="33"/>
      <c r="G272" s="33"/>
      <c r="H272" s="33"/>
      <c r="I272" s="33"/>
      <c r="J272" s="33"/>
      <c r="K272" s="33"/>
      <c r="L272" s="33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</row>
    <row r="273" spans="1:65" ht="15" customHeight="1">
      <c r="A273" s="33"/>
      <c r="B273" s="33"/>
      <c r="C273" s="33"/>
      <c r="D273" s="33"/>
      <c r="E273" s="33"/>
      <c r="F273" s="33"/>
      <c r="G273" s="33"/>
      <c r="H273" s="33"/>
      <c r="I273" s="33"/>
      <c r="J273" s="33"/>
      <c r="K273" s="33"/>
      <c r="L273" s="33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</row>
    <row r="274" spans="1:65" ht="15" customHeight="1">
      <c r="A274" s="33"/>
      <c r="B274" s="33"/>
      <c r="C274" s="33"/>
      <c r="D274" s="33"/>
      <c r="E274" s="33"/>
      <c r="F274" s="33"/>
      <c r="G274" s="33"/>
      <c r="H274" s="33"/>
      <c r="I274" s="33"/>
      <c r="J274" s="33"/>
      <c r="K274" s="33"/>
      <c r="L274" s="33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</row>
    <row r="275" spans="1:65" ht="15" customHeight="1">
      <c r="A275" s="33"/>
      <c r="B275" s="33"/>
      <c r="C275" s="33"/>
      <c r="D275" s="33"/>
      <c r="E275" s="33"/>
      <c r="F275" s="33"/>
      <c r="G275" s="33"/>
      <c r="H275" s="33"/>
      <c r="I275" s="33"/>
      <c r="J275" s="33"/>
      <c r="K275" s="33"/>
      <c r="L275" s="33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</row>
    <row r="276" spans="1:65" ht="15" customHeight="1">
      <c r="A276" s="33"/>
      <c r="B276" s="33"/>
      <c r="C276" s="33"/>
      <c r="D276" s="33"/>
      <c r="E276" s="33"/>
      <c r="F276" s="33"/>
      <c r="G276" s="33"/>
      <c r="H276" s="33"/>
      <c r="I276" s="33"/>
      <c r="J276" s="33"/>
      <c r="K276" s="33"/>
      <c r="L276" s="33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</row>
    <row r="277" spans="1:65" ht="15" customHeight="1">
      <c r="A277" s="33"/>
      <c r="B277" s="33"/>
      <c r="C277" s="33"/>
      <c r="D277" s="33"/>
      <c r="E277" s="33"/>
      <c r="F277" s="33"/>
      <c r="G277" s="33"/>
      <c r="H277" s="33"/>
      <c r="I277" s="33"/>
      <c r="J277" s="33"/>
      <c r="K277" s="33"/>
      <c r="L277" s="33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</row>
    <row r="278" spans="1:65" ht="15" customHeight="1">
      <c r="A278" s="33"/>
      <c r="B278" s="33"/>
      <c r="C278" s="33"/>
      <c r="D278" s="33"/>
      <c r="E278" s="33"/>
      <c r="F278" s="33"/>
      <c r="G278" s="33"/>
      <c r="H278" s="33"/>
      <c r="I278" s="33"/>
      <c r="J278" s="33"/>
      <c r="K278" s="33"/>
      <c r="L278" s="33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</row>
    <row r="279" spans="1:65" ht="15" customHeight="1">
      <c r="A279" s="33"/>
      <c r="B279" s="33"/>
      <c r="C279" s="33"/>
      <c r="D279" s="33"/>
      <c r="E279" s="33"/>
      <c r="F279" s="33"/>
      <c r="G279" s="33"/>
      <c r="H279" s="33"/>
      <c r="I279" s="33"/>
      <c r="J279" s="33"/>
      <c r="K279" s="33"/>
      <c r="L279" s="33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</row>
    <row r="280" spans="1:65" ht="15" customHeight="1">
      <c r="A280" s="33"/>
      <c r="B280" s="33"/>
      <c r="C280" s="33"/>
      <c r="D280" s="33"/>
      <c r="E280" s="33"/>
      <c r="F280" s="33"/>
      <c r="G280" s="33"/>
      <c r="H280" s="33"/>
      <c r="I280" s="33"/>
      <c r="J280" s="33"/>
      <c r="K280" s="33"/>
      <c r="L280" s="33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</row>
    <row r="281" spans="1:65" ht="15" customHeight="1">
      <c r="A281" s="33"/>
      <c r="B281" s="33"/>
      <c r="C281" s="33"/>
      <c r="D281" s="33"/>
      <c r="E281" s="33"/>
      <c r="F281" s="33"/>
      <c r="G281" s="33"/>
      <c r="H281" s="33"/>
      <c r="I281" s="33"/>
      <c r="J281" s="33"/>
      <c r="K281" s="33"/>
      <c r="L281" s="33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</row>
    <row r="282" spans="1:65" ht="15" customHeight="1">
      <c r="A282" s="33"/>
      <c r="B282" s="33"/>
      <c r="C282" s="33"/>
      <c r="D282" s="33"/>
      <c r="E282" s="33"/>
      <c r="F282" s="33"/>
      <c r="G282" s="33"/>
      <c r="H282" s="33"/>
      <c r="I282" s="33"/>
      <c r="J282" s="33"/>
      <c r="K282" s="33"/>
      <c r="L282" s="33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</row>
    <row r="283" spans="1:65" ht="15" customHeight="1">
      <c r="A283" s="33"/>
      <c r="B283" s="33"/>
      <c r="C283" s="33"/>
      <c r="D283" s="33"/>
      <c r="E283" s="33"/>
      <c r="F283" s="33"/>
      <c r="G283" s="33"/>
      <c r="H283" s="33"/>
      <c r="I283" s="33"/>
      <c r="J283" s="33"/>
      <c r="K283" s="33"/>
      <c r="L283" s="33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</row>
    <row r="284" spans="1:65" ht="15" customHeight="1">
      <c r="A284" s="33"/>
      <c r="B284" s="33"/>
      <c r="C284" s="33"/>
      <c r="D284" s="33"/>
      <c r="E284" s="33"/>
      <c r="F284" s="33"/>
      <c r="G284" s="33"/>
      <c r="H284" s="33"/>
      <c r="I284" s="33"/>
      <c r="J284" s="33"/>
      <c r="K284" s="33"/>
      <c r="L284" s="33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</row>
    <row r="285" spans="1:65" ht="15" customHeight="1">
      <c r="A285" s="33"/>
      <c r="B285" s="33"/>
      <c r="C285" s="33"/>
      <c r="D285" s="33"/>
      <c r="E285" s="33"/>
      <c r="F285" s="33"/>
      <c r="G285" s="33"/>
      <c r="H285" s="33"/>
      <c r="I285" s="33"/>
      <c r="J285" s="33"/>
      <c r="K285" s="33"/>
      <c r="L285" s="33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</row>
    <row r="286" spans="1:65" ht="15" customHeight="1">
      <c r="A286" s="33"/>
      <c r="B286" s="33"/>
      <c r="C286" s="33"/>
      <c r="D286" s="33"/>
      <c r="E286" s="33"/>
      <c r="F286" s="33"/>
      <c r="G286" s="33"/>
      <c r="H286" s="33"/>
      <c r="I286" s="33"/>
      <c r="J286" s="33"/>
      <c r="K286" s="33"/>
      <c r="L286" s="33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</row>
    <row r="287" spans="1:65" ht="15" customHeight="1">
      <c r="A287" s="33"/>
      <c r="B287" s="33"/>
      <c r="C287" s="33"/>
      <c r="D287" s="33"/>
      <c r="E287" s="33"/>
      <c r="F287" s="33"/>
      <c r="G287" s="33"/>
      <c r="H287" s="33"/>
      <c r="I287" s="33"/>
      <c r="J287" s="33"/>
      <c r="K287" s="33"/>
      <c r="L287" s="33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</row>
    <row r="288" spans="1:65" ht="15" customHeight="1">
      <c r="A288" s="33"/>
      <c r="B288" s="33"/>
      <c r="C288" s="33"/>
      <c r="D288" s="33"/>
      <c r="E288" s="33"/>
      <c r="F288" s="33"/>
      <c r="G288" s="33"/>
      <c r="H288" s="33"/>
      <c r="I288" s="33"/>
      <c r="J288" s="33"/>
      <c r="K288" s="33"/>
      <c r="L288" s="33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</row>
    <row r="289" spans="1:65" ht="15" customHeight="1">
      <c r="A289" s="33"/>
      <c r="B289" s="33"/>
      <c r="C289" s="33"/>
      <c r="D289" s="33"/>
      <c r="E289" s="33"/>
      <c r="F289" s="33"/>
      <c r="G289" s="33"/>
      <c r="H289" s="33"/>
      <c r="I289" s="33"/>
      <c r="J289" s="33"/>
      <c r="K289" s="33"/>
      <c r="L289" s="33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</row>
    <row r="290" spans="1:65" ht="15" customHeight="1">
      <c r="A290" s="33"/>
      <c r="B290" s="33"/>
      <c r="C290" s="33"/>
      <c r="D290" s="33"/>
      <c r="E290" s="33"/>
      <c r="F290" s="33"/>
      <c r="G290" s="33"/>
      <c r="H290" s="33"/>
      <c r="I290" s="33"/>
      <c r="J290" s="33"/>
      <c r="K290" s="33"/>
      <c r="L290" s="33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</row>
    <row r="291" spans="1:65" ht="15" customHeight="1">
      <c r="A291" s="33"/>
      <c r="B291" s="33"/>
      <c r="C291" s="33"/>
      <c r="D291" s="33"/>
      <c r="E291" s="33"/>
      <c r="F291" s="33"/>
      <c r="G291" s="33"/>
      <c r="H291" s="33"/>
      <c r="I291" s="33"/>
      <c r="J291" s="33"/>
      <c r="K291" s="33"/>
      <c r="L291" s="33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</row>
    <row r="292" spans="1:65" ht="15" customHeight="1">
      <c r="A292" s="33"/>
      <c r="B292" s="33"/>
      <c r="C292" s="33"/>
      <c r="D292" s="33"/>
      <c r="E292" s="33"/>
      <c r="F292" s="33"/>
      <c r="G292" s="33"/>
      <c r="H292" s="33"/>
      <c r="I292" s="33"/>
      <c r="J292" s="33"/>
      <c r="K292" s="33"/>
      <c r="L292" s="33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</row>
    <row r="293" spans="1:65" ht="15" customHeight="1">
      <c r="A293" s="33"/>
      <c r="B293" s="33"/>
      <c r="C293" s="33"/>
      <c r="D293" s="33"/>
      <c r="E293" s="33"/>
      <c r="F293" s="33"/>
      <c r="G293" s="33"/>
      <c r="H293" s="33"/>
      <c r="I293" s="33"/>
      <c r="J293" s="33"/>
      <c r="K293" s="33"/>
      <c r="L293" s="33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</row>
    <row r="294" spans="1:65" ht="15" customHeight="1">
      <c r="A294" s="33"/>
      <c r="B294" s="33"/>
      <c r="C294" s="33"/>
      <c r="D294" s="33"/>
      <c r="E294" s="33"/>
      <c r="F294" s="33"/>
      <c r="G294" s="33"/>
      <c r="H294" s="33"/>
      <c r="I294" s="33"/>
      <c r="J294" s="33"/>
      <c r="K294" s="33"/>
      <c r="L294" s="33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</row>
    <row r="295" spans="1:65" ht="15" customHeight="1">
      <c r="A295" s="33"/>
      <c r="B295" s="33"/>
      <c r="C295" s="33"/>
      <c r="D295" s="33"/>
      <c r="E295" s="33"/>
      <c r="F295" s="33"/>
      <c r="G295" s="33"/>
      <c r="H295" s="33"/>
      <c r="I295" s="33"/>
      <c r="J295" s="33"/>
      <c r="K295" s="33"/>
      <c r="L295" s="33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</row>
    <row r="296" spans="1:65" ht="15" customHeight="1">
      <c r="A296" s="33"/>
      <c r="B296" s="33"/>
      <c r="C296" s="33"/>
      <c r="D296" s="33"/>
      <c r="E296" s="33"/>
      <c r="F296" s="33"/>
      <c r="G296" s="33"/>
      <c r="H296" s="33"/>
      <c r="I296" s="33"/>
      <c r="J296" s="33"/>
      <c r="K296" s="33"/>
      <c r="L296" s="33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</row>
    <row r="297" spans="1:65" ht="15" customHeight="1">
      <c r="A297" s="33"/>
      <c r="B297" s="33"/>
      <c r="C297" s="33"/>
      <c r="D297" s="33"/>
      <c r="E297" s="33"/>
      <c r="F297" s="33"/>
      <c r="G297" s="33"/>
      <c r="H297" s="33"/>
      <c r="I297" s="33"/>
      <c r="J297" s="33"/>
      <c r="K297" s="33"/>
      <c r="L297" s="33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</row>
    <row r="298" spans="1:65" ht="15" customHeight="1">
      <c r="A298" s="33"/>
      <c r="B298" s="33"/>
      <c r="C298" s="33"/>
      <c r="D298" s="33"/>
      <c r="E298" s="33"/>
      <c r="F298" s="33"/>
      <c r="G298" s="33"/>
      <c r="H298" s="33"/>
      <c r="I298" s="33"/>
      <c r="J298" s="33"/>
      <c r="K298" s="33"/>
      <c r="L298" s="33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</row>
    <row r="299" spans="1:65" ht="15" customHeight="1">
      <c r="A299" s="33"/>
      <c r="B299" s="33"/>
      <c r="C299" s="33"/>
      <c r="D299" s="33"/>
      <c r="E299" s="33"/>
      <c r="F299" s="33"/>
      <c r="G299" s="33"/>
      <c r="H299" s="33"/>
      <c r="I299" s="33"/>
      <c r="J299" s="33"/>
      <c r="K299" s="33"/>
      <c r="L299" s="33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</row>
    <row r="300" spans="1:65" ht="15" customHeight="1">
      <c r="A300" s="33"/>
      <c r="B300" s="33"/>
      <c r="C300" s="33"/>
      <c r="D300" s="33"/>
      <c r="E300" s="33"/>
      <c r="F300" s="33"/>
      <c r="G300" s="33"/>
      <c r="H300" s="33"/>
      <c r="I300" s="33"/>
      <c r="J300" s="33"/>
      <c r="K300" s="33"/>
      <c r="L300" s="33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</row>
    <row r="301" spans="1:65" ht="15" customHeight="1">
      <c r="A301" s="33"/>
      <c r="B301" s="33"/>
      <c r="C301" s="33"/>
      <c r="D301" s="33"/>
      <c r="E301" s="33"/>
      <c r="F301" s="33"/>
      <c r="G301" s="33"/>
      <c r="H301" s="33"/>
      <c r="I301" s="33"/>
      <c r="J301" s="33"/>
      <c r="K301" s="33"/>
      <c r="L301" s="33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</row>
    <row r="302" spans="1:65" ht="15" customHeight="1">
      <c r="A302" s="33"/>
      <c r="B302" s="33"/>
      <c r="C302" s="33"/>
      <c r="D302" s="33"/>
      <c r="E302" s="33"/>
      <c r="F302" s="33"/>
      <c r="G302" s="33"/>
      <c r="H302" s="33"/>
      <c r="I302" s="33"/>
      <c r="J302" s="33"/>
      <c r="K302" s="33"/>
      <c r="L302" s="33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</row>
    <row r="303" spans="1:65" ht="15" customHeight="1">
      <c r="A303" s="33"/>
      <c r="B303" s="33"/>
      <c r="C303" s="33"/>
      <c r="D303" s="33"/>
      <c r="E303" s="33"/>
      <c r="F303" s="33"/>
      <c r="G303" s="33"/>
      <c r="H303" s="33"/>
      <c r="I303" s="33"/>
      <c r="J303" s="33"/>
      <c r="K303" s="33"/>
      <c r="L303" s="33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</row>
    <row r="304" spans="1:65" ht="15" customHeight="1">
      <c r="A304" s="33"/>
      <c r="B304" s="33"/>
      <c r="C304" s="33"/>
      <c r="D304" s="33"/>
      <c r="E304" s="33"/>
      <c r="F304" s="33"/>
      <c r="G304" s="33"/>
      <c r="H304" s="33"/>
      <c r="I304" s="33"/>
      <c r="J304" s="33"/>
      <c r="K304" s="33"/>
      <c r="L304" s="33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</row>
    <row r="305" spans="1:65" ht="15" customHeight="1">
      <c r="A305" s="33"/>
      <c r="B305" s="33"/>
      <c r="C305" s="33"/>
      <c r="D305" s="33"/>
      <c r="E305" s="33"/>
      <c r="F305" s="33"/>
      <c r="G305" s="33"/>
      <c r="H305" s="33"/>
      <c r="I305" s="33"/>
      <c r="J305" s="33"/>
      <c r="K305" s="33"/>
      <c r="L305" s="33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</row>
    <row r="306" spans="1:65" ht="15" customHeight="1">
      <c r="A306" s="33"/>
      <c r="B306" s="33"/>
      <c r="C306" s="33"/>
      <c r="D306" s="33"/>
      <c r="E306" s="33"/>
      <c r="F306" s="33"/>
      <c r="G306" s="33"/>
      <c r="H306" s="33"/>
      <c r="I306" s="33"/>
      <c r="J306" s="33"/>
      <c r="K306" s="33"/>
      <c r="L306" s="33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</row>
    <row r="307" spans="1:65" ht="15" customHeight="1">
      <c r="A307" s="33"/>
      <c r="B307" s="33"/>
      <c r="C307" s="33"/>
      <c r="D307" s="33"/>
      <c r="E307" s="33"/>
      <c r="F307" s="33"/>
      <c r="G307" s="33"/>
      <c r="H307" s="33"/>
      <c r="I307" s="33"/>
      <c r="J307" s="33"/>
      <c r="K307" s="33"/>
      <c r="L307" s="33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</row>
    <row r="308" spans="1:65" ht="15" customHeight="1">
      <c r="A308" s="33"/>
      <c r="B308" s="33"/>
      <c r="C308" s="33"/>
      <c r="D308" s="33"/>
      <c r="E308" s="33"/>
      <c r="F308" s="33"/>
      <c r="G308" s="33"/>
      <c r="H308" s="33"/>
      <c r="I308" s="33"/>
      <c r="J308" s="33"/>
      <c r="K308" s="33"/>
      <c r="L308" s="33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</row>
    <row r="309" spans="1:65" ht="15" customHeight="1">
      <c r="A309" s="33"/>
      <c r="B309" s="33"/>
      <c r="C309" s="33"/>
      <c r="D309" s="33"/>
      <c r="E309" s="33"/>
      <c r="F309" s="33"/>
      <c r="G309" s="33"/>
      <c r="H309" s="33"/>
      <c r="I309" s="33"/>
      <c r="J309" s="33"/>
      <c r="K309" s="33"/>
      <c r="L309" s="33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</row>
    <row r="310" spans="1:65" ht="15" customHeight="1">
      <c r="A310" s="33"/>
      <c r="B310" s="33"/>
      <c r="C310" s="33"/>
      <c r="D310" s="33"/>
      <c r="E310" s="33"/>
      <c r="F310" s="33"/>
      <c r="G310" s="33"/>
      <c r="H310" s="33"/>
      <c r="I310" s="33"/>
      <c r="J310" s="33"/>
      <c r="K310" s="33"/>
      <c r="L310" s="33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</row>
    <row r="311" spans="1:65" ht="15" customHeight="1">
      <c r="A311" s="33"/>
      <c r="B311" s="33"/>
      <c r="C311" s="33"/>
      <c r="D311" s="33"/>
      <c r="E311" s="33"/>
      <c r="F311" s="33"/>
      <c r="G311" s="33"/>
      <c r="H311" s="33"/>
      <c r="I311" s="33"/>
      <c r="J311" s="33"/>
      <c r="K311" s="33"/>
      <c r="L311" s="33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</row>
    <row r="312" spans="1:65" ht="15" customHeight="1">
      <c r="A312" s="33"/>
      <c r="B312" s="33"/>
      <c r="C312" s="33"/>
      <c r="D312" s="33"/>
      <c r="E312" s="33"/>
      <c r="F312" s="33"/>
      <c r="G312" s="33"/>
      <c r="H312" s="33"/>
      <c r="I312" s="33"/>
      <c r="J312" s="33"/>
      <c r="K312" s="33"/>
      <c r="L312" s="33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</row>
    <row r="313" spans="1:65" ht="15" customHeight="1">
      <c r="A313" s="33"/>
      <c r="B313" s="33"/>
      <c r="C313" s="33"/>
      <c r="D313" s="33"/>
      <c r="E313" s="33"/>
      <c r="F313" s="33"/>
      <c r="G313" s="33"/>
      <c r="H313" s="33"/>
      <c r="I313" s="33"/>
      <c r="J313" s="33"/>
      <c r="K313" s="33"/>
      <c r="L313" s="33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</row>
    <row r="314" spans="1:65" ht="15" customHeight="1">
      <c r="A314" s="33"/>
      <c r="B314" s="33"/>
      <c r="C314" s="33"/>
      <c r="D314" s="33"/>
      <c r="E314" s="33"/>
      <c r="F314" s="33"/>
      <c r="G314" s="33"/>
      <c r="H314" s="33"/>
      <c r="I314" s="33"/>
      <c r="J314" s="33"/>
      <c r="K314" s="33"/>
      <c r="L314" s="33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</row>
    <row r="315" spans="1:65" ht="15" customHeight="1">
      <c r="A315" s="33"/>
      <c r="B315" s="33"/>
      <c r="C315" s="33"/>
      <c r="D315" s="33"/>
      <c r="E315" s="33"/>
      <c r="F315" s="33"/>
      <c r="G315" s="33"/>
      <c r="H315" s="33"/>
      <c r="I315" s="33"/>
      <c r="J315" s="33"/>
      <c r="K315" s="33"/>
      <c r="L315" s="33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</row>
    <row r="316" spans="1:65" ht="15" customHeight="1">
      <c r="A316" s="33"/>
      <c r="B316" s="33"/>
      <c r="C316" s="33"/>
      <c r="D316" s="33"/>
      <c r="E316" s="33"/>
      <c r="F316" s="33"/>
      <c r="G316" s="33"/>
      <c r="H316" s="33"/>
      <c r="I316" s="33"/>
      <c r="J316" s="33"/>
      <c r="K316" s="33"/>
      <c r="L316" s="33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</row>
    <row r="317" spans="1:65" ht="15" customHeight="1">
      <c r="A317" s="33"/>
      <c r="B317" s="33"/>
      <c r="C317" s="33"/>
      <c r="D317" s="33"/>
      <c r="E317" s="33"/>
      <c r="F317" s="33"/>
      <c r="G317" s="33"/>
      <c r="H317" s="33"/>
      <c r="I317" s="33"/>
      <c r="J317" s="33"/>
      <c r="K317" s="33"/>
      <c r="L317" s="33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</row>
    <row r="318" spans="1:65" ht="15" customHeight="1">
      <c r="A318" s="33"/>
      <c r="B318" s="33"/>
      <c r="C318" s="33"/>
      <c r="D318" s="33"/>
      <c r="E318" s="33"/>
      <c r="F318" s="33"/>
      <c r="G318" s="33"/>
      <c r="H318" s="33"/>
      <c r="I318" s="33"/>
      <c r="J318" s="33"/>
      <c r="K318" s="33"/>
      <c r="L318" s="33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</row>
    <row r="319" spans="1:65" ht="15" customHeight="1">
      <c r="A319" s="33"/>
      <c r="B319" s="33"/>
      <c r="C319" s="33"/>
      <c r="D319" s="33"/>
      <c r="E319" s="33"/>
      <c r="F319" s="33"/>
      <c r="G319" s="33"/>
      <c r="H319" s="33"/>
      <c r="I319" s="33"/>
      <c r="J319" s="33"/>
      <c r="K319" s="33"/>
      <c r="L319" s="33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</row>
    <row r="320" spans="1:65" ht="15" customHeight="1">
      <c r="A320" s="33"/>
      <c r="B320" s="33"/>
      <c r="C320" s="33"/>
      <c r="D320" s="33"/>
      <c r="E320" s="33"/>
      <c r="F320" s="33"/>
      <c r="G320" s="33"/>
      <c r="H320" s="33"/>
      <c r="I320" s="33"/>
      <c r="J320" s="33"/>
      <c r="K320" s="33"/>
      <c r="L320" s="33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</row>
    <row r="321" spans="1:65" ht="15" customHeight="1">
      <c r="A321" s="33"/>
      <c r="B321" s="33"/>
      <c r="C321" s="33"/>
      <c r="D321" s="33"/>
      <c r="E321" s="33"/>
      <c r="F321" s="33"/>
      <c r="G321" s="33"/>
      <c r="H321" s="33"/>
      <c r="I321" s="33"/>
      <c r="J321" s="33"/>
      <c r="K321" s="33"/>
      <c r="L321" s="33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</row>
    <row r="322" spans="1:65" ht="15" customHeight="1">
      <c r="A322" s="33"/>
      <c r="B322" s="33"/>
      <c r="C322" s="33"/>
      <c r="D322" s="33"/>
      <c r="E322" s="33"/>
      <c r="F322" s="33"/>
      <c r="G322" s="33"/>
      <c r="H322" s="33"/>
      <c r="I322" s="33"/>
      <c r="J322" s="33"/>
      <c r="K322" s="33"/>
      <c r="L322" s="33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</row>
    <row r="323" spans="1:65" ht="15" customHeight="1">
      <c r="A323" s="33"/>
      <c r="B323" s="33"/>
      <c r="C323" s="33"/>
      <c r="D323" s="33"/>
      <c r="E323" s="33"/>
      <c r="F323" s="33"/>
      <c r="G323" s="33"/>
      <c r="H323" s="33"/>
      <c r="I323" s="33"/>
      <c r="J323" s="33"/>
      <c r="K323" s="33"/>
      <c r="L323" s="33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</row>
    <row r="324" spans="1:65" ht="15" customHeight="1">
      <c r="A324" s="33"/>
      <c r="B324" s="33"/>
      <c r="C324" s="33"/>
      <c r="D324" s="33"/>
      <c r="E324" s="33"/>
      <c r="F324" s="33"/>
      <c r="G324" s="33"/>
      <c r="H324" s="33"/>
      <c r="I324" s="33"/>
      <c r="J324" s="33"/>
      <c r="K324" s="33"/>
      <c r="L324" s="33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</row>
    <row r="325" spans="1:65" ht="15" customHeight="1">
      <c r="A325" s="33"/>
      <c r="B325" s="33"/>
      <c r="C325" s="33"/>
      <c r="D325" s="33"/>
      <c r="E325" s="33"/>
      <c r="F325" s="33"/>
      <c r="G325" s="33"/>
      <c r="H325" s="33"/>
      <c r="I325" s="33"/>
      <c r="J325" s="33"/>
      <c r="K325" s="33"/>
      <c r="L325" s="33"/>
      <c r="M325" s="33"/>
      <c r="N325" s="33"/>
      <c r="O325" s="33"/>
      <c r="P325" s="33"/>
      <c r="Q325" s="33"/>
      <c r="R325" s="33"/>
      <c r="S325" s="33"/>
      <c r="T325" s="33"/>
      <c r="U325" s="33"/>
      <c r="V325" s="33"/>
      <c r="W325" s="33"/>
      <c r="X325" s="33"/>
      <c r="Y325" s="3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</row>
    <row r="326" spans="1:65" ht="15" customHeight="1">
      <c r="A326" s="33"/>
      <c r="B326" s="33"/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</row>
    <row r="327" spans="1:65" ht="15" customHeight="1">
      <c r="A327" s="33"/>
      <c r="B327" s="33"/>
      <c r="C327" s="33"/>
      <c r="D327" s="33"/>
      <c r="E327" s="33"/>
      <c r="F327" s="33"/>
      <c r="G327" s="33"/>
      <c r="H327" s="33"/>
      <c r="I327" s="33"/>
      <c r="J327" s="33"/>
      <c r="K327" s="33"/>
      <c r="L327" s="33"/>
      <c r="M327" s="33"/>
      <c r="N327" s="33"/>
      <c r="O327" s="33"/>
      <c r="P327" s="33"/>
      <c r="Q327" s="33"/>
      <c r="R327" s="33"/>
      <c r="S327" s="33"/>
      <c r="T327" s="33"/>
      <c r="U327" s="33"/>
      <c r="V327" s="33"/>
      <c r="W327" s="33"/>
      <c r="X327" s="33"/>
      <c r="Y327" s="3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</row>
    <row r="328" spans="1:65" ht="15" customHeight="1">
      <c r="A328" s="33"/>
      <c r="B328" s="33"/>
      <c r="C328" s="33"/>
      <c r="D328" s="33"/>
      <c r="E328" s="33"/>
      <c r="F328" s="33"/>
      <c r="G328" s="33"/>
      <c r="H328" s="33"/>
      <c r="I328" s="33"/>
      <c r="J328" s="33"/>
      <c r="K328" s="33"/>
      <c r="L328" s="33"/>
      <c r="M328" s="33"/>
      <c r="N328" s="33"/>
      <c r="O328" s="33"/>
      <c r="P328" s="33"/>
      <c r="Q328" s="33"/>
      <c r="R328" s="33"/>
      <c r="S328" s="33"/>
      <c r="T328" s="33"/>
      <c r="U328" s="33"/>
      <c r="V328" s="33"/>
      <c r="W328" s="33"/>
      <c r="X328" s="33"/>
      <c r="Y328" s="3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</row>
    <row r="329" spans="1:65" ht="15" customHeight="1">
      <c r="A329" s="33"/>
      <c r="B329" s="33"/>
      <c r="C329" s="33"/>
      <c r="D329" s="33"/>
      <c r="E329" s="33"/>
      <c r="F329" s="33"/>
      <c r="G329" s="33"/>
      <c r="H329" s="33"/>
      <c r="I329" s="33"/>
      <c r="J329" s="33"/>
      <c r="K329" s="33"/>
      <c r="L329" s="33"/>
      <c r="M329" s="33"/>
      <c r="N329" s="33"/>
      <c r="O329" s="33"/>
      <c r="P329" s="33"/>
      <c r="Q329" s="33"/>
      <c r="R329" s="33"/>
      <c r="S329" s="33"/>
      <c r="T329" s="33"/>
      <c r="U329" s="33"/>
      <c r="V329" s="33"/>
      <c r="W329" s="33"/>
      <c r="X329" s="33"/>
      <c r="Y329" s="3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</row>
    <row r="330" spans="1:65" ht="15" customHeight="1">
      <c r="A330" s="33"/>
      <c r="B330" s="33"/>
      <c r="C330" s="33"/>
      <c r="D330" s="33"/>
      <c r="E330" s="33"/>
      <c r="F330" s="33"/>
      <c r="G330" s="33"/>
      <c r="H330" s="33"/>
      <c r="I330" s="33"/>
      <c r="J330" s="33"/>
      <c r="K330" s="33"/>
      <c r="L330" s="33"/>
      <c r="M330" s="33"/>
      <c r="N330" s="33"/>
      <c r="O330" s="33"/>
      <c r="P330" s="33"/>
      <c r="Q330" s="33"/>
      <c r="R330" s="33"/>
      <c r="S330" s="33"/>
      <c r="T330" s="33"/>
      <c r="U330" s="33"/>
      <c r="V330" s="33"/>
      <c r="W330" s="33"/>
      <c r="X330" s="33"/>
      <c r="Y330" s="3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</row>
    <row r="331" spans="1:65" ht="15" customHeight="1">
      <c r="A331" s="33"/>
      <c r="B331" s="33"/>
      <c r="C331" s="33"/>
      <c r="D331" s="33"/>
      <c r="E331" s="33"/>
      <c r="F331" s="33"/>
      <c r="G331" s="33"/>
      <c r="H331" s="33"/>
      <c r="I331" s="33"/>
      <c r="J331" s="33"/>
      <c r="K331" s="33"/>
      <c r="L331" s="33"/>
      <c r="M331" s="33"/>
      <c r="N331" s="33"/>
      <c r="O331" s="33"/>
      <c r="P331" s="33"/>
      <c r="Q331" s="33"/>
      <c r="R331" s="33"/>
      <c r="S331" s="33"/>
      <c r="T331" s="33"/>
      <c r="U331" s="33"/>
      <c r="V331" s="33"/>
      <c r="W331" s="33"/>
      <c r="X331" s="33"/>
      <c r="Y331" s="3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</row>
    <row r="332" spans="1:65" ht="15" customHeight="1">
      <c r="A332" s="33"/>
      <c r="B332" s="33"/>
      <c r="C332" s="33"/>
      <c r="D332" s="33"/>
      <c r="E332" s="33"/>
      <c r="F332" s="33"/>
      <c r="G332" s="33"/>
      <c r="H332" s="33"/>
      <c r="I332" s="33"/>
      <c r="J332" s="33"/>
      <c r="K332" s="33"/>
      <c r="L332" s="33"/>
      <c r="M332" s="33"/>
      <c r="N332" s="33"/>
      <c r="O332" s="33"/>
      <c r="P332" s="33"/>
      <c r="Q332" s="33"/>
      <c r="R332" s="33"/>
      <c r="S332" s="33"/>
      <c r="T332" s="33"/>
      <c r="U332" s="33"/>
      <c r="V332" s="33"/>
      <c r="W332" s="33"/>
      <c r="X332" s="33"/>
      <c r="Y332" s="3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</row>
    <row r="333" spans="1:65" ht="15" customHeight="1">
      <c r="A333" s="33"/>
      <c r="B333" s="33"/>
      <c r="C333" s="33"/>
      <c r="D333" s="33"/>
      <c r="E333" s="33"/>
      <c r="F333" s="33"/>
      <c r="G333" s="33"/>
      <c r="H333" s="33"/>
      <c r="I333" s="33"/>
      <c r="J333" s="33"/>
      <c r="K333" s="33"/>
      <c r="L333" s="33"/>
      <c r="M333" s="33"/>
      <c r="N333" s="33"/>
      <c r="O333" s="33"/>
      <c r="P333" s="33"/>
      <c r="Q333" s="33"/>
      <c r="R333" s="33"/>
      <c r="S333" s="33"/>
      <c r="T333" s="33"/>
      <c r="U333" s="33"/>
      <c r="V333" s="33"/>
      <c r="W333" s="33"/>
      <c r="X333" s="33"/>
      <c r="Y333" s="3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</row>
    <row r="334" spans="1:65" ht="15" customHeight="1">
      <c r="A334" s="33"/>
      <c r="B334" s="33"/>
      <c r="C334" s="33"/>
      <c r="D334" s="33"/>
      <c r="E334" s="33"/>
      <c r="F334" s="33"/>
      <c r="G334" s="33"/>
      <c r="H334" s="33"/>
      <c r="I334" s="33"/>
      <c r="J334" s="33"/>
      <c r="K334" s="33"/>
      <c r="L334" s="33"/>
      <c r="M334" s="33"/>
      <c r="N334" s="33"/>
      <c r="O334" s="33"/>
      <c r="P334" s="33"/>
      <c r="Q334" s="33"/>
      <c r="R334" s="33"/>
      <c r="S334" s="33"/>
      <c r="T334" s="33"/>
      <c r="U334" s="33"/>
      <c r="V334" s="33"/>
      <c r="W334" s="33"/>
      <c r="X334" s="33"/>
      <c r="Y334" s="3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</row>
    <row r="335" spans="1:65" ht="15" customHeight="1">
      <c r="A335" s="33"/>
      <c r="B335" s="33"/>
      <c r="C335" s="33"/>
      <c r="D335" s="33"/>
      <c r="E335" s="33"/>
      <c r="F335" s="33"/>
      <c r="G335" s="33"/>
      <c r="H335" s="33"/>
      <c r="I335" s="33"/>
      <c r="J335" s="33"/>
      <c r="K335" s="33"/>
      <c r="L335" s="33"/>
      <c r="M335" s="33"/>
      <c r="N335" s="33"/>
      <c r="O335" s="33"/>
      <c r="P335" s="33"/>
      <c r="Q335" s="33"/>
      <c r="R335" s="33"/>
      <c r="S335" s="33"/>
      <c r="T335" s="33"/>
      <c r="U335" s="33"/>
      <c r="V335" s="33"/>
      <c r="W335" s="33"/>
      <c r="X335" s="33"/>
      <c r="Y335" s="3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</row>
    <row r="336" spans="1:65" ht="15" customHeight="1">
      <c r="A336" s="33"/>
      <c r="B336" s="33"/>
      <c r="C336" s="33"/>
      <c r="D336" s="33"/>
      <c r="E336" s="33"/>
      <c r="F336" s="33"/>
      <c r="G336" s="33"/>
      <c r="H336" s="33"/>
      <c r="I336" s="33"/>
      <c r="J336" s="33"/>
      <c r="K336" s="33"/>
      <c r="L336" s="33"/>
      <c r="M336" s="33"/>
      <c r="N336" s="33"/>
      <c r="O336" s="33"/>
      <c r="P336" s="33"/>
      <c r="Q336" s="33"/>
      <c r="R336" s="33"/>
      <c r="S336" s="33"/>
      <c r="T336" s="33"/>
      <c r="U336" s="33"/>
      <c r="V336" s="33"/>
      <c r="W336" s="33"/>
      <c r="X336" s="33"/>
      <c r="Y336" s="3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</row>
    <row r="337" spans="1:65" ht="15" customHeight="1">
      <c r="A337" s="33"/>
      <c r="B337" s="33"/>
      <c r="C337" s="33"/>
      <c r="D337" s="33"/>
      <c r="E337" s="33"/>
      <c r="F337" s="33"/>
      <c r="G337" s="33"/>
      <c r="H337" s="33"/>
      <c r="I337" s="33"/>
      <c r="J337" s="33"/>
      <c r="K337" s="33"/>
      <c r="L337" s="33"/>
      <c r="M337" s="33"/>
      <c r="N337" s="33"/>
      <c r="O337" s="33"/>
      <c r="P337" s="33"/>
      <c r="Q337" s="33"/>
      <c r="R337" s="33"/>
      <c r="S337" s="33"/>
      <c r="T337" s="33"/>
      <c r="U337" s="33"/>
      <c r="V337" s="33"/>
      <c r="W337" s="33"/>
      <c r="X337" s="33"/>
      <c r="Y337" s="3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</row>
    <row r="338" spans="1:65" ht="15" customHeight="1">
      <c r="A338" s="33"/>
      <c r="B338" s="33"/>
      <c r="C338" s="33"/>
      <c r="D338" s="33"/>
      <c r="E338" s="33"/>
      <c r="F338" s="33"/>
      <c r="G338" s="33"/>
      <c r="H338" s="33"/>
      <c r="I338" s="33"/>
      <c r="J338" s="33"/>
      <c r="K338" s="33"/>
      <c r="L338" s="33"/>
      <c r="M338" s="33"/>
      <c r="N338" s="33"/>
      <c r="O338" s="33"/>
      <c r="P338" s="33"/>
      <c r="Q338" s="33"/>
      <c r="R338" s="33"/>
      <c r="S338" s="33"/>
      <c r="T338" s="33"/>
      <c r="U338" s="33"/>
      <c r="V338" s="33"/>
      <c r="W338" s="33"/>
      <c r="X338" s="33"/>
      <c r="Y338" s="3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</row>
    <row r="339" spans="1:65" ht="15" customHeight="1">
      <c r="A339" s="33"/>
      <c r="B339" s="33"/>
      <c r="C339" s="33"/>
      <c r="D339" s="33"/>
      <c r="E339" s="33"/>
      <c r="F339" s="33"/>
      <c r="G339" s="33"/>
      <c r="H339" s="33"/>
      <c r="I339" s="33"/>
      <c r="J339" s="33"/>
      <c r="K339" s="33"/>
      <c r="L339" s="33"/>
      <c r="M339" s="33"/>
      <c r="N339" s="33"/>
      <c r="O339" s="33"/>
      <c r="P339" s="33"/>
      <c r="Q339" s="33"/>
      <c r="R339" s="33"/>
      <c r="S339" s="33"/>
      <c r="T339" s="33"/>
      <c r="U339" s="33"/>
      <c r="V339" s="33"/>
      <c r="W339" s="33"/>
      <c r="X339" s="33"/>
      <c r="Y339" s="3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</row>
    <row r="340" spans="1:65" ht="15" customHeight="1">
      <c r="A340" s="33"/>
      <c r="B340" s="33"/>
      <c r="C340" s="33"/>
      <c r="D340" s="33"/>
      <c r="E340" s="33"/>
      <c r="F340" s="33"/>
      <c r="G340" s="33"/>
      <c r="H340" s="33"/>
      <c r="I340" s="33"/>
      <c r="J340" s="33"/>
      <c r="K340" s="33"/>
      <c r="L340" s="33"/>
      <c r="M340" s="33"/>
      <c r="N340" s="33"/>
      <c r="O340" s="33"/>
      <c r="P340" s="33"/>
      <c r="Q340" s="33"/>
      <c r="R340" s="33"/>
      <c r="S340" s="33"/>
      <c r="T340" s="33"/>
      <c r="U340" s="33"/>
      <c r="V340" s="33"/>
      <c r="W340" s="33"/>
      <c r="X340" s="33"/>
      <c r="Y340" s="3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</row>
    <row r="341" spans="1:65" ht="15" customHeight="1">
      <c r="A341" s="33"/>
      <c r="B341" s="33"/>
      <c r="C341" s="33"/>
      <c r="D341" s="33"/>
      <c r="E341" s="33"/>
      <c r="F341" s="33"/>
      <c r="G341" s="33"/>
      <c r="H341" s="33"/>
      <c r="I341" s="33"/>
      <c r="J341" s="33"/>
      <c r="K341" s="33"/>
      <c r="L341" s="33"/>
      <c r="M341" s="33"/>
      <c r="N341" s="33"/>
      <c r="O341" s="33"/>
      <c r="P341" s="33"/>
      <c r="Q341" s="33"/>
      <c r="R341" s="33"/>
      <c r="S341" s="33"/>
      <c r="T341" s="33"/>
      <c r="U341" s="33"/>
      <c r="V341" s="33"/>
      <c r="W341" s="33"/>
      <c r="X341" s="33"/>
      <c r="Y341" s="3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</row>
    <row r="342" spans="1:65" ht="15" customHeight="1">
      <c r="A342" s="33"/>
      <c r="B342" s="33"/>
      <c r="C342" s="33"/>
      <c r="D342" s="33"/>
      <c r="E342" s="33"/>
      <c r="F342" s="33"/>
      <c r="G342" s="33"/>
      <c r="H342" s="33"/>
      <c r="I342" s="33"/>
      <c r="J342" s="33"/>
      <c r="K342" s="33"/>
      <c r="L342" s="33"/>
      <c r="M342" s="33"/>
      <c r="N342" s="33"/>
      <c r="O342" s="33"/>
      <c r="P342" s="33"/>
      <c r="Q342" s="33"/>
      <c r="R342" s="33"/>
      <c r="S342" s="33"/>
      <c r="T342" s="33"/>
      <c r="U342" s="33"/>
      <c r="V342" s="33"/>
      <c r="W342" s="33"/>
      <c r="X342" s="33"/>
      <c r="Y342" s="3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</row>
    <row r="343" spans="1:65" ht="15" customHeight="1">
      <c r="A343" s="33"/>
      <c r="B343" s="33"/>
      <c r="C343" s="33"/>
      <c r="D343" s="33"/>
      <c r="E343" s="33"/>
      <c r="F343" s="33"/>
      <c r="G343" s="33"/>
      <c r="H343" s="33"/>
      <c r="I343" s="33"/>
      <c r="J343" s="33"/>
      <c r="K343" s="33"/>
      <c r="L343" s="33"/>
      <c r="M343" s="33"/>
      <c r="N343" s="33"/>
      <c r="O343" s="33"/>
      <c r="P343" s="33"/>
      <c r="Q343" s="33"/>
      <c r="R343" s="33"/>
      <c r="S343" s="33"/>
      <c r="T343" s="33"/>
      <c r="U343" s="33"/>
      <c r="V343" s="33"/>
      <c r="W343" s="33"/>
      <c r="X343" s="33"/>
      <c r="Y343" s="3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</row>
    <row r="344" spans="1:65" ht="15" customHeight="1">
      <c r="A344" s="33"/>
      <c r="B344" s="33"/>
      <c r="C344" s="33"/>
      <c r="D344" s="33"/>
      <c r="E344" s="33"/>
      <c r="F344" s="33"/>
      <c r="G344" s="33"/>
      <c r="H344" s="33"/>
      <c r="I344" s="33"/>
      <c r="J344" s="33"/>
      <c r="K344" s="33"/>
      <c r="L344" s="33"/>
      <c r="M344" s="33"/>
      <c r="N344" s="33"/>
      <c r="O344" s="33"/>
      <c r="P344" s="33"/>
      <c r="Q344" s="33"/>
      <c r="R344" s="33"/>
      <c r="S344" s="33"/>
      <c r="T344" s="33"/>
      <c r="U344" s="33"/>
      <c r="V344" s="33"/>
      <c r="W344" s="33"/>
      <c r="X344" s="33"/>
      <c r="Y344" s="3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</row>
    <row r="345" spans="1:65" ht="15" customHeight="1">
      <c r="A345" s="33"/>
      <c r="B345" s="33"/>
      <c r="C345" s="33"/>
      <c r="D345" s="33"/>
      <c r="E345" s="33"/>
      <c r="F345" s="33"/>
      <c r="G345" s="33"/>
      <c r="H345" s="33"/>
      <c r="I345" s="33"/>
      <c r="J345" s="33"/>
      <c r="K345" s="33"/>
      <c r="L345" s="33"/>
      <c r="M345" s="33"/>
      <c r="N345" s="33"/>
      <c r="O345" s="33"/>
      <c r="P345" s="33"/>
      <c r="Q345" s="33"/>
      <c r="R345" s="33"/>
      <c r="S345" s="33"/>
      <c r="T345" s="33"/>
      <c r="U345" s="33"/>
      <c r="V345" s="33"/>
      <c r="W345" s="33"/>
      <c r="X345" s="33"/>
      <c r="Y345" s="3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</row>
    <row r="346" spans="1:65" ht="15" customHeight="1">
      <c r="A346" s="33"/>
      <c r="B346" s="33"/>
      <c r="C346" s="33"/>
      <c r="D346" s="33"/>
      <c r="E346" s="33"/>
      <c r="F346" s="33"/>
      <c r="G346" s="33"/>
      <c r="H346" s="33"/>
      <c r="I346" s="33"/>
      <c r="J346" s="33"/>
      <c r="K346" s="33"/>
      <c r="L346" s="33"/>
      <c r="M346" s="33"/>
      <c r="N346" s="33"/>
      <c r="O346" s="33"/>
      <c r="P346" s="33"/>
      <c r="Q346" s="33"/>
      <c r="R346" s="33"/>
      <c r="S346" s="33"/>
      <c r="T346" s="33"/>
      <c r="U346" s="33"/>
      <c r="V346" s="33"/>
      <c r="W346" s="33"/>
      <c r="X346" s="33"/>
      <c r="Y346" s="3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</row>
    <row r="347" spans="1:65" ht="15" customHeight="1">
      <c r="A347" s="33"/>
      <c r="B347" s="33"/>
      <c r="C347" s="33"/>
      <c r="D347" s="33"/>
      <c r="E347" s="33"/>
      <c r="F347" s="33"/>
      <c r="G347" s="33"/>
      <c r="H347" s="33"/>
      <c r="I347" s="33"/>
      <c r="J347" s="33"/>
      <c r="K347" s="33"/>
      <c r="L347" s="33"/>
      <c r="M347" s="33"/>
      <c r="N347" s="33"/>
      <c r="O347" s="33"/>
      <c r="P347" s="33"/>
      <c r="Q347" s="33"/>
      <c r="R347" s="33"/>
      <c r="S347" s="33"/>
      <c r="T347" s="33"/>
      <c r="U347" s="33"/>
      <c r="V347" s="33"/>
      <c r="W347" s="33"/>
      <c r="X347" s="33"/>
      <c r="Y347" s="3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</row>
    <row r="348" spans="1:65" ht="15" customHeight="1">
      <c r="A348" s="33"/>
      <c r="B348" s="33"/>
      <c r="C348" s="33"/>
      <c r="D348" s="33"/>
      <c r="E348" s="33"/>
      <c r="F348" s="33"/>
      <c r="G348" s="33"/>
      <c r="H348" s="33"/>
      <c r="I348" s="33"/>
      <c r="J348" s="33"/>
      <c r="K348" s="33"/>
      <c r="L348" s="33"/>
      <c r="M348" s="33"/>
      <c r="N348" s="33"/>
      <c r="O348" s="33"/>
      <c r="P348" s="33"/>
      <c r="Q348" s="33"/>
      <c r="R348" s="33"/>
      <c r="S348" s="33"/>
      <c r="T348" s="33"/>
      <c r="U348" s="33"/>
      <c r="V348" s="33"/>
      <c r="W348" s="33"/>
      <c r="X348" s="33"/>
      <c r="Y348" s="3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</row>
    <row r="349" spans="1:65" ht="15" customHeight="1">
      <c r="A349" s="33"/>
      <c r="B349" s="33"/>
      <c r="C349" s="33"/>
      <c r="D349" s="33"/>
      <c r="E349" s="33"/>
      <c r="F349" s="33"/>
      <c r="G349" s="33"/>
      <c r="H349" s="33"/>
      <c r="I349" s="33"/>
      <c r="J349" s="33"/>
      <c r="K349" s="33"/>
      <c r="L349" s="33"/>
      <c r="M349" s="33"/>
      <c r="N349" s="33"/>
      <c r="O349" s="33"/>
      <c r="P349" s="33"/>
      <c r="Q349" s="33"/>
      <c r="R349" s="33"/>
      <c r="S349" s="33"/>
      <c r="T349" s="33"/>
      <c r="U349" s="33"/>
      <c r="V349" s="33"/>
      <c r="W349" s="33"/>
      <c r="X349" s="33"/>
      <c r="Y349" s="3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</row>
    <row r="350" spans="1:65" ht="15" customHeight="1">
      <c r="A350" s="33"/>
      <c r="B350" s="33"/>
      <c r="C350" s="33"/>
      <c r="D350" s="33"/>
      <c r="E350" s="33"/>
      <c r="F350" s="33"/>
      <c r="G350" s="33"/>
      <c r="H350" s="33"/>
      <c r="I350" s="33"/>
      <c r="J350" s="33"/>
      <c r="K350" s="33"/>
      <c r="L350" s="33"/>
      <c r="M350" s="33"/>
      <c r="N350" s="33"/>
      <c r="O350" s="33"/>
      <c r="P350" s="33"/>
      <c r="Q350" s="33"/>
      <c r="R350" s="33"/>
      <c r="S350" s="33"/>
      <c r="T350" s="33"/>
      <c r="U350" s="33"/>
      <c r="V350" s="33"/>
      <c r="W350" s="33"/>
      <c r="X350" s="33"/>
      <c r="Y350" s="3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</row>
    <row r="351" spans="1:65" ht="15" customHeight="1">
      <c r="A351" s="33"/>
      <c r="B351" s="33"/>
      <c r="C351" s="33"/>
      <c r="D351" s="33"/>
      <c r="E351" s="33"/>
      <c r="F351" s="33"/>
      <c r="G351" s="33"/>
      <c r="H351" s="33"/>
      <c r="I351" s="33"/>
      <c r="J351" s="33"/>
      <c r="K351" s="33"/>
      <c r="L351" s="33"/>
      <c r="M351" s="33"/>
      <c r="N351" s="33"/>
      <c r="O351" s="33"/>
      <c r="P351" s="33"/>
      <c r="Q351" s="33"/>
      <c r="R351" s="33"/>
      <c r="S351" s="33"/>
      <c r="T351" s="33"/>
      <c r="U351" s="33"/>
      <c r="V351" s="33"/>
      <c r="W351" s="33"/>
      <c r="X351" s="33"/>
      <c r="Y351" s="3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</row>
    <row r="352" spans="1:65" ht="15" customHeight="1">
      <c r="A352" s="33"/>
      <c r="B352" s="33"/>
      <c r="C352" s="33"/>
      <c r="D352" s="33"/>
      <c r="E352" s="33"/>
      <c r="F352" s="33"/>
      <c r="G352" s="33"/>
      <c r="H352" s="33"/>
      <c r="I352" s="33"/>
      <c r="J352" s="33"/>
      <c r="K352" s="33"/>
      <c r="L352" s="33"/>
      <c r="M352" s="33"/>
      <c r="N352" s="33"/>
      <c r="O352" s="33"/>
      <c r="P352" s="33"/>
      <c r="Q352" s="33"/>
      <c r="R352" s="33"/>
      <c r="S352" s="33"/>
      <c r="T352" s="33"/>
      <c r="U352" s="33"/>
      <c r="V352" s="33"/>
      <c r="W352" s="33"/>
      <c r="X352" s="33"/>
      <c r="Y352" s="3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</row>
    <row r="353" spans="1:65" ht="15" customHeight="1">
      <c r="A353" s="33"/>
      <c r="B353" s="33"/>
      <c r="C353" s="33"/>
      <c r="D353" s="33"/>
      <c r="E353" s="33"/>
      <c r="F353" s="33"/>
      <c r="G353" s="33"/>
      <c r="H353" s="33"/>
      <c r="I353" s="33"/>
      <c r="J353" s="33"/>
      <c r="K353" s="33"/>
      <c r="L353" s="33"/>
      <c r="M353" s="33"/>
      <c r="N353" s="33"/>
      <c r="O353" s="33"/>
      <c r="P353" s="33"/>
      <c r="Q353" s="33"/>
      <c r="R353" s="33"/>
      <c r="S353" s="33"/>
      <c r="T353" s="33"/>
      <c r="U353" s="33"/>
      <c r="V353" s="33"/>
      <c r="W353" s="33"/>
      <c r="X353" s="33"/>
      <c r="Y353" s="3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</row>
    <row r="354" spans="1:65" ht="15" customHeight="1">
      <c r="A354" s="33"/>
      <c r="B354" s="33"/>
      <c r="C354" s="33"/>
      <c r="D354" s="33"/>
      <c r="E354" s="33"/>
      <c r="F354" s="33"/>
      <c r="G354" s="33"/>
      <c r="H354" s="33"/>
      <c r="I354" s="33"/>
      <c r="J354" s="33"/>
      <c r="K354" s="33"/>
      <c r="L354" s="33"/>
      <c r="M354" s="33"/>
      <c r="N354" s="33"/>
      <c r="O354" s="33"/>
      <c r="P354" s="33"/>
      <c r="Q354" s="33"/>
      <c r="R354" s="33"/>
      <c r="S354" s="33"/>
      <c r="T354" s="33"/>
      <c r="U354" s="33"/>
      <c r="V354" s="33"/>
      <c r="W354" s="33"/>
      <c r="X354" s="33"/>
      <c r="Y354" s="3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</row>
    <row r="355" spans="1:65" ht="15" customHeight="1">
      <c r="A355" s="33"/>
      <c r="B355" s="33"/>
      <c r="C355" s="33"/>
      <c r="D355" s="33"/>
      <c r="E355" s="33"/>
      <c r="F355" s="33"/>
      <c r="G355" s="33"/>
      <c r="H355" s="33"/>
      <c r="I355" s="33"/>
      <c r="J355" s="33"/>
      <c r="K355" s="33"/>
      <c r="L355" s="33"/>
      <c r="M355" s="33"/>
      <c r="N355" s="33"/>
      <c r="O355" s="33"/>
      <c r="P355" s="33"/>
      <c r="Q355" s="33"/>
      <c r="R355" s="33"/>
      <c r="S355" s="33"/>
      <c r="T355" s="33"/>
      <c r="U355" s="33"/>
      <c r="V355" s="33"/>
      <c r="W355" s="33"/>
      <c r="X355" s="33"/>
      <c r="Y355" s="3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</row>
    <row r="356" spans="1:65" ht="15" customHeight="1">
      <c r="A356" s="33"/>
      <c r="B356" s="33"/>
      <c r="C356" s="33"/>
      <c r="D356" s="33"/>
      <c r="E356" s="33"/>
      <c r="F356" s="33"/>
      <c r="G356" s="33"/>
      <c r="H356" s="33"/>
      <c r="I356" s="33"/>
      <c r="J356" s="33"/>
      <c r="K356" s="33"/>
      <c r="L356" s="33"/>
      <c r="M356" s="33"/>
      <c r="N356" s="33"/>
      <c r="O356" s="33"/>
      <c r="P356" s="33"/>
      <c r="Q356" s="33"/>
      <c r="R356" s="33"/>
      <c r="S356" s="33"/>
      <c r="T356" s="33"/>
      <c r="U356" s="33"/>
      <c r="V356" s="33"/>
      <c r="W356" s="33"/>
      <c r="X356" s="33"/>
      <c r="Y356" s="3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</row>
    <row r="357" spans="1:65" ht="15" customHeight="1">
      <c r="A357" s="33"/>
      <c r="B357" s="33"/>
      <c r="C357" s="33"/>
      <c r="D357" s="33"/>
      <c r="E357" s="33"/>
      <c r="F357" s="33"/>
      <c r="G357" s="33"/>
      <c r="H357" s="33"/>
      <c r="I357" s="33"/>
      <c r="J357" s="33"/>
      <c r="K357" s="33"/>
      <c r="L357" s="33"/>
      <c r="M357" s="33"/>
      <c r="N357" s="33"/>
      <c r="O357" s="33"/>
      <c r="P357" s="33"/>
      <c r="Q357" s="33"/>
      <c r="R357" s="33"/>
      <c r="S357" s="33"/>
      <c r="T357" s="33"/>
      <c r="U357" s="33"/>
      <c r="V357" s="33"/>
      <c r="W357" s="33"/>
      <c r="X357" s="33"/>
      <c r="Y357" s="3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</row>
    <row r="358" spans="1:65" ht="15" customHeight="1">
      <c r="A358" s="33"/>
      <c r="B358" s="33"/>
      <c r="C358" s="33"/>
      <c r="D358" s="33"/>
      <c r="E358" s="33"/>
      <c r="F358" s="33"/>
      <c r="G358" s="33"/>
      <c r="H358" s="33"/>
      <c r="I358" s="33"/>
      <c r="J358" s="33"/>
      <c r="K358" s="33"/>
      <c r="L358" s="33"/>
      <c r="M358" s="33"/>
      <c r="N358" s="33"/>
      <c r="O358" s="33"/>
      <c r="P358" s="33"/>
      <c r="Q358" s="33"/>
      <c r="R358" s="33"/>
      <c r="S358" s="33"/>
      <c r="T358" s="33"/>
      <c r="U358" s="33"/>
      <c r="V358" s="33"/>
      <c r="W358" s="33"/>
      <c r="X358" s="33"/>
      <c r="Y358" s="3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</row>
    <row r="359" spans="1:65" ht="15" customHeight="1">
      <c r="A359" s="33"/>
      <c r="B359" s="33"/>
      <c r="C359" s="33"/>
      <c r="D359" s="33"/>
      <c r="E359" s="33"/>
      <c r="F359" s="33"/>
      <c r="G359" s="33"/>
      <c r="H359" s="33"/>
      <c r="I359" s="33"/>
      <c r="J359" s="33"/>
      <c r="K359" s="33"/>
      <c r="L359" s="33"/>
      <c r="M359" s="33"/>
      <c r="N359" s="33"/>
      <c r="O359" s="33"/>
      <c r="P359" s="33"/>
      <c r="Q359" s="33"/>
      <c r="R359" s="33"/>
      <c r="S359" s="33"/>
      <c r="T359" s="33"/>
      <c r="U359" s="33"/>
      <c r="V359" s="33"/>
      <c r="W359" s="33"/>
      <c r="X359" s="33"/>
      <c r="Y359" s="3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</row>
    <row r="360" spans="1:65" ht="15" customHeight="1">
      <c r="A360" s="33"/>
      <c r="B360" s="33"/>
      <c r="C360" s="33"/>
      <c r="D360" s="33"/>
      <c r="E360" s="33"/>
      <c r="F360" s="33"/>
      <c r="G360" s="33"/>
      <c r="H360" s="33"/>
      <c r="I360" s="33"/>
      <c r="J360" s="33"/>
      <c r="K360" s="33"/>
      <c r="L360" s="33"/>
      <c r="M360" s="33"/>
      <c r="N360" s="33"/>
      <c r="O360" s="33"/>
      <c r="P360" s="33"/>
      <c r="Q360" s="33"/>
      <c r="R360" s="33"/>
      <c r="S360" s="33"/>
      <c r="T360" s="33"/>
      <c r="U360" s="33"/>
      <c r="V360" s="33"/>
      <c r="W360" s="33"/>
      <c r="X360" s="33"/>
      <c r="Y360" s="3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</row>
    <row r="361" spans="1:65" ht="15" customHeight="1">
      <c r="A361" s="33"/>
      <c r="B361" s="33"/>
      <c r="C361" s="33"/>
      <c r="D361" s="33"/>
      <c r="E361" s="33"/>
      <c r="F361" s="33"/>
      <c r="G361" s="33"/>
      <c r="H361" s="33"/>
      <c r="I361" s="33"/>
      <c r="J361" s="33"/>
      <c r="K361" s="33"/>
      <c r="L361" s="33"/>
      <c r="M361" s="33"/>
      <c r="N361" s="33"/>
      <c r="O361" s="33"/>
      <c r="P361" s="33"/>
      <c r="Q361" s="33"/>
      <c r="R361" s="33"/>
      <c r="S361" s="33"/>
      <c r="T361" s="33"/>
      <c r="U361" s="33"/>
      <c r="V361" s="33"/>
      <c r="W361" s="33"/>
      <c r="X361" s="33"/>
      <c r="Y361" s="3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</row>
    <row r="362" spans="1:65" ht="15" customHeight="1">
      <c r="A362" s="33"/>
      <c r="B362" s="33"/>
      <c r="C362" s="33"/>
      <c r="D362" s="33"/>
      <c r="E362" s="33"/>
      <c r="F362" s="33"/>
      <c r="G362" s="33"/>
      <c r="H362" s="33"/>
      <c r="I362" s="33"/>
      <c r="J362" s="33"/>
      <c r="K362" s="33"/>
      <c r="L362" s="33"/>
      <c r="M362" s="33"/>
      <c r="N362" s="33"/>
      <c r="O362" s="33"/>
      <c r="P362" s="33"/>
      <c r="Q362" s="33"/>
      <c r="R362" s="33"/>
      <c r="S362" s="33"/>
      <c r="T362" s="33"/>
      <c r="U362" s="33"/>
      <c r="V362" s="33"/>
      <c r="W362" s="33"/>
      <c r="X362" s="33"/>
      <c r="Y362" s="3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</row>
    <row r="363" spans="1:65" ht="15" customHeight="1">
      <c r="A363" s="33"/>
      <c r="B363" s="33"/>
      <c r="C363" s="33"/>
      <c r="D363" s="33"/>
      <c r="E363" s="33"/>
      <c r="F363" s="33"/>
      <c r="G363" s="33"/>
      <c r="H363" s="33"/>
      <c r="I363" s="33"/>
      <c r="J363" s="33"/>
      <c r="K363" s="33"/>
      <c r="L363" s="33"/>
      <c r="M363" s="33"/>
      <c r="N363" s="33"/>
      <c r="O363" s="33"/>
      <c r="P363" s="33"/>
      <c r="Q363" s="33"/>
      <c r="R363" s="33"/>
      <c r="S363" s="33"/>
      <c r="T363" s="33"/>
      <c r="U363" s="33"/>
      <c r="V363" s="33"/>
      <c r="W363" s="33"/>
      <c r="X363" s="33"/>
      <c r="Y363" s="3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</row>
    <row r="364" spans="1:65" ht="15" customHeight="1">
      <c r="A364" s="33"/>
      <c r="B364" s="33"/>
      <c r="C364" s="33"/>
      <c r="D364" s="33"/>
      <c r="E364" s="33"/>
      <c r="F364" s="33"/>
      <c r="G364" s="33"/>
      <c r="H364" s="33"/>
      <c r="I364" s="33"/>
      <c r="J364" s="33"/>
      <c r="K364" s="33"/>
      <c r="L364" s="33"/>
      <c r="M364" s="33"/>
      <c r="N364" s="33"/>
      <c r="O364" s="33"/>
      <c r="P364" s="33"/>
      <c r="Q364" s="33"/>
      <c r="R364" s="33"/>
      <c r="S364" s="33"/>
      <c r="T364" s="33"/>
      <c r="U364" s="33"/>
      <c r="V364" s="33"/>
      <c r="W364" s="33"/>
      <c r="X364" s="33"/>
      <c r="Y364" s="3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</row>
    <row r="365" spans="1:65" ht="15" customHeight="1">
      <c r="A365" s="33"/>
      <c r="B365" s="33"/>
      <c r="C365" s="33"/>
      <c r="D365" s="33"/>
      <c r="E365" s="33"/>
      <c r="F365" s="33"/>
      <c r="G365" s="33"/>
      <c r="H365" s="33"/>
      <c r="I365" s="33"/>
      <c r="J365" s="33"/>
      <c r="K365" s="33"/>
      <c r="L365" s="33"/>
      <c r="M365" s="33"/>
      <c r="N365" s="33"/>
      <c r="O365" s="33"/>
      <c r="P365" s="33"/>
      <c r="Q365" s="33"/>
      <c r="R365" s="33"/>
      <c r="S365" s="33"/>
      <c r="T365" s="33"/>
      <c r="U365" s="33"/>
      <c r="V365" s="33"/>
      <c r="W365" s="33"/>
      <c r="X365" s="33"/>
      <c r="Y365" s="3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</row>
    <row r="366" spans="1:65" ht="15" customHeight="1">
      <c r="A366" s="33"/>
      <c r="B366" s="33"/>
      <c r="C366" s="33"/>
      <c r="D366" s="33"/>
      <c r="E366" s="33"/>
      <c r="F366" s="33"/>
      <c r="G366" s="33"/>
      <c r="H366" s="33"/>
      <c r="I366" s="33"/>
      <c r="J366" s="33"/>
      <c r="K366" s="33"/>
      <c r="L366" s="33"/>
      <c r="M366" s="33"/>
      <c r="N366" s="33"/>
      <c r="O366" s="33"/>
      <c r="P366" s="33"/>
      <c r="Q366" s="33"/>
      <c r="R366" s="33"/>
      <c r="S366" s="33"/>
      <c r="T366" s="33"/>
      <c r="U366" s="33"/>
      <c r="V366" s="33"/>
      <c r="W366" s="33"/>
      <c r="X366" s="33"/>
      <c r="Y366" s="3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</row>
    <row r="367" spans="1:65" ht="15" customHeight="1">
      <c r="A367" s="33"/>
      <c r="B367" s="33"/>
      <c r="C367" s="33"/>
      <c r="D367" s="33"/>
      <c r="E367" s="33"/>
      <c r="F367" s="33"/>
      <c r="G367" s="33"/>
      <c r="H367" s="33"/>
      <c r="I367" s="33"/>
      <c r="J367" s="33"/>
      <c r="K367" s="33"/>
      <c r="L367" s="33"/>
      <c r="M367" s="33"/>
      <c r="N367" s="33"/>
      <c r="O367" s="33"/>
      <c r="P367" s="33"/>
      <c r="Q367" s="33"/>
      <c r="R367" s="33"/>
      <c r="S367" s="33"/>
      <c r="T367" s="33"/>
      <c r="U367" s="33"/>
      <c r="V367" s="33"/>
      <c r="W367" s="33"/>
      <c r="X367" s="33"/>
      <c r="Y367" s="3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</row>
    <row r="368" spans="1:65" ht="15" customHeight="1">
      <c r="A368" s="33"/>
      <c r="B368" s="33"/>
      <c r="C368" s="33"/>
      <c r="D368" s="33"/>
      <c r="E368" s="33"/>
      <c r="F368" s="33"/>
      <c r="G368" s="33"/>
      <c r="H368" s="33"/>
      <c r="I368" s="33"/>
      <c r="J368" s="33"/>
      <c r="K368" s="33"/>
      <c r="L368" s="33"/>
      <c r="M368" s="33"/>
      <c r="N368" s="33"/>
      <c r="O368" s="33"/>
      <c r="P368" s="33"/>
      <c r="Q368" s="33"/>
      <c r="R368" s="33"/>
      <c r="S368" s="33"/>
      <c r="T368" s="33"/>
      <c r="U368" s="33"/>
      <c r="V368" s="33"/>
      <c r="W368" s="33"/>
      <c r="X368" s="33"/>
      <c r="Y368" s="3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</row>
    <row r="369" spans="1:65" ht="15" customHeight="1">
      <c r="A369" s="33"/>
      <c r="B369" s="33"/>
      <c r="C369" s="33"/>
      <c r="D369" s="33"/>
      <c r="E369" s="33"/>
      <c r="F369" s="33"/>
      <c r="G369" s="33"/>
      <c r="H369" s="33"/>
      <c r="I369" s="33"/>
      <c r="J369" s="33"/>
      <c r="K369" s="33"/>
      <c r="L369" s="33"/>
      <c r="M369" s="33"/>
      <c r="N369" s="33"/>
      <c r="O369" s="33"/>
      <c r="P369" s="33"/>
      <c r="Q369" s="33"/>
      <c r="R369" s="33"/>
      <c r="S369" s="33"/>
      <c r="T369" s="33"/>
      <c r="U369" s="33"/>
      <c r="V369" s="33"/>
      <c r="W369" s="33"/>
      <c r="X369" s="33"/>
      <c r="Y369" s="3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</row>
    <row r="370" spans="1:65" ht="15" customHeight="1">
      <c r="A370" s="33"/>
      <c r="B370" s="33"/>
      <c r="C370" s="33"/>
      <c r="D370" s="33"/>
      <c r="E370" s="33"/>
      <c r="F370" s="33"/>
      <c r="G370" s="33"/>
      <c r="H370" s="33"/>
      <c r="I370" s="33"/>
      <c r="J370" s="33"/>
      <c r="K370" s="33"/>
      <c r="L370" s="33"/>
      <c r="M370" s="33"/>
      <c r="N370" s="33"/>
      <c r="O370" s="33"/>
      <c r="P370" s="33"/>
      <c r="Q370" s="33"/>
      <c r="R370" s="33"/>
      <c r="S370" s="33"/>
      <c r="T370" s="33"/>
      <c r="U370" s="33"/>
      <c r="V370" s="33"/>
      <c r="W370" s="33"/>
      <c r="X370" s="33"/>
      <c r="Y370" s="3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</row>
    <row r="371" spans="1:65" ht="15" customHeight="1">
      <c r="A371" s="33"/>
      <c r="B371" s="33"/>
      <c r="C371" s="33"/>
      <c r="D371" s="33"/>
      <c r="E371" s="33"/>
      <c r="F371" s="33"/>
      <c r="G371" s="33"/>
      <c r="H371" s="33"/>
      <c r="I371" s="33"/>
      <c r="J371" s="33"/>
      <c r="K371" s="33"/>
      <c r="L371" s="33"/>
      <c r="M371" s="33"/>
      <c r="N371" s="33"/>
      <c r="O371" s="33"/>
      <c r="P371" s="33"/>
      <c r="Q371" s="33"/>
      <c r="R371" s="33"/>
      <c r="S371" s="33"/>
      <c r="T371" s="33"/>
      <c r="U371" s="33"/>
      <c r="V371" s="33"/>
      <c r="W371" s="33"/>
      <c r="X371" s="33"/>
      <c r="Y371" s="3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</row>
    <row r="372" spans="1:65" ht="15" customHeight="1">
      <c r="A372" s="33"/>
      <c r="B372" s="33"/>
      <c r="C372" s="33"/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</row>
    <row r="373" spans="1:65" ht="15" customHeight="1">
      <c r="A373" s="33"/>
      <c r="B373" s="33"/>
      <c r="C373" s="33"/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</row>
    <row r="374" spans="1:65" ht="15" customHeight="1">
      <c r="A374" s="33"/>
      <c r="B374" s="33"/>
      <c r="C374" s="33"/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</row>
    <row r="375" spans="1:65" ht="15" customHeight="1">
      <c r="A375" s="33"/>
      <c r="B375" s="33"/>
      <c r="C375" s="33"/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</row>
    <row r="376" spans="1:65" ht="15" customHeight="1">
      <c r="A376" s="33"/>
      <c r="B376" s="33"/>
      <c r="C376" s="33"/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</row>
    <row r="377" spans="1:65" ht="15" customHeight="1">
      <c r="A377" s="33"/>
      <c r="B377" s="33"/>
      <c r="C377" s="33"/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</row>
    <row r="378" spans="1:65" ht="15" customHeight="1">
      <c r="A378" s="33"/>
      <c r="B378" s="33"/>
      <c r="C378" s="33"/>
      <c r="D378" s="33"/>
      <c r="E378" s="33"/>
      <c r="F378" s="33"/>
      <c r="G378" s="33"/>
      <c r="H378" s="33"/>
      <c r="I378" s="33"/>
      <c r="J378" s="33"/>
      <c r="K378" s="33"/>
      <c r="L378" s="33"/>
      <c r="M378" s="33"/>
      <c r="N378" s="33"/>
      <c r="O378" s="33"/>
      <c r="P378" s="33"/>
      <c r="Q378" s="33"/>
      <c r="R378" s="33"/>
      <c r="S378" s="33"/>
      <c r="T378" s="33"/>
      <c r="U378" s="33"/>
      <c r="V378" s="33"/>
      <c r="W378" s="33"/>
      <c r="X378" s="33"/>
      <c r="Y378" s="3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</row>
    <row r="379" spans="1:65" ht="15" customHeight="1">
      <c r="A379" s="33"/>
      <c r="B379" s="33"/>
      <c r="C379" s="33"/>
      <c r="D379" s="33"/>
      <c r="E379" s="33"/>
      <c r="F379" s="33"/>
      <c r="G379" s="33"/>
      <c r="H379" s="33"/>
      <c r="I379" s="33"/>
      <c r="J379" s="33"/>
      <c r="K379" s="33"/>
      <c r="L379" s="33"/>
      <c r="M379" s="33"/>
      <c r="N379" s="33"/>
      <c r="O379" s="33"/>
      <c r="P379" s="33"/>
      <c r="Q379" s="33"/>
      <c r="R379" s="33"/>
      <c r="S379" s="33"/>
      <c r="T379" s="33"/>
      <c r="U379" s="33"/>
      <c r="V379" s="33"/>
      <c r="W379" s="33"/>
      <c r="X379" s="33"/>
      <c r="Y379" s="3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</row>
    <row r="380" spans="1:65" ht="15" customHeight="1">
      <c r="A380" s="33"/>
      <c r="B380" s="33"/>
      <c r="C380" s="33"/>
      <c r="D380" s="33"/>
      <c r="E380" s="33"/>
      <c r="F380" s="33"/>
      <c r="G380" s="33"/>
      <c r="H380" s="33"/>
      <c r="I380" s="33"/>
      <c r="J380" s="33"/>
      <c r="K380" s="33"/>
      <c r="L380" s="33"/>
      <c r="M380" s="33"/>
      <c r="N380" s="33"/>
      <c r="O380" s="33"/>
      <c r="P380" s="33"/>
      <c r="Q380" s="33"/>
      <c r="R380" s="33"/>
      <c r="S380" s="33"/>
      <c r="T380" s="33"/>
      <c r="U380" s="33"/>
      <c r="V380" s="33"/>
      <c r="W380" s="33"/>
      <c r="X380" s="33"/>
      <c r="Y380" s="3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</row>
    <row r="381" spans="1:65" ht="15" customHeight="1">
      <c r="A381" s="33"/>
      <c r="B381" s="33"/>
      <c r="C381" s="33"/>
      <c r="D381" s="33"/>
      <c r="E381" s="33"/>
      <c r="F381" s="33"/>
      <c r="G381" s="33"/>
      <c r="H381" s="33"/>
      <c r="I381" s="33"/>
      <c r="J381" s="33"/>
      <c r="K381" s="33"/>
      <c r="L381" s="33"/>
      <c r="M381" s="33"/>
      <c r="N381" s="33"/>
      <c r="O381" s="33"/>
      <c r="P381" s="33"/>
      <c r="Q381" s="33"/>
      <c r="R381" s="33"/>
      <c r="S381" s="33"/>
      <c r="T381" s="33"/>
      <c r="U381" s="33"/>
      <c r="V381" s="33"/>
      <c r="W381" s="33"/>
      <c r="X381" s="33"/>
      <c r="Y381" s="3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</row>
    <row r="382" spans="1:65" ht="15" customHeight="1">
      <c r="A382" s="33"/>
      <c r="B382" s="33"/>
      <c r="C382" s="33"/>
      <c r="D382" s="33"/>
      <c r="E382" s="33"/>
      <c r="F382" s="33"/>
      <c r="G382" s="33"/>
      <c r="H382" s="33"/>
      <c r="I382" s="33"/>
      <c r="J382" s="33"/>
      <c r="K382" s="33"/>
      <c r="L382" s="33"/>
      <c r="M382" s="33"/>
      <c r="N382" s="33"/>
      <c r="O382" s="33"/>
      <c r="P382" s="33"/>
      <c r="Q382" s="33"/>
      <c r="R382" s="33"/>
      <c r="S382" s="33"/>
      <c r="T382" s="33"/>
      <c r="U382" s="33"/>
      <c r="V382" s="33"/>
      <c r="W382" s="33"/>
      <c r="X382" s="33"/>
      <c r="Y382" s="3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</row>
    <row r="383" spans="1:65" ht="15" customHeight="1">
      <c r="A383" s="33"/>
      <c r="B383" s="33"/>
      <c r="C383" s="33"/>
      <c r="D383" s="33"/>
      <c r="E383" s="33"/>
      <c r="F383" s="33"/>
      <c r="G383" s="33"/>
      <c r="H383" s="33"/>
      <c r="I383" s="33"/>
      <c r="J383" s="33"/>
      <c r="K383" s="33"/>
      <c r="L383" s="33"/>
      <c r="M383" s="33"/>
      <c r="N383" s="33"/>
      <c r="O383" s="33"/>
      <c r="P383" s="33"/>
      <c r="Q383" s="33"/>
      <c r="R383" s="33"/>
      <c r="S383" s="33"/>
      <c r="T383" s="33"/>
      <c r="U383" s="33"/>
      <c r="V383" s="33"/>
      <c r="W383" s="33"/>
      <c r="X383" s="33"/>
      <c r="Y383" s="3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</row>
    <row r="384" spans="1:65" ht="15" customHeight="1">
      <c r="A384" s="33"/>
      <c r="B384" s="33"/>
      <c r="C384" s="33"/>
      <c r="D384" s="33"/>
      <c r="E384" s="33"/>
      <c r="F384" s="33"/>
      <c r="G384" s="33"/>
      <c r="H384" s="33"/>
      <c r="I384" s="33"/>
      <c r="J384" s="33"/>
      <c r="K384" s="33"/>
      <c r="L384" s="33"/>
      <c r="M384" s="33"/>
      <c r="N384" s="33"/>
      <c r="O384" s="33"/>
      <c r="P384" s="33"/>
      <c r="Q384" s="33"/>
      <c r="R384" s="33"/>
      <c r="S384" s="33"/>
      <c r="T384" s="33"/>
      <c r="U384" s="33"/>
      <c r="V384" s="33"/>
      <c r="W384" s="33"/>
      <c r="X384" s="33"/>
      <c r="Y384" s="3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</row>
    <row r="385" spans="1:65" ht="15" customHeight="1">
      <c r="A385" s="33"/>
      <c r="B385" s="33"/>
      <c r="C385" s="33"/>
      <c r="D385" s="33"/>
      <c r="E385" s="33"/>
      <c r="F385" s="33"/>
      <c r="G385" s="33"/>
      <c r="H385" s="33"/>
      <c r="I385" s="33"/>
      <c r="J385" s="33"/>
      <c r="K385" s="33"/>
      <c r="L385" s="33"/>
      <c r="M385" s="33"/>
      <c r="N385" s="33"/>
      <c r="O385" s="33"/>
      <c r="P385" s="33"/>
      <c r="Q385" s="33"/>
      <c r="R385" s="33"/>
      <c r="S385" s="33"/>
      <c r="T385" s="33"/>
      <c r="U385" s="33"/>
      <c r="V385" s="33"/>
      <c r="W385" s="33"/>
      <c r="X385" s="33"/>
      <c r="Y385" s="3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</row>
    <row r="386" spans="1:65" ht="15" customHeight="1">
      <c r="A386" s="33"/>
      <c r="B386" s="33"/>
      <c r="C386" s="33"/>
      <c r="D386" s="33"/>
      <c r="E386" s="33"/>
      <c r="F386" s="33"/>
      <c r="G386" s="33"/>
      <c r="H386" s="33"/>
      <c r="I386" s="33"/>
      <c r="J386" s="33"/>
      <c r="K386" s="33"/>
      <c r="L386" s="33"/>
      <c r="M386" s="33"/>
      <c r="N386" s="33"/>
      <c r="O386" s="33"/>
      <c r="P386" s="33"/>
      <c r="Q386" s="33"/>
      <c r="R386" s="33"/>
      <c r="S386" s="33"/>
      <c r="T386" s="33"/>
      <c r="U386" s="33"/>
      <c r="V386" s="33"/>
      <c r="W386" s="33"/>
      <c r="X386" s="33"/>
      <c r="Y386" s="3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</row>
    <row r="387" spans="1:65" ht="15" customHeight="1">
      <c r="A387" s="33"/>
      <c r="B387" s="33"/>
      <c r="C387" s="33"/>
      <c r="D387" s="33"/>
      <c r="E387" s="33"/>
      <c r="F387" s="33"/>
      <c r="G387" s="33"/>
      <c r="H387" s="33"/>
      <c r="I387" s="33"/>
      <c r="J387" s="33"/>
      <c r="K387" s="33"/>
      <c r="L387" s="33"/>
      <c r="M387" s="33"/>
      <c r="N387" s="33"/>
      <c r="O387" s="33"/>
      <c r="P387" s="33"/>
      <c r="Q387" s="33"/>
      <c r="R387" s="33"/>
      <c r="S387" s="33"/>
      <c r="T387" s="33"/>
      <c r="U387" s="33"/>
      <c r="V387" s="33"/>
      <c r="W387" s="33"/>
      <c r="X387" s="33"/>
      <c r="Y387" s="3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</row>
    <row r="388" spans="1:65" ht="15" customHeight="1">
      <c r="A388" s="33"/>
      <c r="B388" s="33"/>
      <c r="C388" s="33"/>
      <c r="D388" s="33"/>
      <c r="E388" s="33"/>
      <c r="F388" s="33"/>
      <c r="G388" s="33"/>
      <c r="H388" s="33"/>
      <c r="I388" s="33"/>
      <c r="J388" s="33"/>
      <c r="K388" s="33"/>
      <c r="L388" s="33"/>
      <c r="M388" s="33"/>
      <c r="N388" s="33"/>
      <c r="O388" s="33"/>
      <c r="P388" s="33"/>
      <c r="Q388" s="33"/>
      <c r="R388" s="33"/>
      <c r="S388" s="33"/>
      <c r="T388" s="33"/>
      <c r="U388" s="33"/>
      <c r="V388" s="33"/>
      <c r="W388" s="33"/>
      <c r="X388" s="33"/>
      <c r="Y388" s="3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</row>
    <row r="389" spans="1:65" ht="15" customHeight="1">
      <c r="A389" s="33"/>
      <c r="B389" s="33"/>
      <c r="C389" s="33"/>
      <c r="D389" s="33"/>
      <c r="E389" s="33"/>
      <c r="F389" s="33"/>
      <c r="G389" s="33"/>
      <c r="H389" s="33"/>
      <c r="I389" s="33"/>
      <c r="J389" s="33"/>
      <c r="K389" s="33"/>
      <c r="L389" s="33"/>
      <c r="M389" s="33"/>
      <c r="N389" s="33"/>
      <c r="O389" s="33"/>
      <c r="P389" s="33"/>
      <c r="Q389" s="33"/>
      <c r="R389" s="33"/>
      <c r="S389" s="33"/>
      <c r="T389" s="33"/>
      <c r="U389" s="33"/>
      <c r="V389" s="33"/>
      <c r="W389" s="33"/>
      <c r="X389" s="33"/>
      <c r="Y389" s="3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</row>
    <row r="390" spans="1:65" ht="15" customHeight="1">
      <c r="A390" s="33"/>
      <c r="B390" s="33"/>
      <c r="C390" s="33"/>
      <c r="D390" s="33"/>
      <c r="E390" s="33"/>
      <c r="F390" s="33"/>
      <c r="G390" s="33"/>
      <c r="H390" s="33"/>
      <c r="I390" s="33"/>
      <c r="J390" s="33"/>
      <c r="K390" s="33"/>
      <c r="L390" s="33"/>
      <c r="M390" s="33"/>
      <c r="N390" s="33"/>
      <c r="O390" s="33"/>
      <c r="P390" s="33"/>
      <c r="Q390" s="33"/>
      <c r="R390" s="33"/>
      <c r="S390" s="33"/>
      <c r="T390" s="33"/>
      <c r="U390" s="33"/>
      <c r="V390" s="33"/>
      <c r="W390" s="33"/>
      <c r="X390" s="33"/>
      <c r="Y390" s="3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</row>
    <row r="391" spans="1:65" ht="15" customHeight="1">
      <c r="A391" s="33"/>
      <c r="B391" s="33"/>
      <c r="C391" s="33"/>
      <c r="D391" s="33"/>
      <c r="E391" s="33"/>
      <c r="F391" s="33"/>
      <c r="G391" s="33"/>
      <c r="H391" s="33"/>
      <c r="I391" s="33"/>
      <c r="J391" s="33"/>
      <c r="K391" s="33"/>
      <c r="L391" s="33"/>
      <c r="M391" s="33"/>
      <c r="N391" s="33"/>
      <c r="O391" s="33"/>
      <c r="P391" s="33"/>
      <c r="Q391" s="33"/>
      <c r="R391" s="33"/>
      <c r="S391" s="33"/>
      <c r="T391" s="33"/>
      <c r="U391" s="33"/>
      <c r="V391" s="33"/>
      <c r="W391" s="33"/>
      <c r="X391" s="33"/>
      <c r="Y391" s="3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</row>
    <row r="392" spans="1:65" ht="15" customHeight="1">
      <c r="A392" s="33"/>
      <c r="B392" s="33"/>
      <c r="C392" s="33"/>
      <c r="D392" s="33"/>
      <c r="E392" s="33"/>
      <c r="F392" s="33"/>
      <c r="G392" s="33"/>
      <c r="H392" s="33"/>
      <c r="I392" s="33"/>
      <c r="J392" s="33"/>
      <c r="K392" s="33"/>
      <c r="L392" s="33"/>
      <c r="M392" s="33"/>
      <c r="N392" s="33"/>
      <c r="O392" s="33"/>
      <c r="P392" s="33"/>
      <c r="Q392" s="33"/>
      <c r="R392" s="33"/>
      <c r="S392" s="33"/>
      <c r="T392" s="33"/>
      <c r="U392" s="33"/>
      <c r="V392" s="33"/>
      <c r="W392" s="33"/>
      <c r="X392" s="33"/>
      <c r="Y392" s="3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</row>
    <row r="393" spans="1:65" ht="15" customHeight="1">
      <c r="A393" s="33"/>
      <c r="B393" s="33"/>
      <c r="C393" s="33"/>
      <c r="D393" s="33"/>
      <c r="E393" s="33"/>
      <c r="F393" s="33"/>
      <c r="G393" s="33"/>
      <c r="H393" s="33"/>
      <c r="I393" s="33"/>
      <c r="J393" s="33"/>
      <c r="K393" s="33"/>
      <c r="L393" s="33"/>
      <c r="M393" s="33"/>
      <c r="N393" s="33"/>
      <c r="O393" s="33"/>
      <c r="P393" s="33"/>
      <c r="Q393" s="33"/>
      <c r="R393" s="33"/>
      <c r="S393" s="33"/>
      <c r="T393" s="33"/>
      <c r="U393" s="33"/>
      <c r="V393" s="33"/>
      <c r="W393" s="33"/>
      <c r="X393" s="33"/>
      <c r="Y393" s="3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</row>
    <row r="394" spans="1:65" ht="15" customHeight="1">
      <c r="A394" s="33"/>
      <c r="B394" s="33"/>
      <c r="C394" s="33"/>
      <c r="D394" s="33"/>
      <c r="E394" s="33"/>
      <c r="F394" s="33"/>
      <c r="G394" s="33"/>
      <c r="H394" s="33"/>
      <c r="I394" s="33"/>
      <c r="J394" s="33"/>
      <c r="K394" s="33"/>
      <c r="L394" s="33"/>
      <c r="M394" s="33"/>
      <c r="N394" s="33"/>
      <c r="O394" s="33"/>
      <c r="P394" s="33"/>
      <c r="Q394" s="33"/>
      <c r="R394" s="33"/>
      <c r="S394" s="33"/>
      <c r="T394" s="33"/>
      <c r="U394" s="33"/>
      <c r="V394" s="33"/>
      <c r="W394" s="33"/>
      <c r="X394" s="33"/>
      <c r="Y394" s="3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</row>
    <row r="395" spans="1:65" ht="15" customHeight="1">
      <c r="A395" s="33"/>
      <c r="B395" s="33"/>
      <c r="C395" s="33"/>
      <c r="D395" s="33"/>
      <c r="E395" s="33"/>
      <c r="F395" s="33"/>
      <c r="G395" s="33"/>
      <c r="H395" s="33"/>
      <c r="I395" s="33"/>
      <c r="J395" s="33"/>
      <c r="K395" s="33"/>
      <c r="L395" s="33"/>
      <c r="M395" s="33"/>
      <c r="N395" s="33"/>
      <c r="O395" s="33"/>
      <c r="P395" s="33"/>
      <c r="Q395" s="33"/>
      <c r="R395" s="33"/>
      <c r="S395" s="33"/>
      <c r="T395" s="33"/>
      <c r="U395" s="33"/>
      <c r="V395" s="33"/>
      <c r="W395" s="33"/>
      <c r="X395" s="33"/>
      <c r="Y395" s="3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</row>
    <row r="396" spans="1:65" ht="15" customHeight="1">
      <c r="A396" s="33"/>
      <c r="B396" s="33"/>
      <c r="C396" s="33"/>
      <c r="D396" s="33"/>
      <c r="E396" s="33"/>
      <c r="F396" s="33"/>
      <c r="G396" s="33"/>
      <c r="H396" s="33"/>
      <c r="I396" s="33"/>
      <c r="J396" s="33"/>
      <c r="K396" s="33"/>
      <c r="L396" s="33"/>
      <c r="M396" s="33"/>
      <c r="N396" s="33"/>
      <c r="O396" s="33"/>
      <c r="P396" s="33"/>
      <c r="Q396" s="33"/>
      <c r="R396" s="33"/>
      <c r="S396" s="33"/>
      <c r="T396" s="33"/>
      <c r="U396" s="33"/>
      <c r="V396" s="33"/>
      <c r="W396" s="33"/>
      <c r="X396" s="33"/>
      <c r="Y396" s="3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</row>
    <row r="397" spans="1:65" ht="15" customHeight="1">
      <c r="A397" s="33"/>
      <c r="B397" s="33"/>
      <c r="C397" s="33"/>
      <c r="D397" s="33"/>
      <c r="E397" s="33"/>
      <c r="F397" s="33"/>
      <c r="G397" s="33"/>
      <c r="H397" s="33"/>
      <c r="I397" s="33"/>
      <c r="J397" s="33"/>
      <c r="K397" s="33"/>
      <c r="L397" s="33"/>
      <c r="M397" s="33"/>
      <c r="N397" s="33"/>
      <c r="O397" s="33"/>
      <c r="P397" s="33"/>
      <c r="Q397" s="33"/>
      <c r="R397" s="33"/>
      <c r="S397" s="33"/>
      <c r="T397" s="33"/>
      <c r="U397" s="33"/>
      <c r="V397" s="33"/>
      <c r="W397" s="33"/>
      <c r="X397" s="33"/>
      <c r="Y397" s="3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</row>
    <row r="398" spans="1:65" ht="15" customHeight="1">
      <c r="A398" s="33"/>
      <c r="B398" s="33"/>
      <c r="C398" s="33"/>
      <c r="D398" s="33"/>
      <c r="E398" s="33"/>
      <c r="F398" s="33"/>
      <c r="G398" s="33"/>
      <c r="H398" s="33"/>
      <c r="I398" s="33"/>
      <c r="J398" s="33"/>
      <c r="K398" s="33"/>
      <c r="L398" s="33"/>
      <c r="M398" s="33"/>
      <c r="N398" s="33"/>
      <c r="O398" s="33"/>
      <c r="P398" s="33"/>
      <c r="Q398" s="33"/>
      <c r="R398" s="33"/>
      <c r="S398" s="33"/>
      <c r="T398" s="33"/>
      <c r="U398" s="33"/>
      <c r="V398" s="33"/>
      <c r="W398" s="33"/>
      <c r="X398" s="33"/>
      <c r="Y398" s="3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</row>
    <row r="399" spans="1:65" ht="15" customHeight="1">
      <c r="A399" s="33"/>
      <c r="B399" s="33"/>
      <c r="C399" s="33"/>
      <c r="D399" s="33"/>
      <c r="E399" s="33"/>
      <c r="F399" s="33"/>
      <c r="G399" s="33"/>
      <c r="H399" s="33"/>
      <c r="I399" s="33"/>
      <c r="J399" s="33"/>
      <c r="K399" s="33"/>
      <c r="L399" s="33"/>
      <c r="M399" s="33"/>
      <c r="N399" s="33"/>
      <c r="O399" s="33"/>
      <c r="P399" s="33"/>
      <c r="Q399" s="33"/>
      <c r="R399" s="33"/>
      <c r="S399" s="33"/>
      <c r="T399" s="33"/>
      <c r="U399" s="33"/>
      <c r="V399" s="33"/>
      <c r="W399" s="33"/>
      <c r="X399" s="33"/>
      <c r="Y399" s="3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</row>
    <row r="400" spans="1:65" ht="15" customHeight="1">
      <c r="A400" s="33"/>
      <c r="B400" s="33"/>
      <c r="C400" s="33"/>
      <c r="D400" s="33"/>
      <c r="E400" s="33"/>
      <c r="F400" s="33"/>
      <c r="G400" s="33"/>
      <c r="H400" s="33"/>
      <c r="I400" s="33"/>
      <c r="J400" s="33"/>
      <c r="K400" s="33"/>
      <c r="L400" s="33"/>
      <c r="M400" s="33"/>
      <c r="N400" s="33"/>
      <c r="O400" s="33"/>
      <c r="P400" s="33"/>
      <c r="Q400" s="33"/>
      <c r="R400" s="33"/>
      <c r="S400" s="33"/>
      <c r="T400" s="33"/>
      <c r="U400" s="33"/>
      <c r="V400" s="33"/>
      <c r="W400" s="33"/>
      <c r="X400" s="33"/>
      <c r="Y400" s="3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</row>
    <row r="401" spans="1:65" ht="15" customHeight="1">
      <c r="A401" s="33"/>
      <c r="B401" s="33"/>
      <c r="C401" s="33"/>
      <c r="D401" s="33"/>
      <c r="E401" s="33"/>
      <c r="F401" s="33"/>
      <c r="G401" s="33"/>
      <c r="H401" s="33"/>
      <c r="I401" s="33"/>
      <c r="J401" s="33"/>
      <c r="K401" s="33"/>
      <c r="L401" s="33"/>
      <c r="M401" s="33"/>
      <c r="N401" s="33"/>
      <c r="O401" s="33"/>
      <c r="P401" s="33"/>
      <c r="Q401" s="33"/>
      <c r="R401" s="33"/>
      <c r="S401" s="33"/>
      <c r="T401" s="33"/>
      <c r="U401" s="33"/>
      <c r="V401" s="33"/>
      <c r="W401" s="33"/>
      <c r="X401" s="33"/>
      <c r="Y401" s="3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</row>
    <row r="402" spans="1:65" ht="15" customHeight="1">
      <c r="A402" s="33"/>
      <c r="B402" s="33"/>
      <c r="C402" s="33"/>
      <c r="D402" s="33"/>
      <c r="E402" s="33"/>
      <c r="F402" s="33"/>
      <c r="G402" s="33"/>
      <c r="H402" s="33"/>
      <c r="I402" s="33"/>
      <c r="J402" s="33"/>
      <c r="K402" s="33"/>
      <c r="L402" s="33"/>
      <c r="M402" s="33"/>
      <c r="N402" s="33"/>
      <c r="O402" s="33"/>
      <c r="P402" s="33"/>
      <c r="Q402" s="33"/>
      <c r="R402" s="33"/>
      <c r="S402" s="33"/>
      <c r="T402" s="33"/>
      <c r="U402" s="33"/>
      <c r="V402" s="33"/>
      <c r="W402" s="33"/>
      <c r="X402" s="33"/>
      <c r="Y402" s="3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</row>
    <row r="403" spans="1:65" ht="15" customHeight="1">
      <c r="A403" s="33"/>
      <c r="B403" s="33"/>
      <c r="C403" s="33"/>
      <c r="D403" s="33"/>
      <c r="E403" s="33"/>
      <c r="F403" s="33"/>
      <c r="G403" s="33"/>
      <c r="H403" s="33"/>
      <c r="I403" s="33"/>
      <c r="J403" s="33"/>
      <c r="K403" s="33"/>
      <c r="L403" s="33"/>
      <c r="M403" s="33"/>
      <c r="N403" s="33"/>
      <c r="O403" s="33"/>
      <c r="P403" s="33"/>
      <c r="Q403" s="33"/>
      <c r="R403" s="33"/>
      <c r="S403" s="33"/>
      <c r="T403" s="33"/>
      <c r="U403" s="33"/>
      <c r="V403" s="33"/>
      <c r="W403" s="33"/>
      <c r="X403" s="33"/>
      <c r="Y403" s="3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</row>
    <row r="404" spans="1:65" ht="15" customHeight="1">
      <c r="A404" s="33"/>
      <c r="B404" s="33"/>
      <c r="C404" s="33"/>
      <c r="D404" s="33"/>
      <c r="E404" s="33"/>
      <c r="F404" s="33"/>
      <c r="G404" s="33"/>
      <c r="H404" s="33"/>
      <c r="I404" s="33"/>
      <c r="J404" s="33"/>
      <c r="K404" s="33"/>
      <c r="L404" s="33"/>
      <c r="M404" s="33"/>
      <c r="N404" s="33"/>
      <c r="O404" s="33"/>
      <c r="P404" s="33"/>
      <c r="Q404" s="33"/>
      <c r="R404" s="33"/>
      <c r="S404" s="33"/>
      <c r="T404" s="33"/>
      <c r="U404" s="33"/>
      <c r="V404" s="33"/>
      <c r="W404" s="33"/>
      <c r="X404" s="33"/>
      <c r="Y404" s="3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</row>
    <row r="405" spans="1:65" ht="15" customHeight="1">
      <c r="A405" s="33"/>
      <c r="B405" s="33"/>
      <c r="C405" s="33"/>
      <c r="D405" s="33"/>
      <c r="E405" s="33"/>
      <c r="F405" s="33"/>
      <c r="G405" s="33"/>
      <c r="H405" s="33"/>
      <c r="I405" s="33"/>
      <c r="J405" s="33"/>
      <c r="K405" s="33"/>
      <c r="L405" s="33"/>
      <c r="M405" s="33"/>
      <c r="N405" s="33"/>
      <c r="O405" s="33"/>
      <c r="P405" s="33"/>
      <c r="Q405" s="33"/>
      <c r="R405" s="33"/>
      <c r="S405" s="33"/>
      <c r="T405" s="33"/>
      <c r="U405" s="33"/>
      <c r="V405" s="33"/>
      <c r="W405" s="33"/>
      <c r="X405" s="33"/>
      <c r="Y405" s="3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</row>
    <row r="406" spans="1:65" ht="15" customHeight="1">
      <c r="A406" s="33"/>
      <c r="B406" s="33"/>
      <c r="C406" s="33"/>
      <c r="D406" s="33"/>
      <c r="E406" s="33"/>
      <c r="F406" s="33"/>
      <c r="G406" s="33"/>
      <c r="H406" s="33"/>
      <c r="I406" s="33"/>
      <c r="J406" s="33"/>
      <c r="K406" s="33"/>
      <c r="L406" s="33"/>
      <c r="M406" s="33"/>
      <c r="N406" s="33"/>
      <c r="O406" s="33"/>
      <c r="P406" s="33"/>
      <c r="Q406" s="33"/>
      <c r="R406" s="33"/>
      <c r="S406" s="33"/>
      <c r="T406" s="33"/>
      <c r="U406" s="33"/>
      <c r="V406" s="33"/>
      <c r="W406" s="33"/>
      <c r="X406" s="33"/>
      <c r="Y406" s="3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  <c r="BL406" s="33"/>
      <c r="BM406" s="33"/>
    </row>
    <row r="407" spans="1:65" ht="15" customHeight="1">
      <c r="A407" s="33"/>
      <c r="B407" s="33"/>
      <c r="C407" s="33"/>
      <c r="D407" s="33"/>
      <c r="E407" s="33"/>
      <c r="F407" s="33"/>
      <c r="G407" s="33"/>
      <c r="H407" s="33"/>
      <c r="I407" s="33"/>
      <c r="J407" s="33"/>
      <c r="K407" s="33"/>
      <c r="L407" s="33"/>
      <c r="M407" s="33"/>
      <c r="N407" s="33"/>
      <c r="O407" s="33"/>
      <c r="P407" s="33"/>
      <c r="Q407" s="33"/>
      <c r="R407" s="33"/>
      <c r="S407" s="33"/>
      <c r="T407" s="33"/>
      <c r="U407" s="33"/>
      <c r="V407" s="33"/>
      <c r="W407" s="33"/>
      <c r="X407" s="33"/>
      <c r="Y407" s="3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</row>
    <row r="408" spans="1:65" ht="15" customHeight="1">
      <c r="A408" s="33"/>
      <c r="B408" s="33"/>
      <c r="C408" s="33"/>
      <c r="D408" s="33"/>
      <c r="E408" s="33"/>
      <c r="F408" s="33"/>
      <c r="G408" s="33"/>
      <c r="H408" s="33"/>
      <c r="I408" s="33"/>
      <c r="J408" s="33"/>
      <c r="K408" s="33"/>
      <c r="L408" s="33"/>
      <c r="M408" s="33"/>
      <c r="N408" s="33"/>
      <c r="O408" s="33"/>
      <c r="P408" s="33"/>
      <c r="Q408" s="33"/>
      <c r="R408" s="33"/>
      <c r="S408" s="33"/>
      <c r="T408" s="33"/>
      <c r="U408" s="33"/>
      <c r="V408" s="33"/>
      <c r="W408" s="33"/>
      <c r="X408" s="33"/>
      <c r="Y408" s="3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</row>
    <row r="409" spans="1:65" ht="15" customHeight="1">
      <c r="A409" s="33"/>
      <c r="B409" s="33"/>
      <c r="C409" s="33"/>
      <c r="D409" s="33"/>
      <c r="E409" s="33"/>
      <c r="F409" s="33"/>
      <c r="G409" s="33"/>
      <c r="H409" s="33"/>
      <c r="I409" s="33"/>
      <c r="J409" s="33"/>
      <c r="K409" s="33"/>
      <c r="L409" s="33"/>
      <c r="M409" s="33"/>
      <c r="N409" s="33"/>
      <c r="O409" s="33"/>
      <c r="P409" s="33"/>
      <c r="Q409" s="33"/>
      <c r="R409" s="33"/>
      <c r="S409" s="33"/>
      <c r="T409" s="33"/>
      <c r="U409" s="33"/>
      <c r="V409" s="33"/>
      <c r="W409" s="33"/>
      <c r="X409" s="33"/>
      <c r="Y409" s="3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</row>
    <row r="410" spans="1:65" ht="15" customHeight="1">
      <c r="A410" s="33"/>
      <c r="B410" s="33"/>
      <c r="C410" s="33"/>
      <c r="D410" s="33"/>
      <c r="E410" s="33"/>
      <c r="F410" s="33"/>
      <c r="G410" s="33"/>
      <c r="H410" s="33"/>
      <c r="I410" s="33"/>
      <c r="J410" s="33"/>
      <c r="K410" s="33"/>
      <c r="L410" s="33"/>
      <c r="M410" s="33"/>
      <c r="N410" s="33"/>
      <c r="O410" s="33"/>
      <c r="P410" s="33"/>
      <c r="Q410" s="33"/>
      <c r="R410" s="33"/>
      <c r="S410" s="33"/>
      <c r="T410" s="33"/>
      <c r="U410" s="33"/>
      <c r="V410" s="33"/>
      <c r="W410" s="33"/>
      <c r="X410" s="33"/>
      <c r="Y410" s="3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</row>
    <row r="411" spans="1:65" ht="15" customHeight="1">
      <c r="A411" s="33"/>
      <c r="B411" s="33"/>
      <c r="C411" s="33"/>
      <c r="D411" s="33"/>
      <c r="E411" s="33"/>
      <c r="F411" s="33"/>
      <c r="G411" s="33"/>
      <c r="H411" s="33"/>
      <c r="I411" s="33"/>
      <c r="J411" s="33"/>
      <c r="K411" s="33"/>
      <c r="L411" s="33"/>
      <c r="M411" s="33"/>
      <c r="N411" s="33"/>
      <c r="O411" s="33"/>
      <c r="P411" s="33"/>
      <c r="Q411" s="33"/>
      <c r="R411" s="33"/>
      <c r="S411" s="33"/>
      <c r="T411" s="33"/>
      <c r="U411" s="33"/>
      <c r="V411" s="33"/>
      <c r="W411" s="33"/>
      <c r="X411" s="33"/>
      <c r="Y411" s="3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</row>
    <row r="412" spans="1:65" ht="15" customHeight="1">
      <c r="A412" s="33"/>
      <c r="B412" s="33"/>
      <c r="C412" s="33"/>
      <c r="D412" s="33"/>
      <c r="E412" s="33"/>
      <c r="F412" s="33"/>
      <c r="G412" s="33"/>
      <c r="H412" s="33"/>
      <c r="I412" s="33"/>
      <c r="J412" s="33"/>
      <c r="K412" s="33"/>
      <c r="L412" s="33"/>
      <c r="M412" s="33"/>
      <c r="N412" s="33"/>
      <c r="O412" s="33"/>
      <c r="P412" s="33"/>
      <c r="Q412" s="33"/>
      <c r="R412" s="33"/>
      <c r="S412" s="33"/>
      <c r="T412" s="33"/>
      <c r="U412" s="33"/>
      <c r="V412" s="33"/>
      <c r="W412" s="33"/>
      <c r="X412" s="33"/>
      <c r="Y412" s="3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  <c r="BL412" s="33"/>
      <c r="BM412" s="33"/>
    </row>
    <row r="413" spans="1:65" ht="15" customHeight="1">
      <c r="A413" s="33"/>
      <c r="B413" s="33"/>
      <c r="C413" s="33"/>
      <c r="D413" s="33"/>
      <c r="E413" s="33"/>
      <c r="F413" s="33"/>
      <c r="G413" s="33"/>
      <c r="H413" s="33"/>
      <c r="I413" s="33"/>
      <c r="J413" s="33"/>
      <c r="K413" s="33"/>
      <c r="L413" s="33"/>
      <c r="M413" s="33"/>
      <c r="N413" s="33"/>
      <c r="O413" s="33"/>
      <c r="P413" s="33"/>
      <c r="Q413" s="33"/>
      <c r="R413" s="33"/>
      <c r="S413" s="33"/>
      <c r="T413" s="33"/>
      <c r="U413" s="33"/>
      <c r="V413" s="33"/>
      <c r="W413" s="33"/>
      <c r="X413" s="33"/>
      <c r="Y413" s="3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</row>
    <row r="414" spans="1:65" ht="15" customHeight="1">
      <c r="A414" s="33"/>
      <c r="B414" s="33"/>
      <c r="C414" s="33"/>
      <c r="D414" s="33"/>
      <c r="E414" s="33"/>
      <c r="F414" s="33"/>
      <c r="G414" s="33"/>
      <c r="H414" s="33"/>
      <c r="I414" s="33"/>
      <c r="J414" s="33"/>
      <c r="K414" s="33"/>
      <c r="L414" s="33"/>
      <c r="M414" s="33"/>
      <c r="N414" s="33"/>
      <c r="O414" s="33"/>
      <c r="P414" s="33"/>
      <c r="Q414" s="33"/>
      <c r="R414" s="33"/>
      <c r="S414" s="33"/>
      <c r="T414" s="33"/>
      <c r="U414" s="33"/>
      <c r="V414" s="33"/>
      <c r="W414" s="33"/>
      <c r="X414" s="33"/>
      <c r="Y414" s="3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</row>
    <row r="415" spans="1:65" ht="15" customHeight="1">
      <c r="A415" s="33"/>
      <c r="B415" s="33"/>
      <c r="C415" s="33"/>
      <c r="D415" s="33"/>
      <c r="E415" s="33"/>
      <c r="F415" s="33"/>
      <c r="G415" s="33"/>
      <c r="H415" s="33"/>
      <c r="I415" s="33"/>
      <c r="J415" s="33"/>
      <c r="K415" s="33"/>
      <c r="L415" s="33"/>
      <c r="M415" s="33"/>
      <c r="N415" s="33"/>
      <c r="O415" s="33"/>
      <c r="P415" s="33"/>
      <c r="Q415" s="33"/>
      <c r="R415" s="33"/>
      <c r="S415" s="33"/>
      <c r="T415" s="33"/>
      <c r="U415" s="33"/>
      <c r="V415" s="33"/>
      <c r="W415" s="33"/>
      <c r="X415" s="33"/>
      <c r="Y415" s="3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</row>
    <row r="416" spans="1:65" ht="15" customHeight="1">
      <c r="A416" s="33"/>
      <c r="B416" s="33"/>
      <c r="C416" s="33"/>
      <c r="D416" s="33"/>
      <c r="E416" s="33"/>
      <c r="F416" s="33"/>
      <c r="G416" s="33"/>
      <c r="H416" s="33"/>
      <c r="I416" s="33"/>
      <c r="J416" s="33"/>
      <c r="K416" s="33"/>
      <c r="L416" s="33"/>
      <c r="M416" s="33"/>
      <c r="N416" s="33"/>
      <c r="O416" s="33"/>
      <c r="P416" s="33"/>
      <c r="Q416" s="33"/>
      <c r="R416" s="33"/>
      <c r="S416" s="33"/>
      <c r="T416" s="33"/>
      <c r="U416" s="33"/>
      <c r="V416" s="33"/>
      <c r="W416" s="33"/>
      <c r="X416" s="33"/>
      <c r="Y416" s="3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  <c r="BL416" s="33"/>
      <c r="BM416" s="33"/>
    </row>
    <row r="417" spans="1:65" ht="15" customHeight="1">
      <c r="A417" s="33"/>
      <c r="B417" s="33"/>
      <c r="C417" s="33"/>
      <c r="D417" s="33"/>
      <c r="E417" s="33"/>
      <c r="F417" s="33"/>
      <c r="G417" s="33"/>
      <c r="H417" s="33"/>
      <c r="I417" s="33"/>
      <c r="J417" s="33"/>
      <c r="K417" s="33"/>
      <c r="L417" s="33"/>
      <c r="M417" s="33"/>
      <c r="N417" s="33"/>
      <c r="O417" s="33"/>
      <c r="P417" s="33"/>
      <c r="Q417" s="33"/>
      <c r="R417" s="33"/>
      <c r="S417" s="33"/>
      <c r="T417" s="33"/>
      <c r="U417" s="33"/>
      <c r="V417" s="33"/>
      <c r="W417" s="33"/>
      <c r="X417" s="33"/>
      <c r="Y417" s="3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</row>
    <row r="418" spans="1:65" ht="15" customHeight="1">
      <c r="A418" s="33"/>
      <c r="B418" s="33"/>
      <c r="C418" s="33"/>
      <c r="D418" s="33"/>
      <c r="E418" s="33"/>
      <c r="F418" s="33"/>
      <c r="G418" s="33"/>
      <c r="H418" s="33"/>
      <c r="I418" s="33"/>
      <c r="J418" s="33"/>
      <c r="K418" s="33"/>
      <c r="L418" s="33"/>
      <c r="M418" s="33"/>
      <c r="N418" s="33"/>
      <c r="O418" s="33"/>
      <c r="P418" s="33"/>
      <c r="Q418" s="33"/>
      <c r="R418" s="33"/>
      <c r="S418" s="33"/>
      <c r="T418" s="33"/>
      <c r="U418" s="33"/>
      <c r="V418" s="33"/>
      <c r="W418" s="33"/>
      <c r="X418" s="33"/>
      <c r="Y418" s="3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  <c r="BL418" s="33"/>
      <c r="BM418" s="33"/>
    </row>
    <row r="419" spans="1:65" ht="15" customHeight="1">
      <c r="A419" s="33"/>
      <c r="B419" s="33"/>
      <c r="C419" s="33"/>
      <c r="D419" s="33"/>
      <c r="E419" s="33"/>
      <c r="F419" s="33"/>
      <c r="G419" s="33"/>
      <c r="H419" s="33"/>
      <c r="I419" s="33"/>
      <c r="J419" s="33"/>
      <c r="K419" s="33"/>
      <c r="L419" s="33"/>
      <c r="M419" s="33"/>
      <c r="N419" s="33"/>
      <c r="O419" s="33"/>
      <c r="P419" s="33"/>
      <c r="Q419" s="33"/>
      <c r="R419" s="33"/>
      <c r="S419" s="33"/>
      <c r="T419" s="33"/>
      <c r="U419" s="33"/>
      <c r="V419" s="33"/>
      <c r="W419" s="33"/>
      <c r="X419" s="33"/>
      <c r="Y419" s="3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</row>
    <row r="420" spans="1:65" ht="15" customHeight="1">
      <c r="A420" s="33"/>
      <c r="B420" s="33"/>
      <c r="C420" s="33"/>
      <c r="D420" s="33"/>
      <c r="E420" s="33"/>
      <c r="F420" s="33"/>
      <c r="G420" s="33"/>
      <c r="H420" s="33"/>
      <c r="I420" s="33"/>
      <c r="J420" s="33"/>
      <c r="K420" s="33"/>
      <c r="L420" s="33"/>
      <c r="M420" s="33"/>
      <c r="N420" s="33"/>
      <c r="O420" s="33"/>
      <c r="P420" s="33"/>
      <c r="Q420" s="33"/>
      <c r="R420" s="33"/>
      <c r="S420" s="33"/>
      <c r="T420" s="33"/>
      <c r="U420" s="33"/>
      <c r="V420" s="33"/>
      <c r="W420" s="33"/>
      <c r="X420" s="33"/>
      <c r="Y420" s="3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  <c r="BL420" s="33"/>
      <c r="BM420" s="33"/>
    </row>
    <row r="421" spans="1:65" ht="15" customHeight="1">
      <c r="A421" s="33"/>
      <c r="B421" s="33"/>
      <c r="C421" s="33"/>
      <c r="D421" s="33"/>
      <c r="E421" s="33"/>
      <c r="F421" s="33"/>
      <c r="G421" s="33"/>
      <c r="H421" s="33"/>
      <c r="I421" s="33"/>
      <c r="J421" s="33"/>
      <c r="K421" s="33"/>
      <c r="L421" s="33"/>
      <c r="M421" s="33"/>
      <c r="N421" s="33"/>
      <c r="O421" s="33"/>
      <c r="P421" s="33"/>
      <c r="Q421" s="33"/>
      <c r="R421" s="33"/>
      <c r="S421" s="33"/>
      <c r="T421" s="33"/>
      <c r="U421" s="33"/>
      <c r="V421" s="33"/>
      <c r="W421" s="33"/>
      <c r="X421" s="33"/>
      <c r="Y421" s="3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</row>
    <row r="422" spans="1:65" ht="15" customHeight="1">
      <c r="A422" s="33"/>
      <c r="B422" s="33"/>
      <c r="C422" s="33"/>
      <c r="D422" s="33"/>
      <c r="E422" s="33"/>
      <c r="F422" s="33"/>
      <c r="G422" s="33"/>
      <c r="H422" s="33"/>
      <c r="I422" s="33"/>
      <c r="J422" s="33"/>
      <c r="K422" s="33"/>
      <c r="L422" s="33"/>
      <c r="M422" s="33"/>
      <c r="N422" s="33"/>
      <c r="O422" s="33"/>
      <c r="P422" s="33"/>
      <c r="Q422" s="33"/>
      <c r="R422" s="33"/>
      <c r="S422" s="33"/>
      <c r="T422" s="33"/>
      <c r="U422" s="33"/>
      <c r="V422" s="33"/>
      <c r="W422" s="33"/>
      <c r="X422" s="33"/>
      <c r="Y422" s="3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</row>
    <row r="423" spans="1:65" ht="15" customHeight="1">
      <c r="A423" s="33"/>
      <c r="B423" s="33"/>
      <c r="C423" s="33"/>
      <c r="D423" s="33"/>
      <c r="E423" s="33"/>
      <c r="F423" s="33"/>
      <c r="G423" s="33"/>
      <c r="H423" s="33"/>
      <c r="I423" s="33"/>
      <c r="J423" s="33"/>
      <c r="K423" s="33"/>
      <c r="L423" s="33"/>
      <c r="M423" s="33"/>
      <c r="N423" s="33"/>
      <c r="O423" s="33"/>
      <c r="P423" s="33"/>
      <c r="Q423" s="33"/>
      <c r="R423" s="33"/>
      <c r="S423" s="33"/>
      <c r="T423" s="33"/>
      <c r="U423" s="33"/>
      <c r="V423" s="33"/>
      <c r="W423" s="33"/>
      <c r="X423" s="33"/>
      <c r="Y423" s="3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</row>
    <row r="424" spans="1:65" ht="15" customHeight="1">
      <c r="A424" s="33"/>
      <c r="B424" s="33"/>
      <c r="C424" s="33"/>
      <c r="D424" s="33"/>
      <c r="E424" s="33"/>
      <c r="F424" s="33"/>
      <c r="G424" s="33"/>
      <c r="H424" s="33"/>
      <c r="I424" s="33"/>
      <c r="J424" s="33"/>
      <c r="K424" s="33"/>
      <c r="L424" s="33"/>
      <c r="M424" s="33"/>
      <c r="N424" s="33"/>
      <c r="O424" s="33"/>
      <c r="P424" s="33"/>
      <c r="Q424" s="33"/>
      <c r="R424" s="33"/>
      <c r="S424" s="33"/>
      <c r="T424" s="33"/>
      <c r="U424" s="33"/>
      <c r="V424" s="33"/>
      <c r="W424" s="33"/>
      <c r="X424" s="33"/>
      <c r="Y424" s="3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</row>
    <row r="425" spans="1:65" ht="15" customHeight="1">
      <c r="A425" s="33"/>
      <c r="B425" s="33"/>
      <c r="C425" s="33"/>
      <c r="D425" s="33"/>
      <c r="E425" s="33"/>
      <c r="F425" s="33"/>
      <c r="G425" s="33"/>
      <c r="H425" s="33"/>
      <c r="I425" s="33"/>
      <c r="J425" s="33"/>
      <c r="K425" s="33"/>
      <c r="L425" s="33"/>
      <c r="M425" s="33"/>
      <c r="N425" s="33"/>
      <c r="O425" s="33"/>
      <c r="P425" s="33"/>
      <c r="Q425" s="33"/>
      <c r="R425" s="33"/>
      <c r="S425" s="33"/>
      <c r="T425" s="33"/>
      <c r="U425" s="33"/>
      <c r="V425" s="33"/>
      <c r="W425" s="33"/>
      <c r="X425" s="33"/>
      <c r="Y425" s="3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</row>
    <row r="426" spans="1:65" ht="15" customHeight="1">
      <c r="A426" s="33"/>
      <c r="B426" s="33"/>
      <c r="C426" s="33"/>
      <c r="D426" s="33"/>
      <c r="E426" s="33"/>
      <c r="F426" s="33"/>
      <c r="G426" s="33"/>
      <c r="H426" s="33"/>
      <c r="I426" s="33"/>
      <c r="J426" s="33"/>
      <c r="K426" s="33"/>
      <c r="L426" s="33"/>
      <c r="M426" s="33"/>
      <c r="N426" s="33"/>
      <c r="O426" s="33"/>
      <c r="P426" s="33"/>
      <c r="Q426" s="33"/>
      <c r="R426" s="33"/>
      <c r="S426" s="33"/>
      <c r="T426" s="33"/>
      <c r="U426" s="33"/>
      <c r="V426" s="33"/>
      <c r="W426" s="33"/>
      <c r="X426" s="33"/>
      <c r="Y426" s="3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</row>
    <row r="427" spans="1:65" ht="15" customHeight="1">
      <c r="A427" s="33"/>
      <c r="B427" s="33"/>
      <c r="C427" s="33"/>
      <c r="D427" s="33"/>
      <c r="E427" s="33"/>
      <c r="F427" s="33"/>
      <c r="G427" s="33"/>
      <c r="H427" s="33"/>
      <c r="I427" s="33"/>
      <c r="J427" s="33"/>
      <c r="K427" s="33"/>
      <c r="L427" s="33"/>
      <c r="M427" s="33"/>
      <c r="N427" s="33"/>
      <c r="O427" s="33"/>
      <c r="P427" s="33"/>
      <c r="Q427" s="33"/>
      <c r="R427" s="33"/>
      <c r="S427" s="33"/>
      <c r="T427" s="33"/>
      <c r="U427" s="33"/>
      <c r="V427" s="33"/>
      <c r="W427" s="33"/>
      <c r="X427" s="33"/>
      <c r="Y427" s="3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</row>
    <row r="428" spans="1:65" ht="15" customHeight="1">
      <c r="A428" s="33"/>
      <c r="B428" s="33"/>
      <c r="C428" s="33"/>
      <c r="D428" s="33"/>
      <c r="E428" s="33"/>
      <c r="F428" s="33"/>
      <c r="G428" s="33"/>
      <c r="H428" s="33"/>
      <c r="I428" s="33"/>
      <c r="J428" s="33"/>
      <c r="K428" s="33"/>
      <c r="L428" s="33"/>
      <c r="M428" s="33"/>
      <c r="N428" s="33"/>
      <c r="O428" s="33"/>
      <c r="P428" s="33"/>
      <c r="Q428" s="33"/>
      <c r="R428" s="33"/>
      <c r="S428" s="33"/>
      <c r="T428" s="33"/>
      <c r="U428" s="33"/>
      <c r="V428" s="33"/>
      <c r="W428" s="33"/>
      <c r="X428" s="33"/>
      <c r="Y428" s="3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</row>
    <row r="429" spans="1:65" ht="15" customHeight="1">
      <c r="A429" s="33"/>
      <c r="B429" s="33"/>
      <c r="C429" s="33"/>
      <c r="D429" s="33"/>
      <c r="E429" s="33"/>
      <c r="F429" s="33"/>
      <c r="G429" s="33"/>
      <c r="H429" s="33"/>
      <c r="I429" s="33"/>
      <c r="J429" s="33"/>
      <c r="K429" s="33"/>
      <c r="L429" s="33"/>
      <c r="M429" s="33"/>
      <c r="N429" s="33"/>
      <c r="O429" s="33"/>
      <c r="P429" s="33"/>
      <c r="Q429" s="33"/>
      <c r="R429" s="33"/>
      <c r="S429" s="33"/>
      <c r="T429" s="33"/>
      <c r="U429" s="33"/>
      <c r="V429" s="33"/>
      <c r="W429" s="33"/>
      <c r="X429" s="33"/>
      <c r="Y429" s="3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</row>
    <row r="430" spans="1:65" ht="15" customHeight="1">
      <c r="A430" s="33"/>
      <c r="B430" s="33"/>
      <c r="C430" s="33"/>
      <c r="D430" s="33"/>
      <c r="E430" s="33"/>
      <c r="F430" s="33"/>
      <c r="G430" s="33"/>
      <c r="H430" s="33"/>
      <c r="I430" s="33"/>
      <c r="J430" s="33"/>
      <c r="K430" s="33"/>
      <c r="L430" s="33"/>
      <c r="M430" s="33"/>
      <c r="N430" s="33"/>
      <c r="O430" s="33"/>
      <c r="P430" s="33"/>
      <c r="Q430" s="33"/>
      <c r="R430" s="33"/>
      <c r="S430" s="33"/>
      <c r="T430" s="33"/>
      <c r="U430" s="33"/>
      <c r="V430" s="33"/>
      <c r="W430" s="33"/>
      <c r="X430" s="33"/>
      <c r="Y430" s="3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</row>
    <row r="431" spans="1:65" ht="15" customHeight="1">
      <c r="A431" s="33"/>
      <c r="B431" s="33"/>
      <c r="C431" s="33"/>
      <c r="D431" s="33"/>
      <c r="E431" s="33"/>
      <c r="F431" s="33"/>
      <c r="G431" s="33"/>
      <c r="H431" s="33"/>
      <c r="I431" s="33"/>
      <c r="J431" s="33"/>
      <c r="K431" s="33"/>
      <c r="L431" s="33"/>
      <c r="M431" s="33"/>
      <c r="N431" s="33"/>
      <c r="O431" s="33"/>
      <c r="P431" s="33"/>
      <c r="Q431" s="33"/>
      <c r="R431" s="33"/>
      <c r="S431" s="33"/>
      <c r="T431" s="33"/>
      <c r="U431" s="33"/>
      <c r="V431" s="33"/>
      <c r="W431" s="33"/>
      <c r="X431" s="33"/>
      <c r="Y431" s="3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</row>
    <row r="432" spans="1:65" ht="15" customHeight="1">
      <c r="A432" s="33"/>
      <c r="B432" s="33"/>
      <c r="C432" s="33"/>
      <c r="D432" s="33"/>
      <c r="E432" s="33"/>
      <c r="F432" s="33"/>
      <c r="G432" s="33"/>
      <c r="H432" s="33"/>
      <c r="I432" s="33"/>
      <c r="J432" s="33"/>
      <c r="K432" s="33"/>
      <c r="L432" s="33"/>
      <c r="M432" s="33"/>
      <c r="N432" s="33"/>
      <c r="O432" s="33"/>
      <c r="P432" s="33"/>
      <c r="Q432" s="33"/>
      <c r="R432" s="33"/>
      <c r="S432" s="33"/>
      <c r="T432" s="33"/>
      <c r="U432" s="33"/>
      <c r="V432" s="33"/>
      <c r="W432" s="33"/>
      <c r="X432" s="33"/>
      <c r="Y432" s="3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</row>
    <row r="433" spans="1:65" ht="15" customHeight="1">
      <c r="A433" s="33"/>
      <c r="B433" s="33"/>
      <c r="C433" s="33"/>
      <c r="D433" s="33"/>
      <c r="E433" s="33"/>
      <c r="F433" s="33"/>
      <c r="G433" s="33"/>
      <c r="H433" s="33"/>
      <c r="I433" s="33"/>
      <c r="J433" s="33"/>
      <c r="K433" s="33"/>
      <c r="L433" s="33"/>
      <c r="M433" s="33"/>
      <c r="N433" s="33"/>
      <c r="O433" s="33"/>
      <c r="P433" s="33"/>
      <c r="Q433" s="33"/>
      <c r="R433" s="33"/>
      <c r="S433" s="33"/>
      <c r="T433" s="33"/>
      <c r="U433" s="33"/>
      <c r="V433" s="33"/>
      <c r="W433" s="33"/>
      <c r="X433" s="33"/>
      <c r="Y433" s="3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</row>
    <row r="434" spans="1:65" ht="15" customHeight="1">
      <c r="A434" s="33"/>
      <c r="B434" s="33"/>
      <c r="C434" s="33"/>
      <c r="D434" s="33"/>
      <c r="E434" s="33"/>
      <c r="F434" s="33"/>
      <c r="G434" s="33"/>
      <c r="H434" s="33"/>
      <c r="I434" s="33"/>
      <c r="J434" s="33"/>
      <c r="K434" s="33"/>
      <c r="L434" s="33"/>
      <c r="M434" s="33"/>
      <c r="N434" s="33"/>
      <c r="O434" s="33"/>
      <c r="P434" s="33"/>
      <c r="Q434" s="33"/>
      <c r="R434" s="33"/>
      <c r="S434" s="33"/>
      <c r="T434" s="33"/>
      <c r="U434" s="33"/>
      <c r="V434" s="33"/>
      <c r="W434" s="33"/>
      <c r="X434" s="33"/>
      <c r="Y434" s="3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  <c r="BL434" s="33"/>
      <c r="BM434" s="33"/>
    </row>
    <row r="435" spans="1:65" ht="15" customHeight="1">
      <c r="A435" s="33"/>
      <c r="B435" s="33"/>
      <c r="C435" s="33"/>
      <c r="D435" s="33"/>
      <c r="E435" s="33"/>
      <c r="F435" s="33"/>
      <c r="G435" s="33"/>
      <c r="H435" s="33"/>
      <c r="I435" s="33"/>
      <c r="J435" s="33"/>
      <c r="K435" s="33"/>
      <c r="L435" s="33"/>
      <c r="M435" s="33"/>
      <c r="N435" s="33"/>
      <c r="O435" s="33"/>
      <c r="P435" s="33"/>
      <c r="Q435" s="33"/>
      <c r="R435" s="33"/>
      <c r="S435" s="33"/>
      <c r="T435" s="33"/>
      <c r="U435" s="33"/>
      <c r="V435" s="33"/>
      <c r="W435" s="33"/>
      <c r="X435" s="33"/>
      <c r="Y435" s="3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</row>
    <row r="436" spans="1:65" ht="15" customHeight="1">
      <c r="A436" s="33"/>
      <c r="B436" s="33"/>
      <c r="C436" s="33"/>
      <c r="D436" s="33"/>
      <c r="E436" s="33"/>
      <c r="F436" s="33"/>
      <c r="G436" s="33"/>
      <c r="H436" s="33"/>
      <c r="I436" s="33"/>
      <c r="J436" s="33"/>
      <c r="K436" s="33"/>
      <c r="L436" s="33"/>
      <c r="M436" s="33"/>
      <c r="N436" s="33"/>
      <c r="O436" s="33"/>
      <c r="P436" s="33"/>
      <c r="Q436" s="33"/>
      <c r="R436" s="33"/>
      <c r="S436" s="33"/>
      <c r="T436" s="33"/>
      <c r="U436" s="33"/>
      <c r="V436" s="33"/>
      <c r="W436" s="33"/>
      <c r="X436" s="33"/>
      <c r="Y436" s="3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</row>
    <row r="437" spans="1:65" ht="15" customHeight="1">
      <c r="A437" s="33"/>
      <c r="B437" s="33"/>
      <c r="C437" s="33"/>
      <c r="D437" s="33"/>
      <c r="E437" s="33"/>
      <c r="F437" s="33"/>
      <c r="G437" s="33"/>
      <c r="H437" s="33"/>
      <c r="I437" s="33"/>
      <c r="J437" s="33"/>
      <c r="K437" s="33"/>
      <c r="L437" s="33"/>
      <c r="M437" s="33"/>
      <c r="N437" s="33"/>
      <c r="O437" s="33"/>
      <c r="P437" s="33"/>
      <c r="Q437" s="33"/>
      <c r="R437" s="33"/>
      <c r="S437" s="33"/>
      <c r="T437" s="33"/>
      <c r="U437" s="33"/>
      <c r="V437" s="33"/>
      <c r="W437" s="33"/>
      <c r="X437" s="33"/>
      <c r="Y437" s="3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</row>
    <row r="438" spans="1:65" ht="15" customHeight="1">
      <c r="A438" s="33"/>
      <c r="B438" s="33"/>
      <c r="C438" s="33"/>
      <c r="D438" s="33"/>
      <c r="E438" s="33"/>
      <c r="F438" s="33"/>
      <c r="G438" s="33"/>
      <c r="H438" s="33"/>
      <c r="I438" s="33"/>
      <c r="J438" s="33"/>
      <c r="K438" s="33"/>
      <c r="L438" s="33"/>
      <c r="M438" s="33"/>
      <c r="N438" s="33"/>
      <c r="O438" s="33"/>
      <c r="P438" s="33"/>
      <c r="Q438" s="33"/>
      <c r="R438" s="33"/>
      <c r="S438" s="33"/>
      <c r="T438" s="33"/>
      <c r="U438" s="33"/>
      <c r="V438" s="33"/>
      <c r="W438" s="33"/>
      <c r="X438" s="33"/>
      <c r="Y438" s="3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</row>
    <row r="439" spans="1:65" ht="15" customHeight="1">
      <c r="A439" s="33"/>
      <c r="B439" s="33"/>
      <c r="C439" s="33"/>
      <c r="D439" s="33"/>
      <c r="E439" s="33"/>
      <c r="F439" s="33"/>
      <c r="G439" s="33"/>
      <c r="H439" s="33"/>
      <c r="I439" s="33"/>
      <c r="J439" s="33"/>
      <c r="K439" s="33"/>
      <c r="L439" s="33"/>
      <c r="M439" s="33"/>
      <c r="N439" s="33"/>
      <c r="O439" s="33"/>
      <c r="P439" s="33"/>
      <c r="Q439" s="33"/>
      <c r="R439" s="33"/>
      <c r="S439" s="33"/>
      <c r="T439" s="33"/>
      <c r="U439" s="33"/>
      <c r="V439" s="33"/>
      <c r="W439" s="33"/>
      <c r="X439" s="33"/>
      <c r="Y439" s="3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</row>
    <row r="440" spans="1:65" ht="15" customHeight="1">
      <c r="A440" s="33"/>
      <c r="B440" s="33"/>
      <c r="C440" s="33"/>
      <c r="D440" s="33"/>
      <c r="E440" s="33"/>
      <c r="F440" s="33"/>
      <c r="G440" s="33"/>
      <c r="H440" s="33"/>
      <c r="I440" s="33"/>
      <c r="J440" s="33"/>
      <c r="K440" s="33"/>
      <c r="L440" s="33"/>
      <c r="M440" s="33"/>
      <c r="N440" s="33"/>
      <c r="O440" s="33"/>
      <c r="P440" s="33"/>
      <c r="Q440" s="33"/>
      <c r="R440" s="33"/>
      <c r="S440" s="33"/>
      <c r="T440" s="33"/>
      <c r="U440" s="33"/>
      <c r="V440" s="33"/>
      <c r="W440" s="33"/>
      <c r="X440" s="33"/>
      <c r="Y440" s="3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</row>
    <row r="441" spans="1:65" ht="15" customHeight="1">
      <c r="A441" s="33"/>
      <c r="B441" s="33"/>
      <c r="C441" s="33"/>
      <c r="D441" s="33"/>
      <c r="E441" s="33"/>
      <c r="F441" s="33"/>
      <c r="G441" s="33"/>
      <c r="H441" s="33"/>
      <c r="I441" s="33"/>
      <c r="J441" s="33"/>
      <c r="K441" s="33"/>
      <c r="L441" s="33"/>
      <c r="M441" s="33"/>
      <c r="N441" s="33"/>
      <c r="O441" s="33"/>
      <c r="P441" s="33"/>
      <c r="Q441" s="33"/>
      <c r="R441" s="33"/>
      <c r="S441" s="33"/>
      <c r="T441" s="33"/>
      <c r="U441" s="33"/>
      <c r="V441" s="33"/>
      <c r="W441" s="33"/>
      <c r="X441" s="33"/>
      <c r="Y441" s="3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</row>
    <row r="442" spans="1:65" ht="15" customHeight="1">
      <c r="A442" s="33"/>
      <c r="B442" s="33"/>
      <c r="C442" s="33"/>
      <c r="D442" s="33"/>
      <c r="E442" s="33"/>
      <c r="F442" s="33"/>
      <c r="G442" s="33"/>
      <c r="H442" s="33"/>
      <c r="I442" s="33"/>
      <c r="J442" s="33"/>
      <c r="K442" s="33"/>
      <c r="L442" s="33"/>
      <c r="M442" s="33"/>
      <c r="N442" s="33"/>
      <c r="O442" s="33"/>
      <c r="P442" s="33"/>
      <c r="Q442" s="33"/>
      <c r="R442" s="33"/>
      <c r="S442" s="33"/>
      <c r="T442" s="33"/>
      <c r="U442" s="33"/>
      <c r="V442" s="33"/>
      <c r="W442" s="33"/>
      <c r="X442" s="33"/>
      <c r="Y442" s="3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</row>
    <row r="443" spans="1:65" ht="15" customHeight="1">
      <c r="A443" s="33"/>
      <c r="B443" s="33"/>
      <c r="C443" s="33"/>
      <c r="D443" s="33"/>
      <c r="E443" s="33"/>
      <c r="F443" s="33"/>
      <c r="G443" s="33"/>
      <c r="H443" s="33"/>
      <c r="I443" s="33"/>
      <c r="J443" s="33"/>
      <c r="K443" s="33"/>
      <c r="L443" s="33"/>
      <c r="M443" s="33"/>
      <c r="N443" s="33"/>
      <c r="O443" s="33"/>
      <c r="P443" s="33"/>
      <c r="Q443" s="33"/>
      <c r="R443" s="33"/>
      <c r="S443" s="33"/>
      <c r="T443" s="33"/>
      <c r="U443" s="33"/>
      <c r="V443" s="33"/>
      <c r="W443" s="33"/>
      <c r="X443" s="33"/>
      <c r="Y443" s="3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</row>
    <row r="444" spans="1:65" ht="15" customHeight="1">
      <c r="A444" s="33"/>
      <c r="B444" s="33"/>
      <c r="C444" s="33"/>
      <c r="D444" s="33"/>
      <c r="E444" s="33"/>
      <c r="F444" s="33"/>
      <c r="G444" s="33"/>
      <c r="H444" s="33"/>
      <c r="I444" s="33"/>
      <c r="J444" s="33"/>
      <c r="K444" s="33"/>
      <c r="L444" s="33"/>
      <c r="M444" s="33"/>
      <c r="N444" s="33"/>
      <c r="O444" s="33"/>
      <c r="P444" s="33"/>
      <c r="Q444" s="33"/>
      <c r="R444" s="33"/>
      <c r="S444" s="33"/>
      <c r="T444" s="33"/>
      <c r="U444" s="33"/>
      <c r="V444" s="33"/>
      <c r="W444" s="33"/>
      <c r="X444" s="33"/>
      <c r="Y444" s="3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  <c r="BL444" s="33"/>
      <c r="BM444" s="33"/>
    </row>
    <row r="445" spans="1:65" ht="15" customHeight="1">
      <c r="A445" s="33"/>
      <c r="B445" s="33"/>
      <c r="C445" s="33"/>
      <c r="D445" s="33"/>
      <c r="E445" s="33"/>
      <c r="F445" s="33"/>
      <c r="G445" s="33"/>
      <c r="H445" s="33"/>
      <c r="I445" s="33"/>
      <c r="J445" s="33"/>
      <c r="K445" s="33"/>
      <c r="L445" s="33"/>
      <c r="M445" s="33"/>
      <c r="N445" s="33"/>
      <c r="O445" s="33"/>
      <c r="P445" s="33"/>
      <c r="Q445" s="33"/>
      <c r="R445" s="33"/>
      <c r="S445" s="33"/>
      <c r="T445" s="33"/>
      <c r="U445" s="33"/>
      <c r="V445" s="33"/>
      <c r="W445" s="33"/>
      <c r="X445" s="33"/>
      <c r="Y445" s="3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  <c r="BK445" s="33"/>
      <c r="BL445" s="33"/>
      <c r="BM445" s="33"/>
    </row>
    <row r="446" spans="1:65" ht="15" customHeight="1">
      <c r="A446" s="33"/>
      <c r="B446" s="33"/>
      <c r="C446" s="33"/>
      <c r="D446" s="33"/>
      <c r="E446" s="33"/>
      <c r="F446" s="33"/>
      <c r="G446" s="33"/>
      <c r="H446" s="33"/>
      <c r="I446" s="33"/>
      <c r="J446" s="33"/>
      <c r="K446" s="33"/>
      <c r="L446" s="33"/>
      <c r="M446" s="33"/>
      <c r="N446" s="33"/>
      <c r="O446" s="33"/>
      <c r="P446" s="33"/>
      <c r="Q446" s="33"/>
      <c r="R446" s="33"/>
      <c r="S446" s="33"/>
      <c r="T446" s="33"/>
      <c r="U446" s="33"/>
      <c r="V446" s="33"/>
      <c r="W446" s="33"/>
      <c r="X446" s="33"/>
      <c r="Y446" s="3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  <c r="BL446" s="33"/>
      <c r="BM446" s="33"/>
    </row>
    <row r="447" spans="1:65" ht="15" customHeight="1">
      <c r="A447" s="33"/>
      <c r="B447" s="33"/>
      <c r="C447" s="33"/>
      <c r="D447" s="33"/>
      <c r="E447" s="33"/>
      <c r="F447" s="33"/>
      <c r="G447" s="33"/>
      <c r="H447" s="33"/>
      <c r="I447" s="33"/>
      <c r="J447" s="33"/>
      <c r="K447" s="33"/>
      <c r="L447" s="33"/>
      <c r="M447" s="33"/>
      <c r="N447" s="33"/>
      <c r="O447" s="33"/>
      <c r="P447" s="33"/>
      <c r="Q447" s="33"/>
      <c r="R447" s="33"/>
      <c r="S447" s="33"/>
      <c r="T447" s="33"/>
      <c r="U447" s="33"/>
      <c r="V447" s="33"/>
      <c r="W447" s="33"/>
      <c r="X447" s="33"/>
      <c r="Y447" s="3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  <c r="BK447" s="33"/>
      <c r="BL447" s="33"/>
      <c r="BM447" s="33"/>
    </row>
    <row r="448" spans="1:65" ht="15" customHeight="1">
      <c r="A448" s="33"/>
      <c r="B448" s="33"/>
      <c r="C448" s="33"/>
      <c r="D448" s="33"/>
      <c r="E448" s="33"/>
      <c r="F448" s="33"/>
      <c r="G448" s="33"/>
      <c r="H448" s="33"/>
      <c r="I448" s="33"/>
      <c r="J448" s="33"/>
      <c r="K448" s="33"/>
      <c r="L448" s="33"/>
      <c r="M448" s="33"/>
      <c r="N448" s="33"/>
      <c r="O448" s="33"/>
      <c r="P448" s="33"/>
      <c r="Q448" s="33"/>
      <c r="R448" s="33"/>
      <c r="S448" s="33"/>
      <c r="T448" s="33"/>
      <c r="U448" s="33"/>
      <c r="V448" s="33"/>
      <c r="W448" s="33"/>
      <c r="X448" s="33"/>
      <c r="Y448" s="3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  <c r="BL448" s="33"/>
      <c r="BM448" s="33"/>
    </row>
    <row r="449" spans="1:65" ht="15" customHeight="1">
      <c r="A449" s="33"/>
      <c r="B449" s="33"/>
      <c r="C449" s="33"/>
      <c r="D449" s="33"/>
      <c r="E449" s="33"/>
      <c r="F449" s="33"/>
      <c r="G449" s="33"/>
      <c r="H449" s="33"/>
      <c r="I449" s="33"/>
      <c r="J449" s="33"/>
      <c r="K449" s="33"/>
      <c r="L449" s="33"/>
      <c r="M449" s="33"/>
      <c r="N449" s="33"/>
      <c r="O449" s="33"/>
      <c r="P449" s="33"/>
      <c r="Q449" s="33"/>
      <c r="R449" s="33"/>
      <c r="S449" s="33"/>
      <c r="T449" s="33"/>
      <c r="U449" s="33"/>
      <c r="V449" s="33"/>
      <c r="W449" s="33"/>
      <c r="X449" s="33"/>
      <c r="Y449" s="3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  <c r="BL449" s="33"/>
      <c r="BM449" s="33"/>
    </row>
    <row r="450" spans="1:65" ht="15" customHeight="1">
      <c r="A450" s="33"/>
      <c r="B450" s="33"/>
      <c r="C450" s="33"/>
      <c r="D450" s="33"/>
      <c r="E450" s="33"/>
      <c r="F450" s="33"/>
      <c r="G450" s="33"/>
      <c r="H450" s="33"/>
      <c r="I450" s="33"/>
      <c r="J450" s="33"/>
      <c r="K450" s="33"/>
      <c r="L450" s="33"/>
      <c r="M450" s="33"/>
      <c r="N450" s="33"/>
      <c r="O450" s="33"/>
      <c r="P450" s="33"/>
      <c r="Q450" s="33"/>
      <c r="R450" s="33"/>
      <c r="S450" s="33"/>
      <c r="T450" s="33"/>
      <c r="U450" s="33"/>
      <c r="V450" s="33"/>
      <c r="W450" s="33"/>
      <c r="X450" s="33"/>
      <c r="Y450" s="3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  <c r="BL450" s="33"/>
      <c r="BM450" s="33"/>
    </row>
    <row r="451" spans="1:65" ht="15" customHeight="1">
      <c r="A451" s="33"/>
      <c r="B451" s="33"/>
      <c r="C451" s="33"/>
      <c r="D451" s="33"/>
      <c r="E451" s="33"/>
      <c r="F451" s="33"/>
      <c r="G451" s="33"/>
      <c r="H451" s="33"/>
      <c r="I451" s="33"/>
      <c r="J451" s="33"/>
      <c r="K451" s="33"/>
      <c r="L451" s="33"/>
      <c r="M451" s="33"/>
      <c r="N451" s="33"/>
      <c r="O451" s="33"/>
      <c r="P451" s="33"/>
      <c r="Q451" s="33"/>
      <c r="R451" s="33"/>
      <c r="S451" s="33"/>
      <c r="T451" s="33"/>
      <c r="U451" s="33"/>
      <c r="V451" s="33"/>
      <c r="W451" s="33"/>
      <c r="X451" s="33"/>
      <c r="Y451" s="3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  <c r="BL451" s="33"/>
      <c r="BM451" s="33"/>
    </row>
    <row r="452" spans="1:65" ht="15" customHeight="1">
      <c r="A452" s="33"/>
      <c r="B452" s="33"/>
      <c r="C452" s="33"/>
      <c r="D452" s="33"/>
      <c r="E452" s="33"/>
      <c r="F452" s="33"/>
      <c r="G452" s="33"/>
      <c r="H452" s="33"/>
      <c r="I452" s="33"/>
      <c r="J452" s="33"/>
      <c r="K452" s="33"/>
      <c r="L452" s="33"/>
      <c r="M452" s="33"/>
      <c r="N452" s="33"/>
      <c r="O452" s="33"/>
      <c r="P452" s="33"/>
      <c r="Q452" s="33"/>
      <c r="R452" s="33"/>
      <c r="S452" s="33"/>
      <c r="T452" s="33"/>
      <c r="U452" s="33"/>
      <c r="V452" s="33"/>
      <c r="W452" s="33"/>
      <c r="X452" s="33"/>
      <c r="Y452" s="3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  <c r="BL452" s="33"/>
      <c r="BM452" s="33"/>
    </row>
    <row r="453" spans="1:65" ht="15" customHeight="1">
      <c r="A453" s="33"/>
      <c r="B453" s="33"/>
      <c r="C453" s="33"/>
      <c r="D453" s="33"/>
      <c r="E453" s="33"/>
      <c r="F453" s="33"/>
      <c r="G453" s="33"/>
      <c r="H453" s="33"/>
      <c r="I453" s="33"/>
      <c r="J453" s="33"/>
      <c r="K453" s="33"/>
      <c r="L453" s="33"/>
      <c r="M453" s="33"/>
      <c r="N453" s="33"/>
      <c r="O453" s="33"/>
      <c r="P453" s="33"/>
      <c r="Q453" s="33"/>
      <c r="R453" s="33"/>
      <c r="S453" s="33"/>
      <c r="T453" s="33"/>
      <c r="U453" s="33"/>
      <c r="V453" s="33"/>
      <c r="W453" s="33"/>
      <c r="X453" s="33"/>
      <c r="Y453" s="3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  <c r="BL453" s="33"/>
      <c r="BM453" s="33"/>
    </row>
    <row r="454" spans="1:65" ht="15" customHeight="1">
      <c r="A454" s="33"/>
      <c r="B454" s="33"/>
      <c r="C454" s="33"/>
      <c r="D454" s="33"/>
      <c r="E454" s="33"/>
      <c r="F454" s="33"/>
      <c r="G454" s="33"/>
      <c r="H454" s="33"/>
      <c r="I454" s="33"/>
      <c r="J454" s="33"/>
      <c r="K454" s="33"/>
      <c r="L454" s="33"/>
      <c r="M454" s="33"/>
      <c r="N454" s="33"/>
      <c r="O454" s="33"/>
      <c r="P454" s="33"/>
      <c r="Q454" s="33"/>
      <c r="R454" s="33"/>
      <c r="S454" s="33"/>
      <c r="T454" s="33"/>
      <c r="U454" s="33"/>
      <c r="V454" s="33"/>
      <c r="W454" s="33"/>
      <c r="X454" s="33"/>
      <c r="Y454" s="3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  <c r="BL454" s="33"/>
      <c r="BM454" s="33"/>
    </row>
    <row r="455" spans="1:65" ht="15" customHeight="1">
      <c r="A455" s="33"/>
      <c r="B455" s="33"/>
      <c r="C455" s="33"/>
      <c r="D455" s="33"/>
      <c r="E455" s="33"/>
      <c r="F455" s="33"/>
      <c r="G455" s="33"/>
      <c r="H455" s="33"/>
      <c r="I455" s="33"/>
      <c r="J455" s="33"/>
      <c r="K455" s="33"/>
      <c r="L455" s="33"/>
      <c r="M455" s="33"/>
      <c r="N455" s="33"/>
      <c r="O455" s="33"/>
      <c r="P455" s="33"/>
      <c r="Q455" s="33"/>
      <c r="R455" s="33"/>
      <c r="S455" s="33"/>
      <c r="T455" s="33"/>
      <c r="U455" s="33"/>
      <c r="V455" s="33"/>
      <c r="W455" s="33"/>
      <c r="X455" s="33"/>
      <c r="Y455" s="3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  <c r="BL455" s="33"/>
      <c r="BM455" s="33"/>
    </row>
    <row r="456" spans="1:65" ht="15" customHeight="1">
      <c r="A456" s="33"/>
      <c r="B456" s="33"/>
      <c r="C456" s="33"/>
      <c r="D456" s="33"/>
      <c r="E456" s="33"/>
      <c r="F456" s="33"/>
      <c r="G456" s="33"/>
      <c r="H456" s="33"/>
      <c r="I456" s="33"/>
      <c r="J456" s="33"/>
      <c r="K456" s="33"/>
      <c r="L456" s="33"/>
      <c r="M456" s="33"/>
      <c r="N456" s="33"/>
      <c r="O456" s="33"/>
      <c r="P456" s="33"/>
      <c r="Q456" s="33"/>
      <c r="R456" s="33"/>
      <c r="S456" s="33"/>
      <c r="T456" s="33"/>
      <c r="U456" s="33"/>
      <c r="V456" s="33"/>
      <c r="W456" s="33"/>
      <c r="X456" s="33"/>
      <c r="Y456" s="3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  <c r="BL456" s="33"/>
      <c r="BM456" s="33"/>
    </row>
    <row r="457" spans="1:65" ht="15" customHeight="1">
      <c r="A457" s="33"/>
      <c r="B457" s="33"/>
      <c r="C457" s="33"/>
      <c r="D457" s="33"/>
      <c r="E457" s="33"/>
      <c r="F457" s="33"/>
      <c r="G457" s="33"/>
      <c r="H457" s="33"/>
      <c r="I457" s="33"/>
      <c r="J457" s="33"/>
      <c r="K457" s="33"/>
      <c r="L457" s="33"/>
      <c r="M457" s="33"/>
      <c r="N457" s="33"/>
      <c r="O457" s="33"/>
      <c r="P457" s="33"/>
      <c r="Q457" s="33"/>
      <c r="R457" s="33"/>
      <c r="S457" s="33"/>
      <c r="T457" s="33"/>
      <c r="U457" s="33"/>
      <c r="V457" s="33"/>
      <c r="W457" s="33"/>
      <c r="X457" s="33"/>
      <c r="Y457" s="3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  <c r="BL457" s="33"/>
      <c r="BM457" s="33"/>
    </row>
    <row r="458" spans="1:65" ht="15" customHeight="1">
      <c r="A458" s="33"/>
      <c r="B458" s="33"/>
      <c r="C458" s="33"/>
      <c r="D458" s="33"/>
      <c r="E458" s="33"/>
      <c r="F458" s="33"/>
      <c r="G458" s="33"/>
      <c r="H458" s="33"/>
      <c r="I458" s="33"/>
      <c r="J458" s="33"/>
      <c r="K458" s="33"/>
      <c r="L458" s="33"/>
      <c r="M458" s="33"/>
      <c r="N458" s="33"/>
      <c r="O458" s="33"/>
      <c r="P458" s="33"/>
      <c r="Q458" s="33"/>
      <c r="R458" s="33"/>
      <c r="S458" s="33"/>
      <c r="T458" s="33"/>
      <c r="U458" s="33"/>
      <c r="V458" s="33"/>
      <c r="W458" s="33"/>
      <c r="X458" s="33"/>
      <c r="Y458" s="3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</row>
    <row r="459" spans="1:65" ht="15" customHeight="1">
      <c r="A459" s="33"/>
      <c r="B459" s="33"/>
      <c r="C459" s="33"/>
      <c r="D459" s="33"/>
      <c r="E459" s="33"/>
      <c r="F459" s="33"/>
      <c r="G459" s="33"/>
      <c r="H459" s="33"/>
      <c r="I459" s="33"/>
      <c r="J459" s="33"/>
      <c r="K459" s="33"/>
      <c r="L459" s="33"/>
      <c r="M459" s="33"/>
      <c r="N459" s="33"/>
      <c r="O459" s="33"/>
      <c r="P459" s="33"/>
      <c r="Q459" s="33"/>
      <c r="R459" s="33"/>
      <c r="S459" s="33"/>
      <c r="T459" s="33"/>
      <c r="U459" s="33"/>
      <c r="V459" s="33"/>
      <c r="W459" s="33"/>
      <c r="X459" s="33"/>
      <c r="Y459" s="3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  <c r="BL459" s="33"/>
      <c r="BM459" s="33"/>
    </row>
    <row r="460" spans="1:65" ht="15" customHeight="1">
      <c r="A460" s="33"/>
      <c r="B460" s="33"/>
      <c r="C460" s="33"/>
      <c r="D460" s="33"/>
      <c r="E460" s="33"/>
      <c r="F460" s="33"/>
      <c r="G460" s="33"/>
      <c r="H460" s="33"/>
      <c r="I460" s="33"/>
      <c r="J460" s="33"/>
      <c r="K460" s="33"/>
      <c r="L460" s="33"/>
      <c r="M460" s="33"/>
      <c r="N460" s="33"/>
      <c r="O460" s="33"/>
      <c r="P460" s="33"/>
      <c r="Q460" s="33"/>
      <c r="R460" s="33"/>
      <c r="S460" s="33"/>
      <c r="T460" s="33"/>
      <c r="U460" s="33"/>
      <c r="V460" s="33"/>
      <c r="W460" s="33"/>
      <c r="X460" s="33"/>
      <c r="Y460" s="3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  <c r="BL460" s="33"/>
      <c r="BM460" s="33"/>
    </row>
    <row r="461" spans="1:65" ht="15" customHeight="1">
      <c r="A461" s="33"/>
      <c r="B461" s="33"/>
      <c r="C461" s="33"/>
      <c r="D461" s="33"/>
      <c r="E461" s="33"/>
      <c r="F461" s="33"/>
      <c r="G461" s="33"/>
      <c r="H461" s="33"/>
      <c r="I461" s="33"/>
      <c r="J461" s="33"/>
      <c r="K461" s="33"/>
      <c r="L461" s="33"/>
      <c r="M461" s="33"/>
      <c r="N461" s="33"/>
      <c r="O461" s="33"/>
      <c r="P461" s="33"/>
      <c r="Q461" s="33"/>
      <c r="R461" s="33"/>
      <c r="S461" s="33"/>
      <c r="T461" s="33"/>
      <c r="U461" s="33"/>
      <c r="V461" s="33"/>
      <c r="W461" s="33"/>
      <c r="X461" s="33"/>
      <c r="Y461" s="3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  <c r="BL461" s="33"/>
      <c r="BM461" s="33"/>
    </row>
    <row r="462" spans="1:65" ht="15" customHeight="1">
      <c r="A462" s="33"/>
      <c r="B462" s="33"/>
      <c r="C462" s="33"/>
      <c r="D462" s="33"/>
      <c r="E462" s="33"/>
      <c r="F462" s="33"/>
      <c r="G462" s="33"/>
      <c r="H462" s="33"/>
      <c r="I462" s="33"/>
      <c r="J462" s="33"/>
      <c r="K462" s="33"/>
      <c r="L462" s="33"/>
      <c r="M462" s="33"/>
      <c r="N462" s="33"/>
      <c r="O462" s="33"/>
      <c r="P462" s="33"/>
      <c r="Q462" s="33"/>
      <c r="R462" s="33"/>
      <c r="S462" s="33"/>
      <c r="T462" s="33"/>
      <c r="U462" s="33"/>
      <c r="V462" s="33"/>
      <c r="W462" s="33"/>
      <c r="X462" s="33"/>
      <c r="Y462" s="3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</row>
    <row r="463" spans="1:65" ht="15" customHeight="1">
      <c r="A463" s="33"/>
      <c r="B463" s="33"/>
      <c r="C463" s="33"/>
      <c r="D463" s="33"/>
      <c r="E463" s="33"/>
      <c r="F463" s="33"/>
      <c r="G463" s="33"/>
      <c r="H463" s="33"/>
      <c r="I463" s="33"/>
      <c r="J463" s="33"/>
      <c r="K463" s="33"/>
      <c r="L463" s="33"/>
      <c r="M463" s="33"/>
      <c r="N463" s="33"/>
      <c r="O463" s="33"/>
      <c r="P463" s="33"/>
      <c r="Q463" s="33"/>
      <c r="R463" s="33"/>
      <c r="S463" s="33"/>
      <c r="T463" s="33"/>
      <c r="U463" s="33"/>
      <c r="V463" s="33"/>
      <c r="W463" s="33"/>
      <c r="X463" s="33"/>
      <c r="Y463" s="3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</row>
    <row r="464" spans="1:65" ht="15" customHeight="1">
      <c r="A464" s="33"/>
      <c r="B464" s="33"/>
      <c r="C464" s="33"/>
      <c r="D464" s="33"/>
      <c r="E464" s="33"/>
      <c r="F464" s="33"/>
      <c r="G464" s="33"/>
      <c r="H464" s="33"/>
      <c r="I464" s="33"/>
      <c r="J464" s="33"/>
      <c r="K464" s="33"/>
      <c r="L464" s="33"/>
      <c r="M464" s="33"/>
      <c r="N464" s="33"/>
      <c r="O464" s="33"/>
      <c r="P464" s="33"/>
      <c r="Q464" s="33"/>
      <c r="R464" s="33"/>
      <c r="S464" s="33"/>
      <c r="T464" s="33"/>
      <c r="U464" s="33"/>
      <c r="V464" s="33"/>
      <c r="W464" s="33"/>
      <c r="X464" s="33"/>
      <c r="Y464" s="3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  <c r="BL464" s="33"/>
      <c r="BM464" s="33"/>
    </row>
    <row r="465" spans="1:65" ht="15" customHeight="1">
      <c r="A465" s="33"/>
      <c r="B465" s="33"/>
      <c r="C465" s="33"/>
      <c r="D465" s="33"/>
      <c r="E465" s="33"/>
      <c r="F465" s="33"/>
      <c r="G465" s="33"/>
      <c r="H465" s="33"/>
      <c r="I465" s="33"/>
      <c r="J465" s="33"/>
      <c r="K465" s="33"/>
      <c r="L465" s="33"/>
      <c r="M465" s="33"/>
      <c r="N465" s="33"/>
      <c r="O465" s="33"/>
      <c r="P465" s="33"/>
      <c r="Q465" s="33"/>
      <c r="R465" s="33"/>
      <c r="S465" s="33"/>
      <c r="T465" s="33"/>
      <c r="U465" s="33"/>
      <c r="V465" s="33"/>
      <c r="W465" s="33"/>
      <c r="X465" s="33"/>
      <c r="Y465" s="3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  <c r="BL465" s="33"/>
      <c r="BM465" s="33"/>
    </row>
    <row r="466" spans="1:65" ht="15" customHeight="1">
      <c r="A466" s="33"/>
      <c r="B466" s="33"/>
      <c r="C466" s="33"/>
      <c r="D466" s="33"/>
      <c r="E466" s="33"/>
      <c r="F466" s="33"/>
      <c r="G466" s="33"/>
      <c r="H466" s="33"/>
      <c r="I466" s="33"/>
      <c r="J466" s="33"/>
      <c r="K466" s="33"/>
      <c r="L466" s="33"/>
      <c r="M466" s="33"/>
      <c r="N466" s="33"/>
      <c r="O466" s="33"/>
      <c r="P466" s="33"/>
      <c r="Q466" s="33"/>
      <c r="R466" s="33"/>
      <c r="S466" s="33"/>
      <c r="T466" s="33"/>
      <c r="U466" s="33"/>
      <c r="V466" s="33"/>
      <c r="W466" s="33"/>
      <c r="X466" s="33"/>
      <c r="Y466" s="3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</row>
    <row r="467" spans="1:65" ht="15" customHeight="1">
      <c r="A467" s="33"/>
      <c r="B467" s="33"/>
      <c r="C467" s="33"/>
      <c r="D467" s="33"/>
      <c r="E467" s="33"/>
      <c r="F467" s="33"/>
      <c r="G467" s="33"/>
      <c r="H467" s="33"/>
      <c r="I467" s="33"/>
      <c r="J467" s="33"/>
      <c r="K467" s="33"/>
      <c r="L467" s="33"/>
      <c r="M467" s="33"/>
      <c r="N467" s="33"/>
      <c r="O467" s="33"/>
      <c r="P467" s="33"/>
      <c r="Q467" s="33"/>
      <c r="R467" s="33"/>
      <c r="S467" s="33"/>
      <c r="T467" s="33"/>
      <c r="U467" s="33"/>
      <c r="V467" s="33"/>
      <c r="W467" s="33"/>
      <c r="X467" s="33"/>
      <c r="Y467" s="3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  <c r="BL467" s="33"/>
      <c r="BM467" s="33"/>
    </row>
    <row r="468" spans="1:65" ht="15" customHeight="1">
      <c r="A468" s="33"/>
      <c r="B468" s="33"/>
      <c r="C468" s="33"/>
      <c r="D468" s="33"/>
      <c r="E468" s="33"/>
      <c r="F468" s="33"/>
      <c r="G468" s="33"/>
      <c r="H468" s="33"/>
      <c r="I468" s="33"/>
      <c r="J468" s="33"/>
      <c r="K468" s="33"/>
      <c r="L468" s="33"/>
      <c r="M468" s="33"/>
      <c r="N468" s="33"/>
      <c r="O468" s="33"/>
      <c r="P468" s="33"/>
      <c r="Q468" s="33"/>
      <c r="R468" s="33"/>
      <c r="S468" s="33"/>
      <c r="T468" s="33"/>
      <c r="U468" s="33"/>
      <c r="V468" s="33"/>
      <c r="W468" s="33"/>
      <c r="X468" s="33"/>
      <c r="Y468" s="3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  <c r="BL468" s="33"/>
      <c r="BM468" s="33"/>
    </row>
    <row r="469" spans="1:65" ht="15" customHeight="1">
      <c r="A469" s="33"/>
      <c r="B469" s="33"/>
      <c r="C469" s="33"/>
      <c r="D469" s="33"/>
      <c r="E469" s="33"/>
      <c r="F469" s="33"/>
      <c r="G469" s="33"/>
      <c r="H469" s="33"/>
      <c r="I469" s="33"/>
      <c r="J469" s="33"/>
      <c r="K469" s="33"/>
      <c r="L469" s="33"/>
      <c r="M469" s="33"/>
      <c r="N469" s="33"/>
      <c r="O469" s="33"/>
      <c r="P469" s="33"/>
      <c r="Q469" s="33"/>
      <c r="R469" s="33"/>
      <c r="S469" s="33"/>
      <c r="T469" s="33"/>
      <c r="U469" s="33"/>
      <c r="V469" s="33"/>
      <c r="W469" s="33"/>
      <c r="X469" s="33"/>
      <c r="Y469" s="3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  <c r="BL469" s="33"/>
      <c r="BM469" s="33"/>
    </row>
    <row r="470" spans="1:65" ht="15" customHeight="1">
      <c r="A470" s="33"/>
      <c r="B470" s="33"/>
      <c r="C470" s="33"/>
      <c r="D470" s="33"/>
      <c r="E470" s="33"/>
      <c r="F470" s="33"/>
      <c r="G470" s="33"/>
      <c r="H470" s="33"/>
      <c r="I470" s="33"/>
      <c r="J470" s="33"/>
      <c r="K470" s="33"/>
      <c r="L470" s="33"/>
      <c r="M470" s="33"/>
      <c r="N470" s="33"/>
      <c r="O470" s="33"/>
      <c r="P470" s="33"/>
      <c r="Q470" s="33"/>
      <c r="R470" s="33"/>
      <c r="S470" s="33"/>
      <c r="T470" s="33"/>
      <c r="U470" s="33"/>
      <c r="V470" s="33"/>
      <c r="W470" s="33"/>
      <c r="X470" s="33"/>
      <c r="Y470" s="3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  <c r="BL470" s="33"/>
      <c r="BM470" s="33"/>
    </row>
    <row r="471" spans="1:65" ht="15" customHeight="1">
      <c r="A471" s="33"/>
      <c r="B471" s="33"/>
      <c r="C471" s="33"/>
      <c r="D471" s="33"/>
      <c r="E471" s="33"/>
      <c r="F471" s="33"/>
      <c r="G471" s="33"/>
      <c r="H471" s="33"/>
      <c r="I471" s="33"/>
      <c r="J471" s="33"/>
      <c r="K471" s="33"/>
      <c r="L471" s="33"/>
      <c r="M471" s="33"/>
      <c r="N471" s="33"/>
      <c r="O471" s="33"/>
      <c r="P471" s="33"/>
      <c r="Q471" s="33"/>
      <c r="R471" s="33"/>
      <c r="S471" s="33"/>
      <c r="T471" s="33"/>
      <c r="U471" s="33"/>
      <c r="V471" s="33"/>
      <c r="W471" s="33"/>
      <c r="X471" s="33"/>
      <c r="Y471" s="3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  <c r="BL471" s="33"/>
      <c r="BM471" s="33"/>
    </row>
    <row r="472" spans="1:65" ht="15" customHeight="1">
      <c r="A472" s="33"/>
      <c r="B472" s="33"/>
      <c r="C472" s="33"/>
      <c r="D472" s="33"/>
      <c r="E472" s="33"/>
      <c r="F472" s="33"/>
      <c r="G472" s="33"/>
      <c r="H472" s="33"/>
      <c r="I472" s="33"/>
      <c r="J472" s="33"/>
      <c r="K472" s="33"/>
      <c r="L472" s="33"/>
      <c r="M472" s="33"/>
      <c r="N472" s="33"/>
      <c r="O472" s="33"/>
      <c r="P472" s="33"/>
      <c r="Q472" s="33"/>
      <c r="R472" s="33"/>
      <c r="S472" s="33"/>
      <c r="T472" s="33"/>
      <c r="U472" s="33"/>
      <c r="V472" s="33"/>
      <c r="W472" s="33"/>
      <c r="X472" s="33"/>
      <c r="Y472" s="3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</row>
    <row r="473" spans="1:65" ht="15" customHeight="1">
      <c r="A473" s="33"/>
      <c r="B473" s="33"/>
      <c r="C473" s="33"/>
      <c r="D473" s="33"/>
      <c r="E473" s="33"/>
      <c r="F473" s="33"/>
      <c r="G473" s="33"/>
      <c r="H473" s="33"/>
      <c r="I473" s="33"/>
      <c r="J473" s="33"/>
      <c r="K473" s="33"/>
      <c r="L473" s="33"/>
      <c r="M473" s="33"/>
      <c r="N473" s="33"/>
      <c r="O473" s="33"/>
      <c r="P473" s="33"/>
      <c r="Q473" s="33"/>
      <c r="R473" s="33"/>
      <c r="S473" s="33"/>
      <c r="T473" s="33"/>
      <c r="U473" s="33"/>
      <c r="V473" s="33"/>
      <c r="W473" s="33"/>
      <c r="X473" s="33"/>
      <c r="Y473" s="3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  <c r="BL473" s="33"/>
      <c r="BM473" s="33"/>
    </row>
    <row r="474" spans="1:65" ht="15" customHeight="1">
      <c r="A474" s="33"/>
      <c r="B474" s="33"/>
      <c r="C474" s="33"/>
      <c r="D474" s="33"/>
      <c r="E474" s="33"/>
      <c r="F474" s="33"/>
      <c r="G474" s="33"/>
      <c r="H474" s="33"/>
      <c r="I474" s="33"/>
      <c r="J474" s="33"/>
      <c r="K474" s="33"/>
      <c r="L474" s="33"/>
      <c r="M474" s="33"/>
      <c r="N474" s="33"/>
      <c r="O474" s="33"/>
      <c r="P474" s="33"/>
      <c r="Q474" s="33"/>
      <c r="R474" s="33"/>
      <c r="S474" s="33"/>
      <c r="T474" s="33"/>
      <c r="U474" s="33"/>
      <c r="V474" s="33"/>
      <c r="W474" s="33"/>
      <c r="X474" s="33"/>
      <c r="Y474" s="3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</row>
    <row r="475" spans="1:65" ht="15" customHeight="1">
      <c r="A475" s="33"/>
      <c r="B475" s="33"/>
      <c r="C475" s="33"/>
      <c r="D475" s="33"/>
      <c r="E475" s="33"/>
      <c r="F475" s="33"/>
      <c r="G475" s="33"/>
      <c r="H475" s="33"/>
      <c r="I475" s="33"/>
      <c r="J475" s="33"/>
      <c r="K475" s="33"/>
      <c r="L475" s="33"/>
      <c r="M475" s="33"/>
      <c r="N475" s="33"/>
      <c r="O475" s="33"/>
      <c r="P475" s="33"/>
      <c r="Q475" s="33"/>
      <c r="R475" s="33"/>
      <c r="S475" s="33"/>
      <c r="T475" s="33"/>
      <c r="U475" s="33"/>
      <c r="V475" s="33"/>
      <c r="W475" s="33"/>
      <c r="X475" s="33"/>
      <c r="Y475" s="3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  <c r="BK475" s="33"/>
      <c r="BL475" s="33"/>
      <c r="BM475" s="33"/>
    </row>
    <row r="476" spans="1:65" ht="15" customHeight="1">
      <c r="A476" s="33"/>
      <c r="B476" s="33"/>
      <c r="C476" s="33"/>
      <c r="D476" s="33"/>
      <c r="E476" s="33"/>
      <c r="F476" s="33"/>
      <c r="G476" s="33"/>
      <c r="H476" s="33"/>
      <c r="I476" s="33"/>
      <c r="J476" s="33"/>
      <c r="K476" s="33"/>
      <c r="L476" s="33"/>
      <c r="M476" s="33"/>
      <c r="N476" s="33"/>
      <c r="O476" s="33"/>
      <c r="P476" s="33"/>
      <c r="Q476" s="33"/>
      <c r="R476" s="33"/>
      <c r="S476" s="33"/>
      <c r="T476" s="33"/>
      <c r="U476" s="33"/>
      <c r="V476" s="33"/>
      <c r="W476" s="33"/>
      <c r="X476" s="33"/>
      <c r="Y476" s="3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</row>
    <row r="477" spans="1:65" ht="15" customHeight="1">
      <c r="A477" s="33"/>
      <c r="B477" s="33"/>
      <c r="C477" s="33"/>
      <c r="D477" s="33"/>
      <c r="E477" s="33"/>
      <c r="F477" s="33"/>
      <c r="G477" s="33"/>
      <c r="H477" s="33"/>
      <c r="I477" s="33"/>
      <c r="J477" s="33"/>
      <c r="K477" s="33"/>
      <c r="L477" s="33"/>
      <c r="M477" s="33"/>
      <c r="N477" s="33"/>
      <c r="O477" s="33"/>
      <c r="P477" s="33"/>
      <c r="Q477" s="33"/>
      <c r="R477" s="33"/>
      <c r="S477" s="33"/>
      <c r="T477" s="33"/>
      <c r="U477" s="33"/>
      <c r="V477" s="33"/>
      <c r="W477" s="33"/>
      <c r="X477" s="33"/>
      <c r="Y477" s="3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  <c r="BK477" s="33"/>
      <c r="BL477" s="33"/>
      <c r="BM477" s="33"/>
    </row>
    <row r="478" spans="1:65" ht="15" customHeight="1">
      <c r="A478" s="33"/>
      <c r="B478" s="33"/>
      <c r="C478" s="33"/>
      <c r="D478" s="33"/>
      <c r="E478" s="33"/>
      <c r="F478" s="33"/>
      <c r="G478" s="33"/>
      <c r="H478" s="33"/>
      <c r="I478" s="33"/>
      <c r="J478" s="33"/>
      <c r="K478" s="33"/>
      <c r="L478" s="33"/>
      <c r="M478" s="33"/>
      <c r="N478" s="33"/>
      <c r="O478" s="33"/>
      <c r="P478" s="33"/>
      <c r="Q478" s="33"/>
      <c r="R478" s="33"/>
      <c r="S478" s="33"/>
      <c r="T478" s="33"/>
      <c r="U478" s="33"/>
      <c r="V478" s="33"/>
      <c r="W478" s="33"/>
      <c r="X478" s="33"/>
      <c r="Y478" s="3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</row>
    <row r="479" spans="1:65" ht="15" customHeight="1">
      <c r="A479" s="33"/>
      <c r="B479" s="33"/>
      <c r="C479" s="33"/>
      <c r="D479" s="33"/>
      <c r="E479" s="33"/>
      <c r="F479" s="33"/>
      <c r="G479" s="33"/>
      <c r="H479" s="33"/>
      <c r="I479" s="33"/>
      <c r="J479" s="33"/>
      <c r="K479" s="33"/>
      <c r="L479" s="33"/>
      <c r="M479" s="33"/>
      <c r="N479" s="33"/>
      <c r="O479" s="33"/>
      <c r="P479" s="33"/>
      <c r="Q479" s="33"/>
      <c r="R479" s="33"/>
      <c r="S479" s="33"/>
      <c r="T479" s="33"/>
      <c r="U479" s="33"/>
      <c r="V479" s="33"/>
      <c r="W479" s="33"/>
      <c r="X479" s="33"/>
      <c r="Y479" s="3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  <c r="BK479" s="33"/>
      <c r="BL479" s="33"/>
      <c r="BM479" s="33"/>
    </row>
    <row r="480" spans="1:65" ht="15" customHeight="1">
      <c r="A480" s="33"/>
      <c r="B480" s="33"/>
      <c r="C480" s="33"/>
      <c r="D480" s="33"/>
      <c r="E480" s="33"/>
      <c r="F480" s="33"/>
      <c r="G480" s="33"/>
      <c r="H480" s="33"/>
      <c r="I480" s="33"/>
      <c r="J480" s="33"/>
      <c r="K480" s="33"/>
      <c r="L480" s="33"/>
      <c r="M480" s="33"/>
      <c r="N480" s="33"/>
      <c r="O480" s="33"/>
      <c r="P480" s="33"/>
      <c r="Q480" s="33"/>
      <c r="R480" s="33"/>
      <c r="S480" s="33"/>
      <c r="T480" s="33"/>
      <c r="U480" s="33"/>
      <c r="V480" s="33"/>
      <c r="W480" s="33"/>
      <c r="X480" s="33"/>
      <c r="Y480" s="3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  <c r="BL480" s="33"/>
      <c r="BM480" s="33"/>
    </row>
    <row r="481" spans="1:65" ht="15" customHeight="1">
      <c r="A481" s="33"/>
      <c r="B481" s="33"/>
      <c r="C481" s="33"/>
      <c r="D481" s="33"/>
      <c r="E481" s="33"/>
      <c r="F481" s="33"/>
      <c r="G481" s="33"/>
      <c r="H481" s="33"/>
      <c r="I481" s="33"/>
      <c r="J481" s="33"/>
      <c r="K481" s="33"/>
      <c r="L481" s="33"/>
      <c r="M481" s="33"/>
      <c r="N481" s="33"/>
      <c r="O481" s="33"/>
      <c r="P481" s="33"/>
      <c r="Q481" s="33"/>
      <c r="R481" s="33"/>
      <c r="S481" s="33"/>
      <c r="T481" s="33"/>
      <c r="U481" s="33"/>
      <c r="V481" s="33"/>
      <c r="W481" s="33"/>
      <c r="X481" s="33"/>
      <c r="Y481" s="3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  <c r="BK481" s="33"/>
      <c r="BL481" s="33"/>
      <c r="BM481" s="33"/>
    </row>
    <row r="482" spans="1:65" ht="15" customHeight="1">
      <c r="A482" s="33"/>
      <c r="B482" s="33"/>
      <c r="C482" s="33"/>
      <c r="D482" s="33"/>
      <c r="E482" s="33"/>
      <c r="F482" s="33"/>
      <c r="G482" s="33"/>
      <c r="H482" s="33"/>
      <c r="I482" s="33"/>
      <c r="J482" s="33"/>
      <c r="K482" s="33"/>
      <c r="L482" s="33"/>
      <c r="M482" s="33"/>
      <c r="N482" s="33"/>
      <c r="O482" s="33"/>
      <c r="P482" s="33"/>
      <c r="Q482" s="33"/>
      <c r="R482" s="33"/>
      <c r="S482" s="33"/>
      <c r="T482" s="33"/>
      <c r="U482" s="33"/>
      <c r="V482" s="33"/>
      <c r="W482" s="33"/>
      <c r="X482" s="33"/>
      <c r="Y482" s="3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  <c r="BL482" s="33"/>
      <c r="BM482" s="33"/>
    </row>
    <row r="483" spans="1:65" ht="15" customHeight="1">
      <c r="A483" s="33"/>
      <c r="B483" s="33"/>
      <c r="C483" s="33"/>
      <c r="D483" s="33"/>
      <c r="E483" s="33"/>
      <c r="F483" s="33"/>
      <c r="G483" s="33"/>
      <c r="H483" s="33"/>
      <c r="I483" s="33"/>
      <c r="J483" s="33"/>
      <c r="K483" s="33"/>
      <c r="L483" s="33"/>
      <c r="M483" s="33"/>
      <c r="N483" s="33"/>
      <c r="O483" s="33"/>
      <c r="P483" s="33"/>
      <c r="Q483" s="33"/>
      <c r="R483" s="33"/>
      <c r="S483" s="33"/>
      <c r="T483" s="33"/>
      <c r="U483" s="33"/>
      <c r="V483" s="33"/>
      <c r="W483" s="33"/>
      <c r="X483" s="33"/>
      <c r="Y483" s="3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  <c r="BK483" s="33"/>
      <c r="BL483" s="33"/>
      <c r="BM483" s="33"/>
    </row>
    <row r="484" spans="1:65" ht="15" customHeight="1">
      <c r="A484" s="33"/>
      <c r="B484" s="33"/>
      <c r="C484" s="33"/>
      <c r="D484" s="33"/>
      <c r="E484" s="33"/>
      <c r="F484" s="33"/>
      <c r="G484" s="33"/>
      <c r="H484" s="33"/>
      <c r="I484" s="33"/>
      <c r="J484" s="33"/>
      <c r="K484" s="33"/>
      <c r="L484" s="33"/>
      <c r="M484" s="33"/>
      <c r="N484" s="33"/>
      <c r="O484" s="33"/>
      <c r="P484" s="33"/>
      <c r="Q484" s="33"/>
      <c r="R484" s="33"/>
      <c r="S484" s="33"/>
      <c r="T484" s="33"/>
      <c r="U484" s="33"/>
      <c r="V484" s="33"/>
      <c r="W484" s="33"/>
      <c r="X484" s="33"/>
      <c r="Y484" s="3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  <c r="BL484" s="33"/>
      <c r="BM484" s="33"/>
    </row>
    <row r="485" spans="1:65" ht="15" customHeight="1">
      <c r="A485" s="33"/>
      <c r="B485" s="33"/>
      <c r="C485" s="33"/>
      <c r="D485" s="33"/>
      <c r="E485" s="33"/>
      <c r="F485" s="33"/>
      <c r="G485" s="33"/>
      <c r="H485" s="33"/>
      <c r="I485" s="33"/>
      <c r="J485" s="33"/>
      <c r="K485" s="33"/>
      <c r="L485" s="33"/>
      <c r="M485" s="33"/>
      <c r="N485" s="33"/>
      <c r="O485" s="33"/>
      <c r="P485" s="33"/>
      <c r="Q485" s="33"/>
      <c r="R485" s="33"/>
      <c r="S485" s="33"/>
      <c r="T485" s="33"/>
      <c r="U485" s="33"/>
      <c r="V485" s="33"/>
      <c r="W485" s="33"/>
      <c r="X485" s="33"/>
      <c r="Y485" s="3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  <c r="BK485" s="33"/>
      <c r="BL485" s="33"/>
      <c r="BM485" s="33"/>
    </row>
    <row r="486" spans="1:65" ht="15" customHeight="1">
      <c r="A486" s="33"/>
      <c r="B486" s="33"/>
      <c r="C486" s="33"/>
      <c r="D486" s="33"/>
      <c r="E486" s="33"/>
      <c r="F486" s="33"/>
      <c r="G486" s="33"/>
      <c r="H486" s="33"/>
      <c r="I486" s="33"/>
      <c r="J486" s="33"/>
      <c r="K486" s="33"/>
      <c r="L486" s="33"/>
      <c r="M486" s="33"/>
      <c r="N486" s="33"/>
      <c r="O486" s="33"/>
      <c r="P486" s="33"/>
      <c r="Q486" s="33"/>
      <c r="R486" s="33"/>
      <c r="S486" s="33"/>
      <c r="T486" s="33"/>
      <c r="U486" s="33"/>
      <c r="V486" s="33"/>
      <c r="W486" s="33"/>
      <c r="X486" s="33"/>
      <c r="Y486" s="3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  <c r="BK486" s="33"/>
      <c r="BL486" s="33"/>
      <c r="BM486" s="33"/>
    </row>
    <row r="487" spans="1:65" ht="15" customHeight="1">
      <c r="A487" s="33"/>
      <c r="B487" s="33"/>
      <c r="C487" s="33"/>
      <c r="D487" s="33"/>
      <c r="E487" s="33"/>
      <c r="F487" s="33"/>
      <c r="G487" s="33"/>
      <c r="H487" s="33"/>
      <c r="I487" s="33"/>
      <c r="J487" s="33"/>
      <c r="K487" s="33"/>
      <c r="L487" s="33"/>
      <c r="M487" s="33"/>
      <c r="N487" s="33"/>
      <c r="O487" s="33"/>
      <c r="P487" s="33"/>
      <c r="Q487" s="33"/>
      <c r="R487" s="33"/>
      <c r="S487" s="33"/>
      <c r="T487" s="33"/>
      <c r="U487" s="33"/>
      <c r="V487" s="33"/>
      <c r="W487" s="33"/>
      <c r="X487" s="33"/>
      <c r="Y487" s="3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  <c r="BK487" s="33"/>
      <c r="BL487" s="33"/>
      <c r="BM487" s="33"/>
    </row>
    <row r="488" spans="1:65" ht="15" customHeight="1">
      <c r="A488" s="33"/>
      <c r="B488" s="33"/>
      <c r="C488" s="33"/>
      <c r="D488" s="33"/>
      <c r="E488" s="33"/>
      <c r="F488" s="33"/>
      <c r="G488" s="33"/>
      <c r="H488" s="33"/>
      <c r="I488" s="33"/>
      <c r="J488" s="33"/>
      <c r="K488" s="33"/>
      <c r="L488" s="33"/>
      <c r="M488" s="33"/>
      <c r="N488" s="33"/>
      <c r="O488" s="33"/>
      <c r="P488" s="33"/>
      <c r="Q488" s="33"/>
      <c r="R488" s="33"/>
      <c r="S488" s="33"/>
      <c r="T488" s="33"/>
      <c r="U488" s="33"/>
      <c r="V488" s="33"/>
      <c r="W488" s="33"/>
      <c r="X488" s="33"/>
      <c r="Y488" s="3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</row>
    <row r="489" spans="1:65" ht="15" customHeight="1">
      <c r="A489" s="33"/>
      <c r="B489" s="33"/>
      <c r="C489" s="33"/>
      <c r="D489" s="33"/>
      <c r="E489" s="33"/>
      <c r="F489" s="33"/>
      <c r="G489" s="33"/>
      <c r="H489" s="33"/>
      <c r="I489" s="33"/>
      <c r="J489" s="33"/>
      <c r="K489" s="33"/>
      <c r="L489" s="33"/>
      <c r="M489" s="33"/>
      <c r="N489" s="33"/>
      <c r="O489" s="33"/>
      <c r="P489" s="33"/>
      <c r="Q489" s="33"/>
      <c r="R489" s="33"/>
      <c r="S489" s="33"/>
      <c r="T489" s="33"/>
      <c r="U489" s="33"/>
      <c r="V489" s="33"/>
      <c r="W489" s="33"/>
      <c r="X489" s="33"/>
      <c r="Y489" s="3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  <c r="BK489" s="33"/>
      <c r="BL489" s="33"/>
      <c r="BM489" s="33"/>
    </row>
    <row r="490" spans="1:65" ht="15" customHeight="1">
      <c r="A490" s="33"/>
      <c r="B490" s="33"/>
      <c r="C490" s="33"/>
      <c r="D490" s="33"/>
      <c r="E490" s="33"/>
      <c r="F490" s="33"/>
      <c r="G490" s="33"/>
      <c r="H490" s="33"/>
      <c r="I490" s="33"/>
      <c r="J490" s="33"/>
      <c r="K490" s="33"/>
      <c r="L490" s="33"/>
      <c r="M490" s="33"/>
      <c r="N490" s="33"/>
      <c r="O490" s="33"/>
      <c r="P490" s="33"/>
      <c r="Q490" s="33"/>
      <c r="R490" s="33"/>
      <c r="S490" s="33"/>
      <c r="T490" s="33"/>
      <c r="U490" s="33"/>
      <c r="V490" s="33"/>
      <c r="W490" s="33"/>
      <c r="X490" s="33"/>
      <c r="Y490" s="3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  <c r="BL490" s="33"/>
      <c r="BM490" s="33"/>
    </row>
    <row r="491" spans="1:65" ht="15" customHeight="1">
      <c r="A491" s="33"/>
      <c r="B491" s="33"/>
      <c r="C491" s="33"/>
      <c r="D491" s="33"/>
      <c r="E491" s="33"/>
      <c r="F491" s="33"/>
      <c r="G491" s="33"/>
      <c r="H491" s="33"/>
      <c r="I491" s="33"/>
      <c r="J491" s="33"/>
      <c r="K491" s="33"/>
      <c r="L491" s="33"/>
      <c r="M491" s="33"/>
      <c r="N491" s="33"/>
      <c r="O491" s="33"/>
      <c r="P491" s="33"/>
      <c r="Q491" s="33"/>
      <c r="R491" s="33"/>
      <c r="S491" s="33"/>
      <c r="T491" s="33"/>
      <c r="U491" s="33"/>
      <c r="V491" s="33"/>
      <c r="W491" s="33"/>
      <c r="X491" s="33"/>
      <c r="Y491" s="3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  <c r="BK491" s="33"/>
      <c r="BL491" s="33"/>
      <c r="BM491" s="33"/>
    </row>
    <row r="492" spans="1:65" ht="15" customHeight="1">
      <c r="A492" s="33"/>
      <c r="B492" s="33"/>
      <c r="C492" s="33"/>
      <c r="D492" s="33"/>
      <c r="E492" s="33"/>
      <c r="F492" s="33"/>
      <c r="G492" s="33"/>
      <c r="H492" s="33"/>
      <c r="I492" s="33"/>
      <c r="J492" s="33"/>
      <c r="K492" s="33"/>
      <c r="L492" s="33"/>
      <c r="M492" s="33"/>
      <c r="N492" s="33"/>
      <c r="O492" s="33"/>
      <c r="P492" s="33"/>
      <c r="Q492" s="33"/>
      <c r="R492" s="33"/>
      <c r="S492" s="33"/>
      <c r="T492" s="33"/>
      <c r="U492" s="33"/>
      <c r="V492" s="33"/>
      <c r="W492" s="33"/>
      <c r="X492" s="33"/>
      <c r="Y492" s="3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</row>
    <row r="493" spans="1:65" ht="15" customHeight="1">
      <c r="A493" s="33"/>
      <c r="B493" s="33"/>
      <c r="C493" s="33"/>
      <c r="D493" s="33"/>
      <c r="E493" s="33"/>
      <c r="F493" s="33"/>
      <c r="G493" s="33"/>
      <c r="H493" s="33"/>
      <c r="I493" s="33"/>
      <c r="J493" s="33"/>
      <c r="K493" s="33"/>
      <c r="L493" s="33"/>
      <c r="M493" s="33"/>
      <c r="N493" s="33"/>
      <c r="O493" s="33"/>
      <c r="P493" s="33"/>
      <c r="Q493" s="33"/>
      <c r="R493" s="33"/>
      <c r="S493" s="33"/>
      <c r="T493" s="33"/>
      <c r="U493" s="33"/>
      <c r="V493" s="33"/>
      <c r="W493" s="33"/>
      <c r="X493" s="33"/>
      <c r="Y493" s="3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  <c r="BL493" s="33"/>
      <c r="BM493" s="33"/>
    </row>
    <row r="494" spans="1:65" ht="15" customHeight="1">
      <c r="A494" s="33"/>
      <c r="B494" s="33"/>
      <c r="C494" s="33"/>
      <c r="D494" s="33"/>
      <c r="E494" s="33"/>
      <c r="F494" s="33"/>
      <c r="G494" s="33"/>
      <c r="H494" s="33"/>
      <c r="I494" s="33"/>
      <c r="J494" s="33"/>
      <c r="K494" s="33"/>
      <c r="L494" s="33"/>
      <c r="M494" s="33"/>
      <c r="N494" s="33"/>
      <c r="O494" s="33"/>
      <c r="P494" s="33"/>
      <c r="Q494" s="33"/>
      <c r="R494" s="33"/>
      <c r="S494" s="33"/>
      <c r="T494" s="33"/>
      <c r="U494" s="33"/>
      <c r="V494" s="33"/>
      <c r="W494" s="33"/>
      <c r="X494" s="33"/>
      <c r="Y494" s="3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</row>
    <row r="495" spans="1:65" ht="15" customHeight="1">
      <c r="A495" s="33"/>
      <c r="B495" s="33"/>
      <c r="C495" s="33"/>
      <c r="D495" s="33"/>
      <c r="E495" s="33"/>
      <c r="F495" s="33"/>
      <c r="G495" s="33"/>
      <c r="H495" s="33"/>
      <c r="I495" s="33"/>
      <c r="J495" s="33"/>
      <c r="K495" s="33"/>
      <c r="L495" s="33"/>
      <c r="M495" s="33"/>
      <c r="N495" s="33"/>
      <c r="O495" s="33"/>
      <c r="P495" s="33"/>
      <c r="Q495" s="33"/>
      <c r="R495" s="33"/>
      <c r="S495" s="33"/>
      <c r="T495" s="33"/>
      <c r="U495" s="33"/>
      <c r="V495" s="33"/>
      <c r="W495" s="33"/>
      <c r="X495" s="33"/>
      <c r="Y495" s="3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  <c r="BK495" s="33"/>
      <c r="BL495" s="33"/>
      <c r="BM495" s="33"/>
    </row>
    <row r="496" spans="1:65" ht="15" customHeight="1">
      <c r="A496" s="33"/>
      <c r="B496" s="33"/>
      <c r="C496" s="33"/>
      <c r="D496" s="33"/>
      <c r="E496" s="33"/>
      <c r="F496" s="33"/>
      <c r="G496" s="33"/>
      <c r="H496" s="33"/>
      <c r="I496" s="33"/>
      <c r="J496" s="33"/>
      <c r="K496" s="33"/>
      <c r="L496" s="33"/>
      <c r="M496" s="33"/>
      <c r="N496" s="33"/>
      <c r="O496" s="33"/>
      <c r="P496" s="33"/>
      <c r="Q496" s="33"/>
      <c r="R496" s="33"/>
      <c r="S496" s="33"/>
      <c r="T496" s="33"/>
      <c r="U496" s="33"/>
      <c r="V496" s="33"/>
      <c r="W496" s="33"/>
      <c r="X496" s="33"/>
      <c r="Y496" s="3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</row>
    <row r="497" spans="1:65" ht="15" customHeight="1">
      <c r="A497" s="33"/>
      <c r="B497" s="33"/>
      <c r="C497" s="33"/>
      <c r="D497" s="33"/>
      <c r="E497" s="33"/>
      <c r="F497" s="33"/>
      <c r="G497" s="33"/>
      <c r="H497" s="33"/>
      <c r="I497" s="33"/>
      <c r="J497" s="33"/>
      <c r="K497" s="33"/>
      <c r="L497" s="33"/>
      <c r="M497" s="33"/>
      <c r="N497" s="33"/>
      <c r="O497" s="33"/>
      <c r="P497" s="33"/>
      <c r="Q497" s="33"/>
      <c r="R497" s="33"/>
      <c r="S497" s="33"/>
      <c r="T497" s="33"/>
      <c r="U497" s="33"/>
      <c r="V497" s="33"/>
      <c r="W497" s="33"/>
      <c r="X497" s="33"/>
      <c r="Y497" s="3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  <c r="BK497" s="33"/>
      <c r="BL497" s="33"/>
      <c r="BM497" s="33"/>
    </row>
    <row r="498" spans="1:65" ht="15" customHeight="1">
      <c r="A498" s="33"/>
      <c r="B498" s="33"/>
      <c r="C498" s="33"/>
      <c r="D498" s="33"/>
      <c r="E498" s="33"/>
      <c r="F498" s="33"/>
      <c r="G498" s="33"/>
      <c r="H498" s="33"/>
      <c r="I498" s="33"/>
      <c r="J498" s="33"/>
      <c r="K498" s="33"/>
      <c r="L498" s="33"/>
      <c r="M498" s="33"/>
      <c r="N498" s="33"/>
      <c r="O498" s="33"/>
      <c r="P498" s="33"/>
      <c r="Q498" s="33"/>
      <c r="R498" s="33"/>
      <c r="S498" s="33"/>
      <c r="T498" s="33"/>
      <c r="U498" s="33"/>
      <c r="V498" s="33"/>
      <c r="W498" s="33"/>
      <c r="X498" s="33"/>
      <c r="Y498" s="3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</row>
    <row r="499" spans="1:65" ht="15" customHeight="1">
      <c r="A499" s="33"/>
      <c r="B499" s="33"/>
      <c r="C499" s="33"/>
      <c r="D499" s="33"/>
      <c r="E499" s="33"/>
      <c r="F499" s="33"/>
      <c r="G499" s="33"/>
      <c r="H499" s="33"/>
      <c r="I499" s="33"/>
      <c r="J499" s="33"/>
      <c r="K499" s="33"/>
      <c r="L499" s="33"/>
      <c r="M499" s="33"/>
      <c r="N499" s="33"/>
      <c r="O499" s="33"/>
      <c r="P499" s="33"/>
      <c r="Q499" s="33"/>
      <c r="R499" s="33"/>
      <c r="S499" s="33"/>
      <c r="T499" s="33"/>
      <c r="U499" s="33"/>
      <c r="V499" s="33"/>
      <c r="W499" s="33"/>
      <c r="X499" s="33"/>
      <c r="Y499" s="3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  <c r="BK499" s="33"/>
      <c r="BL499" s="33"/>
      <c r="BM499" s="33"/>
    </row>
    <row r="500" spans="1:65" ht="15" customHeight="1">
      <c r="A500" s="33"/>
      <c r="B500" s="33"/>
      <c r="C500" s="33"/>
      <c r="D500" s="33"/>
      <c r="E500" s="33"/>
      <c r="F500" s="33"/>
      <c r="G500" s="33"/>
      <c r="H500" s="33"/>
      <c r="I500" s="33"/>
      <c r="J500" s="33"/>
      <c r="K500" s="33"/>
      <c r="L500" s="33"/>
      <c r="M500" s="33"/>
      <c r="N500" s="33"/>
      <c r="O500" s="33"/>
      <c r="P500" s="33"/>
      <c r="Q500" s="33"/>
      <c r="R500" s="33"/>
      <c r="S500" s="33"/>
      <c r="T500" s="33"/>
      <c r="U500" s="33"/>
      <c r="V500" s="33"/>
      <c r="W500" s="33"/>
      <c r="X500" s="33"/>
      <c r="Y500" s="3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</row>
    <row r="501" spans="1:65" ht="15" customHeight="1">
      <c r="A501" s="33"/>
      <c r="B501" s="33"/>
      <c r="C501" s="33"/>
      <c r="D501" s="33"/>
      <c r="E501" s="33"/>
      <c r="F501" s="33"/>
      <c r="G501" s="33"/>
      <c r="H501" s="33"/>
      <c r="I501" s="33"/>
      <c r="J501" s="33"/>
      <c r="K501" s="33"/>
      <c r="L501" s="33"/>
      <c r="M501" s="33"/>
      <c r="N501" s="33"/>
      <c r="O501" s="33"/>
      <c r="P501" s="33"/>
      <c r="Q501" s="33"/>
      <c r="R501" s="33"/>
      <c r="S501" s="33"/>
      <c r="T501" s="33"/>
      <c r="U501" s="33"/>
      <c r="V501" s="33"/>
      <c r="W501" s="33"/>
      <c r="X501" s="33"/>
      <c r="Y501" s="3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  <c r="BL501" s="33"/>
      <c r="BM501" s="33"/>
    </row>
    <row r="502" spans="1:65" ht="15" customHeight="1">
      <c r="A502" s="33"/>
      <c r="B502" s="33"/>
      <c r="C502" s="33"/>
      <c r="D502" s="33"/>
      <c r="E502" s="33"/>
      <c r="F502" s="33"/>
      <c r="G502" s="33"/>
      <c r="H502" s="33"/>
      <c r="I502" s="33"/>
      <c r="J502" s="33"/>
      <c r="K502" s="33"/>
      <c r="L502" s="33"/>
      <c r="M502" s="33"/>
      <c r="N502" s="33"/>
      <c r="O502" s="33"/>
      <c r="P502" s="33"/>
      <c r="Q502" s="33"/>
      <c r="R502" s="33"/>
      <c r="S502" s="33"/>
      <c r="T502" s="33"/>
      <c r="U502" s="33"/>
      <c r="V502" s="33"/>
      <c r="W502" s="33"/>
      <c r="X502" s="33"/>
      <c r="Y502" s="3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</row>
    <row r="503" spans="1:65" ht="15" customHeight="1">
      <c r="A503" s="33"/>
      <c r="B503" s="33"/>
      <c r="C503" s="33"/>
      <c r="D503" s="33"/>
      <c r="E503" s="33"/>
      <c r="F503" s="33"/>
      <c r="G503" s="33"/>
      <c r="H503" s="33"/>
      <c r="I503" s="33"/>
      <c r="J503" s="33"/>
      <c r="K503" s="33"/>
      <c r="L503" s="33"/>
      <c r="M503" s="33"/>
      <c r="N503" s="33"/>
      <c r="O503" s="33"/>
      <c r="P503" s="33"/>
      <c r="Q503" s="33"/>
      <c r="R503" s="33"/>
      <c r="S503" s="33"/>
      <c r="T503" s="33"/>
      <c r="U503" s="33"/>
      <c r="V503" s="33"/>
      <c r="W503" s="33"/>
      <c r="X503" s="33"/>
      <c r="Y503" s="3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  <c r="BL503" s="33"/>
      <c r="BM503" s="33"/>
    </row>
    <row r="504" spans="1:65" ht="15" customHeight="1">
      <c r="A504" s="33"/>
      <c r="B504" s="33"/>
      <c r="C504" s="33"/>
      <c r="D504" s="33"/>
      <c r="E504" s="33"/>
      <c r="F504" s="33"/>
      <c r="G504" s="33"/>
      <c r="H504" s="33"/>
      <c r="I504" s="33"/>
      <c r="J504" s="33"/>
      <c r="K504" s="33"/>
      <c r="L504" s="33"/>
      <c r="M504" s="33"/>
      <c r="N504" s="33"/>
      <c r="O504" s="33"/>
      <c r="P504" s="33"/>
      <c r="Q504" s="33"/>
      <c r="R504" s="33"/>
      <c r="S504" s="33"/>
      <c r="T504" s="33"/>
      <c r="U504" s="33"/>
      <c r="V504" s="33"/>
      <c r="W504" s="33"/>
      <c r="X504" s="33"/>
      <c r="Y504" s="3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</row>
    <row r="505" spans="1:65" ht="15" customHeight="1">
      <c r="A505" s="33"/>
      <c r="B505" s="33"/>
      <c r="C505" s="33"/>
      <c r="D505" s="33"/>
      <c r="E505" s="33"/>
      <c r="F505" s="33"/>
      <c r="G505" s="33"/>
      <c r="H505" s="33"/>
      <c r="I505" s="33"/>
      <c r="J505" s="33"/>
      <c r="K505" s="33"/>
      <c r="L505" s="33"/>
      <c r="M505" s="33"/>
      <c r="N505" s="33"/>
      <c r="O505" s="33"/>
      <c r="P505" s="33"/>
      <c r="Q505" s="33"/>
      <c r="R505" s="33"/>
      <c r="S505" s="33"/>
      <c r="T505" s="33"/>
      <c r="U505" s="33"/>
      <c r="V505" s="33"/>
      <c r="W505" s="33"/>
      <c r="X505" s="33"/>
      <c r="Y505" s="3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</row>
    <row r="506" spans="1:65" ht="15" customHeight="1">
      <c r="A506" s="33"/>
      <c r="B506" s="33"/>
      <c r="C506" s="33"/>
      <c r="D506" s="33"/>
      <c r="E506" s="33"/>
      <c r="F506" s="33"/>
      <c r="G506" s="33"/>
      <c r="H506" s="33"/>
      <c r="I506" s="33"/>
      <c r="J506" s="33"/>
      <c r="K506" s="33"/>
      <c r="L506" s="33"/>
      <c r="M506" s="33"/>
      <c r="N506" s="33"/>
      <c r="O506" s="33"/>
      <c r="P506" s="33"/>
      <c r="Q506" s="33"/>
      <c r="R506" s="33"/>
      <c r="S506" s="33"/>
      <c r="T506" s="33"/>
      <c r="U506" s="33"/>
      <c r="V506" s="33"/>
      <c r="W506" s="33"/>
      <c r="X506" s="33"/>
      <c r="Y506" s="3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  <c r="BL506" s="33"/>
      <c r="BM506" s="33"/>
    </row>
    <row r="507" spans="1:65" ht="15" customHeight="1">
      <c r="A507" s="33"/>
      <c r="B507" s="33"/>
      <c r="C507" s="33"/>
      <c r="D507" s="33"/>
      <c r="E507" s="33"/>
      <c r="F507" s="33"/>
      <c r="G507" s="33"/>
      <c r="H507" s="33"/>
      <c r="I507" s="33"/>
      <c r="J507" s="33"/>
      <c r="K507" s="33"/>
      <c r="L507" s="33"/>
      <c r="M507" s="33"/>
      <c r="N507" s="33"/>
      <c r="O507" s="33"/>
      <c r="P507" s="33"/>
      <c r="Q507" s="33"/>
      <c r="R507" s="33"/>
      <c r="S507" s="33"/>
      <c r="T507" s="33"/>
      <c r="U507" s="33"/>
      <c r="V507" s="33"/>
      <c r="W507" s="33"/>
      <c r="X507" s="33"/>
      <c r="Y507" s="3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  <c r="BL507" s="33"/>
      <c r="BM507" s="33"/>
    </row>
    <row r="508" spans="1:65" ht="15" customHeight="1">
      <c r="A508" s="33"/>
      <c r="B508" s="33"/>
      <c r="C508" s="33"/>
      <c r="D508" s="33"/>
      <c r="E508" s="33"/>
      <c r="F508" s="33"/>
      <c r="G508" s="33"/>
      <c r="H508" s="33"/>
      <c r="I508" s="33"/>
      <c r="J508" s="33"/>
      <c r="K508" s="33"/>
      <c r="L508" s="33"/>
      <c r="M508" s="33"/>
      <c r="N508" s="33"/>
      <c r="O508" s="33"/>
      <c r="P508" s="33"/>
      <c r="Q508" s="33"/>
      <c r="R508" s="33"/>
      <c r="S508" s="33"/>
      <c r="T508" s="33"/>
      <c r="U508" s="33"/>
      <c r="V508" s="33"/>
      <c r="W508" s="33"/>
      <c r="X508" s="33"/>
      <c r="Y508" s="3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  <c r="BL508" s="33"/>
      <c r="BM508" s="33"/>
    </row>
    <row r="509" spans="1:65" ht="15" customHeight="1">
      <c r="A509" s="33"/>
      <c r="B509" s="33"/>
      <c r="C509" s="33"/>
      <c r="D509" s="33"/>
      <c r="E509" s="33"/>
      <c r="F509" s="33"/>
      <c r="G509" s="33"/>
      <c r="H509" s="33"/>
      <c r="I509" s="33"/>
      <c r="J509" s="33"/>
      <c r="K509" s="33"/>
      <c r="L509" s="33"/>
      <c r="M509" s="33"/>
      <c r="N509" s="33"/>
      <c r="O509" s="33"/>
      <c r="P509" s="33"/>
      <c r="Q509" s="33"/>
      <c r="R509" s="33"/>
      <c r="S509" s="33"/>
      <c r="T509" s="33"/>
      <c r="U509" s="33"/>
      <c r="V509" s="33"/>
      <c r="W509" s="33"/>
      <c r="X509" s="33"/>
      <c r="Y509" s="3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</row>
    <row r="510" spans="1:65" ht="15" customHeight="1">
      <c r="A510" s="33"/>
      <c r="B510" s="33"/>
      <c r="C510" s="33"/>
      <c r="D510" s="33"/>
      <c r="E510" s="33"/>
      <c r="F510" s="33"/>
      <c r="G510" s="33"/>
      <c r="H510" s="33"/>
      <c r="I510" s="33"/>
      <c r="J510" s="33"/>
      <c r="K510" s="33"/>
      <c r="L510" s="33"/>
      <c r="M510" s="33"/>
      <c r="N510" s="33"/>
      <c r="O510" s="33"/>
      <c r="P510" s="33"/>
      <c r="Q510" s="33"/>
      <c r="R510" s="33"/>
      <c r="S510" s="33"/>
      <c r="T510" s="33"/>
      <c r="U510" s="33"/>
      <c r="V510" s="33"/>
      <c r="W510" s="33"/>
      <c r="X510" s="33"/>
      <c r="Y510" s="3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  <c r="BL510" s="33"/>
      <c r="BM510" s="33"/>
    </row>
    <row r="511" spans="1:65" ht="15" customHeight="1">
      <c r="A511" s="33"/>
      <c r="B511" s="33"/>
      <c r="C511" s="33"/>
      <c r="D511" s="33"/>
      <c r="E511" s="33"/>
      <c r="F511" s="33"/>
      <c r="G511" s="33"/>
      <c r="H511" s="33"/>
      <c r="I511" s="33"/>
      <c r="J511" s="33"/>
      <c r="K511" s="33"/>
      <c r="L511" s="33"/>
      <c r="M511" s="33"/>
      <c r="N511" s="33"/>
      <c r="O511" s="33"/>
      <c r="P511" s="33"/>
      <c r="Q511" s="33"/>
      <c r="R511" s="33"/>
      <c r="S511" s="33"/>
      <c r="T511" s="33"/>
      <c r="U511" s="33"/>
      <c r="V511" s="33"/>
      <c r="W511" s="33"/>
      <c r="X511" s="33"/>
      <c r="Y511" s="3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</row>
    <row r="512" spans="1:65" ht="15" customHeight="1">
      <c r="A512" s="33"/>
      <c r="B512" s="33"/>
      <c r="C512" s="33"/>
      <c r="D512" s="33"/>
      <c r="E512" s="33"/>
      <c r="F512" s="33"/>
      <c r="G512" s="33"/>
      <c r="H512" s="33"/>
      <c r="I512" s="33"/>
      <c r="J512" s="33"/>
      <c r="K512" s="33"/>
      <c r="L512" s="33"/>
      <c r="M512" s="33"/>
      <c r="N512" s="33"/>
      <c r="O512" s="33"/>
      <c r="P512" s="33"/>
      <c r="Q512" s="33"/>
      <c r="R512" s="33"/>
      <c r="S512" s="33"/>
      <c r="T512" s="33"/>
      <c r="U512" s="33"/>
      <c r="V512" s="33"/>
      <c r="W512" s="33"/>
      <c r="X512" s="33"/>
      <c r="Y512" s="3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  <c r="BK512" s="33"/>
      <c r="BL512" s="33"/>
      <c r="BM512" s="33"/>
    </row>
    <row r="513" spans="1:65" ht="15" customHeight="1">
      <c r="A513" s="33"/>
      <c r="B513" s="33"/>
      <c r="C513" s="33"/>
      <c r="D513" s="33"/>
      <c r="E513" s="33"/>
      <c r="F513" s="33"/>
      <c r="G513" s="33"/>
      <c r="H513" s="33"/>
      <c r="I513" s="33"/>
      <c r="J513" s="33"/>
      <c r="K513" s="33"/>
      <c r="L513" s="33"/>
      <c r="M513" s="33"/>
      <c r="N513" s="33"/>
      <c r="O513" s="33"/>
      <c r="P513" s="33"/>
      <c r="Q513" s="33"/>
      <c r="R513" s="33"/>
      <c r="S513" s="33"/>
      <c r="T513" s="33"/>
      <c r="U513" s="33"/>
      <c r="V513" s="33"/>
      <c r="W513" s="33"/>
      <c r="X513" s="33"/>
      <c r="Y513" s="3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  <c r="BL513" s="33"/>
      <c r="BM513" s="33"/>
    </row>
    <row r="514" spans="1:65" ht="15" customHeight="1">
      <c r="A514" s="33"/>
      <c r="B514" s="33"/>
      <c r="C514" s="33"/>
      <c r="D514" s="33"/>
      <c r="E514" s="33"/>
      <c r="F514" s="33"/>
      <c r="G514" s="33"/>
      <c r="H514" s="33"/>
      <c r="I514" s="33"/>
      <c r="J514" s="33"/>
      <c r="K514" s="33"/>
      <c r="L514" s="33"/>
      <c r="M514" s="33"/>
      <c r="N514" s="33"/>
      <c r="O514" s="33"/>
      <c r="P514" s="33"/>
      <c r="Q514" s="33"/>
      <c r="R514" s="33"/>
      <c r="S514" s="33"/>
      <c r="T514" s="33"/>
      <c r="U514" s="33"/>
      <c r="V514" s="33"/>
      <c r="W514" s="33"/>
      <c r="X514" s="33"/>
      <c r="Y514" s="3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</row>
    <row r="515" spans="1:65" ht="15" customHeight="1">
      <c r="A515" s="33"/>
      <c r="B515" s="33"/>
      <c r="C515" s="33"/>
      <c r="D515" s="33"/>
      <c r="E515" s="33"/>
      <c r="F515" s="33"/>
      <c r="G515" s="33"/>
      <c r="H515" s="33"/>
      <c r="I515" s="33"/>
      <c r="J515" s="33"/>
      <c r="K515" s="33"/>
      <c r="L515" s="33"/>
      <c r="M515" s="33"/>
      <c r="N515" s="33"/>
      <c r="O515" s="33"/>
      <c r="P515" s="33"/>
      <c r="Q515" s="33"/>
      <c r="R515" s="33"/>
      <c r="S515" s="33"/>
      <c r="T515" s="33"/>
      <c r="U515" s="33"/>
      <c r="V515" s="33"/>
      <c r="W515" s="33"/>
      <c r="X515" s="33"/>
      <c r="Y515" s="3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  <c r="BL515" s="33"/>
      <c r="BM515" s="33"/>
    </row>
    <row r="516" spans="1:65" ht="15" customHeight="1">
      <c r="A516" s="33"/>
      <c r="B516" s="33"/>
      <c r="C516" s="33"/>
      <c r="D516" s="33"/>
      <c r="E516" s="33"/>
      <c r="F516" s="33"/>
      <c r="G516" s="33"/>
      <c r="H516" s="33"/>
      <c r="I516" s="33"/>
      <c r="J516" s="33"/>
      <c r="K516" s="33"/>
      <c r="L516" s="33"/>
      <c r="M516" s="33"/>
      <c r="N516" s="33"/>
      <c r="O516" s="33"/>
      <c r="P516" s="33"/>
      <c r="Q516" s="33"/>
      <c r="R516" s="33"/>
      <c r="S516" s="33"/>
      <c r="T516" s="33"/>
      <c r="U516" s="33"/>
      <c r="V516" s="33"/>
      <c r="W516" s="33"/>
      <c r="X516" s="33"/>
      <c r="Y516" s="3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  <c r="BL516" s="33"/>
      <c r="BM516" s="33"/>
    </row>
    <row r="517" spans="1:65" ht="15" customHeight="1">
      <c r="A517" s="33"/>
      <c r="B517" s="33"/>
      <c r="C517" s="33"/>
      <c r="D517" s="33"/>
      <c r="E517" s="33"/>
      <c r="F517" s="33"/>
      <c r="G517" s="33"/>
      <c r="H517" s="33"/>
      <c r="I517" s="33"/>
      <c r="J517" s="33"/>
      <c r="K517" s="33"/>
      <c r="L517" s="33"/>
      <c r="M517" s="33"/>
      <c r="N517" s="33"/>
      <c r="O517" s="33"/>
      <c r="P517" s="33"/>
      <c r="Q517" s="33"/>
      <c r="R517" s="33"/>
      <c r="S517" s="33"/>
      <c r="T517" s="33"/>
      <c r="U517" s="33"/>
      <c r="V517" s="33"/>
      <c r="W517" s="33"/>
      <c r="X517" s="33"/>
      <c r="Y517" s="3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  <c r="BK517" s="33"/>
      <c r="BL517" s="33"/>
      <c r="BM517" s="33"/>
    </row>
    <row r="518" spans="1:65" ht="15" customHeight="1">
      <c r="A518" s="33"/>
      <c r="B518" s="33"/>
      <c r="C518" s="33"/>
      <c r="D518" s="33"/>
      <c r="E518" s="33"/>
      <c r="F518" s="33"/>
      <c r="G518" s="33"/>
      <c r="H518" s="33"/>
      <c r="I518" s="33"/>
      <c r="J518" s="33"/>
      <c r="K518" s="33"/>
      <c r="L518" s="33"/>
      <c r="M518" s="33"/>
      <c r="N518" s="33"/>
      <c r="O518" s="33"/>
      <c r="P518" s="33"/>
      <c r="Q518" s="33"/>
      <c r="R518" s="33"/>
      <c r="S518" s="33"/>
      <c r="T518" s="33"/>
      <c r="U518" s="33"/>
      <c r="V518" s="33"/>
      <c r="W518" s="33"/>
      <c r="X518" s="33"/>
      <c r="Y518" s="3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  <c r="BK518" s="33"/>
      <c r="BL518" s="33"/>
      <c r="BM518" s="33"/>
    </row>
    <row r="519" spans="1:65" ht="15" customHeight="1">
      <c r="A519" s="33"/>
      <c r="B519" s="33"/>
      <c r="C519" s="33"/>
      <c r="D519" s="33"/>
      <c r="E519" s="33"/>
      <c r="F519" s="33"/>
      <c r="G519" s="33"/>
      <c r="H519" s="33"/>
      <c r="I519" s="33"/>
      <c r="J519" s="33"/>
      <c r="K519" s="33"/>
      <c r="L519" s="33"/>
      <c r="M519" s="33"/>
      <c r="N519" s="33"/>
      <c r="O519" s="33"/>
      <c r="P519" s="33"/>
      <c r="Q519" s="33"/>
      <c r="R519" s="33"/>
      <c r="S519" s="33"/>
      <c r="T519" s="33"/>
      <c r="U519" s="33"/>
      <c r="V519" s="33"/>
      <c r="W519" s="33"/>
      <c r="X519" s="33"/>
      <c r="Y519" s="3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  <c r="BL519" s="33"/>
      <c r="BM519" s="33"/>
    </row>
    <row r="520" spans="1:65" ht="15" customHeight="1">
      <c r="A520" s="33"/>
      <c r="B520" s="33"/>
      <c r="C520" s="33"/>
      <c r="D520" s="33"/>
      <c r="E520" s="33"/>
      <c r="F520" s="33"/>
      <c r="G520" s="33"/>
      <c r="H520" s="33"/>
      <c r="I520" s="33"/>
      <c r="J520" s="33"/>
      <c r="K520" s="33"/>
      <c r="L520" s="33"/>
      <c r="M520" s="33"/>
      <c r="N520" s="33"/>
      <c r="O520" s="33"/>
      <c r="P520" s="33"/>
      <c r="Q520" s="33"/>
      <c r="R520" s="33"/>
      <c r="S520" s="33"/>
      <c r="T520" s="33"/>
      <c r="U520" s="33"/>
      <c r="V520" s="33"/>
      <c r="W520" s="33"/>
      <c r="X520" s="33"/>
      <c r="Y520" s="3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  <c r="BL520" s="33"/>
      <c r="BM520" s="33"/>
    </row>
    <row r="521" spans="1:65" ht="15" customHeight="1">
      <c r="A521" s="33"/>
      <c r="B521" s="33"/>
      <c r="C521" s="33"/>
      <c r="D521" s="33"/>
      <c r="E521" s="33"/>
      <c r="F521" s="33"/>
      <c r="G521" s="33"/>
      <c r="H521" s="33"/>
      <c r="I521" s="33"/>
      <c r="J521" s="33"/>
      <c r="K521" s="33"/>
      <c r="L521" s="33"/>
      <c r="M521" s="33"/>
      <c r="N521" s="33"/>
      <c r="O521" s="33"/>
      <c r="P521" s="33"/>
      <c r="Q521" s="33"/>
      <c r="R521" s="33"/>
      <c r="S521" s="33"/>
      <c r="T521" s="33"/>
      <c r="U521" s="33"/>
      <c r="V521" s="33"/>
      <c r="W521" s="33"/>
      <c r="X521" s="33"/>
      <c r="Y521" s="3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  <c r="BL521" s="33"/>
      <c r="BM521" s="33"/>
    </row>
    <row r="522" spans="1:65" ht="15" customHeight="1">
      <c r="A522" s="33"/>
      <c r="B522" s="33"/>
      <c r="C522" s="33"/>
      <c r="D522" s="33"/>
      <c r="E522" s="33"/>
      <c r="F522" s="33"/>
      <c r="G522" s="33"/>
      <c r="H522" s="33"/>
      <c r="I522" s="33"/>
      <c r="J522" s="33"/>
      <c r="K522" s="33"/>
      <c r="L522" s="33"/>
      <c r="M522" s="33"/>
      <c r="N522" s="33"/>
      <c r="O522" s="33"/>
      <c r="P522" s="33"/>
      <c r="Q522" s="33"/>
      <c r="R522" s="33"/>
      <c r="S522" s="33"/>
      <c r="T522" s="33"/>
      <c r="U522" s="33"/>
      <c r="V522" s="33"/>
      <c r="W522" s="33"/>
      <c r="X522" s="33"/>
      <c r="Y522" s="3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</row>
    <row r="523" spans="1:65" ht="15" customHeight="1">
      <c r="A523" s="33"/>
      <c r="B523" s="33"/>
      <c r="C523" s="33"/>
      <c r="D523" s="33"/>
      <c r="E523" s="33"/>
      <c r="F523" s="33"/>
      <c r="G523" s="33"/>
      <c r="H523" s="33"/>
      <c r="I523" s="33"/>
      <c r="J523" s="33"/>
      <c r="K523" s="33"/>
      <c r="L523" s="33"/>
      <c r="M523" s="33"/>
      <c r="N523" s="33"/>
      <c r="O523" s="33"/>
      <c r="P523" s="33"/>
      <c r="Q523" s="33"/>
      <c r="R523" s="33"/>
      <c r="S523" s="33"/>
      <c r="T523" s="33"/>
      <c r="U523" s="33"/>
      <c r="V523" s="33"/>
      <c r="W523" s="33"/>
      <c r="X523" s="33"/>
      <c r="Y523" s="3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  <c r="BL523" s="33"/>
      <c r="BM523" s="33"/>
    </row>
    <row r="524" spans="1:65" ht="15" customHeight="1">
      <c r="A524" s="33"/>
      <c r="B524" s="33"/>
      <c r="C524" s="33"/>
      <c r="D524" s="33"/>
      <c r="E524" s="33"/>
      <c r="F524" s="33"/>
      <c r="G524" s="33"/>
      <c r="H524" s="33"/>
      <c r="I524" s="33"/>
      <c r="J524" s="33"/>
      <c r="K524" s="33"/>
      <c r="L524" s="33"/>
      <c r="M524" s="33"/>
      <c r="N524" s="33"/>
      <c r="O524" s="33"/>
      <c r="P524" s="33"/>
      <c r="Q524" s="33"/>
      <c r="R524" s="33"/>
      <c r="S524" s="33"/>
      <c r="T524" s="33"/>
      <c r="U524" s="33"/>
      <c r="V524" s="33"/>
      <c r="W524" s="33"/>
      <c r="X524" s="33"/>
      <c r="Y524" s="3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</row>
    <row r="525" spans="1:65" ht="15" customHeight="1">
      <c r="A525" s="33"/>
      <c r="B525" s="33"/>
      <c r="C525" s="33"/>
      <c r="D525" s="33"/>
      <c r="E525" s="33"/>
      <c r="F525" s="33"/>
      <c r="G525" s="33"/>
      <c r="H525" s="33"/>
      <c r="I525" s="33"/>
      <c r="J525" s="33"/>
      <c r="K525" s="33"/>
      <c r="L525" s="33"/>
      <c r="M525" s="33"/>
      <c r="N525" s="33"/>
      <c r="O525" s="33"/>
      <c r="P525" s="33"/>
      <c r="Q525" s="33"/>
      <c r="R525" s="33"/>
      <c r="S525" s="33"/>
      <c r="T525" s="33"/>
      <c r="U525" s="33"/>
      <c r="V525" s="33"/>
      <c r="W525" s="33"/>
      <c r="X525" s="33"/>
      <c r="Y525" s="3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</row>
    <row r="526" spans="1:65" ht="15" customHeight="1">
      <c r="A526" s="33"/>
      <c r="B526" s="33"/>
      <c r="C526" s="33"/>
      <c r="D526" s="33"/>
      <c r="E526" s="33"/>
      <c r="F526" s="33"/>
      <c r="G526" s="33"/>
      <c r="H526" s="33"/>
      <c r="I526" s="33"/>
      <c r="J526" s="33"/>
      <c r="K526" s="33"/>
      <c r="L526" s="33"/>
      <c r="M526" s="33"/>
      <c r="N526" s="33"/>
      <c r="O526" s="33"/>
      <c r="P526" s="33"/>
      <c r="Q526" s="33"/>
      <c r="R526" s="33"/>
      <c r="S526" s="33"/>
      <c r="T526" s="33"/>
      <c r="U526" s="33"/>
      <c r="V526" s="33"/>
      <c r="W526" s="33"/>
      <c r="X526" s="33"/>
      <c r="Y526" s="3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  <c r="BL526" s="33"/>
      <c r="BM526" s="33"/>
    </row>
    <row r="527" spans="1:65" ht="15" customHeight="1">
      <c r="A527" s="33"/>
      <c r="B527" s="33"/>
      <c r="C527" s="33"/>
      <c r="D527" s="33"/>
      <c r="E527" s="33"/>
      <c r="F527" s="33"/>
      <c r="G527" s="33"/>
      <c r="H527" s="33"/>
      <c r="I527" s="33"/>
      <c r="J527" s="33"/>
      <c r="K527" s="33"/>
      <c r="L527" s="33"/>
      <c r="M527" s="33"/>
      <c r="N527" s="33"/>
      <c r="O527" s="33"/>
      <c r="P527" s="33"/>
      <c r="Q527" s="33"/>
      <c r="R527" s="33"/>
      <c r="S527" s="33"/>
      <c r="T527" s="33"/>
      <c r="U527" s="33"/>
      <c r="V527" s="33"/>
      <c r="W527" s="33"/>
      <c r="X527" s="33"/>
      <c r="Y527" s="3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</row>
    <row r="528" spans="1:65" ht="15" customHeight="1">
      <c r="A528" s="33"/>
      <c r="B528" s="33"/>
      <c r="C528" s="33"/>
      <c r="D528" s="33"/>
      <c r="E528" s="33"/>
      <c r="F528" s="33"/>
      <c r="G528" s="33"/>
      <c r="H528" s="33"/>
      <c r="I528" s="33"/>
      <c r="J528" s="33"/>
      <c r="K528" s="33"/>
      <c r="L528" s="33"/>
      <c r="M528" s="33"/>
      <c r="N528" s="33"/>
      <c r="O528" s="33"/>
      <c r="P528" s="33"/>
      <c r="Q528" s="33"/>
      <c r="R528" s="33"/>
      <c r="S528" s="33"/>
      <c r="T528" s="33"/>
      <c r="U528" s="33"/>
      <c r="V528" s="33"/>
      <c r="W528" s="33"/>
      <c r="X528" s="33"/>
      <c r="Y528" s="3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  <c r="BL528" s="33"/>
      <c r="BM528" s="33"/>
    </row>
    <row r="529" spans="1:65" ht="15" customHeight="1">
      <c r="A529" s="33"/>
      <c r="B529" s="33"/>
      <c r="C529" s="33"/>
      <c r="D529" s="33"/>
      <c r="E529" s="33"/>
      <c r="F529" s="33"/>
      <c r="G529" s="33"/>
      <c r="H529" s="33"/>
      <c r="I529" s="33"/>
      <c r="J529" s="33"/>
      <c r="K529" s="33"/>
      <c r="L529" s="33"/>
      <c r="M529" s="33"/>
      <c r="N529" s="33"/>
      <c r="O529" s="33"/>
      <c r="P529" s="33"/>
      <c r="Q529" s="33"/>
      <c r="R529" s="33"/>
      <c r="S529" s="33"/>
      <c r="T529" s="33"/>
      <c r="U529" s="33"/>
      <c r="V529" s="33"/>
      <c r="W529" s="33"/>
      <c r="X529" s="33"/>
      <c r="Y529" s="3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  <c r="BL529" s="33"/>
      <c r="BM529" s="33"/>
    </row>
    <row r="530" spans="1:65" ht="15" customHeight="1">
      <c r="A530" s="33"/>
      <c r="B530" s="33"/>
      <c r="C530" s="33"/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  <c r="BL530" s="33"/>
      <c r="BM530" s="33"/>
    </row>
    <row r="531" spans="1:65" ht="15" customHeight="1">
      <c r="A531" s="33"/>
      <c r="B531" s="33"/>
      <c r="C531" s="33"/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  <c r="BL531" s="33"/>
      <c r="BM531" s="33"/>
    </row>
    <row r="532" spans="1:65" ht="15" customHeight="1">
      <c r="A532" s="33"/>
      <c r="B532" s="33"/>
      <c r="C532" s="33"/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  <c r="BK532" s="33"/>
      <c r="BL532" s="33"/>
      <c r="BM532" s="33"/>
    </row>
    <row r="533" spans="1:65" ht="15" customHeight="1">
      <c r="A533" s="33"/>
      <c r="B533" s="33"/>
      <c r="C533" s="33"/>
      <c r="D533" s="33"/>
      <c r="E533" s="33"/>
      <c r="F533" s="33"/>
      <c r="G533" s="33"/>
      <c r="H533" s="33"/>
      <c r="I533" s="33"/>
      <c r="J533" s="33"/>
      <c r="K533" s="33"/>
      <c r="L533" s="33"/>
      <c r="M533" s="33"/>
      <c r="N533" s="33"/>
      <c r="O533" s="33"/>
      <c r="P533" s="33"/>
      <c r="Q533" s="33"/>
      <c r="R533" s="33"/>
      <c r="S533" s="33"/>
      <c r="T533" s="33"/>
      <c r="U533" s="33"/>
      <c r="V533" s="33"/>
      <c r="W533" s="33"/>
      <c r="X533" s="33"/>
      <c r="Y533" s="3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</row>
    <row r="534" spans="1:65" ht="15" customHeight="1">
      <c r="A534" s="33"/>
      <c r="B534" s="33"/>
      <c r="C534" s="33"/>
      <c r="D534" s="33"/>
      <c r="E534" s="33"/>
      <c r="F534" s="33"/>
      <c r="G534" s="33"/>
      <c r="H534" s="33"/>
      <c r="I534" s="33"/>
      <c r="J534" s="33"/>
      <c r="K534" s="33"/>
      <c r="L534" s="33"/>
      <c r="M534" s="33"/>
      <c r="N534" s="33"/>
      <c r="O534" s="33"/>
      <c r="P534" s="33"/>
      <c r="Q534" s="33"/>
      <c r="R534" s="33"/>
      <c r="S534" s="33"/>
      <c r="T534" s="33"/>
      <c r="U534" s="33"/>
      <c r="V534" s="33"/>
      <c r="W534" s="33"/>
      <c r="X534" s="33"/>
      <c r="Y534" s="3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  <c r="BK534" s="33"/>
      <c r="BL534" s="33"/>
      <c r="BM534" s="33"/>
    </row>
    <row r="535" spans="1:65" ht="15" customHeight="1">
      <c r="A535" s="33"/>
      <c r="B535" s="33"/>
      <c r="C535" s="33"/>
      <c r="D535" s="33"/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  <c r="BL535" s="33"/>
      <c r="BM535" s="33"/>
    </row>
    <row r="536" spans="1:65" ht="15" customHeight="1">
      <c r="A536" s="33"/>
      <c r="B536" s="33"/>
      <c r="C536" s="33"/>
      <c r="D536" s="33"/>
      <c r="E536" s="33"/>
      <c r="F536" s="33"/>
      <c r="G536" s="33"/>
      <c r="H536" s="33"/>
      <c r="I536" s="33"/>
      <c r="J536" s="33"/>
      <c r="K536" s="33"/>
      <c r="L536" s="33"/>
      <c r="M536" s="33"/>
      <c r="N536" s="33"/>
      <c r="O536" s="33"/>
      <c r="P536" s="33"/>
      <c r="Q536" s="33"/>
      <c r="R536" s="33"/>
      <c r="S536" s="33"/>
      <c r="T536" s="33"/>
      <c r="U536" s="33"/>
      <c r="V536" s="33"/>
      <c r="W536" s="33"/>
      <c r="X536" s="33"/>
      <c r="Y536" s="3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  <c r="BL536" s="33"/>
      <c r="BM536" s="33"/>
    </row>
    <row r="537" spans="1:65" ht="15" customHeight="1">
      <c r="A537" s="33"/>
      <c r="B537" s="33"/>
      <c r="C537" s="33"/>
      <c r="D537" s="33"/>
      <c r="E537" s="33"/>
      <c r="F537" s="33"/>
      <c r="G537" s="33"/>
      <c r="H537" s="33"/>
      <c r="I537" s="33"/>
      <c r="J537" s="33"/>
      <c r="K537" s="33"/>
      <c r="L537" s="33"/>
      <c r="M537" s="33"/>
      <c r="N537" s="33"/>
      <c r="O537" s="33"/>
      <c r="P537" s="33"/>
      <c r="Q537" s="33"/>
      <c r="R537" s="33"/>
      <c r="S537" s="33"/>
      <c r="T537" s="33"/>
      <c r="U537" s="33"/>
      <c r="V537" s="33"/>
      <c r="W537" s="33"/>
      <c r="X537" s="33"/>
      <c r="Y537" s="3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  <c r="BL537" s="33"/>
      <c r="BM537" s="33"/>
    </row>
    <row r="538" spans="1:65" ht="15" customHeight="1">
      <c r="A538" s="33"/>
      <c r="B538" s="33"/>
      <c r="C538" s="33"/>
      <c r="D538" s="33"/>
      <c r="E538" s="33"/>
      <c r="F538" s="33"/>
      <c r="G538" s="33"/>
      <c r="H538" s="33"/>
      <c r="I538" s="33"/>
      <c r="J538" s="33"/>
      <c r="K538" s="33"/>
      <c r="L538" s="33"/>
      <c r="M538" s="33"/>
      <c r="N538" s="33"/>
      <c r="O538" s="33"/>
      <c r="P538" s="33"/>
      <c r="Q538" s="33"/>
      <c r="R538" s="33"/>
      <c r="S538" s="33"/>
      <c r="T538" s="33"/>
      <c r="U538" s="33"/>
      <c r="V538" s="33"/>
      <c r="W538" s="33"/>
      <c r="X538" s="33"/>
      <c r="Y538" s="3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  <c r="BL538" s="33"/>
      <c r="BM538" s="33"/>
    </row>
    <row r="539" spans="1:65" ht="15" customHeight="1">
      <c r="A539" s="33"/>
      <c r="B539" s="33"/>
      <c r="C539" s="33"/>
      <c r="D539" s="33"/>
      <c r="E539" s="33"/>
      <c r="F539" s="33"/>
      <c r="G539" s="33"/>
      <c r="H539" s="33"/>
      <c r="I539" s="33"/>
      <c r="J539" s="33"/>
      <c r="K539" s="33"/>
      <c r="L539" s="33"/>
      <c r="M539" s="33"/>
      <c r="N539" s="33"/>
      <c r="O539" s="33"/>
      <c r="P539" s="33"/>
      <c r="Q539" s="33"/>
      <c r="R539" s="33"/>
      <c r="S539" s="33"/>
      <c r="T539" s="33"/>
      <c r="U539" s="33"/>
      <c r="V539" s="33"/>
      <c r="W539" s="33"/>
      <c r="X539" s="33"/>
      <c r="Y539" s="3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  <c r="BK539" s="33"/>
      <c r="BL539" s="33"/>
      <c r="BM539" s="33"/>
    </row>
    <row r="540" spans="1:65" ht="15" customHeight="1">
      <c r="A540" s="33"/>
      <c r="B540" s="33"/>
      <c r="C540" s="33"/>
      <c r="D540" s="33"/>
      <c r="E540" s="33"/>
      <c r="F540" s="33"/>
      <c r="G540" s="33"/>
      <c r="H540" s="33"/>
      <c r="I540" s="33"/>
      <c r="J540" s="33"/>
      <c r="K540" s="33"/>
      <c r="L540" s="33"/>
      <c r="M540" s="33"/>
      <c r="N540" s="33"/>
      <c r="O540" s="33"/>
      <c r="P540" s="33"/>
      <c r="Q540" s="33"/>
      <c r="R540" s="33"/>
      <c r="S540" s="33"/>
      <c r="T540" s="33"/>
      <c r="U540" s="33"/>
      <c r="V540" s="33"/>
      <c r="W540" s="33"/>
      <c r="X540" s="33"/>
      <c r="Y540" s="3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  <c r="BL540" s="33"/>
      <c r="BM540" s="33"/>
    </row>
    <row r="541" spans="1:65" ht="15" customHeight="1">
      <c r="A541" s="33"/>
      <c r="B541" s="33"/>
      <c r="C541" s="33"/>
      <c r="D541" s="33"/>
      <c r="E541" s="33"/>
      <c r="F541" s="33"/>
      <c r="G541" s="33"/>
      <c r="H541" s="33"/>
      <c r="I541" s="33"/>
      <c r="J541" s="33"/>
      <c r="K541" s="33"/>
      <c r="L541" s="33"/>
      <c r="M541" s="33"/>
      <c r="N541" s="33"/>
      <c r="O541" s="33"/>
      <c r="P541" s="33"/>
      <c r="Q541" s="33"/>
      <c r="R541" s="33"/>
      <c r="S541" s="33"/>
      <c r="T541" s="33"/>
      <c r="U541" s="33"/>
      <c r="V541" s="33"/>
      <c r="W541" s="33"/>
      <c r="X541" s="33"/>
      <c r="Y541" s="3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  <c r="BK541" s="33"/>
      <c r="BL541" s="33"/>
      <c r="BM541" s="33"/>
    </row>
    <row r="542" spans="1:65" ht="15" customHeight="1">
      <c r="A542" s="33"/>
      <c r="B542" s="33"/>
      <c r="C542" s="33"/>
      <c r="D542" s="33"/>
      <c r="E542" s="33"/>
      <c r="F542" s="33"/>
      <c r="G542" s="33"/>
      <c r="H542" s="33"/>
      <c r="I542" s="33"/>
      <c r="J542" s="33"/>
      <c r="K542" s="33"/>
      <c r="L542" s="33"/>
      <c r="M542" s="33"/>
      <c r="N542" s="33"/>
      <c r="O542" s="33"/>
      <c r="P542" s="33"/>
      <c r="Q542" s="33"/>
      <c r="R542" s="33"/>
      <c r="S542" s="33"/>
      <c r="T542" s="33"/>
      <c r="U542" s="33"/>
      <c r="V542" s="33"/>
      <c r="W542" s="33"/>
      <c r="X542" s="33"/>
      <c r="Y542" s="3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  <c r="BL542" s="33"/>
      <c r="BM542" s="33"/>
    </row>
    <row r="543" spans="1:65" ht="15" customHeight="1">
      <c r="A543" s="33"/>
      <c r="B543" s="33"/>
      <c r="C543" s="33"/>
      <c r="D543" s="33"/>
      <c r="E543" s="33"/>
      <c r="F543" s="33"/>
      <c r="G543" s="33"/>
      <c r="H543" s="33"/>
      <c r="I543" s="33"/>
      <c r="J543" s="33"/>
      <c r="K543" s="33"/>
      <c r="L543" s="33"/>
      <c r="M543" s="33"/>
      <c r="N543" s="33"/>
      <c r="O543" s="33"/>
      <c r="P543" s="33"/>
      <c r="Q543" s="33"/>
      <c r="R543" s="33"/>
      <c r="S543" s="33"/>
      <c r="T543" s="33"/>
      <c r="U543" s="33"/>
      <c r="V543" s="33"/>
      <c r="W543" s="33"/>
      <c r="X543" s="33"/>
      <c r="Y543" s="3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  <c r="BK543" s="33"/>
      <c r="BL543" s="33"/>
      <c r="BM543" s="33"/>
    </row>
    <row r="544" spans="1:65" ht="15" customHeight="1">
      <c r="A544" s="33"/>
      <c r="B544" s="33"/>
      <c r="C544" s="33"/>
      <c r="D544" s="33"/>
      <c r="E544" s="33"/>
      <c r="F544" s="33"/>
      <c r="G544" s="33"/>
      <c r="H544" s="33"/>
      <c r="I544" s="33"/>
      <c r="J544" s="33"/>
      <c r="K544" s="33"/>
      <c r="L544" s="33"/>
      <c r="M544" s="33"/>
      <c r="N544" s="33"/>
      <c r="O544" s="33"/>
      <c r="P544" s="33"/>
      <c r="Q544" s="33"/>
      <c r="R544" s="33"/>
      <c r="S544" s="33"/>
      <c r="T544" s="33"/>
      <c r="U544" s="33"/>
      <c r="V544" s="33"/>
      <c r="W544" s="33"/>
      <c r="X544" s="33"/>
      <c r="Y544" s="3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  <c r="BL544" s="33"/>
      <c r="BM544" s="33"/>
    </row>
    <row r="545" spans="1:65" ht="15" customHeight="1">
      <c r="A545" s="33"/>
      <c r="B545" s="33"/>
      <c r="C545" s="33"/>
      <c r="D545" s="33"/>
      <c r="E545" s="33"/>
      <c r="F545" s="33"/>
      <c r="G545" s="33"/>
      <c r="H545" s="33"/>
      <c r="I545" s="33"/>
      <c r="J545" s="33"/>
      <c r="K545" s="33"/>
      <c r="L545" s="33"/>
      <c r="M545" s="33"/>
      <c r="N545" s="33"/>
      <c r="O545" s="33"/>
      <c r="P545" s="33"/>
      <c r="Q545" s="33"/>
      <c r="R545" s="33"/>
      <c r="S545" s="33"/>
      <c r="T545" s="33"/>
      <c r="U545" s="33"/>
      <c r="V545" s="33"/>
      <c r="W545" s="33"/>
      <c r="X545" s="33"/>
      <c r="Y545" s="3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  <c r="BL545" s="33"/>
      <c r="BM545" s="33"/>
    </row>
    <row r="546" spans="1:65" ht="15" customHeight="1">
      <c r="A546" s="33"/>
      <c r="B546" s="33"/>
      <c r="C546" s="33"/>
      <c r="D546" s="33"/>
      <c r="E546" s="33"/>
      <c r="F546" s="33"/>
      <c r="G546" s="33"/>
      <c r="H546" s="33"/>
      <c r="I546" s="33"/>
      <c r="J546" s="33"/>
      <c r="K546" s="33"/>
      <c r="L546" s="33"/>
      <c r="M546" s="33"/>
      <c r="N546" s="33"/>
      <c r="O546" s="33"/>
      <c r="P546" s="33"/>
      <c r="Q546" s="33"/>
      <c r="R546" s="33"/>
      <c r="S546" s="33"/>
      <c r="T546" s="33"/>
      <c r="U546" s="33"/>
      <c r="V546" s="33"/>
      <c r="W546" s="33"/>
      <c r="X546" s="33"/>
      <c r="Y546" s="3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  <c r="BK546" s="33"/>
      <c r="BL546" s="33"/>
      <c r="BM546" s="33"/>
    </row>
    <row r="547" spans="1:65" ht="15" customHeight="1">
      <c r="A547" s="33"/>
      <c r="B547" s="33"/>
      <c r="C547" s="33"/>
      <c r="D547" s="33"/>
      <c r="E547" s="33"/>
      <c r="F547" s="33"/>
      <c r="G547" s="33"/>
      <c r="H547" s="33"/>
      <c r="I547" s="33"/>
      <c r="J547" s="33"/>
      <c r="K547" s="33"/>
      <c r="L547" s="33"/>
      <c r="M547" s="33"/>
      <c r="N547" s="33"/>
      <c r="O547" s="33"/>
      <c r="P547" s="33"/>
      <c r="Q547" s="33"/>
      <c r="R547" s="33"/>
      <c r="S547" s="33"/>
      <c r="T547" s="33"/>
      <c r="U547" s="33"/>
      <c r="V547" s="33"/>
      <c r="W547" s="33"/>
      <c r="X547" s="33"/>
      <c r="Y547" s="3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  <c r="BL547" s="33"/>
      <c r="BM547" s="33"/>
    </row>
    <row r="548" spans="1:65" ht="15" customHeight="1">
      <c r="A548" s="33"/>
      <c r="B548" s="33"/>
      <c r="C548" s="33"/>
      <c r="D548" s="33"/>
      <c r="E548" s="33"/>
      <c r="F548" s="33"/>
      <c r="G548" s="33"/>
      <c r="H548" s="33"/>
      <c r="I548" s="33"/>
      <c r="J548" s="33"/>
      <c r="K548" s="33"/>
      <c r="L548" s="33"/>
      <c r="M548" s="33"/>
      <c r="N548" s="33"/>
      <c r="O548" s="33"/>
      <c r="P548" s="33"/>
      <c r="Q548" s="33"/>
      <c r="R548" s="33"/>
      <c r="S548" s="33"/>
      <c r="T548" s="33"/>
      <c r="U548" s="33"/>
      <c r="V548" s="33"/>
      <c r="W548" s="33"/>
      <c r="X548" s="33"/>
      <c r="Y548" s="3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  <c r="BK548" s="33"/>
      <c r="BL548" s="33"/>
      <c r="BM548" s="33"/>
    </row>
    <row r="549" spans="1:65" ht="15" customHeight="1">
      <c r="A549" s="33"/>
      <c r="B549" s="33"/>
      <c r="C549" s="33"/>
      <c r="D549" s="33"/>
      <c r="E549" s="33"/>
      <c r="F549" s="33"/>
      <c r="G549" s="33"/>
      <c r="H549" s="33"/>
      <c r="I549" s="33"/>
      <c r="J549" s="33"/>
      <c r="K549" s="33"/>
      <c r="L549" s="33"/>
      <c r="M549" s="33"/>
      <c r="N549" s="33"/>
      <c r="O549" s="33"/>
      <c r="P549" s="33"/>
      <c r="Q549" s="33"/>
      <c r="R549" s="33"/>
      <c r="S549" s="33"/>
      <c r="T549" s="33"/>
      <c r="U549" s="33"/>
      <c r="V549" s="33"/>
      <c r="W549" s="33"/>
      <c r="X549" s="33"/>
      <c r="Y549" s="3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  <c r="BL549" s="33"/>
      <c r="BM549" s="33"/>
    </row>
    <row r="550" spans="1:65" ht="15" customHeight="1">
      <c r="A550" s="33"/>
      <c r="B550" s="33"/>
      <c r="C550" s="33"/>
      <c r="D550" s="33"/>
      <c r="E550" s="33"/>
      <c r="F550" s="33"/>
      <c r="G550" s="33"/>
      <c r="H550" s="33"/>
      <c r="I550" s="33"/>
      <c r="J550" s="33"/>
      <c r="K550" s="33"/>
      <c r="L550" s="33"/>
      <c r="M550" s="33"/>
      <c r="N550" s="33"/>
      <c r="O550" s="33"/>
      <c r="P550" s="33"/>
      <c r="Q550" s="33"/>
      <c r="R550" s="33"/>
      <c r="S550" s="33"/>
      <c r="T550" s="33"/>
      <c r="U550" s="33"/>
      <c r="V550" s="33"/>
      <c r="W550" s="33"/>
      <c r="X550" s="33"/>
      <c r="Y550" s="3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  <c r="BK550" s="33"/>
      <c r="BL550" s="33"/>
      <c r="BM550" s="33"/>
    </row>
    <row r="551" spans="1:65" ht="15" customHeight="1">
      <c r="A551" s="33"/>
      <c r="B551" s="33"/>
      <c r="C551" s="33"/>
      <c r="D551" s="33"/>
      <c r="E551" s="33"/>
      <c r="F551" s="33"/>
      <c r="G551" s="33"/>
      <c r="H551" s="33"/>
      <c r="I551" s="33"/>
      <c r="J551" s="33"/>
      <c r="K551" s="33"/>
      <c r="L551" s="33"/>
      <c r="M551" s="33"/>
      <c r="N551" s="33"/>
      <c r="O551" s="33"/>
      <c r="P551" s="33"/>
      <c r="Q551" s="33"/>
      <c r="R551" s="33"/>
      <c r="S551" s="33"/>
      <c r="T551" s="33"/>
      <c r="U551" s="33"/>
      <c r="V551" s="33"/>
      <c r="W551" s="33"/>
      <c r="X551" s="33"/>
      <c r="Y551" s="3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  <c r="BL551" s="33"/>
      <c r="BM551" s="33"/>
    </row>
    <row r="552" spans="1:65" ht="15" customHeight="1">
      <c r="A552" s="33"/>
      <c r="B552" s="33"/>
      <c r="C552" s="33"/>
      <c r="D552" s="33"/>
      <c r="E552" s="33"/>
      <c r="F552" s="33"/>
      <c r="G552" s="33"/>
      <c r="H552" s="33"/>
      <c r="I552" s="33"/>
      <c r="J552" s="33"/>
      <c r="K552" s="33"/>
      <c r="L552" s="33"/>
      <c r="M552" s="33"/>
      <c r="N552" s="33"/>
      <c r="O552" s="33"/>
      <c r="P552" s="33"/>
      <c r="Q552" s="33"/>
      <c r="R552" s="33"/>
      <c r="S552" s="33"/>
      <c r="T552" s="33"/>
      <c r="U552" s="33"/>
      <c r="V552" s="33"/>
      <c r="W552" s="33"/>
      <c r="X552" s="33"/>
      <c r="Y552" s="3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  <c r="BK552" s="33"/>
      <c r="BL552" s="33"/>
      <c r="BM552" s="33"/>
    </row>
    <row r="553" spans="1:65" ht="15" customHeight="1">
      <c r="A553" s="33"/>
      <c r="B553" s="33"/>
      <c r="C553" s="33"/>
      <c r="D553" s="33"/>
      <c r="E553" s="33"/>
      <c r="F553" s="33"/>
      <c r="G553" s="33"/>
      <c r="H553" s="33"/>
      <c r="I553" s="33"/>
      <c r="J553" s="33"/>
      <c r="K553" s="33"/>
      <c r="L553" s="33"/>
      <c r="M553" s="33"/>
      <c r="N553" s="33"/>
      <c r="O553" s="33"/>
      <c r="P553" s="33"/>
      <c r="Q553" s="33"/>
      <c r="R553" s="33"/>
      <c r="S553" s="33"/>
      <c r="T553" s="33"/>
      <c r="U553" s="33"/>
      <c r="V553" s="33"/>
      <c r="W553" s="33"/>
      <c r="X553" s="33"/>
      <c r="Y553" s="3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  <c r="BL553" s="33"/>
      <c r="BM553" s="33"/>
    </row>
    <row r="554" spans="1:65" ht="15" customHeight="1">
      <c r="A554" s="33"/>
      <c r="B554" s="33"/>
      <c r="C554" s="33"/>
      <c r="D554" s="33"/>
      <c r="E554" s="33"/>
      <c r="F554" s="33"/>
      <c r="G554" s="33"/>
      <c r="H554" s="33"/>
      <c r="I554" s="33"/>
      <c r="J554" s="33"/>
      <c r="K554" s="33"/>
      <c r="L554" s="33"/>
      <c r="M554" s="33"/>
      <c r="N554" s="33"/>
      <c r="O554" s="33"/>
      <c r="P554" s="33"/>
      <c r="Q554" s="33"/>
      <c r="R554" s="33"/>
      <c r="S554" s="33"/>
      <c r="T554" s="33"/>
      <c r="U554" s="33"/>
      <c r="V554" s="33"/>
      <c r="W554" s="33"/>
      <c r="X554" s="33"/>
      <c r="Y554" s="3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  <c r="BK554" s="33"/>
      <c r="BL554" s="33"/>
      <c r="BM554" s="33"/>
    </row>
    <row r="555" spans="1:65" ht="15" customHeight="1">
      <c r="A555" s="33"/>
      <c r="B555" s="33"/>
      <c r="C555" s="33"/>
      <c r="D555" s="33"/>
      <c r="E555" s="33"/>
      <c r="F555" s="33"/>
      <c r="G555" s="33"/>
      <c r="H555" s="33"/>
      <c r="I555" s="33"/>
      <c r="J555" s="33"/>
      <c r="K555" s="33"/>
      <c r="L555" s="33"/>
      <c r="M555" s="33"/>
      <c r="N555" s="33"/>
      <c r="O555" s="33"/>
      <c r="P555" s="33"/>
      <c r="Q555" s="33"/>
      <c r="R555" s="33"/>
      <c r="S555" s="33"/>
      <c r="T555" s="33"/>
      <c r="U555" s="33"/>
      <c r="V555" s="33"/>
      <c r="W555" s="33"/>
      <c r="X555" s="33"/>
      <c r="Y555" s="3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</row>
    <row r="556" spans="1:65" ht="15" customHeight="1">
      <c r="A556" s="33"/>
      <c r="B556" s="33"/>
      <c r="C556" s="33"/>
      <c r="D556" s="33"/>
      <c r="E556" s="33"/>
      <c r="F556" s="33"/>
      <c r="G556" s="33"/>
      <c r="H556" s="33"/>
      <c r="I556" s="33"/>
      <c r="J556" s="33"/>
      <c r="K556" s="33"/>
      <c r="L556" s="33"/>
      <c r="M556" s="33"/>
      <c r="N556" s="33"/>
      <c r="O556" s="33"/>
      <c r="P556" s="33"/>
      <c r="Q556" s="33"/>
      <c r="R556" s="33"/>
      <c r="S556" s="33"/>
      <c r="T556" s="33"/>
      <c r="U556" s="33"/>
      <c r="V556" s="33"/>
      <c r="W556" s="33"/>
      <c r="X556" s="33"/>
      <c r="Y556" s="3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  <c r="BK556" s="33"/>
      <c r="BL556" s="33"/>
      <c r="BM556" s="33"/>
    </row>
    <row r="557" spans="1:65" ht="15" customHeight="1">
      <c r="A557" s="33"/>
      <c r="B557" s="33"/>
      <c r="C557" s="33"/>
      <c r="D557" s="33"/>
      <c r="E557" s="33"/>
      <c r="F557" s="33"/>
      <c r="G557" s="33"/>
      <c r="H557" s="33"/>
      <c r="I557" s="33"/>
      <c r="J557" s="33"/>
      <c r="K557" s="33"/>
      <c r="L557" s="33"/>
      <c r="M557" s="33"/>
      <c r="N557" s="33"/>
      <c r="O557" s="33"/>
      <c r="P557" s="33"/>
      <c r="Q557" s="33"/>
      <c r="R557" s="33"/>
      <c r="S557" s="33"/>
      <c r="T557" s="33"/>
      <c r="U557" s="33"/>
      <c r="V557" s="33"/>
      <c r="W557" s="33"/>
      <c r="X557" s="33"/>
      <c r="Y557" s="3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  <c r="BL557" s="33"/>
      <c r="BM557" s="33"/>
    </row>
    <row r="558" spans="1:65" ht="15" customHeight="1">
      <c r="A558" s="33"/>
      <c r="B558" s="33"/>
      <c r="C558" s="33"/>
      <c r="D558" s="33"/>
      <c r="E558" s="33"/>
      <c r="F558" s="33"/>
      <c r="G558" s="33"/>
      <c r="H558" s="33"/>
      <c r="I558" s="33"/>
      <c r="J558" s="33"/>
      <c r="K558" s="33"/>
      <c r="L558" s="33"/>
      <c r="M558" s="33"/>
      <c r="N558" s="33"/>
      <c r="O558" s="33"/>
      <c r="P558" s="33"/>
      <c r="Q558" s="33"/>
      <c r="R558" s="33"/>
      <c r="S558" s="33"/>
      <c r="T558" s="33"/>
      <c r="U558" s="33"/>
      <c r="V558" s="33"/>
      <c r="W558" s="33"/>
      <c r="X558" s="33"/>
      <c r="Y558" s="3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  <c r="BK558" s="33"/>
      <c r="BL558" s="33"/>
      <c r="BM558" s="33"/>
    </row>
    <row r="559" spans="1:65" ht="15" customHeight="1">
      <c r="A559" s="33"/>
      <c r="B559" s="33"/>
      <c r="C559" s="33"/>
      <c r="D559" s="33"/>
      <c r="E559" s="33"/>
      <c r="F559" s="33"/>
      <c r="G559" s="33"/>
      <c r="H559" s="33"/>
      <c r="I559" s="33"/>
      <c r="J559" s="33"/>
      <c r="K559" s="33"/>
      <c r="L559" s="33"/>
      <c r="M559" s="33"/>
      <c r="N559" s="33"/>
      <c r="O559" s="33"/>
      <c r="P559" s="33"/>
      <c r="Q559" s="33"/>
      <c r="R559" s="33"/>
      <c r="S559" s="33"/>
      <c r="T559" s="33"/>
      <c r="U559" s="33"/>
      <c r="V559" s="33"/>
      <c r="W559" s="33"/>
      <c r="X559" s="33"/>
      <c r="Y559" s="3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  <c r="BL559" s="33"/>
      <c r="BM559" s="33"/>
    </row>
    <row r="560" spans="1:65" ht="15" customHeight="1">
      <c r="A560" s="33"/>
      <c r="B560" s="33"/>
      <c r="C560" s="33"/>
      <c r="D560" s="33"/>
      <c r="E560" s="33"/>
      <c r="F560" s="33"/>
      <c r="G560" s="33"/>
      <c r="H560" s="33"/>
      <c r="I560" s="33"/>
      <c r="J560" s="33"/>
      <c r="K560" s="33"/>
      <c r="L560" s="33"/>
      <c r="M560" s="33"/>
      <c r="N560" s="33"/>
      <c r="O560" s="33"/>
      <c r="P560" s="33"/>
      <c r="Q560" s="33"/>
      <c r="R560" s="33"/>
      <c r="S560" s="33"/>
      <c r="T560" s="33"/>
      <c r="U560" s="33"/>
      <c r="V560" s="33"/>
      <c r="W560" s="33"/>
      <c r="X560" s="33"/>
      <c r="Y560" s="3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  <c r="BK560" s="33"/>
      <c r="BL560" s="33"/>
      <c r="BM560" s="33"/>
    </row>
    <row r="561" spans="1:65" ht="15" customHeight="1">
      <c r="A561" s="33"/>
      <c r="B561" s="33"/>
      <c r="C561" s="33"/>
      <c r="D561" s="33"/>
      <c r="E561" s="33"/>
      <c r="F561" s="33"/>
      <c r="G561" s="33"/>
      <c r="H561" s="33"/>
      <c r="I561" s="33"/>
      <c r="J561" s="33"/>
      <c r="K561" s="33"/>
      <c r="L561" s="33"/>
      <c r="M561" s="33"/>
      <c r="N561" s="33"/>
      <c r="O561" s="33"/>
      <c r="P561" s="33"/>
      <c r="Q561" s="33"/>
      <c r="R561" s="33"/>
      <c r="S561" s="33"/>
      <c r="T561" s="33"/>
      <c r="U561" s="33"/>
      <c r="V561" s="33"/>
      <c r="W561" s="33"/>
      <c r="X561" s="33"/>
      <c r="Y561" s="3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  <c r="BL561" s="33"/>
      <c r="BM561" s="33"/>
    </row>
    <row r="562" spans="1:65" ht="15" customHeight="1">
      <c r="A562" s="33"/>
      <c r="B562" s="33"/>
      <c r="C562" s="33"/>
      <c r="D562" s="33"/>
      <c r="E562" s="33"/>
      <c r="F562" s="33"/>
      <c r="G562" s="33"/>
      <c r="H562" s="33"/>
      <c r="I562" s="33"/>
      <c r="J562" s="33"/>
      <c r="K562" s="33"/>
      <c r="L562" s="33"/>
      <c r="M562" s="33"/>
      <c r="N562" s="33"/>
      <c r="O562" s="33"/>
      <c r="P562" s="33"/>
      <c r="Q562" s="33"/>
      <c r="R562" s="33"/>
      <c r="S562" s="33"/>
      <c r="T562" s="33"/>
      <c r="U562" s="33"/>
      <c r="V562" s="33"/>
      <c r="W562" s="33"/>
      <c r="X562" s="33"/>
      <c r="Y562" s="3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  <c r="BK562" s="33"/>
      <c r="BL562" s="33"/>
      <c r="BM562" s="33"/>
    </row>
    <row r="563" spans="1:65" ht="15" customHeight="1">
      <c r="A563" s="33"/>
      <c r="B563" s="33"/>
      <c r="C563" s="33"/>
      <c r="D563" s="33"/>
      <c r="E563" s="33"/>
      <c r="F563" s="33"/>
      <c r="G563" s="33"/>
      <c r="H563" s="33"/>
      <c r="I563" s="33"/>
      <c r="J563" s="33"/>
      <c r="K563" s="33"/>
      <c r="L563" s="33"/>
      <c r="M563" s="33"/>
      <c r="N563" s="33"/>
      <c r="O563" s="33"/>
      <c r="P563" s="33"/>
      <c r="Q563" s="33"/>
      <c r="R563" s="33"/>
      <c r="S563" s="33"/>
      <c r="T563" s="33"/>
      <c r="U563" s="33"/>
      <c r="V563" s="33"/>
      <c r="W563" s="33"/>
      <c r="X563" s="33"/>
      <c r="Y563" s="3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  <c r="BL563" s="33"/>
      <c r="BM563" s="33"/>
    </row>
    <row r="564" spans="1:65" ht="15" customHeight="1">
      <c r="A564" s="33"/>
      <c r="B564" s="33"/>
      <c r="C564" s="33"/>
      <c r="D564" s="33"/>
      <c r="E564" s="33"/>
      <c r="F564" s="33"/>
      <c r="G564" s="33"/>
      <c r="H564" s="33"/>
      <c r="I564" s="33"/>
      <c r="J564" s="33"/>
      <c r="K564" s="33"/>
      <c r="L564" s="33"/>
      <c r="M564" s="33"/>
      <c r="N564" s="33"/>
      <c r="O564" s="33"/>
      <c r="P564" s="33"/>
      <c r="Q564" s="33"/>
      <c r="R564" s="33"/>
      <c r="S564" s="33"/>
      <c r="T564" s="33"/>
      <c r="U564" s="33"/>
      <c r="V564" s="33"/>
      <c r="W564" s="33"/>
      <c r="X564" s="33"/>
      <c r="Y564" s="3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  <c r="BK564" s="33"/>
      <c r="BL564" s="33"/>
      <c r="BM564" s="33"/>
    </row>
    <row r="565" spans="1:65" ht="15" customHeight="1">
      <c r="A565" s="33"/>
      <c r="B565" s="33"/>
      <c r="C565" s="33"/>
      <c r="D565" s="33"/>
      <c r="E565" s="33"/>
      <c r="F565" s="33"/>
      <c r="G565" s="33"/>
      <c r="H565" s="33"/>
      <c r="I565" s="33"/>
      <c r="J565" s="33"/>
      <c r="K565" s="33"/>
      <c r="L565" s="33"/>
      <c r="M565" s="33"/>
      <c r="N565" s="33"/>
      <c r="O565" s="33"/>
      <c r="P565" s="33"/>
      <c r="Q565" s="33"/>
      <c r="R565" s="33"/>
      <c r="S565" s="33"/>
      <c r="T565" s="33"/>
      <c r="U565" s="33"/>
      <c r="V565" s="33"/>
      <c r="W565" s="33"/>
      <c r="X565" s="33"/>
      <c r="Y565" s="3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  <c r="BL565" s="33"/>
      <c r="BM565" s="33"/>
    </row>
    <row r="566" spans="1:65" ht="15" customHeight="1">
      <c r="A566" s="33"/>
      <c r="B566" s="33"/>
      <c r="C566" s="33"/>
      <c r="D566" s="33"/>
      <c r="E566" s="33"/>
      <c r="F566" s="33"/>
      <c r="G566" s="33"/>
      <c r="H566" s="33"/>
      <c r="I566" s="33"/>
      <c r="J566" s="33"/>
      <c r="K566" s="33"/>
      <c r="L566" s="33"/>
      <c r="M566" s="33"/>
      <c r="N566" s="33"/>
      <c r="O566" s="33"/>
      <c r="P566" s="33"/>
      <c r="Q566" s="33"/>
      <c r="R566" s="33"/>
      <c r="S566" s="33"/>
      <c r="T566" s="33"/>
      <c r="U566" s="33"/>
      <c r="V566" s="33"/>
      <c r="W566" s="33"/>
      <c r="X566" s="33"/>
      <c r="Y566" s="3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  <c r="BK566" s="33"/>
      <c r="BL566" s="33"/>
      <c r="BM566" s="33"/>
    </row>
    <row r="567" spans="1:65" ht="15" customHeight="1">
      <c r="A567" s="33"/>
      <c r="B567" s="33"/>
      <c r="C567" s="33"/>
      <c r="D567" s="33"/>
      <c r="E567" s="33"/>
      <c r="F567" s="33"/>
      <c r="G567" s="33"/>
      <c r="H567" s="33"/>
      <c r="I567" s="33"/>
      <c r="J567" s="33"/>
      <c r="K567" s="33"/>
      <c r="L567" s="33"/>
      <c r="M567" s="33"/>
      <c r="N567" s="33"/>
      <c r="O567" s="33"/>
      <c r="P567" s="33"/>
      <c r="Q567" s="33"/>
      <c r="R567" s="33"/>
      <c r="S567" s="33"/>
      <c r="T567" s="33"/>
      <c r="U567" s="33"/>
      <c r="V567" s="33"/>
      <c r="W567" s="33"/>
      <c r="X567" s="33"/>
      <c r="Y567" s="3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</row>
    <row r="568" spans="1:65" ht="15" customHeight="1">
      <c r="A568" s="33"/>
      <c r="B568" s="33"/>
      <c r="C568" s="33"/>
      <c r="D568" s="33"/>
      <c r="E568" s="33"/>
      <c r="F568" s="33"/>
      <c r="G568" s="33"/>
      <c r="H568" s="33"/>
      <c r="I568" s="33"/>
      <c r="J568" s="33"/>
      <c r="K568" s="33"/>
      <c r="L568" s="33"/>
      <c r="M568" s="33"/>
      <c r="N568" s="33"/>
      <c r="O568" s="33"/>
      <c r="P568" s="33"/>
      <c r="Q568" s="33"/>
      <c r="R568" s="33"/>
      <c r="S568" s="33"/>
      <c r="T568" s="33"/>
      <c r="U568" s="33"/>
      <c r="V568" s="33"/>
      <c r="W568" s="33"/>
      <c r="X568" s="33"/>
      <c r="Y568" s="3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</row>
    <row r="569" spans="1:65" ht="15" customHeight="1">
      <c r="A569" s="33"/>
      <c r="B569" s="33"/>
      <c r="C569" s="33"/>
      <c r="D569" s="33"/>
      <c r="E569" s="33"/>
      <c r="F569" s="33"/>
      <c r="G569" s="33"/>
      <c r="H569" s="33"/>
      <c r="I569" s="33"/>
      <c r="J569" s="33"/>
      <c r="K569" s="33"/>
      <c r="L569" s="33"/>
      <c r="M569" s="33"/>
      <c r="N569" s="33"/>
      <c r="O569" s="33"/>
      <c r="P569" s="33"/>
      <c r="Q569" s="33"/>
      <c r="R569" s="33"/>
      <c r="S569" s="33"/>
      <c r="T569" s="33"/>
      <c r="U569" s="33"/>
      <c r="V569" s="33"/>
      <c r="W569" s="33"/>
      <c r="X569" s="33"/>
      <c r="Y569" s="3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</row>
    <row r="570" spans="1:65" ht="15" customHeight="1">
      <c r="A570" s="33"/>
      <c r="B570" s="33"/>
      <c r="C570" s="33"/>
      <c r="D570" s="33"/>
      <c r="E570" s="33"/>
      <c r="F570" s="33"/>
      <c r="G570" s="33"/>
      <c r="H570" s="33"/>
      <c r="I570" s="33"/>
      <c r="J570" s="33"/>
      <c r="K570" s="33"/>
      <c r="L570" s="33"/>
      <c r="M570" s="33"/>
      <c r="N570" s="33"/>
      <c r="O570" s="33"/>
      <c r="P570" s="33"/>
      <c r="Q570" s="33"/>
      <c r="R570" s="33"/>
      <c r="S570" s="33"/>
      <c r="T570" s="33"/>
      <c r="U570" s="33"/>
      <c r="V570" s="33"/>
      <c r="W570" s="33"/>
      <c r="X570" s="33"/>
      <c r="Y570" s="3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</row>
    <row r="571" spans="1:65" ht="15" customHeight="1">
      <c r="A571" s="33"/>
      <c r="B571" s="33"/>
      <c r="C571" s="33"/>
      <c r="D571" s="33"/>
      <c r="E571" s="33"/>
      <c r="F571" s="33"/>
      <c r="G571" s="33"/>
      <c r="H571" s="33"/>
      <c r="I571" s="33"/>
      <c r="J571" s="33"/>
      <c r="K571" s="33"/>
      <c r="L571" s="33"/>
      <c r="M571" s="33"/>
      <c r="N571" s="33"/>
      <c r="O571" s="33"/>
      <c r="P571" s="33"/>
      <c r="Q571" s="33"/>
      <c r="R571" s="33"/>
      <c r="S571" s="33"/>
      <c r="T571" s="33"/>
      <c r="U571" s="33"/>
      <c r="V571" s="33"/>
      <c r="W571" s="33"/>
      <c r="X571" s="33"/>
      <c r="Y571" s="3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</row>
    <row r="572" spans="1:65" ht="15" customHeight="1">
      <c r="A572" s="33"/>
      <c r="B572" s="33"/>
      <c r="C572" s="33"/>
      <c r="D572" s="33"/>
      <c r="E572" s="33"/>
      <c r="F572" s="33"/>
      <c r="G572" s="33"/>
      <c r="H572" s="33"/>
      <c r="I572" s="33"/>
      <c r="J572" s="33"/>
      <c r="K572" s="33"/>
      <c r="L572" s="33"/>
      <c r="M572" s="33"/>
      <c r="N572" s="33"/>
      <c r="O572" s="33"/>
      <c r="P572" s="33"/>
      <c r="Q572" s="33"/>
      <c r="R572" s="33"/>
      <c r="S572" s="33"/>
      <c r="T572" s="33"/>
      <c r="U572" s="33"/>
      <c r="V572" s="33"/>
      <c r="W572" s="33"/>
      <c r="X572" s="33"/>
      <c r="Y572" s="3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</row>
    <row r="573" spans="1:65" ht="15" customHeight="1">
      <c r="A573" s="33"/>
      <c r="B573" s="33"/>
      <c r="C573" s="33"/>
      <c r="D573" s="33"/>
      <c r="E573" s="33"/>
      <c r="F573" s="33"/>
      <c r="G573" s="33"/>
      <c r="H573" s="33"/>
      <c r="I573" s="33"/>
      <c r="J573" s="33"/>
      <c r="K573" s="33"/>
      <c r="L573" s="33"/>
      <c r="M573" s="33"/>
      <c r="N573" s="33"/>
      <c r="O573" s="33"/>
      <c r="P573" s="33"/>
      <c r="Q573" s="33"/>
      <c r="R573" s="33"/>
      <c r="S573" s="33"/>
      <c r="T573" s="33"/>
      <c r="U573" s="33"/>
      <c r="V573" s="33"/>
      <c r="W573" s="33"/>
      <c r="X573" s="33"/>
      <c r="Y573" s="3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</row>
    <row r="574" spans="1:65" ht="15" customHeight="1">
      <c r="A574" s="33"/>
      <c r="B574" s="33"/>
      <c r="C574" s="33"/>
      <c r="D574" s="33"/>
      <c r="E574" s="33"/>
      <c r="F574" s="33"/>
      <c r="G574" s="33"/>
      <c r="H574" s="33"/>
      <c r="I574" s="33"/>
      <c r="J574" s="33"/>
      <c r="K574" s="33"/>
      <c r="L574" s="33"/>
      <c r="M574" s="33"/>
      <c r="N574" s="33"/>
      <c r="O574" s="33"/>
      <c r="P574" s="33"/>
      <c r="Q574" s="33"/>
      <c r="R574" s="33"/>
      <c r="S574" s="33"/>
      <c r="T574" s="33"/>
      <c r="U574" s="33"/>
      <c r="V574" s="33"/>
      <c r="W574" s="33"/>
      <c r="X574" s="33"/>
      <c r="Y574" s="3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</row>
    <row r="575" spans="1:65" ht="15" customHeight="1">
      <c r="A575" s="33"/>
      <c r="B575" s="33"/>
      <c r="C575" s="33"/>
      <c r="D575" s="33"/>
      <c r="E575" s="33"/>
      <c r="F575" s="33"/>
      <c r="G575" s="33"/>
      <c r="H575" s="33"/>
      <c r="I575" s="33"/>
      <c r="J575" s="33"/>
      <c r="K575" s="33"/>
      <c r="L575" s="33"/>
      <c r="M575" s="33"/>
      <c r="N575" s="33"/>
      <c r="O575" s="33"/>
      <c r="P575" s="33"/>
      <c r="Q575" s="33"/>
      <c r="R575" s="33"/>
      <c r="S575" s="33"/>
      <c r="T575" s="33"/>
      <c r="U575" s="33"/>
      <c r="V575" s="33"/>
      <c r="W575" s="33"/>
      <c r="X575" s="33"/>
      <c r="Y575" s="3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</row>
    <row r="576" spans="1:65" ht="15" customHeight="1">
      <c r="A576" s="33"/>
      <c r="B576" s="33"/>
      <c r="C576" s="33"/>
      <c r="D576" s="33"/>
      <c r="E576" s="33"/>
      <c r="F576" s="33"/>
      <c r="G576" s="33"/>
      <c r="H576" s="33"/>
      <c r="I576" s="33"/>
      <c r="J576" s="33"/>
      <c r="K576" s="33"/>
      <c r="L576" s="33"/>
      <c r="M576" s="33"/>
      <c r="N576" s="33"/>
      <c r="O576" s="33"/>
      <c r="P576" s="33"/>
      <c r="Q576" s="33"/>
      <c r="R576" s="33"/>
      <c r="S576" s="33"/>
      <c r="T576" s="33"/>
      <c r="U576" s="33"/>
      <c r="V576" s="33"/>
      <c r="W576" s="33"/>
      <c r="X576" s="33"/>
      <c r="Y576" s="3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</row>
    <row r="577" spans="1:65" ht="15" customHeight="1">
      <c r="A577" s="33"/>
      <c r="B577" s="33"/>
      <c r="C577" s="33"/>
      <c r="D577" s="33"/>
      <c r="E577" s="33"/>
      <c r="F577" s="33"/>
      <c r="G577" s="33"/>
      <c r="H577" s="33"/>
      <c r="I577" s="33"/>
      <c r="J577" s="33"/>
      <c r="K577" s="33"/>
      <c r="L577" s="33"/>
      <c r="M577" s="33"/>
      <c r="N577" s="33"/>
      <c r="O577" s="33"/>
      <c r="P577" s="33"/>
      <c r="Q577" s="33"/>
      <c r="R577" s="33"/>
      <c r="S577" s="33"/>
      <c r="T577" s="33"/>
      <c r="U577" s="33"/>
      <c r="V577" s="33"/>
      <c r="W577" s="33"/>
      <c r="X577" s="33"/>
      <c r="Y577" s="3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</row>
    <row r="578" spans="1:65" ht="15" customHeight="1">
      <c r="A578" s="33"/>
      <c r="B578" s="33"/>
      <c r="C578" s="33"/>
      <c r="D578" s="33"/>
      <c r="E578" s="33"/>
      <c r="F578" s="33"/>
      <c r="G578" s="33"/>
      <c r="H578" s="33"/>
      <c r="I578" s="33"/>
      <c r="J578" s="33"/>
      <c r="K578" s="33"/>
      <c r="L578" s="33"/>
      <c r="M578" s="33"/>
      <c r="N578" s="33"/>
      <c r="O578" s="33"/>
      <c r="P578" s="33"/>
      <c r="Q578" s="33"/>
      <c r="R578" s="33"/>
      <c r="S578" s="33"/>
      <c r="T578" s="33"/>
      <c r="U578" s="33"/>
      <c r="V578" s="33"/>
      <c r="W578" s="33"/>
      <c r="X578" s="33"/>
      <c r="Y578" s="3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</row>
    <row r="579" spans="1:65" ht="15" customHeight="1">
      <c r="A579" s="33"/>
      <c r="B579" s="33"/>
      <c r="C579" s="33"/>
      <c r="D579" s="33"/>
      <c r="E579" s="33"/>
      <c r="F579" s="33"/>
      <c r="G579" s="33"/>
      <c r="H579" s="33"/>
      <c r="I579" s="33"/>
      <c r="J579" s="33"/>
      <c r="K579" s="33"/>
      <c r="L579" s="33"/>
      <c r="M579" s="33"/>
      <c r="N579" s="33"/>
      <c r="O579" s="33"/>
      <c r="P579" s="33"/>
      <c r="Q579" s="33"/>
      <c r="R579" s="33"/>
      <c r="S579" s="33"/>
      <c r="T579" s="33"/>
      <c r="U579" s="33"/>
      <c r="V579" s="33"/>
      <c r="W579" s="33"/>
      <c r="X579" s="33"/>
      <c r="Y579" s="3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</row>
    <row r="580" spans="1:65" ht="15" customHeight="1">
      <c r="A580" s="33"/>
      <c r="B580" s="33"/>
      <c r="C580" s="33"/>
      <c r="D580" s="33"/>
      <c r="E580" s="33"/>
      <c r="F580" s="33"/>
      <c r="G580" s="33"/>
      <c r="H580" s="33"/>
      <c r="I580" s="33"/>
      <c r="J580" s="33"/>
      <c r="K580" s="33"/>
      <c r="L580" s="33"/>
      <c r="M580" s="33"/>
      <c r="N580" s="33"/>
      <c r="O580" s="33"/>
      <c r="P580" s="33"/>
      <c r="Q580" s="33"/>
      <c r="R580" s="33"/>
      <c r="S580" s="33"/>
      <c r="T580" s="33"/>
      <c r="U580" s="33"/>
      <c r="V580" s="33"/>
      <c r="W580" s="33"/>
      <c r="X580" s="33"/>
      <c r="Y580" s="3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</row>
    <row r="581" spans="1:65" ht="15" customHeight="1">
      <c r="A581" s="33"/>
      <c r="B581" s="33"/>
      <c r="C581" s="33"/>
      <c r="D581" s="33"/>
      <c r="E581" s="33"/>
      <c r="F581" s="33"/>
      <c r="G581" s="33"/>
      <c r="H581" s="33"/>
      <c r="I581" s="33"/>
      <c r="J581" s="33"/>
      <c r="K581" s="33"/>
      <c r="L581" s="33"/>
      <c r="M581" s="33"/>
      <c r="N581" s="33"/>
      <c r="O581" s="33"/>
      <c r="P581" s="33"/>
      <c r="Q581" s="33"/>
      <c r="R581" s="33"/>
      <c r="S581" s="33"/>
      <c r="T581" s="33"/>
      <c r="U581" s="33"/>
      <c r="V581" s="33"/>
      <c r="W581" s="33"/>
      <c r="X581" s="33"/>
      <c r="Y581" s="3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</row>
    <row r="582" spans="1:65" ht="15" customHeight="1">
      <c r="A582" s="33"/>
      <c r="B582" s="33"/>
      <c r="C582" s="33"/>
      <c r="D582" s="33"/>
      <c r="E582" s="33"/>
      <c r="F582" s="33"/>
      <c r="G582" s="33"/>
      <c r="H582" s="33"/>
      <c r="I582" s="33"/>
      <c r="J582" s="33"/>
      <c r="K582" s="33"/>
      <c r="L582" s="33"/>
      <c r="M582" s="33"/>
      <c r="N582" s="33"/>
      <c r="O582" s="33"/>
      <c r="P582" s="33"/>
      <c r="Q582" s="33"/>
      <c r="R582" s="33"/>
      <c r="S582" s="33"/>
      <c r="T582" s="33"/>
      <c r="U582" s="33"/>
      <c r="V582" s="33"/>
      <c r="W582" s="33"/>
      <c r="X582" s="33"/>
      <c r="Y582" s="3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</row>
    <row r="583" spans="1:65" ht="15" customHeight="1">
      <c r="A583" s="33"/>
      <c r="B583" s="33"/>
      <c r="C583" s="33"/>
      <c r="D583" s="33"/>
      <c r="E583" s="33"/>
      <c r="F583" s="33"/>
      <c r="G583" s="33"/>
      <c r="H583" s="33"/>
      <c r="I583" s="33"/>
      <c r="J583" s="33"/>
      <c r="K583" s="33"/>
      <c r="L583" s="33"/>
      <c r="M583" s="33"/>
      <c r="N583" s="33"/>
      <c r="O583" s="33"/>
      <c r="P583" s="33"/>
      <c r="Q583" s="33"/>
      <c r="R583" s="33"/>
      <c r="S583" s="33"/>
      <c r="T583" s="33"/>
      <c r="U583" s="33"/>
      <c r="V583" s="33"/>
      <c r="W583" s="33"/>
      <c r="X583" s="33"/>
      <c r="Y583" s="3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</row>
    <row r="584" spans="1:65" ht="15" customHeight="1">
      <c r="A584" s="33"/>
      <c r="B584" s="33"/>
      <c r="C584" s="33"/>
      <c r="D584" s="33"/>
      <c r="E584" s="33"/>
      <c r="F584" s="33"/>
      <c r="G584" s="33"/>
      <c r="H584" s="33"/>
      <c r="I584" s="33"/>
      <c r="J584" s="33"/>
      <c r="K584" s="33"/>
      <c r="L584" s="33"/>
      <c r="M584" s="33"/>
      <c r="N584" s="33"/>
      <c r="O584" s="33"/>
      <c r="P584" s="33"/>
      <c r="Q584" s="33"/>
      <c r="R584" s="33"/>
      <c r="S584" s="33"/>
      <c r="T584" s="33"/>
      <c r="U584" s="33"/>
      <c r="V584" s="33"/>
      <c r="W584" s="33"/>
      <c r="X584" s="33"/>
      <c r="Y584" s="3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</row>
    <row r="585" spans="1:65" ht="15" customHeight="1">
      <c r="A585" s="33"/>
      <c r="B585" s="33"/>
      <c r="C585" s="33"/>
      <c r="D585" s="33"/>
      <c r="E585" s="33"/>
      <c r="F585" s="33"/>
      <c r="G585" s="33"/>
      <c r="H585" s="33"/>
      <c r="I585" s="33"/>
      <c r="J585" s="33"/>
      <c r="K585" s="33"/>
      <c r="L585" s="33"/>
      <c r="M585" s="33"/>
      <c r="N585" s="33"/>
      <c r="O585" s="33"/>
      <c r="P585" s="33"/>
      <c r="Q585" s="33"/>
      <c r="R585" s="33"/>
      <c r="S585" s="33"/>
      <c r="T585" s="33"/>
      <c r="U585" s="33"/>
      <c r="V585" s="33"/>
      <c r="W585" s="33"/>
      <c r="X585" s="33"/>
      <c r="Y585" s="3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</row>
    <row r="586" spans="1:65" ht="15" customHeight="1">
      <c r="A586" s="33"/>
      <c r="B586" s="33"/>
      <c r="C586" s="33"/>
      <c r="D586" s="33"/>
      <c r="E586" s="33"/>
      <c r="F586" s="33"/>
      <c r="G586" s="33"/>
      <c r="H586" s="33"/>
      <c r="I586" s="33"/>
      <c r="J586" s="33"/>
      <c r="K586" s="33"/>
      <c r="L586" s="33"/>
      <c r="M586" s="33"/>
      <c r="N586" s="33"/>
      <c r="O586" s="33"/>
      <c r="P586" s="33"/>
      <c r="Q586" s="33"/>
      <c r="R586" s="33"/>
      <c r="S586" s="33"/>
      <c r="T586" s="33"/>
      <c r="U586" s="33"/>
      <c r="V586" s="33"/>
      <c r="W586" s="33"/>
      <c r="X586" s="33"/>
      <c r="Y586" s="3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</row>
    <row r="587" spans="1:65" ht="15" customHeight="1">
      <c r="A587" s="33"/>
      <c r="B587" s="33"/>
      <c r="C587" s="33"/>
      <c r="D587" s="33"/>
      <c r="E587" s="33"/>
      <c r="F587" s="33"/>
      <c r="G587" s="33"/>
      <c r="H587" s="33"/>
      <c r="I587" s="33"/>
      <c r="J587" s="33"/>
      <c r="K587" s="33"/>
      <c r="L587" s="33"/>
      <c r="M587" s="33"/>
      <c r="N587" s="33"/>
      <c r="O587" s="33"/>
      <c r="P587" s="33"/>
      <c r="Q587" s="33"/>
      <c r="R587" s="33"/>
      <c r="S587" s="33"/>
      <c r="T587" s="33"/>
      <c r="U587" s="33"/>
      <c r="V587" s="33"/>
      <c r="W587" s="33"/>
      <c r="X587" s="33"/>
      <c r="Y587" s="3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</row>
    <row r="588" spans="1:65" ht="15" customHeight="1">
      <c r="A588" s="33"/>
      <c r="B588" s="33"/>
      <c r="C588" s="33"/>
      <c r="D588" s="33"/>
      <c r="E588" s="33"/>
      <c r="F588" s="33"/>
      <c r="G588" s="33"/>
      <c r="H588" s="33"/>
      <c r="I588" s="33"/>
      <c r="J588" s="33"/>
      <c r="K588" s="33"/>
      <c r="L588" s="33"/>
      <c r="M588" s="33"/>
      <c r="N588" s="33"/>
      <c r="O588" s="33"/>
      <c r="P588" s="33"/>
      <c r="Q588" s="33"/>
      <c r="R588" s="33"/>
      <c r="S588" s="33"/>
      <c r="T588" s="33"/>
      <c r="U588" s="33"/>
      <c r="V588" s="33"/>
      <c r="W588" s="33"/>
      <c r="X588" s="33"/>
      <c r="Y588" s="3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</row>
    <row r="589" spans="1:65" ht="15" customHeight="1">
      <c r="A589" s="33"/>
      <c r="B589" s="33"/>
      <c r="C589" s="33"/>
      <c r="D589" s="33"/>
      <c r="E589" s="33"/>
      <c r="F589" s="33"/>
      <c r="G589" s="33"/>
      <c r="H589" s="33"/>
      <c r="I589" s="33"/>
      <c r="J589" s="33"/>
      <c r="K589" s="33"/>
      <c r="L589" s="33"/>
      <c r="M589" s="33"/>
      <c r="N589" s="33"/>
      <c r="O589" s="33"/>
      <c r="P589" s="33"/>
      <c r="Q589" s="33"/>
      <c r="R589" s="33"/>
      <c r="S589" s="33"/>
      <c r="T589" s="33"/>
      <c r="U589" s="33"/>
      <c r="V589" s="33"/>
      <c r="W589" s="33"/>
      <c r="X589" s="33"/>
      <c r="Y589" s="3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</row>
    <row r="590" spans="1:65" ht="15" customHeight="1">
      <c r="A590" s="33"/>
      <c r="B590" s="33"/>
      <c r="C590" s="33"/>
      <c r="D590" s="33"/>
      <c r="E590" s="33"/>
      <c r="F590" s="33"/>
      <c r="G590" s="33"/>
      <c r="H590" s="33"/>
      <c r="I590" s="33"/>
      <c r="J590" s="33"/>
      <c r="K590" s="33"/>
      <c r="L590" s="33"/>
      <c r="M590" s="33"/>
      <c r="N590" s="33"/>
      <c r="O590" s="33"/>
      <c r="P590" s="33"/>
      <c r="Q590" s="33"/>
      <c r="R590" s="33"/>
      <c r="S590" s="33"/>
      <c r="T590" s="33"/>
      <c r="U590" s="33"/>
      <c r="V590" s="33"/>
      <c r="W590" s="33"/>
      <c r="X590" s="33"/>
      <c r="Y590" s="3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</row>
    <row r="591" spans="1:65" ht="15" customHeight="1">
      <c r="A591" s="33"/>
      <c r="B591" s="33"/>
      <c r="C591" s="33"/>
      <c r="D591" s="33"/>
      <c r="E591" s="33"/>
      <c r="F591" s="33"/>
      <c r="G591" s="33"/>
      <c r="H591" s="33"/>
      <c r="I591" s="33"/>
      <c r="J591" s="33"/>
      <c r="K591" s="33"/>
      <c r="L591" s="33"/>
      <c r="M591" s="33"/>
      <c r="N591" s="33"/>
      <c r="O591" s="33"/>
      <c r="P591" s="33"/>
      <c r="Q591" s="33"/>
      <c r="R591" s="33"/>
      <c r="S591" s="33"/>
      <c r="T591" s="33"/>
      <c r="U591" s="33"/>
      <c r="V591" s="33"/>
      <c r="W591" s="33"/>
      <c r="X591" s="33"/>
      <c r="Y591" s="3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</row>
    <row r="592" spans="1:65" ht="15" customHeight="1">
      <c r="A592" s="33"/>
      <c r="B592" s="33"/>
      <c r="C592" s="33"/>
      <c r="D592" s="33"/>
      <c r="E592" s="33"/>
      <c r="F592" s="33"/>
      <c r="G592" s="33"/>
      <c r="H592" s="33"/>
      <c r="I592" s="33"/>
      <c r="J592" s="33"/>
      <c r="K592" s="33"/>
      <c r="L592" s="33"/>
      <c r="M592" s="33"/>
      <c r="N592" s="33"/>
      <c r="O592" s="33"/>
      <c r="P592" s="33"/>
      <c r="Q592" s="33"/>
      <c r="R592" s="33"/>
      <c r="S592" s="33"/>
      <c r="T592" s="33"/>
      <c r="U592" s="33"/>
      <c r="V592" s="33"/>
      <c r="W592" s="33"/>
      <c r="X592" s="33"/>
      <c r="Y592" s="3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</row>
    <row r="593" spans="1:65" ht="15" customHeight="1">
      <c r="A593" s="33"/>
      <c r="B593" s="33"/>
      <c r="C593" s="33"/>
      <c r="D593" s="33"/>
      <c r="E593" s="33"/>
      <c r="F593" s="33"/>
      <c r="G593" s="33"/>
      <c r="H593" s="33"/>
      <c r="I593" s="33"/>
      <c r="J593" s="33"/>
      <c r="K593" s="33"/>
      <c r="L593" s="33"/>
      <c r="M593" s="33"/>
      <c r="N593" s="33"/>
      <c r="O593" s="33"/>
      <c r="P593" s="33"/>
      <c r="Q593" s="33"/>
      <c r="R593" s="33"/>
      <c r="S593" s="33"/>
      <c r="T593" s="33"/>
      <c r="U593" s="33"/>
      <c r="V593" s="33"/>
      <c r="W593" s="33"/>
      <c r="X593" s="33"/>
      <c r="Y593" s="3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</row>
    <row r="594" spans="1:65" ht="15" customHeight="1">
      <c r="A594" s="33"/>
      <c r="B594" s="33"/>
      <c r="C594" s="33"/>
      <c r="D594" s="33"/>
      <c r="E594" s="33"/>
      <c r="F594" s="33"/>
      <c r="G594" s="33"/>
      <c r="H594" s="33"/>
      <c r="I594" s="33"/>
      <c r="J594" s="33"/>
      <c r="K594" s="33"/>
      <c r="L594" s="33"/>
      <c r="M594" s="33"/>
      <c r="N594" s="33"/>
      <c r="O594" s="33"/>
      <c r="P594" s="33"/>
      <c r="Q594" s="33"/>
      <c r="R594" s="33"/>
      <c r="S594" s="33"/>
      <c r="T594" s="33"/>
      <c r="U594" s="33"/>
      <c r="V594" s="33"/>
      <c r="W594" s="33"/>
      <c r="X594" s="33"/>
      <c r="Y594" s="3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</row>
    <row r="595" spans="1:65" ht="15" customHeight="1">
      <c r="A595" s="33"/>
      <c r="B595" s="33"/>
      <c r="C595" s="33"/>
      <c r="D595" s="33"/>
      <c r="E595" s="33"/>
      <c r="F595" s="33"/>
      <c r="G595" s="33"/>
      <c r="H595" s="33"/>
      <c r="I595" s="33"/>
      <c r="J595" s="33"/>
      <c r="K595" s="33"/>
      <c r="L595" s="33"/>
      <c r="M595" s="33"/>
      <c r="N595" s="33"/>
      <c r="O595" s="33"/>
      <c r="P595" s="33"/>
      <c r="Q595" s="33"/>
      <c r="R595" s="33"/>
      <c r="S595" s="33"/>
      <c r="T595" s="33"/>
      <c r="U595" s="33"/>
      <c r="V595" s="33"/>
      <c r="W595" s="33"/>
      <c r="X595" s="33"/>
      <c r="Y595" s="3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</row>
    <row r="596" spans="1:65" ht="15" customHeight="1">
      <c r="A596" s="33"/>
      <c r="B596" s="33"/>
      <c r="C596" s="33"/>
      <c r="D596" s="33"/>
      <c r="E596" s="33"/>
      <c r="F596" s="33"/>
      <c r="G596" s="33"/>
      <c r="H596" s="33"/>
      <c r="I596" s="33"/>
      <c r="J596" s="33"/>
      <c r="K596" s="33"/>
      <c r="L596" s="33"/>
      <c r="M596" s="33"/>
      <c r="N596" s="33"/>
      <c r="O596" s="33"/>
      <c r="P596" s="33"/>
      <c r="Q596" s="33"/>
      <c r="R596" s="33"/>
      <c r="S596" s="33"/>
      <c r="T596" s="33"/>
      <c r="U596" s="33"/>
      <c r="V596" s="33"/>
      <c r="W596" s="33"/>
      <c r="X596" s="33"/>
      <c r="Y596" s="3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</row>
    <row r="597" spans="1:65" ht="15" customHeight="1">
      <c r="A597" s="33"/>
      <c r="B597" s="33"/>
      <c r="C597" s="33"/>
      <c r="D597" s="33"/>
      <c r="E597" s="33"/>
      <c r="F597" s="33"/>
      <c r="G597" s="33"/>
      <c r="H597" s="33"/>
      <c r="I597" s="33"/>
      <c r="J597" s="33"/>
      <c r="K597" s="33"/>
      <c r="L597" s="33"/>
      <c r="M597" s="33"/>
      <c r="N597" s="33"/>
      <c r="O597" s="33"/>
      <c r="P597" s="33"/>
      <c r="Q597" s="33"/>
      <c r="R597" s="33"/>
      <c r="S597" s="33"/>
      <c r="T597" s="33"/>
      <c r="U597" s="33"/>
      <c r="V597" s="33"/>
      <c r="W597" s="33"/>
      <c r="X597" s="33"/>
      <c r="Y597" s="3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</row>
    <row r="598" spans="1:65" ht="15" customHeight="1">
      <c r="A598" s="33"/>
      <c r="B598" s="33"/>
      <c r="C598" s="33"/>
      <c r="D598" s="33"/>
      <c r="E598" s="33"/>
      <c r="F598" s="33"/>
      <c r="G598" s="33"/>
      <c r="H598" s="33"/>
      <c r="I598" s="33"/>
      <c r="J598" s="33"/>
      <c r="K598" s="33"/>
      <c r="L598" s="33"/>
      <c r="M598" s="33"/>
      <c r="N598" s="33"/>
      <c r="O598" s="33"/>
      <c r="P598" s="33"/>
      <c r="Q598" s="33"/>
      <c r="R598" s="33"/>
      <c r="S598" s="33"/>
      <c r="T598" s="33"/>
      <c r="U598" s="33"/>
      <c r="V598" s="33"/>
      <c r="W598" s="33"/>
      <c r="X598" s="33"/>
      <c r="Y598" s="3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</row>
    <row r="599" spans="1:65" ht="15" customHeight="1">
      <c r="A599" s="33"/>
      <c r="B599" s="33"/>
      <c r="C599" s="33"/>
      <c r="D599" s="33"/>
      <c r="E599" s="33"/>
      <c r="F599" s="33"/>
      <c r="G599" s="33"/>
      <c r="H599" s="33"/>
      <c r="I599" s="33"/>
      <c r="J599" s="33"/>
      <c r="K599" s="33"/>
      <c r="L599" s="33"/>
      <c r="M599" s="33"/>
      <c r="N599" s="33"/>
      <c r="O599" s="33"/>
      <c r="P599" s="33"/>
      <c r="Q599" s="33"/>
      <c r="R599" s="33"/>
      <c r="S599" s="33"/>
      <c r="T599" s="33"/>
      <c r="U599" s="33"/>
      <c r="V599" s="33"/>
      <c r="W599" s="33"/>
      <c r="X599" s="33"/>
      <c r="Y599" s="3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</row>
    <row r="600" spans="1:65" ht="15" customHeight="1">
      <c r="A600" s="33"/>
      <c r="B600" s="33"/>
      <c r="C600" s="33"/>
      <c r="D600" s="33"/>
      <c r="E600" s="33"/>
      <c r="F600" s="33"/>
      <c r="G600" s="33"/>
      <c r="H600" s="33"/>
      <c r="I600" s="33"/>
      <c r="J600" s="33"/>
      <c r="K600" s="33"/>
      <c r="L600" s="33"/>
      <c r="M600" s="33"/>
      <c r="N600" s="33"/>
      <c r="O600" s="33"/>
      <c r="P600" s="33"/>
      <c r="Q600" s="33"/>
      <c r="R600" s="33"/>
      <c r="S600" s="33"/>
      <c r="T600" s="33"/>
      <c r="U600" s="33"/>
      <c r="V600" s="33"/>
      <c r="W600" s="33"/>
      <c r="X600" s="33"/>
      <c r="Y600" s="3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</row>
    <row r="601" spans="1:65" ht="15" customHeight="1">
      <c r="A601" s="33"/>
      <c r="B601" s="33"/>
      <c r="C601" s="33"/>
      <c r="D601" s="33"/>
      <c r="E601" s="33"/>
      <c r="F601" s="33"/>
      <c r="G601" s="33"/>
      <c r="H601" s="33"/>
      <c r="I601" s="33"/>
      <c r="J601" s="33"/>
      <c r="K601" s="33"/>
      <c r="L601" s="33"/>
      <c r="M601" s="33"/>
      <c r="N601" s="33"/>
      <c r="O601" s="33"/>
      <c r="P601" s="33"/>
      <c r="Q601" s="33"/>
      <c r="R601" s="33"/>
      <c r="S601" s="33"/>
      <c r="T601" s="33"/>
      <c r="U601" s="33"/>
      <c r="V601" s="33"/>
      <c r="W601" s="33"/>
      <c r="X601" s="33"/>
      <c r="Y601" s="3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</row>
    <row r="602" spans="1:65" ht="15" customHeight="1">
      <c r="A602" s="33"/>
      <c r="B602" s="33"/>
      <c r="C602" s="33"/>
      <c r="D602" s="33"/>
      <c r="E602" s="33"/>
      <c r="F602" s="33"/>
      <c r="G602" s="33"/>
      <c r="H602" s="33"/>
      <c r="I602" s="33"/>
      <c r="J602" s="33"/>
      <c r="K602" s="33"/>
      <c r="L602" s="33"/>
      <c r="M602" s="33"/>
      <c r="N602" s="33"/>
      <c r="O602" s="33"/>
      <c r="P602" s="33"/>
      <c r="Q602" s="33"/>
      <c r="R602" s="33"/>
      <c r="S602" s="33"/>
      <c r="T602" s="33"/>
      <c r="U602" s="33"/>
      <c r="V602" s="33"/>
      <c r="W602" s="33"/>
      <c r="X602" s="33"/>
      <c r="Y602" s="3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</row>
    <row r="603" spans="1:65" ht="15" customHeight="1">
      <c r="A603" s="33"/>
      <c r="B603" s="33"/>
      <c r="C603" s="33"/>
      <c r="D603" s="33"/>
      <c r="E603" s="33"/>
      <c r="F603" s="33"/>
      <c r="G603" s="33"/>
      <c r="H603" s="33"/>
      <c r="I603" s="33"/>
      <c r="J603" s="33"/>
      <c r="K603" s="33"/>
      <c r="L603" s="33"/>
      <c r="M603" s="33"/>
      <c r="N603" s="33"/>
      <c r="O603" s="33"/>
      <c r="P603" s="33"/>
      <c r="Q603" s="33"/>
      <c r="R603" s="33"/>
      <c r="S603" s="33"/>
      <c r="T603" s="33"/>
      <c r="U603" s="33"/>
      <c r="V603" s="33"/>
      <c r="W603" s="33"/>
      <c r="X603" s="33"/>
      <c r="Y603" s="3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</row>
    <row r="604" spans="1:65" ht="15" customHeight="1">
      <c r="A604" s="33"/>
      <c r="B604" s="33"/>
      <c r="C604" s="33"/>
      <c r="D604" s="33"/>
      <c r="E604" s="33"/>
      <c r="F604" s="33"/>
      <c r="G604" s="33"/>
      <c r="H604" s="33"/>
      <c r="I604" s="33"/>
      <c r="J604" s="33"/>
      <c r="K604" s="33"/>
      <c r="L604" s="33"/>
      <c r="M604" s="33"/>
      <c r="N604" s="33"/>
      <c r="O604" s="33"/>
      <c r="P604" s="33"/>
      <c r="Q604" s="33"/>
      <c r="R604" s="33"/>
      <c r="S604" s="33"/>
      <c r="T604" s="33"/>
      <c r="U604" s="33"/>
      <c r="V604" s="33"/>
      <c r="W604" s="33"/>
      <c r="X604" s="33"/>
      <c r="Y604" s="3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</row>
    <row r="605" spans="1:65" ht="15" customHeight="1">
      <c r="A605" s="33"/>
      <c r="B605" s="33"/>
      <c r="C605" s="33"/>
      <c r="D605" s="33"/>
      <c r="E605" s="33"/>
      <c r="F605" s="33"/>
      <c r="G605" s="33"/>
      <c r="H605" s="33"/>
      <c r="I605" s="33"/>
      <c r="J605" s="33"/>
      <c r="K605" s="33"/>
      <c r="L605" s="33"/>
      <c r="M605" s="33"/>
      <c r="N605" s="33"/>
      <c r="O605" s="33"/>
      <c r="P605" s="33"/>
      <c r="Q605" s="33"/>
      <c r="R605" s="33"/>
      <c r="S605" s="33"/>
      <c r="T605" s="33"/>
      <c r="U605" s="33"/>
      <c r="V605" s="33"/>
      <c r="W605" s="33"/>
      <c r="X605" s="33"/>
      <c r="Y605" s="3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</row>
    <row r="606" spans="1:65" ht="15" customHeight="1">
      <c r="A606" s="33"/>
      <c r="B606" s="33"/>
      <c r="C606" s="33"/>
      <c r="D606" s="33"/>
      <c r="E606" s="33"/>
      <c r="F606" s="33"/>
      <c r="G606" s="33"/>
      <c r="H606" s="33"/>
      <c r="I606" s="33"/>
      <c r="J606" s="33"/>
      <c r="K606" s="33"/>
      <c r="L606" s="33"/>
      <c r="M606" s="33"/>
      <c r="N606" s="33"/>
      <c r="O606" s="33"/>
      <c r="P606" s="33"/>
      <c r="Q606" s="33"/>
      <c r="R606" s="33"/>
      <c r="S606" s="33"/>
      <c r="T606" s="33"/>
      <c r="U606" s="33"/>
      <c r="V606" s="33"/>
      <c r="W606" s="33"/>
      <c r="X606" s="33"/>
      <c r="Y606" s="3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</row>
    <row r="607" spans="1:65" ht="15" customHeight="1">
      <c r="A607" s="33"/>
      <c r="B607" s="33"/>
      <c r="C607" s="33"/>
      <c r="D607" s="33"/>
      <c r="E607" s="33"/>
      <c r="F607" s="33"/>
      <c r="G607" s="33"/>
      <c r="H607" s="33"/>
      <c r="I607" s="33"/>
      <c r="J607" s="33"/>
      <c r="K607" s="33"/>
      <c r="L607" s="33"/>
      <c r="M607" s="33"/>
      <c r="N607" s="33"/>
      <c r="O607" s="33"/>
      <c r="P607" s="33"/>
      <c r="Q607" s="33"/>
      <c r="R607" s="33"/>
      <c r="S607" s="33"/>
      <c r="T607" s="33"/>
      <c r="U607" s="33"/>
      <c r="V607" s="33"/>
      <c r="W607" s="33"/>
      <c r="X607" s="33"/>
      <c r="Y607" s="3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</row>
    <row r="608" spans="1:65" ht="15" customHeight="1">
      <c r="A608" s="33"/>
      <c r="B608" s="33"/>
      <c r="C608" s="33"/>
      <c r="D608" s="33"/>
      <c r="E608" s="33"/>
      <c r="F608" s="33"/>
      <c r="G608" s="33"/>
      <c r="H608" s="33"/>
      <c r="I608" s="33"/>
      <c r="J608" s="33"/>
      <c r="K608" s="33"/>
      <c r="L608" s="33"/>
      <c r="M608" s="33"/>
      <c r="N608" s="33"/>
      <c r="O608" s="33"/>
      <c r="P608" s="33"/>
      <c r="Q608" s="33"/>
      <c r="R608" s="33"/>
      <c r="S608" s="33"/>
      <c r="T608" s="33"/>
      <c r="U608" s="33"/>
      <c r="V608" s="33"/>
      <c r="W608" s="33"/>
      <c r="X608" s="33"/>
      <c r="Y608" s="3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</row>
    <row r="609" spans="1:65" ht="15" customHeight="1">
      <c r="A609" s="33"/>
      <c r="B609" s="33"/>
      <c r="C609" s="33"/>
      <c r="D609" s="33"/>
      <c r="E609" s="33"/>
      <c r="F609" s="33"/>
      <c r="G609" s="33"/>
      <c r="H609" s="33"/>
      <c r="I609" s="33"/>
      <c r="J609" s="33"/>
      <c r="K609" s="33"/>
      <c r="L609" s="33"/>
      <c r="M609" s="33"/>
      <c r="N609" s="33"/>
      <c r="O609" s="33"/>
      <c r="P609" s="33"/>
      <c r="Q609" s="33"/>
      <c r="R609" s="33"/>
      <c r="S609" s="33"/>
      <c r="T609" s="33"/>
      <c r="U609" s="33"/>
      <c r="V609" s="33"/>
      <c r="W609" s="33"/>
      <c r="X609" s="33"/>
      <c r="Y609" s="3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</row>
    <row r="610" spans="1:65" ht="15" customHeight="1">
      <c r="A610" s="33"/>
      <c r="B610" s="33"/>
      <c r="C610" s="33"/>
      <c r="D610" s="33"/>
      <c r="E610" s="33"/>
      <c r="F610" s="33"/>
      <c r="G610" s="33"/>
      <c r="H610" s="33"/>
      <c r="I610" s="33"/>
      <c r="J610" s="33"/>
      <c r="K610" s="33"/>
      <c r="L610" s="33"/>
      <c r="M610" s="33"/>
      <c r="N610" s="33"/>
      <c r="O610" s="33"/>
      <c r="P610" s="33"/>
      <c r="Q610" s="33"/>
      <c r="R610" s="33"/>
      <c r="S610" s="33"/>
      <c r="T610" s="33"/>
      <c r="U610" s="33"/>
      <c r="V610" s="33"/>
      <c r="W610" s="33"/>
      <c r="X610" s="33"/>
      <c r="Y610" s="3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  <c r="BK610" s="33"/>
      <c r="BL610" s="33"/>
      <c r="BM610" s="33"/>
    </row>
    <row r="611" spans="1:65" ht="15" customHeight="1">
      <c r="A611" s="33"/>
      <c r="B611" s="33"/>
      <c r="C611" s="33"/>
      <c r="D611" s="33"/>
      <c r="E611" s="33"/>
      <c r="F611" s="33"/>
      <c r="G611" s="33"/>
      <c r="H611" s="33"/>
      <c r="I611" s="33"/>
      <c r="J611" s="33"/>
      <c r="K611" s="33"/>
      <c r="L611" s="33"/>
      <c r="M611" s="33"/>
      <c r="N611" s="33"/>
      <c r="O611" s="33"/>
      <c r="P611" s="33"/>
      <c r="Q611" s="33"/>
      <c r="R611" s="33"/>
      <c r="S611" s="33"/>
      <c r="T611" s="33"/>
      <c r="U611" s="33"/>
      <c r="V611" s="33"/>
      <c r="W611" s="33"/>
      <c r="X611" s="33"/>
      <c r="Y611" s="3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  <c r="BK611" s="33"/>
      <c r="BL611" s="33"/>
      <c r="BM611" s="33"/>
    </row>
    <row r="612" spans="1:65" ht="15" customHeight="1">
      <c r="A612" s="33"/>
      <c r="B612" s="33"/>
      <c r="C612" s="33"/>
      <c r="D612" s="33"/>
      <c r="E612" s="33"/>
      <c r="F612" s="33"/>
      <c r="G612" s="33"/>
      <c r="H612" s="33"/>
      <c r="I612" s="33"/>
      <c r="J612" s="33"/>
      <c r="K612" s="33"/>
      <c r="L612" s="33"/>
      <c r="M612" s="33"/>
      <c r="N612" s="33"/>
      <c r="O612" s="33"/>
      <c r="P612" s="33"/>
      <c r="Q612" s="33"/>
      <c r="R612" s="33"/>
      <c r="S612" s="33"/>
      <c r="T612" s="33"/>
      <c r="U612" s="33"/>
      <c r="V612" s="33"/>
      <c r="W612" s="33"/>
      <c r="X612" s="33"/>
      <c r="Y612" s="3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  <c r="BL612" s="33"/>
      <c r="BM612" s="33"/>
    </row>
    <row r="613" spans="1:65" ht="15" customHeight="1">
      <c r="A613" s="33"/>
      <c r="B613" s="33"/>
      <c r="C613" s="33"/>
      <c r="D613" s="33"/>
      <c r="E613" s="33"/>
      <c r="F613" s="33"/>
      <c r="G613" s="33"/>
      <c r="H613" s="33"/>
      <c r="I613" s="33"/>
      <c r="J613" s="33"/>
      <c r="K613" s="33"/>
      <c r="L613" s="33"/>
      <c r="M613" s="33"/>
      <c r="N613" s="33"/>
      <c r="O613" s="33"/>
      <c r="P613" s="33"/>
      <c r="Q613" s="33"/>
      <c r="R613" s="33"/>
      <c r="S613" s="33"/>
      <c r="T613" s="33"/>
      <c r="U613" s="33"/>
      <c r="V613" s="33"/>
      <c r="W613" s="33"/>
      <c r="X613" s="33"/>
      <c r="Y613" s="3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  <c r="BL613" s="33"/>
      <c r="BM613" s="33"/>
    </row>
    <row r="614" spans="1:65" ht="15" customHeight="1">
      <c r="A614" s="33"/>
      <c r="B614" s="33"/>
      <c r="C614" s="33"/>
      <c r="D614" s="33"/>
      <c r="E614" s="33"/>
      <c r="F614" s="33"/>
      <c r="G614" s="33"/>
      <c r="H614" s="33"/>
      <c r="I614" s="33"/>
      <c r="J614" s="33"/>
      <c r="K614" s="33"/>
      <c r="L614" s="33"/>
      <c r="M614" s="33"/>
      <c r="N614" s="33"/>
      <c r="O614" s="33"/>
      <c r="P614" s="33"/>
      <c r="Q614" s="33"/>
      <c r="R614" s="33"/>
      <c r="S614" s="33"/>
      <c r="T614" s="33"/>
      <c r="U614" s="33"/>
      <c r="V614" s="33"/>
      <c r="W614" s="33"/>
      <c r="X614" s="33"/>
      <c r="Y614" s="3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  <c r="BK614" s="33"/>
      <c r="BL614" s="33"/>
      <c r="BM614" s="33"/>
    </row>
    <row r="615" spans="1:65" ht="15" customHeight="1">
      <c r="A615" s="33"/>
      <c r="B615" s="33"/>
      <c r="C615" s="33"/>
      <c r="D615" s="33"/>
      <c r="E615" s="33"/>
      <c r="F615" s="33"/>
      <c r="G615" s="33"/>
      <c r="H615" s="33"/>
      <c r="I615" s="33"/>
      <c r="J615" s="33"/>
      <c r="K615" s="33"/>
      <c r="L615" s="33"/>
      <c r="M615" s="33"/>
      <c r="N615" s="33"/>
      <c r="O615" s="33"/>
      <c r="P615" s="33"/>
      <c r="Q615" s="33"/>
      <c r="R615" s="33"/>
      <c r="S615" s="33"/>
      <c r="T615" s="33"/>
      <c r="U615" s="33"/>
      <c r="V615" s="33"/>
      <c r="W615" s="33"/>
      <c r="X615" s="33"/>
      <c r="Y615" s="3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  <c r="BK615" s="33"/>
      <c r="BL615" s="33"/>
      <c r="BM615" s="33"/>
    </row>
    <row r="616" spans="1:65" ht="15" customHeight="1">
      <c r="A616" s="33"/>
      <c r="B616" s="33"/>
      <c r="C616" s="33"/>
      <c r="D616" s="33"/>
      <c r="E616" s="33"/>
      <c r="F616" s="33"/>
      <c r="G616" s="33"/>
      <c r="H616" s="33"/>
      <c r="I616" s="33"/>
      <c r="J616" s="33"/>
      <c r="K616" s="33"/>
      <c r="L616" s="33"/>
      <c r="M616" s="33"/>
      <c r="N616" s="33"/>
      <c r="O616" s="33"/>
      <c r="P616" s="33"/>
      <c r="Q616" s="33"/>
      <c r="R616" s="33"/>
      <c r="S616" s="33"/>
      <c r="T616" s="33"/>
      <c r="U616" s="33"/>
      <c r="V616" s="33"/>
      <c r="W616" s="33"/>
      <c r="X616" s="33"/>
      <c r="Y616" s="3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  <c r="BK616" s="33"/>
      <c r="BL616" s="33"/>
      <c r="BM616" s="33"/>
    </row>
    <row r="617" spans="1:65" ht="15" customHeight="1">
      <c r="A617" s="33"/>
      <c r="B617" s="33"/>
      <c r="C617" s="33"/>
      <c r="D617" s="33"/>
      <c r="E617" s="33"/>
      <c r="F617" s="33"/>
      <c r="G617" s="33"/>
      <c r="H617" s="33"/>
      <c r="I617" s="33"/>
      <c r="J617" s="33"/>
      <c r="K617" s="33"/>
      <c r="L617" s="33"/>
      <c r="M617" s="33"/>
      <c r="N617" s="33"/>
      <c r="O617" s="33"/>
      <c r="P617" s="33"/>
      <c r="Q617" s="33"/>
      <c r="R617" s="33"/>
      <c r="S617" s="33"/>
      <c r="T617" s="33"/>
      <c r="U617" s="33"/>
      <c r="V617" s="33"/>
      <c r="W617" s="33"/>
      <c r="X617" s="33"/>
      <c r="Y617" s="3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  <c r="BK617" s="33"/>
      <c r="BL617" s="33"/>
      <c r="BM617" s="33"/>
    </row>
    <row r="618" spans="1:65" ht="15" customHeight="1">
      <c r="A618" s="33"/>
      <c r="B618" s="33"/>
      <c r="C618" s="33"/>
      <c r="D618" s="33"/>
      <c r="E618" s="33"/>
      <c r="F618" s="33"/>
      <c r="G618" s="33"/>
      <c r="H618" s="33"/>
      <c r="I618" s="33"/>
      <c r="J618" s="33"/>
      <c r="K618" s="33"/>
      <c r="L618" s="33"/>
      <c r="M618" s="33"/>
      <c r="N618" s="33"/>
      <c r="O618" s="33"/>
      <c r="P618" s="33"/>
      <c r="Q618" s="33"/>
      <c r="R618" s="33"/>
      <c r="S618" s="33"/>
      <c r="T618" s="33"/>
      <c r="U618" s="33"/>
      <c r="V618" s="33"/>
      <c r="W618" s="33"/>
      <c r="X618" s="33"/>
      <c r="Y618" s="3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  <c r="BK618" s="33"/>
      <c r="BL618" s="33"/>
      <c r="BM618" s="33"/>
    </row>
    <row r="619" spans="1:65" ht="15" customHeight="1">
      <c r="A619" s="33"/>
      <c r="B619" s="33"/>
      <c r="C619" s="33"/>
      <c r="D619" s="33"/>
      <c r="E619" s="33"/>
      <c r="F619" s="33"/>
      <c r="G619" s="33"/>
      <c r="H619" s="33"/>
      <c r="I619" s="33"/>
      <c r="J619" s="33"/>
      <c r="K619" s="33"/>
      <c r="L619" s="33"/>
      <c r="M619" s="33"/>
      <c r="N619" s="33"/>
      <c r="O619" s="33"/>
      <c r="P619" s="33"/>
      <c r="Q619" s="33"/>
      <c r="R619" s="33"/>
      <c r="S619" s="33"/>
      <c r="T619" s="33"/>
      <c r="U619" s="33"/>
      <c r="V619" s="33"/>
      <c r="W619" s="33"/>
      <c r="X619" s="33"/>
      <c r="Y619" s="3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  <c r="BK619" s="33"/>
      <c r="BL619" s="33"/>
      <c r="BM619" s="33"/>
    </row>
    <row r="620" spans="1:65" ht="15" customHeight="1">
      <c r="A620" s="33"/>
      <c r="B620" s="33"/>
      <c r="C620" s="33"/>
      <c r="D620" s="33"/>
      <c r="E620" s="33"/>
      <c r="F620" s="33"/>
      <c r="G620" s="33"/>
      <c r="H620" s="33"/>
      <c r="I620" s="33"/>
      <c r="J620" s="33"/>
      <c r="K620" s="33"/>
      <c r="L620" s="33"/>
      <c r="M620" s="33"/>
      <c r="N620" s="33"/>
      <c r="O620" s="33"/>
      <c r="P620" s="33"/>
      <c r="Q620" s="33"/>
      <c r="R620" s="33"/>
      <c r="S620" s="33"/>
      <c r="T620" s="33"/>
      <c r="U620" s="33"/>
      <c r="V620" s="33"/>
      <c r="W620" s="33"/>
      <c r="X620" s="33"/>
      <c r="Y620" s="3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  <c r="BK620" s="33"/>
      <c r="BL620" s="33"/>
      <c r="BM620" s="33"/>
    </row>
    <row r="621" spans="1:65" ht="15" customHeight="1">
      <c r="A621" s="33"/>
      <c r="B621" s="33"/>
      <c r="C621" s="33"/>
      <c r="D621" s="33"/>
      <c r="E621" s="33"/>
      <c r="F621" s="33"/>
      <c r="G621" s="33"/>
      <c r="H621" s="33"/>
      <c r="I621" s="33"/>
      <c r="J621" s="33"/>
      <c r="K621" s="33"/>
      <c r="L621" s="33"/>
      <c r="M621" s="33"/>
      <c r="N621" s="33"/>
      <c r="O621" s="33"/>
      <c r="P621" s="33"/>
      <c r="Q621" s="33"/>
      <c r="R621" s="33"/>
      <c r="S621" s="33"/>
      <c r="T621" s="33"/>
      <c r="U621" s="33"/>
      <c r="V621" s="33"/>
      <c r="W621" s="33"/>
      <c r="X621" s="33"/>
      <c r="Y621" s="3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  <c r="BK621" s="33"/>
      <c r="BL621" s="33"/>
      <c r="BM621" s="33"/>
    </row>
    <row r="622" spans="1:65" ht="15" customHeight="1">
      <c r="A622" s="33"/>
      <c r="B622" s="33"/>
      <c r="C622" s="33"/>
      <c r="D622" s="33"/>
      <c r="E622" s="33"/>
      <c r="F622" s="33"/>
      <c r="G622" s="33"/>
      <c r="H622" s="33"/>
      <c r="I622" s="33"/>
      <c r="J622" s="33"/>
      <c r="K622" s="33"/>
      <c r="L622" s="33"/>
      <c r="M622" s="33"/>
      <c r="N622" s="33"/>
      <c r="O622" s="33"/>
      <c r="P622" s="33"/>
      <c r="Q622" s="33"/>
      <c r="R622" s="33"/>
      <c r="S622" s="33"/>
      <c r="T622" s="33"/>
      <c r="U622" s="33"/>
      <c r="V622" s="33"/>
      <c r="W622" s="33"/>
      <c r="X622" s="33"/>
      <c r="Y622" s="3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  <c r="BK622" s="33"/>
      <c r="BL622" s="33"/>
      <c r="BM622" s="33"/>
    </row>
    <row r="623" spans="1:65" ht="15" customHeight="1">
      <c r="A623" s="33"/>
      <c r="B623" s="33"/>
      <c r="C623" s="33"/>
      <c r="D623" s="33"/>
      <c r="E623" s="33"/>
      <c r="F623" s="33"/>
      <c r="G623" s="33"/>
      <c r="H623" s="33"/>
      <c r="I623" s="33"/>
      <c r="J623" s="33"/>
      <c r="K623" s="33"/>
      <c r="L623" s="33"/>
      <c r="M623" s="33"/>
      <c r="N623" s="33"/>
      <c r="O623" s="33"/>
      <c r="P623" s="33"/>
      <c r="Q623" s="33"/>
      <c r="R623" s="33"/>
      <c r="S623" s="33"/>
      <c r="T623" s="33"/>
      <c r="U623" s="33"/>
      <c r="V623" s="33"/>
      <c r="W623" s="33"/>
      <c r="X623" s="33"/>
      <c r="Y623" s="3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  <c r="BL623" s="33"/>
      <c r="BM623" s="33"/>
    </row>
    <row r="624" spans="1:65" ht="15" customHeight="1">
      <c r="A624" s="33"/>
      <c r="B624" s="33"/>
      <c r="C624" s="33"/>
      <c r="D624" s="33"/>
      <c r="E624" s="33"/>
      <c r="F624" s="33"/>
      <c r="G624" s="33"/>
      <c r="H624" s="33"/>
      <c r="I624" s="33"/>
      <c r="J624" s="33"/>
      <c r="K624" s="33"/>
      <c r="L624" s="33"/>
      <c r="M624" s="33"/>
      <c r="N624" s="33"/>
      <c r="O624" s="33"/>
      <c r="P624" s="33"/>
      <c r="Q624" s="33"/>
      <c r="R624" s="33"/>
      <c r="S624" s="33"/>
      <c r="T624" s="33"/>
      <c r="U624" s="33"/>
      <c r="V624" s="33"/>
      <c r="W624" s="33"/>
      <c r="X624" s="33"/>
      <c r="Y624" s="3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  <c r="BL624" s="33"/>
      <c r="BM624" s="33"/>
    </row>
    <row r="625" spans="1:65" ht="15" customHeight="1">
      <c r="A625" s="33"/>
      <c r="B625" s="33"/>
      <c r="C625" s="33"/>
      <c r="D625" s="33"/>
      <c r="E625" s="33"/>
      <c r="F625" s="33"/>
      <c r="G625" s="33"/>
      <c r="H625" s="33"/>
      <c r="I625" s="33"/>
      <c r="J625" s="33"/>
      <c r="K625" s="33"/>
      <c r="L625" s="33"/>
      <c r="M625" s="33"/>
      <c r="N625" s="33"/>
      <c r="O625" s="33"/>
      <c r="P625" s="33"/>
      <c r="Q625" s="33"/>
      <c r="R625" s="33"/>
      <c r="S625" s="33"/>
      <c r="T625" s="33"/>
      <c r="U625" s="33"/>
      <c r="V625" s="33"/>
      <c r="W625" s="33"/>
      <c r="X625" s="33"/>
      <c r="Y625" s="3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  <c r="BL625" s="33"/>
      <c r="BM625" s="33"/>
    </row>
    <row r="626" spans="1:65" ht="15" customHeight="1">
      <c r="A626" s="33"/>
      <c r="B626" s="33"/>
      <c r="C626" s="33"/>
      <c r="D626" s="33"/>
      <c r="E626" s="33"/>
      <c r="F626" s="33"/>
      <c r="G626" s="33"/>
      <c r="H626" s="33"/>
      <c r="I626" s="33"/>
      <c r="J626" s="33"/>
      <c r="K626" s="33"/>
      <c r="L626" s="33"/>
      <c r="M626" s="33"/>
      <c r="N626" s="33"/>
      <c r="O626" s="33"/>
      <c r="P626" s="33"/>
      <c r="Q626" s="33"/>
      <c r="R626" s="33"/>
      <c r="S626" s="33"/>
      <c r="T626" s="33"/>
      <c r="U626" s="33"/>
      <c r="V626" s="33"/>
      <c r="W626" s="33"/>
      <c r="X626" s="33"/>
      <c r="Y626" s="3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  <c r="BL626" s="33"/>
      <c r="BM626" s="33"/>
    </row>
    <row r="627" spans="1:65" ht="15" customHeight="1">
      <c r="A627" s="33"/>
      <c r="B627" s="33"/>
      <c r="C627" s="33"/>
      <c r="D627" s="33"/>
      <c r="E627" s="33"/>
      <c r="F627" s="33"/>
      <c r="G627" s="33"/>
      <c r="H627" s="33"/>
      <c r="I627" s="33"/>
      <c r="J627" s="33"/>
      <c r="K627" s="33"/>
      <c r="L627" s="33"/>
      <c r="M627" s="33"/>
      <c r="N627" s="33"/>
      <c r="O627" s="33"/>
      <c r="P627" s="33"/>
      <c r="Q627" s="33"/>
      <c r="R627" s="33"/>
      <c r="S627" s="33"/>
      <c r="T627" s="33"/>
      <c r="U627" s="33"/>
      <c r="V627" s="33"/>
      <c r="W627" s="33"/>
      <c r="X627" s="33"/>
      <c r="Y627" s="3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  <c r="BL627" s="33"/>
      <c r="BM627" s="33"/>
    </row>
    <row r="628" spans="1:65" ht="15" customHeight="1">
      <c r="A628" s="33"/>
      <c r="B628" s="33"/>
      <c r="C628" s="33"/>
      <c r="D628" s="33"/>
      <c r="E628" s="33"/>
      <c r="F628" s="33"/>
      <c r="G628" s="33"/>
      <c r="H628" s="33"/>
      <c r="I628" s="33"/>
      <c r="J628" s="33"/>
      <c r="K628" s="33"/>
      <c r="L628" s="33"/>
      <c r="M628" s="33"/>
      <c r="N628" s="33"/>
      <c r="O628" s="33"/>
      <c r="P628" s="33"/>
      <c r="Q628" s="33"/>
      <c r="R628" s="33"/>
      <c r="S628" s="33"/>
      <c r="T628" s="33"/>
      <c r="U628" s="33"/>
      <c r="V628" s="33"/>
      <c r="W628" s="33"/>
      <c r="X628" s="33"/>
      <c r="Y628" s="3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  <c r="BL628" s="33"/>
      <c r="BM628" s="33"/>
    </row>
    <row r="629" spans="1:65" ht="15" customHeight="1">
      <c r="A629" s="33"/>
      <c r="B629" s="33"/>
      <c r="C629" s="33"/>
      <c r="D629" s="33"/>
      <c r="E629" s="33"/>
      <c r="F629" s="33"/>
      <c r="G629" s="33"/>
      <c r="H629" s="33"/>
      <c r="I629" s="33"/>
      <c r="J629" s="33"/>
      <c r="K629" s="33"/>
      <c r="L629" s="33"/>
      <c r="M629" s="33"/>
      <c r="N629" s="33"/>
      <c r="O629" s="33"/>
      <c r="P629" s="33"/>
      <c r="Q629" s="33"/>
      <c r="R629" s="33"/>
      <c r="S629" s="33"/>
      <c r="T629" s="33"/>
      <c r="U629" s="33"/>
      <c r="V629" s="33"/>
      <c r="W629" s="33"/>
      <c r="X629" s="33"/>
      <c r="Y629" s="3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  <c r="BK629" s="33"/>
      <c r="BL629" s="33"/>
      <c r="BM629" s="33"/>
    </row>
    <row r="630" spans="1:65" ht="15" customHeight="1">
      <c r="A630" s="33"/>
      <c r="B630" s="33"/>
      <c r="C630" s="33"/>
      <c r="D630" s="33"/>
      <c r="E630" s="33"/>
      <c r="F630" s="33"/>
      <c r="G630" s="33"/>
      <c r="H630" s="33"/>
      <c r="I630" s="33"/>
      <c r="J630" s="33"/>
      <c r="K630" s="33"/>
      <c r="L630" s="33"/>
      <c r="M630" s="33"/>
      <c r="N630" s="33"/>
      <c r="O630" s="33"/>
      <c r="P630" s="33"/>
      <c r="Q630" s="33"/>
      <c r="R630" s="33"/>
      <c r="S630" s="33"/>
      <c r="T630" s="33"/>
      <c r="U630" s="33"/>
      <c r="V630" s="33"/>
      <c r="W630" s="33"/>
      <c r="X630" s="33"/>
      <c r="Y630" s="3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  <c r="BK630" s="33"/>
      <c r="BL630" s="33"/>
      <c r="BM630" s="33"/>
    </row>
    <row r="631" spans="1:65" ht="15" customHeight="1">
      <c r="A631" s="33"/>
      <c r="B631" s="33"/>
      <c r="C631" s="33"/>
      <c r="D631" s="33"/>
      <c r="E631" s="33"/>
      <c r="F631" s="33"/>
      <c r="G631" s="33"/>
      <c r="H631" s="33"/>
      <c r="I631" s="33"/>
      <c r="J631" s="33"/>
      <c r="K631" s="33"/>
      <c r="L631" s="33"/>
      <c r="M631" s="33"/>
      <c r="N631" s="33"/>
      <c r="O631" s="33"/>
      <c r="P631" s="33"/>
      <c r="Q631" s="33"/>
      <c r="R631" s="33"/>
      <c r="S631" s="33"/>
      <c r="T631" s="33"/>
      <c r="U631" s="33"/>
      <c r="V631" s="33"/>
      <c r="W631" s="33"/>
      <c r="X631" s="33"/>
      <c r="Y631" s="3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  <c r="BK631" s="33"/>
      <c r="BL631" s="33"/>
      <c r="BM631" s="33"/>
    </row>
    <row r="632" spans="1:65" ht="15" customHeight="1">
      <c r="A632" s="33"/>
      <c r="B632" s="33"/>
      <c r="C632" s="33"/>
      <c r="D632" s="33"/>
      <c r="E632" s="33"/>
      <c r="F632" s="33"/>
      <c r="G632" s="33"/>
      <c r="H632" s="33"/>
      <c r="I632" s="33"/>
      <c r="J632" s="33"/>
      <c r="K632" s="33"/>
      <c r="L632" s="33"/>
      <c r="M632" s="33"/>
      <c r="N632" s="33"/>
      <c r="O632" s="33"/>
      <c r="P632" s="33"/>
      <c r="Q632" s="33"/>
      <c r="R632" s="33"/>
      <c r="S632" s="33"/>
      <c r="T632" s="33"/>
      <c r="U632" s="33"/>
      <c r="V632" s="33"/>
      <c r="W632" s="33"/>
      <c r="X632" s="33"/>
      <c r="Y632" s="3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  <c r="BL632" s="33"/>
      <c r="BM632" s="33"/>
    </row>
    <row r="633" spans="1:65" ht="15" customHeight="1">
      <c r="A633" s="33"/>
      <c r="B633" s="33"/>
      <c r="C633" s="33"/>
      <c r="D633" s="33"/>
      <c r="E633" s="33"/>
      <c r="F633" s="33"/>
      <c r="G633" s="33"/>
      <c r="H633" s="33"/>
      <c r="I633" s="33"/>
      <c r="J633" s="33"/>
      <c r="K633" s="33"/>
      <c r="L633" s="33"/>
      <c r="M633" s="33"/>
      <c r="N633" s="33"/>
      <c r="O633" s="33"/>
      <c r="P633" s="33"/>
      <c r="Q633" s="33"/>
      <c r="R633" s="33"/>
      <c r="S633" s="33"/>
      <c r="T633" s="33"/>
      <c r="U633" s="33"/>
      <c r="V633" s="33"/>
      <c r="W633" s="33"/>
      <c r="X633" s="33"/>
      <c r="Y633" s="3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  <c r="BL633" s="33"/>
      <c r="BM633" s="33"/>
    </row>
    <row r="634" spans="1:65" ht="15" customHeight="1">
      <c r="A634" s="33"/>
      <c r="B634" s="33"/>
      <c r="C634" s="33"/>
      <c r="D634" s="33"/>
      <c r="E634" s="33"/>
      <c r="F634" s="33"/>
      <c r="G634" s="33"/>
      <c r="H634" s="33"/>
      <c r="I634" s="33"/>
      <c r="J634" s="33"/>
      <c r="K634" s="33"/>
      <c r="L634" s="33"/>
      <c r="M634" s="33"/>
      <c r="N634" s="33"/>
      <c r="O634" s="33"/>
      <c r="P634" s="33"/>
      <c r="Q634" s="33"/>
      <c r="R634" s="33"/>
      <c r="S634" s="33"/>
      <c r="T634" s="33"/>
      <c r="U634" s="33"/>
      <c r="V634" s="33"/>
      <c r="W634" s="33"/>
      <c r="X634" s="33"/>
      <c r="Y634" s="3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  <c r="BK634" s="33"/>
      <c r="BL634" s="33"/>
      <c r="BM634" s="33"/>
    </row>
    <row r="635" spans="1:65" ht="15" customHeight="1">
      <c r="A635" s="33"/>
      <c r="B635" s="33"/>
      <c r="C635" s="33"/>
      <c r="D635" s="33"/>
      <c r="E635" s="33"/>
      <c r="F635" s="33"/>
      <c r="G635" s="33"/>
      <c r="H635" s="33"/>
      <c r="I635" s="33"/>
      <c r="J635" s="33"/>
      <c r="K635" s="33"/>
      <c r="L635" s="33"/>
      <c r="M635" s="33"/>
      <c r="N635" s="33"/>
      <c r="O635" s="33"/>
      <c r="P635" s="33"/>
      <c r="Q635" s="33"/>
      <c r="R635" s="33"/>
      <c r="S635" s="33"/>
      <c r="T635" s="33"/>
      <c r="U635" s="33"/>
      <c r="V635" s="33"/>
      <c r="W635" s="33"/>
      <c r="X635" s="33"/>
      <c r="Y635" s="3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  <c r="BL635" s="33"/>
      <c r="BM635" s="33"/>
    </row>
    <row r="636" spans="1:65" ht="15" customHeight="1">
      <c r="A636" s="33"/>
      <c r="B636" s="33"/>
      <c r="C636" s="33"/>
      <c r="D636" s="33"/>
      <c r="E636" s="33"/>
      <c r="F636" s="33"/>
      <c r="G636" s="33"/>
      <c r="H636" s="33"/>
      <c r="I636" s="33"/>
      <c r="J636" s="33"/>
      <c r="K636" s="33"/>
      <c r="L636" s="33"/>
      <c r="M636" s="33"/>
      <c r="N636" s="33"/>
      <c r="O636" s="33"/>
      <c r="P636" s="33"/>
      <c r="Q636" s="33"/>
      <c r="R636" s="33"/>
      <c r="S636" s="33"/>
      <c r="T636" s="33"/>
      <c r="U636" s="33"/>
      <c r="V636" s="33"/>
      <c r="W636" s="33"/>
      <c r="X636" s="33"/>
      <c r="Y636" s="3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</row>
    <row r="637" spans="1:65" ht="15" customHeight="1">
      <c r="A637" s="33"/>
      <c r="B637" s="33"/>
      <c r="C637" s="33"/>
      <c r="D637" s="33"/>
      <c r="E637" s="33"/>
      <c r="F637" s="33"/>
      <c r="G637" s="33"/>
      <c r="H637" s="33"/>
      <c r="I637" s="33"/>
      <c r="J637" s="33"/>
      <c r="K637" s="33"/>
      <c r="L637" s="33"/>
      <c r="M637" s="33"/>
      <c r="N637" s="33"/>
      <c r="O637" s="33"/>
      <c r="P637" s="33"/>
      <c r="Q637" s="33"/>
      <c r="R637" s="33"/>
      <c r="S637" s="33"/>
      <c r="T637" s="33"/>
      <c r="U637" s="33"/>
      <c r="V637" s="33"/>
      <c r="W637" s="33"/>
      <c r="X637" s="33"/>
      <c r="Y637" s="3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  <c r="BL637" s="33"/>
      <c r="BM637" s="33"/>
    </row>
    <row r="638" spans="1:65" ht="15" customHeight="1">
      <c r="A638" s="33"/>
      <c r="B638" s="33"/>
      <c r="C638" s="33"/>
      <c r="D638" s="33"/>
      <c r="E638" s="33"/>
      <c r="F638" s="33"/>
      <c r="G638" s="33"/>
      <c r="H638" s="33"/>
      <c r="I638" s="33"/>
      <c r="J638" s="33"/>
      <c r="K638" s="33"/>
      <c r="L638" s="33"/>
      <c r="M638" s="33"/>
      <c r="N638" s="33"/>
      <c r="O638" s="33"/>
      <c r="P638" s="33"/>
      <c r="Q638" s="33"/>
      <c r="R638" s="33"/>
      <c r="S638" s="33"/>
      <c r="T638" s="33"/>
      <c r="U638" s="33"/>
      <c r="V638" s="33"/>
      <c r="W638" s="33"/>
      <c r="X638" s="33"/>
      <c r="Y638" s="3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  <c r="BK638" s="33"/>
      <c r="BL638" s="33"/>
      <c r="BM638" s="33"/>
    </row>
    <row r="639" spans="1:65" ht="15" customHeight="1">
      <c r="A639" s="33"/>
      <c r="B639" s="33"/>
      <c r="C639" s="33"/>
      <c r="D639" s="33"/>
      <c r="E639" s="33"/>
      <c r="F639" s="33"/>
      <c r="G639" s="33"/>
      <c r="H639" s="33"/>
      <c r="I639" s="33"/>
      <c r="J639" s="33"/>
      <c r="K639" s="33"/>
      <c r="L639" s="33"/>
      <c r="M639" s="33"/>
      <c r="N639" s="33"/>
      <c r="O639" s="33"/>
      <c r="P639" s="33"/>
      <c r="Q639" s="33"/>
      <c r="R639" s="33"/>
      <c r="S639" s="33"/>
      <c r="T639" s="33"/>
      <c r="U639" s="33"/>
      <c r="V639" s="33"/>
      <c r="W639" s="33"/>
      <c r="X639" s="33"/>
      <c r="Y639" s="3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  <c r="BL639" s="33"/>
      <c r="BM639" s="33"/>
    </row>
    <row r="640" spans="1:65" ht="15" customHeight="1">
      <c r="A640" s="33"/>
      <c r="B640" s="33"/>
      <c r="C640" s="33"/>
      <c r="D640" s="33"/>
      <c r="E640" s="33"/>
      <c r="F640" s="33"/>
      <c r="G640" s="33"/>
      <c r="H640" s="33"/>
      <c r="I640" s="33"/>
      <c r="J640" s="33"/>
      <c r="K640" s="33"/>
      <c r="L640" s="33"/>
      <c r="M640" s="33"/>
      <c r="N640" s="33"/>
      <c r="O640" s="33"/>
      <c r="P640" s="33"/>
      <c r="Q640" s="33"/>
      <c r="R640" s="33"/>
      <c r="S640" s="33"/>
      <c r="T640" s="33"/>
      <c r="U640" s="33"/>
      <c r="V640" s="33"/>
      <c r="W640" s="33"/>
      <c r="X640" s="33"/>
      <c r="Y640" s="3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  <c r="BK640" s="33"/>
      <c r="BL640" s="33"/>
      <c r="BM640" s="33"/>
    </row>
    <row r="641" spans="1:65" ht="15" customHeight="1">
      <c r="A641" s="33"/>
      <c r="B641" s="33"/>
      <c r="C641" s="33"/>
      <c r="D641" s="33"/>
      <c r="E641" s="33"/>
      <c r="F641" s="33"/>
      <c r="G641" s="33"/>
      <c r="H641" s="33"/>
      <c r="I641" s="33"/>
      <c r="J641" s="33"/>
      <c r="K641" s="33"/>
      <c r="L641" s="33"/>
      <c r="M641" s="33"/>
      <c r="N641" s="33"/>
      <c r="O641" s="33"/>
      <c r="P641" s="33"/>
      <c r="Q641" s="33"/>
      <c r="R641" s="33"/>
      <c r="S641" s="33"/>
      <c r="T641" s="33"/>
      <c r="U641" s="33"/>
      <c r="V641" s="33"/>
      <c r="W641" s="33"/>
      <c r="X641" s="33"/>
      <c r="Y641" s="3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  <c r="BL641" s="33"/>
      <c r="BM641" s="33"/>
    </row>
    <row r="642" spans="1:65" ht="15" customHeight="1">
      <c r="A642" s="33"/>
      <c r="B642" s="33"/>
      <c r="C642" s="33"/>
      <c r="D642" s="33"/>
      <c r="E642" s="33"/>
      <c r="F642" s="33"/>
      <c r="G642" s="33"/>
      <c r="H642" s="33"/>
      <c r="I642" s="33"/>
      <c r="J642" s="33"/>
      <c r="K642" s="33"/>
      <c r="L642" s="33"/>
      <c r="M642" s="33"/>
      <c r="N642" s="33"/>
      <c r="O642" s="33"/>
      <c r="P642" s="33"/>
      <c r="Q642" s="33"/>
      <c r="R642" s="33"/>
      <c r="S642" s="33"/>
      <c r="T642" s="33"/>
      <c r="U642" s="33"/>
      <c r="V642" s="33"/>
      <c r="W642" s="33"/>
      <c r="X642" s="33"/>
      <c r="Y642" s="3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  <c r="BK642" s="33"/>
      <c r="BL642" s="33"/>
      <c r="BM642" s="33"/>
    </row>
    <row r="643" spans="1:65" ht="15" customHeight="1">
      <c r="A643" s="33"/>
      <c r="B643" s="33"/>
      <c r="C643" s="33"/>
      <c r="D643" s="33"/>
      <c r="E643" s="33"/>
      <c r="F643" s="33"/>
      <c r="G643" s="33"/>
      <c r="H643" s="33"/>
      <c r="I643" s="33"/>
      <c r="J643" s="33"/>
      <c r="K643" s="33"/>
      <c r="L643" s="33"/>
      <c r="M643" s="33"/>
      <c r="N643" s="33"/>
      <c r="O643" s="33"/>
      <c r="P643" s="33"/>
      <c r="Q643" s="33"/>
      <c r="R643" s="33"/>
      <c r="S643" s="33"/>
      <c r="T643" s="33"/>
      <c r="U643" s="33"/>
      <c r="V643" s="33"/>
      <c r="W643" s="33"/>
      <c r="X643" s="33"/>
      <c r="Y643" s="3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  <c r="BL643" s="33"/>
      <c r="BM643" s="33"/>
    </row>
    <row r="644" spans="1:65" ht="15" customHeight="1">
      <c r="A644" s="33"/>
      <c r="B644" s="33"/>
      <c r="C644" s="33"/>
      <c r="D644" s="33"/>
      <c r="E644" s="33"/>
      <c r="F644" s="33"/>
      <c r="G644" s="33"/>
      <c r="H644" s="33"/>
      <c r="I644" s="33"/>
      <c r="J644" s="33"/>
      <c r="K644" s="33"/>
      <c r="L644" s="33"/>
      <c r="M644" s="33"/>
      <c r="N644" s="33"/>
      <c r="O644" s="33"/>
      <c r="P644" s="33"/>
      <c r="Q644" s="33"/>
      <c r="R644" s="33"/>
      <c r="S644" s="33"/>
      <c r="T644" s="33"/>
      <c r="U644" s="33"/>
      <c r="V644" s="33"/>
      <c r="W644" s="33"/>
      <c r="X644" s="33"/>
      <c r="Y644" s="3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  <c r="BK644" s="33"/>
      <c r="BL644" s="33"/>
      <c r="BM644" s="33"/>
    </row>
    <row r="645" spans="1:65" ht="15" customHeight="1">
      <c r="A645" s="33"/>
      <c r="B645" s="33"/>
      <c r="C645" s="33"/>
      <c r="D645" s="33"/>
      <c r="E645" s="33"/>
      <c r="F645" s="33"/>
      <c r="G645" s="33"/>
      <c r="H645" s="33"/>
      <c r="I645" s="33"/>
      <c r="J645" s="33"/>
      <c r="K645" s="33"/>
      <c r="L645" s="33"/>
      <c r="M645" s="33"/>
      <c r="N645" s="33"/>
      <c r="O645" s="33"/>
      <c r="P645" s="33"/>
      <c r="Q645" s="33"/>
      <c r="R645" s="33"/>
      <c r="S645" s="33"/>
      <c r="T645" s="33"/>
      <c r="U645" s="33"/>
      <c r="V645" s="33"/>
      <c r="W645" s="33"/>
      <c r="X645" s="33"/>
      <c r="Y645" s="3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  <c r="BL645" s="33"/>
      <c r="BM645" s="33"/>
    </row>
    <row r="646" spans="1:65" ht="15" customHeight="1">
      <c r="A646" s="33"/>
      <c r="B646" s="33"/>
      <c r="C646" s="33"/>
      <c r="D646" s="33"/>
      <c r="E646" s="33"/>
      <c r="F646" s="33"/>
      <c r="G646" s="33"/>
      <c r="H646" s="33"/>
      <c r="I646" s="33"/>
      <c r="J646" s="33"/>
      <c r="K646" s="33"/>
      <c r="L646" s="33"/>
      <c r="M646" s="33"/>
      <c r="N646" s="33"/>
      <c r="O646" s="33"/>
      <c r="P646" s="33"/>
      <c r="Q646" s="33"/>
      <c r="R646" s="33"/>
      <c r="S646" s="33"/>
      <c r="T646" s="33"/>
      <c r="U646" s="33"/>
      <c r="V646" s="33"/>
      <c r="W646" s="33"/>
      <c r="X646" s="33"/>
      <c r="Y646" s="3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  <c r="BK646" s="33"/>
      <c r="BL646" s="33"/>
      <c r="BM646" s="33"/>
    </row>
    <row r="647" spans="1:65" ht="15" customHeight="1">
      <c r="A647" s="33"/>
      <c r="B647" s="33"/>
      <c r="C647" s="33"/>
      <c r="D647" s="33"/>
      <c r="E647" s="33"/>
      <c r="F647" s="33"/>
      <c r="G647" s="33"/>
      <c r="H647" s="33"/>
      <c r="I647" s="33"/>
      <c r="J647" s="33"/>
      <c r="K647" s="33"/>
      <c r="L647" s="33"/>
      <c r="M647" s="33"/>
      <c r="N647" s="33"/>
      <c r="O647" s="33"/>
      <c r="P647" s="33"/>
      <c r="Q647" s="33"/>
      <c r="R647" s="33"/>
      <c r="S647" s="33"/>
      <c r="T647" s="33"/>
      <c r="U647" s="33"/>
      <c r="V647" s="33"/>
      <c r="W647" s="33"/>
      <c r="X647" s="33"/>
      <c r="Y647" s="3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  <c r="BL647" s="33"/>
      <c r="BM647" s="33"/>
    </row>
    <row r="648" spans="1:65" ht="15" customHeight="1">
      <c r="A648" s="33"/>
      <c r="B648" s="33"/>
      <c r="C648" s="33"/>
      <c r="D648" s="33"/>
      <c r="E648" s="33"/>
      <c r="F648" s="33"/>
      <c r="G648" s="33"/>
      <c r="H648" s="33"/>
      <c r="I648" s="33"/>
      <c r="J648" s="33"/>
      <c r="K648" s="33"/>
      <c r="L648" s="33"/>
      <c r="M648" s="33"/>
      <c r="N648" s="33"/>
      <c r="O648" s="33"/>
      <c r="P648" s="33"/>
      <c r="Q648" s="33"/>
      <c r="R648" s="33"/>
      <c r="S648" s="33"/>
      <c r="T648" s="33"/>
      <c r="U648" s="33"/>
      <c r="V648" s="33"/>
      <c r="W648" s="33"/>
      <c r="X648" s="33"/>
      <c r="Y648" s="3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  <c r="BL648" s="33"/>
      <c r="BM648" s="33"/>
    </row>
    <row r="649" spans="1:65" ht="15" customHeight="1">
      <c r="A649" s="33"/>
      <c r="B649" s="33"/>
      <c r="C649" s="33"/>
      <c r="D649" s="33"/>
      <c r="E649" s="33"/>
      <c r="F649" s="33"/>
      <c r="G649" s="33"/>
      <c r="H649" s="33"/>
      <c r="I649" s="33"/>
      <c r="J649" s="33"/>
      <c r="K649" s="33"/>
      <c r="L649" s="33"/>
      <c r="M649" s="33"/>
      <c r="N649" s="33"/>
      <c r="O649" s="33"/>
      <c r="P649" s="33"/>
      <c r="Q649" s="33"/>
      <c r="R649" s="33"/>
      <c r="S649" s="33"/>
      <c r="T649" s="33"/>
      <c r="U649" s="33"/>
      <c r="V649" s="33"/>
      <c r="W649" s="33"/>
      <c r="X649" s="33"/>
      <c r="Y649" s="3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  <c r="BL649" s="33"/>
      <c r="BM649" s="33"/>
    </row>
    <row r="650" spans="1:65" ht="15" customHeight="1">
      <c r="A650" s="33"/>
      <c r="B650" s="33"/>
      <c r="C650" s="33"/>
      <c r="D650" s="33"/>
      <c r="E650" s="33"/>
      <c r="F650" s="33"/>
      <c r="G650" s="33"/>
      <c r="H650" s="33"/>
      <c r="I650" s="33"/>
      <c r="J650" s="33"/>
      <c r="K650" s="33"/>
      <c r="L650" s="33"/>
      <c r="M650" s="33"/>
      <c r="N650" s="33"/>
      <c r="O650" s="33"/>
      <c r="P650" s="33"/>
      <c r="Q650" s="33"/>
      <c r="R650" s="33"/>
      <c r="S650" s="33"/>
      <c r="T650" s="33"/>
      <c r="U650" s="33"/>
      <c r="V650" s="33"/>
      <c r="W650" s="33"/>
      <c r="X650" s="33"/>
      <c r="Y650" s="3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  <c r="BK650" s="33"/>
      <c r="BL650" s="33"/>
      <c r="BM650" s="33"/>
    </row>
    <row r="651" spans="1:65" ht="15" customHeight="1">
      <c r="A651" s="33"/>
      <c r="B651" s="33"/>
      <c r="C651" s="33"/>
      <c r="D651" s="33"/>
      <c r="E651" s="33"/>
      <c r="F651" s="33"/>
      <c r="G651" s="33"/>
      <c r="H651" s="33"/>
      <c r="I651" s="33"/>
      <c r="J651" s="33"/>
      <c r="K651" s="33"/>
      <c r="L651" s="33"/>
      <c r="M651" s="33"/>
      <c r="N651" s="33"/>
      <c r="O651" s="33"/>
      <c r="P651" s="33"/>
      <c r="Q651" s="33"/>
      <c r="R651" s="33"/>
      <c r="S651" s="33"/>
      <c r="T651" s="33"/>
      <c r="U651" s="33"/>
      <c r="V651" s="33"/>
      <c r="W651" s="33"/>
      <c r="X651" s="33"/>
      <c r="Y651" s="3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</row>
    <row r="652" spans="1:65" ht="15" customHeight="1">
      <c r="A652" s="33"/>
      <c r="B652" s="33"/>
      <c r="C652" s="33"/>
      <c r="D652" s="33"/>
      <c r="E652" s="33"/>
      <c r="F652" s="33"/>
      <c r="G652" s="33"/>
      <c r="H652" s="33"/>
      <c r="I652" s="33"/>
      <c r="J652" s="33"/>
      <c r="K652" s="33"/>
      <c r="L652" s="33"/>
      <c r="M652" s="33"/>
      <c r="N652" s="33"/>
      <c r="O652" s="33"/>
      <c r="P652" s="33"/>
      <c r="Q652" s="33"/>
      <c r="R652" s="33"/>
      <c r="S652" s="33"/>
      <c r="T652" s="33"/>
      <c r="U652" s="33"/>
      <c r="V652" s="33"/>
      <c r="W652" s="33"/>
      <c r="X652" s="33"/>
      <c r="Y652" s="3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  <c r="BK652" s="33"/>
      <c r="BL652" s="33"/>
      <c r="BM652" s="33"/>
    </row>
    <row r="653" spans="1:65" ht="15" customHeight="1">
      <c r="A653" s="33"/>
      <c r="B653" s="33"/>
      <c r="C653" s="33"/>
      <c r="D653" s="33"/>
      <c r="E653" s="33"/>
      <c r="F653" s="33"/>
      <c r="G653" s="33"/>
      <c r="H653" s="33"/>
      <c r="I653" s="33"/>
      <c r="J653" s="33"/>
      <c r="K653" s="33"/>
      <c r="L653" s="33"/>
      <c r="M653" s="33"/>
      <c r="N653" s="33"/>
      <c r="O653" s="33"/>
      <c r="P653" s="33"/>
      <c r="Q653" s="33"/>
      <c r="R653" s="33"/>
      <c r="S653" s="33"/>
      <c r="T653" s="33"/>
      <c r="U653" s="33"/>
      <c r="V653" s="33"/>
      <c r="W653" s="33"/>
      <c r="X653" s="33"/>
      <c r="Y653" s="3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  <c r="BL653" s="33"/>
      <c r="BM653" s="33"/>
    </row>
    <row r="654" spans="1:65" ht="15" customHeight="1">
      <c r="A654" s="33"/>
      <c r="B654" s="33"/>
      <c r="C654" s="33"/>
      <c r="D654" s="33"/>
      <c r="E654" s="33"/>
      <c r="F654" s="33"/>
      <c r="G654" s="33"/>
      <c r="H654" s="33"/>
      <c r="I654" s="33"/>
      <c r="J654" s="33"/>
      <c r="K654" s="33"/>
      <c r="L654" s="33"/>
      <c r="M654" s="33"/>
      <c r="N654" s="33"/>
      <c r="O654" s="33"/>
      <c r="P654" s="33"/>
      <c r="Q654" s="33"/>
      <c r="R654" s="33"/>
      <c r="S654" s="33"/>
      <c r="T654" s="33"/>
      <c r="U654" s="33"/>
      <c r="V654" s="33"/>
      <c r="W654" s="33"/>
      <c r="X654" s="33"/>
      <c r="Y654" s="3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  <c r="BL654" s="33"/>
      <c r="BM654" s="33"/>
    </row>
    <row r="655" spans="1:65" ht="15" customHeight="1">
      <c r="A655" s="33"/>
      <c r="B655" s="33"/>
      <c r="C655" s="33"/>
      <c r="D655" s="33"/>
      <c r="E655" s="33"/>
      <c r="F655" s="33"/>
      <c r="G655" s="33"/>
      <c r="H655" s="33"/>
      <c r="I655" s="33"/>
      <c r="J655" s="33"/>
      <c r="K655" s="33"/>
      <c r="L655" s="33"/>
      <c r="M655" s="33"/>
      <c r="N655" s="33"/>
      <c r="O655" s="33"/>
      <c r="P655" s="33"/>
      <c r="Q655" s="33"/>
      <c r="R655" s="33"/>
      <c r="S655" s="33"/>
      <c r="T655" s="33"/>
      <c r="U655" s="33"/>
      <c r="V655" s="33"/>
      <c r="W655" s="33"/>
      <c r="X655" s="33"/>
      <c r="Y655" s="3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  <c r="BL655" s="33"/>
      <c r="BM655" s="33"/>
    </row>
    <row r="656" spans="1:65" ht="15" customHeight="1">
      <c r="A656" s="33"/>
      <c r="B656" s="33"/>
      <c r="C656" s="33"/>
      <c r="D656" s="33"/>
      <c r="E656" s="33"/>
      <c r="F656" s="33"/>
      <c r="G656" s="33"/>
      <c r="H656" s="33"/>
      <c r="I656" s="33"/>
      <c r="J656" s="33"/>
      <c r="K656" s="33"/>
      <c r="L656" s="33"/>
      <c r="M656" s="33"/>
      <c r="N656" s="33"/>
      <c r="O656" s="33"/>
      <c r="P656" s="33"/>
      <c r="Q656" s="33"/>
      <c r="R656" s="33"/>
      <c r="S656" s="33"/>
      <c r="T656" s="33"/>
      <c r="U656" s="33"/>
      <c r="V656" s="33"/>
      <c r="W656" s="33"/>
      <c r="X656" s="33"/>
      <c r="Y656" s="3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  <c r="BL656" s="33"/>
      <c r="BM656" s="33"/>
    </row>
    <row r="657" spans="1:65" ht="15" customHeight="1">
      <c r="A657" s="33"/>
      <c r="B657" s="33"/>
      <c r="C657" s="33"/>
      <c r="D657" s="33"/>
      <c r="E657" s="33"/>
      <c r="F657" s="33"/>
      <c r="G657" s="33"/>
      <c r="H657" s="33"/>
      <c r="I657" s="33"/>
      <c r="J657" s="33"/>
      <c r="K657" s="33"/>
      <c r="L657" s="33"/>
      <c r="M657" s="33"/>
      <c r="N657" s="33"/>
      <c r="O657" s="33"/>
      <c r="P657" s="33"/>
      <c r="Q657" s="33"/>
      <c r="R657" s="33"/>
      <c r="S657" s="33"/>
      <c r="T657" s="33"/>
      <c r="U657" s="33"/>
      <c r="V657" s="33"/>
      <c r="W657" s="33"/>
      <c r="X657" s="33"/>
      <c r="Y657" s="3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  <c r="BL657" s="33"/>
      <c r="BM657" s="33"/>
    </row>
    <row r="658" spans="1:65" ht="15" customHeight="1">
      <c r="A658" s="33"/>
      <c r="B658" s="33"/>
      <c r="C658" s="33"/>
      <c r="D658" s="33"/>
      <c r="E658" s="33"/>
      <c r="F658" s="33"/>
      <c r="G658" s="33"/>
      <c r="H658" s="33"/>
      <c r="I658" s="33"/>
      <c r="J658" s="33"/>
      <c r="K658" s="33"/>
      <c r="L658" s="33"/>
      <c r="M658" s="33"/>
      <c r="N658" s="33"/>
      <c r="O658" s="33"/>
      <c r="P658" s="33"/>
      <c r="Q658" s="33"/>
      <c r="R658" s="33"/>
      <c r="S658" s="33"/>
      <c r="T658" s="33"/>
      <c r="U658" s="33"/>
      <c r="V658" s="33"/>
      <c r="W658" s="33"/>
      <c r="X658" s="33"/>
      <c r="Y658" s="3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  <c r="BK658" s="33"/>
      <c r="BL658" s="33"/>
      <c r="BM658" s="33"/>
    </row>
    <row r="659" spans="1:65" ht="15" customHeight="1">
      <c r="A659" s="33"/>
      <c r="B659" s="33"/>
      <c r="C659" s="33"/>
      <c r="D659" s="33"/>
      <c r="E659" s="33"/>
      <c r="F659" s="33"/>
      <c r="G659" s="33"/>
      <c r="H659" s="33"/>
      <c r="I659" s="33"/>
      <c r="J659" s="33"/>
      <c r="K659" s="33"/>
      <c r="L659" s="33"/>
      <c r="M659" s="33"/>
      <c r="N659" s="33"/>
      <c r="O659" s="33"/>
      <c r="P659" s="33"/>
      <c r="Q659" s="33"/>
      <c r="R659" s="33"/>
      <c r="S659" s="33"/>
      <c r="T659" s="33"/>
      <c r="U659" s="33"/>
      <c r="V659" s="33"/>
      <c r="W659" s="33"/>
      <c r="X659" s="33"/>
      <c r="Y659" s="3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  <c r="BL659" s="33"/>
      <c r="BM659" s="33"/>
    </row>
    <row r="660" spans="1:65" ht="15" customHeight="1">
      <c r="A660" s="33"/>
      <c r="B660" s="33"/>
      <c r="C660" s="33"/>
      <c r="D660" s="33"/>
      <c r="E660" s="33"/>
      <c r="F660" s="33"/>
      <c r="G660" s="33"/>
      <c r="H660" s="33"/>
      <c r="I660" s="33"/>
      <c r="J660" s="33"/>
      <c r="K660" s="33"/>
      <c r="L660" s="33"/>
      <c r="M660" s="33"/>
      <c r="N660" s="33"/>
      <c r="O660" s="33"/>
      <c r="P660" s="33"/>
      <c r="Q660" s="33"/>
      <c r="R660" s="33"/>
      <c r="S660" s="33"/>
      <c r="T660" s="33"/>
      <c r="U660" s="33"/>
      <c r="V660" s="33"/>
      <c r="W660" s="33"/>
      <c r="X660" s="33"/>
      <c r="Y660" s="3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</row>
    <row r="661" spans="1:65" ht="15" customHeight="1">
      <c r="A661" s="33"/>
      <c r="B661" s="33"/>
      <c r="C661" s="33"/>
      <c r="D661" s="33"/>
      <c r="E661" s="33"/>
      <c r="F661" s="33"/>
      <c r="G661" s="33"/>
      <c r="H661" s="33"/>
      <c r="I661" s="33"/>
      <c r="J661" s="33"/>
      <c r="K661" s="33"/>
      <c r="L661" s="33"/>
      <c r="M661" s="33"/>
      <c r="N661" s="33"/>
      <c r="O661" s="33"/>
      <c r="P661" s="33"/>
      <c r="Q661" s="33"/>
      <c r="R661" s="33"/>
      <c r="S661" s="33"/>
      <c r="T661" s="33"/>
      <c r="U661" s="33"/>
      <c r="V661" s="33"/>
      <c r="W661" s="33"/>
      <c r="X661" s="33"/>
      <c r="Y661" s="3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  <c r="BK661" s="33"/>
      <c r="BL661" s="33"/>
      <c r="BM661" s="33"/>
    </row>
    <row r="662" spans="1:65" ht="15" customHeight="1">
      <c r="A662" s="33"/>
      <c r="B662" s="33"/>
      <c r="C662" s="33"/>
      <c r="D662" s="33"/>
      <c r="E662" s="33"/>
      <c r="F662" s="33"/>
      <c r="G662" s="33"/>
      <c r="H662" s="33"/>
      <c r="I662" s="33"/>
      <c r="J662" s="33"/>
      <c r="K662" s="33"/>
      <c r="L662" s="33"/>
      <c r="M662" s="33"/>
      <c r="N662" s="33"/>
      <c r="O662" s="33"/>
      <c r="P662" s="33"/>
      <c r="Q662" s="33"/>
      <c r="R662" s="33"/>
      <c r="S662" s="33"/>
      <c r="T662" s="33"/>
      <c r="U662" s="33"/>
      <c r="V662" s="33"/>
      <c r="W662" s="33"/>
      <c r="X662" s="33"/>
      <c r="Y662" s="3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</row>
    <row r="663" spans="1:65" ht="15" customHeight="1">
      <c r="A663" s="33"/>
      <c r="B663" s="33"/>
      <c r="C663" s="33"/>
      <c r="D663" s="33"/>
      <c r="E663" s="33"/>
      <c r="F663" s="33"/>
      <c r="G663" s="33"/>
      <c r="H663" s="33"/>
      <c r="I663" s="33"/>
      <c r="J663" s="33"/>
      <c r="K663" s="33"/>
      <c r="L663" s="33"/>
      <c r="M663" s="33"/>
      <c r="N663" s="33"/>
      <c r="O663" s="33"/>
      <c r="P663" s="33"/>
      <c r="Q663" s="33"/>
      <c r="R663" s="33"/>
      <c r="S663" s="33"/>
      <c r="T663" s="33"/>
      <c r="U663" s="33"/>
      <c r="V663" s="33"/>
      <c r="W663" s="33"/>
      <c r="X663" s="33"/>
      <c r="Y663" s="3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  <c r="BL663" s="33"/>
      <c r="BM663" s="33"/>
    </row>
    <row r="664" spans="1:65" ht="15" customHeight="1">
      <c r="A664" s="33"/>
      <c r="B664" s="33"/>
      <c r="C664" s="33"/>
      <c r="D664" s="33"/>
      <c r="E664" s="33"/>
      <c r="F664" s="33"/>
      <c r="G664" s="33"/>
      <c r="H664" s="33"/>
      <c r="I664" s="33"/>
      <c r="J664" s="33"/>
      <c r="K664" s="33"/>
      <c r="L664" s="33"/>
      <c r="M664" s="33"/>
      <c r="N664" s="33"/>
      <c r="O664" s="33"/>
      <c r="P664" s="33"/>
      <c r="Q664" s="33"/>
      <c r="R664" s="33"/>
      <c r="S664" s="33"/>
      <c r="T664" s="33"/>
      <c r="U664" s="33"/>
      <c r="V664" s="33"/>
      <c r="W664" s="33"/>
      <c r="X664" s="33"/>
      <c r="Y664" s="3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  <c r="BL664" s="33"/>
      <c r="BM664" s="33"/>
    </row>
    <row r="665" spans="1:65" ht="15" customHeight="1">
      <c r="A665" s="33"/>
      <c r="B665" s="33"/>
      <c r="C665" s="33"/>
      <c r="D665" s="33"/>
      <c r="E665" s="33"/>
      <c r="F665" s="33"/>
      <c r="G665" s="33"/>
      <c r="H665" s="33"/>
      <c r="I665" s="33"/>
      <c r="J665" s="33"/>
      <c r="K665" s="33"/>
      <c r="L665" s="33"/>
      <c r="M665" s="33"/>
      <c r="N665" s="33"/>
      <c r="O665" s="33"/>
      <c r="P665" s="33"/>
      <c r="Q665" s="33"/>
      <c r="R665" s="33"/>
      <c r="S665" s="33"/>
      <c r="T665" s="33"/>
      <c r="U665" s="33"/>
      <c r="V665" s="33"/>
      <c r="W665" s="33"/>
      <c r="X665" s="33"/>
      <c r="Y665" s="3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  <c r="BL665" s="33"/>
      <c r="BM665" s="33"/>
    </row>
    <row r="666" spans="1:65" ht="15" customHeight="1">
      <c r="A666" s="33"/>
      <c r="B666" s="33"/>
      <c r="C666" s="33"/>
      <c r="D666" s="33"/>
      <c r="E666" s="33"/>
      <c r="F666" s="33"/>
      <c r="G666" s="33"/>
      <c r="H666" s="33"/>
      <c r="I666" s="33"/>
      <c r="J666" s="33"/>
      <c r="K666" s="33"/>
      <c r="L666" s="33"/>
      <c r="M666" s="33"/>
      <c r="N666" s="33"/>
      <c r="O666" s="33"/>
      <c r="P666" s="33"/>
      <c r="Q666" s="33"/>
      <c r="R666" s="33"/>
      <c r="S666" s="33"/>
      <c r="T666" s="33"/>
      <c r="U666" s="33"/>
      <c r="V666" s="33"/>
      <c r="W666" s="33"/>
      <c r="X666" s="33"/>
      <c r="Y666" s="3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  <c r="BL666" s="33"/>
      <c r="BM666" s="33"/>
    </row>
    <row r="667" spans="1:65" ht="15" customHeight="1">
      <c r="A667" s="33"/>
      <c r="B667" s="33"/>
      <c r="C667" s="33"/>
      <c r="D667" s="33"/>
      <c r="E667" s="33"/>
      <c r="F667" s="33"/>
      <c r="G667" s="33"/>
      <c r="H667" s="33"/>
      <c r="I667" s="33"/>
      <c r="J667" s="33"/>
      <c r="K667" s="33"/>
      <c r="L667" s="33"/>
      <c r="M667" s="33"/>
      <c r="N667" s="33"/>
      <c r="O667" s="33"/>
      <c r="P667" s="33"/>
      <c r="Q667" s="33"/>
      <c r="R667" s="33"/>
      <c r="S667" s="33"/>
      <c r="T667" s="33"/>
      <c r="U667" s="33"/>
      <c r="V667" s="33"/>
      <c r="W667" s="33"/>
      <c r="X667" s="33"/>
      <c r="Y667" s="3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  <c r="BL667" s="33"/>
      <c r="BM667" s="33"/>
    </row>
    <row r="668" spans="1:65" ht="15" customHeight="1">
      <c r="A668" s="33"/>
      <c r="B668" s="33"/>
      <c r="C668" s="33"/>
      <c r="D668" s="33"/>
      <c r="E668" s="33"/>
      <c r="F668" s="33"/>
      <c r="G668" s="33"/>
      <c r="H668" s="33"/>
      <c r="I668" s="33"/>
      <c r="J668" s="33"/>
      <c r="K668" s="33"/>
      <c r="L668" s="33"/>
      <c r="M668" s="33"/>
      <c r="N668" s="33"/>
      <c r="O668" s="33"/>
      <c r="P668" s="33"/>
      <c r="Q668" s="33"/>
      <c r="R668" s="33"/>
      <c r="S668" s="33"/>
      <c r="T668" s="33"/>
      <c r="U668" s="33"/>
      <c r="V668" s="33"/>
      <c r="W668" s="33"/>
      <c r="X668" s="33"/>
      <c r="Y668" s="3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  <c r="BL668" s="33"/>
      <c r="BM668" s="33"/>
    </row>
    <row r="669" spans="1:65" ht="15" customHeight="1">
      <c r="A669" s="33"/>
      <c r="B669" s="33"/>
      <c r="C669" s="33"/>
      <c r="D669" s="33"/>
      <c r="E669" s="33"/>
      <c r="F669" s="33"/>
      <c r="G669" s="33"/>
      <c r="H669" s="33"/>
      <c r="I669" s="33"/>
      <c r="J669" s="33"/>
      <c r="K669" s="33"/>
      <c r="L669" s="33"/>
      <c r="M669" s="33"/>
      <c r="N669" s="33"/>
      <c r="O669" s="33"/>
      <c r="P669" s="33"/>
      <c r="Q669" s="33"/>
      <c r="R669" s="33"/>
      <c r="S669" s="33"/>
      <c r="T669" s="33"/>
      <c r="U669" s="33"/>
      <c r="V669" s="33"/>
      <c r="W669" s="33"/>
      <c r="X669" s="33"/>
      <c r="Y669" s="3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  <c r="BL669" s="33"/>
      <c r="BM669" s="33"/>
    </row>
    <row r="670" spans="1:65" ht="15" customHeight="1">
      <c r="A670" s="33"/>
      <c r="B670" s="33"/>
      <c r="C670" s="33"/>
      <c r="D670" s="33"/>
      <c r="E670" s="33"/>
      <c r="F670" s="33"/>
      <c r="G670" s="33"/>
      <c r="H670" s="33"/>
      <c r="I670" s="33"/>
      <c r="J670" s="33"/>
      <c r="K670" s="33"/>
      <c r="L670" s="33"/>
      <c r="M670" s="33"/>
      <c r="N670" s="33"/>
      <c r="O670" s="33"/>
      <c r="P670" s="33"/>
      <c r="Q670" s="33"/>
      <c r="R670" s="33"/>
      <c r="S670" s="33"/>
      <c r="T670" s="33"/>
      <c r="U670" s="33"/>
      <c r="V670" s="33"/>
      <c r="W670" s="33"/>
      <c r="X670" s="33"/>
      <c r="Y670" s="3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  <c r="BL670" s="33"/>
      <c r="BM670" s="33"/>
    </row>
    <row r="671" spans="1:65" ht="15" customHeight="1">
      <c r="A671" s="33"/>
      <c r="B671" s="33"/>
      <c r="C671" s="33"/>
      <c r="D671" s="33"/>
      <c r="E671" s="33"/>
      <c r="F671" s="33"/>
      <c r="G671" s="33"/>
      <c r="H671" s="33"/>
      <c r="I671" s="33"/>
      <c r="J671" s="33"/>
      <c r="K671" s="33"/>
      <c r="L671" s="33"/>
      <c r="M671" s="33"/>
      <c r="N671" s="33"/>
      <c r="O671" s="33"/>
      <c r="P671" s="33"/>
      <c r="Q671" s="33"/>
      <c r="R671" s="33"/>
      <c r="S671" s="33"/>
      <c r="T671" s="33"/>
      <c r="U671" s="33"/>
      <c r="V671" s="33"/>
      <c r="W671" s="33"/>
      <c r="X671" s="33"/>
      <c r="Y671" s="3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  <c r="BL671" s="33"/>
      <c r="BM671" s="33"/>
    </row>
    <row r="672" spans="1:65" ht="15" customHeight="1">
      <c r="A672" s="33"/>
      <c r="B672" s="33"/>
      <c r="C672" s="33"/>
      <c r="D672" s="33"/>
      <c r="E672" s="33"/>
      <c r="F672" s="33"/>
      <c r="G672" s="33"/>
      <c r="H672" s="33"/>
      <c r="I672" s="33"/>
      <c r="J672" s="33"/>
      <c r="K672" s="33"/>
      <c r="L672" s="33"/>
      <c r="M672" s="33"/>
      <c r="N672" s="33"/>
      <c r="O672" s="33"/>
      <c r="P672" s="33"/>
      <c r="Q672" s="33"/>
      <c r="R672" s="33"/>
      <c r="S672" s="33"/>
      <c r="T672" s="33"/>
      <c r="U672" s="33"/>
      <c r="V672" s="33"/>
      <c r="W672" s="33"/>
      <c r="X672" s="33"/>
      <c r="Y672" s="3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  <c r="BL672" s="33"/>
      <c r="BM672" s="33"/>
    </row>
    <row r="673" spans="1:65" ht="15" customHeight="1">
      <c r="A673" s="33"/>
      <c r="B673" s="33"/>
      <c r="C673" s="33"/>
      <c r="D673" s="33"/>
      <c r="E673" s="33"/>
      <c r="F673" s="33"/>
      <c r="G673" s="33"/>
      <c r="H673" s="33"/>
      <c r="I673" s="33"/>
      <c r="J673" s="33"/>
      <c r="K673" s="33"/>
      <c r="L673" s="33"/>
      <c r="M673" s="33"/>
      <c r="N673" s="33"/>
      <c r="O673" s="33"/>
      <c r="P673" s="33"/>
      <c r="Q673" s="33"/>
      <c r="R673" s="33"/>
      <c r="S673" s="33"/>
      <c r="T673" s="33"/>
      <c r="U673" s="33"/>
      <c r="V673" s="33"/>
      <c r="W673" s="33"/>
      <c r="X673" s="33"/>
      <c r="Y673" s="3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  <c r="BL673" s="33"/>
      <c r="BM673" s="33"/>
    </row>
    <row r="674" spans="1:65" ht="15" customHeight="1">
      <c r="A674" s="33"/>
      <c r="B674" s="33"/>
      <c r="C674" s="33"/>
      <c r="D674" s="33"/>
      <c r="E674" s="33"/>
      <c r="F674" s="33"/>
      <c r="G674" s="33"/>
      <c r="H674" s="33"/>
      <c r="I674" s="33"/>
      <c r="J674" s="33"/>
      <c r="K674" s="33"/>
      <c r="L674" s="33"/>
      <c r="M674" s="33"/>
      <c r="N674" s="33"/>
      <c r="O674" s="33"/>
      <c r="P674" s="33"/>
      <c r="Q674" s="33"/>
      <c r="R674" s="33"/>
      <c r="S674" s="33"/>
      <c r="T674" s="33"/>
      <c r="U674" s="33"/>
      <c r="V674" s="33"/>
      <c r="W674" s="33"/>
      <c r="X674" s="33"/>
      <c r="Y674" s="3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  <c r="BL674" s="33"/>
      <c r="BM674" s="33"/>
    </row>
    <row r="675" spans="1:65" ht="15" customHeight="1">
      <c r="A675" s="33"/>
      <c r="B675" s="33"/>
      <c r="C675" s="33"/>
      <c r="D675" s="33"/>
      <c r="E675" s="33"/>
      <c r="F675" s="33"/>
      <c r="G675" s="33"/>
      <c r="H675" s="33"/>
      <c r="I675" s="33"/>
      <c r="J675" s="33"/>
      <c r="K675" s="33"/>
      <c r="L675" s="33"/>
      <c r="M675" s="33"/>
      <c r="N675" s="33"/>
      <c r="O675" s="33"/>
      <c r="P675" s="33"/>
      <c r="Q675" s="33"/>
      <c r="R675" s="33"/>
      <c r="S675" s="33"/>
      <c r="T675" s="33"/>
      <c r="U675" s="33"/>
      <c r="V675" s="33"/>
      <c r="W675" s="33"/>
      <c r="X675" s="33"/>
      <c r="Y675" s="3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  <c r="BL675" s="33"/>
      <c r="BM675" s="33"/>
    </row>
    <row r="676" spans="1:65" ht="15" customHeight="1">
      <c r="A676" s="33"/>
      <c r="B676" s="33"/>
      <c r="C676" s="33"/>
      <c r="D676" s="33"/>
      <c r="E676" s="33"/>
      <c r="F676" s="33"/>
      <c r="G676" s="33"/>
      <c r="H676" s="33"/>
      <c r="I676" s="33"/>
      <c r="J676" s="33"/>
      <c r="K676" s="33"/>
      <c r="L676" s="33"/>
      <c r="M676" s="33"/>
      <c r="N676" s="33"/>
      <c r="O676" s="33"/>
      <c r="P676" s="33"/>
      <c r="Q676" s="33"/>
      <c r="R676" s="33"/>
      <c r="S676" s="33"/>
      <c r="T676" s="33"/>
      <c r="U676" s="33"/>
      <c r="V676" s="33"/>
      <c r="W676" s="33"/>
      <c r="X676" s="33"/>
      <c r="Y676" s="3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  <c r="BL676" s="33"/>
      <c r="BM676" s="33"/>
    </row>
    <row r="677" spans="1:65" ht="15" customHeight="1">
      <c r="A677" s="33"/>
      <c r="B677" s="33"/>
      <c r="C677" s="33"/>
      <c r="D677" s="33"/>
      <c r="E677" s="33"/>
      <c r="F677" s="33"/>
      <c r="G677" s="33"/>
      <c r="H677" s="33"/>
      <c r="I677" s="33"/>
      <c r="J677" s="33"/>
      <c r="K677" s="33"/>
      <c r="L677" s="33"/>
      <c r="M677" s="33"/>
      <c r="N677" s="33"/>
      <c r="O677" s="33"/>
      <c r="P677" s="33"/>
      <c r="Q677" s="33"/>
      <c r="R677" s="33"/>
      <c r="S677" s="33"/>
      <c r="T677" s="33"/>
      <c r="U677" s="33"/>
      <c r="V677" s="33"/>
      <c r="W677" s="33"/>
      <c r="X677" s="33"/>
      <c r="Y677" s="3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  <c r="BL677" s="33"/>
      <c r="BM677" s="33"/>
    </row>
    <row r="678" spans="1:65" ht="15" customHeight="1">
      <c r="A678" s="33"/>
      <c r="B678" s="33"/>
      <c r="C678" s="33"/>
      <c r="D678" s="33"/>
      <c r="E678" s="33"/>
      <c r="F678" s="33"/>
      <c r="G678" s="33"/>
      <c r="H678" s="33"/>
      <c r="I678" s="33"/>
      <c r="J678" s="33"/>
      <c r="K678" s="33"/>
      <c r="L678" s="33"/>
      <c r="M678" s="33"/>
      <c r="N678" s="33"/>
      <c r="O678" s="33"/>
      <c r="P678" s="33"/>
      <c r="Q678" s="33"/>
      <c r="R678" s="33"/>
      <c r="S678" s="33"/>
      <c r="T678" s="33"/>
      <c r="U678" s="33"/>
      <c r="V678" s="33"/>
      <c r="W678" s="33"/>
      <c r="X678" s="33"/>
      <c r="Y678" s="3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  <c r="BL678" s="33"/>
      <c r="BM678" s="33"/>
    </row>
    <row r="679" spans="1:65" ht="15" customHeight="1">
      <c r="A679" s="33"/>
      <c r="B679" s="33"/>
      <c r="C679" s="33"/>
      <c r="D679" s="33"/>
      <c r="E679" s="33"/>
      <c r="F679" s="33"/>
      <c r="G679" s="33"/>
      <c r="H679" s="33"/>
      <c r="I679" s="33"/>
      <c r="J679" s="33"/>
      <c r="K679" s="33"/>
      <c r="L679" s="33"/>
      <c r="M679" s="33"/>
      <c r="N679" s="33"/>
      <c r="O679" s="33"/>
      <c r="P679" s="33"/>
      <c r="Q679" s="33"/>
      <c r="R679" s="33"/>
      <c r="S679" s="33"/>
      <c r="T679" s="33"/>
      <c r="U679" s="33"/>
      <c r="V679" s="33"/>
      <c r="W679" s="33"/>
      <c r="X679" s="33"/>
      <c r="Y679" s="3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  <c r="BL679" s="33"/>
      <c r="BM679" s="33"/>
    </row>
    <row r="680" spans="1:65" ht="15" customHeight="1">
      <c r="A680" s="33"/>
      <c r="B680" s="33"/>
      <c r="C680" s="33"/>
      <c r="D680" s="33"/>
      <c r="E680" s="33"/>
      <c r="F680" s="33"/>
      <c r="G680" s="33"/>
      <c r="H680" s="33"/>
      <c r="I680" s="33"/>
      <c r="J680" s="33"/>
      <c r="K680" s="33"/>
      <c r="L680" s="33"/>
      <c r="M680" s="33"/>
      <c r="N680" s="33"/>
      <c r="O680" s="33"/>
      <c r="P680" s="33"/>
      <c r="Q680" s="33"/>
      <c r="R680" s="33"/>
      <c r="S680" s="33"/>
      <c r="T680" s="33"/>
      <c r="U680" s="33"/>
      <c r="V680" s="33"/>
      <c r="W680" s="33"/>
      <c r="X680" s="33"/>
      <c r="Y680" s="3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  <c r="BL680" s="33"/>
      <c r="BM680" s="33"/>
    </row>
    <row r="681" spans="1:65" ht="15" customHeight="1">
      <c r="A681" s="33"/>
      <c r="B681" s="33"/>
      <c r="C681" s="33"/>
      <c r="D681" s="33"/>
      <c r="E681" s="33"/>
      <c r="F681" s="33"/>
      <c r="G681" s="33"/>
      <c r="H681" s="33"/>
      <c r="I681" s="33"/>
      <c r="J681" s="33"/>
      <c r="K681" s="33"/>
      <c r="L681" s="33"/>
      <c r="M681" s="33"/>
      <c r="N681" s="33"/>
      <c r="O681" s="33"/>
      <c r="P681" s="33"/>
      <c r="Q681" s="33"/>
      <c r="R681" s="33"/>
      <c r="S681" s="33"/>
      <c r="T681" s="33"/>
      <c r="U681" s="33"/>
      <c r="V681" s="33"/>
      <c r="W681" s="33"/>
      <c r="X681" s="33"/>
      <c r="Y681" s="3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  <c r="BL681" s="33"/>
      <c r="BM681" s="33"/>
    </row>
    <row r="682" spans="1:65" ht="15" customHeight="1">
      <c r="A682" s="33"/>
      <c r="B682" s="33"/>
      <c r="C682" s="33"/>
      <c r="D682" s="33"/>
      <c r="E682" s="33"/>
      <c r="F682" s="33"/>
      <c r="G682" s="33"/>
      <c r="H682" s="33"/>
      <c r="I682" s="33"/>
      <c r="J682" s="33"/>
      <c r="K682" s="33"/>
      <c r="L682" s="33"/>
      <c r="M682" s="33"/>
      <c r="N682" s="33"/>
      <c r="O682" s="33"/>
      <c r="P682" s="33"/>
      <c r="Q682" s="33"/>
      <c r="R682" s="33"/>
      <c r="S682" s="33"/>
      <c r="T682" s="33"/>
      <c r="U682" s="33"/>
      <c r="V682" s="33"/>
      <c r="W682" s="33"/>
      <c r="X682" s="33"/>
      <c r="Y682" s="3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  <c r="BL682" s="33"/>
      <c r="BM682" s="33"/>
    </row>
    <row r="683" spans="1:65" ht="15" customHeight="1">
      <c r="A683" s="33"/>
      <c r="B683" s="33"/>
      <c r="C683" s="33"/>
      <c r="D683" s="33"/>
      <c r="E683" s="33"/>
      <c r="F683" s="33"/>
      <c r="G683" s="33"/>
      <c r="H683" s="33"/>
      <c r="I683" s="33"/>
      <c r="J683" s="33"/>
      <c r="K683" s="33"/>
      <c r="L683" s="33"/>
      <c r="M683" s="33"/>
      <c r="N683" s="33"/>
      <c r="O683" s="33"/>
      <c r="P683" s="33"/>
      <c r="Q683" s="33"/>
      <c r="R683" s="33"/>
      <c r="S683" s="33"/>
      <c r="T683" s="33"/>
      <c r="U683" s="33"/>
      <c r="V683" s="33"/>
      <c r="W683" s="33"/>
      <c r="X683" s="33"/>
      <c r="Y683" s="3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  <c r="BK683" s="33"/>
      <c r="BL683" s="33"/>
      <c r="BM683" s="33"/>
    </row>
    <row r="684" spans="1:65" ht="15" customHeight="1">
      <c r="A684" s="33"/>
      <c r="B684" s="33"/>
      <c r="C684" s="33"/>
      <c r="D684" s="33"/>
      <c r="E684" s="33"/>
      <c r="F684" s="33"/>
      <c r="G684" s="33"/>
      <c r="H684" s="33"/>
      <c r="I684" s="33"/>
      <c r="J684" s="33"/>
      <c r="K684" s="33"/>
      <c r="L684" s="33"/>
      <c r="M684" s="33"/>
      <c r="N684" s="33"/>
      <c r="O684" s="33"/>
      <c r="P684" s="33"/>
      <c r="Q684" s="33"/>
      <c r="R684" s="33"/>
      <c r="S684" s="33"/>
      <c r="T684" s="33"/>
      <c r="U684" s="33"/>
      <c r="V684" s="33"/>
      <c r="W684" s="33"/>
      <c r="X684" s="33"/>
      <c r="Y684" s="3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  <c r="BL684" s="33"/>
      <c r="BM684" s="33"/>
    </row>
    <row r="685" spans="1:65" ht="15" customHeight="1">
      <c r="A685" s="33"/>
      <c r="B685" s="33"/>
      <c r="C685" s="33"/>
      <c r="D685" s="33"/>
      <c r="E685" s="33"/>
      <c r="F685" s="33"/>
      <c r="G685" s="33"/>
      <c r="H685" s="33"/>
      <c r="I685" s="33"/>
      <c r="J685" s="33"/>
      <c r="K685" s="33"/>
      <c r="L685" s="33"/>
      <c r="M685" s="33"/>
      <c r="N685" s="33"/>
      <c r="O685" s="33"/>
      <c r="P685" s="33"/>
      <c r="Q685" s="33"/>
      <c r="R685" s="33"/>
      <c r="S685" s="33"/>
      <c r="T685" s="33"/>
      <c r="U685" s="33"/>
      <c r="V685" s="33"/>
      <c r="W685" s="33"/>
      <c r="X685" s="33"/>
      <c r="Y685" s="3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  <c r="BK685" s="33"/>
      <c r="BL685" s="33"/>
      <c r="BM685" s="33"/>
    </row>
    <row r="686" spans="1:65" ht="15" customHeight="1">
      <c r="A686" s="33"/>
      <c r="B686" s="33"/>
      <c r="C686" s="33"/>
      <c r="D686" s="33"/>
      <c r="E686" s="33"/>
      <c r="F686" s="33"/>
      <c r="G686" s="33"/>
      <c r="H686" s="33"/>
      <c r="I686" s="33"/>
      <c r="J686" s="33"/>
      <c r="K686" s="33"/>
      <c r="L686" s="33"/>
      <c r="M686" s="33"/>
      <c r="N686" s="33"/>
      <c r="O686" s="33"/>
      <c r="P686" s="33"/>
      <c r="Q686" s="33"/>
      <c r="R686" s="33"/>
      <c r="S686" s="33"/>
      <c r="T686" s="33"/>
      <c r="U686" s="33"/>
      <c r="V686" s="33"/>
      <c r="W686" s="33"/>
      <c r="X686" s="33"/>
      <c r="Y686" s="3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  <c r="BL686" s="33"/>
      <c r="BM686" s="33"/>
    </row>
    <row r="687" spans="1:65" ht="15" customHeight="1">
      <c r="A687" s="33"/>
      <c r="B687" s="33"/>
      <c r="C687" s="33"/>
      <c r="D687" s="33"/>
      <c r="E687" s="33"/>
      <c r="F687" s="33"/>
      <c r="G687" s="33"/>
      <c r="H687" s="33"/>
      <c r="I687" s="33"/>
      <c r="J687" s="33"/>
      <c r="K687" s="33"/>
      <c r="L687" s="33"/>
      <c r="M687" s="33"/>
      <c r="N687" s="33"/>
      <c r="O687" s="33"/>
      <c r="P687" s="33"/>
      <c r="Q687" s="33"/>
      <c r="R687" s="33"/>
      <c r="S687" s="33"/>
      <c r="T687" s="33"/>
      <c r="U687" s="33"/>
      <c r="V687" s="33"/>
      <c r="W687" s="33"/>
      <c r="X687" s="33"/>
      <c r="Y687" s="3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  <c r="BL687" s="33"/>
      <c r="BM687" s="33"/>
    </row>
    <row r="688" spans="1:65" ht="15" customHeight="1">
      <c r="A688" s="33"/>
      <c r="B688" s="33"/>
      <c r="C688" s="33"/>
      <c r="D688" s="33"/>
      <c r="E688" s="33"/>
      <c r="F688" s="33"/>
      <c r="G688" s="33"/>
      <c r="H688" s="33"/>
      <c r="I688" s="33"/>
      <c r="J688" s="33"/>
      <c r="K688" s="33"/>
      <c r="L688" s="33"/>
      <c r="M688" s="33"/>
      <c r="N688" s="33"/>
      <c r="O688" s="33"/>
      <c r="P688" s="33"/>
      <c r="Q688" s="33"/>
      <c r="R688" s="33"/>
      <c r="S688" s="33"/>
      <c r="T688" s="33"/>
      <c r="U688" s="33"/>
      <c r="V688" s="33"/>
      <c r="W688" s="33"/>
      <c r="X688" s="33"/>
      <c r="Y688" s="3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  <c r="BL688" s="33"/>
      <c r="BM688" s="33"/>
    </row>
    <row r="689" spans="1:65" ht="15" customHeight="1">
      <c r="A689" s="33"/>
      <c r="B689" s="33"/>
      <c r="C689" s="33"/>
      <c r="D689" s="33"/>
      <c r="E689" s="33"/>
      <c r="F689" s="33"/>
      <c r="G689" s="33"/>
      <c r="H689" s="33"/>
      <c r="I689" s="33"/>
      <c r="J689" s="33"/>
      <c r="K689" s="33"/>
      <c r="L689" s="33"/>
      <c r="M689" s="33"/>
      <c r="N689" s="33"/>
      <c r="O689" s="33"/>
      <c r="P689" s="33"/>
      <c r="Q689" s="33"/>
      <c r="R689" s="33"/>
      <c r="S689" s="33"/>
      <c r="T689" s="33"/>
      <c r="U689" s="33"/>
      <c r="V689" s="33"/>
      <c r="W689" s="33"/>
      <c r="X689" s="33"/>
      <c r="Y689" s="3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  <c r="BK689" s="33"/>
      <c r="BL689" s="33"/>
      <c r="BM689" s="33"/>
    </row>
    <row r="690" spans="1:65" ht="15" customHeight="1">
      <c r="A690" s="33"/>
      <c r="B690" s="33"/>
      <c r="C690" s="33"/>
      <c r="D690" s="33"/>
      <c r="E690" s="33"/>
      <c r="F690" s="33"/>
      <c r="G690" s="33"/>
      <c r="H690" s="33"/>
      <c r="I690" s="33"/>
      <c r="J690" s="33"/>
      <c r="K690" s="33"/>
      <c r="L690" s="33"/>
      <c r="M690" s="33"/>
      <c r="N690" s="33"/>
      <c r="O690" s="33"/>
      <c r="P690" s="33"/>
      <c r="Q690" s="33"/>
      <c r="R690" s="33"/>
      <c r="S690" s="33"/>
      <c r="T690" s="33"/>
      <c r="U690" s="33"/>
      <c r="V690" s="33"/>
      <c r="W690" s="33"/>
      <c r="X690" s="33"/>
      <c r="Y690" s="3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  <c r="BL690" s="33"/>
      <c r="BM690" s="33"/>
    </row>
    <row r="691" spans="1:65" ht="15" customHeight="1">
      <c r="A691" s="33"/>
      <c r="B691" s="33"/>
      <c r="C691" s="33"/>
      <c r="D691" s="33"/>
      <c r="E691" s="33"/>
      <c r="F691" s="33"/>
      <c r="G691" s="33"/>
      <c r="H691" s="33"/>
      <c r="I691" s="33"/>
      <c r="J691" s="33"/>
      <c r="K691" s="33"/>
      <c r="L691" s="33"/>
      <c r="M691" s="33"/>
      <c r="N691" s="33"/>
      <c r="O691" s="33"/>
      <c r="P691" s="33"/>
      <c r="Q691" s="33"/>
      <c r="R691" s="33"/>
      <c r="S691" s="33"/>
      <c r="T691" s="33"/>
      <c r="U691" s="33"/>
      <c r="V691" s="33"/>
      <c r="W691" s="33"/>
      <c r="X691" s="33"/>
      <c r="Y691" s="3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</row>
    <row r="692" spans="1:65" ht="15" customHeight="1">
      <c r="A692" s="33"/>
      <c r="B692" s="33"/>
      <c r="C692" s="33"/>
      <c r="D692" s="33"/>
      <c r="E692" s="33"/>
      <c r="F692" s="33"/>
      <c r="G692" s="33"/>
      <c r="H692" s="33"/>
      <c r="I692" s="33"/>
      <c r="J692" s="33"/>
      <c r="K692" s="33"/>
      <c r="L692" s="33"/>
      <c r="M692" s="33"/>
      <c r="N692" s="33"/>
      <c r="O692" s="33"/>
      <c r="P692" s="33"/>
      <c r="Q692" s="33"/>
      <c r="R692" s="33"/>
      <c r="S692" s="33"/>
      <c r="T692" s="33"/>
      <c r="U692" s="33"/>
      <c r="V692" s="33"/>
      <c r="W692" s="33"/>
      <c r="X692" s="33"/>
      <c r="Y692" s="3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  <c r="BK692" s="33"/>
      <c r="BL692" s="33"/>
      <c r="BM692" s="33"/>
    </row>
    <row r="693" spans="1:65" ht="15" customHeight="1">
      <c r="A693" s="33"/>
      <c r="B693" s="33"/>
      <c r="C693" s="33"/>
      <c r="D693" s="33"/>
      <c r="E693" s="33"/>
      <c r="F693" s="33"/>
      <c r="G693" s="33"/>
      <c r="H693" s="33"/>
      <c r="I693" s="33"/>
      <c r="J693" s="33"/>
      <c r="K693" s="33"/>
      <c r="L693" s="33"/>
      <c r="M693" s="33"/>
      <c r="N693" s="33"/>
      <c r="O693" s="33"/>
      <c r="P693" s="33"/>
      <c r="Q693" s="33"/>
      <c r="R693" s="33"/>
      <c r="S693" s="33"/>
      <c r="T693" s="33"/>
      <c r="U693" s="33"/>
      <c r="V693" s="33"/>
      <c r="W693" s="33"/>
      <c r="X693" s="33"/>
      <c r="Y693" s="3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  <c r="BL693" s="33"/>
      <c r="BM693" s="33"/>
    </row>
    <row r="694" spans="1:65" ht="15" customHeight="1">
      <c r="A694" s="33"/>
      <c r="B694" s="33"/>
      <c r="C694" s="33"/>
      <c r="D694" s="33"/>
      <c r="E694" s="33"/>
      <c r="F694" s="33"/>
      <c r="G694" s="33"/>
      <c r="H694" s="33"/>
      <c r="I694" s="33"/>
      <c r="J694" s="33"/>
      <c r="K694" s="33"/>
      <c r="L694" s="33"/>
      <c r="M694" s="33"/>
      <c r="N694" s="33"/>
      <c r="O694" s="33"/>
      <c r="P694" s="33"/>
      <c r="Q694" s="33"/>
      <c r="R694" s="33"/>
      <c r="S694" s="33"/>
      <c r="T694" s="33"/>
      <c r="U694" s="33"/>
      <c r="V694" s="33"/>
      <c r="W694" s="33"/>
      <c r="X694" s="33"/>
      <c r="Y694" s="3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  <c r="BK694" s="33"/>
      <c r="BL694" s="33"/>
      <c r="BM694" s="33"/>
    </row>
    <row r="695" spans="1:65" ht="15" customHeight="1">
      <c r="A695" s="33"/>
      <c r="B695" s="33"/>
      <c r="C695" s="33"/>
      <c r="D695" s="33"/>
      <c r="E695" s="33"/>
      <c r="F695" s="33"/>
      <c r="G695" s="33"/>
      <c r="H695" s="33"/>
      <c r="I695" s="33"/>
      <c r="J695" s="33"/>
      <c r="K695" s="33"/>
      <c r="L695" s="33"/>
      <c r="M695" s="33"/>
      <c r="N695" s="33"/>
      <c r="O695" s="33"/>
      <c r="P695" s="33"/>
      <c r="Q695" s="33"/>
      <c r="R695" s="33"/>
      <c r="S695" s="33"/>
      <c r="T695" s="33"/>
      <c r="U695" s="33"/>
      <c r="V695" s="33"/>
      <c r="W695" s="33"/>
      <c r="X695" s="33"/>
      <c r="Y695" s="3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  <c r="BL695" s="33"/>
      <c r="BM695" s="33"/>
    </row>
    <row r="696" spans="1:65" ht="15" customHeight="1">
      <c r="A696" s="33"/>
      <c r="B696" s="33"/>
      <c r="C696" s="33"/>
      <c r="D696" s="33"/>
      <c r="E696" s="33"/>
      <c r="F696" s="33"/>
      <c r="G696" s="33"/>
      <c r="H696" s="33"/>
      <c r="I696" s="33"/>
      <c r="J696" s="33"/>
      <c r="K696" s="33"/>
      <c r="L696" s="33"/>
      <c r="M696" s="33"/>
      <c r="N696" s="33"/>
      <c r="O696" s="33"/>
      <c r="P696" s="33"/>
      <c r="Q696" s="33"/>
      <c r="R696" s="33"/>
      <c r="S696" s="33"/>
      <c r="T696" s="33"/>
      <c r="U696" s="33"/>
      <c r="V696" s="33"/>
      <c r="W696" s="33"/>
      <c r="X696" s="33"/>
      <c r="Y696" s="3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  <c r="BL696" s="33"/>
      <c r="BM696" s="33"/>
    </row>
    <row r="697" spans="1:65" ht="15" customHeight="1">
      <c r="A697" s="33"/>
      <c r="B697" s="33"/>
      <c r="C697" s="33"/>
      <c r="D697" s="33"/>
      <c r="E697" s="33"/>
      <c r="F697" s="33"/>
      <c r="G697" s="33"/>
      <c r="H697" s="33"/>
      <c r="I697" s="33"/>
      <c r="J697" s="33"/>
      <c r="K697" s="33"/>
      <c r="L697" s="33"/>
      <c r="M697" s="33"/>
      <c r="N697" s="33"/>
      <c r="O697" s="33"/>
      <c r="P697" s="33"/>
      <c r="Q697" s="33"/>
      <c r="R697" s="33"/>
      <c r="S697" s="33"/>
      <c r="T697" s="33"/>
      <c r="U697" s="33"/>
      <c r="V697" s="33"/>
      <c r="W697" s="33"/>
      <c r="X697" s="33"/>
      <c r="Y697" s="3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  <c r="BK697" s="33"/>
      <c r="BL697" s="33"/>
      <c r="BM697" s="33"/>
    </row>
    <row r="698" spans="1:65" ht="15" customHeight="1">
      <c r="A698" s="33"/>
      <c r="B698" s="33"/>
      <c r="C698" s="33"/>
      <c r="D698" s="33"/>
      <c r="E698" s="33"/>
      <c r="F698" s="33"/>
      <c r="G698" s="33"/>
      <c r="H698" s="33"/>
      <c r="I698" s="33"/>
      <c r="J698" s="33"/>
      <c r="K698" s="33"/>
      <c r="L698" s="33"/>
      <c r="M698" s="33"/>
      <c r="N698" s="33"/>
      <c r="O698" s="33"/>
      <c r="P698" s="33"/>
      <c r="Q698" s="33"/>
      <c r="R698" s="33"/>
      <c r="S698" s="33"/>
      <c r="T698" s="33"/>
      <c r="U698" s="33"/>
      <c r="V698" s="33"/>
      <c r="W698" s="33"/>
      <c r="X698" s="33"/>
      <c r="Y698" s="3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  <c r="BL698" s="33"/>
      <c r="BM698" s="33"/>
    </row>
    <row r="699" spans="1:65" ht="15" customHeight="1">
      <c r="A699" s="33"/>
      <c r="B699" s="33"/>
      <c r="C699" s="33"/>
      <c r="D699" s="33"/>
      <c r="E699" s="33"/>
      <c r="F699" s="33"/>
      <c r="G699" s="33"/>
      <c r="H699" s="33"/>
      <c r="I699" s="33"/>
      <c r="J699" s="33"/>
      <c r="K699" s="33"/>
      <c r="L699" s="33"/>
      <c r="M699" s="33"/>
      <c r="N699" s="33"/>
      <c r="O699" s="33"/>
      <c r="P699" s="33"/>
      <c r="Q699" s="33"/>
      <c r="R699" s="33"/>
      <c r="S699" s="33"/>
      <c r="T699" s="33"/>
      <c r="U699" s="33"/>
      <c r="V699" s="33"/>
      <c r="W699" s="33"/>
      <c r="X699" s="33"/>
      <c r="Y699" s="3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</row>
    <row r="700" spans="1:65" ht="15" customHeight="1">
      <c r="A700" s="33"/>
      <c r="B700" s="33"/>
      <c r="C700" s="33"/>
      <c r="D700" s="33"/>
      <c r="E700" s="33"/>
      <c r="F700" s="33"/>
      <c r="G700" s="33"/>
      <c r="H700" s="33"/>
      <c r="I700" s="33"/>
      <c r="J700" s="33"/>
      <c r="K700" s="33"/>
      <c r="L700" s="33"/>
      <c r="M700" s="33"/>
      <c r="N700" s="33"/>
      <c r="O700" s="33"/>
      <c r="P700" s="33"/>
      <c r="Q700" s="33"/>
      <c r="R700" s="33"/>
      <c r="S700" s="33"/>
      <c r="T700" s="33"/>
      <c r="U700" s="33"/>
      <c r="V700" s="33"/>
      <c r="W700" s="33"/>
      <c r="X700" s="33"/>
      <c r="Y700" s="3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  <c r="BL700" s="33"/>
      <c r="BM700" s="33"/>
    </row>
    <row r="701" spans="1:65" ht="15" customHeight="1">
      <c r="A701" s="33"/>
      <c r="B701" s="33"/>
      <c r="C701" s="33"/>
      <c r="D701" s="33"/>
      <c r="E701" s="33"/>
      <c r="F701" s="33"/>
      <c r="G701" s="33"/>
      <c r="H701" s="33"/>
      <c r="I701" s="33"/>
      <c r="J701" s="33"/>
      <c r="K701" s="33"/>
      <c r="L701" s="33"/>
      <c r="M701" s="33"/>
      <c r="N701" s="33"/>
      <c r="O701" s="33"/>
      <c r="P701" s="33"/>
      <c r="Q701" s="33"/>
      <c r="R701" s="33"/>
      <c r="S701" s="33"/>
      <c r="T701" s="33"/>
      <c r="U701" s="33"/>
      <c r="V701" s="33"/>
      <c r="W701" s="33"/>
      <c r="X701" s="33"/>
      <c r="Y701" s="3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  <c r="BL701" s="33"/>
      <c r="BM701" s="33"/>
    </row>
    <row r="702" spans="1:65" ht="15" customHeight="1">
      <c r="A702" s="33"/>
      <c r="B702" s="33"/>
      <c r="C702" s="33"/>
      <c r="D702" s="33"/>
      <c r="E702" s="33"/>
      <c r="F702" s="33"/>
      <c r="G702" s="33"/>
      <c r="H702" s="33"/>
      <c r="I702" s="33"/>
      <c r="J702" s="33"/>
      <c r="K702" s="33"/>
      <c r="L702" s="33"/>
      <c r="M702" s="33"/>
      <c r="N702" s="33"/>
      <c r="O702" s="33"/>
      <c r="P702" s="33"/>
      <c r="Q702" s="33"/>
      <c r="R702" s="33"/>
      <c r="S702" s="33"/>
      <c r="T702" s="33"/>
      <c r="U702" s="33"/>
      <c r="V702" s="33"/>
      <c r="W702" s="33"/>
      <c r="X702" s="33"/>
      <c r="Y702" s="3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  <c r="BL702" s="33"/>
      <c r="BM702" s="33"/>
    </row>
    <row r="703" spans="1:65" ht="15" customHeight="1">
      <c r="A703" s="33"/>
      <c r="B703" s="33"/>
      <c r="C703" s="33"/>
      <c r="D703" s="33"/>
      <c r="E703" s="33"/>
      <c r="F703" s="33"/>
      <c r="G703" s="33"/>
      <c r="H703" s="33"/>
      <c r="I703" s="33"/>
      <c r="J703" s="33"/>
      <c r="K703" s="33"/>
      <c r="L703" s="33"/>
      <c r="M703" s="33"/>
      <c r="N703" s="33"/>
      <c r="O703" s="33"/>
      <c r="P703" s="33"/>
      <c r="Q703" s="33"/>
      <c r="R703" s="33"/>
      <c r="S703" s="33"/>
      <c r="T703" s="33"/>
      <c r="U703" s="33"/>
      <c r="V703" s="33"/>
      <c r="W703" s="33"/>
      <c r="X703" s="33"/>
      <c r="Y703" s="3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  <c r="BK703" s="33"/>
      <c r="BL703" s="33"/>
      <c r="BM703" s="33"/>
    </row>
    <row r="704" spans="1:65" ht="15" customHeight="1">
      <c r="A704" s="33"/>
      <c r="B704" s="33"/>
      <c r="C704" s="33"/>
      <c r="D704" s="33"/>
      <c r="E704" s="33"/>
      <c r="F704" s="33"/>
      <c r="G704" s="33"/>
      <c r="H704" s="33"/>
      <c r="I704" s="33"/>
      <c r="J704" s="33"/>
      <c r="K704" s="33"/>
      <c r="L704" s="33"/>
      <c r="M704" s="33"/>
      <c r="N704" s="33"/>
      <c r="O704" s="33"/>
      <c r="P704" s="33"/>
      <c r="Q704" s="33"/>
      <c r="R704" s="33"/>
      <c r="S704" s="33"/>
      <c r="T704" s="33"/>
      <c r="U704" s="33"/>
      <c r="V704" s="33"/>
      <c r="W704" s="33"/>
      <c r="X704" s="33"/>
      <c r="Y704" s="3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  <c r="BL704" s="33"/>
      <c r="BM704" s="33"/>
    </row>
    <row r="705" spans="1:65" ht="15" customHeight="1">
      <c r="A705" s="33"/>
      <c r="B705" s="33"/>
      <c r="C705" s="33"/>
      <c r="D705" s="33"/>
      <c r="E705" s="33"/>
      <c r="F705" s="33"/>
      <c r="G705" s="33"/>
      <c r="H705" s="33"/>
      <c r="I705" s="33"/>
      <c r="J705" s="33"/>
      <c r="K705" s="33"/>
      <c r="L705" s="33"/>
      <c r="M705" s="33"/>
      <c r="N705" s="33"/>
      <c r="O705" s="33"/>
      <c r="P705" s="33"/>
      <c r="Q705" s="33"/>
      <c r="R705" s="33"/>
      <c r="S705" s="33"/>
      <c r="T705" s="33"/>
      <c r="U705" s="33"/>
      <c r="V705" s="33"/>
      <c r="W705" s="33"/>
      <c r="X705" s="33"/>
      <c r="Y705" s="3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  <c r="BL705" s="33"/>
      <c r="BM705" s="33"/>
    </row>
    <row r="706" spans="1:65" ht="15" customHeight="1">
      <c r="A706" s="33"/>
      <c r="B706" s="33"/>
      <c r="C706" s="33"/>
      <c r="D706" s="33"/>
      <c r="E706" s="33"/>
      <c r="F706" s="33"/>
      <c r="G706" s="33"/>
      <c r="H706" s="33"/>
      <c r="I706" s="33"/>
      <c r="J706" s="33"/>
      <c r="K706" s="33"/>
      <c r="L706" s="33"/>
      <c r="M706" s="33"/>
      <c r="N706" s="33"/>
      <c r="O706" s="33"/>
      <c r="P706" s="33"/>
      <c r="Q706" s="33"/>
      <c r="R706" s="33"/>
      <c r="S706" s="33"/>
      <c r="T706" s="33"/>
      <c r="U706" s="33"/>
      <c r="V706" s="33"/>
      <c r="W706" s="33"/>
      <c r="X706" s="33"/>
      <c r="Y706" s="3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  <c r="BK706" s="33"/>
      <c r="BL706" s="33"/>
      <c r="BM706" s="33"/>
    </row>
    <row r="707" spans="1:65" ht="15" customHeight="1">
      <c r="A707" s="33"/>
      <c r="B707" s="33"/>
      <c r="C707" s="33"/>
      <c r="D707" s="33"/>
      <c r="E707" s="33"/>
      <c r="F707" s="33"/>
      <c r="G707" s="33"/>
      <c r="H707" s="33"/>
      <c r="I707" s="33"/>
      <c r="J707" s="33"/>
      <c r="K707" s="33"/>
      <c r="L707" s="33"/>
      <c r="M707" s="33"/>
      <c r="N707" s="33"/>
      <c r="O707" s="33"/>
      <c r="P707" s="33"/>
      <c r="Q707" s="33"/>
      <c r="R707" s="33"/>
      <c r="S707" s="33"/>
      <c r="T707" s="33"/>
      <c r="U707" s="33"/>
      <c r="V707" s="33"/>
      <c r="W707" s="33"/>
      <c r="X707" s="33"/>
      <c r="Y707" s="3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/>
    </row>
    <row r="708" spans="1:65" ht="15" customHeight="1">
      <c r="A708" s="33"/>
      <c r="B708" s="33"/>
      <c r="C708" s="33"/>
      <c r="D708" s="33"/>
      <c r="E708" s="33"/>
      <c r="F708" s="33"/>
      <c r="G708" s="33"/>
      <c r="H708" s="33"/>
      <c r="I708" s="33"/>
      <c r="J708" s="33"/>
      <c r="K708" s="33"/>
      <c r="L708" s="33"/>
      <c r="M708" s="33"/>
      <c r="N708" s="33"/>
      <c r="O708" s="33"/>
      <c r="P708" s="33"/>
      <c r="Q708" s="33"/>
      <c r="R708" s="33"/>
      <c r="S708" s="33"/>
      <c r="T708" s="33"/>
      <c r="U708" s="33"/>
      <c r="V708" s="33"/>
      <c r="W708" s="33"/>
      <c r="X708" s="33"/>
      <c r="Y708" s="3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  <c r="BL708" s="33"/>
      <c r="BM708" s="33"/>
    </row>
    <row r="709" spans="1:65" ht="15" customHeight="1">
      <c r="A709" s="33"/>
      <c r="B709" s="33"/>
      <c r="C709" s="33"/>
      <c r="D709" s="33"/>
      <c r="E709" s="33"/>
      <c r="F709" s="33"/>
      <c r="G709" s="33"/>
      <c r="H709" s="33"/>
      <c r="I709" s="33"/>
      <c r="J709" s="33"/>
      <c r="K709" s="33"/>
      <c r="L709" s="33"/>
      <c r="M709" s="33"/>
      <c r="N709" s="33"/>
      <c r="O709" s="33"/>
      <c r="P709" s="33"/>
      <c r="Q709" s="33"/>
      <c r="R709" s="33"/>
      <c r="S709" s="33"/>
      <c r="T709" s="33"/>
      <c r="U709" s="33"/>
      <c r="V709" s="33"/>
      <c r="W709" s="33"/>
      <c r="X709" s="33"/>
      <c r="Y709" s="3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  <c r="BK709" s="33"/>
      <c r="BL709" s="33"/>
      <c r="BM709" s="33"/>
    </row>
    <row r="710" spans="1:65" ht="15" customHeight="1">
      <c r="A710" s="33"/>
      <c r="B710" s="33"/>
      <c r="C710" s="33"/>
      <c r="D710" s="33"/>
      <c r="E710" s="33"/>
      <c r="F710" s="33"/>
      <c r="G710" s="33"/>
      <c r="H710" s="33"/>
      <c r="I710" s="33"/>
      <c r="J710" s="33"/>
      <c r="K710" s="33"/>
      <c r="L710" s="33"/>
      <c r="M710" s="33"/>
      <c r="N710" s="33"/>
      <c r="O710" s="33"/>
      <c r="P710" s="33"/>
      <c r="Q710" s="33"/>
      <c r="R710" s="33"/>
      <c r="S710" s="33"/>
      <c r="T710" s="33"/>
      <c r="U710" s="33"/>
      <c r="V710" s="33"/>
      <c r="W710" s="33"/>
      <c r="X710" s="33"/>
      <c r="Y710" s="3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  <c r="BL710" s="33"/>
      <c r="BM710" s="33"/>
    </row>
    <row r="711" spans="1:65" ht="15" customHeight="1">
      <c r="A711" s="33"/>
      <c r="B711" s="33"/>
      <c r="C711" s="33"/>
      <c r="D711" s="33"/>
      <c r="E711" s="33"/>
      <c r="F711" s="33"/>
      <c r="G711" s="33"/>
      <c r="H711" s="33"/>
      <c r="I711" s="33"/>
      <c r="J711" s="33"/>
      <c r="K711" s="33"/>
      <c r="L711" s="33"/>
      <c r="M711" s="33"/>
      <c r="N711" s="33"/>
      <c r="O711" s="33"/>
      <c r="P711" s="33"/>
      <c r="Q711" s="33"/>
      <c r="R711" s="33"/>
      <c r="S711" s="33"/>
      <c r="T711" s="33"/>
      <c r="U711" s="33"/>
      <c r="V711" s="33"/>
      <c r="W711" s="33"/>
      <c r="X711" s="33"/>
      <c r="Y711" s="3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  <c r="BL711" s="33"/>
      <c r="BM711" s="33"/>
    </row>
    <row r="712" spans="1:65" ht="15" customHeight="1">
      <c r="A712" s="33"/>
      <c r="B712" s="33"/>
      <c r="C712" s="33"/>
      <c r="D712" s="33"/>
      <c r="E712" s="33"/>
      <c r="F712" s="33"/>
      <c r="G712" s="33"/>
      <c r="H712" s="33"/>
      <c r="I712" s="33"/>
      <c r="J712" s="33"/>
      <c r="K712" s="33"/>
      <c r="L712" s="33"/>
      <c r="M712" s="33"/>
      <c r="N712" s="33"/>
      <c r="O712" s="33"/>
      <c r="P712" s="33"/>
      <c r="Q712" s="33"/>
      <c r="R712" s="33"/>
      <c r="S712" s="33"/>
      <c r="T712" s="33"/>
      <c r="U712" s="33"/>
      <c r="V712" s="33"/>
      <c r="W712" s="33"/>
      <c r="X712" s="33"/>
      <c r="Y712" s="3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  <c r="BL712" s="33"/>
      <c r="BM712" s="33"/>
    </row>
    <row r="713" spans="1:65" ht="15" customHeight="1">
      <c r="A713" s="33"/>
      <c r="B713" s="33"/>
      <c r="C713" s="33"/>
      <c r="D713" s="33"/>
      <c r="E713" s="33"/>
      <c r="F713" s="33"/>
      <c r="G713" s="33"/>
      <c r="H713" s="33"/>
      <c r="I713" s="33"/>
      <c r="J713" s="33"/>
      <c r="K713" s="33"/>
      <c r="L713" s="33"/>
      <c r="M713" s="33"/>
      <c r="N713" s="33"/>
      <c r="O713" s="33"/>
      <c r="P713" s="33"/>
      <c r="Q713" s="33"/>
      <c r="R713" s="33"/>
      <c r="S713" s="33"/>
      <c r="T713" s="33"/>
      <c r="U713" s="33"/>
      <c r="V713" s="33"/>
      <c r="W713" s="33"/>
      <c r="X713" s="33"/>
      <c r="Y713" s="3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  <c r="BL713" s="33"/>
      <c r="BM713" s="33"/>
    </row>
    <row r="714" spans="1:65" ht="15" customHeight="1">
      <c r="A714" s="33"/>
      <c r="B714" s="33"/>
      <c r="C714" s="33"/>
      <c r="D714" s="33"/>
      <c r="E714" s="33"/>
      <c r="F714" s="33"/>
      <c r="G714" s="33"/>
      <c r="H714" s="33"/>
      <c r="I714" s="33"/>
      <c r="J714" s="33"/>
      <c r="K714" s="33"/>
      <c r="L714" s="33"/>
      <c r="M714" s="33"/>
      <c r="N714" s="33"/>
      <c r="O714" s="33"/>
      <c r="P714" s="33"/>
      <c r="Q714" s="33"/>
      <c r="R714" s="33"/>
      <c r="S714" s="33"/>
      <c r="T714" s="33"/>
      <c r="U714" s="33"/>
      <c r="V714" s="33"/>
      <c r="W714" s="33"/>
      <c r="X714" s="33"/>
      <c r="Y714" s="3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  <c r="BL714" s="33"/>
      <c r="BM714" s="33"/>
    </row>
    <row r="715" spans="1:65" ht="15" customHeight="1">
      <c r="A715" s="33"/>
      <c r="B715" s="33"/>
      <c r="C715" s="33"/>
      <c r="D715" s="33"/>
      <c r="E715" s="33"/>
      <c r="F715" s="33"/>
      <c r="G715" s="33"/>
      <c r="H715" s="33"/>
      <c r="I715" s="33"/>
      <c r="J715" s="33"/>
      <c r="K715" s="33"/>
      <c r="L715" s="33"/>
      <c r="M715" s="33"/>
      <c r="N715" s="33"/>
      <c r="O715" s="33"/>
      <c r="P715" s="33"/>
      <c r="Q715" s="33"/>
      <c r="R715" s="33"/>
      <c r="S715" s="33"/>
      <c r="T715" s="33"/>
      <c r="U715" s="33"/>
      <c r="V715" s="33"/>
      <c r="W715" s="33"/>
      <c r="X715" s="33"/>
      <c r="Y715" s="3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  <c r="BL715" s="33"/>
      <c r="BM715" s="33"/>
    </row>
    <row r="716" spans="1:65" ht="15" customHeight="1">
      <c r="A716" s="33"/>
      <c r="B716" s="33"/>
      <c r="C716" s="33"/>
      <c r="D716" s="33"/>
      <c r="E716" s="33"/>
      <c r="F716" s="33"/>
      <c r="G716" s="33"/>
      <c r="H716" s="33"/>
      <c r="I716" s="33"/>
      <c r="J716" s="33"/>
      <c r="K716" s="33"/>
      <c r="L716" s="33"/>
      <c r="M716" s="33"/>
      <c r="N716" s="33"/>
      <c r="O716" s="33"/>
      <c r="P716" s="33"/>
      <c r="Q716" s="33"/>
      <c r="R716" s="33"/>
      <c r="S716" s="33"/>
      <c r="T716" s="33"/>
      <c r="U716" s="33"/>
      <c r="V716" s="33"/>
      <c r="W716" s="33"/>
      <c r="X716" s="33"/>
      <c r="Y716" s="33"/>
      <c r="Z716" s="33"/>
      <c r="AA716" s="33"/>
      <c r="AB716" s="33"/>
      <c r="AC716" s="33"/>
      <c r="AD716" s="33"/>
      <c r="AE716" s="33"/>
      <c r="AF716" s="33"/>
      <c r="AG716" s="33"/>
      <c r="AH716" s="33"/>
      <c r="AI716" s="33"/>
      <c r="AJ716" s="33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  <c r="BK716" s="33"/>
      <c r="BL716" s="33"/>
      <c r="BM716" s="33"/>
    </row>
    <row r="717" spans="1:65" ht="15" customHeight="1">
      <c r="A717" s="33"/>
      <c r="B717" s="33"/>
      <c r="C717" s="33"/>
      <c r="D717" s="33"/>
      <c r="E717" s="33"/>
      <c r="F717" s="33"/>
      <c r="G717" s="33"/>
      <c r="H717" s="33"/>
      <c r="I717" s="33"/>
      <c r="J717" s="33"/>
      <c r="K717" s="33"/>
      <c r="L717" s="33"/>
      <c r="M717" s="33"/>
      <c r="N717" s="33"/>
      <c r="O717" s="33"/>
      <c r="P717" s="33"/>
      <c r="Q717" s="33"/>
      <c r="R717" s="33"/>
      <c r="S717" s="33"/>
      <c r="T717" s="33"/>
      <c r="U717" s="33"/>
      <c r="V717" s="33"/>
      <c r="W717" s="33"/>
      <c r="X717" s="33"/>
      <c r="Y717" s="33"/>
      <c r="Z717" s="33"/>
      <c r="AA717" s="33"/>
      <c r="AB717" s="33"/>
      <c r="AC717" s="33"/>
      <c r="AD717" s="33"/>
      <c r="AE717" s="33"/>
      <c r="AF717" s="33"/>
      <c r="AG717" s="33"/>
      <c r="AH717" s="33"/>
      <c r="AI717" s="33"/>
      <c r="AJ717" s="33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  <c r="BL717" s="33"/>
      <c r="BM717" s="33"/>
    </row>
    <row r="718" spans="1:65" ht="15" customHeight="1">
      <c r="A718" s="33"/>
      <c r="B718" s="33"/>
      <c r="C718" s="33"/>
      <c r="D718" s="33"/>
      <c r="E718" s="33"/>
      <c r="F718" s="33"/>
      <c r="G718" s="33"/>
      <c r="H718" s="33"/>
      <c r="I718" s="33"/>
      <c r="J718" s="33"/>
      <c r="K718" s="33"/>
      <c r="L718" s="33"/>
      <c r="M718" s="33"/>
      <c r="N718" s="33"/>
      <c r="O718" s="33"/>
      <c r="P718" s="33"/>
      <c r="Q718" s="33"/>
      <c r="R718" s="33"/>
      <c r="S718" s="33"/>
      <c r="T718" s="33"/>
      <c r="U718" s="33"/>
      <c r="V718" s="33"/>
      <c r="W718" s="33"/>
      <c r="X718" s="33"/>
      <c r="Y718" s="33"/>
      <c r="Z718" s="33"/>
      <c r="AA718" s="33"/>
      <c r="AB718" s="33"/>
      <c r="AC718" s="33"/>
      <c r="AD718" s="33"/>
      <c r="AE718" s="33"/>
      <c r="AF718" s="33"/>
      <c r="AG718" s="33"/>
      <c r="AH718" s="33"/>
      <c r="AI718" s="33"/>
      <c r="AJ718" s="33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  <c r="BK718" s="33"/>
      <c r="BL718" s="33"/>
      <c r="BM718" s="33"/>
    </row>
    <row r="719" spans="1:65" ht="15" customHeight="1">
      <c r="A719" s="33"/>
      <c r="B719" s="33"/>
      <c r="C719" s="33"/>
      <c r="D719" s="33"/>
      <c r="E719" s="33"/>
      <c r="F719" s="33"/>
      <c r="G719" s="33"/>
      <c r="H719" s="33"/>
      <c r="I719" s="33"/>
      <c r="J719" s="33"/>
      <c r="K719" s="33"/>
      <c r="L719" s="33"/>
      <c r="M719" s="33"/>
      <c r="N719" s="33"/>
      <c r="O719" s="33"/>
      <c r="P719" s="33"/>
      <c r="Q719" s="33"/>
      <c r="R719" s="33"/>
      <c r="S719" s="33"/>
      <c r="T719" s="33"/>
      <c r="U719" s="33"/>
      <c r="V719" s="33"/>
      <c r="W719" s="33"/>
      <c r="X719" s="33"/>
      <c r="Y719" s="33"/>
      <c r="Z719" s="33"/>
      <c r="AA719" s="33"/>
      <c r="AB719" s="33"/>
      <c r="AC719" s="33"/>
      <c r="AD719" s="33"/>
      <c r="AE719" s="33"/>
      <c r="AF719" s="33"/>
      <c r="AG719" s="33"/>
      <c r="AH719" s="33"/>
      <c r="AI719" s="33"/>
      <c r="AJ719" s="33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  <c r="BK719" s="33"/>
      <c r="BL719" s="33"/>
      <c r="BM719" s="33"/>
    </row>
    <row r="720" spans="1:65" ht="15" customHeight="1">
      <c r="A720" s="33"/>
      <c r="B720" s="33"/>
      <c r="C720" s="33"/>
      <c r="D720" s="33"/>
      <c r="E720" s="33"/>
      <c r="F720" s="33"/>
      <c r="G720" s="33"/>
      <c r="H720" s="33"/>
      <c r="I720" s="33"/>
      <c r="J720" s="33"/>
      <c r="K720" s="33"/>
      <c r="L720" s="33"/>
      <c r="M720" s="33"/>
      <c r="N720" s="33"/>
      <c r="O720" s="33"/>
      <c r="P720" s="33"/>
      <c r="Q720" s="33"/>
      <c r="R720" s="33"/>
      <c r="S720" s="33"/>
      <c r="T720" s="33"/>
      <c r="U720" s="33"/>
      <c r="V720" s="33"/>
      <c r="W720" s="33"/>
      <c r="X720" s="33"/>
      <c r="Y720" s="33"/>
      <c r="Z720" s="33"/>
      <c r="AA720" s="33"/>
      <c r="AB720" s="33"/>
      <c r="AC720" s="33"/>
      <c r="AD720" s="33"/>
      <c r="AE720" s="33"/>
      <c r="AF720" s="33"/>
      <c r="AG720" s="33"/>
      <c r="AH720" s="33"/>
      <c r="AI720" s="33"/>
      <c r="AJ720" s="33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  <c r="BK720" s="33"/>
      <c r="BL720" s="33"/>
      <c r="BM720" s="33"/>
    </row>
    <row r="721" spans="1:65" ht="15" customHeight="1">
      <c r="A721" s="33"/>
      <c r="B721" s="33"/>
      <c r="C721" s="33"/>
      <c r="D721" s="33"/>
      <c r="E721" s="33"/>
      <c r="F721" s="33"/>
      <c r="G721" s="33"/>
      <c r="H721" s="33"/>
      <c r="I721" s="33"/>
      <c r="J721" s="33"/>
      <c r="K721" s="33"/>
      <c r="L721" s="33"/>
      <c r="M721" s="33"/>
      <c r="N721" s="33"/>
      <c r="O721" s="33"/>
      <c r="P721" s="33"/>
      <c r="Q721" s="33"/>
      <c r="R721" s="33"/>
      <c r="S721" s="33"/>
      <c r="T721" s="33"/>
      <c r="U721" s="33"/>
      <c r="V721" s="33"/>
      <c r="W721" s="33"/>
      <c r="X721" s="33"/>
      <c r="Y721" s="33"/>
      <c r="Z721" s="33"/>
      <c r="AA721" s="33"/>
      <c r="AB721" s="33"/>
      <c r="AC721" s="33"/>
      <c r="AD721" s="33"/>
      <c r="AE721" s="33"/>
      <c r="AF721" s="33"/>
      <c r="AG721" s="33"/>
      <c r="AH721" s="33"/>
      <c r="AI721" s="33"/>
      <c r="AJ721" s="33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  <c r="BK721" s="33"/>
      <c r="BL721" s="33"/>
      <c r="BM721" s="33"/>
    </row>
    <row r="722" spans="1:65" ht="15" customHeight="1">
      <c r="A722" s="33"/>
      <c r="B722" s="33"/>
      <c r="C722" s="33"/>
      <c r="D722" s="33"/>
      <c r="E722" s="33"/>
      <c r="F722" s="33"/>
      <c r="G722" s="33"/>
      <c r="H722" s="33"/>
      <c r="I722" s="33"/>
      <c r="J722" s="33"/>
      <c r="K722" s="33"/>
      <c r="L722" s="33"/>
      <c r="M722" s="33"/>
      <c r="N722" s="33"/>
      <c r="O722" s="33"/>
      <c r="P722" s="33"/>
      <c r="Q722" s="33"/>
      <c r="R722" s="33"/>
      <c r="S722" s="33"/>
      <c r="T722" s="33"/>
      <c r="U722" s="33"/>
      <c r="V722" s="33"/>
      <c r="W722" s="33"/>
      <c r="X722" s="33"/>
      <c r="Y722" s="33"/>
      <c r="Z722" s="33"/>
      <c r="AA722" s="33"/>
      <c r="AB722" s="33"/>
      <c r="AC722" s="33"/>
      <c r="AD722" s="33"/>
      <c r="AE722" s="33"/>
      <c r="AF722" s="33"/>
      <c r="AG722" s="33"/>
      <c r="AH722" s="33"/>
      <c r="AI722" s="33"/>
      <c r="AJ722" s="33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  <c r="BK722" s="33"/>
      <c r="BL722" s="33"/>
      <c r="BM722" s="33"/>
    </row>
    <row r="723" spans="1:65" ht="15" customHeight="1">
      <c r="A723" s="33"/>
      <c r="B723" s="33"/>
      <c r="C723" s="33"/>
      <c r="D723" s="33"/>
      <c r="E723" s="33"/>
      <c r="F723" s="33"/>
      <c r="G723" s="33"/>
      <c r="H723" s="33"/>
      <c r="I723" s="33"/>
      <c r="J723" s="33"/>
      <c r="K723" s="33"/>
      <c r="L723" s="33"/>
      <c r="M723" s="33"/>
      <c r="N723" s="33"/>
      <c r="O723" s="33"/>
      <c r="P723" s="33"/>
      <c r="Q723" s="33"/>
      <c r="R723" s="33"/>
      <c r="S723" s="33"/>
      <c r="T723" s="33"/>
      <c r="U723" s="33"/>
      <c r="V723" s="33"/>
      <c r="W723" s="33"/>
      <c r="X723" s="33"/>
      <c r="Y723" s="33"/>
      <c r="Z723" s="33"/>
      <c r="AA723" s="33"/>
      <c r="AB723" s="33"/>
      <c r="AC723" s="33"/>
      <c r="AD723" s="33"/>
      <c r="AE723" s="33"/>
      <c r="AF723" s="33"/>
      <c r="AG723" s="33"/>
      <c r="AH723" s="33"/>
      <c r="AI723" s="33"/>
      <c r="AJ723" s="33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  <c r="BK723" s="33"/>
      <c r="BL723" s="33"/>
      <c r="BM723" s="33"/>
    </row>
    <row r="724" spans="1:65" ht="15" customHeight="1">
      <c r="A724" s="33"/>
      <c r="B724" s="33"/>
      <c r="C724" s="33"/>
      <c r="D724" s="33"/>
      <c r="E724" s="33"/>
      <c r="F724" s="33"/>
      <c r="G724" s="33"/>
      <c r="H724" s="33"/>
      <c r="I724" s="33"/>
      <c r="J724" s="33"/>
      <c r="K724" s="33"/>
      <c r="L724" s="33"/>
      <c r="M724" s="33"/>
      <c r="N724" s="33"/>
      <c r="O724" s="33"/>
      <c r="P724" s="33"/>
      <c r="Q724" s="33"/>
      <c r="R724" s="33"/>
      <c r="S724" s="33"/>
      <c r="T724" s="33"/>
      <c r="U724" s="33"/>
      <c r="V724" s="33"/>
      <c r="W724" s="33"/>
      <c r="X724" s="33"/>
      <c r="Y724" s="33"/>
      <c r="Z724" s="33"/>
      <c r="AA724" s="33"/>
      <c r="AB724" s="33"/>
      <c r="AC724" s="33"/>
      <c r="AD724" s="33"/>
      <c r="AE724" s="33"/>
      <c r="AF724" s="33"/>
      <c r="AG724" s="33"/>
      <c r="AH724" s="33"/>
      <c r="AI724" s="33"/>
      <c r="AJ724" s="33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  <c r="BK724" s="33"/>
      <c r="BL724" s="33"/>
      <c r="BM724" s="33"/>
    </row>
    <row r="725" spans="1:65" ht="15" customHeight="1">
      <c r="A725" s="33"/>
      <c r="B725" s="33"/>
      <c r="C725" s="33"/>
      <c r="D725" s="33"/>
      <c r="E725" s="33"/>
      <c r="F725" s="33"/>
      <c r="G725" s="33"/>
      <c r="H725" s="33"/>
      <c r="I725" s="33"/>
      <c r="J725" s="33"/>
      <c r="K725" s="33"/>
      <c r="L725" s="33"/>
      <c r="M725" s="33"/>
      <c r="N725" s="33"/>
      <c r="O725" s="33"/>
      <c r="P725" s="33"/>
      <c r="Q725" s="33"/>
      <c r="R725" s="33"/>
      <c r="S725" s="33"/>
      <c r="T725" s="33"/>
      <c r="U725" s="33"/>
      <c r="V725" s="33"/>
      <c r="W725" s="33"/>
      <c r="X725" s="33"/>
      <c r="Y725" s="33"/>
      <c r="Z725" s="33"/>
      <c r="AA725" s="33"/>
      <c r="AB725" s="33"/>
      <c r="AC725" s="33"/>
      <c r="AD725" s="33"/>
      <c r="AE725" s="33"/>
      <c r="AF725" s="33"/>
      <c r="AG725" s="33"/>
      <c r="AH725" s="33"/>
      <c r="AI725" s="33"/>
      <c r="AJ725" s="33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  <c r="BK725" s="33"/>
      <c r="BL725" s="33"/>
      <c r="BM725" s="33"/>
    </row>
    <row r="726" spans="1:65" ht="15" customHeight="1">
      <c r="A726" s="33"/>
      <c r="B726" s="33"/>
      <c r="C726" s="33"/>
      <c r="D726" s="33"/>
      <c r="E726" s="33"/>
      <c r="F726" s="33"/>
      <c r="G726" s="33"/>
      <c r="H726" s="33"/>
      <c r="I726" s="33"/>
      <c r="J726" s="33"/>
      <c r="K726" s="33"/>
      <c r="L726" s="33"/>
      <c r="M726" s="33"/>
      <c r="N726" s="33"/>
      <c r="O726" s="33"/>
      <c r="P726" s="33"/>
      <c r="Q726" s="33"/>
      <c r="R726" s="33"/>
      <c r="S726" s="33"/>
      <c r="T726" s="33"/>
      <c r="U726" s="33"/>
      <c r="V726" s="33"/>
      <c r="W726" s="33"/>
      <c r="X726" s="33"/>
      <c r="Y726" s="33"/>
      <c r="Z726" s="33"/>
      <c r="AA726" s="33"/>
      <c r="AB726" s="33"/>
      <c r="AC726" s="33"/>
      <c r="AD726" s="33"/>
      <c r="AE726" s="33"/>
      <c r="AF726" s="33"/>
      <c r="AG726" s="33"/>
      <c r="AH726" s="33"/>
      <c r="AI726" s="33"/>
      <c r="AJ726" s="33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  <c r="BL726" s="33"/>
      <c r="BM726" s="33"/>
    </row>
    <row r="727" spans="1:65" ht="15" customHeight="1">
      <c r="A727" s="33"/>
      <c r="B727" s="33"/>
      <c r="C727" s="33"/>
      <c r="D727" s="33"/>
      <c r="E727" s="33"/>
      <c r="F727" s="33"/>
      <c r="G727" s="33"/>
      <c r="H727" s="33"/>
      <c r="I727" s="33"/>
      <c r="J727" s="33"/>
      <c r="K727" s="33"/>
      <c r="L727" s="33"/>
      <c r="M727" s="33"/>
      <c r="N727" s="33"/>
      <c r="O727" s="33"/>
      <c r="P727" s="33"/>
      <c r="Q727" s="33"/>
      <c r="R727" s="33"/>
      <c r="S727" s="33"/>
      <c r="T727" s="33"/>
      <c r="U727" s="33"/>
      <c r="V727" s="33"/>
      <c r="W727" s="33"/>
      <c r="X727" s="33"/>
      <c r="Y727" s="33"/>
      <c r="Z727" s="33"/>
      <c r="AA727" s="33"/>
      <c r="AB727" s="33"/>
      <c r="AC727" s="33"/>
      <c r="AD727" s="33"/>
      <c r="AE727" s="33"/>
      <c r="AF727" s="33"/>
      <c r="AG727" s="33"/>
      <c r="AH727" s="33"/>
      <c r="AI727" s="33"/>
      <c r="AJ727" s="33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  <c r="BK727" s="33"/>
      <c r="BL727" s="33"/>
      <c r="BM727" s="33"/>
    </row>
    <row r="728" spans="1:65" ht="15" customHeight="1">
      <c r="A728" s="33"/>
      <c r="B728" s="33"/>
      <c r="C728" s="33"/>
      <c r="D728" s="33"/>
      <c r="E728" s="33"/>
      <c r="F728" s="33"/>
      <c r="G728" s="33"/>
      <c r="H728" s="33"/>
      <c r="I728" s="33"/>
      <c r="J728" s="33"/>
      <c r="K728" s="33"/>
      <c r="L728" s="33"/>
      <c r="M728" s="33"/>
      <c r="N728" s="33"/>
      <c r="O728" s="33"/>
      <c r="P728" s="33"/>
      <c r="Q728" s="33"/>
      <c r="R728" s="33"/>
      <c r="S728" s="33"/>
      <c r="T728" s="33"/>
      <c r="U728" s="33"/>
      <c r="V728" s="33"/>
      <c r="W728" s="33"/>
      <c r="X728" s="33"/>
      <c r="Y728" s="33"/>
      <c r="Z728" s="33"/>
      <c r="AA728" s="33"/>
      <c r="AB728" s="33"/>
      <c r="AC728" s="33"/>
      <c r="AD728" s="33"/>
      <c r="AE728" s="33"/>
      <c r="AF728" s="33"/>
      <c r="AG728" s="33"/>
      <c r="AH728" s="33"/>
      <c r="AI728" s="33"/>
      <c r="AJ728" s="33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  <c r="BL728" s="33"/>
      <c r="BM728" s="33"/>
    </row>
    <row r="729" spans="1:65" ht="15" customHeight="1">
      <c r="A729" s="33"/>
      <c r="B729" s="33"/>
      <c r="C729" s="33"/>
      <c r="D729" s="33"/>
      <c r="E729" s="33"/>
      <c r="F729" s="33"/>
      <c r="G729" s="33"/>
      <c r="H729" s="33"/>
      <c r="I729" s="33"/>
      <c r="J729" s="33"/>
      <c r="K729" s="33"/>
      <c r="L729" s="33"/>
      <c r="M729" s="33"/>
      <c r="N729" s="33"/>
      <c r="O729" s="33"/>
      <c r="P729" s="33"/>
      <c r="Q729" s="33"/>
      <c r="R729" s="33"/>
      <c r="S729" s="33"/>
      <c r="T729" s="33"/>
      <c r="U729" s="33"/>
      <c r="V729" s="33"/>
      <c r="W729" s="33"/>
      <c r="X729" s="33"/>
      <c r="Y729" s="33"/>
      <c r="Z729" s="33"/>
      <c r="AA729" s="33"/>
      <c r="AB729" s="33"/>
      <c r="AC729" s="33"/>
      <c r="AD729" s="33"/>
      <c r="AE729" s="33"/>
      <c r="AF729" s="33"/>
      <c r="AG729" s="33"/>
      <c r="AH729" s="33"/>
      <c r="AI729" s="33"/>
      <c r="AJ729" s="33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  <c r="BL729" s="33"/>
      <c r="BM729" s="33"/>
    </row>
    <row r="730" spans="1:65" ht="15" customHeight="1">
      <c r="A730" s="33"/>
      <c r="B730" s="33"/>
      <c r="C730" s="33"/>
      <c r="D730" s="33"/>
      <c r="E730" s="33"/>
      <c r="F730" s="33"/>
      <c r="G730" s="33"/>
      <c r="H730" s="33"/>
      <c r="I730" s="33"/>
      <c r="J730" s="33"/>
      <c r="K730" s="33"/>
      <c r="L730" s="33"/>
      <c r="M730" s="33"/>
      <c r="N730" s="33"/>
      <c r="O730" s="33"/>
      <c r="P730" s="33"/>
      <c r="Q730" s="33"/>
      <c r="R730" s="33"/>
      <c r="S730" s="33"/>
      <c r="T730" s="33"/>
      <c r="U730" s="33"/>
      <c r="V730" s="33"/>
      <c r="W730" s="33"/>
      <c r="X730" s="33"/>
      <c r="Y730" s="33"/>
      <c r="Z730" s="33"/>
      <c r="AA730" s="33"/>
      <c r="AB730" s="33"/>
      <c r="AC730" s="33"/>
      <c r="AD730" s="33"/>
      <c r="AE730" s="33"/>
      <c r="AF730" s="33"/>
      <c r="AG730" s="33"/>
      <c r="AH730" s="33"/>
      <c r="AI730" s="33"/>
      <c r="AJ730" s="33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  <c r="BK730" s="33"/>
      <c r="BL730" s="33"/>
      <c r="BM730" s="33"/>
    </row>
    <row r="731" spans="1:65" ht="15" customHeight="1">
      <c r="A731" s="33"/>
      <c r="B731" s="33"/>
      <c r="C731" s="33"/>
      <c r="D731" s="33"/>
      <c r="E731" s="33"/>
      <c r="F731" s="33"/>
      <c r="G731" s="33"/>
      <c r="H731" s="33"/>
      <c r="I731" s="33"/>
      <c r="J731" s="33"/>
      <c r="K731" s="33"/>
      <c r="L731" s="33"/>
      <c r="M731" s="33"/>
      <c r="N731" s="33"/>
      <c r="O731" s="33"/>
      <c r="P731" s="33"/>
      <c r="Q731" s="33"/>
      <c r="R731" s="33"/>
      <c r="S731" s="33"/>
      <c r="T731" s="33"/>
      <c r="U731" s="33"/>
      <c r="V731" s="33"/>
      <c r="W731" s="33"/>
      <c r="X731" s="33"/>
      <c r="Y731" s="33"/>
      <c r="Z731" s="33"/>
      <c r="AA731" s="33"/>
      <c r="AB731" s="33"/>
      <c r="AC731" s="33"/>
      <c r="AD731" s="33"/>
      <c r="AE731" s="33"/>
      <c r="AF731" s="33"/>
      <c r="AG731" s="33"/>
      <c r="AH731" s="33"/>
      <c r="AI731" s="33"/>
      <c r="AJ731" s="33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  <c r="BK731" s="33"/>
      <c r="BL731" s="33"/>
      <c r="BM731" s="33"/>
    </row>
    <row r="732" spans="1:65" ht="15" customHeight="1">
      <c r="A732" s="33"/>
      <c r="B732" s="33"/>
      <c r="C732" s="33"/>
      <c r="D732" s="33"/>
      <c r="E732" s="33"/>
      <c r="F732" s="33"/>
      <c r="G732" s="33"/>
      <c r="H732" s="33"/>
      <c r="I732" s="33"/>
      <c r="J732" s="33"/>
      <c r="K732" s="33"/>
      <c r="L732" s="33"/>
      <c r="M732" s="33"/>
      <c r="N732" s="33"/>
      <c r="O732" s="33"/>
      <c r="P732" s="33"/>
      <c r="Q732" s="33"/>
      <c r="R732" s="33"/>
      <c r="S732" s="33"/>
      <c r="T732" s="33"/>
      <c r="U732" s="33"/>
      <c r="V732" s="33"/>
      <c r="W732" s="33"/>
      <c r="X732" s="33"/>
      <c r="Y732" s="33"/>
      <c r="Z732" s="33"/>
      <c r="AA732" s="33"/>
      <c r="AB732" s="33"/>
      <c r="AC732" s="33"/>
      <c r="AD732" s="33"/>
      <c r="AE732" s="33"/>
      <c r="AF732" s="33"/>
      <c r="AG732" s="33"/>
      <c r="AH732" s="33"/>
      <c r="AI732" s="33"/>
      <c r="AJ732" s="33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  <c r="BK732" s="33"/>
      <c r="BL732" s="33"/>
      <c r="BM732" s="33"/>
    </row>
    <row r="733" spans="1:65" ht="15" customHeight="1">
      <c r="A733" s="33"/>
      <c r="B733" s="33"/>
      <c r="C733" s="33"/>
      <c r="D733" s="33"/>
      <c r="E733" s="33"/>
      <c r="F733" s="33"/>
      <c r="G733" s="33"/>
      <c r="H733" s="33"/>
      <c r="I733" s="33"/>
      <c r="J733" s="33"/>
      <c r="K733" s="33"/>
      <c r="L733" s="33"/>
      <c r="M733" s="33"/>
      <c r="N733" s="33"/>
      <c r="O733" s="33"/>
      <c r="P733" s="33"/>
      <c r="Q733" s="33"/>
      <c r="R733" s="33"/>
      <c r="S733" s="33"/>
      <c r="T733" s="33"/>
      <c r="U733" s="33"/>
      <c r="V733" s="33"/>
      <c r="W733" s="33"/>
      <c r="X733" s="33"/>
      <c r="Y733" s="33"/>
      <c r="Z733" s="33"/>
      <c r="AA733" s="33"/>
      <c r="AB733" s="33"/>
      <c r="AC733" s="33"/>
      <c r="AD733" s="33"/>
      <c r="AE733" s="33"/>
      <c r="AF733" s="33"/>
      <c r="AG733" s="33"/>
      <c r="AH733" s="33"/>
      <c r="AI733" s="33"/>
      <c r="AJ733" s="33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  <c r="BL733" s="33"/>
      <c r="BM733" s="33"/>
    </row>
    <row r="734" spans="1:65" ht="15" customHeight="1">
      <c r="A734" s="33"/>
      <c r="B734" s="33"/>
      <c r="C734" s="33"/>
      <c r="D734" s="33"/>
      <c r="E734" s="33"/>
      <c r="F734" s="33"/>
      <c r="G734" s="33"/>
      <c r="H734" s="33"/>
      <c r="I734" s="33"/>
      <c r="J734" s="33"/>
      <c r="K734" s="33"/>
      <c r="L734" s="33"/>
      <c r="M734" s="33"/>
      <c r="N734" s="33"/>
      <c r="O734" s="33"/>
      <c r="P734" s="33"/>
      <c r="Q734" s="33"/>
      <c r="R734" s="33"/>
      <c r="S734" s="33"/>
      <c r="T734" s="33"/>
      <c r="U734" s="33"/>
      <c r="V734" s="33"/>
      <c r="W734" s="33"/>
      <c r="X734" s="33"/>
      <c r="Y734" s="33"/>
      <c r="Z734" s="33"/>
      <c r="AA734" s="33"/>
      <c r="AB734" s="33"/>
      <c r="AC734" s="33"/>
      <c r="AD734" s="33"/>
      <c r="AE734" s="33"/>
      <c r="AF734" s="33"/>
      <c r="AG734" s="33"/>
      <c r="AH734" s="33"/>
      <c r="AI734" s="33"/>
      <c r="AJ734" s="33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  <c r="BK734" s="33"/>
      <c r="BL734" s="33"/>
      <c r="BM734" s="33"/>
    </row>
    <row r="735" spans="1:65" ht="15" customHeight="1">
      <c r="A735" s="33"/>
      <c r="B735" s="33"/>
      <c r="C735" s="33"/>
      <c r="D735" s="33"/>
      <c r="E735" s="33"/>
      <c r="F735" s="33"/>
      <c r="G735" s="33"/>
      <c r="H735" s="33"/>
      <c r="I735" s="33"/>
      <c r="J735" s="33"/>
      <c r="K735" s="33"/>
      <c r="L735" s="33"/>
      <c r="M735" s="33"/>
      <c r="N735" s="33"/>
      <c r="O735" s="33"/>
      <c r="P735" s="33"/>
      <c r="Q735" s="33"/>
      <c r="R735" s="33"/>
      <c r="S735" s="33"/>
      <c r="T735" s="33"/>
      <c r="U735" s="33"/>
      <c r="V735" s="33"/>
      <c r="W735" s="33"/>
      <c r="X735" s="33"/>
      <c r="Y735" s="33"/>
      <c r="Z735" s="33"/>
      <c r="AA735" s="33"/>
      <c r="AB735" s="33"/>
      <c r="AC735" s="33"/>
      <c r="AD735" s="33"/>
      <c r="AE735" s="33"/>
      <c r="AF735" s="33"/>
      <c r="AG735" s="33"/>
      <c r="AH735" s="33"/>
      <c r="AI735" s="33"/>
      <c r="AJ735" s="33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  <c r="BL735" s="33"/>
      <c r="BM735" s="33"/>
    </row>
    <row r="736" spans="1:65" ht="15" customHeight="1">
      <c r="A736" s="33"/>
      <c r="B736" s="33"/>
      <c r="C736" s="33"/>
      <c r="D736" s="33"/>
      <c r="E736" s="33"/>
      <c r="F736" s="33"/>
      <c r="G736" s="33"/>
      <c r="H736" s="33"/>
      <c r="I736" s="33"/>
      <c r="J736" s="33"/>
      <c r="K736" s="33"/>
      <c r="L736" s="33"/>
      <c r="M736" s="33"/>
      <c r="N736" s="33"/>
      <c r="O736" s="33"/>
      <c r="P736" s="33"/>
      <c r="Q736" s="33"/>
      <c r="R736" s="33"/>
      <c r="S736" s="33"/>
      <c r="T736" s="33"/>
      <c r="U736" s="33"/>
      <c r="V736" s="33"/>
      <c r="W736" s="33"/>
      <c r="X736" s="33"/>
      <c r="Y736" s="33"/>
      <c r="Z736" s="33"/>
      <c r="AA736" s="33"/>
      <c r="AB736" s="33"/>
      <c r="AC736" s="33"/>
      <c r="AD736" s="33"/>
      <c r="AE736" s="33"/>
      <c r="AF736" s="33"/>
      <c r="AG736" s="33"/>
      <c r="AH736" s="33"/>
      <c r="AI736" s="33"/>
      <c r="AJ736" s="33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  <c r="BK736" s="33"/>
      <c r="BL736" s="33"/>
      <c r="BM736" s="33"/>
    </row>
    <row r="737" spans="1:65" ht="15" customHeight="1">
      <c r="A737" s="33"/>
      <c r="B737" s="33"/>
      <c r="C737" s="33"/>
      <c r="D737" s="33"/>
      <c r="E737" s="33"/>
      <c r="F737" s="33"/>
      <c r="G737" s="33"/>
      <c r="H737" s="33"/>
      <c r="I737" s="33"/>
      <c r="J737" s="33"/>
      <c r="K737" s="33"/>
      <c r="L737" s="33"/>
      <c r="M737" s="33"/>
      <c r="N737" s="33"/>
      <c r="O737" s="33"/>
      <c r="P737" s="33"/>
      <c r="Q737" s="33"/>
      <c r="R737" s="33"/>
      <c r="S737" s="33"/>
      <c r="T737" s="33"/>
      <c r="U737" s="33"/>
      <c r="V737" s="33"/>
      <c r="W737" s="33"/>
      <c r="X737" s="33"/>
      <c r="Y737" s="33"/>
      <c r="Z737" s="33"/>
      <c r="AA737" s="33"/>
      <c r="AB737" s="33"/>
      <c r="AC737" s="33"/>
      <c r="AD737" s="33"/>
      <c r="AE737" s="33"/>
      <c r="AF737" s="33"/>
      <c r="AG737" s="33"/>
      <c r="AH737" s="33"/>
      <c r="AI737" s="33"/>
      <c r="AJ737" s="33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  <c r="BK737" s="33"/>
      <c r="BL737" s="33"/>
      <c r="BM737" s="33"/>
    </row>
    <row r="738" spans="1:65" ht="15" customHeight="1">
      <c r="A738" s="33"/>
      <c r="B738" s="33"/>
      <c r="C738" s="33"/>
      <c r="D738" s="33"/>
      <c r="E738" s="33"/>
      <c r="F738" s="33"/>
      <c r="G738" s="33"/>
      <c r="H738" s="33"/>
      <c r="I738" s="33"/>
      <c r="J738" s="33"/>
      <c r="K738" s="33"/>
      <c r="L738" s="33"/>
      <c r="M738" s="33"/>
      <c r="N738" s="33"/>
      <c r="O738" s="33"/>
      <c r="P738" s="33"/>
      <c r="Q738" s="33"/>
      <c r="R738" s="33"/>
      <c r="S738" s="33"/>
      <c r="T738" s="33"/>
      <c r="U738" s="33"/>
      <c r="V738" s="33"/>
      <c r="W738" s="33"/>
      <c r="X738" s="33"/>
      <c r="Y738" s="33"/>
      <c r="Z738" s="33"/>
      <c r="AA738" s="33"/>
      <c r="AB738" s="33"/>
      <c r="AC738" s="33"/>
      <c r="AD738" s="33"/>
      <c r="AE738" s="33"/>
      <c r="AF738" s="33"/>
      <c r="AG738" s="33"/>
      <c r="AH738" s="33"/>
      <c r="AI738" s="33"/>
      <c r="AJ738" s="33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  <c r="BK738" s="33"/>
      <c r="BL738" s="33"/>
      <c r="BM738" s="33"/>
    </row>
    <row r="739" spans="1:65" ht="15" customHeight="1">
      <c r="A739" s="33"/>
      <c r="B739" s="33"/>
      <c r="C739" s="33"/>
      <c r="D739" s="33"/>
      <c r="E739" s="33"/>
      <c r="F739" s="33"/>
      <c r="G739" s="33"/>
      <c r="H739" s="33"/>
      <c r="I739" s="33"/>
      <c r="J739" s="33"/>
      <c r="K739" s="33"/>
      <c r="L739" s="33"/>
      <c r="M739" s="33"/>
      <c r="N739" s="33"/>
      <c r="O739" s="33"/>
      <c r="P739" s="33"/>
      <c r="Q739" s="33"/>
      <c r="R739" s="33"/>
      <c r="S739" s="33"/>
      <c r="T739" s="33"/>
      <c r="U739" s="33"/>
      <c r="V739" s="33"/>
      <c r="W739" s="33"/>
      <c r="X739" s="33"/>
      <c r="Y739" s="33"/>
      <c r="Z739" s="33"/>
      <c r="AA739" s="33"/>
      <c r="AB739" s="33"/>
      <c r="AC739" s="33"/>
      <c r="AD739" s="33"/>
      <c r="AE739" s="33"/>
      <c r="AF739" s="33"/>
      <c r="AG739" s="33"/>
      <c r="AH739" s="33"/>
      <c r="AI739" s="33"/>
      <c r="AJ739" s="33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  <c r="BK739" s="33"/>
      <c r="BL739" s="33"/>
      <c r="BM739" s="33"/>
    </row>
    <row r="740" spans="1:65" ht="15" customHeight="1">
      <c r="A740" s="33"/>
      <c r="B740" s="33"/>
      <c r="C740" s="33"/>
      <c r="D740" s="33"/>
      <c r="E740" s="33"/>
      <c r="F740" s="33"/>
      <c r="G740" s="33"/>
      <c r="H740" s="33"/>
      <c r="I740" s="33"/>
      <c r="J740" s="33"/>
      <c r="K740" s="33"/>
      <c r="L740" s="33"/>
      <c r="M740" s="33"/>
      <c r="N740" s="33"/>
      <c r="O740" s="33"/>
      <c r="P740" s="33"/>
      <c r="Q740" s="33"/>
      <c r="R740" s="33"/>
      <c r="S740" s="33"/>
      <c r="T740" s="33"/>
      <c r="U740" s="33"/>
      <c r="V740" s="33"/>
      <c r="W740" s="33"/>
      <c r="X740" s="33"/>
      <c r="Y740" s="33"/>
      <c r="Z740" s="33"/>
      <c r="AA740" s="33"/>
      <c r="AB740" s="33"/>
      <c r="AC740" s="33"/>
      <c r="AD740" s="33"/>
      <c r="AE740" s="33"/>
      <c r="AF740" s="33"/>
      <c r="AG740" s="33"/>
      <c r="AH740" s="33"/>
      <c r="AI740" s="33"/>
      <c r="AJ740" s="33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  <c r="BK740" s="33"/>
      <c r="BL740" s="33"/>
      <c r="BM740" s="33"/>
    </row>
    <row r="741" spans="1:65" ht="15" customHeight="1">
      <c r="A741" s="33"/>
      <c r="B741" s="33"/>
      <c r="C741" s="33"/>
      <c r="D741" s="33"/>
      <c r="E741" s="33"/>
      <c r="F741" s="33"/>
      <c r="G741" s="33"/>
      <c r="H741" s="33"/>
      <c r="I741" s="33"/>
      <c r="J741" s="33"/>
      <c r="K741" s="33"/>
      <c r="L741" s="33"/>
      <c r="M741" s="33"/>
      <c r="N741" s="33"/>
      <c r="O741" s="33"/>
      <c r="P741" s="33"/>
      <c r="Q741" s="33"/>
      <c r="R741" s="33"/>
      <c r="S741" s="33"/>
      <c r="T741" s="33"/>
      <c r="U741" s="33"/>
      <c r="V741" s="33"/>
      <c r="W741" s="33"/>
      <c r="X741" s="33"/>
      <c r="Y741" s="33"/>
      <c r="Z741" s="33"/>
      <c r="AA741" s="33"/>
      <c r="AB741" s="33"/>
      <c r="AC741" s="33"/>
      <c r="AD741" s="33"/>
      <c r="AE741" s="33"/>
      <c r="AF741" s="33"/>
      <c r="AG741" s="33"/>
      <c r="AH741" s="33"/>
      <c r="AI741" s="33"/>
      <c r="AJ741" s="33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  <c r="BL741" s="33"/>
      <c r="BM741" s="33"/>
    </row>
    <row r="742" spans="1:65" ht="15" customHeight="1">
      <c r="A742" s="33"/>
      <c r="B742" s="33"/>
      <c r="C742" s="33"/>
      <c r="D742" s="33"/>
      <c r="E742" s="33"/>
      <c r="F742" s="33"/>
      <c r="G742" s="33"/>
      <c r="H742" s="33"/>
      <c r="I742" s="33"/>
      <c r="J742" s="33"/>
      <c r="K742" s="33"/>
      <c r="L742" s="33"/>
      <c r="M742" s="33"/>
      <c r="N742" s="33"/>
      <c r="O742" s="33"/>
      <c r="P742" s="33"/>
      <c r="Q742" s="33"/>
      <c r="R742" s="33"/>
      <c r="S742" s="33"/>
      <c r="T742" s="33"/>
      <c r="U742" s="33"/>
      <c r="V742" s="33"/>
      <c r="W742" s="33"/>
      <c r="X742" s="33"/>
      <c r="Y742" s="33"/>
      <c r="Z742" s="33"/>
      <c r="AA742" s="33"/>
      <c r="AB742" s="33"/>
      <c r="AC742" s="33"/>
      <c r="AD742" s="33"/>
      <c r="AE742" s="33"/>
      <c r="AF742" s="33"/>
      <c r="AG742" s="33"/>
      <c r="AH742" s="33"/>
      <c r="AI742" s="33"/>
      <c r="AJ742" s="33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  <c r="BK742" s="33"/>
      <c r="BL742" s="33"/>
      <c r="BM742" s="33"/>
    </row>
    <row r="743" spans="1:65" ht="15" customHeight="1">
      <c r="A743" s="33"/>
      <c r="B743" s="33"/>
      <c r="C743" s="33"/>
      <c r="D743" s="33"/>
      <c r="E743" s="33"/>
      <c r="F743" s="33"/>
      <c r="G743" s="33"/>
      <c r="H743" s="33"/>
      <c r="I743" s="33"/>
      <c r="J743" s="33"/>
      <c r="K743" s="33"/>
      <c r="L743" s="33"/>
      <c r="M743" s="33"/>
      <c r="N743" s="33"/>
      <c r="O743" s="33"/>
      <c r="P743" s="33"/>
      <c r="Q743" s="33"/>
      <c r="R743" s="33"/>
      <c r="S743" s="33"/>
      <c r="T743" s="33"/>
      <c r="U743" s="33"/>
      <c r="V743" s="33"/>
      <c r="W743" s="33"/>
      <c r="X743" s="33"/>
      <c r="Y743" s="33"/>
      <c r="Z743" s="33"/>
      <c r="AA743" s="33"/>
      <c r="AB743" s="33"/>
      <c r="AC743" s="33"/>
      <c r="AD743" s="33"/>
      <c r="AE743" s="33"/>
      <c r="AF743" s="33"/>
      <c r="AG743" s="33"/>
      <c r="AH743" s="33"/>
      <c r="AI743" s="33"/>
      <c r="AJ743" s="33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  <c r="BK743" s="33"/>
      <c r="BL743" s="33"/>
      <c r="BM743" s="33"/>
    </row>
    <row r="744" spans="1:65" ht="15" customHeight="1">
      <c r="A744" s="33"/>
      <c r="B744" s="33"/>
      <c r="C744" s="33"/>
      <c r="D744" s="33"/>
      <c r="E744" s="33"/>
      <c r="F744" s="33"/>
      <c r="G744" s="33"/>
      <c r="H744" s="33"/>
      <c r="I744" s="33"/>
      <c r="J744" s="33"/>
      <c r="K744" s="33"/>
      <c r="L744" s="33"/>
      <c r="M744" s="33"/>
      <c r="N744" s="33"/>
      <c r="O744" s="33"/>
      <c r="P744" s="33"/>
      <c r="Q744" s="33"/>
      <c r="R744" s="33"/>
      <c r="S744" s="33"/>
      <c r="T744" s="33"/>
      <c r="U744" s="33"/>
      <c r="V744" s="33"/>
      <c r="W744" s="33"/>
      <c r="X744" s="33"/>
      <c r="Y744" s="33"/>
      <c r="Z744" s="33"/>
      <c r="AA744" s="33"/>
      <c r="AB744" s="33"/>
      <c r="AC744" s="33"/>
      <c r="AD744" s="33"/>
      <c r="AE744" s="33"/>
      <c r="AF744" s="33"/>
      <c r="AG744" s="33"/>
      <c r="AH744" s="33"/>
      <c r="AI744" s="33"/>
      <c r="AJ744" s="33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  <c r="BK744" s="33"/>
      <c r="BL744" s="33"/>
      <c r="BM744" s="33"/>
    </row>
    <row r="745" spans="1:65" ht="15" customHeight="1">
      <c r="A745" s="33"/>
      <c r="B745" s="33"/>
      <c r="C745" s="33"/>
      <c r="D745" s="33"/>
      <c r="E745" s="33"/>
      <c r="F745" s="33"/>
      <c r="G745" s="33"/>
      <c r="H745" s="33"/>
      <c r="I745" s="33"/>
      <c r="J745" s="33"/>
      <c r="K745" s="33"/>
      <c r="L745" s="33"/>
      <c r="M745" s="33"/>
      <c r="N745" s="33"/>
      <c r="O745" s="33"/>
      <c r="P745" s="33"/>
      <c r="Q745" s="33"/>
      <c r="R745" s="33"/>
      <c r="S745" s="33"/>
      <c r="T745" s="33"/>
      <c r="U745" s="33"/>
      <c r="V745" s="33"/>
      <c r="W745" s="33"/>
      <c r="X745" s="33"/>
      <c r="Y745" s="33"/>
      <c r="Z745" s="33"/>
      <c r="AA745" s="33"/>
      <c r="AB745" s="33"/>
      <c r="AC745" s="33"/>
      <c r="AD745" s="33"/>
      <c r="AE745" s="33"/>
      <c r="AF745" s="33"/>
      <c r="AG745" s="33"/>
      <c r="AH745" s="33"/>
      <c r="AI745" s="33"/>
      <c r="AJ745" s="33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  <c r="BK745" s="33"/>
      <c r="BL745" s="33"/>
      <c r="BM745" s="33"/>
    </row>
    <row r="746" spans="1:65" ht="15" customHeight="1">
      <c r="A746" s="33"/>
      <c r="B746" s="33"/>
      <c r="C746" s="33"/>
      <c r="D746" s="33"/>
      <c r="E746" s="33"/>
      <c r="F746" s="33"/>
      <c r="G746" s="33"/>
      <c r="H746" s="33"/>
      <c r="I746" s="33"/>
      <c r="J746" s="33"/>
      <c r="K746" s="33"/>
      <c r="L746" s="33"/>
      <c r="M746" s="33"/>
      <c r="N746" s="33"/>
      <c r="O746" s="33"/>
      <c r="P746" s="33"/>
      <c r="Q746" s="33"/>
      <c r="R746" s="33"/>
      <c r="S746" s="33"/>
      <c r="T746" s="33"/>
      <c r="U746" s="33"/>
      <c r="V746" s="33"/>
      <c r="W746" s="33"/>
      <c r="X746" s="33"/>
      <c r="Y746" s="33"/>
      <c r="Z746" s="33"/>
      <c r="AA746" s="33"/>
      <c r="AB746" s="33"/>
      <c r="AC746" s="33"/>
      <c r="AD746" s="33"/>
      <c r="AE746" s="33"/>
      <c r="AF746" s="33"/>
      <c r="AG746" s="33"/>
      <c r="AH746" s="33"/>
      <c r="AI746" s="33"/>
      <c r="AJ746" s="33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  <c r="BK746" s="33"/>
      <c r="BL746" s="33"/>
      <c r="BM746" s="33"/>
    </row>
    <row r="747" spans="1:65" ht="15" customHeight="1">
      <c r="A747" s="33"/>
      <c r="B747" s="33"/>
      <c r="C747" s="33"/>
      <c r="D747" s="33"/>
      <c r="E747" s="33"/>
      <c r="F747" s="33"/>
      <c r="G747" s="33"/>
      <c r="H747" s="33"/>
      <c r="I747" s="33"/>
      <c r="J747" s="33"/>
      <c r="K747" s="33"/>
      <c r="L747" s="33"/>
      <c r="M747" s="33"/>
      <c r="N747" s="33"/>
      <c r="O747" s="33"/>
      <c r="P747" s="33"/>
      <c r="Q747" s="33"/>
      <c r="R747" s="33"/>
      <c r="S747" s="33"/>
      <c r="T747" s="33"/>
      <c r="U747" s="33"/>
      <c r="V747" s="33"/>
      <c r="W747" s="33"/>
      <c r="X747" s="33"/>
      <c r="Y747" s="33"/>
      <c r="Z747" s="33"/>
      <c r="AA747" s="33"/>
      <c r="AB747" s="33"/>
      <c r="AC747" s="33"/>
      <c r="AD747" s="33"/>
      <c r="AE747" s="33"/>
      <c r="AF747" s="33"/>
      <c r="AG747" s="33"/>
      <c r="AH747" s="33"/>
      <c r="AI747" s="33"/>
      <c r="AJ747" s="33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  <c r="BL747" s="33"/>
      <c r="BM747" s="33"/>
    </row>
    <row r="748" spans="1:65" ht="15" customHeight="1">
      <c r="A748" s="33"/>
      <c r="B748" s="33"/>
      <c r="C748" s="33"/>
      <c r="D748" s="33"/>
      <c r="E748" s="33"/>
      <c r="F748" s="33"/>
      <c r="G748" s="33"/>
      <c r="H748" s="33"/>
      <c r="I748" s="33"/>
      <c r="J748" s="33"/>
      <c r="K748" s="33"/>
      <c r="L748" s="33"/>
      <c r="M748" s="33"/>
      <c r="N748" s="33"/>
      <c r="O748" s="33"/>
      <c r="P748" s="33"/>
      <c r="Q748" s="33"/>
      <c r="R748" s="33"/>
      <c r="S748" s="33"/>
      <c r="T748" s="33"/>
      <c r="U748" s="33"/>
      <c r="V748" s="33"/>
      <c r="W748" s="33"/>
      <c r="X748" s="33"/>
      <c r="Y748" s="33"/>
      <c r="Z748" s="33"/>
      <c r="AA748" s="33"/>
      <c r="AB748" s="33"/>
      <c r="AC748" s="33"/>
      <c r="AD748" s="33"/>
      <c r="AE748" s="33"/>
      <c r="AF748" s="33"/>
      <c r="AG748" s="33"/>
      <c r="AH748" s="33"/>
      <c r="AI748" s="33"/>
      <c r="AJ748" s="33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  <c r="BK748" s="33"/>
      <c r="BL748" s="33"/>
      <c r="BM748" s="33"/>
    </row>
    <row r="749" spans="1:65" ht="15" customHeight="1">
      <c r="A749" s="33"/>
      <c r="B749" s="33"/>
      <c r="C749" s="33"/>
      <c r="D749" s="33"/>
      <c r="E749" s="33"/>
      <c r="F749" s="33"/>
      <c r="G749" s="33"/>
      <c r="H749" s="33"/>
      <c r="I749" s="33"/>
      <c r="J749" s="33"/>
      <c r="K749" s="33"/>
      <c r="L749" s="33"/>
      <c r="M749" s="33"/>
      <c r="N749" s="33"/>
      <c r="O749" s="33"/>
      <c r="P749" s="33"/>
      <c r="Q749" s="33"/>
      <c r="R749" s="33"/>
      <c r="S749" s="33"/>
      <c r="T749" s="33"/>
      <c r="U749" s="33"/>
      <c r="V749" s="33"/>
      <c r="W749" s="33"/>
      <c r="X749" s="33"/>
      <c r="Y749" s="33"/>
      <c r="Z749" s="33"/>
      <c r="AA749" s="33"/>
      <c r="AB749" s="33"/>
      <c r="AC749" s="33"/>
      <c r="AD749" s="33"/>
      <c r="AE749" s="33"/>
      <c r="AF749" s="33"/>
      <c r="AG749" s="33"/>
      <c r="AH749" s="33"/>
      <c r="AI749" s="33"/>
      <c r="AJ749" s="33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  <c r="BL749" s="33"/>
      <c r="BM749" s="33"/>
    </row>
    <row r="750" spans="1:65" ht="15" customHeight="1">
      <c r="A750" s="33"/>
      <c r="B750" s="33"/>
      <c r="C750" s="33"/>
      <c r="D750" s="33"/>
      <c r="E750" s="33"/>
      <c r="F750" s="33"/>
      <c r="G750" s="33"/>
      <c r="H750" s="33"/>
      <c r="I750" s="33"/>
      <c r="J750" s="33"/>
      <c r="K750" s="33"/>
      <c r="L750" s="33"/>
      <c r="M750" s="33"/>
      <c r="N750" s="33"/>
      <c r="O750" s="33"/>
      <c r="P750" s="33"/>
      <c r="Q750" s="33"/>
      <c r="R750" s="33"/>
      <c r="S750" s="33"/>
      <c r="T750" s="33"/>
      <c r="U750" s="33"/>
      <c r="V750" s="33"/>
      <c r="W750" s="33"/>
      <c r="X750" s="33"/>
      <c r="Y750" s="33"/>
      <c r="Z750" s="33"/>
      <c r="AA750" s="33"/>
      <c r="AB750" s="33"/>
      <c r="AC750" s="33"/>
      <c r="AD750" s="33"/>
      <c r="AE750" s="33"/>
      <c r="AF750" s="33"/>
      <c r="AG750" s="33"/>
      <c r="AH750" s="33"/>
      <c r="AI750" s="33"/>
      <c r="AJ750" s="33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  <c r="BK750" s="33"/>
      <c r="BL750" s="33"/>
      <c r="BM750" s="33"/>
    </row>
    <row r="751" spans="1:65" ht="15" customHeight="1">
      <c r="A751" s="33"/>
      <c r="B751" s="33"/>
      <c r="C751" s="33"/>
      <c r="D751" s="33"/>
      <c r="E751" s="33"/>
      <c r="F751" s="33"/>
      <c r="G751" s="33"/>
      <c r="H751" s="33"/>
      <c r="I751" s="33"/>
      <c r="J751" s="33"/>
      <c r="K751" s="33"/>
      <c r="L751" s="33"/>
      <c r="M751" s="33"/>
      <c r="N751" s="33"/>
      <c r="O751" s="33"/>
      <c r="P751" s="33"/>
      <c r="Q751" s="33"/>
      <c r="R751" s="33"/>
      <c r="S751" s="33"/>
      <c r="T751" s="33"/>
      <c r="U751" s="33"/>
      <c r="V751" s="33"/>
      <c r="W751" s="33"/>
      <c r="X751" s="33"/>
      <c r="Y751" s="33"/>
      <c r="Z751" s="33"/>
      <c r="AA751" s="33"/>
      <c r="AB751" s="33"/>
      <c r="AC751" s="33"/>
      <c r="AD751" s="33"/>
      <c r="AE751" s="33"/>
      <c r="AF751" s="33"/>
      <c r="AG751" s="33"/>
      <c r="AH751" s="33"/>
      <c r="AI751" s="33"/>
      <c r="AJ751" s="33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  <c r="BL751" s="33"/>
      <c r="BM751" s="33"/>
    </row>
    <row r="752" spans="1:65" ht="15" customHeight="1">
      <c r="A752" s="33"/>
      <c r="B752" s="33"/>
      <c r="C752" s="33"/>
      <c r="D752" s="33"/>
      <c r="E752" s="33"/>
      <c r="F752" s="33"/>
      <c r="G752" s="33"/>
      <c r="H752" s="33"/>
      <c r="I752" s="33"/>
      <c r="J752" s="33"/>
      <c r="K752" s="33"/>
      <c r="L752" s="33"/>
      <c r="M752" s="33"/>
      <c r="N752" s="33"/>
      <c r="O752" s="33"/>
      <c r="P752" s="33"/>
      <c r="Q752" s="33"/>
      <c r="R752" s="33"/>
      <c r="S752" s="33"/>
      <c r="T752" s="33"/>
      <c r="U752" s="33"/>
      <c r="V752" s="33"/>
      <c r="W752" s="33"/>
      <c r="X752" s="33"/>
      <c r="Y752" s="33"/>
      <c r="Z752" s="33"/>
      <c r="AA752" s="33"/>
      <c r="AB752" s="33"/>
      <c r="AC752" s="33"/>
      <c r="AD752" s="33"/>
      <c r="AE752" s="33"/>
      <c r="AF752" s="33"/>
      <c r="AG752" s="33"/>
      <c r="AH752" s="33"/>
      <c r="AI752" s="33"/>
      <c r="AJ752" s="33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  <c r="BK752" s="33"/>
      <c r="BL752" s="33"/>
      <c r="BM752" s="33"/>
    </row>
    <row r="753" spans="1:65" ht="15" customHeight="1">
      <c r="A753" s="33"/>
      <c r="B753" s="33"/>
      <c r="C753" s="33"/>
      <c r="D753" s="33"/>
      <c r="E753" s="33"/>
      <c r="F753" s="33"/>
      <c r="G753" s="33"/>
      <c r="H753" s="33"/>
      <c r="I753" s="33"/>
      <c r="J753" s="33"/>
      <c r="K753" s="33"/>
      <c r="L753" s="33"/>
      <c r="M753" s="33"/>
      <c r="N753" s="33"/>
      <c r="O753" s="33"/>
      <c r="P753" s="33"/>
      <c r="Q753" s="33"/>
      <c r="R753" s="33"/>
      <c r="S753" s="33"/>
      <c r="T753" s="33"/>
      <c r="U753" s="33"/>
      <c r="V753" s="33"/>
      <c r="W753" s="33"/>
      <c r="X753" s="33"/>
      <c r="Y753" s="33"/>
      <c r="Z753" s="33"/>
      <c r="AA753" s="33"/>
      <c r="AB753" s="33"/>
      <c r="AC753" s="33"/>
      <c r="AD753" s="33"/>
      <c r="AE753" s="33"/>
      <c r="AF753" s="33"/>
      <c r="AG753" s="33"/>
      <c r="AH753" s="33"/>
      <c r="AI753" s="33"/>
      <c r="AJ753" s="33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  <c r="BL753" s="33"/>
      <c r="BM753" s="33"/>
    </row>
    <row r="754" spans="1:65" ht="15" customHeight="1">
      <c r="A754" s="33"/>
      <c r="B754" s="33"/>
      <c r="C754" s="33"/>
      <c r="D754" s="33"/>
      <c r="E754" s="33"/>
      <c r="F754" s="33"/>
      <c r="G754" s="33"/>
      <c r="H754" s="33"/>
      <c r="I754" s="33"/>
      <c r="J754" s="33"/>
      <c r="K754" s="33"/>
      <c r="L754" s="33"/>
      <c r="M754" s="33"/>
      <c r="N754" s="33"/>
      <c r="O754" s="33"/>
      <c r="P754" s="33"/>
      <c r="Q754" s="33"/>
      <c r="R754" s="33"/>
      <c r="S754" s="33"/>
      <c r="T754" s="33"/>
      <c r="U754" s="33"/>
      <c r="V754" s="33"/>
      <c r="W754" s="33"/>
      <c r="X754" s="33"/>
      <c r="Y754" s="33"/>
      <c r="Z754" s="33"/>
      <c r="AA754" s="33"/>
      <c r="AB754" s="33"/>
      <c r="AC754" s="33"/>
      <c r="AD754" s="33"/>
      <c r="AE754" s="33"/>
      <c r="AF754" s="33"/>
      <c r="AG754" s="33"/>
      <c r="AH754" s="33"/>
      <c r="AI754" s="33"/>
      <c r="AJ754" s="33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  <c r="BK754" s="33"/>
      <c r="BL754" s="33"/>
      <c r="BM754" s="33"/>
    </row>
    <row r="755" spans="1:65" ht="15" customHeight="1">
      <c r="A755" s="33"/>
      <c r="B755" s="33"/>
      <c r="C755" s="33"/>
      <c r="D755" s="33"/>
      <c r="E755" s="33"/>
      <c r="F755" s="33"/>
      <c r="G755" s="33"/>
      <c r="H755" s="33"/>
      <c r="I755" s="33"/>
      <c r="J755" s="33"/>
      <c r="K755" s="33"/>
      <c r="L755" s="33"/>
      <c r="M755" s="33"/>
      <c r="N755" s="33"/>
      <c r="O755" s="33"/>
      <c r="P755" s="33"/>
      <c r="Q755" s="33"/>
      <c r="R755" s="33"/>
      <c r="S755" s="33"/>
      <c r="T755" s="33"/>
      <c r="U755" s="33"/>
      <c r="V755" s="33"/>
      <c r="W755" s="33"/>
      <c r="X755" s="33"/>
      <c r="Y755" s="33"/>
      <c r="Z755" s="33"/>
      <c r="AA755" s="33"/>
      <c r="AB755" s="33"/>
      <c r="AC755" s="33"/>
      <c r="AD755" s="33"/>
      <c r="AE755" s="33"/>
      <c r="AF755" s="33"/>
      <c r="AG755" s="33"/>
      <c r="AH755" s="33"/>
      <c r="AI755" s="33"/>
      <c r="AJ755" s="33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  <c r="BL755" s="33"/>
      <c r="BM755" s="33"/>
    </row>
    <row r="756" spans="1:65" ht="15" customHeight="1">
      <c r="A756" s="33"/>
      <c r="B756" s="33"/>
      <c r="C756" s="33"/>
      <c r="D756" s="33"/>
      <c r="E756" s="33"/>
      <c r="F756" s="33"/>
      <c r="G756" s="33"/>
      <c r="H756" s="33"/>
      <c r="I756" s="33"/>
      <c r="J756" s="33"/>
      <c r="K756" s="33"/>
      <c r="L756" s="33"/>
      <c r="M756" s="33"/>
      <c r="N756" s="33"/>
      <c r="O756" s="33"/>
      <c r="P756" s="33"/>
      <c r="Q756" s="33"/>
      <c r="R756" s="33"/>
      <c r="S756" s="33"/>
      <c r="T756" s="33"/>
      <c r="U756" s="33"/>
      <c r="V756" s="33"/>
      <c r="W756" s="33"/>
      <c r="X756" s="33"/>
      <c r="Y756" s="33"/>
      <c r="Z756" s="33"/>
      <c r="AA756" s="33"/>
      <c r="AB756" s="33"/>
      <c r="AC756" s="33"/>
      <c r="AD756" s="33"/>
      <c r="AE756" s="33"/>
      <c r="AF756" s="33"/>
      <c r="AG756" s="33"/>
      <c r="AH756" s="33"/>
      <c r="AI756" s="33"/>
      <c r="AJ756" s="33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  <c r="BK756" s="33"/>
      <c r="BL756" s="33"/>
      <c r="BM756" s="33"/>
    </row>
    <row r="757" spans="1:65" ht="15" customHeight="1">
      <c r="A757" s="33"/>
      <c r="B757" s="33"/>
      <c r="C757" s="33"/>
      <c r="D757" s="33"/>
      <c r="E757" s="33"/>
      <c r="F757" s="33"/>
      <c r="G757" s="33"/>
      <c r="H757" s="33"/>
      <c r="I757" s="33"/>
      <c r="J757" s="33"/>
      <c r="K757" s="33"/>
      <c r="L757" s="33"/>
      <c r="M757" s="33"/>
      <c r="N757" s="33"/>
      <c r="O757" s="33"/>
      <c r="P757" s="33"/>
      <c r="Q757" s="33"/>
      <c r="R757" s="33"/>
      <c r="S757" s="33"/>
      <c r="T757" s="33"/>
      <c r="U757" s="33"/>
      <c r="V757" s="33"/>
      <c r="W757" s="33"/>
      <c r="X757" s="33"/>
      <c r="Y757" s="33"/>
      <c r="Z757" s="33"/>
      <c r="AA757" s="33"/>
      <c r="AB757" s="33"/>
      <c r="AC757" s="33"/>
      <c r="AD757" s="33"/>
      <c r="AE757" s="33"/>
      <c r="AF757" s="33"/>
      <c r="AG757" s="33"/>
      <c r="AH757" s="33"/>
      <c r="AI757" s="33"/>
      <c r="AJ757" s="33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  <c r="BL757" s="33"/>
      <c r="BM757" s="33"/>
    </row>
    <row r="758" spans="1:65" ht="15" customHeight="1">
      <c r="A758" s="33"/>
      <c r="B758" s="33"/>
      <c r="C758" s="33"/>
      <c r="D758" s="33"/>
      <c r="E758" s="33"/>
      <c r="F758" s="33"/>
      <c r="G758" s="33"/>
      <c r="H758" s="33"/>
      <c r="I758" s="33"/>
      <c r="J758" s="33"/>
      <c r="K758" s="33"/>
      <c r="L758" s="33"/>
      <c r="M758" s="33"/>
      <c r="N758" s="33"/>
      <c r="O758" s="33"/>
      <c r="P758" s="33"/>
      <c r="Q758" s="33"/>
      <c r="R758" s="33"/>
      <c r="S758" s="33"/>
      <c r="T758" s="33"/>
      <c r="U758" s="33"/>
      <c r="V758" s="33"/>
      <c r="W758" s="33"/>
      <c r="X758" s="33"/>
      <c r="Y758" s="33"/>
      <c r="Z758" s="33"/>
      <c r="AA758" s="33"/>
      <c r="AB758" s="33"/>
      <c r="AC758" s="33"/>
      <c r="AD758" s="33"/>
      <c r="AE758" s="33"/>
      <c r="AF758" s="33"/>
      <c r="AG758" s="33"/>
      <c r="AH758" s="33"/>
      <c r="AI758" s="33"/>
      <c r="AJ758" s="33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  <c r="BK758" s="33"/>
      <c r="BL758" s="33"/>
      <c r="BM758" s="33"/>
    </row>
    <row r="759" spans="1:65" ht="15" customHeight="1">
      <c r="A759" s="33"/>
      <c r="B759" s="33"/>
      <c r="C759" s="33"/>
      <c r="D759" s="33"/>
      <c r="E759" s="33"/>
      <c r="F759" s="33"/>
      <c r="G759" s="33"/>
      <c r="H759" s="33"/>
      <c r="I759" s="33"/>
      <c r="J759" s="33"/>
      <c r="K759" s="33"/>
      <c r="L759" s="33"/>
      <c r="M759" s="33"/>
      <c r="N759" s="33"/>
      <c r="O759" s="33"/>
      <c r="P759" s="33"/>
      <c r="Q759" s="33"/>
      <c r="R759" s="33"/>
      <c r="S759" s="33"/>
      <c r="T759" s="33"/>
      <c r="U759" s="33"/>
      <c r="V759" s="33"/>
      <c r="W759" s="33"/>
      <c r="X759" s="33"/>
      <c r="Y759" s="33"/>
      <c r="Z759" s="33"/>
      <c r="AA759" s="33"/>
      <c r="AB759" s="33"/>
      <c r="AC759" s="33"/>
      <c r="AD759" s="33"/>
      <c r="AE759" s="33"/>
      <c r="AF759" s="33"/>
      <c r="AG759" s="33"/>
      <c r="AH759" s="33"/>
      <c r="AI759" s="33"/>
      <c r="AJ759" s="33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  <c r="BL759" s="33"/>
      <c r="BM759" s="33"/>
    </row>
    <row r="760" spans="1:65" ht="15" customHeight="1">
      <c r="A760" s="33"/>
      <c r="B760" s="33"/>
      <c r="C760" s="33"/>
      <c r="D760" s="33"/>
      <c r="E760" s="33"/>
      <c r="F760" s="33"/>
      <c r="G760" s="33"/>
      <c r="H760" s="33"/>
      <c r="I760" s="33"/>
      <c r="J760" s="33"/>
      <c r="K760" s="33"/>
      <c r="L760" s="33"/>
      <c r="M760" s="33"/>
      <c r="N760" s="33"/>
      <c r="O760" s="33"/>
      <c r="P760" s="33"/>
      <c r="Q760" s="33"/>
      <c r="R760" s="33"/>
      <c r="S760" s="33"/>
      <c r="T760" s="33"/>
      <c r="U760" s="33"/>
      <c r="V760" s="33"/>
      <c r="W760" s="33"/>
      <c r="X760" s="33"/>
      <c r="Y760" s="33"/>
      <c r="Z760" s="33"/>
      <c r="AA760" s="33"/>
      <c r="AB760" s="33"/>
      <c r="AC760" s="33"/>
      <c r="AD760" s="33"/>
      <c r="AE760" s="33"/>
      <c r="AF760" s="33"/>
      <c r="AG760" s="33"/>
      <c r="AH760" s="33"/>
      <c r="AI760" s="33"/>
      <c r="AJ760" s="33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  <c r="BK760" s="33"/>
      <c r="BL760" s="33"/>
      <c r="BM760" s="33"/>
    </row>
    <row r="761" spans="1:65" ht="15" customHeight="1">
      <c r="A761" s="33"/>
      <c r="B761" s="33"/>
      <c r="C761" s="33"/>
      <c r="D761" s="33"/>
      <c r="E761" s="33"/>
      <c r="F761" s="33"/>
      <c r="G761" s="33"/>
      <c r="H761" s="33"/>
      <c r="I761" s="33"/>
      <c r="J761" s="33"/>
      <c r="K761" s="33"/>
      <c r="L761" s="33"/>
      <c r="M761" s="33"/>
      <c r="N761" s="33"/>
      <c r="O761" s="33"/>
      <c r="P761" s="33"/>
      <c r="Q761" s="33"/>
      <c r="R761" s="33"/>
      <c r="S761" s="33"/>
      <c r="T761" s="33"/>
      <c r="U761" s="33"/>
      <c r="V761" s="33"/>
      <c r="W761" s="33"/>
      <c r="X761" s="33"/>
      <c r="Y761" s="33"/>
      <c r="Z761" s="33"/>
      <c r="AA761" s="33"/>
      <c r="AB761" s="33"/>
      <c r="AC761" s="33"/>
      <c r="AD761" s="33"/>
      <c r="AE761" s="33"/>
      <c r="AF761" s="33"/>
      <c r="AG761" s="33"/>
      <c r="AH761" s="33"/>
      <c r="AI761" s="33"/>
      <c r="AJ761" s="33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  <c r="BL761" s="33"/>
      <c r="BM761" s="33"/>
    </row>
    <row r="762" spans="1:65" ht="15" customHeight="1">
      <c r="A762" s="33"/>
      <c r="B762" s="33"/>
      <c r="C762" s="33"/>
      <c r="D762" s="33"/>
      <c r="E762" s="33"/>
      <c r="F762" s="33"/>
      <c r="G762" s="33"/>
      <c r="H762" s="33"/>
      <c r="I762" s="33"/>
      <c r="J762" s="33"/>
      <c r="K762" s="33"/>
      <c r="L762" s="33"/>
      <c r="M762" s="33"/>
      <c r="N762" s="33"/>
      <c r="O762" s="33"/>
      <c r="P762" s="33"/>
      <c r="Q762" s="33"/>
      <c r="R762" s="33"/>
      <c r="S762" s="33"/>
      <c r="T762" s="33"/>
      <c r="U762" s="33"/>
      <c r="V762" s="33"/>
      <c r="W762" s="33"/>
      <c r="X762" s="33"/>
      <c r="Y762" s="33"/>
      <c r="Z762" s="33"/>
      <c r="AA762" s="33"/>
      <c r="AB762" s="33"/>
      <c r="AC762" s="33"/>
      <c r="AD762" s="33"/>
      <c r="AE762" s="33"/>
      <c r="AF762" s="33"/>
      <c r="AG762" s="33"/>
      <c r="AH762" s="33"/>
      <c r="AI762" s="33"/>
      <c r="AJ762" s="33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  <c r="BK762" s="33"/>
      <c r="BL762" s="33"/>
      <c r="BM762" s="33"/>
    </row>
    <row r="763" spans="1:65" ht="15" customHeight="1">
      <c r="A763" s="33"/>
      <c r="B763" s="33"/>
      <c r="C763" s="33"/>
      <c r="D763" s="33"/>
      <c r="E763" s="33"/>
      <c r="F763" s="33"/>
      <c r="G763" s="33"/>
      <c r="H763" s="33"/>
      <c r="I763" s="33"/>
      <c r="J763" s="33"/>
      <c r="K763" s="33"/>
      <c r="L763" s="33"/>
      <c r="M763" s="33"/>
      <c r="N763" s="33"/>
      <c r="O763" s="33"/>
      <c r="P763" s="33"/>
      <c r="Q763" s="33"/>
      <c r="R763" s="33"/>
      <c r="S763" s="33"/>
      <c r="T763" s="33"/>
      <c r="U763" s="33"/>
      <c r="V763" s="33"/>
      <c r="W763" s="33"/>
      <c r="X763" s="33"/>
      <c r="Y763" s="33"/>
      <c r="Z763" s="33"/>
      <c r="AA763" s="33"/>
      <c r="AB763" s="33"/>
      <c r="AC763" s="33"/>
      <c r="AD763" s="33"/>
      <c r="AE763" s="33"/>
      <c r="AF763" s="33"/>
      <c r="AG763" s="33"/>
      <c r="AH763" s="33"/>
      <c r="AI763" s="33"/>
      <c r="AJ763" s="33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  <c r="BL763" s="33"/>
      <c r="BM763" s="33"/>
    </row>
    <row r="764" spans="1:65" ht="15" customHeight="1">
      <c r="A764" s="33"/>
      <c r="B764" s="33"/>
      <c r="C764" s="33"/>
      <c r="D764" s="33"/>
      <c r="E764" s="33"/>
      <c r="F764" s="33"/>
      <c r="G764" s="33"/>
      <c r="H764" s="33"/>
      <c r="I764" s="33"/>
      <c r="J764" s="33"/>
      <c r="K764" s="33"/>
      <c r="L764" s="33"/>
      <c r="M764" s="33"/>
      <c r="N764" s="33"/>
      <c r="O764" s="33"/>
      <c r="P764" s="33"/>
      <c r="Q764" s="33"/>
      <c r="R764" s="33"/>
      <c r="S764" s="33"/>
      <c r="T764" s="33"/>
      <c r="U764" s="33"/>
      <c r="V764" s="33"/>
      <c r="W764" s="33"/>
      <c r="X764" s="33"/>
      <c r="Y764" s="33"/>
      <c r="Z764" s="33"/>
      <c r="AA764" s="33"/>
      <c r="AB764" s="33"/>
      <c r="AC764" s="33"/>
      <c r="AD764" s="33"/>
      <c r="AE764" s="33"/>
      <c r="AF764" s="33"/>
      <c r="AG764" s="33"/>
      <c r="AH764" s="33"/>
      <c r="AI764" s="33"/>
      <c r="AJ764" s="33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  <c r="BK764" s="33"/>
      <c r="BL764" s="33"/>
      <c r="BM764" s="33"/>
    </row>
    <row r="765" spans="1:65" ht="15" customHeight="1">
      <c r="A765" s="33"/>
      <c r="B765" s="33"/>
      <c r="C765" s="33"/>
      <c r="D765" s="33"/>
      <c r="E765" s="33"/>
      <c r="F765" s="33"/>
      <c r="G765" s="33"/>
      <c r="H765" s="33"/>
      <c r="I765" s="33"/>
      <c r="J765" s="33"/>
      <c r="K765" s="33"/>
      <c r="L765" s="33"/>
      <c r="M765" s="33"/>
      <c r="N765" s="33"/>
      <c r="O765" s="33"/>
      <c r="P765" s="33"/>
      <c r="Q765" s="33"/>
      <c r="R765" s="33"/>
      <c r="S765" s="33"/>
      <c r="T765" s="33"/>
      <c r="U765" s="33"/>
      <c r="V765" s="33"/>
      <c r="W765" s="33"/>
      <c r="X765" s="33"/>
      <c r="Y765" s="33"/>
      <c r="Z765" s="33"/>
      <c r="AA765" s="33"/>
      <c r="AB765" s="33"/>
      <c r="AC765" s="33"/>
      <c r="AD765" s="33"/>
      <c r="AE765" s="33"/>
      <c r="AF765" s="33"/>
      <c r="AG765" s="33"/>
      <c r="AH765" s="33"/>
      <c r="AI765" s="33"/>
      <c r="AJ765" s="33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  <c r="BL765" s="33"/>
      <c r="BM765" s="33"/>
    </row>
    <row r="766" spans="1:65" ht="15" customHeight="1">
      <c r="A766" s="33"/>
      <c r="B766" s="33"/>
      <c r="C766" s="33"/>
      <c r="D766" s="33"/>
      <c r="E766" s="33"/>
      <c r="F766" s="33"/>
      <c r="G766" s="33"/>
      <c r="H766" s="33"/>
      <c r="I766" s="33"/>
      <c r="J766" s="33"/>
      <c r="K766" s="33"/>
      <c r="L766" s="33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J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  <c r="BL766" s="33"/>
      <c r="BM766" s="33"/>
    </row>
    <row r="767" spans="1:65" ht="15" customHeight="1">
      <c r="A767" s="33"/>
      <c r="B767" s="33"/>
      <c r="C767" s="33"/>
      <c r="D767" s="33"/>
      <c r="E767" s="33"/>
      <c r="F767" s="33"/>
      <c r="G767" s="33"/>
      <c r="H767" s="33"/>
      <c r="I767" s="33"/>
      <c r="J767" s="33"/>
      <c r="K767" s="33"/>
      <c r="L767" s="33"/>
      <c r="M767" s="33"/>
      <c r="N767" s="33"/>
      <c r="O767" s="33"/>
      <c r="P767" s="33"/>
      <c r="Q767" s="33"/>
      <c r="R767" s="33"/>
      <c r="S767" s="33"/>
      <c r="T767" s="33"/>
      <c r="U767" s="33"/>
      <c r="V767" s="33"/>
      <c r="W767" s="33"/>
      <c r="X767" s="33"/>
      <c r="Y767" s="33"/>
      <c r="Z767" s="33"/>
      <c r="AA767" s="33"/>
      <c r="AB767" s="33"/>
      <c r="AC767" s="33"/>
      <c r="AD767" s="33"/>
      <c r="AE767" s="33"/>
      <c r="AF767" s="33"/>
      <c r="AG767" s="33"/>
      <c r="AH767" s="33"/>
      <c r="AI767" s="33"/>
      <c r="AJ767" s="33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  <c r="BL767" s="33"/>
      <c r="BM767" s="33"/>
    </row>
    <row r="768" spans="1:65" ht="15" customHeight="1">
      <c r="A768" s="33"/>
      <c r="B768" s="33"/>
      <c r="C768" s="33"/>
      <c r="D768" s="33"/>
      <c r="E768" s="33"/>
      <c r="F768" s="33"/>
      <c r="G768" s="33"/>
      <c r="H768" s="33"/>
      <c r="I768" s="33"/>
      <c r="J768" s="33"/>
      <c r="K768" s="33"/>
      <c r="L768" s="33"/>
      <c r="M768" s="33"/>
      <c r="N768" s="33"/>
      <c r="O768" s="33"/>
      <c r="P768" s="33"/>
      <c r="Q768" s="33"/>
      <c r="R768" s="33"/>
      <c r="S768" s="33"/>
      <c r="T768" s="33"/>
      <c r="U768" s="33"/>
      <c r="V768" s="33"/>
      <c r="W768" s="33"/>
      <c r="X768" s="33"/>
      <c r="Y768" s="33"/>
      <c r="Z768" s="33"/>
      <c r="AA768" s="33"/>
      <c r="AB768" s="33"/>
      <c r="AC768" s="33"/>
      <c r="AD768" s="33"/>
      <c r="AE768" s="33"/>
      <c r="AF768" s="33"/>
      <c r="AG768" s="33"/>
      <c r="AH768" s="33"/>
      <c r="AI768" s="33"/>
      <c r="AJ768" s="33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  <c r="BK768" s="33"/>
      <c r="BL768" s="33"/>
      <c r="BM768" s="33"/>
    </row>
    <row r="769" spans="1:65" ht="15" customHeight="1">
      <c r="A769" s="33"/>
      <c r="B769" s="33"/>
      <c r="C769" s="33"/>
      <c r="D769" s="33"/>
      <c r="E769" s="33"/>
      <c r="F769" s="33"/>
      <c r="G769" s="33"/>
      <c r="H769" s="33"/>
      <c r="I769" s="33"/>
      <c r="J769" s="33"/>
      <c r="K769" s="33"/>
      <c r="L769" s="33"/>
      <c r="M769" s="33"/>
      <c r="N769" s="33"/>
      <c r="O769" s="33"/>
      <c r="P769" s="33"/>
      <c r="Q769" s="33"/>
      <c r="R769" s="33"/>
      <c r="S769" s="33"/>
      <c r="T769" s="33"/>
      <c r="U769" s="33"/>
      <c r="V769" s="33"/>
      <c r="W769" s="33"/>
      <c r="X769" s="33"/>
      <c r="Y769" s="33"/>
      <c r="Z769" s="33"/>
      <c r="AA769" s="33"/>
      <c r="AB769" s="33"/>
      <c r="AC769" s="33"/>
      <c r="AD769" s="33"/>
      <c r="AE769" s="33"/>
      <c r="AF769" s="33"/>
      <c r="AG769" s="33"/>
      <c r="AH769" s="33"/>
      <c r="AI769" s="33"/>
      <c r="AJ769" s="33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  <c r="BL769" s="33"/>
      <c r="BM769" s="33"/>
    </row>
    <row r="770" spans="1:65" ht="15" customHeight="1">
      <c r="A770" s="33"/>
      <c r="B770" s="33"/>
      <c r="C770" s="33"/>
      <c r="D770" s="33"/>
      <c r="E770" s="33"/>
      <c r="F770" s="33"/>
      <c r="G770" s="33"/>
      <c r="H770" s="33"/>
      <c r="I770" s="33"/>
      <c r="J770" s="33"/>
      <c r="K770" s="33"/>
      <c r="L770" s="33"/>
      <c r="M770" s="33"/>
      <c r="N770" s="33"/>
      <c r="O770" s="33"/>
      <c r="P770" s="33"/>
      <c r="Q770" s="33"/>
      <c r="R770" s="33"/>
      <c r="S770" s="33"/>
      <c r="T770" s="33"/>
      <c r="U770" s="33"/>
      <c r="V770" s="33"/>
      <c r="W770" s="33"/>
      <c r="X770" s="33"/>
      <c r="Y770" s="33"/>
      <c r="Z770" s="33"/>
      <c r="AA770" s="33"/>
      <c r="AB770" s="33"/>
      <c r="AC770" s="33"/>
      <c r="AD770" s="33"/>
      <c r="AE770" s="33"/>
      <c r="AF770" s="33"/>
      <c r="AG770" s="33"/>
      <c r="AH770" s="33"/>
      <c r="AI770" s="33"/>
      <c r="AJ770" s="33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  <c r="BK770" s="33"/>
      <c r="BL770" s="33"/>
      <c r="BM770" s="33"/>
    </row>
    <row r="771" spans="1:65" ht="15" customHeight="1">
      <c r="A771" s="33"/>
      <c r="B771" s="33"/>
      <c r="C771" s="33"/>
      <c r="D771" s="33"/>
      <c r="E771" s="33"/>
      <c r="F771" s="33"/>
      <c r="G771" s="33"/>
      <c r="H771" s="33"/>
      <c r="I771" s="33"/>
      <c r="J771" s="33"/>
      <c r="K771" s="33"/>
      <c r="L771" s="33"/>
      <c r="M771" s="33"/>
      <c r="N771" s="33"/>
      <c r="O771" s="33"/>
      <c r="P771" s="33"/>
      <c r="Q771" s="33"/>
      <c r="R771" s="33"/>
      <c r="S771" s="33"/>
      <c r="T771" s="33"/>
      <c r="U771" s="33"/>
      <c r="V771" s="33"/>
      <c r="W771" s="33"/>
      <c r="X771" s="33"/>
      <c r="Y771" s="33"/>
      <c r="Z771" s="33"/>
      <c r="AA771" s="33"/>
      <c r="AB771" s="33"/>
      <c r="AC771" s="33"/>
      <c r="AD771" s="33"/>
      <c r="AE771" s="33"/>
      <c r="AF771" s="33"/>
      <c r="AG771" s="33"/>
      <c r="AH771" s="33"/>
      <c r="AI771" s="33"/>
      <c r="AJ771" s="33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  <c r="BL771" s="33"/>
      <c r="BM771" s="33"/>
    </row>
    <row r="772" spans="1:65" ht="15" customHeight="1">
      <c r="A772" s="33"/>
      <c r="B772" s="33"/>
      <c r="C772" s="33"/>
      <c r="D772" s="33"/>
      <c r="E772" s="33"/>
      <c r="F772" s="33"/>
      <c r="G772" s="33"/>
      <c r="H772" s="33"/>
      <c r="I772" s="33"/>
      <c r="J772" s="33"/>
      <c r="K772" s="33"/>
      <c r="L772" s="33"/>
      <c r="M772" s="33"/>
      <c r="N772" s="33"/>
      <c r="O772" s="33"/>
      <c r="P772" s="33"/>
      <c r="Q772" s="33"/>
      <c r="R772" s="33"/>
      <c r="S772" s="33"/>
      <c r="T772" s="33"/>
      <c r="U772" s="33"/>
      <c r="V772" s="33"/>
      <c r="W772" s="33"/>
      <c r="X772" s="33"/>
      <c r="Y772" s="33"/>
      <c r="Z772" s="33"/>
      <c r="AA772" s="33"/>
      <c r="AB772" s="33"/>
      <c r="AC772" s="33"/>
      <c r="AD772" s="33"/>
      <c r="AE772" s="33"/>
      <c r="AF772" s="33"/>
      <c r="AG772" s="33"/>
      <c r="AH772" s="33"/>
      <c r="AI772" s="33"/>
      <c r="AJ772" s="33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  <c r="BL772" s="33"/>
      <c r="BM772" s="33"/>
    </row>
    <row r="773" spans="1:65" ht="15" customHeight="1">
      <c r="A773" s="33"/>
      <c r="B773" s="33"/>
      <c r="C773" s="33"/>
      <c r="D773" s="33"/>
      <c r="E773" s="33"/>
      <c r="F773" s="33"/>
      <c r="G773" s="33"/>
      <c r="H773" s="33"/>
      <c r="I773" s="33"/>
      <c r="J773" s="33"/>
      <c r="K773" s="33"/>
      <c r="L773" s="33"/>
      <c r="M773" s="33"/>
      <c r="N773" s="33"/>
      <c r="O773" s="33"/>
      <c r="P773" s="33"/>
      <c r="Q773" s="33"/>
      <c r="R773" s="33"/>
      <c r="S773" s="33"/>
      <c r="T773" s="33"/>
      <c r="U773" s="33"/>
      <c r="V773" s="33"/>
      <c r="W773" s="33"/>
      <c r="X773" s="33"/>
      <c r="Y773" s="33"/>
      <c r="Z773" s="33"/>
      <c r="AA773" s="33"/>
      <c r="AB773" s="33"/>
      <c r="AC773" s="33"/>
      <c r="AD773" s="33"/>
      <c r="AE773" s="33"/>
      <c r="AF773" s="33"/>
      <c r="AG773" s="33"/>
      <c r="AH773" s="33"/>
      <c r="AI773" s="33"/>
      <c r="AJ773" s="33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  <c r="BL773" s="33"/>
      <c r="BM773" s="33"/>
    </row>
    <row r="774" spans="1:65" ht="15" customHeight="1">
      <c r="A774" s="33"/>
      <c r="B774" s="33"/>
      <c r="C774" s="33"/>
      <c r="D774" s="33"/>
      <c r="E774" s="33"/>
      <c r="F774" s="33"/>
      <c r="G774" s="33"/>
      <c r="H774" s="33"/>
      <c r="I774" s="33"/>
      <c r="J774" s="33"/>
      <c r="K774" s="33"/>
      <c r="L774" s="33"/>
      <c r="M774" s="33"/>
      <c r="N774" s="33"/>
      <c r="O774" s="33"/>
      <c r="P774" s="33"/>
      <c r="Q774" s="33"/>
      <c r="R774" s="33"/>
      <c r="S774" s="33"/>
      <c r="T774" s="33"/>
      <c r="U774" s="33"/>
      <c r="V774" s="33"/>
      <c r="W774" s="33"/>
      <c r="X774" s="33"/>
      <c r="Y774" s="33"/>
      <c r="Z774" s="33"/>
      <c r="AA774" s="33"/>
      <c r="AB774" s="33"/>
      <c r="AC774" s="33"/>
      <c r="AD774" s="33"/>
      <c r="AE774" s="33"/>
      <c r="AF774" s="33"/>
      <c r="AG774" s="33"/>
      <c r="AH774" s="33"/>
      <c r="AI774" s="33"/>
      <c r="AJ774" s="33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  <c r="BK774" s="33"/>
      <c r="BL774" s="33"/>
      <c r="BM774" s="33"/>
    </row>
    <row r="775" spans="1:65" ht="15" customHeight="1">
      <c r="A775" s="33"/>
      <c r="B775" s="33"/>
      <c r="C775" s="33"/>
      <c r="D775" s="33"/>
      <c r="E775" s="33"/>
      <c r="F775" s="33"/>
      <c r="G775" s="33"/>
      <c r="H775" s="33"/>
      <c r="I775" s="33"/>
      <c r="J775" s="33"/>
      <c r="K775" s="33"/>
      <c r="L775" s="33"/>
      <c r="M775" s="33"/>
      <c r="N775" s="33"/>
      <c r="O775" s="33"/>
      <c r="P775" s="33"/>
      <c r="Q775" s="33"/>
      <c r="R775" s="33"/>
      <c r="S775" s="33"/>
      <c r="T775" s="33"/>
      <c r="U775" s="33"/>
      <c r="V775" s="33"/>
      <c r="W775" s="33"/>
      <c r="X775" s="33"/>
      <c r="Y775" s="33"/>
      <c r="Z775" s="33"/>
      <c r="AA775" s="33"/>
      <c r="AB775" s="33"/>
      <c r="AC775" s="33"/>
      <c r="AD775" s="33"/>
      <c r="AE775" s="33"/>
      <c r="AF775" s="33"/>
      <c r="AG775" s="33"/>
      <c r="AH775" s="33"/>
      <c r="AI775" s="33"/>
      <c r="AJ775" s="33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  <c r="BK775" s="33"/>
      <c r="BL775" s="33"/>
      <c r="BM775" s="33"/>
    </row>
    <row r="776" spans="1:65" ht="15" customHeight="1">
      <c r="A776" s="33"/>
      <c r="B776" s="33"/>
      <c r="C776" s="33"/>
      <c r="D776" s="33"/>
      <c r="E776" s="33"/>
      <c r="F776" s="33"/>
      <c r="G776" s="33"/>
      <c r="H776" s="33"/>
      <c r="I776" s="33"/>
      <c r="J776" s="33"/>
      <c r="K776" s="33"/>
      <c r="L776" s="33"/>
      <c r="M776" s="33"/>
      <c r="N776" s="33"/>
      <c r="O776" s="33"/>
      <c r="P776" s="33"/>
      <c r="Q776" s="33"/>
      <c r="R776" s="33"/>
      <c r="S776" s="33"/>
      <c r="T776" s="33"/>
      <c r="U776" s="33"/>
      <c r="V776" s="33"/>
      <c r="W776" s="33"/>
      <c r="X776" s="33"/>
      <c r="Y776" s="33"/>
      <c r="Z776" s="33"/>
      <c r="AA776" s="33"/>
      <c r="AB776" s="33"/>
      <c r="AC776" s="33"/>
      <c r="AD776" s="33"/>
      <c r="AE776" s="33"/>
      <c r="AF776" s="33"/>
      <c r="AG776" s="33"/>
      <c r="AH776" s="33"/>
      <c r="AI776" s="33"/>
      <c r="AJ776" s="33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  <c r="BK776" s="33"/>
      <c r="BL776" s="33"/>
      <c r="BM776" s="33"/>
    </row>
    <row r="777" spans="1:65" ht="15" customHeight="1">
      <c r="A777" s="33"/>
      <c r="B777" s="33"/>
      <c r="C777" s="33"/>
      <c r="D777" s="33"/>
      <c r="E777" s="33"/>
      <c r="F777" s="33"/>
      <c r="G777" s="33"/>
      <c r="H777" s="33"/>
      <c r="I777" s="33"/>
      <c r="J777" s="33"/>
      <c r="K777" s="33"/>
      <c r="L777" s="33"/>
      <c r="M777" s="33"/>
      <c r="N777" s="33"/>
      <c r="O777" s="33"/>
      <c r="P777" s="33"/>
      <c r="Q777" s="33"/>
      <c r="R777" s="33"/>
      <c r="S777" s="33"/>
      <c r="T777" s="33"/>
      <c r="U777" s="33"/>
      <c r="V777" s="33"/>
      <c r="W777" s="33"/>
      <c r="X777" s="33"/>
      <c r="Y777" s="33"/>
      <c r="Z777" s="33"/>
      <c r="AA777" s="33"/>
      <c r="AB777" s="33"/>
      <c r="AC777" s="33"/>
      <c r="AD777" s="33"/>
      <c r="AE777" s="33"/>
      <c r="AF777" s="33"/>
      <c r="AG777" s="33"/>
      <c r="AH777" s="33"/>
      <c r="AI777" s="33"/>
      <c r="AJ777" s="33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  <c r="BK777" s="33"/>
      <c r="BL777" s="33"/>
      <c r="BM777" s="33"/>
    </row>
    <row r="778" spans="1:65" ht="15" customHeight="1">
      <c r="A778" s="33"/>
      <c r="B778" s="33"/>
      <c r="C778" s="33"/>
      <c r="D778" s="33"/>
      <c r="E778" s="33"/>
      <c r="F778" s="33"/>
      <c r="G778" s="33"/>
      <c r="H778" s="33"/>
      <c r="I778" s="33"/>
      <c r="J778" s="33"/>
      <c r="K778" s="33"/>
      <c r="L778" s="33"/>
      <c r="M778" s="33"/>
      <c r="N778" s="33"/>
      <c r="O778" s="33"/>
      <c r="P778" s="33"/>
      <c r="Q778" s="33"/>
      <c r="R778" s="33"/>
      <c r="S778" s="33"/>
      <c r="T778" s="33"/>
      <c r="U778" s="33"/>
      <c r="V778" s="33"/>
      <c r="W778" s="33"/>
      <c r="X778" s="33"/>
      <c r="Y778" s="33"/>
      <c r="Z778" s="33"/>
      <c r="AA778" s="33"/>
      <c r="AB778" s="33"/>
      <c r="AC778" s="33"/>
      <c r="AD778" s="33"/>
      <c r="AE778" s="33"/>
      <c r="AF778" s="33"/>
      <c r="AG778" s="33"/>
      <c r="AH778" s="33"/>
      <c r="AI778" s="33"/>
      <c r="AJ778" s="33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  <c r="BK778" s="33"/>
      <c r="BL778" s="33"/>
      <c r="BM778" s="33"/>
    </row>
    <row r="779" spans="1:65" ht="15" customHeight="1">
      <c r="A779" s="33"/>
      <c r="B779" s="33"/>
      <c r="C779" s="33"/>
      <c r="D779" s="33"/>
      <c r="E779" s="33"/>
      <c r="F779" s="33"/>
      <c r="G779" s="33"/>
      <c r="H779" s="33"/>
      <c r="I779" s="33"/>
      <c r="J779" s="33"/>
      <c r="K779" s="33"/>
      <c r="L779" s="33"/>
      <c r="M779" s="33"/>
      <c r="N779" s="33"/>
      <c r="O779" s="33"/>
      <c r="P779" s="33"/>
      <c r="Q779" s="33"/>
      <c r="R779" s="33"/>
      <c r="S779" s="33"/>
      <c r="T779" s="33"/>
      <c r="U779" s="33"/>
      <c r="V779" s="33"/>
      <c r="W779" s="33"/>
      <c r="X779" s="33"/>
      <c r="Y779" s="33"/>
      <c r="Z779" s="33"/>
      <c r="AA779" s="33"/>
      <c r="AB779" s="33"/>
      <c r="AC779" s="33"/>
      <c r="AD779" s="33"/>
      <c r="AE779" s="33"/>
      <c r="AF779" s="33"/>
      <c r="AG779" s="33"/>
      <c r="AH779" s="33"/>
      <c r="AI779" s="33"/>
      <c r="AJ779" s="33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  <c r="BK779" s="33"/>
      <c r="BL779" s="33"/>
      <c r="BM779" s="33"/>
    </row>
    <row r="780" spans="1:65" ht="15" customHeight="1">
      <c r="A780" s="33"/>
      <c r="B780" s="33"/>
      <c r="C780" s="33"/>
      <c r="D780" s="33"/>
      <c r="E780" s="33"/>
      <c r="F780" s="33"/>
      <c r="G780" s="33"/>
      <c r="H780" s="33"/>
      <c r="I780" s="33"/>
      <c r="J780" s="33"/>
      <c r="K780" s="33"/>
      <c r="L780" s="33"/>
      <c r="M780" s="33"/>
      <c r="N780" s="33"/>
      <c r="O780" s="33"/>
      <c r="P780" s="33"/>
      <c r="Q780" s="33"/>
      <c r="R780" s="33"/>
      <c r="S780" s="33"/>
      <c r="T780" s="33"/>
      <c r="U780" s="33"/>
      <c r="V780" s="33"/>
      <c r="W780" s="33"/>
      <c r="X780" s="33"/>
      <c r="Y780" s="33"/>
      <c r="Z780" s="33"/>
      <c r="AA780" s="33"/>
      <c r="AB780" s="33"/>
      <c r="AC780" s="33"/>
      <c r="AD780" s="33"/>
      <c r="AE780" s="33"/>
      <c r="AF780" s="33"/>
      <c r="AG780" s="33"/>
      <c r="AH780" s="33"/>
      <c r="AI780" s="33"/>
      <c r="AJ780" s="33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  <c r="BK780" s="33"/>
      <c r="BL780" s="33"/>
      <c r="BM780" s="33"/>
    </row>
    <row r="781" spans="1:65" ht="15" customHeight="1">
      <c r="A781" s="33"/>
      <c r="B781" s="33"/>
      <c r="C781" s="33"/>
      <c r="D781" s="33"/>
      <c r="E781" s="33"/>
      <c r="F781" s="33"/>
      <c r="G781" s="33"/>
      <c r="H781" s="33"/>
      <c r="I781" s="33"/>
      <c r="J781" s="33"/>
      <c r="K781" s="33"/>
      <c r="L781" s="33"/>
      <c r="M781" s="33"/>
      <c r="N781" s="33"/>
      <c r="O781" s="33"/>
      <c r="P781" s="33"/>
      <c r="Q781" s="33"/>
      <c r="R781" s="33"/>
      <c r="S781" s="33"/>
      <c r="T781" s="33"/>
      <c r="U781" s="33"/>
      <c r="V781" s="33"/>
      <c r="W781" s="33"/>
      <c r="X781" s="33"/>
      <c r="Y781" s="33"/>
      <c r="Z781" s="33"/>
      <c r="AA781" s="33"/>
      <c r="AB781" s="33"/>
      <c r="AC781" s="33"/>
      <c r="AD781" s="33"/>
      <c r="AE781" s="33"/>
      <c r="AF781" s="33"/>
      <c r="AG781" s="33"/>
      <c r="AH781" s="33"/>
      <c r="AI781" s="33"/>
      <c r="AJ781" s="33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  <c r="BK781" s="33"/>
      <c r="BL781" s="33"/>
      <c r="BM781" s="33"/>
    </row>
    <row r="782" spans="1:65" ht="15" customHeight="1">
      <c r="A782" s="33"/>
      <c r="B782" s="33"/>
      <c r="C782" s="33"/>
      <c r="D782" s="33"/>
      <c r="E782" s="33"/>
      <c r="F782" s="33"/>
      <c r="G782" s="33"/>
      <c r="H782" s="33"/>
      <c r="I782" s="33"/>
      <c r="J782" s="33"/>
      <c r="K782" s="33"/>
      <c r="L782" s="33"/>
      <c r="M782" s="33"/>
      <c r="N782" s="33"/>
      <c r="O782" s="33"/>
      <c r="P782" s="33"/>
      <c r="Q782" s="33"/>
      <c r="R782" s="33"/>
      <c r="S782" s="33"/>
      <c r="T782" s="33"/>
      <c r="U782" s="33"/>
      <c r="V782" s="33"/>
      <c r="W782" s="33"/>
      <c r="X782" s="33"/>
      <c r="Y782" s="33"/>
      <c r="Z782" s="33"/>
      <c r="AA782" s="33"/>
      <c r="AB782" s="33"/>
      <c r="AC782" s="33"/>
      <c r="AD782" s="33"/>
      <c r="AE782" s="33"/>
      <c r="AF782" s="33"/>
      <c r="AG782" s="33"/>
      <c r="AH782" s="33"/>
      <c r="AI782" s="33"/>
      <c r="AJ782" s="33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  <c r="BK782" s="33"/>
      <c r="BL782" s="33"/>
      <c r="BM782" s="33"/>
    </row>
    <row r="783" spans="1:65" ht="15" customHeight="1">
      <c r="A783" s="33"/>
      <c r="B783" s="33"/>
      <c r="C783" s="33"/>
      <c r="D783" s="33"/>
      <c r="E783" s="33"/>
      <c r="F783" s="33"/>
      <c r="G783" s="33"/>
      <c r="H783" s="33"/>
      <c r="I783" s="33"/>
      <c r="J783" s="33"/>
      <c r="K783" s="33"/>
      <c r="L783" s="33"/>
      <c r="M783" s="33"/>
      <c r="N783" s="33"/>
      <c r="O783" s="33"/>
      <c r="P783" s="33"/>
      <c r="Q783" s="33"/>
      <c r="R783" s="33"/>
      <c r="S783" s="33"/>
      <c r="T783" s="33"/>
      <c r="U783" s="33"/>
      <c r="V783" s="33"/>
      <c r="W783" s="33"/>
      <c r="X783" s="33"/>
      <c r="Y783" s="33"/>
      <c r="Z783" s="33"/>
      <c r="AA783" s="33"/>
      <c r="AB783" s="33"/>
      <c r="AC783" s="33"/>
      <c r="AD783" s="33"/>
      <c r="AE783" s="33"/>
      <c r="AF783" s="33"/>
      <c r="AG783" s="33"/>
      <c r="AH783" s="33"/>
      <c r="AI783" s="33"/>
      <c r="AJ783" s="33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  <c r="BK783" s="33"/>
      <c r="BL783" s="33"/>
      <c r="BM783" s="33"/>
    </row>
    <row r="784" spans="1:65" ht="15" customHeight="1">
      <c r="A784" s="33"/>
      <c r="B784" s="33"/>
      <c r="C784" s="33"/>
      <c r="D784" s="33"/>
      <c r="E784" s="33"/>
      <c r="F784" s="33"/>
      <c r="G784" s="33"/>
      <c r="H784" s="33"/>
      <c r="I784" s="33"/>
      <c r="J784" s="33"/>
      <c r="K784" s="33"/>
      <c r="L784" s="33"/>
      <c r="M784" s="33"/>
      <c r="N784" s="33"/>
      <c r="O784" s="33"/>
      <c r="P784" s="33"/>
      <c r="Q784" s="33"/>
      <c r="R784" s="33"/>
      <c r="S784" s="33"/>
      <c r="T784" s="33"/>
      <c r="U784" s="33"/>
      <c r="V784" s="33"/>
      <c r="W784" s="33"/>
      <c r="X784" s="33"/>
      <c r="Y784" s="33"/>
      <c r="Z784" s="33"/>
      <c r="AA784" s="33"/>
      <c r="AB784" s="33"/>
      <c r="AC784" s="33"/>
      <c r="AD784" s="33"/>
      <c r="AE784" s="33"/>
      <c r="AF784" s="33"/>
      <c r="AG784" s="33"/>
      <c r="AH784" s="33"/>
      <c r="AI784" s="33"/>
      <c r="AJ784" s="33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  <c r="BK784" s="33"/>
      <c r="BL784" s="33"/>
      <c r="BM784" s="33"/>
    </row>
    <row r="785" spans="1:65" ht="15" customHeight="1">
      <c r="A785" s="33"/>
      <c r="B785" s="33"/>
      <c r="C785" s="33"/>
      <c r="D785" s="33"/>
      <c r="E785" s="33"/>
      <c r="F785" s="33"/>
      <c r="G785" s="33"/>
      <c r="H785" s="33"/>
      <c r="I785" s="33"/>
      <c r="J785" s="33"/>
      <c r="K785" s="33"/>
      <c r="L785" s="33"/>
      <c r="M785" s="33"/>
      <c r="N785" s="33"/>
      <c r="O785" s="33"/>
      <c r="P785" s="33"/>
      <c r="Q785" s="33"/>
      <c r="R785" s="33"/>
      <c r="S785" s="33"/>
      <c r="T785" s="33"/>
      <c r="U785" s="33"/>
      <c r="V785" s="33"/>
      <c r="W785" s="33"/>
      <c r="X785" s="33"/>
      <c r="Y785" s="33"/>
      <c r="Z785" s="33"/>
      <c r="AA785" s="33"/>
      <c r="AB785" s="33"/>
      <c r="AC785" s="33"/>
      <c r="AD785" s="33"/>
      <c r="AE785" s="33"/>
      <c r="AF785" s="33"/>
      <c r="AG785" s="33"/>
      <c r="AH785" s="33"/>
      <c r="AI785" s="33"/>
      <c r="AJ785" s="33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  <c r="BK785" s="33"/>
      <c r="BL785" s="33"/>
      <c r="BM785" s="33"/>
    </row>
    <row r="786" spans="1:65" ht="15" customHeight="1">
      <c r="A786" s="33"/>
      <c r="B786" s="33"/>
      <c r="C786" s="33"/>
      <c r="D786" s="33"/>
      <c r="E786" s="33"/>
      <c r="F786" s="33"/>
      <c r="G786" s="33"/>
      <c r="H786" s="33"/>
      <c r="I786" s="33"/>
      <c r="J786" s="33"/>
      <c r="K786" s="33"/>
      <c r="L786" s="33"/>
      <c r="M786" s="33"/>
      <c r="N786" s="33"/>
      <c r="O786" s="33"/>
      <c r="P786" s="33"/>
      <c r="Q786" s="33"/>
      <c r="R786" s="33"/>
      <c r="S786" s="33"/>
      <c r="T786" s="33"/>
      <c r="U786" s="33"/>
      <c r="V786" s="33"/>
      <c r="W786" s="33"/>
      <c r="X786" s="33"/>
      <c r="Y786" s="33"/>
      <c r="Z786" s="33"/>
      <c r="AA786" s="33"/>
      <c r="AB786" s="33"/>
      <c r="AC786" s="33"/>
      <c r="AD786" s="33"/>
      <c r="AE786" s="33"/>
      <c r="AF786" s="33"/>
      <c r="AG786" s="33"/>
      <c r="AH786" s="33"/>
      <c r="AI786" s="33"/>
      <c r="AJ786" s="33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  <c r="BK786" s="33"/>
      <c r="BL786" s="33"/>
      <c r="BM786" s="33"/>
    </row>
    <row r="787" spans="1:65" ht="15" customHeight="1">
      <c r="A787" s="33"/>
      <c r="B787" s="33"/>
      <c r="C787" s="33"/>
      <c r="D787" s="33"/>
      <c r="E787" s="33"/>
      <c r="F787" s="33"/>
      <c r="G787" s="33"/>
      <c r="H787" s="33"/>
      <c r="I787" s="33"/>
      <c r="J787" s="33"/>
      <c r="K787" s="33"/>
      <c r="L787" s="33"/>
      <c r="M787" s="33"/>
      <c r="N787" s="33"/>
      <c r="O787" s="33"/>
      <c r="P787" s="33"/>
      <c r="Q787" s="33"/>
      <c r="R787" s="33"/>
      <c r="S787" s="33"/>
      <c r="T787" s="33"/>
      <c r="U787" s="33"/>
      <c r="V787" s="33"/>
      <c r="W787" s="33"/>
      <c r="X787" s="33"/>
      <c r="Y787" s="33"/>
      <c r="Z787" s="33"/>
      <c r="AA787" s="33"/>
      <c r="AB787" s="33"/>
      <c r="AC787" s="33"/>
      <c r="AD787" s="33"/>
      <c r="AE787" s="33"/>
      <c r="AF787" s="33"/>
      <c r="AG787" s="33"/>
      <c r="AH787" s="33"/>
      <c r="AI787" s="33"/>
      <c r="AJ787" s="33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  <c r="BK787" s="33"/>
      <c r="BL787" s="33"/>
      <c r="BM787" s="33"/>
    </row>
    <row r="788" spans="1:65" ht="15" customHeight="1">
      <c r="A788" s="33"/>
      <c r="B788" s="33"/>
      <c r="C788" s="33"/>
      <c r="D788" s="33"/>
      <c r="E788" s="33"/>
      <c r="F788" s="33"/>
      <c r="G788" s="33"/>
      <c r="H788" s="33"/>
      <c r="I788" s="33"/>
      <c r="J788" s="33"/>
      <c r="K788" s="33"/>
      <c r="L788" s="33"/>
      <c r="M788" s="33"/>
      <c r="N788" s="33"/>
      <c r="O788" s="33"/>
      <c r="P788" s="33"/>
      <c r="Q788" s="33"/>
      <c r="R788" s="33"/>
      <c r="S788" s="33"/>
      <c r="T788" s="33"/>
      <c r="U788" s="33"/>
      <c r="V788" s="33"/>
      <c r="W788" s="33"/>
      <c r="X788" s="33"/>
      <c r="Y788" s="33"/>
      <c r="Z788" s="33"/>
      <c r="AA788" s="33"/>
      <c r="AB788" s="33"/>
      <c r="AC788" s="33"/>
      <c r="AD788" s="33"/>
      <c r="AE788" s="33"/>
      <c r="AF788" s="33"/>
      <c r="AG788" s="33"/>
      <c r="AH788" s="33"/>
      <c r="AI788" s="33"/>
      <c r="AJ788" s="33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  <c r="BK788" s="33"/>
      <c r="BL788" s="33"/>
      <c r="BM788" s="33"/>
    </row>
    <row r="789" spans="1:65" ht="15" customHeight="1">
      <c r="A789" s="33"/>
      <c r="B789" s="33"/>
      <c r="C789" s="33"/>
      <c r="D789" s="33"/>
      <c r="E789" s="33"/>
      <c r="F789" s="33"/>
      <c r="G789" s="33"/>
      <c r="H789" s="33"/>
      <c r="I789" s="33"/>
      <c r="J789" s="33"/>
      <c r="K789" s="33"/>
      <c r="L789" s="33"/>
      <c r="M789" s="33"/>
      <c r="N789" s="33"/>
      <c r="O789" s="33"/>
      <c r="P789" s="33"/>
      <c r="Q789" s="33"/>
      <c r="R789" s="33"/>
      <c r="S789" s="33"/>
      <c r="T789" s="33"/>
      <c r="U789" s="33"/>
      <c r="V789" s="33"/>
      <c r="W789" s="33"/>
      <c r="X789" s="33"/>
      <c r="Y789" s="33"/>
      <c r="Z789" s="33"/>
      <c r="AA789" s="33"/>
      <c r="AB789" s="33"/>
      <c r="AC789" s="33"/>
      <c r="AD789" s="33"/>
      <c r="AE789" s="33"/>
      <c r="AF789" s="33"/>
      <c r="AG789" s="33"/>
      <c r="AH789" s="33"/>
      <c r="AI789" s="33"/>
      <c r="AJ789" s="33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  <c r="BK789" s="33"/>
      <c r="BL789" s="33"/>
      <c r="BM789" s="33"/>
    </row>
    <row r="790" spans="1:65" ht="15" customHeight="1">
      <c r="A790" s="33"/>
      <c r="B790" s="33"/>
      <c r="C790" s="33"/>
      <c r="D790" s="33"/>
      <c r="E790" s="33"/>
      <c r="F790" s="33"/>
      <c r="G790" s="33"/>
      <c r="H790" s="33"/>
      <c r="I790" s="33"/>
      <c r="J790" s="33"/>
      <c r="K790" s="33"/>
      <c r="L790" s="33"/>
      <c r="M790" s="33"/>
      <c r="N790" s="33"/>
      <c r="O790" s="33"/>
      <c r="P790" s="33"/>
      <c r="Q790" s="33"/>
      <c r="R790" s="33"/>
      <c r="S790" s="33"/>
      <c r="T790" s="33"/>
      <c r="U790" s="33"/>
      <c r="V790" s="33"/>
      <c r="W790" s="33"/>
      <c r="X790" s="33"/>
      <c r="Y790" s="33"/>
      <c r="Z790" s="33"/>
      <c r="AA790" s="33"/>
      <c r="AB790" s="33"/>
      <c r="AC790" s="33"/>
      <c r="AD790" s="33"/>
      <c r="AE790" s="33"/>
      <c r="AF790" s="33"/>
      <c r="AG790" s="33"/>
      <c r="AH790" s="33"/>
      <c r="AI790" s="33"/>
      <c r="AJ790" s="33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  <c r="BK790" s="33"/>
      <c r="BL790" s="33"/>
      <c r="BM790" s="33"/>
    </row>
    <row r="791" spans="1:65" ht="15" customHeight="1">
      <c r="A791" s="33"/>
      <c r="B791" s="33"/>
      <c r="C791" s="33"/>
      <c r="D791" s="33"/>
      <c r="E791" s="33"/>
      <c r="F791" s="33"/>
      <c r="G791" s="33"/>
      <c r="H791" s="33"/>
      <c r="I791" s="33"/>
      <c r="J791" s="33"/>
      <c r="K791" s="33"/>
      <c r="L791" s="33"/>
      <c r="M791" s="33"/>
      <c r="N791" s="33"/>
      <c r="O791" s="33"/>
      <c r="P791" s="33"/>
      <c r="Q791" s="33"/>
      <c r="R791" s="33"/>
      <c r="S791" s="33"/>
      <c r="T791" s="33"/>
      <c r="U791" s="33"/>
      <c r="V791" s="33"/>
      <c r="W791" s="33"/>
      <c r="X791" s="33"/>
      <c r="Y791" s="33"/>
      <c r="Z791" s="33"/>
      <c r="AA791" s="33"/>
      <c r="AB791" s="33"/>
      <c r="AC791" s="33"/>
      <c r="AD791" s="33"/>
      <c r="AE791" s="33"/>
      <c r="AF791" s="33"/>
      <c r="AG791" s="33"/>
      <c r="AH791" s="33"/>
      <c r="AI791" s="33"/>
      <c r="AJ791" s="33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  <c r="BK791" s="33"/>
      <c r="BL791" s="33"/>
      <c r="BM791" s="33"/>
    </row>
    <row r="792" spans="1:65" ht="15" customHeight="1">
      <c r="A792" s="33"/>
      <c r="B792" s="33"/>
      <c r="C792" s="33"/>
      <c r="D792" s="33"/>
      <c r="E792" s="33"/>
      <c r="F792" s="33"/>
      <c r="G792" s="33"/>
      <c r="H792" s="33"/>
      <c r="I792" s="33"/>
      <c r="J792" s="33"/>
      <c r="K792" s="33"/>
      <c r="L792" s="33"/>
      <c r="M792" s="33"/>
      <c r="N792" s="33"/>
      <c r="O792" s="33"/>
      <c r="P792" s="33"/>
      <c r="Q792" s="33"/>
      <c r="R792" s="33"/>
      <c r="S792" s="33"/>
      <c r="T792" s="33"/>
      <c r="U792" s="33"/>
      <c r="V792" s="33"/>
      <c r="W792" s="33"/>
      <c r="X792" s="33"/>
      <c r="Y792" s="33"/>
      <c r="Z792" s="33"/>
      <c r="AA792" s="33"/>
      <c r="AB792" s="33"/>
      <c r="AC792" s="33"/>
      <c r="AD792" s="33"/>
      <c r="AE792" s="33"/>
      <c r="AF792" s="33"/>
      <c r="AG792" s="33"/>
      <c r="AH792" s="33"/>
      <c r="AI792" s="33"/>
      <c r="AJ792" s="33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  <c r="BK792" s="33"/>
      <c r="BL792" s="33"/>
      <c r="BM792" s="33"/>
    </row>
    <row r="793" spans="1:65" ht="15" customHeight="1">
      <c r="A793" s="33"/>
      <c r="B793" s="33"/>
      <c r="C793" s="33"/>
      <c r="D793" s="33"/>
      <c r="E793" s="33"/>
      <c r="F793" s="33"/>
      <c r="G793" s="33"/>
      <c r="H793" s="33"/>
      <c r="I793" s="33"/>
      <c r="J793" s="33"/>
      <c r="K793" s="33"/>
      <c r="L793" s="33"/>
      <c r="M793" s="33"/>
      <c r="N793" s="33"/>
      <c r="O793" s="33"/>
      <c r="P793" s="33"/>
      <c r="Q793" s="33"/>
      <c r="R793" s="33"/>
      <c r="S793" s="33"/>
      <c r="T793" s="33"/>
      <c r="U793" s="33"/>
      <c r="V793" s="33"/>
      <c r="W793" s="33"/>
      <c r="X793" s="33"/>
      <c r="Y793" s="33"/>
      <c r="Z793" s="33"/>
      <c r="AA793" s="33"/>
      <c r="AB793" s="33"/>
      <c r="AC793" s="33"/>
      <c r="AD793" s="33"/>
      <c r="AE793" s="33"/>
      <c r="AF793" s="33"/>
      <c r="AG793" s="33"/>
      <c r="AH793" s="33"/>
      <c r="AI793" s="33"/>
      <c r="AJ793" s="33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  <c r="BK793" s="33"/>
      <c r="BL793" s="33"/>
      <c r="BM793" s="33"/>
    </row>
    <row r="794" spans="1:65" ht="15" customHeight="1">
      <c r="A794" s="33"/>
      <c r="B794" s="33"/>
      <c r="C794" s="33"/>
      <c r="D794" s="33"/>
      <c r="E794" s="33"/>
      <c r="F794" s="33"/>
      <c r="G794" s="33"/>
      <c r="H794" s="33"/>
      <c r="I794" s="33"/>
      <c r="J794" s="33"/>
      <c r="K794" s="33"/>
      <c r="L794" s="33"/>
      <c r="M794" s="33"/>
      <c r="N794" s="33"/>
      <c r="O794" s="33"/>
      <c r="P794" s="33"/>
      <c r="Q794" s="33"/>
      <c r="R794" s="33"/>
      <c r="S794" s="33"/>
      <c r="T794" s="33"/>
      <c r="U794" s="33"/>
      <c r="V794" s="33"/>
      <c r="W794" s="33"/>
      <c r="X794" s="33"/>
      <c r="Y794" s="33"/>
      <c r="Z794" s="33"/>
      <c r="AA794" s="33"/>
      <c r="AB794" s="33"/>
      <c r="AC794" s="33"/>
      <c r="AD794" s="33"/>
      <c r="AE794" s="33"/>
      <c r="AF794" s="33"/>
      <c r="AG794" s="33"/>
      <c r="AH794" s="33"/>
      <c r="AI794" s="33"/>
      <c r="AJ794" s="33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  <c r="BK794" s="33"/>
      <c r="BL794" s="33"/>
      <c r="BM794" s="33"/>
    </row>
    <row r="795" spans="1:65" ht="15" customHeight="1">
      <c r="A795" s="33"/>
      <c r="B795" s="33"/>
      <c r="C795" s="33"/>
      <c r="D795" s="33"/>
      <c r="E795" s="33"/>
      <c r="F795" s="33"/>
      <c r="G795" s="33"/>
      <c r="H795" s="33"/>
      <c r="I795" s="33"/>
      <c r="J795" s="33"/>
      <c r="K795" s="33"/>
      <c r="L795" s="33"/>
      <c r="M795" s="33"/>
      <c r="N795" s="33"/>
      <c r="O795" s="33"/>
      <c r="P795" s="33"/>
      <c r="Q795" s="33"/>
      <c r="R795" s="33"/>
      <c r="S795" s="33"/>
      <c r="T795" s="33"/>
      <c r="U795" s="33"/>
      <c r="V795" s="33"/>
      <c r="W795" s="33"/>
      <c r="X795" s="33"/>
      <c r="Y795" s="33"/>
      <c r="Z795" s="33"/>
      <c r="AA795" s="33"/>
      <c r="AB795" s="33"/>
      <c r="AC795" s="33"/>
      <c r="AD795" s="33"/>
      <c r="AE795" s="33"/>
      <c r="AF795" s="33"/>
      <c r="AG795" s="33"/>
      <c r="AH795" s="33"/>
      <c r="AI795" s="33"/>
      <c r="AJ795" s="33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  <c r="BK795" s="33"/>
      <c r="BL795" s="33"/>
      <c r="BM795" s="33"/>
    </row>
    <row r="796" spans="1:65" ht="15" customHeight="1">
      <c r="A796" s="33"/>
      <c r="B796" s="33"/>
      <c r="C796" s="33"/>
      <c r="D796" s="33"/>
      <c r="E796" s="33"/>
      <c r="F796" s="33"/>
      <c r="G796" s="33"/>
      <c r="H796" s="33"/>
      <c r="I796" s="33"/>
      <c r="J796" s="33"/>
      <c r="K796" s="33"/>
      <c r="L796" s="33"/>
      <c r="M796" s="33"/>
      <c r="N796" s="33"/>
      <c r="O796" s="33"/>
      <c r="P796" s="33"/>
      <c r="Q796" s="33"/>
      <c r="R796" s="33"/>
      <c r="S796" s="33"/>
      <c r="T796" s="33"/>
      <c r="U796" s="33"/>
      <c r="V796" s="33"/>
      <c r="W796" s="33"/>
      <c r="X796" s="33"/>
      <c r="Y796" s="33"/>
      <c r="Z796" s="33"/>
      <c r="AA796" s="33"/>
      <c r="AB796" s="33"/>
      <c r="AC796" s="33"/>
      <c r="AD796" s="33"/>
      <c r="AE796" s="33"/>
      <c r="AF796" s="33"/>
      <c r="AG796" s="33"/>
      <c r="AH796" s="33"/>
      <c r="AI796" s="33"/>
      <c r="AJ796" s="33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  <c r="BK796" s="33"/>
      <c r="BL796" s="33"/>
      <c r="BM796" s="33"/>
    </row>
    <row r="797" spans="1:65" ht="15" customHeight="1">
      <c r="A797" s="33"/>
      <c r="B797" s="33"/>
      <c r="C797" s="33"/>
      <c r="D797" s="33"/>
      <c r="E797" s="33"/>
      <c r="F797" s="33"/>
      <c r="G797" s="33"/>
      <c r="H797" s="33"/>
      <c r="I797" s="33"/>
      <c r="J797" s="33"/>
      <c r="K797" s="33"/>
      <c r="L797" s="33"/>
      <c r="M797" s="33"/>
      <c r="N797" s="33"/>
      <c r="O797" s="33"/>
      <c r="P797" s="33"/>
      <c r="Q797" s="33"/>
      <c r="R797" s="33"/>
      <c r="S797" s="33"/>
      <c r="T797" s="33"/>
      <c r="U797" s="33"/>
      <c r="V797" s="33"/>
      <c r="W797" s="33"/>
      <c r="X797" s="33"/>
      <c r="Y797" s="33"/>
      <c r="Z797" s="33"/>
      <c r="AA797" s="33"/>
      <c r="AB797" s="33"/>
      <c r="AC797" s="33"/>
      <c r="AD797" s="33"/>
      <c r="AE797" s="33"/>
      <c r="AF797" s="33"/>
      <c r="AG797" s="33"/>
      <c r="AH797" s="33"/>
      <c r="AI797" s="33"/>
      <c r="AJ797" s="33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  <c r="BK797" s="33"/>
      <c r="BL797" s="33"/>
      <c r="BM797" s="33"/>
    </row>
    <row r="798" spans="1:65" ht="15" customHeight="1">
      <c r="A798" s="33"/>
      <c r="B798" s="33"/>
      <c r="C798" s="33"/>
      <c r="D798" s="33"/>
      <c r="E798" s="33"/>
      <c r="F798" s="33"/>
      <c r="G798" s="33"/>
      <c r="H798" s="33"/>
      <c r="I798" s="33"/>
      <c r="J798" s="33"/>
      <c r="K798" s="33"/>
      <c r="L798" s="33"/>
      <c r="M798" s="33"/>
      <c r="N798" s="33"/>
      <c r="O798" s="33"/>
      <c r="P798" s="33"/>
      <c r="Q798" s="33"/>
      <c r="R798" s="33"/>
      <c r="S798" s="33"/>
      <c r="T798" s="33"/>
      <c r="U798" s="33"/>
      <c r="V798" s="33"/>
      <c r="W798" s="33"/>
      <c r="X798" s="33"/>
      <c r="Y798" s="33"/>
      <c r="Z798" s="33"/>
      <c r="AA798" s="33"/>
      <c r="AB798" s="33"/>
      <c r="AC798" s="33"/>
      <c r="AD798" s="33"/>
      <c r="AE798" s="33"/>
      <c r="AF798" s="33"/>
      <c r="AG798" s="33"/>
      <c r="AH798" s="33"/>
      <c r="AI798" s="33"/>
      <c r="AJ798" s="33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  <c r="BK798" s="33"/>
      <c r="BL798" s="33"/>
      <c r="BM798" s="33"/>
    </row>
    <row r="799" spans="1:65" ht="15" customHeight="1">
      <c r="A799" s="33"/>
      <c r="B799" s="33"/>
      <c r="C799" s="33"/>
      <c r="D799" s="33"/>
      <c r="E799" s="33"/>
      <c r="F799" s="33"/>
      <c r="G799" s="33"/>
      <c r="H799" s="33"/>
      <c r="I799" s="33"/>
      <c r="J799" s="33"/>
      <c r="K799" s="33"/>
      <c r="L799" s="33"/>
      <c r="M799" s="33"/>
      <c r="N799" s="33"/>
      <c r="O799" s="33"/>
      <c r="P799" s="33"/>
      <c r="Q799" s="33"/>
      <c r="R799" s="33"/>
      <c r="S799" s="33"/>
      <c r="T799" s="33"/>
      <c r="U799" s="33"/>
      <c r="V799" s="33"/>
      <c r="W799" s="33"/>
      <c r="X799" s="33"/>
      <c r="Y799" s="33"/>
      <c r="Z799" s="33"/>
      <c r="AA799" s="33"/>
      <c r="AB799" s="33"/>
      <c r="AC799" s="33"/>
      <c r="AD799" s="33"/>
      <c r="AE799" s="33"/>
      <c r="AF799" s="33"/>
      <c r="AG799" s="33"/>
      <c r="AH799" s="33"/>
      <c r="AI799" s="33"/>
      <c r="AJ799" s="33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  <c r="BK799" s="33"/>
      <c r="BL799" s="33"/>
      <c r="BM799" s="33"/>
    </row>
    <row r="800" spans="1:65" ht="15" customHeight="1">
      <c r="A800" s="33"/>
      <c r="B800" s="33"/>
      <c r="C800" s="33"/>
      <c r="D800" s="33"/>
      <c r="E800" s="33"/>
      <c r="F800" s="33"/>
      <c r="G800" s="33"/>
      <c r="H800" s="33"/>
      <c r="I800" s="33"/>
      <c r="J800" s="33"/>
      <c r="K800" s="33"/>
      <c r="L800" s="33"/>
      <c r="M800" s="33"/>
      <c r="N800" s="33"/>
      <c r="O800" s="33"/>
      <c r="P800" s="33"/>
      <c r="Q800" s="33"/>
      <c r="R800" s="33"/>
      <c r="S800" s="33"/>
      <c r="T800" s="33"/>
      <c r="U800" s="33"/>
      <c r="V800" s="33"/>
      <c r="W800" s="33"/>
      <c r="X800" s="33"/>
      <c r="Y800" s="33"/>
      <c r="Z800" s="33"/>
      <c r="AA800" s="33"/>
      <c r="AB800" s="33"/>
      <c r="AC800" s="33"/>
      <c r="AD800" s="33"/>
      <c r="AE800" s="33"/>
      <c r="AF800" s="33"/>
      <c r="AG800" s="33"/>
      <c r="AH800" s="33"/>
      <c r="AI800" s="33"/>
      <c r="AJ800" s="33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  <c r="BK800" s="33"/>
      <c r="BL800" s="33"/>
      <c r="BM800" s="33"/>
    </row>
    <row r="801" spans="1:65" ht="15" customHeight="1">
      <c r="A801" s="33"/>
      <c r="B801" s="33"/>
      <c r="C801" s="33"/>
      <c r="D801" s="33"/>
      <c r="E801" s="33"/>
      <c r="F801" s="33"/>
      <c r="G801" s="33"/>
      <c r="H801" s="33"/>
      <c r="I801" s="33"/>
      <c r="J801" s="33"/>
      <c r="K801" s="33"/>
      <c r="L801" s="33"/>
      <c r="M801" s="33"/>
      <c r="N801" s="33"/>
      <c r="O801" s="33"/>
      <c r="P801" s="33"/>
      <c r="Q801" s="33"/>
      <c r="R801" s="33"/>
      <c r="S801" s="33"/>
      <c r="T801" s="33"/>
      <c r="U801" s="33"/>
      <c r="V801" s="33"/>
      <c r="W801" s="33"/>
      <c r="X801" s="33"/>
      <c r="Y801" s="33"/>
      <c r="Z801" s="33"/>
      <c r="AA801" s="33"/>
      <c r="AB801" s="33"/>
      <c r="AC801" s="33"/>
      <c r="AD801" s="33"/>
      <c r="AE801" s="33"/>
      <c r="AF801" s="33"/>
      <c r="AG801" s="33"/>
      <c r="AH801" s="33"/>
      <c r="AI801" s="33"/>
      <c r="AJ801" s="33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  <c r="BK801" s="33"/>
      <c r="BL801" s="33"/>
      <c r="BM801" s="33"/>
    </row>
    <row r="802" spans="1:65" ht="15" customHeight="1">
      <c r="A802" s="33"/>
      <c r="B802" s="33"/>
      <c r="C802" s="33"/>
      <c r="D802" s="33"/>
      <c r="E802" s="33"/>
      <c r="F802" s="33"/>
      <c r="G802" s="33"/>
      <c r="H802" s="33"/>
      <c r="I802" s="33"/>
      <c r="J802" s="33"/>
      <c r="K802" s="33"/>
      <c r="L802" s="33"/>
      <c r="M802" s="33"/>
      <c r="N802" s="33"/>
      <c r="O802" s="33"/>
      <c r="P802" s="33"/>
      <c r="Q802" s="33"/>
      <c r="R802" s="33"/>
      <c r="S802" s="33"/>
      <c r="T802" s="33"/>
      <c r="U802" s="33"/>
      <c r="V802" s="33"/>
      <c r="W802" s="33"/>
      <c r="X802" s="33"/>
      <c r="Y802" s="33"/>
      <c r="Z802" s="33"/>
      <c r="AA802" s="33"/>
      <c r="AB802" s="33"/>
      <c r="AC802" s="33"/>
      <c r="AD802" s="33"/>
      <c r="AE802" s="33"/>
      <c r="AF802" s="33"/>
      <c r="AG802" s="33"/>
      <c r="AH802" s="33"/>
      <c r="AI802" s="33"/>
      <c r="AJ802" s="33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  <c r="BK802" s="33"/>
      <c r="BL802" s="33"/>
      <c r="BM802" s="33"/>
    </row>
    <row r="803" spans="1:65" ht="15" customHeight="1">
      <c r="A803" s="33"/>
      <c r="B803" s="33"/>
      <c r="C803" s="33"/>
      <c r="D803" s="33"/>
      <c r="E803" s="33"/>
      <c r="F803" s="33"/>
      <c r="G803" s="33"/>
      <c r="H803" s="33"/>
      <c r="I803" s="33"/>
      <c r="J803" s="33"/>
      <c r="K803" s="33"/>
      <c r="L803" s="33"/>
      <c r="M803" s="33"/>
      <c r="N803" s="33"/>
      <c r="O803" s="33"/>
      <c r="P803" s="33"/>
      <c r="Q803" s="33"/>
      <c r="R803" s="33"/>
      <c r="S803" s="33"/>
      <c r="T803" s="33"/>
      <c r="U803" s="33"/>
      <c r="V803" s="33"/>
      <c r="W803" s="33"/>
      <c r="X803" s="33"/>
      <c r="Y803" s="33"/>
      <c r="Z803" s="33"/>
      <c r="AA803" s="33"/>
      <c r="AB803" s="33"/>
      <c r="AC803" s="33"/>
      <c r="AD803" s="33"/>
      <c r="AE803" s="33"/>
      <c r="AF803" s="33"/>
      <c r="AG803" s="33"/>
      <c r="AH803" s="33"/>
      <c r="AI803" s="33"/>
      <c r="AJ803" s="33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  <c r="BK803" s="33"/>
      <c r="BL803" s="33"/>
      <c r="BM803" s="33"/>
    </row>
    <row r="804" spans="1:65" ht="15" customHeight="1">
      <c r="A804" s="33"/>
      <c r="B804" s="33"/>
      <c r="C804" s="33"/>
      <c r="D804" s="33"/>
      <c r="E804" s="33"/>
      <c r="F804" s="33"/>
      <c r="G804" s="33"/>
      <c r="H804" s="33"/>
      <c r="I804" s="33"/>
      <c r="J804" s="33"/>
      <c r="K804" s="33"/>
      <c r="L804" s="33"/>
      <c r="M804" s="33"/>
      <c r="N804" s="33"/>
      <c r="O804" s="33"/>
      <c r="P804" s="33"/>
      <c r="Q804" s="33"/>
      <c r="R804" s="33"/>
      <c r="S804" s="33"/>
      <c r="T804" s="33"/>
      <c r="U804" s="33"/>
      <c r="V804" s="33"/>
      <c r="W804" s="33"/>
      <c r="X804" s="33"/>
      <c r="Y804" s="33"/>
      <c r="Z804" s="33"/>
      <c r="AA804" s="33"/>
      <c r="AB804" s="33"/>
      <c r="AC804" s="33"/>
      <c r="AD804" s="33"/>
      <c r="AE804" s="33"/>
      <c r="AF804" s="33"/>
      <c r="AG804" s="33"/>
      <c r="AH804" s="33"/>
      <c r="AI804" s="33"/>
      <c r="AJ804" s="33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  <c r="BK804" s="33"/>
      <c r="BL804" s="33"/>
      <c r="BM804" s="33"/>
    </row>
    <row r="805" spans="1:65" ht="15" customHeight="1">
      <c r="A805" s="33"/>
      <c r="B805" s="33"/>
      <c r="C805" s="33"/>
      <c r="D805" s="33"/>
      <c r="E805" s="33"/>
      <c r="F805" s="33"/>
      <c r="G805" s="33"/>
      <c r="H805" s="33"/>
      <c r="I805" s="33"/>
      <c r="J805" s="33"/>
      <c r="K805" s="33"/>
      <c r="L805" s="33"/>
      <c r="M805" s="33"/>
      <c r="N805" s="33"/>
      <c r="O805" s="33"/>
      <c r="P805" s="33"/>
      <c r="Q805" s="33"/>
      <c r="R805" s="33"/>
      <c r="S805" s="33"/>
      <c r="T805" s="33"/>
      <c r="U805" s="33"/>
      <c r="V805" s="33"/>
      <c r="W805" s="33"/>
      <c r="X805" s="33"/>
      <c r="Y805" s="33"/>
      <c r="Z805" s="33"/>
      <c r="AA805" s="33"/>
      <c r="AB805" s="33"/>
      <c r="AC805" s="33"/>
      <c r="AD805" s="33"/>
      <c r="AE805" s="33"/>
      <c r="AF805" s="33"/>
      <c r="AG805" s="33"/>
      <c r="AH805" s="33"/>
      <c r="AI805" s="33"/>
      <c r="AJ805" s="33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  <c r="BK805" s="33"/>
      <c r="BL805" s="33"/>
      <c r="BM805" s="33"/>
    </row>
    <row r="806" spans="1:65" ht="15" customHeight="1">
      <c r="A806" s="33"/>
      <c r="B806" s="33"/>
      <c r="C806" s="33"/>
      <c r="D806" s="33"/>
      <c r="E806" s="33"/>
      <c r="F806" s="33"/>
      <c r="G806" s="33"/>
      <c r="H806" s="33"/>
      <c r="I806" s="33"/>
      <c r="J806" s="33"/>
      <c r="K806" s="33"/>
      <c r="L806" s="33"/>
      <c r="M806" s="33"/>
      <c r="N806" s="33"/>
      <c r="O806" s="33"/>
      <c r="P806" s="33"/>
      <c r="Q806" s="33"/>
      <c r="R806" s="33"/>
      <c r="S806" s="33"/>
      <c r="T806" s="33"/>
      <c r="U806" s="33"/>
      <c r="V806" s="33"/>
      <c r="W806" s="33"/>
      <c r="X806" s="33"/>
      <c r="Y806" s="33"/>
      <c r="Z806" s="33"/>
      <c r="AA806" s="33"/>
      <c r="AB806" s="33"/>
      <c r="AC806" s="33"/>
      <c r="AD806" s="33"/>
      <c r="AE806" s="33"/>
      <c r="AF806" s="33"/>
      <c r="AG806" s="33"/>
      <c r="AH806" s="33"/>
      <c r="AI806" s="33"/>
      <c r="AJ806" s="33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  <c r="BK806" s="33"/>
      <c r="BL806" s="33"/>
      <c r="BM806" s="33"/>
    </row>
    <row r="807" spans="1:65" ht="15" customHeight="1">
      <c r="A807" s="33"/>
      <c r="B807" s="33"/>
      <c r="C807" s="33"/>
      <c r="D807" s="33"/>
      <c r="E807" s="33"/>
      <c r="F807" s="33"/>
      <c r="G807" s="33"/>
      <c r="H807" s="33"/>
      <c r="I807" s="33"/>
      <c r="J807" s="33"/>
      <c r="K807" s="33"/>
      <c r="L807" s="33"/>
      <c r="M807" s="33"/>
      <c r="N807" s="33"/>
      <c r="O807" s="33"/>
      <c r="P807" s="33"/>
      <c r="Q807" s="33"/>
      <c r="R807" s="33"/>
      <c r="S807" s="33"/>
      <c r="T807" s="33"/>
      <c r="U807" s="33"/>
      <c r="V807" s="33"/>
      <c r="W807" s="33"/>
      <c r="X807" s="33"/>
      <c r="Y807" s="33"/>
      <c r="Z807" s="33"/>
      <c r="AA807" s="33"/>
      <c r="AB807" s="33"/>
      <c r="AC807" s="33"/>
      <c r="AD807" s="33"/>
      <c r="AE807" s="33"/>
      <c r="AF807" s="33"/>
      <c r="AG807" s="33"/>
      <c r="AH807" s="33"/>
      <c r="AI807" s="33"/>
      <c r="AJ807" s="33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  <c r="BK807" s="33"/>
      <c r="BL807" s="33"/>
      <c r="BM807" s="33"/>
    </row>
    <row r="808" spans="1:65" ht="15" customHeight="1">
      <c r="A808" s="33"/>
      <c r="B808" s="33"/>
      <c r="C808" s="33"/>
      <c r="D808" s="33"/>
      <c r="E808" s="33"/>
      <c r="F808" s="33"/>
      <c r="G808" s="33"/>
      <c r="H808" s="33"/>
      <c r="I808" s="33"/>
      <c r="J808" s="33"/>
      <c r="K808" s="33"/>
      <c r="L808" s="33"/>
      <c r="M808" s="33"/>
      <c r="N808" s="33"/>
      <c r="O808" s="33"/>
      <c r="P808" s="33"/>
      <c r="Q808" s="33"/>
      <c r="R808" s="33"/>
      <c r="S808" s="33"/>
      <c r="T808" s="33"/>
      <c r="U808" s="33"/>
      <c r="V808" s="33"/>
      <c r="W808" s="33"/>
      <c r="X808" s="33"/>
      <c r="Y808" s="33"/>
      <c r="Z808" s="33"/>
      <c r="AA808" s="33"/>
      <c r="AB808" s="33"/>
      <c r="AC808" s="33"/>
      <c r="AD808" s="33"/>
      <c r="AE808" s="33"/>
      <c r="AF808" s="33"/>
      <c r="AG808" s="33"/>
      <c r="AH808" s="33"/>
      <c r="AI808" s="33"/>
      <c r="AJ808" s="33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  <c r="BK808" s="33"/>
      <c r="BL808" s="33"/>
      <c r="BM808" s="33"/>
    </row>
    <row r="809" spans="1:65" ht="15" customHeight="1">
      <c r="A809" s="33"/>
      <c r="B809" s="33"/>
      <c r="C809" s="33"/>
      <c r="D809" s="33"/>
      <c r="E809" s="33"/>
      <c r="F809" s="33"/>
      <c r="G809" s="33"/>
      <c r="H809" s="33"/>
      <c r="I809" s="33"/>
      <c r="J809" s="33"/>
      <c r="K809" s="33"/>
      <c r="L809" s="33"/>
      <c r="M809" s="33"/>
      <c r="N809" s="33"/>
      <c r="O809" s="33"/>
      <c r="P809" s="33"/>
      <c r="Q809" s="33"/>
      <c r="R809" s="33"/>
      <c r="S809" s="33"/>
      <c r="T809" s="33"/>
      <c r="U809" s="33"/>
      <c r="V809" s="33"/>
      <c r="W809" s="33"/>
      <c r="X809" s="33"/>
      <c r="Y809" s="33"/>
      <c r="Z809" s="33"/>
      <c r="AA809" s="33"/>
      <c r="AB809" s="33"/>
      <c r="AC809" s="33"/>
      <c r="AD809" s="33"/>
      <c r="AE809" s="33"/>
      <c r="AF809" s="33"/>
      <c r="AG809" s="33"/>
      <c r="AH809" s="33"/>
      <c r="AI809" s="33"/>
      <c r="AJ809" s="33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  <c r="BK809" s="33"/>
      <c r="BL809" s="33"/>
      <c r="BM809" s="33"/>
    </row>
    <row r="810" spans="1:65" ht="15" customHeight="1">
      <c r="A810" s="33"/>
      <c r="B810" s="33"/>
      <c r="C810" s="33"/>
      <c r="D810" s="33"/>
      <c r="E810" s="33"/>
      <c r="F810" s="33"/>
      <c r="G810" s="33"/>
      <c r="H810" s="33"/>
      <c r="I810" s="33"/>
      <c r="J810" s="33"/>
      <c r="K810" s="33"/>
      <c r="L810" s="33"/>
      <c r="M810" s="33"/>
      <c r="N810" s="33"/>
      <c r="O810" s="33"/>
      <c r="P810" s="33"/>
      <c r="Q810" s="33"/>
      <c r="R810" s="33"/>
      <c r="S810" s="33"/>
      <c r="T810" s="33"/>
      <c r="U810" s="33"/>
      <c r="V810" s="33"/>
      <c r="W810" s="33"/>
      <c r="X810" s="33"/>
      <c r="Y810" s="33"/>
      <c r="Z810" s="33"/>
      <c r="AA810" s="33"/>
      <c r="AB810" s="33"/>
      <c r="AC810" s="33"/>
      <c r="AD810" s="33"/>
      <c r="AE810" s="33"/>
      <c r="AF810" s="33"/>
      <c r="AG810" s="33"/>
      <c r="AH810" s="33"/>
      <c r="AI810" s="33"/>
      <c r="AJ810" s="33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  <c r="BK810" s="33"/>
      <c r="BL810" s="33"/>
      <c r="BM810" s="33"/>
    </row>
    <row r="811" spans="1:65" ht="15" customHeight="1">
      <c r="A811" s="33"/>
      <c r="B811" s="33"/>
      <c r="C811" s="33"/>
      <c r="D811" s="33"/>
      <c r="E811" s="33"/>
      <c r="F811" s="33"/>
      <c r="G811" s="33"/>
      <c r="H811" s="33"/>
      <c r="I811" s="33"/>
      <c r="J811" s="33"/>
      <c r="K811" s="33"/>
      <c r="L811" s="33"/>
      <c r="M811" s="33"/>
      <c r="N811" s="33"/>
      <c r="O811" s="33"/>
      <c r="P811" s="33"/>
      <c r="Q811" s="33"/>
      <c r="R811" s="33"/>
      <c r="S811" s="33"/>
      <c r="T811" s="33"/>
      <c r="U811" s="33"/>
      <c r="V811" s="33"/>
      <c r="W811" s="33"/>
      <c r="X811" s="33"/>
      <c r="Y811" s="33"/>
      <c r="Z811" s="33"/>
      <c r="AA811" s="33"/>
      <c r="AB811" s="33"/>
      <c r="AC811" s="33"/>
      <c r="AD811" s="33"/>
      <c r="AE811" s="33"/>
      <c r="AF811" s="33"/>
      <c r="AG811" s="33"/>
      <c r="AH811" s="33"/>
      <c r="AI811" s="33"/>
      <c r="AJ811" s="33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  <c r="BK811" s="33"/>
      <c r="BL811" s="33"/>
      <c r="BM811" s="33"/>
    </row>
    <row r="812" spans="1:65" ht="15" customHeight="1">
      <c r="A812" s="33"/>
      <c r="B812" s="33"/>
      <c r="C812" s="33"/>
      <c r="D812" s="33"/>
      <c r="E812" s="33"/>
      <c r="F812" s="33"/>
      <c r="G812" s="33"/>
      <c r="H812" s="33"/>
      <c r="I812" s="33"/>
      <c r="J812" s="33"/>
      <c r="K812" s="33"/>
      <c r="L812" s="33"/>
      <c r="M812" s="33"/>
      <c r="N812" s="33"/>
      <c r="O812" s="33"/>
      <c r="P812" s="33"/>
      <c r="Q812" s="33"/>
      <c r="R812" s="33"/>
      <c r="S812" s="33"/>
      <c r="T812" s="33"/>
      <c r="U812" s="33"/>
      <c r="V812" s="33"/>
      <c r="W812" s="33"/>
      <c r="X812" s="33"/>
      <c r="Y812" s="33"/>
      <c r="Z812" s="33"/>
      <c r="AA812" s="33"/>
      <c r="AB812" s="33"/>
      <c r="AC812" s="33"/>
      <c r="AD812" s="33"/>
      <c r="AE812" s="33"/>
      <c r="AF812" s="33"/>
      <c r="AG812" s="33"/>
      <c r="AH812" s="33"/>
      <c r="AI812" s="33"/>
      <c r="AJ812" s="33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  <c r="BK812" s="33"/>
      <c r="BL812" s="33"/>
      <c r="BM812" s="33"/>
    </row>
    <row r="813" spans="1:65" ht="15" customHeight="1">
      <c r="A813" s="33"/>
      <c r="B813" s="33"/>
      <c r="C813" s="33"/>
      <c r="D813" s="33"/>
      <c r="E813" s="33"/>
      <c r="F813" s="33"/>
      <c r="G813" s="33"/>
      <c r="H813" s="33"/>
      <c r="I813" s="33"/>
      <c r="J813" s="33"/>
      <c r="K813" s="33"/>
      <c r="L813" s="33"/>
      <c r="M813" s="33"/>
      <c r="N813" s="33"/>
      <c r="O813" s="33"/>
      <c r="P813" s="33"/>
      <c r="Q813" s="33"/>
      <c r="R813" s="33"/>
      <c r="S813" s="33"/>
      <c r="T813" s="33"/>
      <c r="U813" s="33"/>
      <c r="V813" s="33"/>
      <c r="W813" s="33"/>
      <c r="X813" s="33"/>
      <c r="Y813" s="33"/>
      <c r="Z813" s="33"/>
      <c r="AA813" s="33"/>
      <c r="AB813" s="33"/>
      <c r="AC813" s="33"/>
      <c r="AD813" s="33"/>
      <c r="AE813" s="33"/>
      <c r="AF813" s="33"/>
      <c r="AG813" s="33"/>
      <c r="AH813" s="33"/>
      <c r="AI813" s="33"/>
      <c r="AJ813" s="33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  <c r="BK813" s="33"/>
      <c r="BL813" s="33"/>
      <c r="BM813" s="33"/>
    </row>
    <row r="814" spans="1:65" ht="15" customHeight="1">
      <c r="A814" s="33"/>
      <c r="B814" s="33"/>
      <c r="C814" s="33"/>
      <c r="D814" s="33"/>
      <c r="E814" s="33"/>
      <c r="F814" s="33"/>
      <c r="G814" s="33"/>
      <c r="H814" s="33"/>
      <c r="I814" s="33"/>
      <c r="J814" s="33"/>
      <c r="K814" s="33"/>
      <c r="L814" s="33"/>
      <c r="M814" s="33"/>
      <c r="N814" s="33"/>
      <c r="O814" s="33"/>
      <c r="P814" s="33"/>
      <c r="Q814" s="33"/>
      <c r="R814" s="33"/>
      <c r="S814" s="33"/>
      <c r="T814" s="33"/>
      <c r="U814" s="33"/>
      <c r="V814" s="33"/>
      <c r="W814" s="33"/>
      <c r="X814" s="33"/>
      <c r="Y814" s="33"/>
      <c r="Z814" s="33"/>
      <c r="AA814" s="33"/>
      <c r="AB814" s="33"/>
      <c r="AC814" s="33"/>
      <c r="AD814" s="33"/>
      <c r="AE814" s="33"/>
      <c r="AF814" s="33"/>
      <c r="AG814" s="33"/>
      <c r="AH814" s="33"/>
      <c r="AI814" s="33"/>
      <c r="AJ814" s="33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  <c r="BK814" s="33"/>
      <c r="BL814" s="33"/>
      <c r="BM814" s="33"/>
    </row>
    <row r="815" spans="1:65" ht="15" customHeight="1">
      <c r="A815" s="33"/>
      <c r="B815" s="33"/>
      <c r="C815" s="33"/>
      <c r="D815" s="33"/>
      <c r="E815" s="33"/>
      <c r="F815" s="33"/>
      <c r="G815" s="33"/>
      <c r="H815" s="33"/>
      <c r="I815" s="33"/>
      <c r="J815" s="33"/>
      <c r="K815" s="33"/>
      <c r="L815" s="33"/>
      <c r="M815" s="33"/>
      <c r="N815" s="33"/>
      <c r="O815" s="33"/>
      <c r="P815" s="33"/>
      <c r="Q815" s="33"/>
      <c r="R815" s="33"/>
      <c r="S815" s="33"/>
      <c r="T815" s="33"/>
      <c r="U815" s="33"/>
      <c r="V815" s="33"/>
      <c r="W815" s="33"/>
      <c r="X815" s="33"/>
      <c r="Y815" s="33"/>
      <c r="Z815" s="33"/>
      <c r="AA815" s="33"/>
      <c r="AB815" s="33"/>
      <c r="AC815" s="33"/>
      <c r="AD815" s="33"/>
      <c r="AE815" s="33"/>
      <c r="AF815" s="33"/>
      <c r="AG815" s="33"/>
      <c r="AH815" s="33"/>
      <c r="AI815" s="33"/>
      <c r="AJ815" s="33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  <c r="BK815" s="33"/>
      <c r="BL815" s="33"/>
      <c r="BM815" s="33"/>
    </row>
    <row r="816" spans="1:65" ht="15" customHeight="1">
      <c r="A816" s="33"/>
      <c r="B816" s="33"/>
      <c r="C816" s="33"/>
      <c r="D816" s="33"/>
      <c r="E816" s="33"/>
      <c r="F816" s="33"/>
      <c r="G816" s="33"/>
      <c r="H816" s="33"/>
      <c r="I816" s="33"/>
      <c r="J816" s="33"/>
      <c r="K816" s="33"/>
      <c r="L816" s="33"/>
      <c r="M816" s="33"/>
      <c r="N816" s="33"/>
      <c r="O816" s="33"/>
      <c r="P816" s="33"/>
      <c r="Q816" s="33"/>
      <c r="R816" s="33"/>
      <c r="S816" s="33"/>
      <c r="T816" s="33"/>
      <c r="U816" s="33"/>
      <c r="V816" s="33"/>
      <c r="W816" s="33"/>
      <c r="X816" s="33"/>
      <c r="Y816" s="33"/>
      <c r="Z816" s="33"/>
      <c r="AA816" s="33"/>
      <c r="AB816" s="33"/>
      <c r="AC816" s="33"/>
      <c r="AD816" s="33"/>
      <c r="AE816" s="33"/>
      <c r="AF816" s="33"/>
      <c r="AG816" s="33"/>
      <c r="AH816" s="33"/>
      <c r="AI816" s="33"/>
      <c r="AJ816" s="33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  <c r="BK816" s="33"/>
      <c r="BL816" s="33"/>
      <c r="BM816" s="33"/>
    </row>
    <row r="817" spans="1:65" ht="15" customHeight="1">
      <c r="A817" s="33"/>
      <c r="B817" s="33"/>
      <c r="C817" s="33"/>
      <c r="D817" s="33"/>
      <c r="E817" s="33"/>
      <c r="F817" s="33"/>
      <c r="G817" s="33"/>
      <c r="H817" s="33"/>
      <c r="I817" s="33"/>
      <c r="J817" s="33"/>
      <c r="K817" s="33"/>
      <c r="L817" s="33"/>
      <c r="M817" s="33"/>
      <c r="N817" s="33"/>
      <c r="O817" s="33"/>
      <c r="P817" s="33"/>
      <c r="Q817" s="33"/>
      <c r="R817" s="33"/>
      <c r="S817" s="33"/>
      <c r="T817" s="33"/>
      <c r="U817" s="33"/>
      <c r="V817" s="33"/>
      <c r="W817" s="33"/>
      <c r="X817" s="33"/>
      <c r="Y817" s="33"/>
      <c r="Z817" s="33"/>
      <c r="AA817" s="33"/>
      <c r="AB817" s="33"/>
      <c r="AC817" s="33"/>
      <c r="AD817" s="33"/>
      <c r="AE817" s="33"/>
      <c r="AF817" s="33"/>
      <c r="AG817" s="33"/>
      <c r="AH817" s="33"/>
      <c r="AI817" s="33"/>
      <c r="AJ817" s="33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  <c r="BK817" s="33"/>
      <c r="BL817" s="33"/>
      <c r="BM817" s="33"/>
    </row>
    <row r="818" spans="1:65" ht="15" customHeight="1">
      <c r="A818" s="33"/>
      <c r="B818" s="33"/>
      <c r="C818" s="33"/>
      <c r="D818" s="33"/>
      <c r="E818" s="33"/>
      <c r="F818" s="33"/>
      <c r="G818" s="33"/>
      <c r="H818" s="33"/>
      <c r="I818" s="33"/>
      <c r="J818" s="33"/>
      <c r="K818" s="33"/>
      <c r="L818" s="33"/>
      <c r="M818" s="33"/>
      <c r="N818" s="33"/>
      <c r="O818" s="33"/>
      <c r="P818" s="33"/>
      <c r="Q818" s="33"/>
      <c r="R818" s="33"/>
      <c r="S818" s="33"/>
      <c r="T818" s="33"/>
      <c r="U818" s="33"/>
      <c r="V818" s="33"/>
      <c r="W818" s="33"/>
      <c r="X818" s="33"/>
      <c r="Y818" s="33"/>
      <c r="Z818" s="33"/>
      <c r="AA818" s="33"/>
      <c r="AB818" s="33"/>
      <c r="AC818" s="33"/>
      <c r="AD818" s="33"/>
      <c r="AE818" s="33"/>
      <c r="AF818" s="33"/>
      <c r="AG818" s="33"/>
      <c r="AH818" s="33"/>
      <c r="AI818" s="33"/>
      <c r="AJ818" s="33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  <c r="BK818" s="33"/>
      <c r="BL818" s="33"/>
      <c r="BM818" s="33"/>
    </row>
    <row r="819" spans="1:65" ht="15" customHeight="1">
      <c r="A819" s="33"/>
      <c r="B819" s="33"/>
      <c r="C819" s="33"/>
      <c r="D819" s="33"/>
      <c r="E819" s="33"/>
      <c r="F819" s="33"/>
      <c r="G819" s="33"/>
      <c r="H819" s="33"/>
      <c r="I819" s="33"/>
      <c r="J819" s="33"/>
      <c r="K819" s="33"/>
      <c r="L819" s="33"/>
      <c r="M819" s="33"/>
      <c r="N819" s="33"/>
      <c r="O819" s="33"/>
      <c r="P819" s="33"/>
      <c r="Q819" s="33"/>
      <c r="R819" s="33"/>
      <c r="S819" s="33"/>
      <c r="T819" s="33"/>
      <c r="U819" s="33"/>
      <c r="V819" s="33"/>
      <c r="W819" s="33"/>
      <c r="X819" s="33"/>
      <c r="Y819" s="33"/>
      <c r="Z819" s="33"/>
      <c r="AA819" s="33"/>
      <c r="AB819" s="33"/>
      <c r="AC819" s="33"/>
      <c r="AD819" s="33"/>
      <c r="AE819" s="33"/>
      <c r="AF819" s="33"/>
      <c r="AG819" s="33"/>
      <c r="AH819" s="33"/>
      <c r="AI819" s="33"/>
      <c r="AJ819" s="33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  <c r="BK819" s="33"/>
      <c r="BL819" s="33"/>
      <c r="BM819" s="33"/>
    </row>
    <row r="820" spans="1:65" ht="15" customHeight="1">
      <c r="A820" s="33"/>
      <c r="B820" s="33"/>
      <c r="C820" s="33"/>
      <c r="D820" s="33"/>
      <c r="E820" s="33"/>
      <c r="F820" s="33"/>
      <c r="G820" s="33"/>
      <c r="H820" s="33"/>
      <c r="I820" s="33"/>
      <c r="J820" s="33"/>
      <c r="K820" s="33"/>
      <c r="L820" s="33"/>
      <c r="M820" s="33"/>
      <c r="N820" s="33"/>
      <c r="O820" s="33"/>
      <c r="P820" s="33"/>
      <c r="Q820" s="33"/>
      <c r="R820" s="33"/>
      <c r="S820" s="33"/>
      <c r="T820" s="33"/>
      <c r="U820" s="33"/>
      <c r="V820" s="33"/>
      <c r="W820" s="33"/>
      <c r="X820" s="33"/>
      <c r="Y820" s="33"/>
      <c r="Z820" s="33"/>
      <c r="AA820" s="33"/>
      <c r="AB820" s="33"/>
      <c r="AC820" s="33"/>
      <c r="AD820" s="33"/>
      <c r="AE820" s="33"/>
      <c r="AF820" s="33"/>
      <c r="AG820" s="33"/>
      <c r="AH820" s="33"/>
      <c r="AI820" s="33"/>
      <c r="AJ820" s="33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  <c r="BK820" s="33"/>
      <c r="BL820" s="33"/>
      <c r="BM820" s="33"/>
    </row>
    <row r="821" spans="1:65" ht="15" customHeight="1">
      <c r="A821" s="33"/>
      <c r="B821" s="33"/>
      <c r="C821" s="33"/>
      <c r="D821" s="33"/>
      <c r="E821" s="33"/>
      <c r="F821" s="33"/>
      <c r="G821" s="33"/>
      <c r="H821" s="33"/>
      <c r="I821" s="33"/>
      <c r="J821" s="33"/>
      <c r="K821" s="33"/>
      <c r="L821" s="33"/>
      <c r="M821" s="33"/>
      <c r="N821" s="33"/>
      <c r="O821" s="33"/>
      <c r="P821" s="33"/>
      <c r="Q821" s="33"/>
      <c r="R821" s="33"/>
      <c r="S821" s="33"/>
      <c r="T821" s="33"/>
      <c r="U821" s="33"/>
      <c r="V821" s="33"/>
      <c r="W821" s="33"/>
      <c r="X821" s="33"/>
      <c r="Y821" s="33"/>
      <c r="Z821" s="33"/>
      <c r="AA821" s="33"/>
      <c r="AB821" s="33"/>
      <c r="AC821" s="33"/>
      <c r="AD821" s="33"/>
      <c r="AE821" s="33"/>
      <c r="AF821" s="33"/>
      <c r="AG821" s="33"/>
      <c r="AH821" s="33"/>
      <c r="AI821" s="33"/>
      <c r="AJ821" s="33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  <c r="BK821" s="33"/>
      <c r="BL821" s="33"/>
      <c r="BM821" s="33"/>
    </row>
    <row r="822" spans="1:65" ht="15" customHeight="1">
      <c r="A822" s="33"/>
      <c r="B822" s="33"/>
      <c r="C822" s="33"/>
      <c r="D822" s="33"/>
      <c r="E822" s="33"/>
      <c r="F822" s="33"/>
      <c r="G822" s="33"/>
      <c r="H822" s="33"/>
      <c r="I822" s="33"/>
      <c r="J822" s="33"/>
      <c r="K822" s="33"/>
      <c r="L822" s="33"/>
      <c r="M822" s="33"/>
      <c r="N822" s="33"/>
      <c r="O822" s="33"/>
      <c r="P822" s="33"/>
      <c r="Q822" s="33"/>
      <c r="R822" s="33"/>
      <c r="S822" s="33"/>
      <c r="T822" s="33"/>
      <c r="U822" s="33"/>
      <c r="V822" s="33"/>
      <c r="W822" s="33"/>
      <c r="X822" s="33"/>
      <c r="Y822" s="33"/>
      <c r="Z822" s="33"/>
      <c r="AA822" s="33"/>
      <c r="AB822" s="33"/>
      <c r="AC822" s="33"/>
      <c r="AD822" s="33"/>
      <c r="AE822" s="33"/>
      <c r="AF822" s="33"/>
      <c r="AG822" s="33"/>
      <c r="AH822" s="33"/>
      <c r="AI822" s="33"/>
      <c r="AJ822" s="33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  <c r="BK822" s="33"/>
      <c r="BL822" s="33"/>
      <c r="BM822" s="33"/>
    </row>
    <row r="823" spans="1:65" ht="15" customHeight="1">
      <c r="A823" s="33"/>
      <c r="B823" s="33"/>
      <c r="C823" s="33"/>
      <c r="D823" s="33"/>
      <c r="E823" s="33"/>
      <c r="F823" s="33"/>
      <c r="G823" s="33"/>
      <c r="H823" s="33"/>
      <c r="I823" s="33"/>
      <c r="J823" s="33"/>
      <c r="K823" s="33"/>
      <c r="L823" s="33"/>
      <c r="M823" s="33"/>
      <c r="N823" s="33"/>
      <c r="O823" s="33"/>
      <c r="P823" s="33"/>
      <c r="Q823" s="33"/>
      <c r="R823" s="33"/>
      <c r="S823" s="33"/>
      <c r="T823" s="33"/>
      <c r="U823" s="33"/>
      <c r="V823" s="33"/>
      <c r="W823" s="33"/>
      <c r="X823" s="33"/>
      <c r="Y823" s="33"/>
      <c r="Z823" s="33"/>
      <c r="AA823" s="33"/>
      <c r="AB823" s="33"/>
      <c r="AC823" s="33"/>
      <c r="AD823" s="33"/>
      <c r="AE823" s="33"/>
      <c r="AF823" s="33"/>
      <c r="AG823" s="33"/>
      <c r="AH823" s="33"/>
      <c r="AI823" s="33"/>
      <c r="AJ823" s="33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  <c r="BK823" s="33"/>
      <c r="BL823" s="33"/>
      <c r="BM823" s="33"/>
    </row>
    <row r="824" spans="1:65" ht="15" customHeight="1">
      <c r="A824" s="33"/>
      <c r="B824" s="33"/>
      <c r="C824" s="33"/>
      <c r="D824" s="33"/>
      <c r="E824" s="33"/>
      <c r="F824" s="33"/>
      <c r="G824" s="33"/>
      <c r="H824" s="33"/>
      <c r="I824" s="33"/>
      <c r="J824" s="33"/>
      <c r="K824" s="33"/>
      <c r="L824" s="33"/>
      <c r="M824" s="33"/>
      <c r="N824" s="33"/>
      <c r="O824" s="33"/>
      <c r="P824" s="33"/>
      <c r="Q824" s="33"/>
      <c r="R824" s="33"/>
      <c r="S824" s="33"/>
      <c r="T824" s="33"/>
      <c r="U824" s="33"/>
      <c r="V824" s="33"/>
      <c r="W824" s="33"/>
      <c r="X824" s="33"/>
      <c r="Y824" s="33"/>
      <c r="Z824" s="33"/>
      <c r="AA824" s="33"/>
      <c r="AB824" s="33"/>
      <c r="AC824" s="33"/>
      <c r="AD824" s="33"/>
      <c r="AE824" s="33"/>
      <c r="AF824" s="33"/>
      <c r="AG824" s="33"/>
      <c r="AH824" s="33"/>
      <c r="AI824" s="33"/>
      <c r="AJ824" s="33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  <c r="BK824" s="33"/>
      <c r="BL824" s="33"/>
      <c r="BM824" s="33"/>
    </row>
    <row r="825" spans="1:65" ht="15" customHeight="1">
      <c r="A825" s="33"/>
      <c r="B825" s="33"/>
      <c r="C825" s="33"/>
      <c r="D825" s="33"/>
      <c r="E825" s="33"/>
      <c r="F825" s="33"/>
      <c r="G825" s="33"/>
      <c r="H825" s="33"/>
      <c r="I825" s="33"/>
      <c r="J825" s="33"/>
      <c r="K825" s="33"/>
      <c r="L825" s="33"/>
      <c r="M825" s="33"/>
      <c r="N825" s="33"/>
      <c r="O825" s="33"/>
      <c r="P825" s="33"/>
      <c r="Q825" s="33"/>
      <c r="R825" s="33"/>
      <c r="S825" s="33"/>
      <c r="T825" s="33"/>
      <c r="U825" s="33"/>
      <c r="V825" s="33"/>
      <c r="W825" s="33"/>
      <c r="X825" s="33"/>
      <c r="Y825" s="33"/>
      <c r="Z825" s="33"/>
      <c r="AA825" s="33"/>
      <c r="AB825" s="33"/>
      <c r="AC825" s="33"/>
      <c r="AD825" s="33"/>
      <c r="AE825" s="33"/>
      <c r="AF825" s="33"/>
      <c r="AG825" s="33"/>
      <c r="AH825" s="33"/>
      <c r="AI825" s="33"/>
      <c r="AJ825" s="33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  <c r="BK825" s="33"/>
      <c r="BL825" s="33"/>
      <c r="BM825" s="33"/>
    </row>
    <row r="826" spans="1:65" ht="15" customHeight="1">
      <c r="A826" s="33"/>
      <c r="B826" s="33"/>
      <c r="C826" s="33"/>
      <c r="D826" s="33"/>
      <c r="E826" s="33"/>
      <c r="F826" s="33"/>
      <c r="G826" s="33"/>
      <c r="H826" s="33"/>
      <c r="I826" s="33"/>
      <c r="J826" s="33"/>
      <c r="K826" s="33"/>
      <c r="L826" s="33"/>
      <c r="M826" s="33"/>
      <c r="N826" s="33"/>
      <c r="O826" s="33"/>
      <c r="P826" s="33"/>
      <c r="Q826" s="33"/>
      <c r="R826" s="33"/>
      <c r="S826" s="33"/>
      <c r="T826" s="33"/>
      <c r="U826" s="33"/>
      <c r="V826" s="33"/>
      <c r="W826" s="33"/>
      <c r="X826" s="33"/>
      <c r="Y826" s="33"/>
      <c r="Z826" s="33"/>
      <c r="AA826" s="33"/>
      <c r="AB826" s="33"/>
      <c r="AC826" s="33"/>
      <c r="AD826" s="33"/>
      <c r="AE826" s="33"/>
      <c r="AF826" s="33"/>
      <c r="AG826" s="33"/>
      <c r="AH826" s="33"/>
      <c r="AI826" s="33"/>
      <c r="AJ826" s="33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  <c r="BK826" s="33"/>
      <c r="BL826" s="33"/>
      <c r="BM826" s="33"/>
    </row>
    <row r="827" spans="1:65" ht="15" customHeight="1">
      <c r="A827" s="33"/>
      <c r="B827" s="33"/>
      <c r="C827" s="33"/>
      <c r="D827" s="33"/>
      <c r="E827" s="33"/>
      <c r="F827" s="33"/>
      <c r="G827" s="33"/>
      <c r="H827" s="33"/>
      <c r="I827" s="33"/>
      <c r="J827" s="33"/>
      <c r="K827" s="33"/>
      <c r="L827" s="33"/>
      <c r="M827" s="33"/>
      <c r="N827" s="33"/>
      <c r="O827" s="33"/>
      <c r="P827" s="33"/>
      <c r="Q827" s="33"/>
      <c r="R827" s="33"/>
      <c r="S827" s="33"/>
      <c r="T827" s="33"/>
      <c r="U827" s="33"/>
      <c r="V827" s="33"/>
      <c r="W827" s="33"/>
      <c r="X827" s="33"/>
      <c r="Y827" s="33"/>
      <c r="Z827" s="33"/>
      <c r="AA827" s="33"/>
      <c r="AB827" s="33"/>
      <c r="AC827" s="33"/>
      <c r="AD827" s="33"/>
      <c r="AE827" s="33"/>
      <c r="AF827" s="33"/>
      <c r="AG827" s="33"/>
      <c r="AH827" s="33"/>
      <c r="AI827" s="33"/>
      <c r="AJ827" s="33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  <c r="BK827" s="33"/>
      <c r="BL827" s="33"/>
      <c r="BM827" s="33"/>
    </row>
    <row r="828" spans="1:65" ht="15" customHeight="1">
      <c r="A828" s="33"/>
      <c r="B828" s="33"/>
      <c r="C828" s="33"/>
      <c r="D828" s="33"/>
      <c r="E828" s="33"/>
      <c r="F828" s="33"/>
      <c r="G828" s="33"/>
      <c r="H828" s="33"/>
      <c r="I828" s="33"/>
      <c r="J828" s="33"/>
      <c r="K828" s="33"/>
      <c r="L828" s="33"/>
      <c r="M828" s="33"/>
      <c r="N828" s="33"/>
      <c r="O828" s="33"/>
      <c r="P828" s="33"/>
      <c r="Q828" s="33"/>
      <c r="R828" s="33"/>
      <c r="S828" s="33"/>
      <c r="T828" s="33"/>
      <c r="U828" s="33"/>
      <c r="V828" s="33"/>
      <c r="W828" s="33"/>
      <c r="X828" s="33"/>
      <c r="Y828" s="33"/>
      <c r="Z828" s="33"/>
      <c r="AA828" s="33"/>
      <c r="AB828" s="33"/>
      <c r="AC828" s="33"/>
      <c r="AD828" s="33"/>
      <c r="AE828" s="33"/>
      <c r="AF828" s="33"/>
      <c r="AG828" s="33"/>
      <c r="AH828" s="33"/>
      <c r="AI828" s="33"/>
      <c r="AJ828" s="33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  <c r="BK828" s="33"/>
      <c r="BL828" s="33"/>
      <c r="BM828" s="33"/>
    </row>
    <row r="829" spans="1:65" ht="15" customHeight="1">
      <c r="A829" s="33"/>
      <c r="B829" s="33"/>
      <c r="C829" s="33"/>
      <c r="D829" s="33"/>
      <c r="E829" s="33"/>
      <c r="F829" s="33"/>
      <c r="G829" s="33"/>
      <c r="H829" s="33"/>
      <c r="I829" s="33"/>
      <c r="J829" s="33"/>
      <c r="K829" s="33"/>
      <c r="L829" s="33"/>
      <c r="M829" s="33"/>
      <c r="N829" s="33"/>
      <c r="O829" s="33"/>
      <c r="P829" s="33"/>
      <c r="Q829" s="33"/>
      <c r="R829" s="33"/>
      <c r="S829" s="33"/>
      <c r="T829" s="33"/>
      <c r="U829" s="33"/>
      <c r="V829" s="33"/>
      <c r="W829" s="33"/>
      <c r="X829" s="33"/>
      <c r="Y829" s="33"/>
      <c r="Z829" s="33"/>
      <c r="AA829" s="33"/>
      <c r="AB829" s="33"/>
      <c r="AC829" s="33"/>
      <c r="AD829" s="33"/>
      <c r="AE829" s="33"/>
      <c r="AF829" s="33"/>
      <c r="AG829" s="33"/>
      <c r="AH829" s="33"/>
      <c r="AI829" s="33"/>
      <c r="AJ829" s="33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  <c r="BK829" s="33"/>
      <c r="BL829" s="33"/>
      <c r="BM829" s="33"/>
    </row>
    <row r="830" spans="1:65" ht="15" customHeight="1">
      <c r="A830" s="33"/>
      <c r="B830" s="33"/>
      <c r="C830" s="33"/>
      <c r="D830" s="33"/>
      <c r="E830" s="33"/>
      <c r="F830" s="33"/>
      <c r="G830" s="33"/>
      <c r="H830" s="33"/>
      <c r="I830" s="33"/>
      <c r="J830" s="33"/>
      <c r="K830" s="33"/>
      <c r="L830" s="33"/>
      <c r="M830" s="33"/>
      <c r="N830" s="33"/>
      <c r="O830" s="33"/>
      <c r="P830" s="33"/>
      <c r="Q830" s="33"/>
      <c r="R830" s="33"/>
      <c r="S830" s="33"/>
      <c r="T830" s="33"/>
      <c r="U830" s="33"/>
      <c r="V830" s="33"/>
      <c r="W830" s="33"/>
      <c r="X830" s="33"/>
      <c r="Y830" s="33"/>
      <c r="Z830" s="33"/>
      <c r="AA830" s="33"/>
      <c r="AB830" s="33"/>
      <c r="AC830" s="33"/>
      <c r="AD830" s="33"/>
      <c r="AE830" s="33"/>
      <c r="AF830" s="33"/>
      <c r="AG830" s="33"/>
      <c r="AH830" s="33"/>
      <c r="AI830" s="33"/>
      <c r="AJ830" s="33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3"/>
      <c r="BK830" s="33"/>
      <c r="BL830" s="33"/>
      <c r="BM830" s="33"/>
    </row>
    <row r="831" spans="1:65" ht="15" customHeight="1">
      <c r="A831" s="33"/>
      <c r="B831" s="33"/>
      <c r="C831" s="33"/>
      <c r="D831" s="33"/>
      <c r="E831" s="33"/>
      <c r="F831" s="33"/>
      <c r="G831" s="33"/>
      <c r="H831" s="33"/>
      <c r="I831" s="33"/>
      <c r="J831" s="33"/>
      <c r="K831" s="33"/>
      <c r="L831" s="33"/>
      <c r="M831" s="33"/>
      <c r="N831" s="33"/>
      <c r="O831" s="33"/>
      <c r="P831" s="33"/>
      <c r="Q831" s="33"/>
      <c r="R831" s="33"/>
      <c r="S831" s="33"/>
      <c r="T831" s="33"/>
      <c r="U831" s="33"/>
      <c r="V831" s="33"/>
      <c r="W831" s="33"/>
      <c r="X831" s="33"/>
      <c r="Y831" s="33"/>
      <c r="Z831" s="33"/>
      <c r="AA831" s="33"/>
      <c r="AB831" s="33"/>
      <c r="AC831" s="33"/>
      <c r="AD831" s="33"/>
      <c r="AE831" s="33"/>
      <c r="AF831" s="33"/>
      <c r="AG831" s="33"/>
      <c r="AH831" s="33"/>
      <c r="AI831" s="33"/>
      <c r="AJ831" s="33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  <c r="BK831" s="33"/>
      <c r="BL831" s="33"/>
      <c r="BM831" s="33"/>
    </row>
    <row r="832" spans="1:65" ht="15" customHeight="1">
      <c r="A832" s="33"/>
      <c r="B832" s="33"/>
      <c r="C832" s="33"/>
      <c r="D832" s="33"/>
      <c r="E832" s="33"/>
      <c r="F832" s="33"/>
      <c r="G832" s="33"/>
      <c r="H832" s="33"/>
      <c r="I832" s="33"/>
      <c r="J832" s="33"/>
      <c r="K832" s="33"/>
      <c r="L832" s="33"/>
      <c r="M832" s="33"/>
      <c r="N832" s="33"/>
      <c r="O832" s="33"/>
      <c r="P832" s="33"/>
      <c r="Q832" s="33"/>
      <c r="R832" s="33"/>
      <c r="S832" s="33"/>
      <c r="T832" s="33"/>
      <c r="U832" s="33"/>
      <c r="V832" s="33"/>
      <c r="W832" s="33"/>
      <c r="X832" s="33"/>
      <c r="Y832" s="33"/>
      <c r="Z832" s="33"/>
      <c r="AA832" s="33"/>
      <c r="AB832" s="33"/>
      <c r="AC832" s="33"/>
      <c r="AD832" s="33"/>
      <c r="AE832" s="33"/>
      <c r="AF832" s="33"/>
      <c r="AG832" s="33"/>
      <c r="AH832" s="33"/>
      <c r="AI832" s="33"/>
      <c r="AJ832" s="33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  <c r="BK832" s="33"/>
      <c r="BL832" s="33"/>
      <c r="BM832" s="33"/>
    </row>
    <row r="833" spans="1:65" ht="15" customHeight="1">
      <c r="A833" s="33"/>
      <c r="B833" s="33"/>
      <c r="C833" s="33"/>
      <c r="D833" s="33"/>
      <c r="E833" s="33"/>
      <c r="F833" s="33"/>
      <c r="G833" s="33"/>
      <c r="H833" s="33"/>
      <c r="I833" s="33"/>
      <c r="J833" s="33"/>
      <c r="K833" s="33"/>
      <c r="L833" s="33"/>
      <c r="M833" s="33"/>
      <c r="N833" s="33"/>
      <c r="O833" s="33"/>
      <c r="P833" s="33"/>
      <c r="Q833" s="33"/>
      <c r="R833" s="33"/>
      <c r="S833" s="33"/>
      <c r="T833" s="33"/>
      <c r="U833" s="33"/>
      <c r="V833" s="33"/>
      <c r="W833" s="33"/>
      <c r="X833" s="33"/>
      <c r="Y833" s="33"/>
      <c r="Z833" s="33"/>
      <c r="AA833" s="33"/>
      <c r="AB833" s="33"/>
      <c r="AC833" s="33"/>
      <c r="AD833" s="33"/>
      <c r="AE833" s="33"/>
      <c r="AF833" s="33"/>
      <c r="AG833" s="33"/>
      <c r="AH833" s="33"/>
      <c r="AI833" s="33"/>
      <c r="AJ833" s="33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  <c r="BK833" s="33"/>
      <c r="BL833" s="33"/>
      <c r="BM833" s="33"/>
    </row>
    <row r="834" spans="1:65" ht="15" customHeight="1">
      <c r="A834" s="33"/>
      <c r="B834" s="33"/>
      <c r="C834" s="33"/>
      <c r="D834" s="33"/>
      <c r="E834" s="33"/>
      <c r="F834" s="33"/>
      <c r="G834" s="33"/>
      <c r="H834" s="33"/>
      <c r="I834" s="33"/>
      <c r="J834" s="33"/>
      <c r="K834" s="33"/>
      <c r="L834" s="33"/>
      <c r="M834" s="33"/>
      <c r="N834" s="33"/>
      <c r="O834" s="33"/>
      <c r="P834" s="33"/>
      <c r="Q834" s="33"/>
      <c r="R834" s="33"/>
      <c r="S834" s="33"/>
      <c r="T834" s="33"/>
      <c r="U834" s="33"/>
      <c r="V834" s="33"/>
      <c r="W834" s="33"/>
      <c r="X834" s="33"/>
      <c r="Y834" s="33"/>
      <c r="Z834" s="33"/>
      <c r="AA834" s="33"/>
      <c r="AB834" s="33"/>
      <c r="AC834" s="33"/>
      <c r="AD834" s="33"/>
      <c r="AE834" s="33"/>
      <c r="AF834" s="33"/>
      <c r="AG834" s="33"/>
      <c r="AH834" s="33"/>
      <c r="AI834" s="33"/>
      <c r="AJ834" s="33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  <c r="BK834" s="33"/>
      <c r="BL834" s="33"/>
      <c r="BM834" s="33"/>
    </row>
    <row r="835" spans="1:65" ht="15" customHeight="1">
      <c r="A835" s="33"/>
      <c r="B835" s="33"/>
      <c r="C835" s="33"/>
      <c r="D835" s="33"/>
      <c r="E835" s="33"/>
      <c r="F835" s="33"/>
      <c r="G835" s="33"/>
      <c r="H835" s="33"/>
      <c r="I835" s="33"/>
      <c r="J835" s="33"/>
      <c r="K835" s="33"/>
      <c r="L835" s="33"/>
      <c r="M835" s="33"/>
      <c r="N835" s="33"/>
      <c r="O835" s="33"/>
      <c r="P835" s="33"/>
      <c r="Q835" s="33"/>
      <c r="R835" s="33"/>
      <c r="S835" s="33"/>
      <c r="T835" s="33"/>
      <c r="U835" s="33"/>
      <c r="V835" s="33"/>
      <c r="W835" s="33"/>
      <c r="X835" s="33"/>
      <c r="Y835" s="33"/>
      <c r="Z835" s="33"/>
      <c r="AA835" s="33"/>
      <c r="AB835" s="33"/>
      <c r="AC835" s="33"/>
      <c r="AD835" s="33"/>
      <c r="AE835" s="33"/>
      <c r="AF835" s="33"/>
      <c r="AG835" s="33"/>
      <c r="AH835" s="33"/>
      <c r="AI835" s="33"/>
      <c r="AJ835" s="33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  <c r="BK835" s="33"/>
      <c r="BL835" s="33"/>
      <c r="BM835" s="33"/>
    </row>
    <row r="836" spans="1:65" ht="15" customHeight="1">
      <c r="A836" s="33"/>
      <c r="B836" s="33"/>
      <c r="C836" s="33"/>
      <c r="D836" s="33"/>
      <c r="E836" s="33"/>
      <c r="F836" s="33"/>
      <c r="G836" s="33"/>
      <c r="H836" s="33"/>
      <c r="I836" s="33"/>
      <c r="J836" s="33"/>
      <c r="K836" s="33"/>
      <c r="L836" s="33"/>
      <c r="M836" s="33"/>
      <c r="N836" s="33"/>
      <c r="O836" s="33"/>
      <c r="P836" s="33"/>
      <c r="Q836" s="33"/>
      <c r="R836" s="33"/>
      <c r="S836" s="33"/>
      <c r="T836" s="33"/>
      <c r="U836" s="33"/>
      <c r="V836" s="33"/>
      <c r="W836" s="33"/>
      <c r="X836" s="33"/>
      <c r="Y836" s="33"/>
      <c r="Z836" s="33"/>
      <c r="AA836" s="33"/>
      <c r="AB836" s="33"/>
      <c r="AC836" s="33"/>
      <c r="AD836" s="33"/>
      <c r="AE836" s="33"/>
      <c r="AF836" s="33"/>
      <c r="AG836" s="33"/>
      <c r="AH836" s="33"/>
      <c r="AI836" s="33"/>
      <c r="AJ836" s="33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  <c r="BK836" s="33"/>
      <c r="BL836" s="33"/>
      <c r="BM836" s="33"/>
    </row>
    <row r="837" spans="1:65" ht="15" customHeight="1">
      <c r="A837" s="33"/>
      <c r="B837" s="33"/>
      <c r="C837" s="33"/>
      <c r="D837" s="33"/>
      <c r="E837" s="33"/>
      <c r="F837" s="33"/>
      <c r="G837" s="33"/>
      <c r="H837" s="33"/>
      <c r="I837" s="33"/>
      <c r="J837" s="33"/>
      <c r="K837" s="33"/>
      <c r="L837" s="33"/>
      <c r="M837" s="33"/>
      <c r="N837" s="33"/>
      <c r="O837" s="33"/>
      <c r="P837" s="33"/>
      <c r="Q837" s="33"/>
      <c r="R837" s="33"/>
      <c r="S837" s="33"/>
      <c r="T837" s="33"/>
      <c r="U837" s="33"/>
      <c r="V837" s="33"/>
      <c r="W837" s="33"/>
      <c r="X837" s="33"/>
      <c r="Y837" s="33"/>
      <c r="Z837" s="33"/>
      <c r="AA837" s="33"/>
      <c r="AB837" s="33"/>
      <c r="AC837" s="33"/>
      <c r="AD837" s="33"/>
      <c r="AE837" s="33"/>
      <c r="AF837" s="33"/>
      <c r="AG837" s="33"/>
      <c r="AH837" s="33"/>
      <c r="AI837" s="33"/>
      <c r="AJ837" s="33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  <c r="BK837" s="33"/>
      <c r="BL837" s="33"/>
      <c r="BM837" s="33"/>
    </row>
    <row r="838" spans="1:65" ht="15" customHeight="1">
      <c r="A838" s="33"/>
      <c r="B838" s="33"/>
      <c r="C838" s="33"/>
      <c r="D838" s="33"/>
      <c r="E838" s="33"/>
      <c r="F838" s="33"/>
      <c r="G838" s="33"/>
      <c r="H838" s="33"/>
      <c r="I838" s="33"/>
      <c r="J838" s="33"/>
      <c r="K838" s="33"/>
      <c r="L838" s="33"/>
      <c r="M838" s="33"/>
      <c r="N838" s="33"/>
      <c r="O838" s="33"/>
      <c r="P838" s="33"/>
      <c r="Q838" s="33"/>
      <c r="R838" s="33"/>
      <c r="S838" s="33"/>
      <c r="T838" s="33"/>
      <c r="U838" s="33"/>
      <c r="V838" s="33"/>
      <c r="W838" s="33"/>
      <c r="X838" s="33"/>
      <c r="Y838" s="33"/>
      <c r="Z838" s="33"/>
      <c r="AA838" s="33"/>
      <c r="AB838" s="33"/>
      <c r="AC838" s="33"/>
      <c r="AD838" s="33"/>
      <c r="AE838" s="33"/>
      <c r="AF838" s="33"/>
      <c r="AG838" s="33"/>
      <c r="AH838" s="33"/>
      <c r="AI838" s="33"/>
      <c r="AJ838" s="33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  <c r="BK838" s="33"/>
      <c r="BL838" s="33"/>
      <c r="BM838" s="33"/>
    </row>
    <row r="839" spans="1:65" ht="15" customHeight="1">
      <c r="A839" s="33"/>
      <c r="B839" s="33"/>
      <c r="C839" s="33"/>
      <c r="D839" s="33"/>
      <c r="E839" s="33"/>
      <c r="F839" s="33"/>
      <c r="G839" s="33"/>
      <c r="H839" s="33"/>
      <c r="I839" s="33"/>
      <c r="J839" s="33"/>
      <c r="K839" s="33"/>
      <c r="L839" s="33"/>
      <c r="M839" s="33"/>
      <c r="N839" s="33"/>
      <c r="O839" s="33"/>
      <c r="P839" s="33"/>
      <c r="Q839" s="33"/>
      <c r="R839" s="33"/>
      <c r="S839" s="33"/>
      <c r="T839" s="33"/>
      <c r="U839" s="33"/>
      <c r="V839" s="33"/>
      <c r="W839" s="33"/>
      <c r="X839" s="33"/>
      <c r="Y839" s="33"/>
      <c r="Z839" s="33"/>
      <c r="AA839" s="33"/>
      <c r="AB839" s="33"/>
      <c r="AC839" s="33"/>
      <c r="AD839" s="33"/>
      <c r="AE839" s="33"/>
      <c r="AF839" s="33"/>
      <c r="AG839" s="33"/>
      <c r="AH839" s="33"/>
      <c r="AI839" s="33"/>
      <c r="AJ839" s="33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  <c r="BK839" s="33"/>
      <c r="BL839" s="33"/>
      <c r="BM839" s="33"/>
    </row>
    <row r="840" spans="1:65" ht="15" customHeight="1">
      <c r="A840" s="33"/>
      <c r="B840" s="33"/>
      <c r="C840" s="33"/>
      <c r="D840" s="33"/>
      <c r="E840" s="33"/>
      <c r="F840" s="33"/>
      <c r="G840" s="33"/>
      <c r="H840" s="33"/>
      <c r="I840" s="33"/>
      <c r="J840" s="33"/>
      <c r="K840" s="33"/>
      <c r="L840" s="33"/>
      <c r="M840" s="33"/>
      <c r="N840" s="33"/>
      <c r="O840" s="33"/>
      <c r="P840" s="33"/>
      <c r="Q840" s="33"/>
      <c r="R840" s="33"/>
      <c r="S840" s="33"/>
      <c r="T840" s="33"/>
      <c r="U840" s="33"/>
      <c r="V840" s="33"/>
      <c r="W840" s="33"/>
      <c r="X840" s="33"/>
      <c r="Y840" s="33"/>
      <c r="Z840" s="33"/>
      <c r="AA840" s="33"/>
      <c r="AB840" s="33"/>
      <c r="AC840" s="33"/>
      <c r="AD840" s="33"/>
      <c r="AE840" s="33"/>
      <c r="AF840" s="33"/>
      <c r="AG840" s="33"/>
      <c r="AH840" s="33"/>
      <c r="AI840" s="33"/>
      <c r="AJ840" s="33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  <c r="BK840" s="33"/>
      <c r="BL840" s="33"/>
      <c r="BM840" s="33"/>
    </row>
    <row r="841" spans="1:65" ht="15" customHeight="1">
      <c r="A841" s="33"/>
      <c r="B841" s="33"/>
      <c r="C841" s="33"/>
      <c r="D841" s="33"/>
      <c r="E841" s="33"/>
      <c r="F841" s="33"/>
      <c r="G841" s="33"/>
      <c r="H841" s="33"/>
      <c r="I841" s="33"/>
      <c r="J841" s="33"/>
      <c r="K841" s="33"/>
      <c r="L841" s="33"/>
      <c r="M841" s="33"/>
      <c r="N841" s="33"/>
      <c r="O841" s="33"/>
      <c r="P841" s="33"/>
      <c r="Q841" s="33"/>
      <c r="R841" s="33"/>
      <c r="S841" s="33"/>
      <c r="T841" s="33"/>
      <c r="U841" s="33"/>
      <c r="V841" s="33"/>
      <c r="W841" s="33"/>
      <c r="X841" s="33"/>
      <c r="Y841" s="33"/>
      <c r="Z841" s="33"/>
      <c r="AA841" s="33"/>
      <c r="AB841" s="33"/>
      <c r="AC841" s="33"/>
      <c r="AD841" s="33"/>
      <c r="AE841" s="33"/>
      <c r="AF841" s="33"/>
      <c r="AG841" s="33"/>
      <c r="AH841" s="33"/>
      <c r="AI841" s="33"/>
      <c r="AJ841" s="33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  <c r="BK841" s="33"/>
      <c r="BL841" s="33"/>
      <c r="BM841" s="33"/>
    </row>
    <row r="842" spans="1:65" ht="15" customHeight="1">
      <c r="A842" s="33"/>
      <c r="B842" s="33"/>
      <c r="C842" s="33"/>
      <c r="D842" s="33"/>
      <c r="E842" s="33"/>
      <c r="F842" s="33"/>
      <c r="G842" s="33"/>
      <c r="H842" s="33"/>
      <c r="I842" s="33"/>
      <c r="J842" s="33"/>
      <c r="K842" s="33"/>
      <c r="L842" s="33"/>
      <c r="M842" s="33"/>
      <c r="N842" s="33"/>
      <c r="O842" s="33"/>
      <c r="P842" s="33"/>
      <c r="Q842" s="33"/>
      <c r="R842" s="33"/>
      <c r="S842" s="33"/>
      <c r="T842" s="33"/>
      <c r="U842" s="33"/>
      <c r="V842" s="33"/>
      <c r="W842" s="33"/>
      <c r="X842" s="33"/>
      <c r="Y842" s="33"/>
      <c r="Z842" s="33"/>
      <c r="AA842" s="33"/>
      <c r="AB842" s="33"/>
      <c r="AC842" s="33"/>
      <c r="AD842" s="33"/>
      <c r="AE842" s="33"/>
      <c r="AF842" s="33"/>
      <c r="AG842" s="33"/>
      <c r="AH842" s="33"/>
      <c r="AI842" s="33"/>
      <c r="AJ842" s="33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  <c r="BK842" s="33"/>
      <c r="BL842" s="33"/>
      <c r="BM842" s="33"/>
    </row>
    <row r="843" spans="1:65" ht="15" customHeight="1">
      <c r="A843" s="33"/>
      <c r="B843" s="33"/>
      <c r="C843" s="33"/>
      <c r="D843" s="33"/>
      <c r="E843" s="33"/>
      <c r="F843" s="33"/>
      <c r="G843" s="33"/>
      <c r="H843" s="33"/>
      <c r="I843" s="33"/>
      <c r="J843" s="33"/>
      <c r="K843" s="33"/>
      <c r="L843" s="33"/>
      <c r="M843" s="33"/>
      <c r="N843" s="33"/>
      <c r="O843" s="33"/>
      <c r="P843" s="33"/>
      <c r="Q843" s="33"/>
      <c r="R843" s="33"/>
      <c r="S843" s="33"/>
      <c r="T843" s="33"/>
      <c r="U843" s="33"/>
      <c r="V843" s="33"/>
      <c r="W843" s="33"/>
      <c r="X843" s="33"/>
      <c r="Y843" s="33"/>
      <c r="Z843" s="33"/>
      <c r="AA843" s="33"/>
      <c r="AB843" s="33"/>
      <c r="AC843" s="33"/>
      <c r="AD843" s="33"/>
      <c r="AE843" s="33"/>
      <c r="AF843" s="33"/>
      <c r="AG843" s="33"/>
      <c r="AH843" s="33"/>
      <c r="AI843" s="33"/>
      <c r="AJ843" s="33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  <c r="BK843" s="33"/>
      <c r="BL843" s="33"/>
      <c r="BM843" s="33"/>
    </row>
    <row r="844" spans="1:65" ht="15" customHeight="1">
      <c r="A844" s="33"/>
      <c r="B844" s="33"/>
      <c r="C844" s="33"/>
      <c r="D844" s="33"/>
      <c r="E844" s="33"/>
      <c r="F844" s="33"/>
      <c r="G844" s="33"/>
      <c r="H844" s="33"/>
      <c r="I844" s="33"/>
      <c r="J844" s="33"/>
      <c r="K844" s="33"/>
      <c r="L844" s="33"/>
      <c r="M844" s="33"/>
      <c r="N844" s="33"/>
      <c r="O844" s="33"/>
      <c r="P844" s="33"/>
      <c r="Q844" s="33"/>
      <c r="R844" s="33"/>
      <c r="S844" s="33"/>
      <c r="T844" s="33"/>
      <c r="U844" s="33"/>
      <c r="V844" s="33"/>
      <c r="W844" s="33"/>
      <c r="X844" s="33"/>
      <c r="Y844" s="33"/>
      <c r="Z844" s="33"/>
      <c r="AA844" s="33"/>
      <c r="AB844" s="33"/>
      <c r="AC844" s="33"/>
      <c r="AD844" s="33"/>
      <c r="AE844" s="33"/>
      <c r="AF844" s="33"/>
      <c r="AG844" s="33"/>
      <c r="AH844" s="33"/>
      <c r="AI844" s="33"/>
      <c r="AJ844" s="33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  <c r="BK844" s="33"/>
      <c r="BL844" s="33"/>
      <c r="BM844" s="33"/>
    </row>
    <row r="845" spans="1:65" ht="15" customHeight="1">
      <c r="A845" s="33"/>
      <c r="B845" s="33"/>
      <c r="C845" s="33"/>
      <c r="D845" s="33"/>
      <c r="E845" s="33"/>
      <c r="F845" s="33"/>
      <c r="G845" s="33"/>
      <c r="H845" s="33"/>
      <c r="I845" s="33"/>
      <c r="J845" s="33"/>
      <c r="K845" s="33"/>
      <c r="L845" s="33"/>
      <c r="M845" s="33"/>
      <c r="N845" s="33"/>
      <c r="O845" s="33"/>
      <c r="P845" s="33"/>
      <c r="Q845" s="33"/>
      <c r="R845" s="33"/>
      <c r="S845" s="33"/>
      <c r="T845" s="33"/>
      <c r="U845" s="33"/>
      <c r="V845" s="33"/>
      <c r="W845" s="33"/>
      <c r="X845" s="33"/>
      <c r="Y845" s="33"/>
      <c r="Z845" s="33"/>
      <c r="AA845" s="33"/>
      <c r="AB845" s="33"/>
      <c r="AC845" s="33"/>
      <c r="AD845" s="33"/>
      <c r="AE845" s="33"/>
      <c r="AF845" s="33"/>
      <c r="AG845" s="33"/>
      <c r="AH845" s="33"/>
      <c r="AI845" s="33"/>
      <c r="AJ845" s="33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  <c r="BK845" s="33"/>
      <c r="BL845" s="33"/>
      <c r="BM845" s="33"/>
    </row>
    <row r="846" spans="1:65" ht="15" customHeight="1">
      <c r="A846" s="33"/>
      <c r="B846" s="33"/>
      <c r="C846" s="33"/>
      <c r="D846" s="33"/>
      <c r="E846" s="33"/>
      <c r="F846" s="33"/>
      <c r="G846" s="33"/>
      <c r="H846" s="33"/>
      <c r="I846" s="33"/>
      <c r="J846" s="33"/>
      <c r="K846" s="33"/>
      <c r="L846" s="33"/>
      <c r="M846" s="33"/>
      <c r="N846" s="33"/>
      <c r="O846" s="33"/>
      <c r="P846" s="33"/>
      <c r="Q846" s="33"/>
      <c r="R846" s="33"/>
      <c r="S846" s="33"/>
      <c r="T846" s="33"/>
      <c r="U846" s="33"/>
      <c r="V846" s="33"/>
      <c r="W846" s="33"/>
      <c r="X846" s="33"/>
      <c r="Y846" s="33"/>
      <c r="Z846" s="33"/>
      <c r="AA846" s="33"/>
      <c r="AB846" s="33"/>
      <c r="AC846" s="33"/>
      <c r="AD846" s="33"/>
      <c r="AE846" s="33"/>
      <c r="AF846" s="33"/>
      <c r="AG846" s="33"/>
      <c r="AH846" s="33"/>
      <c r="AI846" s="33"/>
      <c r="AJ846" s="33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  <c r="BK846" s="33"/>
      <c r="BL846" s="33"/>
      <c r="BM846" s="33"/>
    </row>
    <row r="847" spans="1:65" ht="15" customHeight="1">
      <c r="A847" s="33"/>
      <c r="B847" s="33"/>
      <c r="C847" s="33"/>
      <c r="D847" s="33"/>
      <c r="E847" s="33"/>
      <c r="F847" s="33"/>
      <c r="G847" s="33"/>
      <c r="H847" s="33"/>
      <c r="I847" s="33"/>
      <c r="J847" s="33"/>
      <c r="K847" s="33"/>
      <c r="L847" s="33"/>
      <c r="M847" s="33"/>
      <c r="N847" s="33"/>
      <c r="O847" s="33"/>
      <c r="P847" s="33"/>
      <c r="Q847" s="33"/>
      <c r="R847" s="33"/>
      <c r="S847" s="33"/>
      <c r="T847" s="33"/>
      <c r="U847" s="33"/>
      <c r="V847" s="33"/>
      <c r="W847" s="33"/>
      <c r="X847" s="33"/>
      <c r="Y847" s="33"/>
      <c r="Z847" s="33"/>
      <c r="AA847" s="33"/>
      <c r="AB847" s="33"/>
      <c r="AC847" s="33"/>
      <c r="AD847" s="33"/>
      <c r="AE847" s="33"/>
      <c r="AF847" s="33"/>
      <c r="AG847" s="33"/>
      <c r="AH847" s="33"/>
      <c r="AI847" s="33"/>
      <c r="AJ847" s="33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  <c r="BK847" s="33"/>
      <c r="BL847" s="33"/>
      <c r="BM847" s="33"/>
    </row>
    <row r="848" spans="1:65" ht="15" customHeight="1">
      <c r="A848" s="33"/>
      <c r="B848" s="33"/>
      <c r="C848" s="33"/>
      <c r="D848" s="33"/>
      <c r="E848" s="33"/>
      <c r="F848" s="33"/>
      <c r="G848" s="33"/>
      <c r="H848" s="33"/>
      <c r="I848" s="33"/>
      <c r="J848" s="33"/>
      <c r="K848" s="33"/>
      <c r="L848" s="33"/>
      <c r="M848" s="33"/>
      <c r="N848" s="33"/>
      <c r="O848" s="33"/>
      <c r="P848" s="33"/>
      <c r="Q848" s="33"/>
      <c r="R848" s="33"/>
      <c r="S848" s="33"/>
      <c r="T848" s="33"/>
      <c r="U848" s="33"/>
      <c r="V848" s="33"/>
      <c r="W848" s="33"/>
      <c r="X848" s="33"/>
      <c r="Y848" s="33"/>
      <c r="Z848" s="33"/>
      <c r="AA848" s="33"/>
      <c r="AB848" s="33"/>
      <c r="AC848" s="33"/>
      <c r="AD848" s="33"/>
      <c r="AE848" s="33"/>
      <c r="AF848" s="33"/>
      <c r="AG848" s="33"/>
      <c r="AH848" s="33"/>
      <c r="AI848" s="33"/>
      <c r="AJ848" s="33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  <c r="BG848" s="33"/>
      <c r="BH848" s="33"/>
      <c r="BI848" s="33"/>
      <c r="BJ848" s="33"/>
      <c r="BK848" s="33"/>
      <c r="BL848" s="33"/>
      <c r="BM848" s="33"/>
    </row>
    <row r="849" spans="1:65" ht="15" customHeight="1">
      <c r="A849" s="33"/>
      <c r="B849" s="33"/>
      <c r="C849" s="33"/>
      <c r="D849" s="33"/>
      <c r="E849" s="33"/>
      <c r="F849" s="33"/>
      <c r="G849" s="33"/>
      <c r="H849" s="33"/>
      <c r="I849" s="33"/>
      <c r="J849" s="33"/>
      <c r="K849" s="33"/>
      <c r="L849" s="33"/>
      <c r="M849" s="33"/>
      <c r="N849" s="33"/>
      <c r="O849" s="33"/>
      <c r="P849" s="33"/>
      <c r="Q849" s="33"/>
      <c r="R849" s="33"/>
      <c r="S849" s="33"/>
      <c r="T849" s="33"/>
      <c r="U849" s="33"/>
      <c r="V849" s="33"/>
      <c r="W849" s="33"/>
      <c r="X849" s="33"/>
      <c r="Y849" s="33"/>
      <c r="Z849" s="33"/>
      <c r="AA849" s="33"/>
      <c r="AB849" s="33"/>
      <c r="AC849" s="33"/>
      <c r="AD849" s="33"/>
      <c r="AE849" s="33"/>
      <c r="AF849" s="33"/>
      <c r="AG849" s="33"/>
      <c r="AH849" s="33"/>
      <c r="AI849" s="33"/>
      <c r="AJ849" s="33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  <c r="BK849" s="33"/>
      <c r="BL849" s="33"/>
      <c r="BM849" s="33"/>
    </row>
    <row r="850" spans="1:65" ht="15" customHeight="1">
      <c r="A850" s="33"/>
      <c r="B850" s="33"/>
      <c r="C850" s="33"/>
      <c r="D850" s="33"/>
      <c r="E850" s="33"/>
      <c r="F850" s="33"/>
      <c r="G850" s="33"/>
      <c r="H850" s="33"/>
      <c r="I850" s="33"/>
      <c r="J850" s="33"/>
      <c r="K850" s="33"/>
      <c r="L850" s="33"/>
      <c r="M850" s="33"/>
      <c r="N850" s="33"/>
      <c r="O850" s="33"/>
      <c r="P850" s="33"/>
      <c r="Q850" s="33"/>
      <c r="R850" s="33"/>
      <c r="S850" s="33"/>
      <c r="T850" s="33"/>
      <c r="U850" s="33"/>
      <c r="V850" s="33"/>
      <c r="W850" s="33"/>
      <c r="X850" s="33"/>
      <c r="Y850" s="33"/>
      <c r="Z850" s="33"/>
      <c r="AA850" s="33"/>
      <c r="AB850" s="33"/>
      <c r="AC850" s="33"/>
      <c r="AD850" s="33"/>
      <c r="AE850" s="33"/>
      <c r="AF850" s="33"/>
      <c r="AG850" s="33"/>
      <c r="AH850" s="33"/>
      <c r="AI850" s="33"/>
      <c r="AJ850" s="33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  <c r="BK850" s="33"/>
      <c r="BL850" s="33"/>
      <c r="BM850" s="33"/>
    </row>
    <row r="851" spans="1:65" ht="15" customHeight="1">
      <c r="A851" s="33"/>
      <c r="B851" s="33"/>
      <c r="C851" s="33"/>
      <c r="D851" s="33"/>
      <c r="E851" s="33"/>
      <c r="F851" s="33"/>
      <c r="G851" s="33"/>
      <c r="H851" s="33"/>
      <c r="I851" s="33"/>
      <c r="J851" s="33"/>
      <c r="K851" s="33"/>
      <c r="L851" s="33"/>
      <c r="M851" s="33"/>
      <c r="N851" s="33"/>
      <c r="O851" s="33"/>
      <c r="P851" s="33"/>
      <c r="Q851" s="33"/>
      <c r="R851" s="33"/>
      <c r="S851" s="33"/>
      <c r="T851" s="33"/>
      <c r="U851" s="33"/>
      <c r="V851" s="33"/>
      <c r="W851" s="33"/>
      <c r="X851" s="33"/>
      <c r="Y851" s="33"/>
      <c r="Z851" s="33"/>
      <c r="AA851" s="33"/>
      <c r="AB851" s="33"/>
      <c r="AC851" s="33"/>
      <c r="AD851" s="33"/>
      <c r="AE851" s="33"/>
      <c r="AF851" s="33"/>
      <c r="AG851" s="33"/>
      <c r="AH851" s="33"/>
      <c r="AI851" s="33"/>
      <c r="AJ851" s="33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  <c r="BK851" s="33"/>
      <c r="BL851" s="33"/>
      <c r="BM851" s="33"/>
    </row>
    <row r="852" spans="1:65" ht="15" customHeight="1">
      <c r="A852" s="33"/>
      <c r="B852" s="33"/>
      <c r="C852" s="33"/>
      <c r="D852" s="33"/>
      <c r="E852" s="33"/>
      <c r="F852" s="33"/>
      <c r="G852" s="33"/>
      <c r="H852" s="33"/>
      <c r="I852" s="33"/>
      <c r="J852" s="33"/>
      <c r="K852" s="33"/>
      <c r="L852" s="33"/>
      <c r="M852" s="33"/>
      <c r="N852" s="33"/>
      <c r="O852" s="33"/>
      <c r="P852" s="33"/>
      <c r="Q852" s="33"/>
      <c r="R852" s="33"/>
      <c r="S852" s="33"/>
      <c r="T852" s="33"/>
      <c r="U852" s="33"/>
      <c r="V852" s="33"/>
      <c r="W852" s="33"/>
      <c r="X852" s="33"/>
      <c r="Y852" s="33"/>
      <c r="Z852" s="33"/>
      <c r="AA852" s="33"/>
      <c r="AB852" s="33"/>
      <c r="AC852" s="33"/>
      <c r="AD852" s="33"/>
      <c r="AE852" s="33"/>
      <c r="AF852" s="33"/>
      <c r="AG852" s="33"/>
      <c r="AH852" s="33"/>
      <c r="AI852" s="33"/>
      <c r="AJ852" s="33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  <c r="BK852" s="33"/>
      <c r="BL852" s="33"/>
      <c r="BM852" s="33"/>
    </row>
    <row r="853" spans="1:65" ht="15" customHeight="1">
      <c r="A853" s="33"/>
      <c r="B853" s="33"/>
      <c r="C853" s="33"/>
      <c r="D853" s="33"/>
      <c r="E853" s="33"/>
      <c r="F853" s="33"/>
      <c r="G853" s="33"/>
      <c r="H853" s="33"/>
      <c r="I853" s="33"/>
      <c r="J853" s="33"/>
      <c r="K853" s="33"/>
      <c r="L853" s="33"/>
      <c r="M853" s="33"/>
      <c r="N853" s="33"/>
      <c r="O853" s="33"/>
      <c r="P853" s="33"/>
      <c r="Q853" s="33"/>
      <c r="R853" s="33"/>
      <c r="S853" s="33"/>
      <c r="T853" s="33"/>
      <c r="U853" s="33"/>
      <c r="V853" s="33"/>
      <c r="W853" s="33"/>
      <c r="X853" s="33"/>
      <c r="Y853" s="33"/>
      <c r="Z853" s="33"/>
      <c r="AA853" s="33"/>
      <c r="AB853" s="33"/>
      <c r="AC853" s="33"/>
      <c r="AD853" s="33"/>
      <c r="AE853" s="33"/>
      <c r="AF853" s="33"/>
      <c r="AG853" s="33"/>
      <c r="AH853" s="33"/>
      <c r="AI853" s="33"/>
      <c r="AJ853" s="33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  <c r="BK853" s="33"/>
      <c r="BL853" s="33"/>
      <c r="BM853" s="33"/>
    </row>
    <row r="854" spans="1:65" ht="15" customHeight="1">
      <c r="A854" s="33"/>
      <c r="B854" s="33"/>
      <c r="C854" s="33"/>
      <c r="D854" s="33"/>
      <c r="E854" s="33"/>
      <c r="F854" s="33"/>
      <c r="G854" s="33"/>
      <c r="H854" s="33"/>
      <c r="I854" s="33"/>
      <c r="J854" s="33"/>
      <c r="K854" s="33"/>
      <c r="L854" s="33"/>
      <c r="M854" s="33"/>
      <c r="N854" s="33"/>
      <c r="O854" s="33"/>
      <c r="P854" s="33"/>
      <c r="Q854" s="33"/>
      <c r="R854" s="33"/>
      <c r="S854" s="33"/>
      <c r="T854" s="33"/>
      <c r="U854" s="33"/>
      <c r="V854" s="33"/>
      <c r="W854" s="33"/>
      <c r="X854" s="33"/>
      <c r="Y854" s="33"/>
      <c r="Z854" s="33"/>
      <c r="AA854" s="33"/>
      <c r="AB854" s="33"/>
      <c r="AC854" s="33"/>
      <c r="AD854" s="33"/>
      <c r="AE854" s="33"/>
      <c r="AF854" s="33"/>
      <c r="AG854" s="33"/>
      <c r="AH854" s="33"/>
      <c r="AI854" s="33"/>
      <c r="AJ854" s="33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  <c r="BK854" s="33"/>
      <c r="BL854" s="33"/>
      <c r="BM854" s="33"/>
    </row>
    <row r="855" spans="1:65" ht="15" customHeight="1">
      <c r="A855" s="33"/>
      <c r="B855" s="33"/>
      <c r="C855" s="33"/>
      <c r="D855" s="33"/>
      <c r="E855" s="33"/>
      <c r="F855" s="33"/>
      <c r="G855" s="33"/>
      <c r="H855" s="33"/>
      <c r="I855" s="33"/>
      <c r="J855" s="33"/>
      <c r="K855" s="33"/>
      <c r="L855" s="33"/>
      <c r="M855" s="33"/>
      <c r="N855" s="33"/>
      <c r="O855" s="33"/>
      <c r="P855" s="33"/>
      <c r="Q855" s="33"/>
      <c r="R855" s="33"/>
      <c r="S855" s="33"/>
      <c r="T855" s="33"/>
      <c r="U855" s="33"/>
      <c r="V855" s="33"/>
      <c r="W855" s="33"/>
      <c r="X855" s="33"/>
      <c r="Y855" s="33"/>
      <c r="Z855" s="33"/>
      <c r="AA855" s="33"/>
      <c r="AB855" s="33"/>
      <c r="AC855" s="33"/>
      <c r="AD855" s="33"/>
      <c r="AE855" s="33"/>
      <c r="AF855" s="33"/>
      <c r="AG855" s="33"/>
      <c r="AH855" s="33"/>
      <c r="AI855" s="33"/>
      <c r="AJ855" s="33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  <c r="BG855" s="33"/>
      <c r="BH855" s="33"/>
      <c r="BI855" s="33"/>
      <c r="BJ855" s="33"/>
      <c r="BK855" s="33"/>
      <c r="BL855" s="33"/>
      <c r="BM855" s="33"/>
    </row>
    <row r="856" spans="1:65" ht="15" customHeight="1">
      <c r="A856" s="33"/>
      <c r="B856" s="33"/>
      <c r="C856" s="33"/>
      <c r="D856" s="33"/>
      <c r="E856" s="33"/>
      <c r="F856" s="33"/>
      <c r="G856" s="33"/>
      <c r="H856" s="33"/>
      <c r="I856" s="33"/>
      <c r="J856" s="33"/>
      <c r="K856" s="33"/>
      <c r="L856" s="33"/>
      <c r="M856" s="33"/>
      <c r="N856" s="33"/>
      <c r="O856" s="33"/>
      <c r="P856" s="33"/>
      <c r="Q856" s="33"/>
      <c r="R856" s="33"/>
      <c r="S856" s="33"/>
      <c r="T856" s="33"/>
      <c r="U856" s="33"/>
      <c r="V856" s="33"/>
      <c r="W856" s="33"/>
      <c r="X856" s="33"/>
      <c r="Y856" s="33"/>
      <c r="Z856" s="33"/>
      <c r="AA856" s="33"/>
      <c r="AB856" s="33"/>
      <c r="AC856" s="33"/>
      <c r="AD856" s="33"/>
      <c r="AE856" s="33"/>
      <c r="AF856" s="33"/>
      <c r="AG856" s="33"/>
      <c r="AH856" s="33"/>
      <c r="AI856" s="33"/>
      <c r="AJ856" s="33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  <c r="BK856" s="33"/>
      <c r="BL856" s="33"/>
      <c r="BM856" s="33"/>
    </row>
    <row r="857" spans="1:65" ht="15" customHeight="1">
      <c r="A857" s="33"/>
      <c r="B857" s="33"/>
      <c r="C857" s="33"/>
      <c r="D857" s="33"/>
      <c r="E857" s="33"/>
      <c r="F857" s="33"/>
      <c r="G857" s="33"/>
      <c r="H857" s="33"/>
      <c r="I857" s="33"/>
      <c r="J857" s="33"/>
      <c r="K857" s="33"/>
      <c r="L857" s="33"/>
      <c r="M857" s="33"/>
      <c r="N857" s="33"/>
      <c r="O857" s="33"/>
      <c r="P857" s="33"/>
      <c r="Q857" s="33"/>
      <c r="R857" s="33"/>
      <c r="S857" s="33"/>
      <c r="T857" s="33"/>
      <c r="U857" s="33"/>
      <c r="V857" s="33"/>
      <c r="W857" s="33"/>
      <c r="X857" s="33"/>
      <c r="Y857" s="33"/>
      <c r="Z857" s="33"/>
      <c r="AA857" s="33"/>
      <c r="AB857" s="33"/>
      <c r="AC857" s="33"/>
      <c r="AD857" s="33"/>
      <c r="AE857" s="33"/>
      <c r="AF857" s="33"/>
      <c r="AG857" s="33"/>
      <c r="AH857" s="33"/>
      <c r="AI857" s="33"/>
      <c r="AJ857" s="33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  <c r="BK857" s="33"/>
      <c r="BL857" s="33"/>
      <c r="BM857" s="33"/>
    </row>
    <row r="858" spans="1:65" ht="15" customHeight="1">
      <c r="A858" s="33"/>
      <c r="B858" s="33"/>
      <c r="C858" s="33"/>
      <c r="D858" s="33"/>
      <c r="E858" s="33"/>
      <c r="F858" s="33"/>
      <c r="G858" s="33"/>
      <c r="H858" s="33"/>
      <c r="I858" s="33"/>
      <c r="J858" s="33"/>
      <c r="K858" s="33"/>
      <c r="L858" s="33"/>
      <c r="M858" s="33"/>
      <c r="N858" s="33"/>
      <c r="O858" s="33"/>
      <c r="P858" s="33"/>
      <c r="Q858" s="33"/>
      <c r="R858" s="33"/>
      <c r="S858" s="33"/>
      <c r="T858" s="33"/>
      <c r="U858" s="33"/>
      <c r="V858" s="33"/>
      <c r="W858" s="33"/>
      <c r="X858" s="33"/>
      <c r="Y858" s="33"/>
      <c r="Z858" s="33"/>
      <c r="AA858" s="33"/>
      <c r="AB858" s="33"/>
      <c r="AC858" s="33"/>
      <c r="AD858" s="33"/>
      <c r="AE858" s="33"/>
      <c r="AF858" s="33"/>
      <c r="AG858" s="33"/>
      <c r="AH858" s="33"/>
      <c r="AI858" s="33"/>
      <c r="AJ858" s="33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  <c r="BK858" s="33"/>
      <c r="BL858" s="33"/>
      <c r="BM858" s="33"/>
    </row>
    <row r="859" spans="1:65" ht="15" customHeight="1">
      <c r="A859" s="33"/>
      <c r="B859" s="33"/>
      <c r="C859" s="33"/>
      <c r="D859" s="33"/>
      <c r="E859" s="33"/>
      <c r="F859" s="33"/>
      <c r="G859" s="33"/>
      <c r="H859" s="33"/>
      <c r="I859" s="33"/>
      <c r="J859" s="33"/>
      <c r="K859" s="33"/>
      <c r="L859" s="33"/>
      <c r="M859" s="33"/>
      <c r="N859" s="33"/>
      <c r="O859" s="33"/>
      <c r="P859" s="33"/>
      <c r="Q859" s="33"/>
      <c r="R859" s="33"/>
      <c r="S859" s="33"/>
      <c r="T859" s="33"/>
      <c r="U859" s="33"/>
      <c r="V859" s="33"/>
      <c r="W859" s="33"/>
      <c r="X859" s="33"/>
      <c r="Y859" s="33"/>
      <c r="Z859" s="33"/>
      <c r="AA859" s="33"/>
      <c r="AB859" s="33"/>
      <c r="AC859" s="33"/>
      <c r="AD859" s="33"/>
      <c r="AE859" s="33"/>
      <c r="AF859" s="33"/>
      <c r="AG859" s="33"/>
      <c r="AH859" s="33"/>
      <c r="AI859" s="33"/>
      <c r="AJ859" s="33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  <c r="BK859" s="33"/>
      <c r="BL859" s="33"/>
      <c r="BM859" s="33"/>
    </row>
    <row r="860" spans="1:65" ht="15" customHeight="1">
      <c r="A860" s="33"/>
      <c r="B860" s="33"/>
      <c r="C860" s="33"/>
      <c r="D860" s="33"/>
      <c r="E860" s="33"/>
      <c r="F860" s="33"/>
      <c r="G860" s="33"/>
      <c r="H860" s="33"/>
      <c r="I860" s="33"/>
      <c r="J860" s="33"/>
      <c r="K860" s="33"/>
      <c r="L860" s="33"/>
      <c r="M860" s="33"/>
      <c r="N860" s="33"/>
      <c r="O860" s="33"/>
      <c r="P860" s="33"/>
      <c r="Q860" s="33"/>
      <c r="R860" s="33"/>
      <c r="S860" s="33"/>
      <c r="T860" s="33"/>
      <c r="U860" s="33"/>
      <c r="V860" s="33"/>
      <c r="W860" s="33"/>
      <c r="X860" s="33"/>
      <c r="Y860" s="33"/>
      <c r="Z860" s="33"/>
      <c r="AA860" s="33"/>
      <c r="AB860" s="33"/>
      <c r="AC860" s="33"/>
      <c r="AD860" s="33"/>
      <c r="AE860" s="33"/>
      <c r="AF860" s="33"/>
      <c r="AG860" s="33"/>
      <c r="AH860" s="33"/>
      <c r="AI860" s="33"/>
      <c r="AJ860" s="33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  <c r="BK860" s="33"/>
      <c r="BL860" s="33"/>
      <c r="BM860" s="33"/>
    </row>
    <row r="861" spans="1:65" ht="15" customHeight="1">
      <c r="A861" s="33"/>
      <c r="B861" s="33"/>
      <c r="C861" s="33"/>
      <c r="D861" s="33"/>
      <c r="E861" s="33"/>
      <c r="F861" s="33"/>
      <c r="G861" s="33"/>
      <c r="H861" s="33"/>
      <c r="I861" s="33"/>
      <c r="J861" s="33"/>
      <c r="K861" s="33"/>
      <c r="L861" s="33"/>
      <c r="M861" s="33"/>
      <c r="N861" s="33"/>
      <c r="O861" s="33"/>
      <c r="P861" s="33"/>
      <c r="Q861" s="33"/>
      <c r="R861" s="33"/>
      <c r="S861" s="33"/>
      <c r="T861" s="33"/>
      <c r="U861" s="33"/>
      <c r="V861" s="33"/>
      <c r="W861" s="33"/>
      <c r="X861" s="33"/>
      <c r="Y861" s="33"/>
      <c r="Z861" s="33"/>
      <c r="AA861" s="33"/>
      <c r="AB861" s="33"/>
      <c r="AC861" s="33"/>
      <c r="AD861" s="33"/>
      <c r="AE861" s="33"/>
      <c r="AF861" s="33"/>
      <c r="AG861" s="33"/>
      <c r="AH861" s="33"/>
      <c r="AI861" s="33"/>
      <c r="AJ861" s="33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  <c r="BK861" s="33"/>
      <c r="BL861" s="33"/>
      <c r="BM861" s="33"/>
    </row>
    <row r="862" spans="1:65" ht="15" customHeight="1">
      <c r="A862" s="33"/>
      <c r="B862" s="33"/>
      <c r="C862" s="33"/>
      <c r="D862" s="33"/>
      <c r="E862" s="33"/>
      <c r="F862" s="33"/>
      <c r="G862" s="33"/>
      <c r="H862" s="33"/>
      <c r="I862" s="33"/>
      <c r="J862" s="33"/>
      <c r="K862" s="33"/>
      <c r="L862" s="33"/>
      <c r="M862" s="33"/>
      <c r="N862" s="33"/>
      <c r="O862" s="33"/>
      <c r="P862" s="33"/>
      <c r="Q862" s="33"/>
      <c r="R862" s="33"/>
      <c r="S862" s="33"/>
      <c r="T862" s="33"/>
      <c r="U862" s="33"/>
      <c r="V862" s="33"/>
      <c r="W862" s="33"/>
      <c r="X862" s="33"/>
      <c r="Y862" s="33"/>
      <c r="Z862" s="33"/>
      <c r="AA862" s="33"/>
      <c r="AB862" s="33"/>
      <c r="AC862" s="33"/>
      <c r="AD862" s="33"/>
      <c r="AE862" s="33"/>
      <c r="AF862" s="33"/>
      <c r="AG862" s="33"/>
      <c r="AH862" s="33"/>
      <c r="AI862" s="33"/>
      <c r="AJ862" s="33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  <c r="BK862" s="33"/>
      <c r="BL862" s="33"/>
      <c r="BM862" s="33"/>
    </row>
    <row r="863" spans="1:65" ht="15" customHeight="1">
      <c r="A863" s="33"/>
      <c r="B863" s="33"/>
      <c r="C863" s="33"/>
      <c r="D863" s="33"/>
      <c r="E863" s="33"/>
      <c r="F863" s="33"/>
      <c r="G863" s="33"/>
      <c r="H863" s="33"/>
      <c r="I863" s="33"/>
      <c r="J863" s="33"/>
      <c r="K863" s="33"/>
      <c r="L863" s="33"/>
      <c r="M863" s="33"/>
      <c r="N863" s="33"/>
      <c r="O863" s="33"/>
      <c r="P863" s="33"/>
      <c r="Q863" s="33"/>
      <c r="R863" s="33"/>
      <c r="S863" s="33"/>
      <c r="T863" s="33"/>
      <c r="U863" s="33"/>
      <c r="V863" s="33"/>
      <c r="W863" s="33"/>
      <c r="X863" s="33"/>
      <c r="Y863" s="33"/>
      <c r="Z863" s="33"/>
      <c r="AA863" s="33"/>
      <c r="AB863" s="33"/>
      <c r="AC863" s="33"/>
      <c r="AD863" s="33"/>
      <c r="AE863" s="33"/>
      <c r="AF863" s="33"/>
      <c r="AG863" s="33"/>
      <c r="AH863" s="33"/>
      <c r="AI863" s="33"/>
      <c r="AJ863" s="33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  <c r="BK863" s="33"/>
      <c r="BL863" s="33"/>
      <c r="BM863" s="33"/>
    </row>
    <row r="864" spans="1:65" ht="15" customHeight="1">
      <c r="A864" s="33"/>
      <c r="B864" s="33"/>
      <c r="C864" s="33"/>
      <c r="D864" s="33"/>
      <c r="E864" s="33"/>
      <c r="F864" s="33"/>
      <c r="G864" s="33"/>
      <c r="H864" s="33"/>
      <c r="I864" s="33"/>
      <c r="J864" s="33"/>
      <c r="K864" s="33"/>
      <c r="L864" s="33"/>
      <c r="M864" s="33"/>
      <c r="N864" s="33"/>
      <c r="O864" s="33"/>
      <c r="P864" s="33"/>
      <c r="Q864" s="33"/>
      <c r="R864" s="33"/>
      <c r="S864" s="33"/>
      <c r="T864" s="33"/>
      <c r="U864" s="33"/>
      <c r="V864" s="33"/>
      <c r="W864" s="33"/>
      <c r="X864" s="33"/>
      <c r="Y864" s="33"/>
      <c r="Z864" s="33"/>
      <c r="AA864" s="33"/>
      <c r="AB864" s="33"/>
      <c r="AC864" s="33"/>
      <c r="AD864" s="33"/>
      <c r="AE864" s="33"/>
      <c r="AF864" s="33"/>
      <c r="AG864" s="33"/>
      <c r="AH864" s="33"/>
      <c r="AI864" s="33"/>
      <c r="AJ864" s="33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  <c r="BK864" s="33"/>
      <c r="BL864" s="33"/>
      <c r="BM864" s="33"/>
    </row>
    <row r="865" spans="1:65" ht="15" customHeight="1">
      <c r="A865" s="33"/>
      <c r="B865" s="33"/>
      <c r="C865" s="33"/>
      <c r="D865" s="33"/>
      <c r="E865" s="33"/>
      <c r="F865" s="33"/>
      <c r="G865" s="33"/>
      <c r="H865" s="33"/>
      <c r="I865" s="33"/>
      <c r="J865" s="33"/>
      <c r="K865" s="33"/>
      <c r="L865" s="33"/>
      <c r="M865" s="33"/>
      <c r="N865" s="33"/>
      <c r="O865" s="33"/>
      <c r="P865" s="33"/>
      <c r="Q865" s="33"/>
      <c r="R865" s="33"/>
      <c r="S865" s="33"/>
      <c r="T865" s="33"/>
      <c r="U865" s="33"/>
      <c r="V865" s="33"/>
      <c r="W865" s="33"/>
      <c r="X865" s="33"/>
      <c r="Y865" s="33"/>
      <c r="Z865" s="33"/>
      <c r="AA865" s="33"/>
      <c r="AB865" s="33"/>
      <c r="AC865" s="33"/>
      <c r="AD865" s="33"/>
      <c r="AE865" s="33"/>
      <c r="AF865" s="33"/>
      <c r="AG865" s="33"/>
      <c r="AH865" s="33"/>
      <c r="AI865" s="33"/>
      <c r="AJ865" s="33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  <c r="BK865" s="33"/>
      <c r="BL865" s="33"/>
      <c r="BM865" s="33"/>
    </row>
    <row r="866" spans="1:65" ht="15" customHeight="1">
      <c r="A866" s="33"/>
      <c r="B866" s="33"/>
      <c r="C866" s="33"/>
      <c r="D866" s="33"/>
      <c r="E866" s="33"/>
      <c r="F866" s="33"/>
      <c r="G866" s="33"/>
      <c r="H866" s="33"/>
      <c r="I866" s="33"/>
      <c r="J866" s="33"/>
      <c r="K866" s="33"/>
      <c r="L866" s="33"/>
      <c r="M866" s="33"/>
      <c r="N866" s="33"/>
      <c r="O866" s="33"/>
      <c r="P866" s="33"/>
      <c r="Q866" s="33"/>
      <c r="R866" s="33"/>
      <c r="S866" s="33"/>
      <c r="T866" s="33"/>
      <c r="U866" s="33"/>
      <c r="V866" s="33"/>
      <c r="W866" s="33"/>
      <c r="X866" s="33"/>
      <c r="Y866" s="33"/>
      <c r="Z866" s="33"/>
      <c r="AA866" s="33"/>
      <c r="AB866" s="33"/>
      <c r="AC866" s="33"/>
      <c r="AD866" s="33"/>
      <c r="AE866" s="33"/>
      <c r="AF866" s="33"/>
      <c r="AG866" s="33"/>
      <c r="AH866" s="33"/>
      <c r="AI866" s="33"/>
      <c r="AJ866" s="33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  <c r="BK866" s="33"/>
      <c r="BL866" s="33"/>
      <c r="BM866" s="33"/>
    </row>
    <row r="867" spans="1:65" ht="15" customHeight="1">
      <c r="A867" s="33"/>
      <c r="B867" s="33"/>
      <c r="C867" s="33"/>
      <c r="D867" s="33"/>
      <c r="E867" s="33"/>
      <c r="F867" s="33"/>
      <c r="G867" s="33"/>
      <c r="H867" s="33"/>
      <c r="I867" s="33"/>
      <c r="J867" s="33"/>
      <c r="K867" s="33"/>
      <c r="L867" s="33"/>
      <c r="M867" s="33"/>
      <c r="N867" s="33"/>
      <c r="O867" s="33"/>
      <c r="P867" s="33"/>
      <c r="Q867" s="33"/>
      <c r="R867" s="33"/>
      <c r="S867" s="33"/>
      <c r="T867" s="33"/>
      <c r="U867" s="33"/>
      <c r="V867" s="33"/>
      <c r="W867" s="33"/>
      <c r="X867" s="33"/>
      <c r="Y867" s="33"/>
      <c r="Z867" s="33"/>
      <c r="AA867" s="33"/>
      <c r="AB867" s="33"/>
      <c r="AC867" s="33"/>
      <c r="AD867" s="33"/>
      <c r="AE867" s="33"/>
      <c r="AF867" s="33"/>
      <c r="AG867" s="33"/>
      <c r="AH867" s="33"/>
      <c r="AI867" s="33"/>
      <c r="AJ867" s="33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  <c r="BK867" s="33"/>
      <c r="BL867" s="33"/>
      <c r="BM867" s="33"/>
    </row>
    <row r="868" spans="1:65" ht="15" customHeight="1">
      <c r="A868" s="33"/>
      <c r="B868" s="33"/>
      <c r="C868" s="33"/>
      <c r="D868" s="33"/>
      <c r="E868" s="33"/>
      <c r="F868" s="33"/>
      <c r="G868" s="33"/>
      <c r="H868" s="33"/>
      <c r="I868" s="33"/>
      <c r="J868" s="33"/>
      <c r="K868" s="33"/>
      <c r="L868" s="33"/>
      <c r="M868" s="33"/>
      <c r="N868" s="33"/>
      <c r="O868" s="33"/>
      <c r="P868" s="33"/>
      <c r="Q868" s="33"/>
      <c r="R868" s="33"/>
      <c r="S868" s="33"/>
      <c r="T868" s="33"/>
      <c r="U868" s="33"/>
      <c r="V868" s="33"/>
      <c r="W868" s="33"/>
      <c r="X868" s="33"/>
      <c r="Y868" s="33"/>
      <c r="Z868" s="33"/>
      <c r="AA868" s="33"/>
      <c r="AB868" s="33"/>
      <c r="AC868" s="33"/>
      <c r="AD868" s="33"/>
      <c r="AE868" s="33"/>
      <c r="AF868" s="33"/>
      <c r="AG868" s="33"/>
      <c r="AH868" s="33"/>
      <c r="AI868" s="33"/>
      <c r="AJ868" s="33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  <c r="BK868" s="33"/>
      <c r="BL868" s="33"/>
      <c r="BM868" s="33"/>
    </row>
    <row r="869" spans="1:65" ht="15" customHeight="1">
      <c r="A869" s="33"/>
      <c r="B869" s="33"/>
      <c r="C869" s="33"/>
      <c r="D869" s="33"/>
      <c r="E869" s="33"/>
      <c r="F869" s="33"/>
      <c r="G869" s="33"/>
      <c r="H869" s="33"/>
      <c r="I869" s="33"/>
      <c r="J869" s="33"/>
      <c r="K869" s="33"/>
      <c r="L869" s="33"/>
      <c r="M869" s="33"/>
      <c r="N869" s="33"/>
      <c r="O869" s="33"/>
      <c r="P869" s="33"/>
      <c r="Q869" s="33"/>
      <c r="R869" s="33"/>
      <c r="S869" s="33"/>
      <c r="T869" s="33"/>
      <c r="U869" s="33"/>
      <c r="V869" s="33"/>
      <c r="W869" s="33"/>
      <c r="X869" s="33"/>
      <c r="Y869" s="33"/>
      <c r="Z869" s="33"/>
      <c r="AA869" s="33"/>
      <c r="AB869" s="33"/>
      <c r="AC869" s="33"/>
      <c r="AD869" s="33"/>
      <c r="AE869" s="33"/>
      <c r="AF869" s="33"/>
      <c r="AG869" s="33"/>
      <c r="AH869" s="33"/>
      <c r="AI869" s="33"/>
      <c r="AJ869" s="33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  <c r="BK869" s="33"/>
      <c r="BL869" s="33"/>
      <c r="BM869" s="33"/>
    </row>
    <row r="870" spans="1:65" ht="15" customHeight="1">
      <c r="A870" s="33"/>
      <c r="B870" s="33"/>
      <c r="C870" s="33"/>
      <c r="D870" s="33"/>
      <c r="E870" s="33"/>
      <c r="F870" s="33"/>
      <c r="G870" s="33"/>
      <c r="H870" s="33"/>
      <c r="I870" s="33"/>
      <c r="J870" s="33"/>
      <c r="K870" s="33"/>
      <c r="L870" s="33"/>
      <c r="M870" s="33"/>
      <c r="N870" s="33"/>
      <c r="O870" s="33"/>
      <c r="P870" s="33"/>
      <c r="Q870" s="33"/>
      <c r="R870" s="33"/>
      <c r="S870" s="33"/>
      <c r="T870" s="33"/>
      <c r="U870" s="33"/>
      <c r="V870" s="33"/>
      <c r="W870" s="33"/>
      <c r="X870" s="33"/>
      <c r="Y870" s="33"/>
      <c r="Z870" s="33"/>
      <c r="AA870" s="33"/>
      <c r="AB870" s="33"/>
      <c r="AC870" s="33"/>
      <c r="AD870" s="33"/>
      <c r="AE870" s="33"/>
      <c r="AF870" s="33"/>
      <c r="AG870" s="33"/>
      <c r="AH870" s="33"/>
      <c r="AI870" s="33"/>
      <c r="AJ870" s="33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  <c r="BK870" s="33"/>
      <c r="BL870" s="33"/>
      <c r="BM870" s="33"/>
    </row>
    <row r="871" spans="1:65" ht="15" customHeight="1">
      <c r="A871" s="33"/>
      <c r="B871" s="33"/>
      <c r="C871" s="33"/>
      <c r="D871" s="33"/>
      <c r="E871" s="33"/>
      <c r="F871" s="33"/>
      <c r="G871" s="33"/>
      <c r="H871" s="33"/>
      <c r="I871" s="33"/>
      <c r="J871" s="33"/>
      <c r="K871" s="33"/>
      <c r="L871" s="33"/>
      <c r="M871" s="33"/>
      <c r="N871" s="33"/>
      <c r="O871" s="33"/>
      <c r="P871" s="33"/>
      <c r="Q871" s="33"/>
      <c r="R871" s="33"/>
      <c r="S871" s="33"/>
      <c r="T871" s="33"/>
      <c r="U871" s="33"/>
      <c r="V871" s="33"/>
      <c r="W871" s="33"/>
      <c r="X871" s="33"/>
      <c r="Y871" s="33"/>
      <c r="Z871" s="33"/>
      <c r="AA871" s="33"/>
      <c r="AB871" s="33"/>
      <c r="AC871" s="33"/>
      <c r="AD871" s="33"/>
      <c r="AE871" s="33"/>
      <c r="AF871" s="33"/>
      <c r="AG871" s="33"/>
      <c r="AH871" s="33"/>
      <c r="AI871" s="33"/>
      <c r="AJ871" s="33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  <c r="BK871" s="33"/>
      <c r="BL871" s="33"/>
      <c r="BM871" s="33"/>
    </row>
    <row r="872" spans="1:65" ht="15" customHeight="1">
      <c r="A872" s="33"/>
      <c r="B872" s="33"/>
      <c r="C872" s="33"/>
      <c r="D872" s="33"/>
      <c r="E872" s="33"/>
      <c r="F872" s="33"/>
      <c r="G872" s="33"/>
      <c r="H872" s="33"/>
      <c r="I872" s="33"/>
      <c r="J872" s="33"/>
      <c r="K872" s="33"/>
      <c r="L872" s="33"/>
      <c r="M872" s="33"/>
      <c r="N872" s="33"/>
      <c r="O872" s="33"/>
      <c r="P872" s="33"/>
      <c r="Q872" s="33"/>
      <c r="R872" s="33"/>
      <c r="S872" s="33"/>
      <c r="T872" s="33"/>
      <c r="U872" s="33"/>
      <c r="V872" s="33"/>
      <c r="W872" s="33"/>
      <c r="X872" s="33"/>
      <c r="Y872" s="33"/>
      <c r="Z872" s="33"/>
      <c r="AA872" s="33"/>
      <c r="AB872" s="33"/>
      <c r="AC872" s="33"/>
      <c r="AD872" s="33"/>
      <c r="AE872" s="33"/>
      <c r="AF872" s="33"/>
      <c r="AG872" s="33"/>
      <c r="AH872" s="33"/>
      <c r="AI872" s="33"/>
      <c r="AJ872" s="33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  <c r="BG872" s="33"/>
      <c r="BH872" s="33"/>
      <c r="BI872" s="33"/>
      <c r="BJ872" s="33"/>
      <c r="BK872" s="33"/>
      <c r="BL872" s="33"/>
      <c r="BM872" s="33"/>
    </row>
    <row r="873" spans="1:65" ht="15" customHeight="1">
      <c r="A873" s="33"/>
      <c r="B873" s="33"/>
      <c r="C873" s="33"/>
      <c r="D873" s="33"/>
      <c r="E873" s="33"/>
      <c r="F873" s="33"/>
      <c r="G873" s="33"/>
      <c r="H873" s="33"/>
      <c r="I873" s="33"/>
      <c r="J873" s="33"/>
      <c r="K873" s="33"/>
      <c r="L873" s="33"/>
      <c r="M873" s="33"/>
      <c r="N873" s="33"/>
      <c r="O873" s="33"/>
      <c r="P873" s="33"/>
      <c r="Q873" s="33"/>
      <c r="R873" s="33"/>
      <c r="S873" s="33"/>
      <c r="T873" s="33"/>
      <c r="U873" s="33"/>
      <c r="V873" s="33"/>
      <c r="W873" s="33"/>
      <c r="X873" s="33"/>
      <c r="Y873" s="33"/>
      <c r="Z873" s="33"/>
      <c r="AA873" s="33"/>
      <c r="AB873" s="33"/>
      <c r="AC873" s="33"/>
      <c r="AD873" s="33"/>
      <c r="AE873" s="33"/>
      <c r="AF873" s="33"/>
      <c r="AG873" s="33"/>
      <c r="AH873" s="33"/>
      <c r="AI873" s="33"/>
      <c r="AJ873" s="33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  <c r="BK873" s="33"/>
      <c r="BL873" s="33"/>
      <c r="BM873" s="33"/>
    </row>
    <row r="874" spans="1:65" ht="15" customHeight="1">
      <c r="A874" s="33"/>
      <c r="B874" s="33"/>
      <c r="C874" s="33"/>
      <c r="D874" s="33"/>
      <c r="E874" s="33"/>
      <c r="F874" s="33"/>
      <c r="G874" s="33"/>
      <c r="H874" s="33"/>
      <c r="I874" s="33"/>
      <c r="J874" s="33"/>
      <c r="K874" s="33"/>
      <c r="L874" s="33"/>
      <c r="M874" s="33"/>
      <c r="N874" s="33"/>
      <c r="O874" s="33"/>
      <c r="P874" s="33"/>
      <c r="Q874" s="33"/>
      <c r="R874" s="33"/>
      <c r="S874" s="33"/>
      <c r="T874" s="33"/>
      <c r="U874" s="33"/>
      <c r="V874" s="33"/>
      <c r="W874" s="33"/>
      <c r="X874" s="33"/>
      <c r="Y874" s="33"/>
      <c r="Z874" s="33"/>
      <c r="AA874" s="33"/>
      <c r="AB874" s="33"/>
      <c r="AC874" s="33"/>
      <c r="AD874" s="33"/>
      <c r="AE874" s="33"/>
      <c r="AF874" s="33"/>
      <c r="AG874" s="33"/>
      <c r="AH874" s="33"/>
      <c r="AI874" s="33"/>
      <c r="AJ874" s="33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  <c r="BK874" s="33"/>
      <c r="BL874" s="33"/>
      <c r="BM874" s="33"/>
    </row>
    <row r="875" spans="1:65" ht="15" customHeight="1">
      <c r="A875" s="33"/>
      <c r="B875" s="33"/>
      <c r="C875" s="33"/>
      <c r="D875" s="33"/>
      <c r="E875" s="33"/>
      <c r="F875" s="33"/>
      <c r="G875" s="33"/>
      <c r="H875" s="33"/>
      <c r="I875" s="33"/>
      <c r="J875" s="33"/>
      <c r="K875" s="33"/>
      <c r="L875" s="33"/>
      <c r="M875" s="33"/>
      <c r="N875" s="33"/>
      <c r="O875" s="33"/>
      <c r="P875" s="33"/>
      <c r="Q875" s="33"/>
      <c r="R875" s="33"/>
      <c r="S875" s="33"/>
      <c r="T875" s="33"/>
      <c r="U875" s="33"/>
      <c r="V875" s="33"/>
      <c r="W875" s="33"/>
      <c r="X875" s="33"/>
      <c r="Y875" s="33"/>
      <c r="Z875" s="33"/>
      <c r="AA875" s="33"/>
      <c r="AB875" s="33"/>
      <c r="AC875" s="33"/>
      <c r="AD875" s="33"/>
      <c r="AE875" s="33"/>
      <c r="AF875" s="33"/>
      <c r="AG875" s="33"/>
      <c r="AH875" s="33"/>
      <c r="AI875" s="33"/>
      <c r="AJ875" s="33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  <c r="BK875" s="33"/>
      <c r="BL875" s="33"/>
      <c r="BM875" s="33"/>
    </row>
    <row r="876" spans="1:65" ht="15" customHeight="1">
      <c r="A876" s="33"/>
      <c r="B876" s="33"/>
      <c r="C876" s="33"/>
      <c r="D876" s="33"/>
      <c r="E876" s="33"/>
      <c r="F876" s="33"/>
      <c r="G876" s="33"/>
      <c r="H876" s="33"/>
      <c r="I876" s="33"/>
      <c r="J876" s="33"/>
      <c r="K876" s="33"/>
      <c r="L876" s="33"/>
      <c r="M876" s="33"/>
      <c r="N876" s="33"/>
      <c r="O876" s="33"/>
      <c r="P876" s="33"/>
      <c r="Q876" s="33"/>
      <c r="R876" s="33"/>
      <c r="S876" s="33"/>
      <c r="T876" s="33"/>
      <c r="U876" s="33"/>
      <c r="V876" s="33"/>
      <c r="W876" s="33"/>
      <c r="X876" s="33"/>
      <c r="Y876" s="33"/>
      <c r="Z876" s="33"/>
      <c r="AA876" s="33"/>
      <c r="AB876" s="33"/>
      <c r="AC876" s="33"/>
      <c r="AD876" s="33"/>
      <c r="AE876" s="33"/>
      <c r="AF876" s="33"/>
      <c r="AG876" s="33"/>
      <c r="AH876" s="33"/>
      <c r="AI876" s="33"/>
      <c r="AJ876" s="33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  <c r="BK876" s="33"/>
      <c r="BL876" s="33"/>
      <c r="BM876" s="33"/>
    </row>
    <row r="877" spans="1:65" ht="15" customHeight="1">
      <c r="A877" s="33"/>
      <c r="B877" s="33"/>
      <c r="C877" s="33"/>
      <c r="D877" s="33"/>
      <c r="E877" s="33"/>
      <c r="F877" s="33"/>
      <c r="G877" s="33"/>
      <c r="H877" s="33"/>
      <c r="I877" s="33"/>
      <c r="J877" s="33"/>
      <c r="K877" s="33"/>
      <c r="L877" s="33"/>
      <c r="M877" s="33"/>
      <c r="N877" s="33"/>
      <c r="O877" s="33"/>
      <c r="P877" s="33"/>
      <c r="Q877" s="33"/>
      <c r="R877" s="33"/>
      <c r="S877" s="33"/>
      <c r="T877" s="33"/>
      <c r="U877" s="33"/>
      <c r="V877" s="33"/>
      <c r="W877" s="33"/>
      <c r="X877" s="33"/>
      <c r="Y877" s="33"/>
      <c r="Z877" s="33"/>
      <c r="AA877" s="33"/>
      <c r="AB877" s="33"/>
      <c r="AC877" s="33"/>
      <c r="AD877" s="33"/>
      <c r="AE877" s="33"/>
      <c r="AF877" s="33"/>
      <c r="AG877" s="33"/>
      <c r="AH877" s="33"/>
      <c r="AI877" s="33"/>
      <c r="AJ877" s="33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  <c r="BK877" s="33"/>
      <c r="BL877" s="33"/>
      <c r="BM877" s="33"/>
    </row>
    <row r="878" spans="1:65" ht="15" customHeight="1">
      <c r="A878" s="33"/>
      <c r="B878" s="33"/>
      <c r="C878" s="33"/>
      <c r="D878" s="33"/>
      <c r="E878" s="33"/>
      <c r="F878" s="33"/>
      <c r="G878" s="33"/>
      <c r="H878" s="33"/>
      <c r="I878" s="33"/>
      <c r="J878" s="33"/>
      <c r="K878" s="33"/>
      <c r="L878" s="33"/>
      <c r="M878" s="33"/>
      <c r="N878" s="33"/>
      <c r="O878" s="33"/>
      <c r="P878" s="33"/>
      <c r="Q878" s="33"/>
      <c r="R878" s="33"/>
      <c r="S878" s="33"/>
      <c r="T878" s="33"/>
      <c r="U878" s="33"/>
      <c r="V878" s="33"/>
      <c r="W878" s="33"/>
      <c r="X878" s="33"/>
      <c r="Y878" s="33"/>
      <c r="Z878" s="33"/>
      <c r="AA878" s="33"/>
      <c r="AB878" s="33"/>
      <c r="AC878" s="33"/>
      <c r="AD878" s="33"/>
      <c r="AE878" s="33"/>
      <c r="AF878" s="33"/>
      <c r="AG878" s="33"/>
      <c r="AH878" s="33"/>
      <c r="AI878" s="33"/>
      <c r="AJ878" s="33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  <c r="BK878" s="33"/>
      <c r="BL878" s="33"/>
      <c r="BM878" s="33"/>
    </row>
    <row r="879" spans="1:65" ht="15" customHeight="1">
      <c r="A879" s="33"/>
      <c r="B879" s="33"/>
      <c r="C879" s="33"/>
      <c r="D879" s="33"/>
      <c r="E879" s="33"/>
      <c r="F879" s="33"/>
      <c r="G879" s="33"/>
      <c r="H879" s="33"/>
      <c r="I879" s="33"/>
      <c r="J879" s="33"/>
      <c r="K879" s="33"/>
      <c r="L879" s="33"/>
      <c r="M879" s="33"/>
      <c r="N879" s="33"/>
      <c r="O879" s="33"/>
      <c r="P879" s="33"/>
      <c r="Q879" s="33"/>
      <c r="R879" s="33"/>
      <c r="S879" s="33"/>
      <c r="T879" s="33"/>
      <c r="U879" s="33"/>
      <c r="V879" s="33"/>
      <c r="W879" s="33"/>
      <c r="X879" s="33"/>
      <c r="Y879" s="33"/>
      <c r="Z879" s="33"/>
      <c r="AA879" s="33"/>
      <c r="AB879" s="33"/>
      <c r="AC879" s="33"/>
      <c r="AD879" s="33"/>
      <c r="AE879" s="33"/>
      <c r="AF879" s="33"/>
      <c r="AG879" s="33"/>
      <c r="AH879" s="33"/>
      <c r="AI879" s="33"/>
      <c r="AJ879" s="33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  <c r="BK879" s="33"/>
      <c r="BL879" s="33"/>
      <c r="BM879" s="33"/>
    </row>
    <row r="880" spans="1:65" ht="15" customHeight="1">
      <c r="A880" s="33"/>
      <c r="B880" s="33"/>
      <c r="C880" s="33"/>
      <c r="D880" s="33"/>
      <c r="E880" s="33"/>
      <c r="F880" s="33"/>
      <c r="G880" s="33"/>
      <c r="H880" s="33"/>
      <c r="I880" s="33"/>
      <c r="J880" s="33"/>
      <c r="K880" s="33"/>
      <c r="L880" s="33"/>
      <c r="M880" s="33"/>
      <c r="N880" s="33"/>
      <c r="O880" s="33"/>
      <c r="P880" s="33"/>
      <c r="Q880" s="33"/>
      <c r="R880" s="33"/>
      <c r="S880" s="33"/>
      <c r="T880" s="33"/>
      <c r="U880" s="33"/>
      <c r="V880" s="33"/>
      <c r="W880" s="33"/>
      <c r="X880" s="33"/>
      <c r="Y880" s="33"/>
      <c r="Z880" s="33"/>
      <c r="AA880" s="33"/>
      <c r="AB880" s="33"/>
      <c r="AC880" s="33"/>
      <c r="AD880" s="33"/>
      <c r="AE880" s="33"/>
      <c r="AF880" s="33"/>
      <c r="AG880" s="33"/>
      <c r="AH880" s="33"/>
      <c r="AI880" s="33"/>
      <c r="AJ880" s="33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  <c r="BG880" s="33"/>
      <c r="BH880" s="33"/>
      <c r="BI880" s="33"/>
      <c r="BJ880" s="33"/>
      <c r="BK880" s="33"/>
      <c r="BL880" s="33"/>
      <c r="BM880" s="33"/>
    </row>
    <row r="881" spans="1:65" ht="15" customHeight="1">
      <c r="A881" s="33"/>
      <c r="B881" s="33"/>
      <c r="C881" s="33"/>
      <c r="D881" s="33"/>
      <c r="E881" s="33"/>
      <c r="F881" s="33"/>
      <c r="G881" s="33"/>
      <c r="H881" s="33"/>
      <c r="I881" s="33"/>
      <c r="J881" s="33"/>
      <c r="K881" s="33"/>
      <c r="L881" s="33"/>
      <c r="M881" s="33"/>
      <c r="N881" s="33"/>
      <c r="O881" s="33"/>
      <c r="P881" s="33"/>
      <c r="Q881" s="33"/>
      <c r="R881" s="33"/>
      <c r="S881" s="33"/>
      <c r="T881" s="33"/>
      <c r="U881" s="33"/>
      <c r="V881" s="33"/>
      <c r="W881" s="33"/>
      <c r="X881" s="33"/>
      <c r="Y881" s="33"/>
      <c r="Z881" s="33"/>
      <c r="AA881" s="33"/>
      <c r="AB881" s="33"/>
      <c r="AC881" s="33"/>
      <c r="AD881" s="33"/>
      <c r="AE881" s="33"/>
      <c r="AF881" s="33"/>
      <c r="AG881" s="33"/>
      <c r="AH881" s="33"/>
      <c r="AI881" s="33"/>
      <c r="AJ881" s="33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  <c r="BK881" s="33"/>
      <c r="BL881" s="33"/>
      <c r="BM881" s="33"/>
    </row>
    <row r="882" spans="1:65" ht="15" customHeight="1">
      <c r="A882" s="33"/>
      <c r="B882" s="33"/>
      <c r="C882" s="33"/>
      <c r="D882" s="33"/>
      <c r="E882" s="33"/>
      <c r="F882" s="33"/>
      <c r="G882" s="33"/>
      <c r="H882" s="33"/>
      <c r="I882" s="33"/>
      <c r="J882" s="33"/>
      <c r="K882" s="33"/>
      <c r="L882" s="33"/>
      <c r="M882" s="33"/>
      <c r="N882" s="33"/>
      <c r="O882" s="33"/>
      <c r="P882" s="33"/>
      <c r="Q882" s="33"/>
      <c r="R882" s="33"/>
      <c r="S882" s="33"/>
      <c r="T882" s="33"/>
      <c r="U882" s="33"/>
      <c r="V882" s="33"/>
      <c r="W882" s="33"/>
      <c r="X882" s="33"/>
      <c r="Y882" s="33"/>
      <c r="Z882" s="33"/>
      <c r="AA882" s="33"/>
      <c r="AB882" s="33"/>
      <c r="AC882" s="33"/>
      <c r="AD882" s="33"/>
      <c r="AE882" s="33"/>
      <c r="AF882" s="33"/>
      <c r="AG882" s="33"/>
      <c r="AH882" s="33"/>
      <c r="AI882" s="33"/>
      <c r="AJ882" s="33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  <c r="BK882" s="33"/>
      <c r="BL882" s="33"/>
      <c r="BM882" s="33"/>
    </row>
    <row r="883" spans="1:65" ht="15" customHeight="1">
      <c r="A883" s="33"/>
      <c r="B883" s="33"/>
      <c r="C883" s="33"/>
      <c r="D883" s="33"/>
      <c r="E883" s="33"/>
      <c r="F883" s="33"/>
      <c r="G883" s="33"/>
      <c r="H883" s="33"/>
      <c r="I883" s="33"/>
      <c r="J883" s="33"/>
      <c r="K883" s="33"/>
      <c r="L883" s="33"/>
      <c r="M883" s="33"/>
      <c r="N883" s="33"/>
      <c r="O883" s="33"/>
      <c r="P883" s="33"/>
      <c r="Q883" s="33"/>
      <c r="R883" s="33"/>
      <c r="S883" s="33"/>
      <c r="T883" s="33"/>
      <c r="U883" s="33"/>
      <c r="V883" s="33"/>
      <c r="W883" s="33"/>
      <c r="X883" s="33"/>
      <c r="Y883" s="33"/>
      <c r="Z883" s="33"/>
      <c r="AA883" s="33"/>
      <c r="AB883" s="33"/>
      <c r="AC883" s="33"/>
      <c r="AD883" s="33"/>
      <c r="AE883" s="33"/>
      <c r="AF883" s="33"/>
      <c r="AG883" s="33"/>
      <c r="AH883" s="33"/>
      <c r="AI883" s="33"/>
      <c r="AJ883" s="33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  <c r="BK883" s="33"/>
      <c r="BL883" s="33"/>
      <c r="BM883" s="33"/>
    </row>
    <row r="884" spans="1:65" ht="15" customHeight="1">
      <c r="A884" s="33"/>
      <c r="B884" s="33"/>
      <c r="C884" s="33"/>
      <c r="D884" s="33"/>
      <c r="E884" s="33"/>
      <c r="F884" s="33"/>
      <c r="G884" s="33"/>
      <c r="H884" s="33"/>
      <c r="I884" s="33"/>
      <c r="J884" s="33"/>
      <c r="K884" s="33"/>
      <c r="L884" s="33"/>
      <c r="M884" s="33"/>
      <c r="N884" s="33"/>
      <c r="O884" s="33"/>
      <c r="P884" s="33"/>
      <c r="Q884" s="33"/>
      <c r="R884" s="33"/>
      <c r="S884" s="33"/>
      <c r="T884" s="33"/>
      <c r="U884" s="33"/>
      <c r="V884" s="33"/>
      <c r="W884" s="33"/>
      <c r="X884" s="33"/>
      <c r="Y884" s="33"/>
      <c r="Z884" s="33"/>
      <c r="AA884" s="33"/>
      <c r="AB884" s="33"/>
      <c r="AC884" s="33"/>
      <c r="AD884" s="33"/>
      <c r="AE884" s="33"/>
      <c r="AF884" s="33"/>
      <c r="AG884" s="33"/>
      <c r="AH884" s="33"/>
      <c r="AI884" s="33"/>
      <c r="AJ884" s="33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  <c r="BK884" s="33"/>
      <c r="BL884" s="33"/>
      <c r="BM884" s="33"/>
    </row>
    <row r="885" spans="1:65" ht="15" customHeight="1">
      <c r="A885" s="33"/>
      <c r="B885" s="33"/>
      <c r="C885" s="33"/>
      <c r="D885" s="33"/>
      <c r="E885" s="33"/>
      <c r="F885" s="33"/>
      <c r="G885" s="33"/>
      <c r="H885" s="33"/>
      <c r="I885" s="33"/>
      <c r="J885" s="33"/>
      <c r="K885" s="33"/>
      <c r="L885" s="33"/>
      <c r="M885" s="33"/>
      <c r="N885" s="33"/>
      <c r="O885" s="33"/>
      <c r="P885" s="33"/>
      <c r="Q885" s="33"/>
      <c r="R885" s="33"/>
      <c r="S885" s="33"/>
      <c r="T885" s="33"/>
      <c r="U885" s="33"/>
      <c r="V885" s="33"/>
      <c r="W885" s="33"/>
      <c r="X885" s="33"/>
      <c r="Y885" s="33"/>
      <c r="Z885" s="33"/>
      <c r="AA885" s="33"/>
      <c r="AB885" s="33"/>
      <c r="AC885" s="33"/>
      <c r="AD885" s="33"/>
      <c r="AE885" s="33"/>
      <c r="AF885" s="33"/>
      <c r="AG885" s="33"/>
      <c r="AH885" s="33"/>
      <c r="AI885" s="33"/>
      <c r="AJ885" s="33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  <c r="BK885" s="33"/>
      <c r="BL885" s="33"/>
      <c r="BM885" s="33"/>
    </row>
    <row r="886" spans="1:65" ht="15" customHeight="1">
      <c r="A886" s="33"/>
      <c r="B886" s="33"/>
      <c r="C886" s="33"/>
      <c r="D886" s="33"/>
      <c r="E886" s="33"/>
      <c r="F886" s="33"/>
      <c r="G886" s="33"/>
      <c r="H886" s="33"/>
      <c r="I886" s="33"/>
      <c r="J886" s="33"/>
      <c r="K886" s="33"/>
      <c r="L886" s="33"/>
      <c r="M886" s="33"/>
      <c r="N886" s="33"/>
      <c r="O886" s="33"/>
      <c r="P886" s="33"/>
      <c r="Q886" s="33"/>
      <c r="R886" s="33"/>
      <c r="S886" s="33"/>
      <c r="T886" s="33"/>
      <c r="U886" s="33"/>
      <c r="V886" s="33"/>
      <c r="W886" s="33"/>
      <c r="X886" s="33"/>
      <c r="Y886" s="33"/>
      <c r="Z886" s="33"/>
      <c r="AA886" s="33"/>
      <c r="AB886" s="33"/>
      <c r="AC886" s="33"/>
      <c r="AD886" s="33"/>
      <c r="AE886" s="33"/>
      <c r="AF886" s="33"/>
      <c r="AG886" s="33"/>
      <c r="AH886" s="33"/>
      <c r="AI886" s="33"/>
      <c r="AJ886" s="33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  <c r="BK886" s="33"/>
      <c r="BL886" s="33"/>
      <c r="BM886" s="33"/>
    </row>
    <row r="887" spans="1:65" ht="15" customHeight="1">
      <c r="A887" s="33"/>
      <c r="B887" s="33"/>
      <c r="C887" s="33"/>
      <c r="D887" s="33"/>
      <c r="E887" s="33"/>
      <c r="F887" s="33"/>
      <c r="G887" s="33"/>
      <c r="H887" s="33"/>
      <c r="I887" s="33"/>
      <c r="J887" s="33"/>
      <c r="K887" s="33"/>
      <c r="L887" s="33"/>
      <c r="M887" s="33"/>
      <c r="N887" s="33"/>
      <c r="O887" s="33"/>
      <c r="P887" s="33"/>
      <c r="Q887" s="33"/>
      <c r="R887" s="33"/>
      <c r="S887" s="33"/>
      <c r="T887" s="33"/>
      <c r="U887" s="33"/>
      <c r="V887" s="33"/>
      <c r="W887" s="33"/>
      <c r="X887" s="33"/>
      <c r="Y887" s="33"/>
      <c r="Z887" s="33"/>
      <c r="AA887" s="33"/>
      <c r="AB887" s="33"/>
      <c r="AC887" s="33"/>
      <c r="AD887" s="33"/>
      <c r="AE887" s="33"/>
      <c r="AF887" s="33"/>
      <c r="AG887" s="33"/>
      <c r="AH887" s="33"/>
      <c r="AI887" s="33"/>
      <c r="AJ887" s="33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  <c r="BK887" s="33"/>
      <c r="BL887" s="33"/>
      <c r="BM887" s="33"/>
    </row>
    <row r="888" spans="1:65" ht="15" customHeight="1">
      <c r="A888" s="33"/>
      <c r="B888" s="33"/>
      <c r="C888" s="33"/>
      <c r="D888" s="33"/>
      <c r="E888" s="33"/>
      <c r="F888" s="33"/>
      <c r="G888" s="33"/>
      <c r="H888" s="33"/>
      <c r="I888" s="33"/>
      <c r="J888" s="33"/>
      <c r="K888" s="33"/>
      <c r="L888" s="33"/>
      <c r="M888" s="33"/>
      <c r="N888" s="33"/>
      <c r="O888" s="33"/>
      <c r="P888" s="33"/>
      <c r="Q888" s="33"/>
      <c r="R888" s="33"/>
      <c r="S888" s="33"/>
      <c r="T888" s="33"/>
      <c r="U888" s="33"/>
      <c r="V888" s="33"/>
      <c r="W888" s="33"/>
      <c r="X888" s="33"/>
      <c r="Y888" s="33"/>
      <c r="Z888" s="33"/>
      <c r="AA888" s="33"/>
      <c r="AB888" s="33"/>
      <c r="AC888" s="33"/>
      <c r="AD888" s="33"/>
      <c r="AE888" s="33"/>
      <c r="AF888" s="33"/>
      <c r="AG888" s="33"/>
      <c r="AH888" s="33"/>
      <c r="AI888" s="33"/>
      <c r="AJ888" s="33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  <c r="BK888" s="33"/>
      <c r="BL888" s="33"/>
      <c r="BM888" s="33"/>
    </row>
    <row r="889" spans="1:65" ht="15" customHeight="1">
      <c r="A889" s="33"/>
      <c r="B889" s="33"/>
      <c r="C889" s="33"/>
      <c r="D889" s="33"/>
      <c r="E889" s="33"/>
      <c r="F889" s="33"/>
      <c r="G889" s="33"/>
      <c r="H889" s="33"/>
      <c r="I889" s="33"/>
      <c r="J889" s="33"/>
      <c r="K889" s="33"/>
      <c r="L889" s="33"/>
      <c r="M889" s="33"/>
      <c r="N889" s="33"/>
      <c r="O889" s="33"/>
      <c r="P889" s="33"/>
      <c r="Q889" s="33"/>
      <c r="R889" s="33"/>
      <c r="S889" s="33"/>
      <c r="T889" s="33"/>
      <c r="U889" s="33"/>
      <c r="V889" s="33"/>
      <c r="W889" s="33"/>
      <c r="X889" s="33"/>
      <c r="Y889" s="33"/>
      <c r="Z889" s="33"/>
      <c r="AA889" s="33"/>
      <c r="AB889" s="33"/>
      <c r="AC889" s="33"/>
      <c r="AD889" s="33"/>
      <c r="AE889" s="33"/>
      <c r="AF889" s="33"/>
      <c r="AG889" s="33"/>
      <c r="AH889" s="33"/>
      <c r="AI889" s="33"/>
      <c r="AJ889" s="33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  <c r="BK889" s="33"/>
      <c r="BL889" s="33"/>
      <c r="BM889" s="33"/>
    </row>
    <row r="890" spans="1:65" ht="15" customHeight="1">
      <c r="A890" s="33"/>
      <c r="B890" s="33"/>
      <c r="C890" s="33"/>
      <c r="D890" s="33"/>
      <c r="E890" s="33"/>
      <c r="F890" s="33"/>
      <c r="G890" s="33"/>
      <c r="H890" s="33"/>
      <c r="I890" s="33"/>
      <c r="J890" s="33"/>
      <c r="K890" s="33"/>
      <c r="L890" s="33"/>
      <c r="M890" s="33"/>
      <c r="N890" s="33"/>
      <c r="O890" s="33"/>
      <c r="P890" s="33"/>
      <c r="Q890" s="33"/>
      <c r="R890" s="33"/>
      <c r="S890" s="33"/>
      <c r="T890" s="33"/>
      <c r="U890" s="33"/>
      <c r="V890" s="33"/>
      <c r="W890" s="33"/>
      <c r="X890" s="33"/>
      <c r="Y890" s="33"/>
      <c r="Z890" s="33"/>
      <c r="AA890" s="33"/>
      <c r="AB890" s="33"/>
      <c r="AC890" s="33"/>
      <c r="AD890" s="33"/>
      <c r="AE890" s="33"/>
      <c r="AF890" s="33"/>
      <c r="AG890" s="33"/>
      <c r="AH890" s="33"/>
      <c r="AI890" s="33"/>
      <c r="AJ890" s="33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  <c r="BK890" s="33"/>
      <c r="BL890" s="33"/>
      <c r="BM890" s="33"/>
    </row>
    <row r="891" spans="1:65" ht="15" customHeight="1">
      <c r="A891" s="33"/>
      <c r="B891" s="33"/>
      <c r="C891" s="33"/>
      <c r="D891" s="33"/>
      <c r="E891" s="33"/>
      <c r="F891" s="33"/>
      <c r="G891" s="33"/>
      <c r="H891" s="33"/>
      <c r="I891" s="33"/>
      <c r="J891" s="33"/>
      <c r="K891" s="33"/>
      <c r="L891" s="33"/>
      <c r="M891" s="33"/>
      <c r="N891" s="33"/>
      <c r="O891" s="33"/>
      <c r="P891" s="33"/>
      <c r="Q891" s="33"/>
      <c r="R891" s="33"/>
      <c r="S891" s="33"/>
      <c r="T891" s="33"/>
      <c r="U891" s="33"/>
      <c r="V891" s="33"/>
      <c r="W891" s="33"/>
      <c r="X891" s="33"/>
      <c r="Y891" s="33"/>
      <c r="Z891" s="33"/>
      <c r="AA891" s="33"/>
      <c r="AB891" s="33"/>
      <c r="AC891" s="33"/>
      <c r="AD891" s="33"/>
      <c r="AE891" s="33"/>
      <c r="AF891" s="33"/>
      <c r="AG891" s="33"/>
      <c r="AH891" s="33"/>
      <c r="AI891" s="33"/>
      <c r="AJ891" s="33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  <c r="BK891" s="33"/>
      <c r="BL891" s="33"/>
      <c r="BM891" s="33"/>
    </row>
    <row r="892" spans="1:65" ht="15" customHeight="1">
      <c r="A892" s="33"/>
      <c r="B892" s="33"/>
      <c r="C892" s="33"/>
      <c r="D892" s="33"/>
      <c r="E892" s="33"/>
      <c r="F892" s="33"/>
      <c r="G892" s="33"/>
      <c r="H892" s="33"/>
      <c r="I892" s="33"/>
      <c r="J892" s="33"/>
      <c r="K892" s="33"/>
      <c r="L892" s="33"/>
      <c r="M892" s="33"/>
      <c r="N892" s="33"/>
      <c r="O892" s="33"/>
      <c r="P892" s="33"/>
      <c r="Q892" s="33"/>
      <c r="R892" s="33"/>
      <c r="S892" s="33"/>
      <c r="T892" s="33"/>
      <c r="U892" s="33"/>
      <c r="V892" s="33"/>
      <c r="W892" s="33"/>
      <c r="X892" s="33"/>
      <c r="Y892" s="33"/>
      <c r="Z892" s="33"/>
      <c r="AA892" s="33"/>
      <c r="AB892" s="33"/>
      <c r="AC892" s="33"/>
      <c r="AD892" s="33"/>
      <c r="AE892" s="33"/>
      <c r="AF892" s="33"/>
      <c r="AG892" s="33"/>
      <c r="AH892" s="33"/>
      <c r="AI892" s="33"/>
      <c r="AJ892" s="33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  <c r="BK892" s="33"/>
      <c r="BL892" s="33"/>
      <c r="BM892" s="33"/>
    </row>
    <row r="893" spans="1:65" ht="15" customHeight="1">
      <c r="A893" s="33"/>
      <c r="B893" s="33"/>
      <c r="C893" s="33"/>
      <c r="D893" s="33"/>
      <c r="E893" s="33"/>
      <c r="F893" s="33"/>
      <c r="G893" s="33"/>
      <c r="H893" s="33"/>
      <c r="I893" s="33"/>
      <c r="J893" s="33"/>
      <c r="K893" s="33"/>
      <c r="L893" s="33"/>
      <c r="M893" s="33"/>
      <c r="N893" s="33"/>
      <c r="O893" s="33"/>
      <c r="P893" s="33"/>
      <c r="Q893" s="33"/>
      <c r="R893" s="33"/>
      <c r="S893" s="33"/>
      <c r="T893" s="33"/>
      <c r="U893" s="33"/>
      <c r="V893" s="33"/>
      <c r="W893" s="33"/>
      <c r="X893" s="33"/>
      <c r="Y893" s="33"/>
      <c r="Z893" s="33"/>
      <c r="AA893" s="33"/>
      <c r="AB893" s="33"/>
      <c r="AC893" s="33"/>
      <c r="AD893" s="33"/>
      <c r="AE893" s="33"/>
      <c r="AF893" s="33"/>
      <c r="AG893" s="33"/>
      <c r="AH893" s="33"/>
      <c r="AI893" s="33"/>
      <c r="AJ893" s="33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  <c r="BK893" s="33"/>
      <c r="BL893" s="33"/>
      <c r="BM893" s="33"/>
    </row>
    <row r="894" spans="1:65" ht="15" customHeight="1">
      <c r="A894" s="33"/>
      <c r="B894" s="33"/>
      <c r="C894" s="33"/>
      <c r="D894" s="33"/>
      <c r="E894" s="33"/>
      <c r="F894" s="33"/>
      <c r="G894" s="33"/>
      <c r="H894" s="33"/>
      <c r="I894" s="33"/>
      <c r="J894" s="33"/>
      <c r="K894" s="33"/>
      <c r="L894" s="33"/>
      <c r="M894" s="33"/>
      <c r="N894" s="33"/>
      <c r="O894" s="33"/>
      <c r="P894" s="33"/>
      <c r="Q894" s="33"/>
      <c r="R894" s="33"/>
      <c r="S894" s="33"/>
      <c r="T894" s="33"/>
      <c r="U894" s="33"/>
      <c r="V894" s="33"/>
      <c r="W894" s="33"/>
      <c r="X894" s="33"/>
      <c r="Y894" s="33"/>
      <c r="Z894" s="33"/>
      <c r="AA894" s="33"/>
      <c r="AB894" s="33"/>
      <c r="AC894" s="33"/>
      <c r="AD894" s="33"/>
      <c r="AE894" s="33"/>
      <c r="AF894" s="33"/>
      <c r="AG894" s="33"/>
      <c r="AH894" s="33"/>
      <c r="AI894" s="33"/>
      <c r="AJ894" s="33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  <c r="BG894" s="33"/>
      <c r="BH894" s="33"/>
      <c r="BI894" s="33"/>
      <c r="BJ894" s="33"/>
      <c r="BK894" s="33"/>
      <c r="BL894" s="33"/>
      <c r="BM894" s="33"/>
    </row>
    <row r="895" spans="1:65" ht="15" customHeight="1">
      <c r="A895" s="33"/>
      <c r="B895" s="33"/>
      <c r="C895" s="33"/>
      <c r="D895" s="33"/>
      <c r="E895" s="33"/>
      <c r="F895" s="33"/>
      <c r="G895" s="33"/>
      <c r="H895" s="33"/>
      <c r="I895" s="33"/>
      <c r="J895" s="33"/>
      <c r="K895" s="33"/>
      <c r="L895" s="33"/>
      <c r="M895" s="33"/>
      <c r="N895" s="33"/>
      <c r="O895" s="33"/>
      <c r="P895" s="33"/>
      <c r="Q895" s="33"/>
      <c r="R895" s="33"/>
      <c r="S895" s="33"/>
      <c r="T895" s="33"/>
      <c r="U895" s="33"/>
      <c r="V895" s="33"/>
      <c r="W895" s="33"/>
      <c r="X895" s="33"/>
      <c r="Y895" s="33"/>
      <c r="Z895" s="33"/>
      <c r="AA895" s="33"/>
      <c r="AB895" s="33"/>
      <c r="AC895" s="33"/>
      <c r="AD895" s="33"/>
      <c r="AE895" s="33"/>
      <c r="AF895" s="33"/>
      <c r="AG895" s="33"/>
      <c r="AH895" s="33"/>
      <c r="AI895" s="33"/>
      <c r="AJ895" s="33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  <c r="BK895" s="33"/>
      <c r="BL895" s="33"/>
      <c r="BM895" s="33"/>
    </row>
    <row r="896" spans="1:65" ht="15" customHeight="1">
      <c r="A896" s="33"/>
      <c r="B896" s="33"/>
      <c r="C896" s="33"/>
      <c r="D896" s="33"/>
      <c r="E896" s="33"/>
      <c r="F896" s="33"/>
      <c r="G896" s="33"/>
      <c r="H896" s="33"/>
      <c r="I896" s="33"/>
      <c r="J896" s="33"/>
      <c r="K896" s="33"/>
      <c r="L896" s="33"/>
      <c r="M896" s="33"/>
      <c r="N896" s="33"/>
      <c r="O896" s="33"/>
      <c r="P896" s="33"/>
      <c r="Q896" s="33"/>
      <c r="R896" s="33"/>
      <c r="S896" s="33"/>
      <c r="T896" s="33"/>
      <c r="U896" s="33"/>
      <c r="V896" s="33"/>
      <c r="W896" s="33"/>
      <c r="X896" s="33"/>
      <c r="Y896" s="33"/>
      <c r="Z896" s="33"/>
      <c r="AA896" s="33"/>
      <c r="AB896" s="33"/>
      <c r="AC896" s="33"/>
      <c r="AD896" s="33"/>
      <c r="AE896" s="33"/>
      <c r="AF896" s="33"/>
      <c r="AG896" s="33"/>
      <c r="AH896" s="33"/>
      <c r="AI896" s="33"/>
      <c r="AJ896" s="33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  <c r="BG896" s="33"/>
      <c r="BH896" s="33"/>
      <c r="BI896" s="33"/>
      <c r="BJ896" s="33"/>
      <c r="BK896" s="33"/>
      <c r="BL896" s="33"/>
      <c r="BM896" s="33"/>
    </row>
    <row r="897" spans="1:65" ht="15" customHeight="1">
      <c r="A897" s="33"/>
      <c r="B897" s="33"/>
      <c r="C897" s="33"/>
      <c r="D897" s="33"/>
      <c r="E897" s="33"/>
      <c r="F897" s="33"/>
      <c r="G897" s="33"/>
      <c r="H897" s="33"/>
      <c r="I897" s="33"/>
      <c r="J897" s="33"/>
      <c r="K897" s="33"/>
      <c r="L897" s="33"/>
      <c r="M897" s="33"/>
      <c r="N897" s="33"/>
      <c r="O897" s="33"/>
      <c r="P897" s="33"/>
      <c r="Q897" s="33"/>
      <c r="R897" s="33"/>
      <c r="S897" s="33"/>
      <c r="T897" s="33"/>
      <c r="U897" s="33"/>
      <c r="V897" s="33"/>
      <c r="W897" s="33"/>
      <c r="X897" s="33"/>
      <c r="Y897" s="33"/>
      <c r="Z897" s="33"/>
      <c r="AA897" s="33"/>
      <c r="AB897" s="33"/>
      <c r="AC897" s="33"/>
      <c r="AD897" s="33"/>
      <c r="AE897" s="33"/>
      <c r="AF897" s="33"/>
      <c r="AG897" s="33"/>
      <c r="AH897" s="33"/>
      <c r="AI897" s="33"/>
      <c r="AJ897" s="33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  <c r="BK897" s="33"/>
      <c r="BL897" s="33"/>
      <c r="BM897" s="33"/>
    </row>
    <row r="898" spans="1:65" ht="15" customHeight="1">
      <c r="A898" s="33"/>
      <c r="B898" s="33"/>
      <c r="C898" s="33"/>
      <c r="D898" s="33"/>
      <c r="E898" s="33"/>
      <c r="F898" s="33"/>
      <c r="G898" s="33"/>
      <c r="H898" s="33"/>
      <c r="I898" s="33"/>
      <c r="J898" s="33"/>
      <c r="K898" s="33"/>
      <c r="L898" s="33"/>
      <c r="M898" s="33"/>
      <c r="N898" s="33"/>
      <c r="O898" s="33"/>
      <c r="P898" s="33"/>
      <c r="Q898" s="33"/>
      <c r="R898" s="33"/>
      <c r="S898" s="33"/>
      <c r="T898" s="33"/>
      <c r="U898" s="33"/>
      <c r="V898" s="33"/>
      <c r="W898" s="33"/>
      <c r="X898" s="33"/>
      <c r="Y898" s="33"/>
      <c r="Z898" s="33"/>
      <c r="AA898" s="33"/>
      <c r="AB898" s="33"/>
      <c r="AC898" s="33"/>
      <c r="AD898" s="33"/>
      <c r="AE898" s="33"/>
      <c r="AF898" s="33"/>
      <c r="AG898" s="33"/>
      <c r="AH898" s="33"/>
      <c r="AI898" s="33"/>
      <c r="AJ898" s="33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  <c r="BG898" s="33"/>
      <c r="BH898" s="33"/>
      <c r="BI898" s="33"/>
      <c r="BJ898" s="33"/>
      <c r="BK898" s="33"/>
      <c r="BL898" s="33"/>
      <c r="BM898" s="33"/>
    </row>
    <row r="899" spans="1:65" ht="15" customHeight="1">
      <c r="A899" s="33"/>
      <c r="B899" s="33"/>
      <c r="C899" s="33"/>
      <c r="D899" s="33"/>
      <c r="E899" s="33"/>
      <c r="F899" s="33"/>
      <c r="G899" s="33"/>
      <c r="H899" s="33"/>
      <c r="I899" s="33"/>
      <c r="J899" s="33"/>
      <c r="K899" s="33"/>
      <c r="L899" s="33"/>
      <c r="M899" s="33"/>
      <c r="N899" s="33"/>
      <c r="O899" s="33"/>
      <c r="P899" s="33"/>
      <c r="Q899" s="33"/>
      <c r="R899" s="33"/>
      <c r="S899" s="33"/>
      <c r="T899" s="33"/>
      <c r="U899" s="33"/>
      <c r="V899" s="33"/>
      <c r="W899" s="33"/>
      <c r="X899" s="33"/>
      <c r="Y899" s="33"/>
      <c r="Z899" s="33"/>
      <c r="AA899" s="33"/>
      <c r="AB899" s="33"/>
      <c r="AC899" s="33"/>
      <c r="AD899" s="33"/>
      <c r="AE899" s="33"/>
      <c r="AF899" s="33"/>
      <c r="AG899" s="33"/>
      <c r="AH899" s="33"/>
      <c r="AI899" s="33"/>
      <c r="AJ899" s="33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  <c r="BK899" s="33"/>
      <c r="BL899" s="33"/>
      <c r="BM899" s="33"/>
    </row>
    <row r="900" spans="1:65" ht="15" customHeight="1">
      <c r="A900" s="33"/>
      <c r="B900" s="33"/>
      <c r="C900" s="33"/>
      <c r="D900" s="33"/>
      <c r="E900" s="33"/>
      <c r="F900" s="33"/>
      <c r="G900" s="33"/>
      <c r="H900" s="33"/>
      <c r="I900" s="33"/>
      <c r="J900" s="33"/>
      <c r="K900" s="33"/>
      <c r="L900" s="33"/>
      <c r="M900" s="33"/>
      <c r="N900" s="33"/>
      <c r="O900" s="33"/>
      <c r="P900" s="33"/>
      <c r="Q900" s="33"/>
      <c r="R900" s="33"/>
      <c r="S900" s="33"/>
      <c r="T900" s="33"/>
      <c r="U900" s="33"/>
      <c r="V900" s="33"/>
      <c r="W900" s="33"/>
      <c r="X900" s="33"/>
      <c r="Y900" s="33"/>
      <c r="Z900" s="33"/>
      <c r="AA900" s="33"/>
      <c r="AB900" s="33"/>
      <c r="AC900" s="33"/>
      <c r="AD900" s="33"/>
      <c r="AE900" s="33"/>
      <c r="AF900" s="33"/>
      <c r="AG900" s="33"/>
      <c r="AH900" s="33"/>
      <c r="AI900" s="33"/>
      <c r="AJ900" s="33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  <c r="BG900" s="33"/>
      <c r="BH900" s="33"/>
      <c r="BI900" s="33"/>
      <c r="BJ900" s="33"/>
      <c r="BK900" s="33"/>
      <c r="BL900" s="33"/>
      <c r="BM900" s="33"/>
    </row>
    <row r="901" spans="1:65" ht="15" customHeight="1">
      <c r="A901" s="33"/>
      <c r="B901" s="33"/>
      <c r="C901" s="33"/>
      <c r="D901" s="33"/>
      <c r="E901" s="33"/>
      <c r="F901" s="33"/>
      <c r="G901" s="33"/>
      <c r="H901" s="33"/>
      <c r="I901" s="33"/>
      <c r="J901" s="33"/>
      <c r="K901" s="33"/>
      <c r="L901" s="33"/>
      <c r="M901" s="33"/>
      <c r="N901" s="33"/>
      <c r="O901" s="33"/>
      <c r="P901" s="33"/>
      <c r="Q901" s="33"/>
      <c r="R901" s="33"/>
      <c r="S901" s="33"/>
      <c r="T901" s="33"/>
      <c r="U901" s="33"/>
      <c r="V901" s="33"/>
      <c r="W901" s="33"/>
      <c r="X901" s="33"/>
      <c r="Y901" s="33"/>
      <c r="Z901" s="33"/>
      <c r="AA901" s="33"/>
      <c r="AB901" s="33"/>
      <c r="AC901" s="33"/>
      <c r="AD901" s="33"/>
      <c r="AE901" s="33"/>
      <c r="AF901" s="33"/>
      <c r="AG901" s="33"/>
      <c r="AH901" s="33"/>
      <c r="AI901" s="33"/>
      <c r="AJ901" s="33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  <c r="BK901" s="33"/>
      <c r="BL901" s="33"/>
      <c r="BM901" s="33"/>
    </row>
    <row r="902" spans="1:65" ht="15" customHeight="1">
      <c r="A902" s="33"/>
      <c r="B902" s="33"/>
      <c r="C902" s="33"/>
      <c r="D902" s="33"/>
      <c r="E902" s="33"/>
      <c r="F902" s="33"/>
      <c r="G902" s="33"/>
      <c r="H902" s="33"/>
      <c r="I902" s="33"/>
      <c r="J902" s="33"/>
      <c r="K902" s="33"/>
      <c r="L902" s="33"/>
      <c r="M902" s="33"/>
      <c r="N902" s="33"/>
      <c r="O902" s="33"/>
      <c r="P902" s="33"/>
      <c r="Q902" s="33"/>
      <c r="R902" s="33"/>
      <c r="S902" s="33"/>
      <c r="T902" s="33"/>
      <c r="U902" s="33"/>
      <c r="V902" s="33"/>
      <c r="W902" s="33"/>
      <c r="X902" s="33"/>
      <c r="Y902" s="33"/>
      <c r="Z902" s="33"/>
      <c r="AA902" s="33"/>
      <c r="AB902" s="33"/>
      <c r="AC902" s="33"/>
      <c r="AD902" s="33"/>
      <c r="AE902" s="33"/>
      <c r="AF902" s="33"/>
      <c r="AG902" s="33"/>
      <c r="AH902" s="33"/>
      <c r="AI902" s="33"/>
      <c r="AJ902" s="33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  <c r="BG902" s="33"/>
      <c r="BH902" s="33"/>
      <c r="BI902" s="33"/>
      <c r="BJ902" s="33"/>
      <c r="BK902" s="33"/>
      <c r="BL902" s="33"/>
      <c r="BM902" s="33"/>
    </row>
    <row r="903" spans="1:65" ht="15" customHeight="1">
      <c r="A903" s="33"/>
      <c r="B903" s="33"/>
      <c r="C903" s="33"/>
      <c r="D903" s="33"/>
      <c r="E903" s="33"/>
      <c r="F903" s="33"/>
      <c r="G903" s="33"/>
      <c r="H903" s="33"/>
      <c r="I903" s="33"/>
      <c r="J903" s="33"/>
      <c r="K903" s="33"/>
      <c r="L903" s="33"/>
      <c r="M903" s="33"/>
      <c r="N903" s="33"/>
      <c r="O903" s="33"/>
      <c r="P903" s="33"/>
      <c r="Q903" s="33"/>
      <c r="R903" s="33"/>
      <c r="S903" s="33"/>
      <c r="T903" s="33"/>
      <c r="U903" s="33"/>
      <c r="V903" s="33"/>
      <c r="W903" s="33"/>
      <c r="X903" s="33"/>
      <c r="Y903" s="33"/>
      <c r="Z903" s="33"/>
      <c r="AA903" s="33"/>
      <c r="AB903" s="33"/>
      <c r="AC903" s="33"/>
      <c r="AD903" s="33"/>
      <c r="AE903" s="33"/>
      <c r="AF903" s="33"/>
      <c r="AG903" s="33"/>
      <c r="AH903" s="33"/>
      <c r="AI903" s="33"/>
      <c r="AJ903" s="33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  <c r="BK903" s="33"/>
      <c r="BL903" s="33"/>
      <c r="BM903" s="33"/>
    </row>
    <row r="904" spans="1:65" ht="15" customHeight="1">
      <c r="A904" s="33"/>
      <c r="B904" s="33"/>
      <c r="C904" s="33"/>
      <c r="D904" s="33"/>
      <c r="E904" s="33"/>
      <c r="F904" s="33"/>
      <c r="G904" s="33"/>
      <c r="H904" s="33"/>
      <c r="I904" s="33"/>
      <c r="J904" s="33"/>
      <c r="K904" s="33"/>
      <c r="L904" s="33"/>
      <c r="M904" s="33"/>
      <c r="N904" s="33"/>
      <c r="O904" s="33"/>
      <c r="P904" s="33"/>
      <c r="Q904" s="33"/>
      <c r="R904" s="33"/>
      <c r="S904" s="33"/>
      <c r="T904" s="33"/>
      <c r="U904" s="33"/>
      <c r="V904" s="33"/>
      <c r="W904" s="33"/>
      <c r="X904" s="33"/>
      <c r="Y904" s="33"/>
      <c r="Z904" s="33"/>
      <c r="AA904" s="33"/>
      <c r="AB904" s="33"/>
      <c r="AC904" s="33"/>
      <c r="AD904" s="33"/>
      <c r="AE904" s="33"/>
      <c r="AF904" s="33"/>
      <c r="AG904" s="33"/>
      <c r="AH904" s="33"/>
      <c r="AI904" s="33"/>
      <c r="AJ904" s="33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  <c r="BG904" s="33"/>
      <c r="BH904" s="33"/>
      <c r="BI904" s="33"/>
      <c r="BJ904" s="33"/>
      <c r="BK904" s="33"/>
      <c r="BL904" s="33"/>
      <c r="BM904" s="33"/>
    </row>
    <row r="905" spans="1:65" ht="15" customHeight="1">
      <c r="A905" s="33"/>
      <c r="B905" s="33"/>
      <c r="C905" s="33"/>
      <c r="D905" s="33"/>
      <c r="E905" s="33"/>
      <c r="F905" s="33"/>
      <c r="G905" s="33"/>
      <c r="H905" s="33"/>
      <c r="I905" s="33"/>
      <c r="J905" s="33"/>
      <c r="K905" s="33"/>
      <c r="L905" s="33"/>
      <c r="M905" s="33"/>
      <c r="N905" s="33"/>
      <c r="O905" s="33"/>
      <c r="P905" s="33"/>
      <c r="Q905" s="33"/>
      <c r="R905" s="33"/>
      <c r="S905" s="33"/>
      <c r="T905" s="33"/>
      <c r="U905" s="33"/>
      <c r="V905" s="33"/>
      <c r="W905" s="33"/>
      <c r="X905" s="33"/>
      <c r="Y905" s="33"/>
      <c r="Z905" s="33"/>
      <c r="AA905" s="33"/>
      <c r="AB905" s="33"/>
      <c r="AC905" s="33"/>
      <c r="AD905" s="33"/>
      <c r="AE905" s="33"/>
      <c r="AF905" s="33"/>
      <c r="AG905" s="33"/>
      <c r="AH905" s="33"/>
      <c r="AI905" s="33"/>
      <c r="AJ905" s="33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  <c r="BK905" s="33"/>
      <c r="BL905" s="33"/>
      <c r="BM905" s="33"/>
    </row>
    <row r="906" spans="1:65" ht="15" customHeight="1">
      <c r="A906" s="33"/>
      <c r="B906" s="33"/>
      <c r="C906" s="33"/>
      <c r="D906" s="33"/>
      <c r="E906" s="33"/>
      <c r="F906" s="33"/>
      <c r="G906" s="33"/>
      <c r="H906" s="33"/>
      <c r="I906" s="33"/>
      <c r="J906" s="33"/>
      <c r="K906" s="33"/>
      <c r="L906" s="33"/>
      <c r="M906" s="33"/>
      <c r="N906" s="33"/>
      <c r="O906" s="33"/>
      <c r="P906" s="33"/>
      <c r="Q906" s="33"/>
      <c r="R906" s="33"/>
      <c r="S906" s="33"/>
      <c r="T906" s="33"/>
      <c r="U906" s="33"/>
      <c r="V906" s="33"/>
      <c r="W906" s="33"/>
      <c r="X906" s="33"/>
      <c r="Y906" s="33"/>
      <c r="Z906" s="33"/>
      <c r="AA906" s="33"/>
      <c r="AB906" s="33"/>
      <c r="AC906" s="33"/>
      <c r="AD906" s="33"/>
      <c r="AE906" s="33"/>
      <c r="AF906" s="33"/>
      <c r="AG906" s="33"/>
      <c r="AH906" s="33"/>
      <c r="AI906" s="33"/>
      <c r="AJ906" s="33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  <c r="BG906" s="33"/>
      <c r="BH906" s="33"/>
      <c r="BI906" s="33"/>
      <c r="BJ906" s="33"/>
      <c r="BK906" s="33"/>
      <c r="BL906" s="33"/>
      <c r="BM906" s="33"/>
    </row>
    <row r="907" spans="1:65" ht="15" customHeight="1">
      <c r="A907" s="33"/>
      <c r="B907" s="33"/>
      <c r="C907" s="33"/>
      <c r="D907" s="33"/>
      <c r="E907" s="33"/>
      <c r="F907" s="33"/>
      <c r="G907" s="33"/>
      <c r="H907" s="33"/>
      <c r="I907" s="33"/>
      <c r="J907" s="33"/>
      <c r="K907" s="33"/>
      <c r="L907" s="33"/>
      <c r="M907" s="33"/>
      <c r="N907" s="33"/>
      <c r="O907" s="33"/>
      <c r="P907" s="33"/>
      <c r="Q907" s="33"/>
      <c r="R907" s="33"/>
      <c r="S907" s="33"/>
      <c r="T907" s="33"/>
      <c r="U907" s="33"/>
      <c r="V907" s="33"/>
      <c r="W907" s="33"/>
      <c r="X907" s="33"/>
      <c r="Y907" s="33"/>
      <c r="Z907" s="33"/>
      <c r="AA907" s="33"/>
      <c r="AB907" s="33"/>
      <c r="AC907" s="33"/>
      <c r="AD907" s="33"/>
      <c r="AE907" s="33"/>
      <c r="AF907" s="33"/>
      <c r="AG907" s="33"/>
      <c r="AH907" s="33"/>
      <c r="AI907" s="33"/>
      <c r="AJ907" s="33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  <c r="BK907" s="33"/>
      <c r="BL907" s="33"/>
      <c r="BM907" s="33"/>
    </row>
    <row r="908" spans="1:65" ht="15" customHeight="1">
      <c r="A908" s="33"/>
      <c r="B908" s="33"/>
      <c r="C908" s="33"/>
      <c r="D908" s="33"/>
      <c r="E908" s="33"/>
      <c r="F908" s="33"/>
      <c r="G908" s="33"/>
      <c r="H908" s="33"/>
      <c r="I908" s="33"/>
      <c r="J908" s="33"/>
      <c r="K908" s="33"/>
      <c r="L908" s="33"/>
      <c r="M908" s="33"/>
      <c r="N908" s="33"/>
      <c r="O908" s="33"/>
      <c r="P908" s="33"/>
      <c r="Q908" s="33"/>
      <c r="R908" s="33"/>
      <c r="S908" s="33"/>
      <c r="T908" s="33"/>
      <c r="U908" s="33"/>
      <c r="V908" s="33"/>
      <c r="W908" s="33"/>
      <c r="X908" s="33"/>
      <c r="Y908" s="33"/>
      <c r="Z908" s="33"/>
      <c r="AA908" s="33"/>
      <c r="AB908" s="33"/>
      <c r="AC908" s="33"/>
      <c r="AD908" s="33"/>
      <c r="AE908" s="33"/>
      <c r="AF908" s="33"/>
      <c r="AG908" s="33"/>
      <c r="AH908" s="33"/>
      <c r="AI908" s="33"/>
      <c r="AJ908" s="33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  <c r="BG908" s="33"/>
      <c r="BH908" s="33"/>
      <c r="BI908" s="33"/>
      <c r="BJ908" s="33"/>
      <c r="BK908" s="33"/>
      <c r="BL908" s="33"/>
      <c r="BM908" s="33"/>
    </row>
    <row r="909" spans="1:65" ht="15" customHeight="1">
      <c r="A909" s="33"/>
      <c r="B909" s="33"/>
      <c r="C909" s="33"/>
      <c r="D909" s="33"/>
      <c r="E909" s="33"/>
      <c r="F909" s="33"/>
      <c r="G909" s="33"/>
      <c r="H909" s="33"/>
      <c r="I909" s="33"/>
      <c r="J909" s="33"/>
      <c r="K909" s="33"/>
      <c r="L909" s="33"/>
      <c r="M909" s="33"/>
      <c r="N909" s="33"/>
      <c r="O909" s="33"/>
      <c r="P909" s="33"/>
      <c r="Q909" s="33"/>
      <c r="R909" s="33"/>
      <c r="S909" s="33"/>
      <c r="T909" s="33"/>
      <c r="U909" s="33"/>
      <c r="V909" s="33"/>
      <c r="W909" s="33"/>
      <c r="X909" s="33"/>
      <c r="Y909" s="33"/>
      <c r="Z909" s="33"/>
      <c r="AA909" s="33"/>
      <c r="AB909" s="33"/>
      <c r="AC909" s="33"/>
      <c r="AD909" s="33"/>
      <c r="AE909" s="33"/>
      <c r="AF909" s="33"/>
      <c r="AG909" s="33"/>
      <c r="AH909" s="33"/>
      <c r="AI909" s="33"/>
      <c r="AJ909" s="33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  <c r="BK909" s="33"/>
      <c r="BL909" s="33"/>
      <c r="BM909" s="33"/>
    </row>
    <row r="910" spans="1:65" ht="15" customHeight="1">
      <c r="A910" s="33"/>
      <c r="B910" s="33"/>
      <c r="C910" s="33"/>
      <c r="D910" s="33"/>
      <c r="E910" s="33"/>
      <c r="F910" s="33"/>
      <c r="G910" s="33"/>
      <c r="H910" s="33"/>
      <c r="I910" s="33"/>
      <c r="J910" s="33"/>
      <c r="K910" s="33"/>
      <c r="L910" s="33"/>
      <c r="M910" s="33"/>
      <c r="N910" s="33"/>
      <c r="O910" s="33"/>
      <c r="P910" s="33"/>
      <c r="Q910" s="33"/>
      <c r="R910" s="33"/>
      <c r="S910" s="33"/>
      <c r="T910" s="33"/>
      <c r="U910" s="33"/>
      <c r="V910" s="33"/>
      <c r="W910" s="33"/>
      <c r="X910" s="33"/>
      <c r="Y910" s="33"/>
      <c r="Z910" s="33"/>
      <c r="AA910" s="33"/>
      <c r="AB910" s="33"/>
      <c r="AC910" s="33"/>
      <c r="AD910" s="33"/>
      <c r="AE910" s="33"/>
      <c r="AF910" s="33"/>
      <c r="AG910" s="33"/>
      <c r="AH910" s="33"/>
      <c r="AI910" s="33"/>
      <c r="AJ910" s="33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  <c r="BK910" s="33"/>
      <c r="BL910" s="33"/>
      <c r="BM910" s="33"/>
    </row>
    <row r="911" spans="1:65" ht="15" customHeight="1">
      <c r="A911" s="33"/>
      <c r="B911" s="33"/>
      <c r="C911" s="33"/>
      <c r="D911" s="33"/>
      <c r="E911" s="33"/>
      <c r="F911" s="33"/>
      <c r="G911" s="33"/>
      <c r="H911" s="33"/>
      <c r="I911" s="33"/>
      <c r="J911" s="33"/>
      <c r="K911" s="33"/>
      <c r="L911" s="33"/>
      <c r="M911" s="33"/>
      <c r="N911" s="33"/>
      <c r="O911" s="33"/>
      <c r="P911" s="33"/>
      <c r="Q911" s="33"/>
      <c r="R911" s="33"/>
      <c r="S911" s="33"/>
      <c r="T911" s="33"/>
      <c r="U911" s="33"/>
      <c r="V911" s="33"/>
      <c r="W911" s="33"/>
      <c r="X911" s="33"/>
      <c r="Y911" s="33"/>
      <c r="Z911" s="33"/>
      <c r="AA911" s="33"/>
      <c r="AB911" s="33"/>
      <c r="AC911" s="33"/>
      <c r="AD911" s="33"/>
      <c r="AE911" s="33"/>
      <c r="AF911" s="33"/>
      <c r="AG911" s="33"/>
      <c r="AH911" s="33"/>
      <c r="AI911" s="33"/>
      <c r="AJ911" s="33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  <c r="BK911" s="33"/>
      <c r="BL911" s="33"/>
      <c r="BM911" s="33"/>
    </row>
    <row r="912" spans="1:65" ht="15" customHeight="1">
      <c r="A912" s="33"/>
      <c r="B912" s="33"/>
      <c r="C912" s="33"/>
      <c r="D912" s="33"/>
      <c r="E912" s="33"/>
      <c r="F912" s="33"/>
      <c r="G912" s="33"/>
      <c r="H912" s="33"/>
      <c r="I912" s="33"/>
      <c r="J912" s="33"/>
      <c r="K912" s="33"/>
      <c r="L912" s="33"/>
      <c r="M912" s="33"/>
      <c r="N912" s="33"/>
      <c r="O912" s="33"/>
      <c r="P912" s="33"/>
      <c r="Q912" s="33"/>
      <c r="R912" s="33"/>
      <c r="S912" s="33"/>
      <c r="T912" s="33"/>
      <c r="U912" s="33"/>
      <c r="V912" s="33"/>
      <c r="W912" s="33"/>
      <c r="X912" s="33"/>
      <c r="Y912" s="33"/>
      <c r="Z912" s="33"/>
      <c r="AA912" s="33"/>
      <c r="AB912" s="33"/>
      <c r="AC912" s="33"/>
      <c r="AD912" s="33"/>
      <c r="AE912" s="33"/>
      <c r="AF912" s="33"/>
      <c r="AG912" s="33"/>
      <c r="AH912" s="33"/>
      <c r="AI912" s="33"/>
      <c r="AJ912" s="33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  <c r="BK912" s="33"/>
      <c r="BL912" s="33"/>
      <c r="BM912" s="33"/>
    </row>
    <row r="913" spans="1:65" ht="15" customHeight="1">
      <c r="A913" s="33"/>
      <c r="B913" s="33"/>
      <c r="C913" s="33"/>
      <c r="D913" s="33"/>
      <c r="E913" s="33"/>
      <c r="F913" s="33"/>
      <c r="G913" s="33"/>
      <c r="H913" s="33"/>
      <c r="I913" s="33"/>
      <c r="J913" s="33"/>
      <c r="K913" s="33"/>
      <c r="L913" s="33"/>
      <c r="M913" s="33"/>
      <c r="N913" s="33"/>
      <c r="O913" s="33"/>
      <c r="P913" s="33"/>
      <c r="Q913" s="33"/>
      <c r="R913" s="33"/>
      <c r="S913" s="33"/>
      <c r="T913" s="33"/>
      <c r="U913" s="33"/>
      <c r="V913" s="33"/>
      <c r="W913" s="33"/>
      <c r="X913" s="33"/>
      <c r="Y913" s="33"/>
      <c r="Z913" s="33"/>
      <c r="AA913" s="33"/>
      <c r="AB913" s="33"/>
      <c r="AC913" s="33"/>
      <c r="AD913" s="33"/>
      <c r="AE913" s="33"/>
      <c r="AF913" s="33"/>
      <c r="AG913" s="33"/>
      <c r="AH913" s="33"/>
      <c r="AI913" s="33"/>
      <c r="AJ913" s="33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  <c r="BK913" s="33"/>
      <c r="BL913" s="33"/>
      <c r="BM913" s="33"/>
    </row>
    <row r="914" spans="1:65" ht="15" customHeight="1">
      <c r="A914" s="33"/>
      <c r="B914" s="33"/>
      <c r="C914" s="33"/>
      <c r="D914" s="33"/>
      <c r="E914" s="33"/>
      <c r="F914" s="33"/>
      <c r="G914" s="33"/>
      <c r="H914" s="33"/>
      <c r="I914" s="33"/>
      <c r="J914" s="33"/>
      <c r="K914" s="33"/>
      <c r="L914" s="33"/>
      <c r="M914" s="33"/>
      <c r="N914" s="33"/>
      <c r="O914" s="33"/>
      <c r="P914" s="33"/>
      <c r="Q914" s="33"/>
      <c r="R914" s="33"/>
      <c r="S914" s="33"/>
      <c r="T914" s="33"/>
      <c r="U914" s="33"/>
      <c r="V914" s="33"/>
      <c r="W914" s="33"/>
      <c r="X914" s="33"/>
      <c r="Y914" s="33"/>
      <c r="Z914" s="33"/>
      <c r="AA914" s="33"/>
      <c r="AB914" s="33"/>
      <c r="AC914" s="33"/>
      <c r="AD914" s="33"/>
      <c r="AE914" s="33"/>
      <c r="AF914" s="33"/>
      <c r="AG914" s="33"/>
      <c r="AH914" s="33"/>
      <c r="AI914" s="33"/>
      <c r="AJ914" s="33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  <c r="BK914" s="33"/>
      <c r="BL914" s="33"/>
      <c r="BM914" s="33"/>
    </row>
    <row r="915" spans="1:65" ht="15" customHeight="1">
      <c r="A915" s="33"/>
      <c r="B915" s="33"/>
      <c r="C915" s="33"/>
      <c r="D915" s="33"/>
      <c r="E915" s="33"/>
      <c r="F915" s="33"/>
      <c r="G915" s="33"/>
      <c r="H915" s="33"/>
      <c r="I915" s="33"/>
      <c r="J915" s="33"/>
      <c r="K915" s="33"/>
      <c r="L915" s="33"/>
      <c r="M915" s="33"/>
      <c r="N915" s="33"/>
      <c r="O915" s="33"/>
      <c r="P915" s="33"/>
      <c r="Q915" s="33"/>
      <c r="R915" s="33"/>
      <c r="S915" s="33"/>
      <c r="T915" s="33"/>
      <c r="U915" s="33"/>
      <c r="V915" s="33"/>
      <c r="W915" s="33"/>
      <c r="X915" s="33"/>
      <c r="Y915" s="33"/>
      <c r="Z915" s="33"/>
      <c r="AA915" s="33"/>
      <c r="AB915" s="33"/>
      <c r="AC915" s="33"/>
      <c r="AD915" s="33"/>
      <c r="AE915" s="33"/>
      <c r="AF915" s="33"/>
      <c r="AG915" s="33"/>
      <c r="AH915" s="33"/>
      <c r="AI915" s="33"/>
      <c r="AJ915" s="33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  <c r="BG915" s="33"/>
      <c r="BH915" s="33"/>
      <c r="BI915" s="33"/>
      <c r="BJ915" s="33"/>
      <c r="BK915" s="33"/>
      <c r="BL915" s="33"/>
      <c r="BM915" s="33"/>
    </row>
    <row r="916" spans="1:65" ht="15" customHeight="1">
      <c r="A916" s="33"/>
      <c r="B916" s="33"/>
      <c r="C916" s="33"/>
      <c r="D916" s="33"/>
      <c r="E916" s="33"/>
      <c r="F916" s="33"/>
      <c r="G916" s="33"/>
      <c r="H916" s="33"/>
      <c r="I916" s="33"/>
      <c r="J916" s="33"/>
      <c r="K916" s="33"/>
      <c r="L916" s="33"/>
      <c r="M916" s="33"/>
      <c r="N916" s="33"/>
      <c r="O916" s="33"/>
      <c r="P916" s="33"/>
      <c r="Q916" s="33"/>
      <c r="R916" s="33"/>
      <c r="S916" s="33"/>
      <c r="T916" s="33"/>
      <c r="U916" s="33"/>
      <c r="V916" s="33"/>
      <c r="W916" s="33"/>
      <c r="X916" s="33"/>
      <c r="Y916" s="33"/>
      <c r="Z916" s="33"/>
      <c r="AA916" s="33"/>
      <c r="AB916" s="33"/>
      <c r="AC916" s="33"/>
      <c r="AD916" s="33"/>
      <c r="AE916" s="33"/>
      <c r="AF916" s="33"/>
      <c r="AG916" s="33"/>
      <c r="AH916" s="33"/>
      <c r="AI916" s="33"/>
      <c r="AJ916" s="33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  <c r="BK916" s="33"/>
      <c r="BL916" s="33"/>
      <c r="BM916" s="33"/>
    </row>
    <row r="917" spans="1:65" ht="15" customHeight="1">
      <c r="A917" s="33"/>
      <c r="B917" s="33"/>
      <c r="C917" s="33"/>
      <c r="D917" s="33"/>
      <c r="E917" s="33"/>
      <c r="F917" s="33"/>
      <c r="G917" s="33"/>
      <c r="H917" s="33"/>
      <c r="I917" s="33"/>
      <c r="J917" s="33"/>
      <c r="K917" s="33"/>
      <c r="L917" s="33"/>
      <c r="M917" s="33"/>
      <c r="N917" s="33"/>
      <c r="O917" s="33"/>
      <c r="P917" s="33"/>
      <c r="Q917" s="33"/>
      <c r="R917" s="33"/>
      <c r="S917" s="33"/>
      <c r="T917" s="33"/>
      <c r="U917" s="33"/>
      <c r="V917" s="33"/>
      <c r="W917" s="33"/>
      <c r="X917" s="33"/>
      <c r="Y917" s="33"/>
      <c r="Z917" s="33"/>
      <c r="AA917" s="33"/>
      <c r="AB917" s="33"/>
      <c r="AC917" s="33"/>
      <c r="AD917" s="33"/>
      <c r="AE917" s="33"/>
      <c r="AF917" s="33"/>
      <c r="AG917" s="33"/>
      <c r="AH917" s="33"/>
      <c r="AI917" s="33"/>
      <c r="AJ917" s="33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  <c r="BK917" s="33"/>
      <c r="BL917" s="33"/>
      <c r="BM917" s="33"/>
    </row>
    <row r="918" spans="1:65" ht="15" customHeight="1">
      <c r="A918" s="33"/>
      <c r="B918" s="33"/>
      <c r="C918" s="33"/>
      <c r="D918" s="33"/>
      <c r="E918" s="33"/>
      <c r="F918" s="33"/>
      <c r="G918" s="33"/>
      <c r="H918" s="33"/>
      <c r="I918" s="33"/>
      <c r="J918" s="33"/>
      <c r="K918" s="33"/>
      <c r="L918" s="33"/>
      <c r="M918" s="33"/>
      <c r="N918" s="33"/>
      <c r="O918" s="33"/>
      <c r="P918" s="33"/>
      <c r="Q918" s="33"/>
      <c r="R918" s="33"/>
      <c r="S918" s="33"/>
      <c r="T918" s="33"/>
      <c r="U918" s="33"/>
      <c r="V918" s="33"/>
      <c r="W918" s="33"/>
      <c r="X918" s="33"/>
      <c r="Y918" s="33"/>
      <c r="Z918" s="33"/>
      <c r="AA918" s="33"/>
      <c r="AB918" s="33"/>
      <c r="AC918" s="33"/>
      <c r="AD918" s="33"/>
      <c r="AE918" s="33"/>
      <c r="AF918" s="33"/>
      <c r="AG918" s="33"/>
      <c r="AH918" s="33"/>
      <c r="AI918" s="33"/>
      <c r="AJ918" s="33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  <c r="BK918" s="33"/>
      <c r="BL918" s="33"/>
      <c r="BM918" s="33"/>
    </row>
    <row r="919" spans="1:65" ht="15" customHeight="1">
      <c r="A919" s="33"/>
      <c r="B919" s="33"/>
      <c r="C919" s="33"/>
      <c r="D919" s="33"/>
      <c r="E919" s="33"/>
      <c r="F919" s="33"/>
      <c r="G919" s="33"/>
      <c r="H919" s="33"/>
      <c r="I919" s="33"/>
      <c r="J919" s="33"/>
      <c r="K919" s="33"/>
      <c r="L919" s="33"/>
      <c r="M919" s="33"/>
      <c r="N919" s="33"/>
      <c r="O919" s="33"/>
      <c r="P919" s="33"/>
      <c r="Q919" s="33"/>
      <c r="R919" s="33"/>
      <c r="S919" s="33"/>
      <c r="T919" s="33"/>
      <c r="U919" s="33"/>
      <c r="V919" s="33"/>
      <c r="W919" s="33"/>
      <c r="X919" s="33"/>
      <c r="Y919" s="33"/>
      <c r="Z919" s="33"/>
      <c r="AA919" s="33"/>
      <c r="AB919" s="33"/>
      <c r="AC919" s="33"/>
      <c r="AD919" s="33"/>
      <c r="AE919" s="33"/>
      <c r="AF919" s="33"/>
      <c r="AG919" s="33"/>
      <c r="AH919" s="33"/>
      <c r="AI919" s="33"/>
      <c r="AJ919" s="33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  <c r="BK919" s="33"/>
      <c r="BL919" s="33"/>
      <c r="BM919" s="33"/>
    </row>
    <row r="920" spans="1:65" ht="15" customHeight="1">
      <c r="A920" s="33"/>
      <c r="B920" s="33"/>
      <c r="C920" s="33"/>
      <c r="D920" s="33"/>
      <c r="E920" s="33"/>
      <c r="F920" s="33"/>
      <c r="G920" s="33"/>
      <c r="H920" s="33"/>
      <c r="I920" s="33"/>
      <c r="J920" s="33"/>
      <c r="K920" s="33"/>
      <c r="L920" s="33"/>
      <c r="M920" s="33"/>
      <c r="N920" s="33"/>
      <c r="O920" s="33"/>
      <c r="P920" s="33"/>
      <c r="Q920" s="33"/>
      <c r="R920" s="33"/>
      <c r="S920" s="33"/>
      <c r="T920" s="33"/>
      <c r="U920" s="33"/>
      <c r="V920" s="33"/>
      <c r="W920" s="33"/>
      <c r="X920" s="33"/>
      <c r="Y920" s="33"/>
      <c r="Z920" s="33"/>
      <c r="AA920" s="33"/>
      <c r="AB920" s="33"/>
      <c r="AC920" s="33"/>
      <c r="AD920" s="33"/>
      <c r="AE920" s="33"/>
      <c r="AF920" s="33"/>
      <c r="AG920" s="33"/>
      <c r="AH920" s="33"/>
      <c r="AI920" s="33"/>
      <c r="AJ920" s="33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  <c r="BK920" s="33"/>
      <c r="BL920" s="33"/>
      <c r="BM920" s="33"/>
    </row>
    <row r="921" spans="1:65" ht="15" customHeight="1">
      <c r="A921" s="33"/>
      <c r="B921" s="33"/>
      <c r="C921" s="33"/>
      <c r="D921" s="33"/>
      <c r="E921" s="33"/>
      <c r="F921" s="33"/>
      <c r="G921" s="33"/>
      <c r="H921" s="33"/>
      <c r="I921" s="33"/>
      <c r="J921" s="33"/>
      <c r="K921" s="33"/>
      <c r="L921" s="33"/>
      <c r="M921" s="33"/>
      <c r="N921" s="33"/>
      <c r="O921" s="33"/>
      <c r="P921" s="33"/>
      <c r="Q921" s="33"/>
      <c r="R921" s="33"/>
      <c r="S921" s="33"/>
      <c r="T921" s="33"/>
      <c r="U921" s="33"/>
      <c r="V921" s="33"/>
      <c r="W921" s="33"/>
      <c r="X921" s="33"/>
      <c r="Y921" s="33"/>
      <c r="Z921" s="33"/>
      <c r="AA921" s="33"/>
      <c r="AB921" s="33"/>
      <c r="AC921" s="33"/>
      <c r="AD921" s="33"/>
      <c r="AE921" s="33"/>
      <c r="AF921" s="33"/>
      <c r="AG921" s="33"/>
      <c r="AH921" s="33"/>
      <c r="AI921" s="33"/>
      <c r="AJ921" s="33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  <c r="BG921" s="33"/>
      <c r="BH921" s="33"/>
      <c r="BI921" s="33"/>
      <c r="BJ921" s="33"/>
      <c r="BK921" s="33"/>
      <c r="BL921" s="33"/>
      <c r="BM921" s="33"/>
    </row>
    <row r="922" spans="1:65" ht="15" customHeight="1">
      <c r="A922" s="33"/>
      <c r="B922" s="33"/>
      <c r="C922" s="33"/>
      <c r="D922" s="33"/>
      <c r="E922" s="33"/>
      <c r="F922" s="33"/>
      <c r="G922" s="33"/>
      <c r="H922" s="33"/>
      <c r="I922" s="33"/>
      <c r="J922" s="33"/>
      <c r="K922" s="33"/>
      <c r="L922" s="33"/>
      <c r="M922" s="33"/>
      <c r="N922" s="33"/>
      <c r="O922" s="33"/>
      <c r="P922" s="33"/>
      <c r="Q922" s="33"/>
      <c r="R922" s="33"/>
      <c r="S922" s="33"/>
      <c r="T922" s="33"/>
      <c r="U922" s="33"/>
      <c r="V922" s="33"/>
      <c r="W922" s="33"/>
      <c r="X922" s="33"/>
      <c r="Y922" s="33"/>
      <c r="Z922" s="33"/>
      <c r="AA922" s="33"/>
      <c r="AB922" s="33"/>
      <c r="AC922" s="33"/>
      <c r="AD922" s="33"/>
      <c r="AE922" s="33"/>
      <c r="AF922" s="33"/>
      <c r="AG922" s="33"/>
      <c r="AH922" s="33"/>
      <c r="AI922" s="33"/>
      <c r="AJ922" s="33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  <c r="BK922" s="33"/>
      <c r="BL922" s="33"/>
      <c r="BM922" s="33"/>
    </row>
    <row r="923" spans="1:65" ht="15" customHeight="1">
      <c r="A923" s="33"/>
      <c r="B923" s="33"/>
      <c r="C923" s="33"/>
      <c r="D923" s="33"/>
      <c r="E923" s="33"/>
      <c r="F923" s="33"/>
      <c r="G923" s="33"/>
      <c r="H923" s="33"/>
      <c r="I923" s="33"/>
      <c r="J923" s="33"/>
      <c r="K923" s="33"/>
      <c r="L923" s="33"/>
      <c r="M923" s="33"/>
      <c r="N923" s="33"/>
      <c r="O923" s="33"/>
      <c r="P923" s="33"/>
      <c r="Q923" s="33"/>
      <c r="R923" s="33"/>
      <c r="S923" s="33"/>
      <c r="T923" s="33"/>
      <c r="U923" s="33"/>
      <c r="V923" s="33"/>
      <c r="W923" s="33"/>
      <c r="X923" s="33"/>
      <c r="Y923" s="33"/>
      <c r="Z923" s="33"/>
      <c r="AA923" s="33"/>
      <c r="AB923" s="33"/>
      <c r="AC923" s="33"/>
      <c r="AD923" s="33"/>
      <c r="AE923" s="33"/>
      <c r="AF923" s="33"/>
      <c r="AG923" s="33"/>
      <c r="AH923" s="33"/>
      <c r="AI923" s="33"/>
      <c r="AJ923" s="33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  <c r="BG923" s="33"/>
      <c r="BH923" s="33"/>
      <c r="BI923" s="33"/>
      <c r="BJ923" s="33"/>
      <c r="BK923" s="33"/>
      <c r="BL923" s="33"/>
      <c r="BM923" s="33"/>
    </row>
    <row r="924" spans="1:65" ht="15" customHeight="1">
      <c r="A924" s="33"/>
      <c r="B924" s="33"/>
      <c r="C924" s="33"/>
      <c r="D924" s="33"/>
      <c r="E924" s="33"/>
      <c r="F924" s="33"/>
      <c r="G924" s="33"/>
      <c r="H924" s="33"/>
      <c r="I924" s="33"/>
      <c r="J924" s="33"/>
      <c r="K924" s="33"/>
      <c r="L924" s="33"/>
      <c r="M924" s="33"/>
      <c r="N924" s="33"/>
      <c r="O924" s="33"/>
      <c r="P924" s="33"/>
      <c r="Q924" s="33"/>
      <c r="R924" s="33"/>
      <c r="S924" s="33"/>
      <c r="T924" s="33"/>
      <c r="U924" s="33"/>
      <c r="V924" s="33"/>
      <c r="W924" s="33"/>
      <c r="X924" s="33"/>
      <c r="Y924" s="33"/>
      <c r="Z924" s="33"/>
      <c r="AA924" s="33"/>
      <c r="AB924" s="33"/>
      <c r="AC924" s="33"/>
      <c r="AD924" s="33"/>
      <c r="AE924" s="33"/>
      <c r="AF924" s="33"/>
      <c r="AG924" s="33"/>
      <c r="AH924" s="33"/>
      <c r="AI924" s="33"/>
      <c r="AJ924" s="33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  <c r="BK924" s="33"/>
      <c r="BL924" s="33"/>
      <c r="BM924" s="33"/>
    </row>
    <row r="925" spans="1:65" ht="15" customHeight="1">
      <c r="A925" s="33"/>
      <c r="B925" s="33"/>
      <c r="C925" s="33"/>
      <c r="D925" s="33"/>
      <c r="E925" s="33"/>
      <c r="F925" s="33"/>
      <c r="G925" s="33"/>
      <c r="H925" s="33"/>
      <c r="I925" s="33"/>
      <c r="J925" s="33"/>
      <c r="K925" s="33"/>
      <c r="L925" s="33"/>
      <c r="M925" s="33"/>
      <c r="N925" s="33"/>
      <c r="O925" s="33"/>
      <c r="P925" s="33"/>
      <c r="Q925" s="33"/>
      <c r="R925" s="33"/>
      <c r="S925" s="33"/>
      <c r="T925" s="33"/>
      <c r="U925" s="33"/>
      <c r="V925" s="33"/>
      <c r="W925" s="33"/>
      <c r="X925" s="33"/>
      <c r="Y925" s="33"/>
      <c r="Z925" s="33"/>
      <c r="AA925" s="33"/>
      <c r="AB925" s="33"/>
      <c r="AC925" s="33"/>
      <c r="AD925" s="33"/>
      <c r="AE925" s="33"/>
      <c r="AF925" s="33"/>
      <c r="AG925" s="33"/>
      <c r="AH925" s="33"/>
      <c r="AI925" s="33"/>
      <c r="AJ925" s="33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  <c r="BG925" s="33"/>
      <c r="BH925" s="33"/>
      <c r="BI925" s="33"/>
      <c r="BJ925" s="33"/>
      <c r="BK925" s="33"/>
      <c r="BL925" s="33"/>
      <c r="BM925" s="33"/>
    </row>
    <row r="926" spans="1:65" ht="15" customHeight="1">
      <c r="A926" s="33"/>
      <c r="B926" s="33"/>
      <c r="C926" s="33"/>
      <c r="D926" s="33"/>
      <c r="E926" s="33"/>
      <c r="F926" s="33"/>
      <c r="G926" s="33"/>
      <c r="H926" s="33"/>
      <c r="I926" s="33"/>
      <c r="J926" s="33"/>
      <c r="K926" s="33"/>
      <c r="L926" s="33"/>
      <c r="M926" s="33"/>
      <c r="N926" s="33"/>
      <c r="O926" s="33"/>
      <c r="P926" s="33"/>
      <c r="Q926" s="33"/>
      <c r="R926" s="33"/>
      <c r="S926" s="33"/>
      <c r="T926" s="33"/>
      <c r="U926" s="33"/>
      <c r="V926" s="33"/>
      <c r="W926" s="33"/>
      <c r="X926" s="33"/>
      <c r="Y926" s="33"/>
      <c r="Z926" s="33"/>
      <c r="AA926" s="33"/>
      <c r="AB926" s="33"/>
      <c r="AC926" s="33"/>
      <c r="AD926" s="33"/>
      <c r="AE926" s="33"/>
      <c r="AF926" s="33"/>
      <c r="AG926" s="33"/>
      <c r="AH926" s="33"/>
      <c r="AI926" s="33"/>
      <c r="AJ926" s="33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  <c r="BK926" s="33"/>
      <c r="BL926" s="33"/>
      <c r="BM926" s="33"/>
    </row>
    <row r="927" spans="1:65" ht="15" customHeight="1">
      <c r="A927" s="33"/>
      <c r="B927" s="33"/>
      <c r="C927" s="33"/>
      <c r="D927" s="33"/>
      <c r="E927" s="33"/>
      <c r="F927" s="33"/>
      <c r="G927" s="33"/>
      <c r="H927" s="33"/>
      <c r="I927" s="33"/>
      <c r="J927" s="33"/>
      <c r="K927" s="33"/>
      <c r="L927" s="33"/>
      <c r="M927" s="33"/>
      <c r="N927" s="33"/>
      <c r="O927" s="33"/>
      <c r="P927" s="33"/>
      <c r="Q927" s="33"/>
      <c r="R927" s="33"/>
      <c r="S927" s="33"/>
      <c r="T927" s="33"/>
      <c r="U927" s="33"/>
      <c r="V927" s="33"/>
      <c r="W927" s="33"/>
      <c r="X927" s="33"/>
      <c r="Y927" s="33"/>
      <c r="Z927" s="33"/>
      <c r="AA927" s="33"/>
      <c r="AB927" s="33"/>
      <c r="AC927" s="33"/>
      <c r="AD927" s="33"/>
      <c r="AE927" s="33"/>
      <c r="AF927" s="33"/>
      <c r="AG927" s="33"/>
      <c r="AH927" s="33"/>
      <c r="AI927" s="33"/>
      <c r="AJ927" s="33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  <c r="BK927" s="33"/>
      <c r="BL927" s="33"/>
      <c r="BM927" s="33"/>
    </row>
    <row r="928" spans="1:65" ht="15" customHeight="1">
      <c r="A928" s="33"/>
      <c r="B928" s="33"/>
      <c r="C928" s="33"/>
      <c r="D928" s="33"/>
      <c r="E928" s="33"/>
      <c r="F928" s="33"/>
      <c r="G928" s="33"/>
      <c r="H928" s="33"/>
      <c r="I928" s="33"/>
      <c r="J928" s="33"/>
      <c r="K928" s="33"/>
      <c r="L928" s="33"/>
      <c r="M928" s="33"/>
      <c r="N928" s="33"/>
      <c r="O928" s="33"/>
      <c r="P928" s="33"/>
      <c r="Q928" s="33"/>
      <c r="R928" s="33"/>
      <c r="S928" s="33"/>
      <c r="T928" s="33"/>
      <c r="U928" s="33"/>
      <c r="V928" s="33"/>
      <c r="W928" s="33"/>
      <c r="X928" s="33"/>
      <c r="Y928" s="33"/>
      <c r="Z928" s="33"/>
      <c r="AA928" s="33"/>
      <c r="AB928" s="33"/>
      <c r="AC928" s="33"/>
      <c r="AD928" s="33"/>
      <c r="AE928" s="33"/>
      <c r="AF928" s="33"/>
      <c r="AG928" s="33"/>
      <c r="AH928" s="33"/>
      <c r="AI928" s="33"/>
      <c r="AJ928" s="33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  <c r="BK928" s="33"/>
      <c r="BL928" s="33"/>
      <c r="BM928" s="33"/>
    </row>
    <row r="929" spans="1:65" ht="15" customHeight="1">
      <c r="A929" s="33"/>
      <c r="B929" s="33"/>
      <c r="C929" s="33"/>
      <c r="D929" s="33"/>
      <c r="E929" s="33"/>
      <c r="F929" s="33"/>
      <c r="G929" s="33"/>
      <c r="H929" s="33"/>
      <c r="I929" s="33"/>
      <c r="J929" s="33"/>
      <c r="K929" s="33"/>
      <c r="L929" s="33"/>
      <c r="M929" s="33"/>
      <c r="N929" s="33"/>
      <c r="O929" s="33"/>
      <c r="P929" s="33"/>
      <c r="Q929" s="33"/>
      <c r="R929" s="33"/>
      <c r="S929" s="33"/>
      <c r="T929" s="33"/>
      <c r="U929" s="33"/>
      <c r="V929" s="33"/>
      <c r="W929" s="33"/>
      <c r="X929" s="33"/>
      <c r="Y929" s="33"/>
      <c r="Z929" s="33"/>
      <c r="AA929" s="33"/>
      <c r="AB929" s="33"/>
      <c r="AC929" s="33"/>
      <c r="AD929" s="33"/>
      <c r="AE929" s="33"/>
      <c r="AF929" s="33"/>
      <c r="AG929" s="33"/>
      <c r="AH929" s="33"/>
      <c r="AI929" s="33"/>
      <c r="AJ929" s="33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  <c r="BG929" s="33"/>
      <c r="BH929" s="33"/>
      <c r="BI929" s="33"/>
      <c r="BJ929" s="33"/>
      <c r="BK929" s="33"/>
      <c r="BL929" s="33"/>
      <c r="BM929" s="33"/>
    </row>
    <row r="930" spans="1:65" ht="15" customHeight="1">
      <c r="A930" s="33"/>
      <c r="B930" s="33"/>
      <c r="C930" s="33"/>
      <c r="D930" s="33"/>
      <c r="E930" s="33"/>
      <c r="F930" s="33"/>
      <c r="G930" s="33"/>
      <c r="H930" s="33"/>
      <c r="I930" s="33"/>
      <c r="J930" s="33"/>
      <c r="K930" s="33"/>
      <c r="L930" s="33"/>
      <c r="M930" s="33"/>
      <c r="N930" s="33"/>
      <c r="O930" s="33"/>
      <c r="P930" s="33"/>
      <c r="Q930" s="33"/>
      <c r="R930" s="33"/>
      <c r="S930" s="33"/>
      <c r="T930" s="33"/>
      <c r="U930" s="33"/>
      <c r="V930" s="33"/>
      <c r="W930" s="33"/>
      <c r="X930" s="33"/>
      <c r="Y930" s="33"/>
      <c r="Z930" s="33"/>
      <c r="AA930" s="33"/>
      <c r="AB930" s="33"/>
      <c r="AC930" s="33"/>
      <c r="AD930" s="33"/>
      <c r="AE930" s="33"/>
      <c r="AF930" s="33"/>
      <c r="AG930" s="33"/>
      <c r="AH930" s="33"/>
      <c r="AI930" s="33"/>
      <c r="AJ930" s="33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  <c r="BK930" s="33"/>
      <c r="BL930" s="33"/>
      <c r="BM930" s="33"/>
    </row>
    <row r="931" spans="1:65" ht="15" customHeight="1">
      <c r="A931" s="33"/>
      <c r="B931" s="33"/>
      <c r="C931" s="33"/>
      <c r="D931" s="33"/>
      <c r="E931" s="33"/>
      <c r="F931" s="33"/>
      <c r="G931" s="33"/>
      <c r="H931" s="33"/>
      <c r="I931" s="33"/>
      <c r="J931" s="33"/>
      <c r="K931" s="33"/>
      <c r="L931" s="33"/>
      <c r="M931" s="33"/>
      <c r="N931" s="33"/>
      <c r="O931" s="33"/>
      <c r="P931" s="33"/>
      <c r="Q931" s="33"/>
      <c r="R931" s="33"/>
      <c r="S931" s="33"/>
      <c r="T931" s="33"/>
      <c r="U931" s="33"/>
      <c r="V931" s="33"/>
      <c r="W931" s="33"/>
      <c r="X931" s="33"/>
      <c r="Y931" s="33"/>
      <c r="Z931" s="33"/>
      <c r="AA931" s="33"/>
      <c r="AB931" s="33"/>
      <c r="AC931" s="33"/>
      <c r="AD931" s="33"/>
      <c r="AE931" s="33"/>
      <c r="AF931" s="33"/>
      <c r="AG931" s="33"/>
      <c r="AH931" s="33"/>
      <c r="AI931" s="33"/>
      <c r="AJ931" s="33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  <c r="BK931" s="33"/>
      <c r="BL931" s="33"/>
      <c r="BM931" s="33"/>
    </row>
    <row r="932" spans="1:65" ht="15" customHeight="1">
      <c r="A932" s="33"/>
      <c r="B932" s="33"/>
      <c r="C932" s="33"/>
      <c r="D932" s="33"/>
      <c r="E932" s="33"/>
      <c r="F932" s="33"/>
      <c r="G932" s="33"/>
      <c r="H932" s="33"/>
      <c r="I932" s="33"/>
      <c r="J932" s="33"/>
      <c r="K932" s="33"/>
      <c r="L932" s="33"/>
      <c r="M932" s="33"/>
      <c r="N932" s="33"/>
      <c r="O932" s="33"/>
      <c r="P932" s="33"/>
      <c r="Q932" s="33"/>
      <c r="R932" s="33"/>
      <c r="S932" s="33"/>
      <c r="T932" s="33"/>
      <c r="U932" s="33"/>
      <c r="V932" s="33"/>
      <c r="W932" s="33"/>
      <c r="X932" s="33"/>
      <c r="Y932" s="33"/>
      <c r="Z932" s="33"/>
      <c r="AA932" s="33"/>
      <c r="AB932" s="33"/>
      <c r="AC932" s="33"/>
      <c r="AD932" s="33"/>
      <c r="AE932" s="33"/>
      <c r="AF932" s="33"/>
      <c r="AG932" s="33"/>
      <c r="AH932" s="33"/>
      <c r="AI932" s="33"/>
      <c r="AJ932" s="33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  <c r="BK932" s="33"/>
      <c r="BL932" s="33"/>
      <c r="BM932" s="33"/>
    </row>
    <row r="933" spans="1:65" ht="15" customHeight="1">
      <c r="A933" s="33"/>
      <c r="B933" s="33"/>
      <c r="C933" s="33"/>
      <c r="D933" s="33"/>
      <c r="E933" s="33"/>
      <c r="F933" s="33"/>
      <c r="G933" s="33"/>
      <c r="H933" s="33"/>
      <c r="I933" s="33"/>
      <c r="J933" s="33"/>
      <c r="K933" s="33"/>
      <c r="L933" s="33"/>
      <c r="M933" s="33"/>
      <c r="N933" s="33"/>
      <c r="O933" s="33"/>
      <c r="P933" s="33"/>
      <c r="Q933" s="33"/>
      <c r="R933" s="33"/>
      <c r="S933" s="33"/>
      <c r="T933" s="33"/>
      <c r="U933" s="33"/>
      <c r="V933" s="33"/>
      <c r="W933" s="33"/>
      <c r="X933" s="33"/>
      <c r="Y933" s="33"/>
      <c r="Z933" s="33"/>
      <c r="AA933" s="33"/>
      <c r="AB933" s="33"/>
      <c r="AC933" s="33"/>
      <c r="AD933" s="33"/>
      <c r="AE933" s="33"/>
      <c r="AF933" s="33"/>
      <c r="AG933" s="33"/>
      <c r="AH933" s="33"/>
      <c r="AI933" s="33"/>
      <c r="AJ933" s="33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  <c r="BK933" s="33"/>
      <c r="BL933" s="33"/>
      <c r="BM933" s="33"/>
    </row>
    <row r="934" spans="1:65" ht="15" customHeight="1">
      <c r="A934" s="33"/>
      <c r="B934" s="33"/>
      <c r="C934" s="33"/>
      <c r="D934" s="33"/>
      <c r="E934" s="33"/>
      <c r="F934" s="33"/>
      <c r="G934" s="33"/>
      <c r="H934" s="33"/>
      <c r="I934" s="33"/>
      <c r="J934" s="33"/>
      <c r="K934" s="33"/>
      <c r="L934" s="33"/>
      <c r="M934" s="33"/>
      <c r="N934" s="33"/>
      <c r="O934" s="33"/>
      <c r="P934" s="33"/>
      <c r="Q934" s="33"/>
      <c r="R934" s="33"/>
      <c r="S934" s="33"/>
      <c r="T934" s="33"/>
      <c r="U934" s="33"/>
      <c r="V934" s="33"/>
      <c r="W934" s="33"/>
      <c r="X934" s="33"/>
      <c r="Y934" s="33"/>
      <c r="Z934" s="33"/>
      <c r="AA934" s="33"/>
      <c r="AB934" s="33"/>
      <c r="AC934" s="33"/>
      <c r="AD934" s="33"/>
      <c r="AE934" s="33"/>
      <c r="AF934" s="33"/>
      <c r="AG934" s="33"/>
      <c r="AH934" s="33"/>
      <c r="AI934" s="33"/>
      <c r="AJ934" s="33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  <c r="BK934" s="33"/>
      <c r="BL934" s="33"/>
      <c r="BM934" s="33"/>
    </row>
    <row r="935" spans="1:65" ht="15" customHeight="1">
      <c r="A935" s="33"/>
      <c r="B935" s="33"/>
      <c r="C935" s="33"/>
      <c r="D935" s="33"/>
      <c r="E935" s="33"/>
      <c r="F935" s="33"/>
      <c r="G935" s="33"/>
      <c r="H935" s="33"/>
      <c r="I935" s="33"/>
      <c r="J935" s="33"/>
      <c r="K935" s="33"/>
      <c r="L935" s="33"/>
      <c r="M935" s="33"/>
      <c r="N935" s="33"/>
      <c r="O935" s="33"/>
      <c r="P935" s="33"/>
      <c r="Q935" s="33"/>
      <c r="R935" s="33"/>
      <c r="S935" s="33"/>
      <c r="T935" s="33"/>
      <c r="U935" s="33"/>
      <c r="V935" s="33"/>
      <c r="W935" s="33"/>
      <c r="X935" s="33"/>
      <c r="Y935" s="33"/>
      <c r="Z935" s="33"/>
      <c r="AA935" s="33"/>
      <c r="AB935" s="33"/>
      <c r="AC935" s="33"/>
      <c r="AD935" s="33"/>
      <c r="AE935" s="33"/>
      <c r="AF935" s="33"/>
      <c r="AG935" s="33"/>
      <c r="AH935" s="33"/>
      <c r="AI935" s="33"/>
      <c r="AJ935" s="33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  <c r="BG935" s="33"/>
      <c r="BH935" s="33"/>
      <c r="BI935" s="33"/>
      <c r="BJ935" s="33"/>
      <c r="BK935" s="33"/>
      <c r="BL935" s="33"/>
      <c r="BM935" s="33"/>
    </row>
    <row r="936" spans="1:65" ht="15" customHeight="1">
      <c r="A936" s="33"/>
      <c r="B936" s="33"/>
      <c r="C936" s="33"/>
      <c r="D936" s="33"/>
      <c r="E936" s="33"/>
      <c r="F936" s="33"/>
      <c r="G936" s="33"/>
      <c r="H936" s="33"/>
      <c r="I936" s="33"/>
      <c r="J936" s="33"/>
      <c r="K936" s="33"/>
      <c r="L936" s="33"/>
      <c r="M936" s="33"/>
      <c r="N936" s="33"/>
      <c r="O936" s="33"/>
      <c r="P936" s="33"/>
      <c r="Q936" s="33"/>
      <c r="R936" s="33"/>
      <c r="S936" s="33"/>
      <c r="T936" s="33"/>
      <c r="U936" s="33"/>
      <c r="V936" s="33"/>
      <c r="W936" s="33"/>
      <c r="X936" s="33"/>
      <c r="Y936" s="33"/>
      <c r="Z936" s="33"/>
      <c r="AA936" s="33"/>
      <c r="AB936" s="33"/>
      <c r="AC936" s="33"/>
      <c r="AD936" s="33"/>
      <c r="AE936" s="33"/>
      <c r="AF936" s="33"/>
      <c r="AG936" s="33"/>
      <c r="AH936" s="33"/>
      <c r="AI936" s="33"/>
      <c r="AJ936" s="33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  <c r="BK936" s="33"/>
      <c r="BL936" s="33"/>
      <c r="BM936" s="33"/>
    </row>
    <row r="937" spans="1:65" ht="15" customHeight="1">
      <c r="A937" s="33"/>
      <c r="B937" s="33"/>
      <c r="C937" s="33"/>
      <c r="D937" s="33"/>
      <c r="E937" s="33"/>
      <c r="F937" s="33"/>
      <c r="G937" s="33"/>
      <c r="H937" s="33"/>
      <c r="I937" s="33"/>
      <c r="J937" s="33"/>
      <c r="K937" s="33"/>
      <c r="L937" s="33"/>
      <c r="M937" s="33"/>
      <c r="N937" s="33"/>
      <c r="O937" s="33"/>
      <c r="P937" s="33"/>
      <c r="Q937" s="33"/>
      <c r="R937" s="33"/>
      <c r="S937" s="33"/>
      <c r="T937" s="33"/>
      <c r="U937" s="33"/>
      <c r="V937" s="33"/>
      <c r="W937" s="33"/>
      <c r="X937" s="33"/>
      <c r="Y937" s="33"/>
      <c r="Z937" s="33"/>
      <c r="AA937" s="33"/>
      <c r="AB937" s="33"/>
      <c r="AC937" s="33"/>
      <c r="AD937" s="33"/>
      <c r="AE937" s="33"/>
      <c r="AF937" s="33"/>
      <c r="AG937" s="33"/>
      <c r="AH937" s="33"/>
      <c r="AI937" s="33"/>
      <c r="AJ937" s="33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  <c r="BK937" s="33"/>
      <c r="BL937" s="33"/>
      <c r="BM937" s="33"/>
    </row>
    <row r="938" spans="1:65" ht="15" customHeight="1">
      <c r="A938" s="33"/>
      <c r="B938" s="33"/>
      <c r="C938" s="33"/>
      <c r="D938" s="33"/>
      <c r="E938" s="33"/>
      <c r="F938" s="33"/>
      <c r="G938" s="33"/>
      <c r="H938" s="33"/>
      <c r="I938" s="33"/>
      <c r="J938" s="33"/>
      <c r="K938" s="33"/>
      <c r="L938" s="33"/>
      <c r="M938" s="33"/>
      <c r="N938" s="33"/>
      <c r="O938" s="33"/>
      <c r="P938" s="33"/>
      <c r="Q938" s="33"/>
      <c r="R938" s="33"/>
      <c r="S938" s="33"/>
      <c r="T938" s="33"/>
      <c r="U938" s="33"/>
      <c r="V938" s="33"/>
      <c r="W938" s="33"/>
      <c r="X938" s="33"/>
      <c r="Y938" s="33"/>
      <c r="Z938" s="33"/>
      <c r="AA938" s="33"/>
      <c r="AB938" s="33"/>
      <c r="AC938" s="33"/>
      <c r="AD938" s="33"/>
      <c r="AE938" s="33"/>
      <c r="AF938" s="33"/>
      <c r="AG938" s="33"/>
      <c r="AH938" s="33"/>
      <c r="AI938" s="33"/>
      <c r="AJ938" s="33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  <c r="BG938" s="33"/>
      <c r="BH938" s="33"/>
      <c r="BI938" s="33"/>
      <c r="BJ938" s="33"/>
      <c r="BK938" s="33"/>
      <c r="BL938" s="33"/>
      <c r="BM938" s="33"/>
    </row>
    <row r="939" spans="1:65" ht="15" customHeight="1">
      <c r="A939" s="33"/>
      <c r="B939" s="33"/>
      <c r="C939" s="33"/>
      <c r="D939" s="33"/>
      <c r="E939" s="33"/>
      <c r="F939" s="33"/>
      <c r="G939" s="33"/>
      <c r="H939" s="33"/>
      <c r="I939" s="33"/>
      <c r="J939" s="33"/>
      <c r="K939" s="33"/>
      <c r="L939" s="33"/>
      <c r="M939" s="33"/>
      <c r="N939" s="33"/>
      <c r="O939" s="33"/>
      <c r="P939" s="33"/>
      <c r="Q939" s="33"/>
      <c r="R939" s="33"/>
      <c r="S939" s="33"/>
      <c r="T939" s="33"/>
      <c r="U939" s="33"/>
      <c r="V939" s="33"/>
      <c r="W939" s="33"/>
      <c r="X939" s="33"/>
      <c r="Y939" s="33"/>
      <c r="Z939" s="33"/>
      <c r="AA939" s="33"/>
      <c r="AB939" s="33"/>
      <c r="AC939" s="33"/>
      <c r="AD939" s="33"/>
      <c r="AE939" s="33"/>
      <c r="AF939" s="33"/>
      <c r="AG939" s="33"/>
      <c r="AH939" s="33"/>
      <c r="AI939" s="33"/>
      <c r="AJ939" s="33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  <c r="BG939" s="33"/>
      <c r="BH939" s="33"/>
      <c r="BI939" s="33"/>
      <c r="BJ939" s="33"/>
      <c r="BK939" s="33"/>
      <c r="BL939" s="33"/>
      <c r="BM939" s="33"/>
    </row>
    <row r="940" spans="1:65" ht="15" customHeight="1">
      <c r="A940" s="33"/>
      <c r="B940" s="33"/>
      <c r="C940" s="33"/>
      <c r="D940" s="33"/>
      <c r="E940" s="33"/>
      <c r="F940" s="33"/>
      <c r="G940" s="33"/>
      <c r="H940" s="33"/>
      <c r="I940" s="33"/>
      <c r="J940" s="33"/>
      <c r="K940" s="33"/>
      <c r="L940" s="33"/>
      <c r="M940" s="33"/>
      <c r="N940" s="33"/>
      <c r="O940" s="33"/>
      <c r="P940" s="33"/>
      <c r="Q940" s="33"/>
      <c r="R940" s="33"/>
      <c r="S940" s="33"/>
      <c r="T940" s="33"/>
      <c r="U940" s="33"/>
      <c r="V940" s="33"/>
      <c r="W940" s="33"/>
      <c r="X940" s="33"/>
      <c r="Y940" s="33"/>
      <c r="Z940" s="33"/>
      <c r="AA940" s="33"/>
      <c r="AB940" s="33"/>
      <c r="AC940" s="33"/>
      <c r="AD940" s="33"/>
      <c r="AE940" s="33"/>
      <c r="AF940" s="33"/>
      <c r="AG940" s="33"/>
      <c r="AH940" s="33"/>
      <c r="AI940" s="33"/>
      <c r="AJ940" s="33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  <c r="BG940" s="33"/>
      <c r="BH940" s="33"/>
      <c r="BI940" s="33"/>
      <c r="BJ940" s="33"/>
      <c r="BK940" s="33"/>
      <c r="BL940" s="33"/>
      <c r="BM940" s="33"/>
    </row>
    <row r="941" spans="1:65" ht="15" customHeight="1">
      <c r="A941" s="33"/>
      <c r="B941" s="33"/>
      <c r="C941" s="33"/>
      <c r="D941" s="33"/>
      <c r="E941" s="33"/>
      <c r="F941" s="33"/>
      <c r="G941" s="33"/>
      <c r="H941" s="33"/>
      <c r="I941" s="33"/>
      <c r="J941" s="33"/>
      <c r="K941" s="33"/>
      <c r="L941" s="33"/>
      <c r="M941" s="33"/>
      <c r="N941" s="33"/>
      <c r="O941" s="33"/>
      <c r="P941" s="33"/>
      <c r="Q941" s="33"/>
      <c r="R941" s="33"/>
      <c r="S941" s="33"/>
      <c r="T941" s="33"/>
      <c r="U941" s="33"/>
      <c r="V941" s="33"/>
      <c r="W941" s="33"/>
      <c r="X941" s="33"/>
      <c r="Y941" s="33"/>
      <c r="Z941" s="33"/>
      <c r="AA941" s="33"/>
      <c r="AB941" s="33"/>
      <c r="AC941" s="33"/>
      <c r="AD941" s="33"/>
      <c r="AE941" s="33"/>
      <c r="AF941" s="33"/>
      <c r="AG941" s="33"/>
      <c r="AH941" s="33"/>
      <c r="AI941" s="33"/>
      <c r="AJ941" s="33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  <c r="BG941" s="33"/>
      <c r="BH941" s="33"/>
      <c r="BI941" s="33"/>
      <c r="BJ941" s="33"/>
      <c r="BK941" s="33"/>
      <c r="BL941" s="33"/>
      <c r="BM941" s="33"/>
    </row>
    <row r="942" spans="1:65" ht="15" customHeight="1">
      <c r="A942" s="33"/>
      <c r="B942" s="33"/>
      <c r="C942" s="33"/>
      <c r="D942" s="33"/>
      <c r="E942" s="33"/>
      <c r="F942" s="33"/>
      <c r="G942" s="33"/>
      <c r="H942" s="33"/>
      <c r="I942" s="33"/>
      <c r="J942" s="33"/>
      <c r="K942" s="33"/>
      <c r="L942" s="33"/>
      <c r="M942" s="33"/>
      <c r="N942" s="33"/>
      <c r="O942" s="33"/>
      <c r="P942" s="33"/>
      <c r="Q942" s="33"/>
      <c r="R942" s="33"/>
      <c r="S942" s="33"/>
      <c r="T942" s="33"/>
      <c r="U942" s="33"/>
      <c r="V942" s="33"/>
      <c r="W942" s="33"/>
      <c r="X942" s="33"/>
      <c r="Y942" s="33"/>
      <c r="Z942" s="33"/>
      <c r="AA942" s="33"/>
      <c r="AB942" s="33"/>
      <c r="AC942" s="33"/>
      <c r="AD942" s="33"/>
      <c r="AE942" s="33"/>
      <c r="AF942" s="33"/>
      <c r="AG942" s="33"/>
      <c r="AH942" s="33"/>
      <c r="AI942" s="33"/>
      <c r="AJ942" s="33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  <c r="BG942" s="33"/>
      <c r="BH942" s="33"/>
      <c r="BI942" s="33"/>
      <c r="BJ942" s="33"/>
      <c r="BK942" s="33"/>
      <c r="BL942" s="33"/>
      <c r="BM942" s="33"/>
    </row>
    <row r="943" spans="1:65" ht="15" customHeight="1">
      <c r="A943" s="33"/>
      <c r="B943" s="33"/>
      <c r="C943" s="33"/>
      <c r="D943" s="33"/>
      <c r="E943" s="33"/>
      <c r="F943" s="33"/>
      <c r="G943" s="33"/>
      <c r="H943" s="33"/>
      <c r="I943" s="33"/>
      <c r="J943" s="33"/>
      <c r="K943" s="33"/>
      <c r="L943" s="33"/>
      <c r="M943" s="33"/>
      <c r="N943" s="33"/>
      <c r="O943" s="33"/>
      <c r="P943" s="33"/>
      <c r="Q943" s="33"/>
      <c r="R943" s="33"/>
      <c r="S943" s="33"/>
      <c r="T943" s="33"/>
      <c r="U943" s="33"/>
      <c r="V943" s="33"/>
      <c r="W943" s="33"/>
      <c r="X943" s="33"/>
      <c r="Y943" s="33"/>
      <c r="Z943" s="33"/>
      <c r="AA943" s="33"/>
      <c r="AB943" s="33"/>
      <c r="AC943" s="33"/>
      <c r="AD943" s="33"/>
      <c r="AE943" s="33"/>
      <c r="AF943" s="33"/>
      <c r="AG943" s="33"/>
      <c r="AH943" s="33"/>
      <c r="AI943" s="33"/>
      <c r="AJ943" s="33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  <c r="BG943" s="33"/>
      <c r="BH943" s="33"/>
      <c r="BI943" s="33"/>
      <c r="BJ943" s="33"/>
      <c r="BK943" s="33"/>
      <c r="BL943" s="33"/>
      <c r="BM943" s="33"/>
    </row>
    <row r="944" spans="1:65" ht="15" customHeight="1">
      <c r="A944" s="33"/>
      <c r="B944" s="33"/>
      <c r="C944" s="33"/>
      <c r="D944" s="33"/>
      <c r="E944" s="33"/>
      <c r="F944" s="33"/>
      <c r="G944" s="33"/>
      <c r="H944" s="33"/>
      <c r="I944" s="33"/>
      <c r="J944" s="33"/>
      <c r="K944" s="33"/>
      <c r="L944" s="33"/>
      <c r="M944" s="33"/>
      <c r="N944" s="33"/>
      <c r="O944" s="33"/>
      <c r="P944" s="33"/>
      <c r="Q944" s="33"/>
      <c r="R944" s="33"/>
      <c r="S944" s="33"/>
      <c r="T944" s="33"/>
      <c r="U944" s="33"/>
      <c r="V944" s="33"/>
      <c r="W944" s="33"/>
      <c r="X944" s="33"/>
      <c r="Y944" s="33"/>
      <c r="Z944" s="33"/>
      <c r="AA944" s="33"/>
      <c r="AB944" s="33"/>
      <c r="AC944" s="33"/>
      <c r="AD944" s="33"/>
      <c r="AE944" s="33"/>
      <c r="AF944" s="33"/>
      <c r="AG944" s="33"/>
      <c r="AH944" s="33"/>
      <c r="AI944" s="33"/>
      <c r="AJ944" s="33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  <c r="BG944" s="33"/>
      <c r="BH944" s="33"/>
      <c r="BI944" s="33"/>
      <c r="BJ944" s="33"/>
      <c r="BK944" s="33"/>
      <c r="BL944" s="33"/>
      <c r="BM944" s="33"/>
    </row>
    <row r="945" spans="1:65" ht="15" customHeight="1">
      <c r="A945" s="33"/>
      <c r="B945" s="33"/>
      <c r="C945" s="33"/>
      <c r="D945" s="33"/>
      <c r="E945" s="33"/>
      <c r="F945" s="33"/>
      <c r="G945" s="33"/>
      <c r="H945" s="33"/>
      <c r="I945" s="33"/>
      <c r="J945" s="33"/>
      <c r="K945" s="33"/>
      <c r="L945" s="33"/>
      <c r="M945" s="33"/>
      <c r="N945" s="33"/>
      <c r="O945" s="33"/>
      <c r="P945" s="33"/>
      <c r="Q945" s="33"/>
      <c r="R945" s="33"/>
      <c r="S945" s="33"/>
      <c r="T945" s="33"/>
      <c r="U945" s="33"/>
      <c r="V945" s="33"/>
      <c r="W945" s="33"/>
      <c r="X945" s="33"/>
      <c r="Y945" s="33"/>
      <c r="Z945" s="33"/>
      <c r="AA945" s="33"/>
      <c r="AB945" s="33"/>
      <c r="AC945" s="33"/>
      <c r="AD945" s="33"/>
      <c r="AE945" s="33"/>
      <c r="AF945" s="33"/>
      <c r="AG945" s="33"/>
      <c r="AH945" s="33"/>
      <c r="AI945" s="33"/>
      <c r="AJ945" s="33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  <c r="BG945" s="33"/>
      <c r="BH945" s="33"/>
      <c r="BI945" s="33"/>
      <c r="BJ945" s="33"/>
      <c r="BK945" s="33"/>
      <c r="BL945" s="33"/>
      <c r="BM945" s="33"/>
    </row>
    <row r="946" spans="1:65" ht="15" customHeight="1">
      <c r="A946" s="33"/>
      <c r="B946" s="33"/>
      <c r="C946" s="33"/>
      <c r="D946" s="33"/>
      <c r="E946" s="33"/>
      <c r="F946" s="33"/>
      <c r="G946" s="33"/>
      <c r="H946" s="33"/>
      <c r="I946" s="33"/>
      <c r="J946" s="33"/>
      <c r="K946" s="33"/>
      <c r="L946" s="33"/>
      <c r="M946" s="33"/>
      <c r="N946" s="33"/>
      <c r="O946" s="33"/>
      <c r="P946" s="33"/>
      <c r="Q946" s="33"/>
      <c r="R946" s="33"/>
      <c r="S946" s="33"/>
      <c r="T946" s="33"/>
      <c r="U946" s="33"/>
      <c r="V946" s="33"/>
      <c r="W946" s="33"/>
      <c r="X946" s="33"/>
      <c r="Y946" s="33"/>
      <c r="Z946" s="33"/>
      <c r="AA946" s="33"/>
      <c r="AB946" s="33"/>
      <c r="AC946" s="33"/>
      <c r="AD946" s="33"/>
      <c r="AE946" s="33"/>
      <c r="AF946" s="33"/>
      <c r="AG946" s="33"/>
      <c r="AH946" s="33"/>
      <c r="AI946" s="33"/>
      <c r="AJ946" s="33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  <c r="BG946" s="33"/>
      <c r="BH946" s="33"/>
      <c r="BI946" s="33"/>
      <c r="BJ946" s="33"/>
      <c r="BK946" s="33"/>
      <c r="BL946" s="33"/>
      <c r="BM946" s="33"/>
    </row>
    <row r="947" spans="1:65" ht="15" customHeight="1">
      <c r="A947" s="33"/>
      <c r="B947" s="33"/>
      <c r="C947" s="33"/>
      <c r="D947" s="33"/>
      <c r="E947" s="33"/>
      <c r="F947" s="33"/>
      <c r="G947" s="33"/>
      <c r="H947" s="33"/>
      <c r="I947" s="33"/>
      <c r="J947" s="33"/>
      <c r="K947" s="33"/>
      <c r="L947" s="33"/>
      <c r="M947" s="33"/>
      <c r="N947" s="33"/>
      <c r="O947" s="33"/>
      <c r="P947" s="33"/>
      <c r="Q947" s="33"/>
      <c r="R947" s="33"/>
      <c r="S947" s="33"/>
      <c r="T947" s="33"/>
      <c r="U947" s="33"/>
      <c r="V947" s="33"/>
      <c r="W947" s="33"/>
      <c r="X947" s="33"/>
      <c r="Y947" s="33"/>
      <c r="Z947" s="33"/>
      <c r="AA947" s="33"/>
      <c r="AB947" s="33"/>
      <c r="AC947" s="33"/>
      <c r="AD947" s="33"/>
      <c r="AE947" s="33"/>
      <c r="AF947" s="33"/>
      <c r="AG947" s="33"/>
      <c r="AH947" s="33"/>
      <c r="AI947" s="33"/>
      <c r="AJ947" s="33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  <c r="BG947" s="33"/>
      <c r="BH947" s="33"/>
      <c r="BI947" s="33"/>
      <c r="BJ947" s="33"/>
      <c r="BK947" s="33"/>
      <c r="BL947" s="33"/>
      <c r="BM947" s="33"/>
    </row>
    <row r="948" spans="1:65" ht="15" customHeight="1">
      <c r="A948" s="33"/>
      <c r="B948" s="33"/>
      <c r="C948" s="33"/>
      <c r="D948" s="33"/>
      <c r="E948" s="33"/>
      <c r="F948" s="33"/>
      <c r="G948" s="33"/>
      <c r="H948" s="33"/>
      <c r="I948" s="33"/>
      <c r="J948" s="33"/>
      <c r="K948" s="33"/>
      <c r="L948" s="33"/>
      <c r="M948" s="33"/>
      <c r="N948" s="33"/>
      <c r="O948" s="33"/>
      <c r="P948" s="33"/>
      <c r="Q948" s="33"/>
      <c r="R948" s="33"/>
      <c r="S948" s="33"/>
      <c r="T948" s="33"/>
      <c r="U948" s="33"/>
      <c r="V948" s="33"/>
      <c r="W948" s="33"/>
      <c r="X948" s="33"/>
      <c r="Y948" s="33"/>
      <c r="Z948" s="33"/>
      <c r="AA948" s="33"/>
      <c r="AB948" s="33"/>
      <c r="AC948" s="33"/>
      <c r="AD948" s="33"/>
      <c r="AE948" s="33"/>
      <c r="AF948" s="33"/>
      <c r="AG948" s="33"/>
      <c r="AH948" s="33"/>
      <c r="AI948" s="33"/>
      <c r="AJ948" s="33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  <c r="BG948" s="33"/>
      <c r="BH948" s="33"/>
      <c r="BI948" s="33"/>
      <c r="BJ948" s="33"/>
      <c r="BK948" s="33"/>
      <c r="BL948" s="33"/>
      <c r="BM948" s="33"/>
    </row>
    <row r="949" spans="1:65" ht="15" customHeight="1">
      <c r="A949" s="33"/>
      <c r="B949" s="33"/>
      <c r="C949" s="33"/>
      <c r="D949" s="33"/>
      <c r="E949" s="33"/>
      <c r="F949" s="33"/>
      <c r="G949" s="33"/>
      <c r="H949" s="33"/>
      <c r="I949" s="33"/>
      <c r="J949" s="33"/>
      <c r="K949" s="33"/>
      <c r="L949" s="33"/>
      <c r="M949" s="33"/>
      <c r="N949" s="33"/>
      <c r="O949" s="33"/>
      <c r="P949" s="33"/>
      <c r="Q949" s="33"/>
      <c r="R949" s="33"/>
      <c r="S949" s="33"/>
      <c r="T949" s="33"/>
      <c r="U949" s="33"/>
      <c r="V949" s="33"/>
      <c r="W949" s="33"/>
      <c r="X949" s="33"/>
      <c r="Y949" s="33"/>
      <c r="Z949" s="33"/>
      <c r="AA949" s="33"/>
      <c r="AB949" s="33"/>
      <c r="AC949" s="33"/>
      <c r="AD949" s="33"/>
      <c r="AE949" s="33"/>
      <c r="AF949" s="33"/>
      <c r="AG949" s="33"/>
      <c r="AH949" s="33"/>
      <c r="AI949" s="33"/>
      <c r="AJ949" s="33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  <c r="BG949" s="33"/>
      <c r="BH949" s="33"/>
      <c r="BI949" s="33"/>
      <c r="BJ949" s="33"/>
      <c r="BK949" s="33"/>
      <c r="BL949" s="33"/>
      <c r="BM949" s="33"/>
    </row>
    <row r="950" spans="1:65" ht="15" customHeight="1">
      <c r="A950" s="33"/>
      <c r="B950" s="33"/>
      <c r="C950" s="33"/>
      <c r="D950" s="33"/>
      <c r="E950" s="33"/>
      <c r="F950" s="33"/>
      <c r="G950" s="33"/>
      <c r="H950" s="33"/>
      <c r="I950" s="33"/>
      <c r="J950" s="33"/>
      <c r="K950" s="33"/>
      <c r="L950" s="33"/>
      <c r="M950" s="33"/>
      <c r="N950" s="33"/>
      <c r="O950" s="33"/>
      <c r="P950" s="33"/>
      <c r="Q950" s="33"/>
      <c r="R950" s="33"/>
      <c r="S950" s="33"/>
      <c r="T950" s="33"/>
      <c r="U950" s="33"/>
      <c r="V950" s="33"/>
      <c r="W950" s="33"/>
      <c r="X950" s="33"/>
      <c r="Y950" s="33"/>
      <c r="Z950" s="33"/>
      <c r="AA950" s="33"/>
      <c r="AB950" s="33"/>
      <c r="AC950" s="33"/>
      <c r="AD950" s="33"/>
      <c r="AE950" s="33"/>
      <c r="AF950" s="33"/>
      <c r="AG950" s="33"/>
      <c r="AH950" s="33"/>
      <c r="AI950" s="33"/>
      <c r="AJ950" s="33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  <c r="BG950" s="33"/>
      <c r="BH950" s="33"/>
      <c r="BI950" s="33"/>
      <c r="BJ950" s="33"/>
      <c r="BK950" s="33"/>
      <c r="BL950" s="33"/>
      <c r="BM950" s="33"/>
    </row>
    <row r="951" spans="1:65" ht="15" customHeight="1">
      <c r="A951" s="33"/>
      <c r="B951" s="33"/>
      <c r="C951" s="33"/>
      <c r="D951" s="33"/>
      <c r="E951" s="33"/>
      <c r="F951" s="33"/>
      <c r="G951" s="33"/>
      <c r="H951" s="33"/>
      <c r="I951" s="33"/>
      <c r="J951" s="33"/>
      <c r="K951" s="33"/>
      <c r="L951" s="33"/>
      <c r="M951" s="33"/>
      <c r="N951" s="33"/>
      <c r="O951" s="33"/>
      <c r="P951" s="33"/>
      <c r="Q951" s="33"/>
      <c r="R951" s="33"/>
      <c r="S951" s="33"/>
      <c r="T951" s="33"/>
      <c r="U951" s="33"/>
      <c r="V951" s="33"/>
      <c r="W951" s="33"/>
      <c r="X951" s="33"/>
      <c r="Y951" s="33"/>
      <c r="Z951" s="33"/>
      <c r="AA951" s="33"/>
      <c r="AB951" s="33"/>
      <c r="AC951" s="33"/>
      <c r="AD951" s="33"/>
      <c r="AE951" s="33"/>
      <c r="AF951" s="33"/>
      <c r="AG951" s="33"/>
      <c r="AH951" s="33"/>
      <c r="AI951" s="33"/>
      <c r="AJ951" s="33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  <c r="BG951" s="33"/>
      <c r="BH951" s="33"/>
      <c r="BI951" s="33"/>
      <c r="BJ951" s="33"/>
      <c r="BK951" s="33"/>
      <c r="BL951" s="33"/>
      <c r="BM951" s="33"/>
    </row>
    <row r="952" spans="1:65" ht="15" customHeight="1">
      <c r="A952" s="33"/>
      <c r="B952" s="33"/>
      <c r="C952" s="33"/>
      <c r="D952" s="33"/>
      <c r="E952" s="33"/>
      <c r="F952" s="33"/>
      <c r="G952" s="33"/>
      <c r="H952" s="33"/>
      <c r="I952" s="33"/>
      <c r="J952" s="33"/>
      <c r="K952" s="33"/>
      <c r="L952" s="33"/>
      <c r="M952" s="33"/>
      <c r="N952" s="33"/>
      <c r="O952" s="33"/>
      <c r="P952" s="33"/>
      <c r="Q952" s="33"/>
      <c r="R952" s="33"/>
      <c r="S952" s="33"/>
      <c r="T952" s="33"/>
      <c r="U952" s="33"/>
      <c r="V952" s="33"/>
      <c r="W952" s="33"/>
      <c r="X952" s="33"/>
      <c r="Y952" s="33"/>
      <c r="Z952" s="33"/>
      <c r="AA952" s="33"/>
      <c r="AB952" s="33"/>
      <c r="AC952" s="33"/>
      <c r="AD952" s="33"/>
      <c r="AE952" s="33"/>
      <c r="AF952" s="33"/>
      <c r="AG952" s="33"/>
      <c r="AH952" s="33"/>
      <c r="AI952" s="33"/>
      <c r="AJ952" s="33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  <c r="BG952" s="33"/>
      <c r="BH952" s="33"/>
      <c r="BI952" s="33"/>
      <c r="BJ952" s="33"/>
      <c r="BK952" s="33"/>
      <c r="BL952" s="33"/>
      <c r="BM952" s="33"/>
    </row>
    <row r="953" spans="1:65" ht="15" customHeight="1">
      <c r="A953" s="33"/>
      <c r="B953" s="33"/>
      <c r="C953" s="33"/>
      <c r="D953" s="33"/>
      <c r="E953" s="33"/>
      <c r="F953" s="33"/>
      <c r="G953" s="33"/>
      <c r="H953" s="33"/>
      <c r="I953" s="33"/>
      <c r="J953" s="33"/>
      <c r="K953" s="33"/>
      <c r="L953" s="33"/>
      <c r="M953" s="33"/>
      <c r="N953" s="33"/>
      <c r="O953" s="33"/>
      <c r="P953" s="33"/>
      <c r="Q953" s="33"/>
      <c r="R953" s="33"/>
      <c r="S953" s="33"/>
      <c r="T953" s="33"/>
      <c r="U953" s="33"/>
      <c r="V953" s="33"/>
      <c r="W953" s="33"/>
      <c r="X953" s="33"/>
      <c r="Y953" s="33"/>
      <c r="Z953" s="33"/>
      <c r="AA953" s="33"/>
      <c r="AB953" s="33"/>
      <c r="AC953" s="33"/>
      <c r="AD953" s="33"/>
      <c r="AE953" s="33"/>
      <c r="AF953" s="33"/>
      <c r="AG953" s="33"/>
      <c r="AH953" s="33"/>
      <c r="AI953" s="33"/>
      <c r="AJ953" s="33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  <c r="BG953" s="33"/>
      <c r="BH953" s="33"/>
      <c r="BI953" s="33"/>
      <c r="BJ953" s="33"/>
      <c r="BK953" s="33"/>
      <c r="BL953" s="33"/>
      <c r="BM953" s="33"/>
    </row>
    <row r="954" spans="1:65" ht="15" customHeight="1">
      <c r="A954" s="33"/>
      <c r="B954" s="33"/>
      <c r="C954" s="33"/>
      <c r="D954" s="33"/>
      <c r="E954" s="33"/>
      <c r="F954" s="33"/>
      <c r="G954" s="33"/>
      <c r="H954" s="33"/>
      <c r="I954" s="33"/>
      <c r="J954" s="33"/>
      <c r="K954" s="33"/>
      <c r="L954" s="33"/>
      <c r="M954" s="33"/>
      <c r="N954" s="33"/>
      <c r="O954" s="33"/>
      <c r="P954" s="33"/>
      <c r="Q954" s="33"/>
      <c r="R954" s="33"/>
      <c r="S954" s="33"/>
      <c r="T954" s="33"/>
      <c r="U954" s="33"/>
      <c r="V954" s="33"/>
      <c r="W954" s="33"/>
      <c r="X954" s="33"/>
      <c r="Y954" s="33"/>
      <c r="Z954" s="33"/>
      <c r="AA954" s="33"/>
      <c r="AB954" s="33"/>
      <c r="AC954" s="33"/>
      <c r="AD954" s="33"/>
      <c r="AE954" s="33"/>
      <c r="AF954" s="33"/>
      <c r="AG954" s="33"/>
      <c r="AH954" s="33"/>
      <c r="AI954" s="33"/>
      <c r="AJ954" s="33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  <c r="BG954" s="33"/>
      <c r="BH954" s="33"/>
      <c r="BI954" s="33"/>
      <c r="BJ954" s="33"/>
      <c r="BK954" s="33"/>
      <c r="BL954" s="33"/>
      <c r="BM954" s="33"/>
    </row>
    <row r="955" spans="1:65" ht="15" customHeight="1">
      <c r="A955" s="33"/>
      <c r="B955" s="33"/>
      <c r="C955" s="33"/>
      <c r="D955" s="33"/>
      <c r="E955" s="33"/>
      <c r="F955" s="33"/>
      <c r="G955" s="33"/>
      <c r="H955" s="33"/>
      <c r="I955" s="33"/>
      <c r="J955" s="33"/>
      <c r="K955" s="33"/>
      <c r="L955" s="33"/>
      <c r="M955" s="33"/>
      <c r="N955" s="33"/>
      <c r="O955" s="33"/>
      <c r="P955" s="33"/>
      <c r="Q955" s="33"/>
      <c r="R955" s="33"/>
      <c r="S955" s="33"/>
      <c r="T955" s="33"/>
      <c r="U955" s="33"/>
      <c r="V955" s="33"/>
      <c r="W955" s="33"/>
      <c r="X955" s="33"/>
      <c r="Y955" s="33"/>
      <c r="Z955" s="33"/>
      <c r="AA955" s="33"/>
      <c r="AB955" s="33"/>
      <c r="AC955" s="33"/>
      <c r="AD955" s="33"/>
      <c r="AE955" s="33"/>
      <c r="AF955" s="33"/>
      <c r="AG955" s="33"/>
      <c r="AH955" s="33"/>
      <c r="AI955" s="33"/>
      <c r="AJ955" s="33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  <c r="BG955" s="33"/>
      <c r="BH955" s="33"/>
      <c r="BI955" s="33"/>
      <c r="BJ955" s="33"/>
      <c r="BK955" s="33"/>
      <c r="BL955" s="33"/>
      <c r="BM955" s="33"/>
    </row>
    <row r="956" spans="1:65" ht="15" customHeight="1">
      <c r="A956" s="33"/>
      <c r="B956" s="33"/>
      <c r="C956" s="33"/>
      <c r="D956" s="33"/>
      <c r="E956" s="33"/>
      <c r="F956" s="33"/>
      <c r="G956" s="33"/>
      <c r="H956" s="33"/>
      <c r="I956" s="33"/>
      <c r="J956" s="33"/>
      <c r="K956" s="33"/>
      <c r="L956" s="33"/>
      <c r="M956" s="33"/>
      <c r="N956" s="33"/>
      <c r="O956" s="33"/>
      <c r="P956" s="33"/>
      <c r="Q956" s="33"/>
      <c r="R956" s="33"/>
      <c r="S956" s="33"/>
      <c r="T956" s="33"/>
      <c r="U956" s="33"/>
      <c r="V956" s="33"/>
      <c r="W956" s="33"/>
      <c r="X956" s="33"/>
      <c r="Y956" s="33"/>
      <c r="Z956" s="33"/>
      <c r="AA956" s="33"/>
      <c r="AB956" s="33"/>
      <c r="AC956" s="33"/>
      <c r="AD956" s="33"/>
      <c r="AE956" s="33"/>
      <c r="AF956" s="33"/>
      <c r="AG956" s="33"/>
      <c r="AH956" s="33"/>
      <c r="AI956" s="33"/>
      <c r="AJ956" s="33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  <c r="BG956" s="33"/>
      <c r="BH956" s="33"/>
      <c r="BI956" s="33"/>
      <c r="BJ956" s="33"/>
      <c r="BK956" s="33"/>
      <c r="BL956" s="33"/>
      <c r="BM956" s="33"/>
    </row>
    <row r="957" spans="1:65" ht="15" customHeight="1">
      <c r="A957" s="33"/>
      <c r="B957" s="33"/>
      <c r="C957" s="33"/>
      <c r="D957" s="33"/>
      <c r="E957" s="33"/>
      <c r="F957" s="33"/>
      <c r="G957" s="33"/>
      <c r="H957" s="33"/>
      <c r="I957" s="33"/>
      <c r="J957" s="33"/>
      <c r="K957" s="33"/>
      <c r="L957" s="33"/>
      <c r="M957" s="33"/>
      <c r="N957" s="33"/>
      <c r="O957" s="33"/>
      <c r="P957" s="33"/>
      <c r="Q957" s="33"/>
      <c r="R957" s="33"/>
      <c r="S957" s="33"/>
      <c r="T957" s="33"/>
      <c r="U957" s="33"/>
      <c r="V957" s="33"/>
      <c r="W957" s="33"/>
      <c r="X957" s="33"/>
      <c r="Y957" s="33"/>
      <c r="Z957" s="33"/>
      <c r="AA957" s="33"/>
      <c r="AB957" s="33"/>
      <c r="AC957" s="33"/>
      <c r="AD957" s="33"/>
      <c r="AE957" s="33"/>
      <c r="AF957" s="33"/>
      <c r="AG957" s="33"/>
      <c r="AH957" s="33"/>
      <c r="AI957" s="33"/>
      <c r="AJ957" s="33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  <c r="BG957" s="33"/>
      <c r="BH957" s="33"/>
      <c r="BI957" s="33"/>
      <c r="BJ957" s="33"/>
      <c r="BK957" s="33"/>
      <c r="BL957" s="33"/>
      <c r="BM957" s="33"/>
    </row>
    <row r="958" spans="1:65" ht="15" customHeight="1">
      <c r="A958" s="33"/>
      <c r="B958" s="33"/>
      <c r="C958" s="33"/>
      <c r="D958" s="33"/>
      <c r="E958" s="33"/>
      <c r="F958" s="33"/>
      <c r="G958" s="33"/>
      <c r="H958" s="33"/>
      <c r="I958" s="33"/>
      <c r="J958" s="33"/>
      <c r="K958" s="33"/>
      <c r="L958" s="33"/>
      <c r="M958" s="33"/>
      <c r="N958" s="33"/>
      <c r="O958" s="33"/>
      <c r="P958" s="33"/>
      <c r="Q958" s="33"/>
      <c r="R958" s="33"/>
      <c r="S958" s="33"/>
      <c r="T958" s="33"/>
      <c r="U958" s="33"/>
      <c r="V958" s="33"/>
      <c r="W958" s="33"/>
      <c r="X958" s="33"/>
      <c r="Y958" s="33"/>
      <c r="Z958" s="33"/>
      <c r="AA958" s="33"/>
      <c r="AB958" s="33"/>
      <c r="AC958" s="33"/>
      <c r="AD958" s="33"/>
      <c r="AE958" s="33"/>
      <c r="AF958" s="33"/>
      <c r="AG958" s="33"/>
      <c r="AH958" s="33"/>
      <c r="AI958" s="33"/>
      <c r="AJ958" s="33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  <c r="BG958" s="33"/>
      <c r="BH958" s="33"/>
      <c r="BI958" s="33"/>
      <c r="BJ958" s="33"/>
      <c r="BK958" s="33"/>
      <c r="BL958" s="33"/>
      <c r="BM958" s="33"/>
    </row>
    <row r="959" spans="1:65" ht="15" customHeight="1">
      <c r="A959" s="33"/>
      <c r="B959" s="33"/>
      <c r="C959" s="33"/>
      <c r="D959" s="33"/>
      <c r="E959" s="33"/>
      <c r="F959" s="33"/>
      <c r="G959" s="33"/>
      <c r="H959" s="33"/>
      <c r="I959" s="33"/>
      <c r="J959" s="33"/>
      <c r="K959" s="33"/>
      <c r="L959" s="33"/>
      <c r="M959" s="33"/>
      <c r="N959" s="33"/>
      <c r="O959" s="33"/>
      <c r="P959" s="33"/>
      <c r="Q959" s="33"/>
      <c r="R959" s="33"/>
      <c r="S959" s="33"/>
      <c r="T959" s="33"/>
      <c r="U959" s="33"/>
      <c r="V959" s="33"/>
      <c r="W959" s="33"/>
      <c r="X959" s="33"/>
      <c r="Y959" s="33"/>
      <c r="Z959" s="33"/>
      <c r="AA959" s="33"/>
      <c r="AB959" s="33"/>
      <c r="AC959" s="33"/>
      <c r="AD959" s="33"/>
      <c r="AE959" s="33"/>
      <c r="AF959" s="33"/>
      <c r="AG959" s="33"/>
      <c r="AH959" s="33"/>
      <c r="AI959" s="33"/>
      <c r="AJ959" s="33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  <c r="BG959" s="33"/>
      <c r="BH959" s="33"/>
      <c r="BI959" s="33"/>
      <c r="BJ959" s="33"/>
      <c r="BK959" s="33"/>
      <c r="BL959" s="33"/>
      <c r="BM959" s="33"/>
    </row>
    <row r="960" spans="1:65" ht="15" customHeight="1">
      <c r="A960" s="33"/>
      <c r="B960" s="33"/>
      <c r="C960" s="33"/>
      <c r="D960" s="33"/>
      <c r="E960" s="33"/>
      <c r="F960" s="33"/>
      <c r="G960" s="33"/>
      <c r="H960" s="33"/>
      <c r="I960" s="33"/>
      <c r="J960" s="33"/>
      <c r="K960" s="33"/>
      <c r="L960" s="33"/>
      <c r="M960" s="33"/>
      <c r="N960" s="33"/>
      <c r="O960" s="33"/>
      <c r="P960" s="33"/>
      <c r="Q960" s="33"/>
      <c r="R960" s="33"/>
      <c r="S960" s="33"/>
      <c r="T960" s="33"/>
      <c r="U960" s="33"/>
      <c r="V960" s="33"/>
      <c r="W960" s="33"/>
      <c r="X960" s="33"/>
      <c r="Y960" s="33"/>
      <c r="Z960" s="33"/>
      <c r="AA960" s="33"/>
      <c r="AB960" s="33"/>
      <c r="AC960" s="33"/>
      <c r="AD960" s="33"/>
      <c r="AE960" s="33"/>
      <c r="AF960" s="33"/>
      <c r="AG960" s="33"/>
      <c r="AH960" s="33"/>
      <c r="AI960" s="33"/>
      <c r="AJ960" s="33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  <c r="BG960" s="33"/>
      <c r="BH960" s="33"/>
      <c r="BI960" s="33"/>
      <c r="BJ960" s="33"/>
      <c r="BK960" s="33"/>
      <c r="BL960" s="33"/>
      <c r="BM960" s="33"/>
    </row>
    <row r="961" spans="1:65" ht="15" customHeight="1">
      <c r="A961" s="33"/>
      <c r="B961" s="33"/>
      <c r="C961" s="33"/>
      <c r="D961" s="33"/>
      <c r="E961" s="33"/>
      <c r="F961" s="33"/>
      <c r="G961" s="33"/>
      <c r="H961" s="33"/>
      <c r="I961" s="33"/>
      <c r="J961" s="33"/>
      <c r="K961" s="33"/>
      <c r="L961" s="33"/>
      <c r="M961" s="33"/>
      <c r="N961" s="33"/>
      <c r="O961" s="33"/>
      <c r="P961" s="33"/>
      <c r="Q961" s="33"/>
      <c r="R961" s="33"/>
      <c r="S961" s="33"/>
      <c r="T961" s="33"/>
      <c r="U961" s="33"/>
      <c r="V961" s="33"/>
      <c r="W961" s="33"/>
      <c r="X961" s="33"/>
      <c r="Y961" s="33"/>
      <c r="Z961" s="33"/>
      <c r="AA961" s="33"/>
      <c r="AB961" s="33"/>
      <c r="AC961" s="33"/>
      <c r="AD961" s="33"/>
      <c r="AE961" s="33"/>
      <c r="AF961" s="33"/>
      <c r="AG961" s="33"/>
      <c r="AH961" s="33"/>
      <c r="AI961" s="33"/>
      <c r="AJ961" s="33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  <c r="BG961" s="33"/>
      <c r="BH961" s="33"/>
      <c r="BI961" s="33"/>
      <c r="BJ961" s="33"/>
      <c r="BK961" s="33"/>
      <c r="BL961" s="33"/>
      <c r="BM961" s="33"/>
    </row>
    <row r="962" spans="1:65" ht="15" customHeight="1">
      <c r="A962" s="33"/>
      <c r="B962" s="33"/>
      <c r="C962" s="33"/>
      <c r="D962" s="33"/>
      <c r="E962" s="33"/>
      <c r="F962" s="33"/>
      <c r="G962" s="33"/>
      <c r="H962" s="33"/>
      <c r="I962" s="33"/>
      <c r="J962" s="33"/>
      <c r="K962" s="33"/>
      <c r="L962" s="33"/>
      <c r="M962" s="33"/>
      <c r="N962" s="33"/>
      <c r="O962" s="33"/>
      <c r="P962" s="33"/>
      <c r="Q962" s="33"/>
      <c r="R962" s="33"/>
      <c r="S962" s="33"/>
      <c r="T962" s="33"/>
      <c r="U962" s="33"/>
      <c r="V962" s="33"/>
      <c r="W962" s="33"/>
      <c r="X962" s="33"/>
      <c r="Y962" s="33"/>
      <c r="Z962" s="33"/>
      <c r="AA962" s="33"/>
      <c r="AB962" s="33"/>
      <c r="AC962" s="33"/>
      <c r="AD962" s="33"/>
      <c r="AE962" s="33"/>
      <c r="AF962" s="33"/>
      <c r="AG962" s="33"/>
      <c r="AH962" s="33"/>
      <c r="AI962" s="33"/>
      <c r="AJ962" s="33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  <c r="BG962" s="33"/>
      <c r="BH962" s="33"/>
      <c r="BI962" s="33"/>
      <c r="BJ962" s="33"/>
      <c r="BK962" s="33"/>
      <c r="BL962" s="33"/>
      <c r="BM962" s="33"/>
    </row>
    <row r="963" spans="1:65" ht="15" customHeight="1">
      <c r="A963" s="33"/>
      <c r="B963" s="33"/>
      <c r="C963" s="33"/>
      <c r="D963" s="33"/>
      <c r="E963" s="33"/>
      <c r="F963" s="33"/>
      <c r="G963" s="33"/>
      <c r="H963" s="33"/>
      <c r="I963" s="33"/>
      <c r="J963" s="33"/>
      <c r="K963" s="33"/>
      <c r="L963" s="33"/>
      <c r="M963" s="33"/>
      <c r="N963" s="33"/>
      <c r="O963" s="33"/>
      <c r="P963" s="33"/>
      <c r="Q963" s="33"/>
      <c r="R963" s="33"/>
      <c r="S963" s="33"/>
      <c r="T963" s="33"/>
      <c r="U963" s="33"/>
      <c r="V963" s="33"/>
      <c r="W963" s="33"/>
      <c r="X963" s="33"/>
      <c r="Y963" s="33"/>
      <c r="Z963" s="33"/>
      <c r="AA963" s="33"/>
      <c r="AB963" s="33"/>
      <c r="AC963" s="33"/>
      <c r="AD963" s="33"/>
      <c r="AE963" s="33"/>
      <c r="AF963" s="33"/>
      <c r="AG963" s="33"/>
      <c r="AH963" s="33"/>
      <c r="AI963" s="33"/>
      <c r="AJ963" s="33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  <c r="BG963" s="33"/>
      <c r="BH963" s="33"/>
      <c r="BI963" s="33"/>
      <c r="BJ963" s="33"/>
      <c r="BK963" s="33"/>
      <c r="BL963" s="33"/>
      <c r="BM963" s="33"/>
    </row>
    <row r="964" spans="1:65" ht="15" customHeight="1">
      <c r="A964" s="33"/>
      <c r="B964" s="33"/>
      <c r="C964" s="33"/>
      <c r="D964" s="33"/>
      <c r="E964" s="33"/>
      <c r="F964" s="33"/>
      <c r="G964" s="33"/>
      <c r="H964" s="33"/>
      <c r="I964" s="33"/>
      <c r="J964" s="33"/>
      <c r="K964" s="33"/>
      <c r="L964" s="33"/>
      <c r="M964" s="33"/>
      <c r="N964" s="33"/>
      <c r="O964" s="33"/>
      <c r="P964" s="33"/>
      <c r="Q964" s="33"/>
      <c r="R964" s="33"/>
      <c r="S964" s="33"/>
      <c r="T964" s="33"/>
      <c r="U964" s="33"/>
      <c r="V964" s="33"/>
      <c r="W964" s="33"/>
      <c r="X964" s="33"/>
      <c r="Y964" s="33"/>
      <c r="Z964" s="33"/>
      <c r="AA964" s="33"/>
      <c r="AB964" s="33"/>
      <c r="AC964" s="33"/>
      <c r="AD964" s="33"/>
      <c r="AE964" s="33"/>
      <c r="AF964" s="33"/>
      <c r="AG964" s="33"/>
      <c r="AH964" s="33"/>
      <c r="AI964" s="33"/>
      <c r="AJ964" s="33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  <c r="BG964" s="33"/>
      <c r="BH964" s="33"/>
      <c r="BI964" s="33"/>
      <c r="BJ964" s="33"/>
      <c r="BK964" s="33"/>
      <c r="BL964" s="33"/>
      <c r="BM964" s="33"/>
    </row>
    <row r="965" spans="1:65" ht="15" customHeight="1">
      <c r="A965" s="33"/>
      <c r="B965" s="33"/>
      <c r="C965" s="33"/>
      <c r="D965" s="33"/>
      <c r="E965" s="33"/>
      <c r="F965" s="33"/>
      <c r="G965" s="33"/>
      <c r="H965" s="33"/>
      <c r="I965" s="33"/>
      <c r="J965" s="33"/>
      <c r="K965" s="33"/>
      <c r="L965" s="33"/>
      <c r="M965" s="33"/>
      <c r="N965" s="33"/>
      <c r="O965" s="33"/>
      <c r="P965" s="33"/>
      <c r="Q965" s="33"/>
      <c r="R965" s="33"/>
      <c r="S965" s="33"/>
      <c r="T965" s="33"/>
      <c r="U965" s="33"/>
      <c r="V965" s="33"/>
      <c r="W965" s="33"/>
      <c r="X965" s="33"/>
      <c r="Y965" s="33"/>
      <c r="Z965" s="33"/>
      <c r="AA965" s="33"/>
      <c r="AB965" s="33"/>
      <c r="AC965" s="33"/>
      <c r="AD965" s="33"/>
      <c r="AE965" s="33"/>
      <c r="AF965" s="33"/>
      <c r="AG965" s="33"/>
      <c r="AH965" s="33"/>
      <c r="AI965" s="33"/>
      <c r="AJ965" s="33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  <c r="BG965" s="33"/>
      <c r="BH965" s="33"/>
      <c r="BI965" s="33"/>
      <c r="BJ965" s="33"/>
      <c r="BK965" s="33"/>
      <c r="BL965" s="33"/>
      <c r="BM965" s="33"/>
    </row>
    <row r="966" spans="1:65" ht="15" customHeight="1">
      <c r="A966" s="33"/>
      <c r="B966" s="33"/>
      <c r="C966" s="33"/>
      <c r="D966" s="33"/>
      <c r="E966" s="33"/>
      <c r="F966" s="33"/>
      <c r="G966" s="33"/>
      <c r="H966" s="33"/>
      <c r="I966" s="33"/>
      <c r="J966" s="33"/>
      <c r="K966" s="33"/>
      <c r="L966" s="33"/>
      <c r="M966" s="33"/>
      <c r="N966" s="33"/>
      <c r="O966" s="33"/>
      <c r="P966" s="33"/>
      <c r="Q966" s="33"/>
      <c r="R966" s="33"/>
      <c r="S966" s="33"/>
      <c r="T966" s="33"/>
      <c r="U966" s="33"/>
      <c r="V966" s="33"/>
      <c r="W966" s="33"/>
      <c r="X966" s="33"/>
      <c r="Y966" s="33"/>
      <c r="Z966" s="33"/>
      <c r="AA966" s="33"/>
      <c r="AB966" s="33"/>
      <c r="AC966" s="33"/>
      <c r="AD966" s="33"/>
      <c r="AE966" s="33"/>
      <c r="AF966" s="33"/>
      <c r="AG966" s="33"/>
      <c r="AH966" s="33"/>
      <c r="AI966" s="33"/>
      <c r="AJ966" s="33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  <c r="BG966" s="33"/>
      <c r="BH966" s="33"/>
      <c r="BI966" s="33"/>
      <c r="BJ966" s="33"/>
      <c r="BK966" s="33"/>
      <c r="BL966" s="33"/>
      <c r="BM966" s="33"/>
    </row>
    <row r="967" spans="1:65" ht="15" customHeight="1">
      <c r="A967" s="33"/>
      <c r="B967" s="33"/>
      <c r="C967" s="33"/>
      <c r="D967" s="33"/>
      <c r="E967" s="33"/>
      <c r="F967" s="33"/>
      <c r="G967" s="33"/>
      <c r="H967" s="33"/>
      <c r="I967" s="33"/>
      <c r="J967" s="33"/>
      <c r="K967" s="33"/>
      <c r="L967" s="33"/>
      <c r="M967" s="33"/>
      <c r="N967" s="33"/>
      <c r="O967" s="33"/>
      <c r="P967" s="33"/>
      <c r="Q967" s="33"/>
      <c r="R967" s="33"/>
      <c r="S967" s="33"/>
      <c r="T967" s="33"/>
      <c r="U967" s="33"/>
      <c r="V967" s="33"/>
      <c r="W967" s="33"/>
      <c r="X967" s="33"/>
      <c r="Y967" s="33"/>
      <c r="Z967" s="33"/>
      <c r="AA967" s="33"/>
      <c r="AB967" s="33"/>
      <c r="AC967" s="33"/>
      <c r="AD967" s="33"/>
      <c r="AE967" s="33"/>
      <c r="AF967" s="33"/>
      <c r="AG967" s="33"/>
      <c r="AH967" s="33"/>
      <c r="AI967" s="33"/>
      <c r="AJ967" s="33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  <c r="BG967" s="33"/>
      <c r="BH967" s="33"/>
      <c r="BI967" s="33"/>
      <c r="BJ967" s="33"/>
      <c r="BK967" s="33"/>
      <c r="BL967" s="33"/>
      <c r="BM967" s="33"/>
    </row>
    <row r="968" spans="1:65" ht="15" customHeight="1">
      <c r="A968" s="33"/>
      <c r="B968" s="33"/>
      <c r="C968" s="33"/>
      <c r="D968" s="33"/>
      <c r="E968" s="33"/>
      <c r="F968" s="33"/>
      <c r="G968" s="33"/>
      <c r="H968" s="33"/>
      <c r="I968" s="33"/>
      <c r="J968" s="33"/>
      <c r="K968" s="33"/>
      <c r="L968" s="33"/>
      <c r="M968" s="33"/>
      <c r="N968" s="33"/>
      <c r="O968" s="33"/>
      <c r="P968" s="33"/>
      <c r="Q968" s="33"/>
      <c r="R968" s="33"/>
      <c r="S968" s="33"/>
      <c r="T968" s="33"/>
      <c r="U968" s="33"/>
      <c r="V968" s="33"/>
      <c r="W968" s="33"/>
      <c r="X968" s="33"/>
      <c r="Y968" s="33"/>
      <c r="Z968" s="33"/>
      <c r="AA968" s="33"/>
      <c r="AB968" s="33"/>
      <c r="AC968" s="33"/>
      <c r="AD968" s="33"/>
      <c r="AE968" s="33"/>
      <c r="AF968" s="33"/>
      <c r="AG968" s="33"/>
      <c r="AH968" s="33"/>
      <c r="AI968" s="33"/>
      <c r="AJ968" s="33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  <c r="BG968" s="33"/>
      <c r="BH968" s="33"/>
      <c r="BI968" s="33"/>
      <c r="BJ968" s="33"/>
      <c r="BK968" s="33"/>
      <c r="BL968" s="33"/>
      <c r="BM968" s="33"/>
    </row>
    <row r="969" spans="1:65" ht="15" customHeight="1">
      <c r="A969" s="33"/>
      <c r="B969" s="33"/>
      <c r="C969" s="33"/>
      <c r="D969" s="33"/>
      <c r="E969" s="33"/>
      <c r="F969" s="33"/>
      <c r="G969" s="33"/>
      <c r="H969" s="33"/>
      <c r="I969" s="33"/>
      <c r="J969" s="33"/>
      <c r="K969" s="33"/>
      <c r="L969" s="33"/>
      <c r="M969" s="33"/>
      <c r="N969" s="33"/>
      <c r="O969" s="33"/>
      <c r="P969" s="33"/>
      <c r="Q969" s="33"/>
      <c r="R969" s="33"/>
      <c r="S969" s="33"/>
      <c r="T969" s="33"/>
      <c r="U969" s="33"/>
      <c r="V969" s="33"/>
      <c r="W969" s="33"/>
      <c r="X969" s="33"/>
      <c r="Y969" s="33"/>
      <c r="Z969" s="33"/>
      <c r="AA969" s="33"/>
      <c r="AB969" s="33"/>
      <c r="AC969" s="33"/>
      <c r="AD969" s="33"/>
      <c r="AE969" s="33"/>
      <c r="AF969" s="33"/>
      <c r="AG969" s="33"/>
      <c r="AH969" s="33"/>
      <c r="AI969" s="33"/>
      <c r="AJ969" s="33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  <c r="BG969" s="33"/>
      <c r="BH969" s="33"/>
      <c r="BI969" s="33"/>
      <c r="BJ969" s="33"/>
      <c r="BK969" s="33"/>
      <c r="BL969" s="33"/>
      <c r="BM969" s="33"/>
    </row>
    <row r="970" spans="1:65" ht="15" customHeight="1">
      <c r="A970" s="33"/>
      <c r="B970" s="33"/>
      <c r="C970" s="33"/>
      <c r="D970" s="33"/>
      <c r="E970" s="33"/>
      <c r="F970" s="33"/>
      <c r="G970" s="33"/>
      <c r="H970" s="33"/>
      <c r="I970" s="33"/>
      <c r="J970" s="33"/>
      <c r="K970" s="33"/>
      <c r="L970" s="33"/>
      <c r="M970" s="33"/>
      <c r="N970" s="33"/>
      <c r="O970" s="33"/>
      <c r="P970" s="33"/>
      <c r="Q970" s="33"/>
      <c r="R970" s="33"/>
      <c r="S970" s="33"/>
      <c r="T970" s="33"/>
      <c r="U970" s="33"/>
      <c r="V970" s="33"/>
      <c r="W970" s="33"/>
      <c r="X970" s="33"/>
      <c r="Y970" s="33"/>
      <c r="Z970" s="33"/>
      <c r="AA970" s="33"/>
      <c r="AB970" s="33"/>
      <c r="AC970" s="33"/>
      <c r="AD970" s="33"/>
      <c r="AE970" s="33"/>
      <c r="AF970" s="33"/>
      <c r="AG970" s="33"/>
      <c r="AH970" s="33"/>
      <c r="AI970" s="33"/>
      <c r="AJ970" s="33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  <c r="BG970" s="33"/>
      <c r="BH970" s="33"/>
      <c r="BI970" s="33"/>
      <c r="BJ970" s="33"/>
      <c r="BK970" s="33"/>
      <c r="BL970" s="33"/>
      <c r="BM970" s="33"/>
    </row>
    <row r="971" spans="1:65" ht="15" customHeight="1">
      <c r="A971" s="33"/>
      <c r="B971" s="33"/>
      <c r="C971" s="33"/>
      <c r="D971" s="33"/>
      <c r="E971" s="33"/>
      <c r="F971" s="33"/>
      <c r="G971" s="33"/>
      <c r="H971" s="33"/>
      <c r="I971" s="33"/>
      <c r="J971" s="33"/>
      <c r="K971" s="33"/>
      <c r="L971" s="33"/>
      <c r="M971" s="33"/>
      <c r="N971" s="33"/>
      <c r="O971" s="33"/>
      <c r="P971" s="33"/>
      <c r="Q971" s="33"/>
      <c r="R971" s="33"/>
      <c r="S971" s="33"/>
      <c r="T971" s="33"/>
      <c r="U971" s="33"/>
      <c r="V971" s="33"/>
      <c r="W971" s="33"/>
      <c r="X971" s="33"/>
      <c r="Y971" s="33"/>
      <c r="Z971" s="33"/>
      <c r="AA971" s="33"/>
      <c r="AB971" s="33"/>
      <c r="AC971" s="33"/>
      <c r="AD971" s="33"/>
      <c r="AE971" s="33"/>
      <c r="AF971" s="33"/>
      <c r="AG971" s="33"/>
      <c r="AH971" s="33"/>
      <c r="AI971" s="33"/>
      <c r="AJ971" s="33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  <c r="BG971" s="33"/>
      <c r="BH971" s="33"/>
      <c r="BI971" s="33"/>
      <c r="BJ971" s="33"/>
      <c r="BK971" s="33"/>
      <c r="BL971" s="33"/>
      <c r="BM971" s="33"/>
    </row>
    <row r="972" spans="1:65" ht="15" customHeight="1">
      <c r="A972" s="33"/>
      <c r="B972" s="33"/>
      <c r="C972" s="33"/>
      <c r="D972" s="33"/>
      <c r="E972" s="33"/>
      <c r="F972" s="33"/>
      <c r="G972" s="33"/>
      <c r="H972" s="33"/>
      <c r="I972" s="33"/>
      <c r="J972" s="33"/>
      <c r="K972" s="33"/>
      <c r="L972" s="33"/>
      <c r="M972" s="33"/>
      <c r="N972" s="33"/>
      <c r="O972" s="33"/>
      <c r="P972" s="33"/>
      <c r="Q972" s="33"/>
      <c r="R972" s="33"/>
      <c r="S972" s="33"/>
      <c r="T972" s="33"/>
      <c r="U972" s="33"/>
      <c r="V972" s="33"/>
      <c r="W972" s="33"/>
      <c r="X972" s="33"/>
      <c r="Y972" s="33"/>
      <c r="Z972" s="33"/>
      <c r="AA972" s="33"/>
      <c r="AB972" s="33"/>
      <c r="AC972" s="33"/>
      <c r="AD972" s="33"/>
      <c r="AE972" s="33"/>
      <c r="AF972" s="33"/>
      <c r="AG972" s="33"/>
      <c r="AH972" s="33"/>
      <c r="AI972" s="33"/>
      <c r="AJ972" s="33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  <c r="BG972" s="33"/>
      <c r="BH972" s="33"/>
      <c r="BI972" s="33"/>
      <c r="BJ972" s="33"/>
      <c r="BK972" s="33"/>
      <c r="BL972" s="33"/>
      <c r="BM972" s="33"/>
    </row>
    <row r="973" spans="1:65" ht="15" customHeight="1">
      <c r="A973" s="33"/>
      <c r="B973" s="33"/>
      <c r="C973" s="33"/>
      <c r="D973" s="33"/>
      <c r="E973" s="33"/>
      <c r="F973" s="33"/>
      <c r="G973" s="33"/>
      <c r="H973" s="33"/>
      <c r="I973" s="33"/>
      <c r="J973" s="33"/>
      <c r="K973" s="33"/>
      <c r="L973" s="33"/>
      <c r="M973" s="33"/>
      <c r="N973" s="33"/>
      <c r="O973" s="33"/>
      <c r="P973" s="33"/>
      <c r="Q973" s="33"/>
      <c r="R973" s="33"/>
      <c r="S973" s="33"/>
      <c r="T973" s="33"/>
      <c r="U973" s="33"/>
      <c r="V973" s="33"/>
      <c r="W973" s="33"/>
      <c r="X973" s="33"/>
      <c r="Y973" s="33"/>
      <c r="Z973" s="33"/>
      <c r="AA973" s="33"/>
      <c r="AB973" s="33"/>
      <c r="AC973" s="33"/>
      <c r="AD973" s="33"/>
      <c r="AE973" s="33"/>
      <c r="AF973" s="33"/>
      <c r="AG973" s="33"/>
      <c r="AH973" s="33"/>
      <c r="AI973" s="33"/>
      <c r="AJ973" s="33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  <c r="BG973" s="33"/>
      <c r="BH973" s="33"/>
      <c r="BI973" s="33"/>
      <c r="BJ973" s="33"/>
      <c r="BK973" s="33"/>
      <c r="BL973" s="33"/>
      <c r="BM973" s="33"/>
    </row>
    <row r="974" spans="1:65" ht="15" customHeight="1">
      <c r="A974" s="33"/>
      <c r="B974" s="33"/>
      <c r="C974" s="33"/>
      <c r="D974" s="33"/>
      <c r="E974" s="33"/>
      <c r="F974" s="33"/>
      <c r="G974" s="33"/>
      <c r="H974" s="33"/>
      <c r="I974" s="33"/>
      <c r="J974" s="33"/>
      <c r="K974" s="33"/>
      <c r="L974" s="33"/>
      <c r="M974" s="33"/>
      <c r="N974" s="33"/>
      <c r="O974" s="33"/>
      <c r="P974" s="33"/>
      <c r="Q974" s="33"/>
      <c r="R974" s="33"/>
      <c r="S974" s="33"/>
      <c r="T974" s="33"/>
      <c r="U974" s="33"/>
      <c r="V974" s="33"/>
      <c r="W974" s="33"/>
      <c r="X974" s="33"/>
      <c r="Y974" s="33"/>
      <c r="Z974" s="33"/>
      <c r="AA974" s="33"/>
      <c r="AB974" s="33"/>
      <c r="AC974" s="33"/>
      <c r="AD974" s="33"/>
      <c r="AE974" s="33"/>
      <c r="AF974" s="33"/>
      <c r="AG974" s="33"/>
      <c r="AH974" s="33"/>
      <c r="AI974" s="33"/>
      <c r="AJ974" s="33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  <c r="BG974" s="33"/>
      <c r="BH974" s="33"/>
      <c r="BI974" s="33"/>
      <c r="BJ974" s="33"/>
      <c r="BK974" s="33"/>
      <c r="BL974" s="33"/>
      <c r="BM974" s="33"/>
    </row>
    <row r="975" spans="1:65" ht="15" customHeight="1">
      <c r="A975" s="33"/>
      <c r="B975" s="33"/>
      <c r="C975" s="33"/>
      <c r="D975" s="33"/>
      <c r="E975" s="33"/>
      <c r="F975" s="33"/>
      <c r="G975" s="33"/>
      <c r="H975" s="33"/>
      <c r="I975" s="33"/>
      <c r="J975" s="33"/>
      <c r="K975" s="33"/>
      <c r="L975" s="33"/>
      <c r="M975" s="33"/>
      <c r="N975" s="33"/>
      <c r="O975" s="33"/>
      <c r="P975" s="33"/>
      <c r="Q975" s="33"/>
      <c r="R975" s="33"/>
      <c r="S975" s="33"/>
      <c r="T975" s="33"/>
      <c r="U975" s="33"/>
      <c r="V975" s="33"/>
      <c r="W975" s="33"/>
      <c r="X975" s="33"/>
      <c r="Y975" s="33"/>
      <c r="Z975" s="33"/>
      <c r="AA975" s="33"/>
      <c r="AB975" s="33"/>
      <c r="AC975" s="33"/>
      <c r="AD975" s="33"/>
      <c r="AE975" s="33"/>
      <c r="AF975" s="33"/>
      <c r="AG975" s="33"/>
      <c r="AH975" s="33"/>
      <c r="AI975" s="33"/>
      <c r="AJ975" s="33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  <c r="BG975" s="33"/>
      <c r="BH975" s="33"/>
      <c r="BI975" s="33"/>
      <c r="BJ975" s="33"/>
      <c r="BK975" s="33"/>
      <c r="BL975" s="33"/>
      <c r="BM975" s="33"/>
    </row>
    <row r="976" spans="1:65" ht="15" customHeight="1">
      <c r="A976" s="33"/>
      <c r="B976" s="33"/>
      <c r="C976" s="33"/>
      <c r="D976" s="33"/>
      <c r="E976" s="33"/>
      <c r="F976" s="33"/>
      <c r="G976" s="33"/>
      <c r="H976" s="33"/>
      <c r="I976" s="33"/>
      <c r="J976" s="33"/>
      <c r="K976" s="33"/>
      <c r="L976" s="33"/>
      <c r="M976" s="33"/>
      <c r="N976" s="33"/>
      <c r="O976" s="33"/>
      <c r="P976" s="33"/>
      <c r="Q976" s="33"/>
      <c r="R976" s="33"/>
      <c r="S976" s="33"/>
      <c r="T976" s="33"/>
      <c r="U976" s="33"/>
      <c r="V976" s="33"/>
      <c r="W976" s="33"/>
      <c r="X976" s="33"/>
      <c r="Y976" s="33"/>
      <c r="Z976" s="33"/>
      <c r="AA976" s="33"/>
      <c r="AB976" s="33"/>
      <c r="AC976" s="33"/>
      <c r="AD976" s="33"/>
      <c r="AE976" s="33"/>
      <c r="AF976" s="33"/>
      <c r="AG976" s="33"/>
      <c r="AH976" s="33"/>
      <c r="AI976" s="33"/>
      <c r="AJ976" s="33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  <c r="BG976" s="33"/>
      <c r="BH976" s="33"/>
      <c r="BI976" s="33"/>
      <c r="BJ976" s="33"/>
      <c r="BK976" s="33"/>
      <c r="BL976" s="33"/>
      <c r="BM976" s="33"/>
    </row>
    <row r="977" spans="1:65" ht="15" customHeight="1">
      <c r="A977" s="33"/>
      <c r="B977" s="33"/>
      <c r="C977" s="33"/>
      <c r="D977" s="33"/>
      <c r="E977" s="33"/>
      <c r="F977" s="33"/>
      <c r="G977" s="33"/>
      <c r="H977" s="33"/>
      <c r="I977" s="33"/>
      <c r="J977" s="33"/>
      <c r="K977" s="33"/>
      <c r="L977" s="33"/>
      <c r="M977" s="33"/>
      <c r="N977" s="33"/>
      <c r="O977" s="33"/>
      <c r="P977" s="33"/>
      <c r="Q977" s="33"/>
      <c r="R977" s="33"/>
      <c r="S977" s="33"/>
      <c r="T977" s="33"/>
      <c r="U977" s="33"/>
      <c r="V977" s="33"/>
      <c r="W977" s="33"/>
      <c r="X977" s="33"/>
      <c r="Y977" s="33"/>
      <c r="Z977" s="33"/>
      <c r="AA977" s="33"/>
      <c r="AB977" s="33"/>
      <c r="AC977" s="33"/>
      <c r="AD977" s="33"/>
      <c r="AE977" s="33"/>
      <c r="AF977" s="33"/>
      <c r="AG977" s="33"/>
      <c r="AH977" s="33"/>
      <c r="AI977" s="33"/>
      <c r="AJ977" s="33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  <c r="BG977" s="33"/>
      <c r="BH977" s="33"/>
      <c r="BI977" s="33"/>
      <c r="BJ977" s="33"/>
      <c r="BK977" s="33"/>
      <c r="BL977" s="33"/>
      <c r="BM977" s="33"/>
    </row>
    <row r="978" spans="1:65" ht="15" customHeight="1">
      <c r="A978" s="33"/>
      <c r="B978" s="33"/>
      <c r="C978" s="33"/>
      <c r="D978" s="33"/>
      <c r="E978" s="33"/>
      <c r="F978" s="33"/>
      <c r="G978" s="33"/>
      <c r="H978" s="33"/>
      <c r="I978" s="33"/>
      <c r="J978" s="33"/>
      <c r="K978" s="33"/>
      <c r="L978" s="33"/>
      <c r="M978" s="33"/>
      <c r="N978" s="33"/>
      <c r="O978" s="33"/>
      <c r="P978" s="33"/>
      <c r="Q978" s="33"/>
      <c r="R978" s="33"/>
      <c r="S978" s="33"/>
      <c r="T978" s="33"/>
      <c r="U978" s="33"/>
      <c r="V978" s="33"/>
      <c r="W978" s="33"/>
      <c r="X978" s="33"/>
      <c r="Y978" s="33"/>
      <c r="Z978" s="33"/>
      <c r="AA978" s="33"/>
      <c r="AB978" s="33"/>
      <c r="AC978" s="33"/>
      <c r="AD978" s="33"/>
      <c r="AE978" s="33"/>
      <c r="AF978" s="33"/>
      <c r="AG978" s="33"/>
      <c r="AH978" s="33"/>
      <c r="AI978" s="33"/>
      <c r="AJ978" s="33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  <c r="BG978" s="33"/>
      <c r="BH978" s="33"/>
      <c r="BI978" s="33"/>
      <c r="BJ978" s="33"/>
      <c r="BK978" s="33"/>
      <c r="BL978" s="33"/>
      <c r="BM978" s="33"/>
    </row>
    <row r="979" spans="1:65" ht="15" customHeight="1">
      <c r="A979" s="33"/>
      <c r="B979" s="33"/>
      <c r="C979" s="33"/>
      <c r="D979" s="33"/>
      <c r="E979" s="33"/>
      <c r="F979" s="33"/>
      <c r="G979" s="33"/>
      <c r="H979" s="33"/>
      <c r="I979" s="33"/>
      <c r="J979" s="33"/>
      <c r="K979" s="33"/>
      <c r="L979" s="33"/>
      <c r="M979" s="33"/>
      <c r="N979" s="33"/>
      <c r="O979" s="33"/>
      <c r="P979" s="33"/>
      <c r="Q979" s="33"/>
      <c r="R979" s="33"/>
      <c r="S979" s="33"/>
      <c r="T979" s="33"/>
      <c r="U979" s="33"/>
      <c r="V979" s="33"/>
      <c r="W979" s="33"/>
      <c r="X979" s="33"/>
      <c r="Y979" s="33"/>
      <c r="Z979" s="33"/>
      <c r="AA979" s="33"/>
      <c r="AB979" s="33"/>
      <c r="AC979" s="33"/>
      <c r="AD979" s="33"/>
      <c r="AE979" s="33"/>
      <c r="AF979" s="33"/>
      <c r="AG979" s="33"/>
      <c r="AH979" s="33"/>
      <c r="AI979" s="33"/>
      <c r="AJ979" s="33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  <c r="BG979" s="33"/>
      <c r="BH979" s="33"/>
      <c r="BI979" s="33"/>
      <c r="BJ979" s="33"/>
      <c r="BK979" s="33"/>
      <c r="BL979" s="33"/>
      <c r="BM979" s="33"/>
    </row>
    <row r="980" spans="1:65" ht="15" customHeight="1">
      <c r="A980" s="33"/>
      <c r="B980" s="33"/>
      <c r="C980" s="33"/>
      <c r="D980" s="33"/>
      <c r="E980" s="33"/>
      <c r="F980" s="33"/>
      <c r="G980" s="33"/>
      <c r="H980" s="33"/>
      <c r="I980" s="33"/>
      <c r="J980" s="33"/>
      <c r="K980" s="33"/>
      <c r="L980" s="33"/>
      <c r="M980" s="33"/>
      <c r="N980" s="33"/>
      <c r="O980" s="33"/>
      <c r="P980" s="33"/>
      <c r="Q980" s="33"/>
      <c r="R980" s="33"/>
      <c r="S980" s="33"/>
      <c r="T980" s="33"/>
      <c r="U980" s="33"/>
      <c r="V980" s="33"/>
      <c r="W980" s="33"/>
      <c r="X980" s="33"/>
      <c r="Y980" s="33"/>
      <c r="Z980" s="33"/>
      <c r="AA980" s="33"/>
      <c r="AB980" s="33"/>
      <c r="AC980" s="33"/>
      <c r="AD980" s="33"/>
      <c r="AE980" s="33"/>
      <c r="AF980" s="33"/>
      <c r="AG980" s="33"/>
      <c r="AH980" s="33"/>
      <c r="AI980" s="33"/>
      <c r="AJ980" s="33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  <c r="BG980" s="33"/>
      <c r="BH980" s="33"/>
      <c r="BI980" s="33"/>
      <c r="BJ980" s="33"/>
      <c r="BK980" s="33"/>
      <c r="BL980" s="33"/>
      <c r="BM980" s="33"/>
    </row>
    <row r="981" spans="1:65" ht="15" customHeight="1">
      <c r="A981" s="33"/>
      <c r="B981" s="33"/>
      <c r="C981" s="33"/>
      <c r="D981" s="33"/>
      <c r="E981" s="33"/>
      <c r="F981" s="33"/>
      <c r="G981" s="33"/>
      <c r="H981" s="33"/>
      <c r="I981" s="33"/>
      <c r="J981" s="33"/>
      <c r="K981" s="33"/>
      <c r="L981" s="33"/>
      <c r="M981" s="33"/>
      <c r="N981" s="33"/>
      <c r="O981" s="33"/>
      <c r="P981" s="33"/>
      <c r="Q981" s="33"/>
      <c r="R981" s="33"/>
      <c r="S981" s="33"/>
      <c r="T981" s="33"/>
      <c r="U981" s="33"/>
      <c r="V981" s="33"/>
      <c r="W981" s="33"/>
      <c r="X981" s="33"/>
      <c r="Y981" s="33"/>
      <c r="Z981" s="33"/>
      <c r="AA981" s="33"/>
      <c r="AB981" s="33"/>
      <c r="AC981" s="33"/>
      <c r="AD981" s="33"/>
      <c r="AE981" s="33"/>
      <c r="AF981" s="33"/>
      <c r="AG981" s="33"/>
      <c r="AH981" s="33"/>
      <c r="AI981" s="33"/>
      <c r="AJ981" s="33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  <c r="BG981" s="33"/>
      <c r="BH981" s="33"/>
      <c r="BI981" s="33"/>
      <c r="BJ981" s="33"/>
      <c r="BK981" s="33"/>
      <c r="BL981" s="33"/>
      <c r="BM981" s="33"/>
    </row>
    <row r="982" spans="1:65" ht="15" customHeight="1">
      <c r="A982" s="33"/>
      <c r="B982" s="33"/>
      <c r="C982" s="33"/>
      <c r="D982" s="33"/>
      <c r="E982" s="33"/>
      <c r="F982" s="33"/>
      <c r="G982" s="33"/>
      <c r="H982" s="33"/>
      <c r="I982" s="33"/>
      <c r="J982" s="33"/>
      <c r="K982" s="33"/>
      <c r="L982" s="33"/>
      <c r="M982" s="33"/>
      <c r="N982" s="33"/>
      <c r="O982" s="33"/>
      <c r="P982" s="33"/>
      <c r="Q982" s="33"/>
      <c r="R982" s="33"/>
      <c r="S982" s="33"/>
      <c r="T982" s="33"/>
      <c r="U982" s="33"/>
      <c r="V982" s="33"/>
      <c r="W982" s="33"/>
      <c r="X982" s="33"/>
      <c r="Y982" s="33"/>
      <c r="Z982" s="33"/>
      <c r="AA982" s="33"/>
      <c r="AB982" s="33"/>
      <c r="AC982" s="33"/>
      <c r="AD982" s="33"/>
      <c r="AE982" s="33"/>
      <c r="AF982" s="33"/>
      <c r="AG982" s="33"/>
      <c r="AH982" s="33"/>
      <c r="AI982" s="33"/>
      <c r="AJ982" s="33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  <c r="BG982" s="33"/>
      <c r="BH982" s="33"/>
      <c r="BI982" s="33"/>
      <c r="BJ982" s="33"/>
      <c r="BK982" s="33"/>
      <c r="BL982" s="33"/>
      <c r="BM982" s="33"/>
    </row>
    <row r="983" spans="1:65" ht="15" customHeight="1">
      <c r="A983" s="33"/>
      <c r="B983" s="33"/>
      <c r="C983" s="33"/>
      <c r="D983" s="33"/>
      <c r="E983" s="33"/>
      <c r="F983" s="33"/>
      <c r="G983" s="33"/>
      <c r="H983" s="33"/>
      <c r="I983" s="33"/>
      <c r="J983" s="33"/>
      <c r="K983" s="33"/>
      <c r="L983" s="33"/>
      <c r="M983" s="33"/>
      <c r="N983" s="33"/>
      <c r="O983" s="33"/>
      <c r="P983" s="33"/>
      <c r="Q983" s="33"/>
      <c r="R983" s="33"/>
      <c r="S983" s="33"/>
      <c r="T983" s="33"/>
      <c r="U983" s="33"/>
      <c r="V983" s="33"/>
      <c r="W983" s="33"/>
      <c r="X983" s="33"/>
      <c r="Y983" s="33"/>
      <c r="Z983" s="33"/>
      <c r="AA983" s="33"/>
      <c r="AB983" s="33"/>
      <c r="AC983" s="33"/>
      <c r="AD983" s="33"/>
      <c r="AE983" s="33"/>
      <c r="AF983" s="33"/>
      <c r="AG983" s="33"/>
      <c r="AH983" s="33"/>
      <c r="AI983" s="33"/>
      <c r="AJ983" s="33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  <c r="BG983" s="33"/>
      <c r="BH983" s="33"/>
      <c r="BI983" s="33"/>
      <c r="BJ983" s="33"/>
      <c r="BK983" s="33"/>
      <c r="BL983" s="33"/>
      <c r="BM983" s="33"/>
    </row>
    <row r="984" spans="1:65" ht="15" customHeight="1">
      <c r="A984" s="33"/>
      <c r="B984" s="33"/>
      <c r="C984" s="33"/>
      <c r="D984" s="33"/>
      <c r="E984" s="33"/>
      <c r="F984" s="33"/>
      <c r="G984" s="33"/>
      <c r="H984" s="33"/>
      <c r="I984" s="33"/>
      <c r="J984" s="33"/>
      <c r="K984" s="33"/>
      <c r="L984" s="33"/>
      <c r="M984" s="33"/>
      <c r="N984" s="33"/>
      <c r="O984" s="33"/>
      <c r="P984" s="33"/>
      <c r="Q984" s="33"/>
      <c r="R984" s="33"/>
      <c r="S984" s="33"/>
      <c r="T984" s="33"/>
      <c r="U984" s="33"/>
      <c r="V984" s="33"/>
      <c r="W984" s="33"/>
      <c r="X984" s="33"/>
      <c r="Y984" s="33"/>
      <c r="Z984" s="33"/>
      <c r="AA984" s="33"/>
      <c r="AB984" s="33"/>
      <c r="AC984" s="33"/>
      <c r="AD984" s="33"/>
      <c r="AE984" s="33"/>
      <c r="AF984" s="33"/>
      <c r="AG984" s="33"/>
      <c r="AH984" s="33"/>
      <c r="AI984" s="33"/>
      <c r="AJ984" s="33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  <c r="BG984" s="33"/>
      <c r="BH984" s="33"/>
      <c r="BI984" s="33"/>
      <c r="BJ984" s="33"/>
      <c r="BK984" s="33"/>
      <c r="BL984" s="33"/>
      <c r="BM984" s="33"/>
    </row>
    <row r="985" spans="1:65" ht="15" customHeight="1">
      <c r="A985" s="33"/>
      <c r="B985" s="33"/>
      <c r="C985" s="33"/>
      <c r="D985" s="33"/>
      <c r="E985" s="33"/>
      <c r="F985" s="33"/>
      <c r="G985" s="33"/>
      <c r="H985" s="33"/>
      <c r="I985" s="33"/>
      <c r="J985" s="33"/>
      <c r="K985" s="33"/>
      <c r="L985" s="33"/>
      <c r="M985" s="33"/>
      <c r="N985" s="33"/>
      <c r="O985" s="33"/>
      <c r="P985" s="33"/>
      <c r="Q985" s="33"/>
      <c r="R985" s="33"/>
      <c r="S985" s="33"/>
      <c r="T985" s="33"/>
      <c r="U985" s="33"/>
      <c r="V985" s="33"/>
      <c r="W985" s="33"/>
      <c r="X985" s="33"/>
      <c r="Y985" s="33"/>
      <c r="Z985" s="33"/>
      <c r="AA985" s="33"/>
      <c r="AB985" s="33"/>
      <c r="AC985" s="33"/>
      <c r="AD985" s="33"/>
      <c r="AE985" s="33"/>
      <c r="AF985" s="33"/>
      <c r="AG985" s="33"/>
      <c r="AH985" s="33"/>
      <c r="AI985" s="33"/>
      <c r="AJ985" s="33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  <c r="BG985" s="33"/>
      <c r="BH985" s="33"/>
      <c r="BI985" s="33"/>
      <c r="BJ985" s="33"/>
      <c r="BK985" s="33"/>
      <c r="BL985" s="33"/>
      <c r="BM985" s="33"/>
    </row>
    <row r="986" spans="1:65" ht="15" customHeight="1">
      <c r="A986" s="33"/>
      <c r="B986" s="33"/>
      <c r="C986" s="33"/>
      <c r="D986" s="33"/>
      <c r="E986" s="33"/>
      <c r="F986" s="33"/>
      <c r="G986" s="33"/>
      <c r="H986" s="33"/>
      <c r="I986" s="33"/>
      <c r="J986" s="33"/>
      <c r="K986" s="33"/>
      <c r="L986" s="33"/>
      <c r="M986" s="33"/>
      <c r="N986" s="33"/>
      <c r="O986" s="33"/>
      <c r="P986" s="33"/>
      <c r="Q986" s="33"/>
      <c r="R986" s="33"/>
      <c r="S986" s="33"/>
      <c r="T986" s="33"/>
      <c r="U986" s="33"/>
      <c r="V986" s="33"/>
      <c r="W986" s="33"/>
      <c r="X986" s="33"/>
      <c r="Y986" s="33"/>
      <c r="Z986" s="33"/>
      <c r="AA986" s="33"/>
      <c r="AB986" s="33"/>
      <c r="AC986" s="33"/>
      <c r="AD986" s="33"/>
      <c r="AE986" s="33"/>
      <c r="AF986" s="33"/>
      <c r="AG986" s="33"/>
      <c r="AH986" s="33"/>
      <c r="AI986" s="33"/>
      <c r="AJ986" s="33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  <c r="BG986" s="33"/>
      <c r="BH986" s="33"/>
      <c r="BI986" s="33"/>
      <c r="BJ986" s="33"/>
      <c r="BK986" s="33"/>
      <c r="BL986" s="33"/>
      <c r="BM986" s="33"/>
    </row>
    <row r="987" spans="1:65" ht="15" customHeight="1">
      <c r="A987" s="33"/>
      <c r="B987" s="33"/>
      <c r="C987" s="33"/>
      <c r="D987" s="33"/>
      <c r="E987" s="33"/>
      <c r="F987" s="33"/>
      <c r="G987" s="33"/>
      <c r="H987" s="33"/>
      <c r="I987" s="33"/>
      <c r="J987" s="33"/>
      <c r="K987" s="33"/>
      <c r="L987" s="33"/>
      <c r="M987" s="33"/>
      <c r="N987" s="33"/>
      <c r="O987" s="33"/>
      <c r="P987" s="33"/>
      <c r="Q987" s="33"/>
      <c r="R987" s="33"/>
      <c r="S987" s="33"/>
      <c r="T987" s="33"/>
      <c r="U987" s="33"/>
      <c r="V987" s="33"/>
      <c r="W987" s="33"/>
      <c r="X987" s="33"/>
      <c r="Y987" s="33"/>
      <c r="Z987" s="33"/>
      <c r="AA987" s="33"/>
      <c r="AB987" s="33"/>
      <c r="AC987" s="33"/>
      <c r="AD987" s="33"/>
      <c r="AE987" s="33"/>
      <c r="AF987" s="33"/>
      <c r="AG987" s="33"/>
      <c r="AH987" s="33"/>
      <c r="AI987" s="33"/>
      <c r="AJ987" s="33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  <c r="BG987" s="33"/>
      <c r="BH987" s="33"/>
      <c r="BI987" s="33"/>
      <c r="BJ987" s="33"/>
      <c r="BK987" s="33"/>
      <c r="BL987" s="33"/>
      <c r="BM987" s="33"/>
    </row>
    <row r="988" spans="1:65" ht="15" customHeight="1">
      <c r="A988" s="33"/>
      <c r="B988" s="33"/>
      <c r="C988" s="33"/>
      <c r="D988" s="33"/>
      <c r="E988" s="33"/>
      <c r="F988" s="33"/>
      <c r="G988" s="33"/>
      <c r="H988" s="33"/>
      <c r="I988" s="33"/>
      <c r="J988" s="33"/>
      <c r="K988" s="33"/>
      <c r="L988" s="33"/>
      <c r="M988" s="33"/>
      <c r="N988" s="33"/>
      <c r="O988" s="33"/>
      <c r="P988" s="33"/>
      <c r="Q988" s="33"/>
      <c r="R988" s="33"/>
      <c r="S988" s="33"/>
      <c r="T988" s="33"/>
      <c r="U988" s="33"/>
      <c r="V988" s="33"/>
      <c r="W988" s="33"/>
      <c r="X988" s="33"/>
      <c r="Y988" s="33"/>
      <c r="Z988" s="33"/>
      <c r="AA988" s="33"/>
      <c r="AB988" s="33"/>
      <c r="AC988" s="33"/>
      <c r="AD988" s="33"/>
      <c r="AE988" s="33"/>
      <c r="AF988" s="33"/>
      <c r="AG988" s="33"/>
      <c r="AH988" s="33"/>
      <c r="AI988" s="33"/>
      <c r="AJ988" s="33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  <c r="BD988" s="33"/>
      <c r="BE988" s="33"/>
      <c r="BF988" s="33"/>
      <c r="BG988" s="33"/>
      <c r="BH988" s="33"/>
      <c r="BI988" s="33"/>
      <c r="BJ988" s="33"/>
      <c r="BK988" s="33"/>
      <c r="BL988" s="33"/>
      <c r="BM988" s="33"/>
    </row>
    <row r="989" spans="1:65" ht="15" customHeight="1">
      <c r="A989" s="33"/>
      <c r="B989" s="33"/>
      <c r="C989" s="33"/>
      <c r="D989" s="33"/>
      <c r="E989" s="33"/>
      <c r="F989" s="33"/>
      <c r="G989" s="33"/>
      <c r="H989" s="33"/>
      <c r="I989" s="33"/>
      <c r="J989" s="33"/>
      <c r="K989" s="33"/>
      <c r="L989" s="33"/>
      <c r="M989" s="33"/>
      <c r="N989" s="33"/>
      <c r="O989" s="33"/>
      <c r="P989" s="33"/>
      <c r="Q989" s="33"/>
      <c r="R989" s="33"/>
      <c r="S989" s="33"/>
      <c r="T989" s="33"/>
      <c r="U989" s="33"/>
      <c r="V989" s="33"/>
      <c r="W989" s="33"/>
      <c r="X989" s="33"/>
      <c r="Y989" s="33"/>
      <c r="Z989" s="33"/>
      <c r="AA989" s="33"/>
      <c r="AB989" s="33"/>
      <c r="AC989" s="33"/>
      <c r="AD989" s="33"/>
      <c r="AE989" s="33"/>
      <c r="AF989" s="33"/>
      <c r="AG989" s="33"/>
      <c r="AH989" s="33"/>
      <c r="AI989" s="33"/>
      <c r="AJ989" s="33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  <c r="BD989" s="33"/>
      <c r="BE989" s="33"/>
      <c r="BF989" s="33"/>
      <c r="BG989" s="33"/>
      <c r="BH989" s="33"/>
      <c r="BI989" s="33"/>
      <c r="BJ989" s="33"/>
      <c r="BK989" s="33"/>
      <c r="BL989" s="33"/>
      <c r="BM989" s="33"/>
    </row>
    <row r="990" spans="1:65" ht="15" customHeight="1">
      <c r="A990" s="33"/>
      <c r="B990" s="33"/>
      <c r="C990" s="33"/>
      <c r="D990" s="33"/>
      <c r="E990" s="33"/>
      <c r="F990" s="33"/>
      <c r="G990" s="33"/>
      <c r="H990" s="33"/>
      <c r="I990" s="33"/>
      <c r="J990" s="33"/>
      <c r="K990" s="33"/>
      <c r="L990" s="33"/>
      <c r="M990" s="33"/>
      <c r="N990" s="33"/>
      <c r="O990" s="33"/>
      <c r="P990" s="33"/>
      <c r="Q990" s="33"/>
      <c r="R990" s="33"/>
      <c r="S990" s="33"/>
      <c r="T990" s="33"/>
      <c r="U990" s="33"/>
      <c r="V990" s="33"/>
      <c r="W990" s="33"/>
      <c r="X990" s="33"/>
      <c r="Y990" s="33"/>
      <c r="Z990" s="33"/>
      <c r="AA990" s="33"/>
      <c r="AB990" s="33"/>
      <c r="AC990" s="33"/>
      <c r="AD990" s="33"/>
      <c r="AE990" s="33"/>
      <c r="AF990" s="33"/>
      <c r="AG990" s="33"/>
      <c r="AH990" s="33"/>
      <c r="AI990" s="33"/>
      <c r="AJ990" s="33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  <c r="BD990" s="33"/>
      <c r="BE990" s="33"/>
      <c r="BF990" s="33"/>
      <c r="BG990" s="33"/>
      <c r="BH990" s="33"/>
      <c r="BI990" s="33"/>
      <c r="BJ990" s="33"/>
      <c r="BK990" s="33"/>
      <c r="BL990" s="33"/>
      <c r="BM990" s="33"/>
    </row>
    <row r="991" spans="1:65" ht="15" customHeight="1">
      <c r="A991" s="33"/>
      <c r="B991" s="33"/>
      <c r="C991" s="33"/>
      <c r="D991" s="33"/>
      <c r="E991" s="33"/>
      <c r="F991" s="33"/>
      <c r="G991" s="33"/>
      <c r="H991" s="33"/>
      <c r="I991" s="33"/>
      <c r="J991" s="33"/>
      <c r="K991" s="33"/>
      <c r="L991" s="33"/>
      <c r="M991" s="33"/>
      <c r="N991" s="33"/>
      <c r="O991" s="33"/>
      <c r="P991" s="33"/>
      <c r="Q991" s="33"/>
      <c r="R991" s="33"/>
      <c r="S991" s="33"/>
      <c r="T991" s="33"/>
      <c r="U991" s="33"/>
      <c r="V991" s="33"/>
      <c r="W991" s="33"/>
      <c r="X991" s="33"/>
      <c r="Y991" s="33"/>
      <c r="Z991" s="33"/>
      <c r="AA991" s="33"/>
      <c r="AB991" s="33"/>
      <c r="AC991" s="33"/>
      <c r="AD991" s="33"/>
      <c r="AE991" s="33"/>
      <c r="AF991" s="33"/>
      <c r="AG991" s="33"/>
      <c r="AH991" s="33"/>
      <c r="AI991" s="33"/>
      <c r="AJ991" s="33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  <c r="BD991" s="33"/>
      <c r="BE991" s="33"/>
      <c r="BF991" s="33"/>
      <c r="BG991" s="33"/>
      <c r="BH991" s="33"/>
      <c r="BI991" s="33"/>
      <c r="BJ991" s="33"/>
      <c r="BK991" s="33"/>
      <c r="BL991" s="33"/>
      <c r="BM991" s="33"/>
    </row>
    <row r="992" spans="1:65" ht="15" customHeight="1">
      <c r="A992" s="33"/>
      <c r="B992" s="33"/>
      <c r="C992" s="33"/>
      <c r="D992" s="33"/>
      <c r="E992" s="33"/>
      <c r="F992" s="33"/>
      <c r="G992" s="33"/>
      <c r="H992" s="33"/>
      <c r="I992" s="33"/>
      <c r="J992" s="33"/>
      <c r="K992" s="33"/>
      <c r="L992" s="33"/>
      <c r="M992" s="33"/>
      <c r="N992" s="33"/>
      <c r="O992" s="33"/>
      <c r="P992" s="33"/>
      <c r="Q992" s="33"/>
      <c r="R992" s="33"/>
      <c r="S992" s="33"/>
      <c r="T992" s="33"/>
      <c r="U992" s="33"/>
      <c r="V992" s="33"/>
      <c r="W992" s="33"/>
      <c r="X992" s="33"/>
      <c r="Y992" s="33"/>
      <c r="Z992" s="33"/>
      <c r="AA992" s="33"/>
      <c r="AB992" s="33"/>
      <c r="AC992" s="33"/>
      <c r="AD992" s="33"/>
      <c r="AE992" s="33"/>
      <c r="AF992" s="33"/>
      <c r="AG992" s="33"/>
      <c r="AH992" s="33"/>
      <c r="AI992" s="33"/>
      <c r="AJ992" s="33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  <c r="BD992" s="33"/>
      <c r="BE992" s="33"/>
      <c r="BF992" s="33"/>
      <c r="BG992" s="33"/>
      <c r="BH992" s="33"/>
      <c r="BI992" s="33"/>
      <c r="BJ992" s="33"/>
      <c r="BK992" s="33"/>
      <c r="BL992" s="33"/>
      <c r="BM992" s="33"/>
    </row>
    <row r="993" spans="1:65" ht="15" customHeight="1">
      <c r="A993" s="33"/>
      <c r="B993" s="33"/>
      <c r="C993" s="33"/>
      <c r="D993" s="33"/>
      <c r="E993" s="33"/>
      <c r="F993" s="33"/>
      <c r="G993" s="33"/>
      <c r="H993" s="33"/>
      <c r="I993" s="33"/>
      <c r="J993" s="33"/>
      <c r="K993" s="33"/>
      <c r="L993" s="33"/>
      <c r="M993" s="33"/>
      <c r="N993" s="33"/>
      <c r="O993" s="33"/>
      <c r="P993" s="33"/>
      <c r="Q993" s="33"/>
      <c r="R993" s="33"/>
      <c r="S993" s="33"/>
      <c r="T993" s="33"/>
      <c r="U993" s="33"/>
      <c r="V993" s="33"/>
      <c r="W993" s="33"/>
      <c r="X993" s="33"/>
      <c r="Y993" s="33"/>
      <c r="Z993" s="33"/>
      <c r="AA993" s="33"/>
      <c r="AB993" s="33"/>
      <c r="AC993" s="33"/>
      <c r="AD993" s="33"/>
      <c r="AE993" s="33"/>
      <c r="AF993" s="33"/>
      <c r="AG993" s="33"/>
      <c r="AH993" s="33"/>
      <c r="AI993" s="33"/>
      <c r="AJ993" s="33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  <c r="BD993" s="33"/>
      <c r="BE993" s="33"/>
      <c r="BF993" s="33"/>
      <c r="BG993" s="33"/>
      <c r="BH993" s="33"/>
      <c r="BI993" s="33"/>
      <c r="BJ993" s="33"/>
      <c r="BK993" s="33"/>
      <c r="BL993" s="33"/>
      <c r="BM993" s="33"/>
    </row>
    <row r="994" spans="1:65" ht="15" customHeight="1">
      <c r="A994" s="33"/>
      <c r="B994" s="33"/>
      <c r="C994" s="33"/>
      <c r="D994" s="33"/>
      <c r="E994" s="33"/>
      <c r="F994" s="33"/>
      <c r="G994" s="33"/>
      <c r="H994" s="33"/>
      <c r="I994" s="33"/>
      <c r="J994" s="33"/>
      <c r="K994" s="33"/>
      <c r="L994" s="33"/>
      <c r="M994" s="33"/>
      <c r="N994" s="33"/>
      <c r="O994" s="33"/>
      <c r="P994" s="33"/>
      <c r="Q994" s="33"/>
      <c r="R994" s="33"/>
      <c r="S994" s="33"/>
      <c r="T994" s="33"/>
      <c r="U994" s="33"/>
      <c r="V994" s="33"/>
      <c r="W994" s="33"/>
      <c r="X994" s="33"/>
      <c r="Y994" s="33"/>
      <c r="Z994" s="33"/>
      <c r="AA994" s="33"/>
      <c r="AB994" s="33"/>
      <c r="AC994" s="33"/>
      <c r="AD994" s="33"/>
      <c r="AE994" s="33"/>
      <c r="AF994" s="33"/>
      <c r="AG994" s="33"/>
      <c r="AH994" s="33"/>
      <c r="AI994" s="33"/>
      <c r="AJ994" s="33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  <c r="BD994" s="33"/>
      <c r="BE994" s="33"/>
      <c r="BF994" s="33"/>
      <c r="BG994" s="33"/>
      <c r="BH994" s="33"/>
      <c r="BI994" s="33"/>
      <c r="BJ994" s="33"/>
      <c r="BK994" s="33"/>
      <c r="BL994" s="33"/>
      <c r="BM994" s="33"/>
    </row>
    <row r="995" spans="1:65" ht="15" customHeight="1">
      <c r="A995" s="33"/>
      <c r="B995" s="33"/>
      <c r="C995" s="33"/>
      <c r="D995" s="33"/>
      <c r="E995" s="33"/>
      <c r="F995" s="33"/>
      <c r="G995" s="33"/>
      <c r="H995" s="33"/>
      <c r="I995" s="33"/>
      <c r="J995" s="33"/>
      <c r="K995" s="33"/>
      <c r="L995" s="33"/>
      <c r="M995" s="33"/>
      <c r="N995" s="33"/>
      <c r="O995" s="33"/>
      <c r="P995" s="33"/>
      <c r="Q995" s="33"/>
      <c r="R995" s="33"/>
      <c r="S995" s="33"/>
      <c r="T995" s="33"/>
      <c r="U995" s="33"/>
      <c r="V995" s="33"/>
      <c r="W995" s="33"/>
      <c r="X995" s="33"/>
      <c r="Y995" s="33"/>
      <c r="Z995" s="33"/>
      <c r="AA995" s="33"/>
      <c r="AB995" s="33"/>
      <c r="AC995" s="33"/>
      <c r="AD995" s="33"/>
      <c r="AE995" s="33"/>
      <c r="AF995" s="33"/>
      <c r="AG995" s="33"/>
      <c r="AH995" s="33"/>
      <c r="AI995" s="33"/>
      <c r="AJ995" s="33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  <c r="BD995" s="33"/>
      <c r="BE995" s="33"/>
      <c r="BF995" s="33"/>
      <c r="BG995" s="33"/>
      <c r="BH995" s="33"/>
      <c r="BI995" s="33"/>
      <c r="BJ995" s="33"/>
      <c r="BK995" s="33"/>
      <c r="BL995" s="33"/>
      <c r="BM995" s="33"/>
    </row>
    <row r="996" spans="1:65" ht="15" customHeight="1">
      <c r="A996" s="33"/>
      <c r="B996" s="33"/>
      <c r="C996" s="33"/>
      <c r="D996" s="33"/>
      <c r="E996" s="33"/>
      <c r="F996" s="33"/>
      <c r="G996" s="33"/>
      <c r="H996" s="33"/>
      <c r="I996" s="33"/>
      <c r="J996" s="33"/>
      <c r="K996" s="33"/>
      <c r="L996" s="33"/>
      <c r="M996" s="33"/>
      <c r="N996" s="33"/>
      <c r="O996" s="33"/>
      <c r="P996" s="33"/>
      <c r="Q996" s="33"/>
      <c r="R996" s="33"/>
      <c r="S996" s="33"/>
      <c r="T996" s="33"/>
      <c r="U996" s="33"/>
      <c r="V996" s="33"/>
      <c r="W996" s="33"/>
      <c r="X996" s="33"/>
      <c r="Y996" s="33"/>
      <c r="Z996" s="33"/>
      <c r="AA996" s="33"/>
      <c r="AB996" s="33"/>
      <c r="AC996" s="33"/>
      <c r="AD996" s="33"/>
      <c r="AE996" s="33"/>
      <c r="AF996" s="33"/>
      <c r="AG996" s="33"/>
      <c r="AH996" s="33"/>
      <c r="AI996" s="33"/>
      <c r="AJ996" s="33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  <c r="BD996" s="33"/>
      <c r="BE996" s="33"/>
      <c r="BF996" s="33"/>
      <c r="BG996" s="33"/>
      <c r="BH996" s="33"/>
      <c r="BI996" s="33"/>
      <c r="BJ996" s="33"/>
      <c r="BK996" s="33"/>
      <c r="BL996" s="33"/>
      <c r="BM996" s="33"/>
    </row>
    <row r="997" spans="1:65" ht="15" customHeight="1">
      <c r="A997" s="33"/>
      <c r="B997" s="33"/>
      <c r="C997" s="33"/>
      <c r="D997" s="33"/>
      <c r="E997" s="33"/>
      <c r="F997" s="33"/>
      <c r="G997" s="33"/>
      <c r="H997" s="33"/>
      <c r="I997" s="33"/>
      <c r="J997" s="33"/>
      <c r="K997" s="33"/>
      <c r="L997" s="33"/>
      <c r="M997" s="33"/>
      <c r="N997" s="33"/>
      <c r="O997" s="33"/>
      <c r="P997" s="33"/>
      <c r="Q997" s="33"/>
      <c r="R997" s="33"/>
      <c r="S997" s="33"/>
      <c r="T997" s="33"/>
      <c r="U997" s="33"/>
      <c r="V997" s="33"/>
      <c r="W997" s="33"/>
      <c r="X997" s="33"/>
      <c r="Y997" s="33"/>
      <c r="Z997" s="33"/>
      <c r="AA997" s="33"/>
      <c r="AB997" s="33"/>
      <c r="AC997" s="33"/>
      <c r="AD997" s="33"/>
      <c r="AE997" s="33"/>
      <c r="AF997" s="33"/>
      <c r="AG997" s="33"/>
      <c r="AH997" s="33"/>
      <c r="AI997" s="33"/>
      <c r="AJ997" s="33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  <c r="BD997" s="33"/>
      <c r="BE997" s="33"/>
      <c r="BF997" s="33"/>
      <c r="BG997" s="33"/>
      <c r="BH997" s="33"/>
      <c r="BI997" s="33"/>
      <c r="BJ997" s="33"/>
      <c r="BK997" s="33"/>
      <c r="BL997" s="33"/>
      <c r="BM997" s="33"/>
    </row>
    <row r="998" spans="1:65" ht="15" customHeight="1">
      <c r="A998" s="33"/>
      <c r="B998" s="33"/>
      <c r="C998" s="33"/>
      <c r="D998" s="33"/>
      <c r="E998" s="33"/>
      <c r="F998" s="33"/>
      <c r="G998" s="33"/>
      <c r="H998" s="33"/>
      <c r="I998" s="33"/>
      <c r="J998" s="33"/>
      <c r="K998" s="33"/>
      <c r="L998" s="33"/>
      <c r="M998" s="33"/>
      <c r="N998" s="33"/>
      <c r="O998" s="33"/>
      <c r="P998" s="33"/>
      <c r="Q998" s="33"/>
      <c r="R998" s="33"/>
      <c r="S998" s="33"/>
      <c r="T998" s="33"/>
      <c r="U998" s="33"/>
      <c r="V998" s="33"/>
      <c r="W998" s="33"/>
      <c r="X998" s="33"/>
      <c r="Y998" s="33"/>
      <c r="Z998" s="33"/>
      <c r="AA998" s="33"/>
      <c r="AB998" s="33"/>
      <c r="AC998" s="33"/>
      <c r="AD998" s="33"/>
      <c r="AE998" s="33"/>
      <c r="AF998" s="33"/>
      <c r="AG998" s="33"/>
      <c r="AH998" s="33"/>
      <c r="AI998" s="33"/>
      <c r="AJ998" s="33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  <c r="BD998" s="33"/>
      <c r="BE998" s="33"/>
      <c r="BF998" s="33"/>
      <c r="BG998" s="33"/>
      <c r="BH998" s="33"/>
      <c r="BI998" s="33"/>
      <c r="BJ998" s="33"/>
      <c r="BK998" s="33"/>
      <c r="BL998" s="33"/>
      <c r="BM998" s="33"/>
    </row>
    <row r="999" spans="1:65" ht="15" customHeight="1">
      <c r="A999" s="33"/>
      <c r="B999" s="33"/>
      <c r="C999" s="33"/>
      <c r="D999" s="33"/>
      <c r="E999" s="33"/>
      <c r="F999" s="33"/>
      <c r="G999" s="33"/>
      <c r="H999" s="33"/>
      <c r="I999" s="33"/>
      <c r="J999" s="33"/>
      <c r="K999" s="33"/>
      <c r="L999" s="33"/>
      <c r="M999" s="33"/>
      <c r="N999" s="33"/>
      <c r="O999" s="33"/>
      <c r="P999" s="33"/>
      <c r="Q999" s="33"/>
      <c r="R999" s="33"/>
      <c r="S999" s="33"/>
      <c r="T999" s="33"/>
      <c r="U999" s="33"/>
      <c r="V999" s="33"/>
      <c r="W999" s="33"/>
      <c r="X999" s="33"/>
      <c r="Y999" s="33"/>
      <c r="Z999" s="33"/>
      <c r="AA999" s="33"/>
      <c r="AB999" s="33"/>
      <c r="AC999" s="33"/>
      <c r="AD999" s="33"/>
      <c r="AE999" s="33"/>
      <c r="AF999" s="33"/>
      <c r="AG999" s="33"/>
      <c r="AH999" s="33"/>
      <c r="AI999" s="33"/>
      <c r="AJ999" s="33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  <c r="BD999" s="33"/>
      <c r="BE999" s="33"/>
      <c r="BF999" s="33"/>
      <c r="BG999" s="33"/>
      <c r="BH999" s="33"/>
      <c r="BI999" s="33"/>
      <c r="BJ999" s="33"/>
      <c r="BK999" s="33"/>
      <c r="BL999" s="33"/>
      <c r="BM999" s="33"/>
    </row>
    <row r="1000" spans="1:65" ht="15" customHeight="1">
      <c r="A1000" s="33"/>
      <c r="B1000" s="33"/>
      <c r="C1000" s="33"/>
      <c r="D1000" s="33"/>
      <c r="E1000" s="33"/>
      <c r="F1000" s="33"/>
      <c r="G1000" s="33"/>
      <c r="H1000" s="33"/>
      <c r="I1000" s="33"/>
      <c r="J1000" s="33"/>
      <c r="K1000" s="33"/>
      <c r="L1000" s="33"/>
      <c r="M1000" s="33"/>
      <c r="N1000" s="33"/>
      <c r="O1000" s="33"/>
      <c r="P1000" s="33"/>
      <c r="Q1000" s="33"/>
      <c r="R1000" s="33"/>
      <c r="S1000" s="33"/>
      <c r="T1000" s="33"/>
      <c r="U1000" s="33"/>
      <c r="V1000" s="33"/>
      <c r="W1000" s="33"/>
      <c r="X1000" s="33"/>
      <c r="Y1000" s="33"/>
      <c r="Z1000" s="33"/>
      <c r="AA1000" s="33"/>
      <c r="AB1000" s="33"/>
      <c r="AC1000" s="33"/>
      <c r="AD1000" s="33"/>
      <c r="AE1000" s="33"/>
      <c r="AF1000" s="33"/>
      <c r="AG1000" s="33"/>
      <c r="AH1000" s="33"/>
      <c r="AI1000" s="33"/>
      <c r="AJ1000" s="33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  <c r="BD1000" s="33"/>
      <c r="BE1000" s="33"/>
      <c r="BF1000" s="33"/>
      <c r="BG1000" s="33"/>
      <c r="BH1000" s="33"/>
      <c r="BI1000" s="33"/>
      <c r="BJ1000" s="33"/>
      <c r="BK1000" s="33"/>
      <c r="BL1000" s="33"/>
      <c r="BM1000" s="33"/>
    </row>
    <row r="1001" spans="1:65" ht="15" customHeight="1">
      <c r="A1001" s="33"/>
      <c r="B1001" s="33"/>
      <c r="C1001" s="33"/>
      <c r="D1001" s="33"/>
      <c r="E1001" s="33"/>
      <c r="F1001" s="33"/>
      <c r="G1001" s="33"/>
      <c r="H1001" s="33"/>
      <c r="I1001" s="33"/>
      <c r="J1001" s="33"/>
      <c r="K1001" s="33"/>
      <c r="L1001" s="33"/>
      <c r="M1001" s="33"/>
      <c r="N1001" s="33"/>
      <c r="O1001" s="33"/>
      <c r="P1001" s="33"/>
      <c r="Q1001" s="33"/>
      <c r="R1001" s="33"/>
      <c r="S1001" s="33"/>
      <c r="T1001" s="33"/>
      <c r="U1001" s="33"/>
      <c r="V1001" s="33"/>
      <c r="W1001" s="33"/>
      <c r="X1001" s="33"/>
      <c r="Y1001" s="33"/>
      <c r="Z1001" s="33"/>
      <c r="AA1001" s="33"/>
      <c r="AB1001" s="33"/>
      <c r="AC1001" s="33"/>
      <c r="AD1001" s="33"/>
      <c r="AE1001" s="33"/>
      <c r="AF1001" s="33"/>
      <c r="AG1001" s="33"/>
      <c r="AH1001" s="33"/>
      <c r="AI1001" s="33"/>
      <c r="AJ1001" s="33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  <c r="BD1001" s="33"/>
      <c r="BE1001" s="33"/>
      <c r="BF1001" s="33"/>
      <c r="BG1001" s="33"/>
      <c r="BH1001" s="33"/>
      <c r="BI1001" s="33"/>
      <c r="BJ1001" s="33"/>
      <c r="BK1001" s="33"/>
      <c r="BL1001" s="33"/>
      <c r="BM1001" s="33"/>
    </row>
  </sheetData>
  <phoneticPr fontId="5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BK100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E2" sqref="E2"/>
    </sheetView>
  </sheetViews>
  <sheetFormatPr baseColWidth="10" defaultColWidth="11.28515625" defaultRowHeight="15" customHeight="1" x14ac:dyDescent="0"/>
  <cols>
    <col min="1" max="1" width="11.28515625" hidden="1"/>
    <col min="2" max="2" width="15.140625" hidden="1" customWidth="1"/>
    <col min="3" max="3" width="10.5703125" hidden="1" customWidth="1"/>
    <col min="4" max="4" width="24.28515625" customWidth="1"/>
    <col min="5" max="13" width="4" customWidth="1"/>
    <col min="14" max="35" width="4.85546875" customWidth="1"/>
    <col min="36" max="44" width="4" hidden="1" customWidth="1"/>
    <col min="45" max="63" width="4.85546875" hidden="1" customWidth="1"/>
  </cols>
  <sheetData>
    <row r="1" spans="1:63" ht="15" customHeight="1">
      <c r="A1" s="162" t="s">
        <v>0</v>
      </c>
      <c r="B1" s="162" t="s">
        <v>2</v>
      </c>
      <c r="C1" s="163" t="s">
        <v>3</v>
      </c>
      <c r="D1" s="163" t="s">
        <v>4</v>
      </c>
      <c r="E1" s="164">
        <v>43739</v>
      </c>
      <c r="F1" s="164">
        <v>43740</v>
      </c>
      <c r="G1" s="164">
        <v>43741</v>
      </c>
      <c r="H1" s="164">
        <v>43742</v>
      </c>
      <c r="I1" s="164">
        <v>43743</v>
      </c>
      <c r="J1" s="164">
        <v>43744</v>
      </c>
      <c r="K1" s="164">
        <v>43745</v>
      </c>
      <c r="L1" s="164">
        <v>43746</v>
      </c>
      <c r="M1" s="164">
        <v>43747</v>
      </c>
      <c r="N1" s="164">
        <v>43748</v>
      </c>
      <c r="O1" s="164">
        <v>43749</v>
      </c>
      <c r="P1" s="164">
        <v>43750</v>
      </c>
      <c r="Q1" s="164">
        <v>43751</v>
      </c>
      <c r="R1" s="164">
        <v>43752</v>
      </c>
      <c r="S1" s="164">
        <v>43753</v>
      </c>
      <c r="T1" s="164">
        <v>43754</v>
      </c>
      <c r="U1" s="164">
        <v>43755</v>
      </c>
      <c r="V1" s="164">
        <v>43756</v>
      </c>
      <c r="W1" s="164">
        <v>43757</v>
      </c>
      <c r="X1" s="164">
        <v>43758</v>
      </c>
      <c r="Y1" s="164">
        <v>43759</v>
      </c>
      <c r="Z1" s="164">
        <v>43760</v>
      </c>
      <c r="AA1" s="164">
        <v>43761</v>
      </c>
      <c r="AB1" s="164">
        <v>43762</v>
      </c>
      <c r="AC1" s="164">
        <v>43763</v>
      </c>
      <c r="AD1" s="164">
        <v>43764</v>
      </c>
      <c r="AE1" s="164">
        <v>43765</v>
      </c>
      <c r="AF1" s="164">
        <v>43766</v>
      </c>
      <c r="AG1" s="164">
        <v>43767</v>
      </c>
      <c r="AH1" s="164">
        <v>43768</v>
      </c>
      <c r="AI1" s="164">
        <v>43769</v>
      </c>
      <c r="AJ1" s="165" t="s">
        <v>2434</v>
      </c>
      <c r="AK1" s="6">
        <v>43771</v>
      </c>
      <c r="AL1" s="6">
        <v>43772</v>
      </c>
      <c r="AM1" s="6">
        <v>43773</v>
      </c>
      <c r="AN1" s="6">
        <v>43774</v>
      </c>
      <c r="AO1" s="6">
        <v>43775</v>
      </c>
      <c r="AP1" s="6">
        <v>43776</v>
      </c>
      <c r="AQ1" s="6">
        <v>43777</v>
      </c>
      <c r="AR1" s="6">
        <v>43778</v>
      </c>
      <c r="AS1" s="6">
        <v>43779</v>
      </c>
      <c r="AT1" s="6">
        <v>43780</v>
      </c>
      <c r="AU1" s="6">
        <v>43781</v>
      </c>
      <c r="AV1" s="6">
        <v>43782</v>
      </c>
      <c r="AW1" s="6">
        <v>43783</v>
      </c>
      <c r="AX1" s="6">
        <v>43784</v>
      </c>
      <c r="AY1" s="6">
        <v>43785</v>
      </c>
      <c r="AZ1" s="6">
        <v>43786</v>
      </c>
      <c r="BA1" s="6">
        <v>43787</v>
      </c>
      <c r="BB1" s="6">
        <v>43788</v>
      </c>
      <c r="BC1" s="6">
        <v>43789</v>
      </c>
      <c r="BD1" s="6">
        <v>43790</v>
      </c>
      <c r="BE1" s="6">
        <v>43791</v>
      </c>
      <c r="BF1" s="6">
        <v>43792</v>
      </c>
      <c r="BG1" s="6">
        <v>43793</v>
      </c>
      <c r="BH1" s="6">
        <v>43794</v>
      </c>
      <c r="BI1" s="6">
        <v>43795</v>
      </c>
      <c r="BJ1" s="6">
        <v>43796</v>
      </c>
      <c r="BK1" s="6">
        <v>43797</v>
      </c>
    </row>
    <row r="2" spans="1:63" ht="15" customHeight="1">
      <c r="A2" s="166" t="s">
        <v>8</v>
      </c>
      <c r="B2" s="167">
        <v>1</v>
      </c>
      <c r="C2" s="168" t="s">
        <v>12</v>
      </c>
      <c r="D2" s="169" t="s">
        <v>15</v>
      </c>
      <c r="E2" s="162">
        <v>0</v>
      </c>
      <c r="F2" s="162">
        <v>6</v>
      </c>
      <c r="G2" s="162">
        <v>0</v>
      </c>
      <c r="H2" s="162">
        <v>8</v>
      </c>
      <c r="I2" s="162">
        <v>0</v>
      </c>
      <c r="J2" s="162">
        <v>0</v>
      </c>
      <c r="K2" s="162">
        <v>0</v>
      </c>
      <c r="L2" s="162">
        <v>0</v>
      </c>
      <c r="M2" s="162">
        <v>18</v>
      </c>
      <c r="N2" s="162">
        <v>0</v>
      </c>
      <c r="O2" s="162">
        <v>0</v>
      </c>
      <c r="P2" s="162">
        <v>0</v>
      </c>
      <c r="Q2" s="162">
        <v>0</v>
      </c>
      <c r="R2" s="162">
        <v>14</v>
      </c>
      <c r="S2" s="162">
        <v>5</v>
      </c>
      <c r="T2" s="162">
        <v>0</v>
      </c>
      <c r="U2" s="162">
        <v>1</v>
      </c>
      <c r="V2" s="162">
        <v>4</v>
      </c>
      <c r="W2" s="162">
        <v>0</v>
      </c>
      <c r="X2" s="162">
        <v>0</v>
      </c>
      <c r="Y2" s="162">
        <v>0</v>
      </c>
      <c r="Z2" s="162">
        <v>0</v>
      </c>
      <c r="AA2" s="162">
        <v>8</v>
      </c>
      <c r="AB2" s="162">
        <v>2</v>
      </c>
      <c r="AC2" s="162">
        <v>7</v>
      </c>
      <c r="AD2" s="162">
        <v>0</v>
      </c>
      <c r="AE2" s="162">
        <v>0</v>
      </c>
      <c r="AF2" s="162">
        <v>1</v>
      </c>
      <c r="AG2" s="162">
        <v>2</v>
      </c>
      <c r="AH2" s="162">
        <v>0</v>
      </c>
      <c r="AI2" s="162">
        <v>0</v>
      </c>
      <c r="AJ2" s="170">
        <v>76</v>
      </c>
      <c r="AK2" s="33">
        <f>COUNTIFS('來案暨出貨明細表-基因檢測(201904起'!$P:$P,$A2&amp;"*",'來案暨出貨明細表-基因檢測(201904起'!$B:$B,AK$1)*$B2+COUNTIFS('來案暨出貨明細表-基因檢測(201904起'!$P:$P,$A2&amp;"*",'來案暨出貨明細表-基因檢測(201904起'!$B:$B,AK$1,'來案暨出貨明細表-基因檢測(201904起'!$Q:$Q,"紙本&amp;電子")++COUNTIFS('來案暨出貨明細表-基因檢測(201904起'!$P:$P,$A2&amp;"*",'來案暨出貨明細表-基因檢測(201904起'!$B:$B,AK$1,'來案暨出貨明細表-基因檢測(201904起'!$R:$R,"中英")</f>
        <v>0</v>
      </c>
      <c r="AL2" s="33">
        <f>COUNTIFS('來案暨出貨明細表-基因檢測(201904起'!$P:$P,$A2&amp;"*",'來案暨出貨明細表-基因檢測(201904起'!$B:$B,AL$1)*$B2+COUNTIFS('來案暨出貨明細表-基因檢測(201904起'!$P:$P,$A2&amp;"*",'來案暨出貨明細表-基因檢測(201904起'!$B:$B,AL$1,'來案暨出貨明細表-基因檢測(201904起'!$Q:$Q,"紙本&amp;電子")++COUNTIFS('來案暨出貨明細表-基因檢測(201904起'!$P:$P,$A2&amp;"*",'來案暨出貨明細表-基因檢測(201904起'!$B:$B,AL$1,'來案暨出貨明細表-基因檢測(201904起'!$R:$R,"中英")</f>
        <v>0</v>
      </c>
      <c r="AM2" s="33">
        <f>COUNTIFS('來案暨出貨明細表-基因檢測(201904起'!$P:$P,$A2&amp;"*",'來案暨出貨明細表-基因檢測(201904起'!$B:$B,AM$1)*$B2+COUNTIFS('來案暨出貨明細表-基因檢測(201904起'!$P:$P,$A2&amp;"*",'來案暨出貨明細表-基因檢測(201904起'!$B:$B,AM$1,'來案暨出貨明細表-基因檢測(201904起'!$Q:$Q,"紙本&amp;電子")++COUNTIFS('來案暨出貨明細表-基因檢測(201904起'!$P:$P,$A2&amp;"*",'來案暨出貨明細表-基因檢測(201904起'!$B:$B,AM$1,'來案暨出貨明細表-基因檢測(201904起'!$R:$R,"中英")</f>
        <v>0</v>
      </c>
      <c r="AN2" s="33">
        <f>COUNTIFS('來案暨出貨明細表-基因檢測(201904起'!$P:$P,$A2&amp;"*",'來案暨出貨明細表-基因檢測(201904起'!$B:$B,AN$1)*$B2+COUNTIFS('來案暨出貨明細表-基因檢測(201904起'!$P:$P,$A2&amp;"*",'來案暨出貨明細表-基因檢測(201904起'!$B:$B,AN$1,'來案暨出貨明細表-基因檢測(201904起'!$Q:$Q,"紙本&amp;電子")++COUNTIFS('來案暨出貨明細表-基因檢測(201904起'!$P:$P,$A2&amp;"*",'來案暨出貨明細表-基因檢測(201904起'!$B:$B,AN$1,'來案暨出貨明細表-基因檢測(201904起'!$R:$R,"中英")</f>
        <v>4</v>
      </c>
      <c r="AO2" s="33">
        <f>COUNTIFS('來案暨出貨明細表-基因檢測(201904起'!$P:$P,$A2&amp;"*",'來案暨出貨明細表-基因檢測(201904起'!$B:$B,AO$1)*$B2+COUNTIFS('來案暨出貨明細表-基因檢測(201904起'!$P:$P,$A2&amp;"*",'來案暨出貨明細表-基因檢測(201904起'!$B:$B,AO$1,'來案暨出貨明細表-基因檢測(201904起'!$Q:$Q,"紙本&amp;電子")++COUNTIFS('來案暨出貨明細表-基因檢測(201904起'!$P:$P,$A2&amp;"*",'來案暨出貨明細表-基因檢測(201904起'!$B:$B,AO$1,'來案暨出貨明細表-基因檢測(201904起'!$R:$R,"中英")</f>
        <v>1</v>
      </c>
      <c r="AP2" s="33">
        <f>COUNTIFS('來案暨出貨明細表-基因檢測(201904起'!$P:$P,$A2&amp;"*",'來案暨出貨明細表-基因檢測(201904起'!$B:$B,AP$1)*$B2+COUNTIFS('來案暨出貨明細表-基因檢測(201904起'!$P:$P,$A2&amp;"*",'來案暨出貨明細表-基因檢測(201904起'!$B:$B,AP$1,'來案暨出貨明細表-基因檢測(201904起'!$Q:$Q,"紙本&amp;電子")++COUNTIFS('來案暨出貨明細表-基因檢測(201904起'!$P:$P,$A2&amp;"*",'來案暨出貨明細表-基因檢測(201904起'!$B:$B,AP$1,'來案暨出貨明細表-基因檢測(201904起'!$R:$R,"中英")</f>
        <v>0</v>
      </c>
      <c r="AQ2" s="33">
        <f>COUNTIFS('來案暨出貨明細表-基因檢測(201904起'!$P:$P,$A2&amp;"*",'來案暨出貨明細表-基因檢測(201904起'!$B:$B,AQ$1)*$B2+COUNTIFS('來案暨出貨明細表-基因檢測(201904起'!$P:$P,$A2&amp;"*",'來案暨出貨明細表-基因檢測(201904起'!$B:$B,AQ$1,'來案暨出貨明細表-基因檢測(201904起'!$Q:$Q,"紙本&amp;電子")++COUNTIFS('來案暨出貨明細表-基因檢測(201904起'!$P:$P,$A2&amp;"*",'來案暨出貨明細表-基因檢測(201904起'!$B:$B,AQ$1,'來案暨出貨明細表-基因檢測(201904起'!$R:$R,"中英")</f>
        <v>11</v>
      </c>
      <c r="AR2" s="33">
        <f>COUNTIFS('來案暨出貨明細表-基因檢測(201904起'!$P:$P,$A2&amp;"*",'來案暨出貨明細表-基因檢測(201904起'!$B:$B,AR$1)*$B2+COUNTIFS('來案暨出貨明細表-基因檢測(201904起'!$P:$P,$A2&amp;"*",'來案暨出貨明細表-基因檢測(201904起'!$B:$B,AR$1,'來案暨出貨明細表-基因檢測(201904起'!$Q:$Q,"紙本&amp;電子")++COUNTIFS('來案暨出貨明細表-基因檢測(201904起'!$P:$P,$A2&amp;"*",'來案暨出貨明細表-基因檢測(201904起'!$B:$B,AR$1,'來案暨出貨明細表-基因檢測(201904起'!$R:$R,"中英")</f>
        <v>0</v>
      </c>
      <c r="AS2" s="33">
        <f>COUNTIFS('來案暨出貨明細表-基因檢測(201904起'!$P:$P,$A2&amp;"*",'來案暨出貨明細表-基因檢測(201904起'!$B:$B,AS$1)*$B2+COUNTIFS('來案暨出貨明細表-基因檢測(201904起'!$P:$P,$A2&amp;"*",'來案暨出貨明細表-基因檢測(201904起'!$B:$B,AS$1,'來案暨出貨明細表-基因檢測(201904起'!$Q:$Q,"紙本&amp;電子")++COUNTIFS('來案暨出貨明細表-基因檢測(201904起'!$P:$P,$A2&amp;"*",'來案暨出貨明細表-基因檢測(201904起'!$B:$B,AS$1,'來案暨出貨明細表-基因檢測(201904起'!$R:$R,"中英")</f>
        <v>0</v>
      </c>
      <c r="AT2" s="33">
        <f>COUNTIFS('來案暨出貨明細表-基因檢測(201904起'!$P:$P,$A2&amp;"*",'來案暨出貨明細表-基因檢測(201904起'!$B:$B,AT$1)*$B2+COUNTIFS('來案暨出貨明細表-基因檢測(201904起'!$P:$P,$A2&amp;"*",'來案暨出貨明細表-基因檢測(201904起'!$B:$B,AT$1,'來案暨出貨明細表-基因檢測(201904起'!$Q:$Q,"紙本&amp;電子")++COUNTIFS('來案暨出貨明細表-基因檢測(201904起'!$P:$P,$A2&amp;"*",'來案暨出貨明細表-基因檢測(201904起'!$B:$B,AT$1,'來案暨出貨明細表-基因檢測(201904起'!$R:$R,"中英")</f>
        <v>6</v>
      </c>
      <c r="AU2" s="33">
        <f>COUNTIFS('來案暨出貨明細表-基因檢測(201904起'!$P:$P,$A2&amp;"*",'來案暨出貨明細表-基因檢測(201904起'!$B:$B,AU$1)*$B2+COUNTIFS('來案暨出貨明細表-基因檢測(201904起'!$P:$P,$A2&amp;"*",'來案暨出貨明細表-基因檢測(201904起'!$B:$B,AU$1,'來案暨出貨明細表-基因檢測(201904起'!$Q:$Q,"紙本&amp;電子")++COUNTIFS('來案暨出貨明細表-基因檢測(201904起'!$P:$P,$A2&amp;"*",'來案暨出貨明細表-基因檢測(201904起'!$B:$B,AU$1,'來案暨出貨明細表-基因檢測(201904起'!$R:$R,"中英")</f>
        <v>0</v>
      </c>
      <c r="AV2" s="33">
        <f>COUNTIFS('來案暨出貨明細表-基因檢測(201904起'!$P:$P,$A2&amp;"*",'來案暨出貨明細表-基因檢測(201904起'!$B:$B,AV$1)*$B2+COUNTIFS('來案暨出貨明細表-基因檢測(201904起'!$P:$P,$A2&amp;"*",'來案暨出貨明細表-基因檢測(201904起'!$B:$B,AV$1,'來案暨出貨明細表-基因檢測(201904起'!$Q:$Q,"紙本&amp;電子")++COUNTIFS('來案暨出貨明細表-基因檢測(201904起'!$P:$P,$A2&amp;"*",'來案暨出貨明細表-基因檢測(201904起'!$B:$B,AV$1,'來案暨出貨明細表-基因檢測(201904起'!$R:$R,"中英")</f>
        <v>4</v>
      </c>
      <c r="AW2" s="33">
        <f>COUNTIFS('來案暨出貨明細表-基因檢測(201904起'!$P:$P,$A2&amp;"*",'來案暨出貨明細表-基因檢測(201904起'!$B:$B,AW$1)*$B2+COUNTIFS('來案暨出貨明細表-基因檢測(201904起'!$P:$P,$A2&amp;"*",'來案暨出貨明細表-基因檢測(201904起'!$B:$B,AW$1,'來案暨出貨明細表-基因檢測(201904起'!$Q:$Q,"紙本&amp;電子")++COUNTIFS('來案暨出貨明細表-基因檢測(201904起'!$P:$P,$A2&amp;"*",'來案暨出貨明細表-基因檢測(201904起'!$B:$B,AW$1,'來案暨出貨明細表-基因檢測(201904起'!$R:$R,"中英")</f>
        <v>0</v>
      </c>
      <c r="AX2" s="33">
        <f>COUNTIFS('來案暨出貨明細表-基因檢測(201904起'!$P:$P,$A2&amp;"*",'來案暨出貨明細表-基因檢測(201904起'!$B:$B,AX$1)*$B2+COUNTIFS('來案暨出貨明細表-基因檢測(201904起'!$P:$P,$A2&amp;"*",'來案暨出貨明細表-基因檢測(201904起'!$B:$B,AX$1,'來案暨出貨明細表-基因檢測(201904起'!$Q:$Q,"紙本&amp;電子")++COUNTIFS('來案暨出貨明細表-基因檢測(201904起'!$P:$P,$A2&amp;"*",'來案暨出貨明細表-基因檢測(201904起'!$B:$B,AX$1,'來案暨出貨明細表-基因檢測(201904起'!$R:$R,"中英")</f>
        <v>5</v>
      </c>
      <c r="AY2" s="33">
        <f>COUNTIFS('來案暨出貨明細表-基因檢測(201904起'!$P:$P,$A2&amp;"*",'來案暨出貨明細表-基因檢測(201904起'!$B:$B,AY$1)*$B2+COUNTIFS('來案暨出貨明細表-基因檢測(201904起'!$P:$P,$A2&amp;"*",'來案暨出貨明細表-基因檢測(201904起'!$B:$B,AY$1,'來案暨出貨明細表-基因檢測(201904起'!$Q:$Q,"紙本&amp;電子")++COUNTIFS('來案暨出貨明細表-基因檢測(201904起'!$P:$P,$A2&amp;"*",'來案暨出貨明細表-基因檢測(201904起'!$B:$B,AY$1,'來案暨出貨明細表-基因檢測(201904起'!$R:$R,"中英")</f>
        <v>0</v>
      </c>
      <c r="AZ2" s="33">
        <f>COUNTIFS('來案暨出貨明細表-基因檢測(201904起'!$P:$P,$A2&amp;"*",'來案暨出貨明細表-基因檢測(201904起'!$B:$B,AZ$1)*$B2+COUNTIFS('來案暨出貨明細表-基因檢測(201904起'!$P:$P,$A2&amp;"*",'來案暨出貨明細表-基因檢測(201904起'!$B:$B,AZ$1,'來案暨出貨明細表-基因檢測(201904起'!$Q:$Q,"紙本&amp;電子")++COUNTIFS('來案暨出貨明細表-基因檢測(201904起'!$P:$P,$A2&amp;"*",'來案暨出貨明細表-基因檢測(201904起'!$B:$B,AZ$1,'來案暨出貨明細表-基因檢測(201904起'!$R:$R,"中英")</f>
        <v>0</v>
      </c>
      <c r="BA2" s="33">
        <f>COUNTIFS('來案暨出貨明細表-基因檢測(201904起'!$P:$P,$A2&amp;"*",'來案暨出貨明細表-基因檢測(201904起'!$B:$B,BA$1)*$B2+COUNTIFS('來案暨出貨明細表-基因檢測(201904起'!$P:$P,$A2&amp;"*",'來案暨出貨明細表-基因檢測(201904起'!$B:$B,BA$1,'來案暨出貨明細表-基因檢測(201904起'!$Q:$Q,"紙本&amp;電子")++COUNTIFS('來案暨出貨明細表-基因檢測(201904起'!$P:$P,$A2&amp;"*",'來案暨出貨明細表-基因檢測(201904起'!$B:$B,BA$1,'來案暨出貨明細表-基因檢測(201904起'!$R:$R,"中英")</f>
        <v>0</v>
      </c>
      <c r="BB2" s="33">
        <f>COUNTIFS('來案暨出貨明細表-基因檢測(201904起'!$P:$P,$A2&amp;"*",'來案暨出貨明細表-基因檢測(201904起'!$B:$B,BB$1)*$B2+COUNTIFS('來案暨出貨明細表-基因檢測(201904起'!$P:$P,$A2&amp;"*",'來案暨出貨明細表-基因檢測(201904起'!$B:$B,BB$1,'來案暨出貨明細表-基因檢測(201904起'!$Q:$Q,"紙本&amp;電子")++COUNTIFS('來案暨出貨明細表-基因檢測(201904起'!$P:$P,$A2&amp;"*",'來案暨出貨明細表-基因檢測(201904起'!$B:$B,BB$1,'來案暨出貨明細表-基因檢測(201904起'!$R:$R,"中英")</f>
        <v>5</v>
      </c>
      <c r="BC2" s="33">
        <f>COUNTIFS('來案暨出貨明細表-基因檢測(201904起'!$P:$P,$A2&amp;"*",'來案暨出貨明細表-基因檢測(201904起'!$B:$B,BC$1)*$B2+COUNTIFS('來案暨出貨明細表-基因檢測(201904起'!$P:$P,$A2&amp;"*",'來案暨出貨明細表-基因檢測(201904起'!$B:$B,BC$1,'來案暨出貨明細表-基因檢測(201904起'!$Q:$Q,"紙本&amp;電子")++COUNTIFS('來案暨出貨明細表-基因檢測(201904起'!$P:$P,$A2&amp;"*",'來案暨出貨明細表-基因檢測(201904起'!$B:$B,BC$1,'來案暨出貨明細表-基因檢測(201904起'!$R:$R,"中英")</f>
        <v>0</v>
      </c>
      <c r="BD2" s="33">
        <f>COUNTIFS('來案暨出貨明細表-基因檢測(201904起'!$P:$P,$A2&amp;"*",'來案暨出貨明細表-基因檢測(201904起'!$B:$B,BD$1)*$B2+COUNTIFS('來案暨出貨明細表-基因檢測(201904起'!$P:$P,$A2&amp;"*",'來案暨出貨明細表-基因檢測(201904起'!$B:$B,BD$1,'來案暨出貨明細表-基因檢測(201904起'!$Q:$Q,"紙本&amp;電子")++COUNTIFS('來案暨出貨明細表-基因檢測(201904起'!$P:$P,$A2&amp;"*",'來案暨出貨明細表-基因檢測(201904起'!$B:$B,BD$1,'來案暨出貨明細表-基因檢測(201904起'!$R:$R,"中英")</f>
        <v>0</v>
      </c>
      <c r="BE2" s="33">
        <f>COUNTIFS('來案暨出貨明細表-基因檢測(201904起'!$P:$P,$A2&amp;"*",'來案暨出貨明細表-基因檢測(201904起'!$B:$B,BE$1)*$B2+COUNTIFS('來案暨出貨明細表-基因檢測(201904起'!$P:$P,$A2&amp;"*",'來案暨出貨明細表-基因檢測(201904起'!$B:$B,BE$1,'來案暨出貨明細表-基因檢測(201904起'!$Q:$Q,"紙本&amp;電子")++COUNTIFS('來案暨出貨明細表-基因檢測(201904起'!$P:$P,$A2&amp;"*",'來案暨出貨明細表-基因檢測(201904起'!$B:$B,BE$1,'來案暨出貨明細表-基因檢測(201904起'!$R:$R,"中英")</f>
        <v>0</v>
      </c>
      <c r="BF2" s="33">
        <f>COUNTIFS('來案暨出貨明細表-基因檢測(201904起'!$P:$P,$A2&amp;"*",'來案暨出貨明細表-基因檢測(201904起'!$B:$B,BF$1)*$B2+COUNTIFS('來案暨出貨明細表-基因檢測(201904起'!$P:$P,$A2&amp;"*",'來案暨出貨明細表-基因檢測(201904起'!$B:$B,BF$1,'來案暨出貨明細表-基因檢測(201904起'!$Q:$Q,"紙本&amp;電子")++COUNTIFS('來案暨出貨明細表-基因檢測(201904起'!$P:$P,$A2&amp;"*",'來案暨出貨明細表-基因檢測(201904起'!$B:$B,BF$1,'來案暨出貨明細表-基因檢測(201904起'!$R:$R,"中英")</f>
        <v>0</v>
      </c>
      <c r="BG2" s="33">
        <f>COUNTIFS('來案暨出貨明細表-基因檢測(201904起'!$P:$P,$A2&amp;"*",'來案暨出貨明細表-基因檢測(201904起'!$B:$B,BG$1)*$B2+COUNTIFS('來案暨出貨明細表-基因檢測(201904起'!$P:$P,$A2&amp;"*",'來案暨出貨明細表-基因檢測(201904起'!$B:$B,BG$1,'來案暨出貨明細表-基因檢測(201904起'!$Q:$Q,"紙本&amp;電子")++COUNTIFS('來案暨出貨明細表-基因檢測(201904起'!$P:$P,$A2&amp;"*",'來案暨出貨明細表-基因檢測(201904起'!$B:$B,BG$1,'來案暨出貨明細表-基因檢測(201904起'!$R:$R,"中英")</f>
        <v>0</v>
      </c>
      <c r="BH2" s="33">
        <f>COUNTIFS('來案暨出貨明細表-基因檢測(201904起'!$P:$P,$A2&amp;"*",'來案暨出貨明細表-基因檢測(201904起'!$B:$B,BH$1)*$B2+COUNTIFS('來案暨出貨明細表-基因檢測(201904起'!$P:$P,$A2&amp;"*",'來案暨出貨明細表-基因檢測(201904起'!$B:$B,BH$1,'來案暨出貨明細表-基因檢測(201904起'!$Q:$Q,"紙本&amp;電子")++COUNTIFS('來案暨出貨明細表-基因檢測(201904起'!$P:$P,$A2&amp;"*",'來案暨出貨明細表-基因檢測(201904起'!$B:$B,BH$1,'來案暨出貨明細表-基因檢測(201904起'!$R:$R,"中英")</f>
        <v>0</v>
      </c>
      <c r="BI2" s="33">
        <f>COUNTIFS('來案暨出貨明細表-基因檢測(201904起'!$P:$P,$A2&amp;"*",'來案暨出貨明細表-基因檢測(201904起'!$B:$B,BI$1)*$B2+COUNTIFS('來案暨出貨明細表-基因檢測(201904起'!$P:$P,$A2&amp;"*",'來案暨出貨明細表-基因檢測(201904起'!$B:$B,BI$1,'來案暨出貨明細表-基因檢測(201904起'!$Q:$Q,"紙本&amp;電子")++COUNTIFS('來案暨出貨明細表-基因檢測(201904起'!$P:$P,$A2&amp;"*",'來案暨出貨明細表-基因檢測(201904起'!$B:$B,BI$1,'來案暨出貨明細表-基因檢測(201904起'!$R:$R,"中英")</f>
        <v>0</v>
      </c>
      <c r="BJ2" s="33">
        <f>COUNTIFS('來案暨出貨明細表-基因檢測(201904起'!$P:$P,$A2&amp;"*",'來案暨出貨明細表-基因檢測(201904起'!$B:$B,BJ$1)*$B2+COUNTIFS('來案暨出貨明細表-基因檢測(201904起'!$P:$P,$A2&amp;"*",'來案暨出貨明細表-基因檢測(201904起'!$B:$B,BJ$1,'來案暨出貨明細表-基因檢測(201904起'!$Q:$Q,"紙本&amp;電子")++COUNTIFS('來案暨出貨明細表-基因檢測(201904起'!$P:$P,$A2&amp;"*",'來案暨出貨明細表-基因檢測(201904起'!$B:$B,BJ$1,'來案暨出貨明細表-基因檢測(201904起'!$R:$R,"中英")</f>
        <v>0</v>
      </c>
      <c r="BK2" s="33">
        <f>COUNTIFS('來案暨出貨明細表-基因檢測(201904起'!$P:$P,$A2&amp;"*",'來案暨出貨明細表-基因檢測(201904起'!$B:$B,BK$1)*$B2+COUNTIFS('來案暨出貨明細表-基因檢測(201904起'!$P:$P,$A2&amp;"*",'來案暨出貨明細表-基因檢測(201904起'!$B:$B,BK$1,'來案暨出貨明細表-基因檢測(201904起'!$Q:$Q,"紙本&amp;電子")++COUNTIFS('來案暨出貨明細表-基因檢測(201904起'!$P:$P,$A2&amp;"*",'來案暨出貨明細表-基因檢測(201904起'!$B:$B,BK$1,'來案暨出貨明細表-基因檢測(201904起'!$R:$R,"中英")</f>
        <v>0</v>
      </c>
    </row>
    <row r="3" spans="1:63" ht="15" customHeight="1">
      <c r="A3" s="166" t="s">
        <v>1427</v>
      </c>
      <c r="B3" s="167">
        <v>1</v>
      </c>
      <c r="C3" s="168" t="s">
        <v>1430</v>
      </c>
      <c r="D3" s="169" t="s">
        <v>1427</v>
      </c>
      <c r="E3" s="176">
        <v>0</v>
      </c>
      <c r="F3" s="162">
        <v>0</v>
      </c>
      <c r="G3" s="162">
        <v>0</v>
      </c>
      <c r="H3" s="162">
        <v>0</v>
      </c>
      <c r="I3" s="162">
        <v>0</v>
      </c>
      <c r="J3" s="162">
        <v>0</v>
      </c>
      <c r="K3" s="162">
        <v>0</v>
      </c>
      <c r="L3" s="162">
        <v>0</v>
      </c>
      <c r="M3" s="162">
        <v>0</v>
      </c>
      <c r="N3" s="162">
        <v>0</v>
      </c>
      <c r="O3" s="162">
        <v>0</v>
      </c>
      <c r="P3" s="162">
        <v>0</v>
      </c>
      <c r="Q3" s="162">
        <v>0</v>
      </c>
      <c r="R3" s="162">
        <v>0</v>
      </c>
      <c r="S3" s="162">
        <v>0</v>
      </c>
      <c r="T3" s="162">
        <v>0</v>
      </c>
      <c r="U3" s="162">
        <v>0</v>
      </c>
      <c r="V3" s="162">
        <v>0</v>
      </c>
      <c r="W3" s="162">
        <v>0</v>
      </c>
      <c r="X3" s="162">
        <v>0</v>
      </c>
      <c r="Y3" s="162">
        <v>0</v>
      </c>
      <c r="Z3" s="162">
        <v>0</v>
      </c>
      <c r="AA3" s="162">
        <v>0</v>
      </c>
      <c r="AB3" s="162">
        <v>0</v>
      </c>
      <c r="AC3" s="162">
        <v>0</v>
      </c>
      <c r="AD3" s="162">
        <v>0</v>
      </c>
      <c r="AE3" s="162">
        <v>0</v>
      </c>
      <c r="AF3" s="162">
        <v>0</v>
      </c>
      <c r="AG3" s="162">
        <v>0</v>
      </c>
      <c r="AH3" s="162">
        <v>0</v>
      </c>
      <c r="AI3" s="162">
        <v>0</v>
      </c>
      <c r="AJ3" s="170">
        <v>0</v>
      </c>
      <c r="AK3" s="33">
        <f>COUNTIFS('來案暨出貨明細表-基因檢測(201904起'!$P:$P,$A3&amp;"*",'來案暨出貨明細表-基因檢測(201904起'!$B:$B,AK$1)*$B3+COUNTIFS('來案暨出貨明細表-基因檢測(201904起'!$P:$P,$A3&amp;"*",'來案暨出貨明細表-基因檢測(201904起'!$B:$B,AK$1,'來案暨出貨明細表-基因檢測(201904起'!$Q:$Q,"紙本&amp;電子")++COUNTIFS('來案暨出貨明細表-基因檢測(201904起'!$P:$P,$A3&amp;"*",'來案暨出貨明細表-基因檢測(201904起'!$B:$B,AK$1,'來案暨出貨明細表-基因檢測(201904起'!$R:$R,"中英")</f>
        <v>0</v>
      </c>
      <c r="AL3" s="33">
        <f>COUNTIFS('來案暨出貨明細表-基因檢測(201904起'!$P:$P,$A3&amp;"*",'來案暨出貨明細表-基因檢測(201904起'!$B:$B,AL$1)*$B3+COUNTIFS('來案暨出貨明細表-基因檢測(201904起'!$P:$P,$A3&amp;"*",'來案暨出貨明細表-基因檢測(201904起'!$B:$B,AL$1,'來案暨出貨明細表-基因檢測(201904起'!$Q:$Q,"紙本&amp;電子")++COUNTIFS('來案暨出貨明細表-基因檢測(201904起'!$P:$P,$A3&amp;"*",'來案暨出貨明細表-基因檢測(201904起'!$B:$B,AL$1,'來案暨出貨明細表-基因檢測(201904起'!$R:$R,"中英")</f>
        <v>0</v>
      </c>
      <c r="AM3" s="33">
        <f>COUNTIFS('來案暨出貨明細表-基因檢測(201904起'!$P:$P,$A3&amp;"*",'來案暨出貨明細表-基因檢測(201904起'!$B:$B,AM$1)*$B3+COUNTIFS('來案暨出貨明細表-基因檢測(201904起'!$P:$P,$A3&amp;"*",'來案暨出貨明細表-基因檢測(201904起'!$B:$B,AM$1,'來案暨出貨明細表-基因檢測(201904起'!$Q:$Q,"紙本&amp;電子")++COUNTIFS('來案暨出貨明細表-基因檢測(201904起'!$P:$P,$A3&amp;"*",'來案暨出貨明細表-基因檢測(201904起'!$B:$B,AM$1,'來案暨出貨明細表-基因檢測(201904起'!$R:$R,"中英")</f>
        <v>0</v>
      </c>
      <c r="AN3" s="33">
        <f>COUNTIFS('來案暨出貨明細表-基因檢測(201904起'!$P:$P,$A3&amp;"*",'來案暨出貨明細表-基因檢測(201904起'!$B:$B,AN$1)*$B3+COUNTIFS('來案暨出貨明細表-基因檢測(201904起'!$P:$P,$A3&amp;"*",'來案暨出貨明細表-基因檢測(201904起'!$B:$B,AN$1,'來案暨出貨明細表-基因檢測(201904起'!$Q:$Q,"紙本&amp;電子")++COUNTIFS('來案暨出貨明細表-基因檢測(201904起'!$P:$P,$A3&amp;"*",'來案暨出貨明細表-基因檢測(201904起'!$B:$B,AN$1,'來案暨出貨明細表-基因檢測(201904起'!$R:$R,"中英")</f>
        <v>0</v>
      </c>
      <c r="AO3" s="33">
        <f>COUNTIFS('來案暨出貨明細表-基因檢測(201904起'!$P:$P,$A3&amp;"*",'來案暨出貨明細表-基因檢測(201904起'!$B:$B,AO$1)*$B3+COUNTIFS('來案暨出貨明細表-基因檢測(201904起'!$P:$P,$A3&amp;"*",'來案暨出貨明細表-基因檢測(201904起'!$B:$B,AO$1,'來案暨出貨明細表-基因檢測(201904起'!$Q:$Q,"紙本&amp;電子")++COUNTIFS('來案暨出貨明細表-基因檢測(201904起'!$P:$P,$A3&amp;"*",'來案暨出貨明細表-基因檢測(201904起'!$B:$B,AO$1,'來案暨出貨明細表-基因檢測(201904起'!$R:$R,"中英")</f>
        <v>0</v>
      </c>
      <c r="AP3" s="33">
        <f>COUNTIFS('來案暨出貨明細表-基因檢測(201904起'!$P:$P,$A3&amp;"*",'來案暨出貨明細表-基因檢測(201904起'!$B:$B,AP$1)*$B3+COUNTIFS('來案暨出貨明細表-基因檢測(201904起'!$P:$P,$A3&amp;"*",'來案暨出貨明細表-基因檢測(201904起'!$B:$B,AP$1,'來案暨出貨明細表-基因檢測(201904起'!$Q:$Q,"紙本&amp;電子")++COUNTIFS('來案暨出貨明細表-基因檢測(201904起'!$P:$P,$A3&amp;"*",'來案暨出貨明細表-基因檢測(201904起'!$B:$B,AP$1,'來案暨出貨明細表-基因檢測(201904起'!$R:$R,"中英")</f>
        <v>0</v>
      </c>
      <c r="AQ3" s="33">
        <f>COUNTIFS('來案暨出貨明細表-基因檢測(201904起'!$P:$P,$A3&amp;"*",'來案暨出貨明細表-基因檢測(201904起'!$B:$B,AQ$1)*$B3+COUNTIFS('來案暨出貨明細表-基因檢測(201904起'!$P:$P,$A3&amp;"*",'來案暨出貨明細表-基因檢測(201904起'!$B:$B,AQ$1,'來案暨出貨明細表-基因檢測(201904起'!$Q:$Q,"紙本&amp;電子")++COUNTIFS('來案暨出貨明細表-基因檢測(201904起'!$P:$P,$A3&amp;"*",'來案暨出貨明細表-基因檢測(201904起'!$B:$B,AQ$1,'來案暨出貨明細表-基因檢測(201904起'!$R:$R,"中英")</f>
        <v>0</v>
      </c>
      <c r="AR3" s="33">
        <f>COUNTIFS('來案暨出貨明細表-基因檢測(201904起'!$P:$P,$A3&amp;"*",'來案暨出貨明細表-基因檢測(201904起'!$B:$B,AR$1)*$B3+COUNTIFS('來案暨出貨明細表-基因檢測(201904起'!$P:$P,$A3&amp;"*",'來案暨出貨明細表-基因檢測(201904起'!$B:$B,AR$1,'來案暨出貨明細表-基因檢測(201904起'!$Q:$Q,"紙本&amp;電子")++COUNTIFS('來案暨出貨明細表-基因檢測(201904起'!$P:$P,$A3&amp;"*",'來案暨出貨明細表-基因檢測(201904起'!$B:$B,AR$1,'來案暨出貨明細表-基因檢測(201904起'!$R:$R,"中英")</f>
        <v>0</v>
      </c>
      <c r="AS3" s="33">
        <f>COUNTIFS('來案暨出貨明細表-基因檢測(201904起'!$P:$P,$A3&amp;"*",'來案暨出貨明細表-基因檢測(201904起'!$B:$B,AS$1)*$B3+COUNTIFS('來案暨出貨明細表-基因檢測(201904起'!$P:$P,$A3&amp;"*",'來案暨出貨明細表-基因檢測(201904起'!$B:$B,AS$1,'來案暨出貨明細表-基因檢測(201904起'!$Q:$Q,"紙本&amp;電子")++COUNTIFS('來案暨出貨明細表-基因檢測(201904起'!$P:$P,$A3&amp;"*",'來案暨出貨明細表-基因檢測(201904起'!$B:$B,AS$1,'來案暨出貨明細表-基因檢測(201904起'!$R:$R,"中英")</f>
        <v>0</v>
      </c>
      <c r="AT3" s="33">
        <f>COUNTIFS('來案暨出貨明細表-基因檢測(201904起'!$P:$P,$A3&amp;"*",'來案暨出貨明細表-基因檢測(201904起'!$B:$B,AT$1)*$B3+COUNTIFS('來案暨出貨明細表-基因檢測(201904起'!$P:$P,$A3&amp;"*",'來案暨出貨明細表-基因檢測(201904起'!$B:$B,AT$1,'來案暨出貨明細表-基因檢測(201904起'!$Q:$Q,"紙本&amp;電子")++COUNTIFS('來案暨出貨明細表-基因檢測(201904起'!$P:$P,$A3&amp;"*",'來案暨出貨明細表-基因檢測(201904起'!$B:$B,AT$1,'來案暨出貨明細表-基因檢測(201904起'!$R:$R,"中英")</f>
        <v>0</v>
      </c>
      <c r="AU3" s="33">
        <f>COUNTIFS('來案暨出貨明細表-基因檢測(201904起'!$P:$P,$A3&amp;"*",'來案暨出貨明細表-基因檢測(201904起'!$B:$B,AU$1)*$B3+COUNTIFS('來案暨出貨明細表-基因檢測(201904起'!$P:$P,$A3&amp;"*",'來案暨出貨明細表-基因檢測(201904起'!$B:$B,AU$1,'來案暨出貨明細表-基因檢測(201904起'!$Q:$Q,"紙本&amp;電子")++COUNTIFS('來案暨出貨明細表-基因檢測(201904起'!$P:$P,$A3&amp;"*",'來案暨出貨明細表-基因檢測(201904起'!$B:$B,AU$1,'來案暨出貨明細表-基因檢測(201904起'!$R:$R,"中英")</f>
        <v>0</v>
      </c>
      <c r="AV3" s="33">
        <f>COUNTIFS('來案暨出貨明細表-基因檢測(201904起'!$P:$P,$A3&amp;"*",'來案暨出貨明細表-基因檢測(201904起'!$B:$B,AV$1)*$B3+COUNTIFS('來案暨出貨明細表-基因檢測(201904起'!$P:$P,$A3&amp;"*",'來案暨出貨明細表-基因檢測(201904起'!$B:$B,AV$1,'來案暨出貨明細表-基因檢測(201904起'!$Q:$Q,"紙本&amp;電子")++COUNTIFS('來案暨出貨明細表-基因檢測(201904起'!$P:$P,$A3&amp;"*",'來案暨出貨明細表-基因檢測(201904起'!$B:$B,AV$1,'來案暨出貨明細表-基因檢測(201904起'!$R:$R,"中英")</f>
        <v>0</v>
      </c>
      <c r="AW3" s="33">
        <f>COUNTIFS('來案暨出貨明細表-基因檢測(201904起'!$P:$P,$A3&amp;"*",'來案暨出貨明細表-基因檢測(201904起'!$B:$B,AW$1)*$B3+COUNTIFS('來案暨出貨明細表-基因檢測(201904起'!$P:$P,$A3&amp;"*",'來案暨出貨明細表-基因檢測(201904起'!$B:$B,AW$1,'來案暨出貨明細表-基因檢測(201904起'!$Q:$Q,"紙本&amp;電子")++COUNTIFS('來案暨出貨明細表-基因檢測(201904起'!$P:$P,$A3&amp;"*",'來案暨出貨明細表-基因檢測(201904起'!$B:$B,AW$1,'來案暨出貨明細表-基因檢測(201904起'!$R:$R,"中英")</f>
        <v>0</v>
      </c>
      <c r="AX3" s="33">
        <f>COUNTIFS('來案暨出貨明細表-基因檢測(201904起'!$P:$P,$A3&amp;"*",'來案暨出貨明細表-基因檢測(201904起'!$B:$B,AX$1)*$B3+COUNTIFS('來案暨出貨明細表-基因檢測(201904起'!$P:$P,$A3&amp;"*",'來案暨出貨明細表-基因檢測(201904起'!$B:$B,AX$1,'來案暨出貨明細表-基因檢測(201904起'!$Q:$Q,"紙本&amp;電子")++COUNTIFS('來案暨出貨明細表-基因檢測(201904起'!$P:$P,$A3&amp;"*",'來案暨出貨明細表-基因檢測(201904起'!$B:$B,AX$1,'來案暨出貨明細表-基因檢測(201904起'!$R:$R,"中英")</f>
        <v>0</v>
      </c>
      <c r="AY3" s="33">
        <f>COUNTIFS('來案暨出貨明細表-基因檢測(201904起'!$P:$P,$A3&amp;"*",'來案暨出貨明細表-基因檢測(201904起'!$B:$B,AY$1)*$B3+COUNTIFS('來案暨出貨明細表-基因檢測(201904起'!$P:$P,$A3&amp;"*",'來案暨出貨明細表-基因檢測(201904起'!$B:$B,AY$1,'來案暨出貨明細表-基因檢測(201904起'!$Q:$Q,"紙本&amp;電子")++COUNTIFS('來案暨出貨明細表-基因檢測(201904起'!$P:$P,$A3&amp;"*",'來案暨出貨明細表-基因檢測(201904起'!$B:$B,AY$1,'來案暨出貨明細表-基因檢測(201904起'!$R:$R,"中英")</f>
        <v>0</v>
      </c>
      <c r="AZ3" s="33">
        <f>COUNTIFS('來案暨出貨明細表-基因檢測(201904起'!$P:$P,$A3&amp;"*",'來案暨出貨明細表-基因檢測(201904起'!$B:$B,AZ$1)*$B3+COUNTIFS('來案暨出貨明細表-基因檢測(201904起'!$P:$P,$A3&amp;"*",'來案暨出貨明細表-基因檢測(201904起'!$B:$B,AZ$1,'來案暨出貨明細表-基因檢測(201904起'!$Q:$Q,"紙本&amp;電子")++COUNTIFS('來案暨出貨明細表-基因檢測(201904起'!$P:$P,$A3&amp;"*",'來案暨出貨明細表-基因檢測(201904起'!$B:$B,AZ$1,'來案暨出貨明細表-基因檢測(201904起'!$R:$R,"中英")</f>
        <v>0</v>
      </c>
      <c r="BA3" s="33">
        <f>COUNTIFS('來案暨出貨明細表-基因檢測(201904起'!$P:$P,$A3&amp;"*",'來案暨出貨明細表-基因檢測(201904起'!$B:$B,BA$1)*$B3+COUNTIFS('來案暨出貨明細表-基因檢測(201904起'!$P:$P,$A3&amp;"*",'來案暨出貨明細表-基因檢測(201904起'!$B:$B,BA$1,'來案暨出貨明細表-基因檢測(201904起'!$Q:$Q,"紙本&amp;電子")++COUNTIFS('來案暨出貨明細表-基因檢測(201904起'!$P:$P,$A3&amp;"*",'來案暨出貨明細表-基因檢測(201904起'!$B:$B,BA$1,'來案暨出貨明細表-基因檢測(201904起'!$R:$R,"中英")</f>
        <v>0</v>
      </c>
      <c r="BB3" s="33">
        <f>COUNTIFS('來案暨出貨明細表-基因檢測(201904起'!$P:$P,$A3&amp;"*",'來案暨出貨明細表-基因檢測(201904起'!$B:$B,BB$1)*$B3+COUNTIFS('來案暨出貨明細表-基因檢測(201904起'!$P:$P,$A3&amp;"*",'來案暨出貨明細表-基因檢測(201904起'!$B:$B,BB$1,'來案暨出貨明細表-基因檢測(201904起'!$Q:$Q,"紙本&amp;電子")++COUNTIFS('來案暨出貨明細表-基因檢測(201904起'!$P:$P,$A3&amp;"*",'來案暨出貨明細表-基因檢測(201904起'!$B:$B,BB$1,'來案暨出貨明細表-基因檢測(201904起'!$R:$R,"中英")</f>
        <v>0</v>
      </c>
      <c r="BC3" s="33">
        <f>COUNTIFS('來案暨出貨明細表-基因檢測(201904起'!$P:$P,$A3&amp;"*",'來案暨出貨明細表-基因檢測(201904起'!$B:$B,BC$1)*$B3+COUNTIFS('來案暨出貨明細表-基因檢測(201904起'!$P:$P,$A3&amp;"*",'來案暨出貨明細表-基因檢測(201904起'!$B:$B,BC$1,'來案暨出貨明細表-基因檢測(201904起'!$Q:$Q,"紙本&amp;電子")++COUNTIFS('來案暨出貨明細表-基因檢測(201904起'!$P:$P,$A3&amp;"*",'來案暨出貨明細表-基因檢測(201904起'!$B:$B,BC$1,'來案暨出貨明細表-基因檢測(201904起'!$R:$R,"中英")</f>
        <v>0</v>
      </c>
      <c r="BD3" s="33">
        <f>COUNTIFS('來案暨出貨明細表-基因檢測(201904起'!$P:$P,$A3&amp;"*",'來案暨出貨明細表-基因檢測(201904起'!$B:$B,BD$1)*$B3+COUNTIFS('來案暨出貨明細表-基因檢測(201904起'!$P:$P,$A3&amp;"*",'來案暨出貨明細表-基因檢測(201904起'!$B:$B,BD$1,'來案暨出貨明細表-基因檢測(201904起'!$Q:$Q,"紙本&amp;電子")++COUNTIFS('來案暨出貨明細表-基因檢測(201904起'!$P:$P,$A3&amp;"*",'來案暨出貨明細表-基因檢測(201904起'!$B:$B,BD$1,'來案暨出貨明細表-基因檢測(201904起'!$R:$R,"中英")</f>
        <v>0</v>
      </c>
      <c r="BE3" s="33">
        <f>COUNTIFS('來案暨出貨明細表-基因檢測(201904起'!$P:$P,$A3&amp;"*",'來案暨出貨明細表-基因檢測(201904起'!$B:$B,BE$1)*$B3+COUNTIFS('來案暨出貨明細表-基因檢測(201904起'!$P:$P,$A3&amp;"*",'來案暨出貨明細表-基因檢測(201904起'!$B:$B,BE$1,'來案暨出貨明細表-基因檢測(201904起'!$Q:$Q,"紙本&amp;電子")++COUNTIFS('來案暨出貨明細表-基因檢測(201904起'!$P:$P,$A3&amp;"*",'來案暨出貨明細表-基因檢測(201904起'!$B:$B,BE$1,'來案暨出貨明細表-基因檢測(201904起'!$R:$R,"中英")</f>
        <v>0</v>
      </c>
      <c r="BF3" s="33">
        <f>COUNTIFS('來案暨出貨明細表-基因檢測(201904起'!$P:$P,$A3&amp;"*",'來案暨出貨明細表-基因檢測(201904起'!$B:$B,BF$1)*$B3+COUNTIFS('來案暨出貨明細表-基因檢測(201904起'!$P:$P,$A3&amp;"*",'來案暨出貨明細表-基因檢測(201904起'!$B:$B,BF$1,'來案暨出貨明細表-基因檢測(201904起'!$Q:$Q,"紙本&amp;電子")++COUNTIFS('來案暨出貨明細表-基因檢測(201904起'!$P:$P,$A3&amp;"*",'來案暨出貨明細表-基因檢測(201904起'!$B:$B,BF$1,'來案暨出貨明細表-基因檢測(201904起'!$R:$R,"中英")</f>
        <v>0</v>
      </c>
      <c r="BG3" s="33">
        <f>COUNTIFS('來案暨出貨明細表-基因檢測(201904起'!$P:$P,$A3&amp;"*",'來案暨出貨明細表-基因檢測(201904起'!$B:$B,BG$1)*$B3+COUNTIFS('來案暨出貨明細表-基因檢測(201904起'!$P:$P,$A3&amp;"*",'來案暨出貨明細表-基因檢測(201904起'!$B:$B,BG$1,'來案暨出貨明細表-基因檢測(201904起'!$Q:$Q,"紙本&amp;電子")++COUNTIFS('來案暨出貨明細表-基因檢測(201904起'!$P:$P,$A3&amp;"*",'來案暨出貨明細表-基因檢測(201904起'!$B:$B,BG$1,'來案暨出貨明細表-基因檢測(201904起'!$R:$R,"中英")</f>
        <v>0</v>
      </c>
      <c r="BH3" s="33">
        <f>COUNTIFS('來案暨出貨明細表-基因檢測(201904起'!$P:$P,$A3&amp;"*",'來案暨出貨明細表-基因檢測(201904起'!$B:$B,BH$1)*$B3+COUNTIFS('來案暨出貨明細表-基因檢測(201904起'!$P:$P,$A3&amp;"*",'來案暨出貨明細表-基因檢測(201904起'!$B:$B,BH$1,'來案暨出貨明細表-基因檢測(201904起'!$Q:$Q,"紙本&amp;電子")++COUNTIFS('來案暨出貨明細表-基因檢測(201904起'!$P:$P,$A3&amp;"*",'來案暨出貨明細表-基因檢測(201904起'!$B:$B,BH$1,'來案暨出貨明細表-基因檢測(201904起'!$R:$R,"中英")</f>
        <v>0</v>
      </c>
      <c r="BI3" s="33">
        <f>COUNTIFS('來案暨出貨明細表-基因檢測(201904起'!$P:$P,$A3&amp;"*",'來案暨出貨明細表-基因檢測(201904起'!$B:$B,BI$1)*$B3+COUNTIFS('來案暨出貨明細表-基因檢測(201904起'!$P:$P,$A3&amp;"*",'來案暨出貨明細表-基因檢測(201904起'!$B:$B,BI$1,'來案暨出貨明細表-基因檢測(201904起'!$Q:$Q,"紙本&amp;電子")++COUNTIFS('來案暨出貨明細表-基因檢測(201904起'!$P:$P,$A3&amp;"*",'來案暨出貨明細表-基因檢測(201904起'!$B:$B,BI$1,'來案暨出貨明細表-基因檢測(201904起'!$R:$R,"中英")</f>
        <v>0</v>
      </c>
      <c r="BJ3" s="33">
        <f>COUNTIFS('來案暨出貨明細表-基因檢測(201904起'!$P:$P,$A3&amp;"*",'來案暨出貨明細表-基因檢測(201904起'!$B:$B,BJ$1)*$B3+COUNTIFS('來案暨出貨明細表-基因檢測(201904起'!$P:$P,$A3&amp;"*",'來案暨出貨明細表-基因檢測(201904起'!$B:$B,BJ$1,'來案暨出貨明細表-基因檢測(201904起'!$Q:$Q,"紙本&amp;電子")++COUNTIFS('來案暨出貨明細表-基因檢測(201904起'!$P:$P,$A3&amp;"*",'來案暨出貨明細表-基因檢測(201904起'!$B:$B,BJ$1,'來案暨出貨明細表-基因檢測(201904起'!$R:$R,"中英")</f>
        <v>0</v>
      </c>
      <c r="BK3" s="33">
        <f>COUNTIFS('來案暨出貨明細表-基因檢測(201904起'!$P:$P,$A3&amp;"*",'來案暨出貨明細表-基因檢測(201904起'!$B:$B,BK$1)*$B3+COUNTIFS('來案暨出貨明細表-基因檢測(201904起'!$P:$P,$A3&amp;"*",'來案暨出貨明細表-基因檢測(201904起'!$B:$B,BK$1,'來案暨出貨明細表-基因檢測(201904起'!$Q:$Q,"紙本&amp;電子")++COUNTIFS('來案暨出貨明細表-基因檢測(201904起'!$P:$P,$A3&amp;"*",'來案暨出貨明細表-基因檢測(201904起'!$B:$B,BK$1,'來案暨出貨明細表-基因檢測(201904起'!$R:$R,"中英")</f>
        <v>0</v>
      </c>
    </row>
    <row r="4" spans="1:63" ht="15" customHeight="1">
      <c r="A4" s="166" t="s">
        <v>1821</v>
      </c>
      <c r="B4" s="167">
        <v>1</v>
      </c>
      <c r="C4" s="168" t="s">
        <v>1822</v>
      </c>
      <c r="D4" s="169" t="s">
        <v>1821</v>
      </c>
      <c r="E4" s="176">
        <v>0</v>
      </c>
      <c r="F4" s="162">
        <v>0</v>
      </c>
      <c r="G4" s="162">
        <v>0</v>
      </c>
      <c r="H4" s="162">
        <v>0</v>
      </c>
      <c r="I4" s="162">
        <v>0</v>
      </c>
      <c r="J4" s="162">
        <v>0</v>
      </c>
      <c r="K4" s="162">
        <v>0</v>
      </c>
      <c r="L4" s="162">
        <v>0</v>
      </c>
      <c r="M4" s="162">
        <v>1</v>
      </c>
      <c r="N4" s="162">
        <v>0</v>
      </c>
      <c r="O4" s="162">
        <v>0</v>
      </c>
      <c r="P4" s="162">
        <v>0</v>
      </c>
      <c r="Q4" s="162">
        <v>0</v>
      </c>
      <c r="R4" s="162">
        <v>0</v>
      </c>
      <c r="S4" s="162">
        <v>0</v>
      </c>
      <c r="T4" s="162">
        <v>0</v>
      </c>
      <c r="U4" s="162">
        <v>0</v>
      </c>
      <c r="V4" s="162">
        <v>0</v>
      </c>
      <c r="W4" s="162">
        <v>0</v>
      </c>
      <c r="X4" s="162">
        <v>0</v>
      </c>
      <c r="Y4" s="162">
        <v>0</v>
      </c>
      <c r="Z4" s="162">
        <v>0</v>
      </c>
      <c r="AA4" s="162">
        <v>0</v>
      </c>
      <c r="AB4" s="162">
        <v>0</v>
      </c>
      <c r="AC4" s="162">
        <v>0</v>
      </c>
      <c r="AD4" s="162">
        <v>0</v>
      </c>
      <c r="AE4" s="162">
        <v>0</v>
      </c>
      <c r="AF4" s="162">
        <v>0</v>
      </c>
      <c r="AG4" s="162">
        <v>0</v>
      </c>
      <c r="AH4" s="162">
        <v>0</v>
      </c>
      <c r="AI4" s="162">
        <v>0</v>
      </c>
      <c r="AJ4" s="170">
        <v>1</v>
      </c>
      <c r="AK4" s="33">
        <f>COUNTIFS('來案暨出貨明細表-基因檢測(201904起'!$P:$P,$A4&amp;"*",'來案暨出貨明細表-基因檢測(201904起'!$B:$B,AK$1)*$B4+COUNTIFS('來案暨出貨明細表-基因檢測(201904起'!$P:$P,$A4&amp;"*",'來案暨出貨明細表-基因檢測(201904起'!$B:$B,AK$1,'來案暨出貨明細表-基因檢測(201904起'!$Q:$Q,"紙本&amp;電子")++COUNTIFS('來案暨出貨明細表-基因檢測(201904起'!$P:$P,$A4&amp;"*",'來案暨出貨明細表-基因檢測(201904起'!$B:$B,AK$1,'來案暨出貨明細表-基因檢測(201904起'!$R:$R,"中英")</f>
        <v>0</v>
      </c>
      <c r="AL4" s="33">
        <f>COUNTIFS('來案暨出貨明細表-基因檢測(201904起'!$P:$P,$A4&amp;"*",'來案暨出貨明細表-基因檢測(201904起'!$B:$B,AL$1)*$B4+COUNTIFS('來案暨出貨明細表-基因檢測(201904起'!$P:$P,$A4&amp;"*",'來案暨出貨明細表-基因檢測(201904起'!$B:$B,AL$1,'來案暨出貨明細表-基因檢測(201904起'!$Q:$Q,"紙本&amp;電子")++COUNTIFS('來案暨出貨明細表-基因檢測(201904起'!$P:$P,$A4&amp;"*",'來案暨出貨明細表-基因檢測(201904起'!$B:$B,AL$1,'來案暨出貨明細表-基因檢測(201904起'!$R:$R,"中英")</f>
        <v>0</v>
      </c>
      <c r="AM4" s="33">
        <f>COUNTIFS('來案暨出貨明細表-基因檢測(201904起'!$P:$P,$A4&amp;"*",'來案暨出貨明細表-基因檢測(201904起'!$B:$B,AM$1)*$B4+COUNTIFS('來案暨出貨明細表-基因檢測(201904起'!$P:$P,$A4&amp;"*",'來案暨出貨明細表-基因檢測(201904起'!$B:$B,AM$1,'來案暨出貨明細表-基因檢測(201904起'!$Q:$Q,"紙本&amp;電子")++COUNTIFS('來案暨出貨明細表-基因檢測(201904起'!$P:$P,$A4&amp;"*",'來案暨出貨明細表-基因檢測(201904起'!$B:$B,AM$1,'來案暨出貨明細表-基因檢測(201904起'!$R:$R,"中英")</f>
        <v>0</v>
      </c>
      <c r="AN4" s="33">
        <f>COUNTIFS('來案暨出貨明細表-基因檢測(201904起'!$P:$P,$A4&amp;"*",'來案暨出貨明細表-基因檢測(201904起'!$B:$B,AN$1)*$B4+COUNTIFS('來案暨出貨明細表-基因檢測(201904起'!$P:$P,$A4&amp;"*",'來案暨出貨明細表-基因檢測(201904起'!$B:$B,AN$1,'來案暨出貨明細表-基因檢測(201904起'!$Q:$Q,"紙本&amp;電子")++COUNTIFS('來案暨出貨明細表-基因檢測(201904起'!$P:$P,$A4&amp;"*",'來案暨出貨明細表-基因檢測(201904起'!$B:$B,AN$1,'來案暨出貨明細表-基因檢測(201904起'!$R:$R,"中英")</f>
        <v>2</v>
      </c>
      <c r="AO4" s="33">
        <f>COUNTIFS('來案暨出貨明細表-基因檢測(201904起'!$P:$P,$A4&amp;"*",'來案暨出貨明細表-基因檢測(201904起'!$B:$B,AO$1)*$B4+COUNTIFS('來案暨出貨明細表-基因檢測(201904起'!$P:$P,$A4&amp;"*",'來案暨出貨明細表-基因檢測(201904起'!$B:$B,AO$1,'來案暨出貨明細表-基因檢測(201904起'!$Q:$Q,"紙本&amp;電子")++COUNTIFS('來案暨出貨明細表-基因檢測(201904起'!$P:$P,$A4&amp;"*",'來案暨出貨明細表-基因檢測(201904起'!$B:$B,AO$1,'來案暨出貨明細表-基因檢測(201904起'!$R:$R,"中英")</f>
        <v>0</v>
      </c>
      <c r="AP4" s="33">
        <f>COUNTIFS('來案暨出貨明細表-基因檢測(201904起'!$P:$P,$A4&amp;"*",'來案暨出貨明細表-基因檢測(201904起'!$B:$B,AP$1)*$B4+COUNTIFS('來案暨出貨明細表-基因檢測(201904起'!$P:$P,$A4&amp;"*",'來案暨出貨明細表-基因檢測(201904起'!$B:$B,AP$1,'來案暨出貨明細表-基因檢測(201904起'!$Q:$Q,"紙本&amp;電子")++COUNTIFS('來案暨出貨明細表-基因檢測(201904起'!$P:$P,$A4&amp;"*",'來案暨出貨明細表-基因檢測(201904起'!$B:$B,AP$1,'來案暨出貨明細表-基因檢測(201904起'!$R:$R,"中英")</f>
        <v>0</v>
      </c>
      <c r="AQ4" s="33">
        <f>COUNTIFS('來案暨出貨明細表-基因檢測(201904起'!$P:$P,$A4&amp;"*",'來案暨出貨明細表-基因檢測(201904起'!$B:$B,AQ$1)*$B4+COUNTIFS('來案暨出貨明細表-基因檢測(201904起'!$P:$P,$A4&amp;"*",'來案暨出貨明細表-基因檢測(201904起'!$B:$B,AQ$1,'來案暨出貨明細表-基因檢測(201904起'!$Q:$Q,"紙本&amp;電子")++COUNTIFS('來案暨出貨明細表-基因檢測(201904起'!$P:$P,$A4&amp;"*",'來案暨出貨明細表-基因檢測(201904起'!$B:$B,AQ$1,'來案暨出貨明細表-基因檢測(201904起'!$R:$R,"中英")</f>
        <v>0</v>
      </c>
      <c r="AR4" s="33">
        <f>COUNTIFS('來案暨出貨明細表-基因檢測(201904起'!$P:$P,$A4&amp;"*",'來案暨出貨明細表-基因檢測(201904起'!$B:$B,AR$1)*$B4+COUNTIFS('來案暨出貨明細表-基因檢測(201904起'!$P:$P,$A4&amp;"*",'來案暨出貨明細表-基因檢測(201904起'!$B:$B,AR$1,'來案暨出貨明細表-基因檢測(201904起'!$Q:$Q,"紙本&amp;電子")++COUNTIFS('來案暨出貨明細表-基因檢測(201904起'!$P:$P,$A4&amp;"*",'來案暨出貨明細表-基因檢測(201904起'!$B:$B,AR$1,'來案暨出貨明細表-基因檢測(201904起'!$R:$R,"中英")</f>
        <v>0</v>
      </c>
      <c r="AS4" s="33">
        <f>COUNTIFS('來案暨出貨明細表-基因檢測(201904起'!$P:$P,$A4&amp;"*",'來案暨出貨明細表-基因檢測(201904起'!$B:$B,AS$1)*$B4+COUNTIFS('來案暨出貨明細表-基因檢測(201904起'!$P:$P,$A4&amp;"*",'來案暨出貨明細表-基因檢測(201904起'!$B:$B,AS$1,'來案暨出貨明細表-基因檢測(201904起'!$Q:$Q,"紙本&amp;電子")++COUNTIFS('來案暨出貨明細表-基因檢測(201904起'!$P:$P,$A4&amp;"*",'來案暨出貨明細表-基因檢測(201904起'!$B:$B,AS$1,'來案暨出貨明細表-基因檢測(201904起'!$R:$R,"中英")</f>
        <v>0</v>
      </c>
      <c r="AT4" s="33">
        <f>COUNTIFS('來案暨出貨明細表-基因檢測(201904起'!$P:$P,$A4&amp;"*",'來案暨出貨明細表-基因檢測(201904起'!$B:$B,AT$1)*$B4+COUNTIFS('來案暨出貨明細表-基因檢測(201904起'!$P:$P,$A4&amp;"*",'來案暨出貨明細表-基因檢測(201904起'!$B:$B,AT$1,'來案暨出貨明細表-基因檢測(201904起'!$Q:$Q,"紙本&amp;電子")++COUNTIFS('來案暨出貨明細表-基因檢測(201904起'!$P:$P,$A4&amp;"*",'來案暨出貨明細表-基因檢測(201904起'!$B:$B,AT$1,'來案暨出貨明細表-基因檢測(201904起'!$R:$R,"中英")</f>
        <v>0</v>
      </c>
      <c r="AU4" s="33">
        <f>COUNTIFS('來案暨出貨明細表-基因檢測(201904起'!$P:$P,$A4&amp;"*",'來案暨出貨明細表-基因檢測(201904起'!$B:$B,AU$1)*$B4+COUNTIFS('來案暨出貨明細表-基因檢測(201904起'!$P:$P,$A4&amp;"*",'來案暨出貨明細表-基因檢測(201904起'!$B:$B,AU$1,'來案暨出貨明細表-基因檢測(201904起'!$Q:$Q,"紙本&amp;電子")++COUNTIFS('來案暨出貨明細表-基因檢測(201904起'!$P:$P,$A4&amp;"*",'來案暨出貨明細表-基因檢測(201904起'!$B:$B,AU$1,'來案暨出貨明細表-基因檢測(201904起'!$R:$R,"中英")</f>
        <v>0</v>
      </c>
      <c r="AV4" s="33">
        <f>COUNTIFS('來案暨出貨明細表-基因檢測(201904起'!$P:$P,$A4&amp;"*",'來案暨出貨明細表-基因檢測(201904起'!$B:$B,AV$1)*$B4+COUNTIFS('來案暨出貨明細表-基因檢測(201904起'!$P:$P,$A4&amp;"*",'來案暨出貨明細表-基因檢測(201904起'!$B:$B,AV$1,'來案暨出貨明細表-基因檢測(201904起'!$Q:$Q,"紙本&amp;電子")++COUNTIFS('來案暨出貨明細表-基因檢測(201904起'!$P:$P,$A4&amp;"*",'來案暨出貨明細表-基因檢測(201904起'!$B:$B,AV$1,'來案暨出貨明細表-基因檢測(201904起'!$R:$R,"中英")</f>
        <v>0</v>
      </c>
      <c r="AW4" s="33">
        <f>COUNTIFS('來案暨出貨明細表-基因檢測(201904起'!$P:$P,$A4&amp;"*",'來案暨出貨明細表-基因檢測(201904起'!$B:$B,AW$1)*$B4+COUNTIFS('來案暨出貨明細表-基因檢測(201904起'!$P:$P,$A4&amp;"*",'來案暨出貨明細表-基因檢測(201904起'!$B:$B,AW$1,'來案暨出貨明細表-基因檢測(201904起'!$Q:$Q,"紙本&amp;電子")++COUNTIFS('來案暨出貨明細表-基因檢測(201904起'!$P:$P,$A4&amp;"*",'來案暨出貨明細表-基因檢測(201904起'!$B:$B,AW$1,'來案暨出貨明細表-基因檢測(201904起'!$R:$R,"中英")</f>
        <v>0</v>
      </c>
      <c r="AX4" s="33">
        <f>COUNTIFS('來案暨出貨明細表-基因檢測(201904起'!$P:$P,$A4&amp;"*",'來案暨出貨明細表-基因檢測(201904起'!$B:$B,AX$1)*$B4+COUNTIFS('來案暨出貨明細表-基因檢測(201904起'!$P:$P,$A4&amp;"*",'來案暨出貨明細表-基因檢測(201904起'!$B:$B,AX$1,'來案暨出貨明細表-基因檢測(201904起'!$Q:$Q,"紙本&amp;電子")++COUNTIFS('來案暨出貨明細表-基因檢測(201904起'!$P:$P,$A4&amp;"*",'來案暨出貨明細表-基因檢測(201904起'!$B:$B,AX$1,'來案暨出貨明細表-基因檢測(201904起'!$R:$R,"中英")</f>
        <v>0</v>
      </c>
      <c r="AY4" s="33">
        <f>COUNTIFS('來案暨出貨明細表-基因檢測(201904起'!$P:$P,$A4&amp;"*",'來案暨出貨明細表-基因檢測(201904起'!$B:$B,AY$1)*$B4+COUNTIFS('來案暨出貨明細表-基因檢測(201904起'!$P:$P,$A4&amp;"*",'來案暨出貨明細表-基因檢測(201904起'!$B:$B,AY$1,'來案暨出貨明細表-基因檢測(201904起'!$Q:$Q,"紙本&amp;電子")++COUNTIFS('來案暨出貨明細表-基因檢測(201904起'!$P:$P,$A4&amp;"*",'來案暨出貨明細表-基因檢測(201904起'!$B:$B,AY$1,'來案暨出貨明細表-基因檢測(201904起'!$R:$R,"中英")</f>
        <v>0</v>
      </c>
      <c r="AZ4" s="33">
        <f>COUNTIFS('來案暨出貨明細表-基因檢測(201904起'!$P:$P,$A4&amp;"*",'來案暨出貨明細表-基因檢測(201904起'!$B:$B,AZ$1)*$B4+COUNTIFS('來案暨出貨明細表-基因檢測(201904起'!$P:$P,$A4&amp;"*",'來案暨出貨明細表-基因檢測(201904起'!$B:$B,AZ$1,'來案暨出貨明細表-基因檢測(201904起'!$Q:$Q,"紙本&amp;電子")++COUNTIFS('來案暨出貨明細表-基因檢測(201904起'!$P:$P,$A4&amp;"*",'來案暨出貨明細表-基因檢測(201904起'!$B:$B,AZ$1,'來案暨出貨明細表-基因檢測(201904起'!$R:$R,"中英")</f>
        <v>0</v>
      </c>
      <c r="BA4" s="33">
        <f>COUNTIFS('來案暨出貨明細表-基因檢測(201904起'!$P:$P,$A4&amp;"*",'來案暨出貨明細表-基因檢測(201904起'!$B:$B,BA$1)*$B4+COUNTIFS('來案暨出貨明細表-基因檢測(201904起'!$P:$P,$A4&amp;"*",'來案暨出貨明細表-基因檢測(201904起'!$B:$B,BA$1,'來案暨出貨明細表-基因檢測(201904起'!$Q:$Q,"紙本&amp;電子")++COUNTIFS('來案暨出貨明細表-基因檢測(201904起'!$P:$P,$A4&amp;"*",'來案暨出貨明細表-基因檢測(201904起'!$B:$B,BA$1,'來案暨出貨明細表-基因檢測(201904起'!$R:$R,"中英")</f>
        <v>0</v>
      </c>
      <c r="BB4" s="33">
        <f>COUNTIFS('來案暨出貨明細表-基因檢測(201904起'!$P:$P,$A4&amp;"*",'來案暨出貨明細表-基因檢測(201904起'!$B:$B,BB$1)*$B4+COUNTIFS('來案暨出貨明細表-基因檢測(201904起'!$P:$P,$A4&amp;"*",'來案暨出貨明細表-基因檢測(201904起'!$B:$B,BB$1,'來案暨出貨明細表-基因檢測(201904起'!$Q:$Q,"紙本&amp;電子")++COUNTIFS('來案暨出貨明細表-基因檢測(201904起'!$P:$P,$A4&amp;"*",'來案暨出貨明細表-基因檢測(201904起'!$B:$B,BB$1,'來案暨出貨明細表-基因檢測(201904起'!$R:$R,"中英")</f>
        <v>0</v>
      </c>
      <c r="BC4" s="33">
        <f>COUNTIFS('來案暨出貨明細表-基因檢測(201904起'!$P:$P,$A4&amp;"*",'來案暨出貨明細表-基因檢測(201904起'!$B:$B,BC$1)*$B4+COUNTIFS('來案暨出貨明細表-基因檢測(201904起'!$P:$P,$A4&amp;"*",'來案暨出貨明細表-基因檢測(201904起'!$B:$B,BC$1,'來案暨出貨明細表-基因檢測(201904起'!$Q:$Q,"紙本&amp;電子")++COUNTIFS('來案暨出貨明細表-基因檢測(201904起'!$P:$P,$A4&amp;"*",'來案暨出貨明細表-基因檢測(201904起'!$B:$B,BC$1,'來案暨出貨明細表-基因檢測(201904起'!$R:$R,"中英")</f>
        <v>0</v>
      </c>
      <c r="BD4" s="33">
        <f>COUNTIFS('來案暨出貨明細表-基因檢測(201904起'!$P:$P,$A4&amp;"*",'來案暨出貨明細表-基因檢測(201904起'!$B:$B,BD$1)*$B4+COUNTIFS('來案暨出貨明細表-基因檢測(201904起'!$P:$P,$A4&amp;"*",'來案暨出貨明細表-基因檢測(201904起'!$B:$B,BD$1,'來案暨出貨明細表-基因檢測(201904起'!$Q:$Q,"紙本&amp;電子")++COUNTIFS('來案暨出貨明細表-基因檢測(201904起'!$P:$P,$A4&amp;"*",'來案暨出貨明細表-基因檢測(201904起'!$B:$B,BD$1,'來案暨出貨明細表-基因檢測(201904起'!$R:$R,"中英")</f>
        <v>0</v>
      </c>
      <c r="BE4" s="33">
        <f>COUNTIFS('來案暨出貨明細表-基因檢測(201904起'!$P:$P,$A4&amp;"*",'來案暨出貨明細表-基因檢測(201904起'!$B:$B,BE$1)*$B4+COUNTIFS('來案暨出貨明細表-基因檢測(201904起'!$P:$P,$A4&amp;"*",'來案暨出貨明細表-基因檢測(201904起'!$B:$B,BE$1,'來案暨出貨明細表-基因檢測(201904起'!$Q:$Q,"紙本&amp;電子")++COUNTIFS('來案暨出貨明細表-基因檢測(201904起'!$P:$P,$A4&amp;"*",'來案暨出貨明細表-基因檢測(201904起'!$B:$B,BE$1,'來案暨出貨明細表-基因檢測(201904起'!$R:$R,"中英")</f>
        <v>0</v>
      </c>
      <c r="BF4" s="33">
        <f>COUNTIFS('來案暨出貨明細表-基因檢測(201904起'!$P:$P,$A4&amp;"*",'來案暨出貨明細表-基因檢測(201904起'!$B:$B,BF$1)*$B4+COUNTIFS('來案暨出貨明細表-基因檢測(201904起'!$P:$P,$A4&amp;"*",'來案暨出貨明細表-基因檢測(201904起'!$B:$B,BF$1,'來案暨出貨明細表-基因檢測(201904起'!$Q:$Q,"紙本&amp;電子")++COUNTIFS('來案暨出貨明細表-基因檢測(201904起'!$P:$P,$A4&amp;"*",'來案暨出貨明細表-基因檢測(201904起'!$B:$B,BF$1,'來案暨出貨明細表-基因檢測(201904起'!$R:$R,"中英")</f>
        <v>0</v>
      </c>
      <c r="BG4" s="33">
        <f>COUNTIFS('來案暨出貨明細表-基因檢測(201904起'!$P:$P,$A4&amp;"*",'來案暨出貨明細表-基因檢測(201904起'!$B:$B,BG$1)*$B4+COUNTIFS('來案暨出貨明細表-基因檢測(201904起'!$P:$P,$A4&amp;"*",'來案暨出貨明細表-基因檢測(201904起'!$B:$B,BG$1,'來案暨出貨明細表-基因檢測(201904起'!$Q:$Q,"紙本&amp;電子")++COUNTIFS('來案暨出貨明細表-基因檢測(201904起'!$P:$P,$A4&amp;"*",'來案暨出貨明細表-基因檢測(201904起'!$B:$B,BG$1,'來案暨出貨明細表-基因檢測(201904起'!$R:$R,"中英")</f>
        <v>0</v>
      </c>
      <c r="BH4" s="33">
        <f>COUNTIFS('來案暨出貨明細表-基因檢測(201904起'!$P:$P,$A4&amp;"*",'來案暨出貨明細表-基因檢測(201904起'!$B:$B,BH$1)*$B4+COUNTIFS('來案暨出貨明細表-基因檢測(201904起'!$P:$P,$A4&amp;"*",'來案暨出貨明細表-基因檢測(201904起'!$B:$B,BH$1,'來案暨出貨明細表-基因檢測(201904起'!$Q:$Q,"紙本&amp;電子")++COUNTIFS('來案暨出貨明細表-基因檢測(201904起'!$P:$P,$A4&amp;"*",'來案暨出貨明細表-基因檢測(201904起'!$B:$B,BH$1,'來案暨出貨明細表-基因檢測(201904起'!$R:$R,"中英")</f>
        <v>0</v>
      </c>
      <c r="BI4" s="33">
        <f>COUNTIFS('來案暨出貨明細表-基因檢測(201904起'!$P:$P,$A4&amp;"*",'來案暨出貨明細表-基因檢測(201904起'!$B:$B,BI$1)*$B4+COUNTIFS('來案暨出貨明細表-基因檢測(201904起'!$P:$P,$A4&amp;"*",'來案暨出貨明細表-基因檢測(201904起'!$B:$B,BI$1,'來案暨出貨明細表-基因檢測(201904起'!$Q:$Q,"紙本&amp;電子")++COUNTIFS('來案暨出貨明細表-基因檢測(201904起'!$P:$P,$A4&amp;"*",'來案暨出貨明細表-基因檢測(201904起'!$B:$B,BI$1,'來案暨出貨明細表-基因檢測(201904起'!$R:$R,"中英")</f>
        <v>0</v>
      </c>
      <c r="BJ4" s="33">
        <f>COUNTIFS('來案暨出貨明細表-基因檢測(201904起'!$P:$P,$A4&amp;"*",'來案暨出貨明細表-基因檢測(201904起'!$B:$B,BJ$1)*$B4+COUNTIFS('來案暨出貨明細表-基因檢測(201904起'!$P:$P,$A4&amp;"*",'來案暨出貨明細表-基因檢測(201904起'!$B:$B,BJ$1,'來案暨出貨明細表-基因檢測(201904起'!$Q:$Q,"紙本&amp;電子")++COUNTIFS('來案暨出貨明細表-基因檢測(201904起'!$P:$P,$A4&amp;"*",'來案暨出貨明細表-基因檢測(201904起'!$B:$B,BJ$1,'來案暨出貨明細表-基因檢測(201904起'!$R:$R,"中英")</f>
        <v>0</v>
      </c>
      <c r="BK4" s="33">
        <f>COUNTIFS('來案暨出貨明細表-基因檢測(201904起'!$P:$P,$A4&amp;"*",'來案暨出貨明細表-基因檢測(201904起'!$B:$B,BK$1)*$B4+COUNTIFS('來案暨出貨明細表-基因檢測(201904起'!$P:$P,$A4&amp;"*",'來案暨出貨明細表-基因檢測(201904起'!$B:$B,BK$1,'來案暨出貨明細表-基因檢測(201904起'!$Q:$Q,"紙本&amp;電子")++COUNTIFS('來案暨出貨明細表-基因檢測(201904起'!$P:$P,$A4&amp;"*",'來案暨出貨明細表-基因檢測(201904起'!$B:$B,BK$1,'來案暨出貨明細表-基因檢測(201904起'!$R:$R,"中英")</f>
        <v>0</v>
      </c>
    </row>
    <row r="5" spans="1:63" ht="15" customHeight="1">
      <c r="A5" s="166" t="s">
        <v>2139</v>
      </c>
      <c r="B5" s="167">
        <v>1</v>
      </c>
      <c r="C5" s="168" t="s">
        <v>2140</v>
      </c>
      <c r="D5" s="169" t="s">
        <v>2143</v>
      </c>
      <c r="E5" s="162">
        <v>0</v>
      </c>
      <c r="F5" s="162">
        <v>0</v>
      </c>
      <c r="G5" s="162">
        <v>0</v>
      </c>
      <c r="H5" s="162">
        <v>0</v>
      </c>
      <c r="I5" s="162">
        <v>0</v>
      </c>
      <c r="J5" s="162">
        <v>0</v>
      </c>
      <c r="K5" s="162">
        <v>0</v>
      </c>
      <c r="L5" s="162">
        <v>0</v>
      </c>
      <c r="M5" s="162">
        <v>0</v>
      </c>
      <c r="N5" s="162">
        <v>0</v>
      </c>
      <c r="O5" s="162">
        <v>0</v>
      </c>
      <c r="P5" s="162">
        <v>0</v>
      </c>
      <c r="Q5" s="162">
        <v>0</v>
      </c>
      <c r="R5" s="162">
        <v>0</v>
      </c>
      <c r="S5" s="162">
        <v>0</v>
      </c>
      <c r="T5" s="162">
        <v>0</v>
      </c>
      <c r="U5" s="162">
        <v>0</v>
      </c>
      <c r="V5" s="162">
        <v>0</v>
      </c>
      <c r="W5" s="162">
        <v>0</v>
      </c>
      <c r="X5" s="162">
        <v>0</v>
      </c>
      <c r="Y5" s="162">
        <v>0</v>
      </c>
      <c r="Z5" s="162">
        <v>0</v>
      </c>
      <c r="AA5" s="162">
        <v>0</v>
      </c>
      <c r="AB5" s="162">
        <v>0</v>
      </c>
      <c r="AC5" s="162">
        <v>0</v>
      </c>
      <c r="AD5" s="162">
        <v>0</v>
      </c>
      <c r="AE5" s="162">
        <v>0</v>
      </c>
      <c r="AF5" s="162">
        <v>0</v>
      </c>
      <c r="AG5" s="162">
        <v>0</v>
      </c>
      <c r="AH5" s="162">
        <v>0</v>
      </c>
      <c r="AI5" s="162">
        <v>0</v>
      </c>
      <c r="AJ5" s="170">
        <v>0</v>
      </c>
      <c r="AK5" s="33">
        <f>COUNTIFS('來案暨出貨明細表-基因檢測(201904起'!$P:$P,$A5&amp;"*",'來案暨出貨明細表-基因檢測(201904起'!$B:$B,AK$1)*$B5+COUNTIFS('來案暨出貨明細表-基因檢測(201904起'!$P:$P,$A5&amp;"*",'來案暨出貨明細表-基因檢測(201904起'!$B:$B,AK$1,'來案暨出貨明細表-基因檢測(201904起'!$Q:$Q,"紙本&amp;電子")++COUNTIFS('來案暨出貨明細表-基因檢測(201904起'!$P:$P,$A5&amp;"*",'來案暨出貨明細表-基因檢測(201904起'!$B:$B,AK$1,'來案暨出貨明細表-基因檢測(201904起'!$R:$R,"中英")</f>
        <v>0</v>
      </c>
      <c r="AL5" s="33">
        <f>COUNTIFS('來案暨出貨明細表-基因檢測(201904起'!$P:$P,$A5&amp;"*",'來案暨出貨明細表-基因檢測(201904起'!$B:$B,AL$1)*$B5+COUNTIFS('來案暨出貨明細表-基因檢測(201904起'!$P:$P,$A5&amp;"*",'來案暨出貨明細表-基因檢測(201904起'!$B:$B,AL$1,'來案暨出貨明細表-基因檢測(201904起'!$Q:$Q,"紙本&amp;電子")++COUNTIFS('來案暨出貨明細表-基因檢測(201904起'!$P:$P,$A5&amp;"*",'來案暨出貨明細表-基因檢測(201904起'!$B:$B,AL$1,'來案暨出貨明細表-基因檢測(201904起'!$R:$R,"中英")</f>
        <v>0</v>
      </c>
      <c r="AM5" s="33">
        <f>COUNTIFS('來案暨出貨明細表-基因檢測(201904起'!$P:$P,$A5&amp;"*",'來案暨出貨明細表-基因檢測(201904起'!$B:$B,AM$1)*$B5+COUNTIFS('來案暨出貨明細表-基因檢測(201904起'!$P:$P,$A5&amp;"*",'來案暨出貨明細表-基因檢測(201904起'!$B:$B,AM$1,'來案暨出貨明細表-基因檢測(201904起'!$Q:$Q,"紙本&amp;電子")++COUNTIFS('來案暨出貨明細表-基因檢測(201904起'!$P:$P,$A5&amp;"*",'來案暨出貨明細表-基因檢測(201904起'!$B:$B,AM$1,'來案暨出貨明細表-基因檢測(201904起'!$R:$R,"中英")</f>
        <v>0</v>
      </c>
      <c r="AN5" s="33">
        <f>COUNTIFS('來案暨出貨明細表-基因檢測(201904起'!$P:$P,$A5&amp;"*",'來案暨出貨明細表-基因檢測(201904起'!$B:$B,AN$1)*$B5+COUNTIFS('來案暨出貨明細表-基因檢測(201904起'!$P:$P,$A5&amp;"*",'來案暨出貨明細表-基因檢測(201904起'!$B:$B,AN$1,'來案暨出貨明細表-基因檢測(201904起'!$Q:$Q,"紙本&amp;電子")++COUNTIFS('來案暨出貨明細表-基因檢測(201904起'!$P:$P,$A5&amp;"*",'來案暨出貨明細表-基因檢測(201904起'!$B:$B,AN$1,'來案暨出貨明細表-基因檢測(201904起'!$R:$R,"中英")</f>
        <v>0</v>
      </c>
      <c r="AO5" s="33">
        <f>COUNTIFS('來案暨出貨明細表-基因檢測(201904起'!$P:$P,$A5&amp;"*",'來案暨出貨明細表-基因檢測(201904起'!$B:$B,AO$1)*$B5+COUNTIFS('來案暨出貨明細表-基因檢測(201904起'!$P:$P,$A5&amp;"*",'來案暨出貨明細表-基因檢測(201904起'!$B:$B,AO$1,'來案暨出貨明細表-基因檢測(201904起'!$Q:$Q,"紙本&amp;電子")++COUNTIFS('來案暨出貨明細表-基因檢測(201904起'!$P:$P,$A5&amp;"*",'來案暨出貨明細表-基因檢測(201904起'!$B:$B,AO$1,'來案暨出貨明細表-基因檢測(201904起'!$R:$R,"中英")</f>
        <v>0</v>
      </c>
      <c r="AP5" s="33">
        <f>COUNTIFS('來案暨出貨明細表-基因檢測(201904起'!$P:$P,$A5&amp;"*",'來案暨出貨明細表-基因檢測(201904起'!$B:$B,AP$1)*$B5+COUNTIFS('來案暨出貨明細表-基因檢測(201904起'!$P:$P,$A5&amp;"*",'來案暨出貨明細表-基因檢測(201904起'!$B:$B,AP$1,'來案暨出貨明細表-基因檢測(201904起'!$Q:$Q,"紙本&amp;電子")++COUNTIFS('來案暨出貨明細表-基因檢測(201904起'!$P:$P,$A5&amp;"*",'來案暨出貨明細表-基因檢測(201904起'!$B:$B,AP$1,'來案暨出貨明細表-基因檢測(201904起'!$R:$R,"中英")</f>
        <v>0</v>
      </c>
      <c r="AQ5" s="33">
        <f>COUNTIFS('來案暨出貨明細表-基因檢測(201904起'!$P:$P,$A5&amp;"*",'來案暨出貨明細表-基因檢測(201904起'!$B:$B,AQ$1)*$B5+COUNTIFS('來案暨出貨明細表-基因檢測(201904起'!$P:$P,$A5&amp;"*",'來案暨出貨明細表-基因檢測(201904起'!$B:$B,AQ$1,'來案暨出貨明細表-基因檢測(201904起'!$Q:$Q,"紙本&amp;電子")++COUNTIFS('來案暨出貨明細表-基因檢測(201904起'!$P:$P,$A5&amp;"*",'來案暨出貨明細表-基因檢測(201904起'!$B:$B,AQ$1,'來案暨出貨明細表-基因檢測(201904起'!$R:$R,"中英")</f>
        <v>0</v>
      </c>
      <c r="AR5" s="33">
        <f>COUNTIFS('來案暨出貨明細表-基因檢測(201904起'!$P:$P,$A5&amp;"*",'來案暨出貨明細表-基因檢測(201904起'!$B:$B,AR$1)*$B5+COUNTIFS('來案暨出貨明細表-基因檢測(201904起'!$P:$P,$A5&amp;"*",'來案暨出貨明細表-基因檢測(201904起'!$B:$B,AR$1,'來案暨出貨明細表-基因檢測(201904起'!$Q:$Q,"紙本&amp;電子")++COUNTIFS('來案暨出貨明細表-基因檢測(201904起'!$P:$P,$A5&amp;"*",'來案暨出貨明細表-基因檢測(201904起'!$B:$B,AR$1,'來案暨出貨明細表-基因檢測(201904起'!$R:$R,"中英")</f>
        <v>0</v>
      </c>
      <c r="AS5" s="33">
        <f>COUNTIFS('來案暨出貨明細表-基因檢測(201904起'!$P:$P,$A5&amp;"*",'來案暨出貨明細表-基因檢測(201904起'!$B:$B,AS$1)*$B5+COUNTIFS('來案暨出貨明細表-基因檢測(201904起'!$P:$P,$A5&amp;"*",'來案暨出貨明細表-基因檢測(201904起'!$B:$B,AS$1,'來案暨出貨明細表-基因檢測(201904起'!$Q:$Q,"紙本&amp;電子")++COUNTIFS('來案暨出貨明細表-基因檢測(201904起'!$P:$P,$A5&amp;"*",'來案暨出貨明細表-基因檢測(201904起'!$B:$B,AS$1,'來案暨出貨明細表-基因檢測(201904起'!$R:$R,"中英")</f>
        <v>0</v>
      </c>
      <c r="AT5" s="33">
        <f>COUNTIFS('來案暨出貨明細表-基因檢測(201904起'!$P:$P,$A5&amp;"*",'來案暨出貨明細表-基因檢測(201904起'!$B:$B,AT$1)*$B5+COUNTIFS('來案暨出貨明細表-基因檢測(201904起'!$P:$P,$A5&amp;"*",'來案暨出貨明細表-基因檢測(201904起'!$B:$B,AT$1,'來案暨出貨明細表-基因檢測(201904起'!$Q:$Q,"紙本&amp;電子")++COUNTIFS('來案暨出貨明細表-基因檢測(201904起'!$P:$P,$A5&amp;"*",'來案暨出貨明細表-基因檢測(201904起'!$B:$B,AT$1,'來案暨出貨明細表-基因檢測(201904起'!$R:$R,"中英")</f>
        <v>0</v>
      </c>
      <c r="AU5" s="33">
        <f>COUNTIFS('來案暨出貨明細表-基因檢測(201904起'!$P:$P,$A5&amp;"*",'來案暨出貨明細表-基因檢測(201904起'!$B:$B,AU$1)*$B5+COUNTIFS('來案暨出貨明細表-基因檢測(201904起'!$P:$P,$A5&amp;"*",'來案暨出貨明細表-基因檢測(201904起'!$B:$B,AU$1,'來案暨出貨明細表-基因檢測(201904起'!$Q:$Q,"紙本&amp;電子")++COUNTIFS('來案暨出貨明細表-基因檢測(201904起'!$P:$P,$A5&amp;"*",'來案暨出貨明細表-基因檢測(201904起'!$B:$B,AU$1,'來案暨出貨明細表-基因檢測(201904起'!$R:$R,"中英")</f>
        <v>0</v>
      </c>
      <c r="AV5" s="33">
        <f>COUNTIFS('來案暨出貨明細表-基因檢測(201904起'!$P:$P,$A5&amp;"*",'來案暨出貨明細表-基因檢測(201904起'!$B:$B,AV$1)*$B5+COUNTIFS('來案暨出貨明細表-基因檢測(201904起'!$P:$P,$A5&amp;"*",'來案暨出貨明細表-基因檢測(201904起'!$B:$B,AV$1,'來案暨出貨明細表-基因檢測(201904起'!$Q:$Q,"紙本&amp;電子")++COUNTIFS('來案暨出貨明細表-基因檢測(201904起'!$P:$P,$A5&amp;"*",'來案暨出貨明細表-基因檢測(201904起'!$B:$B,AV$1,'來案暨出貨明細表-基因檢測(201904起'!$R:$R,"中英")</f>
        <v>0</v>
      </c>
      <c r="AW5" s="33">
        <f>COUNTIFS('來案暨出貨明細表-基因檢測(201904起'!$P:$P,$A5&amp;"*",'來案暨出貨明細表-基因檢測(201904起'!$B:$B,AW$1)*$B5+COUNTIFS('來案暨出貨明細表-基因檢測(201904起'!$P:$P,$A5&amp;"*",'來案暨出貨明細表-基因檢測(201904起'!$B:$B,AW$1,'來案暨出貨明細表-基因檢測(201904起'!$Q:$Q,"紙本&amp;電子")++COUNTIFS('來案暨出貨明細表-基因檢測(201904起'!$P:$P,$A5&amp;"*",'來案暨出貨明細表-基因檢測(201904起'!$B:$B,AW$1,'來案暨出貨明細表-基因檢測(201904起'!$R:$R,"中英")</f>
        <v>0</v>
      </c>
      <c r="AX5" s="33">
        <f>COUNTIFS('來案暨出貨明細表-基因檢測(201904起'!$P:$P,$A5&amp;"*",'來案暨出貨明細表-基因檢測(201904起'!$B:$B,AX$1)*$B5+COUNTIFS('來案暨出貨明細表-基因檢測(201904起'!$P:$P,$A5&amp;"*",'來案暨出貨明細表-基因檢測(201904起'!$B:$B,AX$1,'來案暨出貨明細表-基因檢測(201904起'!$Q:$Q,"紙本&amp;電子")++COUNTIFS('來案暨出貨明細表-基因檢測(201904起'!$P:$P,$A5&amp;"*",'來案暨出貨明細表-基因檢測(201904起'!$B:$B,AX$1,'來案暨出貨明細表-基因檢測(201904起'!$R:$R,"中英")</f>
        <v>0</v>
      </c>
      <c r="AY5" s="33">
        <f>COUNTIFS('來案暨出貨明細表-基因檢測(201904起'!$P:$P,$A5&amp;"*",'來案暨出貨明細表-基因檢測(201904起'!$B:$B,AY$1)*$B5+COUNTIFS('來案暨出貨明細表-基因檢測(201904起'!$P:$P,$A5&amp;"*",'來案暨出貨明細表-基因檢測(201904起'!$B:$B,AY$1,'來案暨出貨明細表-基因檢測(201904起'!$Q:$Q,"紙本&amp;電子")++COUNTIFS('來案暨出貨明細表-基因檢測(201904起'!$P:$P,$A5&amp;"*",'來案暨出貨明細表-基因檢測(201904起'!$B:$B,AY$1,'來案暨出貨明細表-基因檢測(201904起'!$R:$R,"中英")</f>
        <v>0</v>
      </c>
      <c r="AZ5" s="33">
        <f>COUNTIFS('來案暨出貨明細表-基因檢測(201904起'!$P:$P,$A5&amp;"*",'來案暨出貨明細表-基因檢測(201904起'!$B:$B,AZ$1)*$B5+COUNTIFS('來案暨出貨明細表-基因檢測(201904起'!$P:$P,$A5&amp;"*",'來案暨出貨明細表-基因檢測(201904起'!$B:$B,AZ$1,'來案暨出貨明細表-基因檢測(201904起'!$Q:$Q,"紙本&amp;電子")++COUNTIFS('來案暨出貨明細表-基因檢測(201904起'!$P:$P,$A5&amp;"*",'來案暨出貨明細表-基因檢測(201904起'!$B:$B,AZ$1,'來案暨出貨明細表-基因檢測(201904起'!$R:$R,"中英")</f>
        <v>0</v>
      </c>
      <c r="BA5" s="33">
        <f>COUNTIFS('來案暨出貨明細表-基因檢測(201904起'!$P:$P,$A5&amp;"*",'來案暨出貨明細表-基因檢測(201904起'!$B:$B,BA$1)*$B5+COUNTIFS('來案暨出貨明細表-基因檢測(201904起'!$P:$P,$A5&amp;"*",'來案暨出貨明細表-基因檢測(201904起'!$B:$B,BA$1,'來案暨出貨明細表-基因檢測(201904起'!$Q:$Q,"紙本&amp;電子")++COUNTIFS('來案暨出貨明細表-基因檢測(201904起'!$P:$P,$A5&amp;"*",'來案暨出貨明細表-基因檢測(201904起'!$B:$B,BA$1,'來案暨出貨明細表-基因檢測(201904起'!$R:$R,"中英")</f>
        <v>0</v>
      </c>
      <c r="BB5" s="33">
        <f>COUNTIFS('來案暨出貨明細表-基因檢測(201904起'!$P:$P,$A5&amp;"*",'來案暨出貨明細表-基因檢測(201904起'!$B:$B,BB$1)*$B5+COUNTIFS('來案暨出貨明細表-基因檢測(201904起'!$P:$P,$A5&amp;"*",'來案暨出貨明細表-基因檢測(201904起'!$B:$B,BB$1,'來案暨出貨明細表-基因檢測(201904起'!$Q:$Q,"紙本&amp;電子")++COUNTIFS('來案暨出貨明細表-基因檢測(201904起'!$P:$P,$A5&amp;"*",'來案暨出貨明細表-基因檢測(201904起'!$B:$B,BB$1,'來案暨出貨明細表-基因檢測(201904起'!$R:$R,"中英")</f>
        <v>1</v>
      </c>
      <c r="BC5" s="33">
        <f>COUNTIFS('來案暨出貨明細表-基因檢測(201904起'!$P:$P,$A5&amp;"*",'來案暨出貨明細表-基因檢測(201904起'!$B:$B,BC$1)*$B5+COUNTIFS('來案暨出貨明細表-基因檢測(201904起'!$P:$P,$A5&amp;"*",'來案暨出貨明細表-基因檢測(201904起'!$B:$B,BC$1,'來案暨出貨明細表-基因檢測(201904起'!$Q:$Q,"紙本&amp;電子")++COUNTIFS('來案暨出貨明細表-基因檢測(201904起'!$P:$P,$A5&amp;"*",'來案暨出貨明細表-基因檢測(201904起'!$B:$B,BC$1,'來案暨出貨明細表-基因檢測(201904起'!$R:$R,"中英")</f>
        <v>0</v>
      </c>
      <c r="BD5" s="33">
        <f>COUNTIFS('來案暨出貨明細表-基因檢測(201904起'!$P:$P,$A5&amp;"*",'來案暨出貨明細表-基因檢測(201904起'!$B:$B,BD$1)*$B5+COUNTIFS('來案暨出貨明細表-基因檢測(201904起'!$P:$P,$A5&amp;"*",'來案暨出貨明細表-基因檢測(201904起'!$B:$B,BD$1,'來案暨出貨明細表-基因檢測(201904起'!$Q:$Q,"紙本&amp;電子")++COUNTIFS('來案暨出貨明細表-基因檢測(201904起'!$P:$P,$A5&amp;"*",'來案暨出貨明細表-基因檢測(201904起'!$B:$B,BD$1,'來案暨出貨明細表-基因檢測(201904起'!$R:$R,"中英")</f>
        <v>0</v>
      </c>
      <c r="BE5" s="33">
        <f>COUNTIFS('來案暨出貨明細表-基因檢測(201904起'!$P:$P,$A5&amp;"*",'來案暨出貨明細表-基因檢測(201904起'!$B:$B,BE$1)*$B5+COUNTIFS('來案暨出貨明細表-基因檢測(201904起'!$P:$P,$A5&amp;"*",'來案暨出貨明細表-基因檢測(201904起'!$B:$B,BE$1,'來案暨出貨明細表-基因檢測(201904起'!$Q:$Q,"紙本&amp;電子")++COUNTIFS('來案暨出貨明細表-基因檢測(201904起'!$P:$P,$A5&amp;"*",'來案暨出貨明細表-基因檢測(201904起'!$B:$B,BE$1,'來案暨出貨明細表-基因檢測(201904起'!$R:$R,"中英")</f>
        <v>0</v>
      </c>
      <c r="BF5" s="33">
        <f>COUNTIFS('來案暨出貨明細表-基因檢測(201904起'!$P:$P,$A5&amp;"*",'來案暨出貨明細表-基因檢測(201904起'!$B:$B,BF$1)*$B5+COUNTIFS('來案暨出貨明細表-基因檢測(201904起'!$P:$P,$A5&amp;"*",'來案暨出貨明細表-基因檢測(201904起'!$B:$B,BF$1,'來案暨出貨明細表-基因檢測(201904起'!$Q:$Q,"紙本&amp;電子")++COUNTIFS('來案暨出貨明細表-基因檢測(201904起'!$P:$P,$A5&amp;"*",'來案暨出貨明細表-基因檢測(201904起'!$B:$B,BF$1,'來案暨出貨明細表-基因檢測(201904起'!$R:$R,"中英")</f>
        <v>0</v>
      </c>
      <c r="BG5" s="33">
        <f>COUNTIFS('來案暨出貨明細表-基因檢測(201904起'!$P:$P,$A5&amp;"*",'來案暨出貨明細表-基因檢測(201904起'!$B:$B,BG$1)*$B5+COUNTIFS('來案暨出貨明細表-基因檢測(201904起'!$P:$P,$A5&amp;"*",'來案暨出貨明細表-基因檢測(201904起'!$B:$B,BG$1,'來案暨出貨明細表-基因檢測(201904起'!$Q:$Q,"紙本&amp;電子")++COUNTIFS('來案暨出貨明細表-基因檢測(201904起'!$P:$P,$A5&amp;"*",'來案暨出貨明細表-基因檢測(201904起'!$B:$B,BG$1,'來案暨出貨明細表-基因檢測(201904起'!$R:$R,"中英")</f>
        <v>0</v>
      </c>
      <c r="BH5" s="33">
        <f>COUNTIFS('來案暨出貨明細表-基因檢測(201904起'!$P:$P,$A5&amp;"*",'來案暨出貨明細表-基因檢測(201904起'!$B:$B,BH$1)*$B5+COUNTIFS('來案暨出貨明細表-基因檢測(201904起'!$P:$P,$A5&amp;"*",'來案暨出貨明細表-基因檢測(201904起'!$B:$B,BH$1,'來案暨出貨明細表-基因檢測(201904起'!$Q:$Q,"紙本&amp;電子")++COUNTIFS('來案暨出貨明細表-基因檢測(201904起'!$P:$P,$A5&amp;"*",'來案暨出貨明細表-基因檢測(201904起'!$B:$B,BH$1,'來案暨出貨明細表-基因檢測(201904起'!$R:$R,"中英")</f>
        <v>0</v>
      </c>
      <c r="BI5" s="33">
        <f>COUNTIFS('來案暨出貨明細表-基因檢測(201904起'!$P:$P,$A5&amp;"*",'來案暨出貨明細表-基因檢測(201904起'!$B:$B,BI$1)*$B5+COUNTIFS('來案暨出貨明細表-基因檢測(201904起'!$P:$P,$A5&amp;"*",'來案暨出貨明細表-基因檢測(201904起'!$B:$B,BI$1,'來案暨出貨明細表-基因檢測(201904起'!$Q:$Q,"紙本&amp;電子")++COUNTIFS('來案暨出貨明細表-基因檢測(201904起'!$P:$P,$A5&amp;"*",'來案暨出貨明細表-基因檢測(201904起'!$B:$B,BI$1,'來案暨出貨明細表-基因檢測(201904起'!$R:$R,"中英")</f>
        <v>0</v>
      </c>
      <c r="BJ5" s="33">
        <f>COUNTIFS('來案暨出貨明細表-基因檢測(201904起'!$P:$P,$A5&amp;"*",'來案暨出貨明細表-基因檢測(201904起'!$B:$B,BJ$1)*$B5+COUNTIFS('來案暨出貨明細表-基因檢測(201904起'!$P:$P,$A5&amp;"*",'來案暨出貨明細表-基因檢測(201904起'!$B:$B,BJ$1,'來案暨出貨明細表-基因檢測(201904起'!$Q:$Q,"紙本&amp;電子")++COUNTIFS('來案暨出貨明細表-基因檢測(201904起'!$P:$P,$A5&amp;"*",'來案暨出貨明細表-基因檢測(201904起'!$B:$B,BJ$1,'來案暨出貨明細表-基因檢測(201904起'!$R:$R,"中英")</f>
        <v>0</v>
      </c>
      <c r="BK5" s="33">
        <f>COUNTIFS('來案暨出貨明細表-基因檢測(201904起'!$P:$P,$A5&amp;"*",'來案暨出貨明細表-基因檢測(201904起'!$B:$B,BK$1)*$B5+COUNTIFS('來案暨出貨明細表-基因檢測(201904起'!$P:$P,$A5&amp;"*",'來案暨出貨明細表-基因檢測(201904起'!$B:$B,BK$1,'來案暨出貨明細表-基因檢測(201904起'!$Q:$Q,"紙本&amp;電子")++COUNTIFS('來案暨出貨明細表-基因檢測(201904起'!$P:$P,$A5&amp;"*",'來案暨出貨明細表-基因檢測(201904起'!$B:$B,BK$1,'來案暨出貨明細表-基因檢測(201904起'!$R:$R,"中英")</f>
        <v>0</v>
      </c>
    </row>
    <row r="6" spans="1:63" ht="15" customHeight="1">
      <c r="A6" s="166" t="s">
        <v>2476</v>
      </c>
      <c r="B6" s="167">
        <v>1</v>
      </c>
      <c r="C6" s="168" t="s">
        <v>2477</v>
      </c>
      <c r="D6" s="169" t="s">
        <v>2478</v>
      </c>
      <c r="E6" s="162">
        <v>0</v>
      </c>
      <c r="F6" s="162">
        <v>0</v>
      </c>
      <c r="G6" s="162">
        <v>0</v>
      </c>
      <c r="H6" s="162">
        <v>0</v>
      </c>
      <c r="I6" s="162">
        <v>0</v>
      </c>
      <c r="J6" s="162">
        <v>0</v>
      </c>
      <c r="K6" s="162">
        <v>0</v>
      </c>
      <c r="L6" s="162">
        <v>0</v>
      </c>
      <c r="M6" s="162">
        <v>0</v>
      </c>
      <c r="N6" s="162">
        <v>0</v>
      </c>
      <c r="O6" s="162">
        <v>0</v>
      </c>
      <c r="P6" s="162">
        <v>0</v>
      </c>
      <c r="Q6" s="162">
        <v>0</v>
      </c>
      <c r="R6" s="162">
        <v>0</v>
      </c>
      <c r="S6" s="162">
        <v>0</v>
      </c>
      <c r="T6" s="162">
        <v>0</v>
      </c>
      <c r="U6" s="162">
        <v>0</v>
      </c>
      <c r="V6" s="162">
        <v>0</v>
      </c>
      <c r="W6" s="162">
        <v>0</v>
      </c>
      <c r="X6" s="162">
        <v>0</v>
      </c>
      <c r="Y6" s="162">
        <v>0</v>
      </c>
      <c r="Z6" s="162">
        <v>0</v>
      </c>
      <c r="AA6" s="162">
        <v>0</v>
      </c>
      <c r="AB6" s="162">
        <v>0</v>
      </c>
      <c r="AC6" s="162">
        <v>0</v>
      </c>
      <c r="AD6" s="162">
        <v>0</v>
      </c>
      <c r="AE6" s="162">
        <v>0</v>
      </c>
      <c r="AF6" s="162">
        <v>0</v>
      </c>
      <c r="AG6" s="162">
        <v>0</v>
      </c>
      <c r="AH6" s="162">
        <v>0</v>
      </c>
      <c r="AI6" s="162">
        <v>0</v>
      </c>
      <c r="AJ6" s="170">
        <v>0</v>
      </c>
      <c r="AK6" s="33">
        <f>COUNTIFS('來案暨出貨明細表-基因檢測(201904起'!$P:$P,$A6&amp;"*",'來案暨出貨明細表-基因檢測(201904起'!$B:$B,AK$1)*$B6+COUNTIFS('來案暨出貨明細表-基因檢測(201904起'!$P:$P,$A6&amp;"*",'來案暨出貨明細表-基因檢測(201904起'!$B:$B,AK$1,'來案暨出貨明細表-基因檢測(201904起'!$Q:$Q,"紙本&amp;電子")++COUNTIFS('來案暨出貨明細表-基因檢測(201904起'!$P:$P,$A6&amp;"*",'來案暨出貨明細表-基因檢測(201904起'!$B:$B,AK$1,'來案暨出貨明細表-基因檢測(201904起'!$R:$R,"中英")</f>
        <v>0</v>
      </c>
      <c r="AL6" s="33">
        <f>COUNTIFS('來案暨出貨明細表-基因檢測(201904起'!$P:$P,$A6&amp;"*",'來案暨出貨明細表-基因檢測(201904起'!$B:$B,AL$1)*$B6+COUNTIFS('來案暨出貨明細表-基因檢測(201904起'!$P:$P,$A6&amp;"*",'來案暨出貨明細表-基因檢測(201904起'!$B:$B,AL$1,'來案暨出貨明細表-基因檢測(201904起'!$Q:$Q,"紙本&amp;電子")++COUNTIFS('來案暨出貨明細表-基因檢測(201904起'!$P:$P,$A6&amp;"*",'來案暨出貨明細表-基因檢測(201904起'!$B:$B,AL$1,'來案暨出貨明細表-基因檢測(201904起'!$R:$R,"中英")</f>
        <v>0</v>
      </c>
      <c r="AM6" s="33">
        <f>COUNTIFS('來案暨出貨明細表-基因檢測(201904起'!$P:$P,$A6&amp;"*",'來案暨出貨明細表-基因檢測(201904起'!$B:$B,AM$1)*$B6+COUNTIFS('來案暨出貨明細表-基因檢測(201904起'!$P:$P,$A6&amp;"*",'來案暨出貨明細表-基因檢測(201904起'!$B:$B,AM$1,'來案暨出貨明細表-基因檢測(201904起'!$Q:$Q,"紙本&amp;電子")++COUNTIFS('來案暨出貨明細表-基因檢測(201904起'!$P:$P,$A6&amp;"*",'來案暨出貨明細表-基因檢測(201904起'!$B:$B,AM$1,'來案暨出貨明細表-基因檢測(201904起'!$R:$R,"中英")</f>
        <v>0</v>
      </c>
      <c r="AN6" s="33">
        <f>COUNTIFS('來案暨出貨明細表-基因檢測(201904起'!$P:$P,$A6&amp;"*",'來案暨出貨明細表-基因檢測(201904起'!$B:$B,AN$1)*$B6+COUNTIFS('來案暨出貨明細表-基因檢測(201904起'!$P:$P,$A6&amp;"*",'來案暨出貨明細表-基因檢測(201904起'!$B:$B,AN$1,'來案暨出貨明細表-基因檢測(201904起'!$Q:$Q,"紙本&amp;電子")++COUNTIFS('來案暨出貨明細表-基因檢測(201904起'!$P:$P,$A6&amp;"*",'來案暨出貨明細表-基因檢測(201904起'!$B:$B,AN$1,'來案暨出貨明細表-基因檢測(201904起'!$R:$R,"中英")</f>
        <v>0</v>
      </c>
      <c r="AO6" s="33">
        <f>COUNTIFS('來案暨出貨明細表-基因檢測(201904起'!$P:$P,$A6&amp;"*",'來案暨出貨明細表-基因檢測(201904起'!$B:$B,AO$1)*$B6+COUNTIFS('來案暨出貨明細表-基因檢測(201904起'!$P:$P,$A6&amp;"*",'來案暨出貨明細表-基因檢測(201904起'!$B:$B,AO$1,'來案暨出貨明細表-基因檢測(201904起'!$Q:$Q,"紙本&amp;電子")++COUNTIFS('來案暨出貨明細表-基因檢測(201904起'!$P:$P,$A6&amp;"*",'來案暨出貨明細表-基因檢測(201904起'!$B:$B,AO$1,'來案暨出貨明細表-基因檢測(201904起'!$R:$R,"中英")</f>
        <v>0</v>
      </c>
      <c r="AP6" s="33">
        <f>COUNTIFS('來案暨出貨明細表-基因檢測(201904起'!$P:$P,$A6&amp;"*",'來案暨出貨明細表-基因檢測(201904起'!$B:$B,AP$1)*$B6+COUNTIFS('來案暨出貨明細表-基因檢測(201904起'!$P:$P,$A6&amp;"*",'來案暨出貨明細表-基因檢測(201904起'!$B:$B,AP$1,'來案暨出貨明細表-基因檢測(201904起'!$Q:$Q,"紙本&amp;電子")++COUNTIFS('來案暨出貨明細表-基因檢測(201904起'!$P:$P,$A6&amp;"*",'來案暨出貨明細表-基因檢測(201904起'!$B:$B,AP$1,'來案暨出貨明細表-基因檢測(201904起'!$R:$R,"中英")</f>
        <v>0</v>
      </c>
      <c r="AQ6" s="33">
        <f>COUNTIFS('來案暨出貨明細表-基因檢測(201904起'!$P:$P,$A6&amp;"*",'來案暨出貨明細表-基因檢測(201904起'!$B:$B,AQ$1)*$B6+COUNTIFS('來案暨出貨明細表-基因檢測(201904起'!$P:$P,$A6&amp;"*",'來案暨出貨明細表-基因檢測(201904起'!$B:$B,AQ$1,'來案暨出貨明細表-基因檢測(201904起'!$Q:$Q,"紙本&amp;電子")++COUNTIFS('來案暨出貨明細表-基因檢測(201904起'!$P:$P,$A6&amp;"*",'來案暨出貨明細表-基因檢測(201904起'!$B:$B,AQ$1,'來案暨出貨明細表-基因檢測(201904起'!$R:$R,"中英")</f>
        <v>0</v>
      </c>
      <c r="AR6" s="33">
        <f>COUNTIFS('來案暨出貨明細表-基因檢測(201904起'!$P:$P,$A6&amp;"*",'來案暨出貨明細表-基因檢測(201904起'!$B:$B,AR$1)*$B6+COUNTIFS('來案暨出貨明細表-基因檢測(201904起'!$P:$P,$A6&amp;"*",'來案暨出貨明細表-基因檢測(201904起'!$B:$B,AR$1,'來案暨出貨明細表-基因檢測(201904起'!$Q:$Q,"紙本&amp;電子")++COUNTIFS('來案暨出貨明細表-基因檢測(201904起'!$P:$P,$A6&amp;"*",'來案暨出貨明細表-基因檢測(201904起'!$B:$B,AR$1,'來案暨出貨明細表-基因檢測(201904起'!$R:$R,"中英")</f>
        <v>0</v>
      </c>
      <c r="AS6" s="33">
        <f>COUNTIFS('來案暨出貨明細表-基因檢測(201904起'!$P:$P,$A6&amp;"*",'來案暨出貨明細表-基因檢測(201904起'!$B:$B,AS$1)*$B6+COUNTIFS('來案暨出貨明細表-基因檢測(201904起'!$P:$P,$A6&amp;"*",'來案暨出貨明細表-基因檢測(201904起'!$B:$B,AS$1,'來案暨出貨明細表-基因檢測(201904起'!$Q:$Q,"紙本&amp;電子")++COUNTIFS('來案暨出貨明細表-基因檢測(201904起'!$P:$P,$A6&amp;"*",'來案暨出貨明細表-基因檢測(201904起'!$B:$B,AS$1,'來案暨出貨明細表-基因檢測(201904起'!$R:$R,"中英")</f>
        <v>0</v>
      </c>
      <c r="AT6" s="33">
        <f>COUNTIFS('來案暨出貨明細表-基因檢測(201904起'!$P:$P,$A6&amp;"*",'來案暨出貨明細表-基因檢測(201904起'!$B:$B,AT$1)*$B6+COUNTIFS('來案暨出貨明細表-基因檢測(201904起'!$P:$P,$A6&amp;"*",'來案暨出貨明細表-基因檢測(201904起'!$B:$B,AT$1,'來案暨出貨明細表-基因檢測(201904起'!$Q:$Q,"紙本&amp;電子")++COUNTIFS('來案暨出貨明細表-基因檢測(201904起'!$P:$P,$A6&amp;"*",'來案暨出貨明細表-基因檢測(201904起'!$B:$B,AT$1,'來案暨出貨明細表-基因檢測(201904起'!$R:$R,"中英")</f>
        <v>0</v>
      </c>
      <c r="AU6" s="33">
        <f>COUNTIFS('來案暨出貨明細表-基因檢測(201904起'!$P:$P,$A6&amp;"*",'來案暨出貨明細表-基因檢測(201904起'!$B:$B,AU$1)*$B6+COUNTIFS('來案暨出貨明細表-基因檢測(201904起'!$P:$P,$A6&amp;"*",'來案暨出貨明細表-基因檢測(201904起'!$B:$B,AU$1,'來案暨出貨明細表-基因檢測(201904起'!$Q:$Q,"紙本&amp;電子")++COUNTIFS('來案暨出貨明細表-基因檢測(201904起'!$P:$P,$A6&amp;"*",'來案暨出貨明細表-基因檢測(201904起'!$B:$B,AU$1,'來案暨出貨明細表-基因檢測(201904起'!$R:$R,"中英")</f>
        <v>0</v>
      </c>
      <c r="AV6" s="33">
        <f>COUNTIFS('來案暨出貨明細表-基因檢測(201904起'!$P:$P,$A6&amp;"*",'來案暨出貨明細表-基因檢測(201904起'!$B:$B,AV$1)*$B6+COUNTIFS('來案暨出貨明細表-基因檢測(201904起'!$P:$P,$A6&amp;"*",'來案暨出貨明細表-基因檢測(201904起'!$B:$B,AV$1,'來案暨出貨明細表-基因檢測(201904起'!$Q:$Q,"紙本&amp;電子")++COUNTIFS('來案暨出貨明細表-基因檢測(201904起'!$P:$P,$A6&amp;"*",'來案暨出貨明細表-基因檢測(201904起'!$B:$B,AV$1,'來案暨出貨明細表-基因檢測(201904起'!$R:$R,"中英")</f>
        <v>0</v>
      </c>
      <c r="AW6" s="33">
        <f>COUNTIFS('來案暨出貨明細表-基因檢測(201904起'!$P:$P,$A6&amp;"*",'來案暨出貨明細表-基因檢測(201904起'!$B:$B,AW$1)*$B6+COUNTIFS('來案暨出貨明細表-基因檢測(201904起'!$P:$P,$A6&amp;"*",'來案暨出貨明細表-基因檢測(201904起'!$B:$B,AW$1,'來案暨出貨明細表-基因檢測(201904起'!$Q:$Q,"紙本&amp;電子")++COUNTIFS('來案暨出貨明細表-基因檢測(201904起'!$P:$P,$A6&amp;"*",'來案暨出貨明細表-基因檢測(201904起'!$B:$B,AW$1,'來案暨出貨明細表-基因檢測(201904起'!$R:$R,"中英")</f>
        <v>0</v>
      </c>
      <c r="AX6" s="33">
        <f>COUNTIFS('來案暨出貨明細表-基因檢測(201904起'!$P:$P,$A6&amp;"*",'來案暨出貨明細表-基因檢測(201904起'!$B:$B,AX$1)*$B6+COUNTIFS('來案暨出貨明細表-基因檢測(201904起'!$P:$P,$A6&amp;"*",'來案暨出貨明細表-基因檢測(201904起'!$B:$B,AX$1,'來案暨出貨明細表-基因檢測(201904起'!$Q:$Q,"紙本&amp;電子")++COUNTIFS('來案暨出貨明細表-基因檢測(201904起'!$P:$P,$A6&amp;"*",'來案暨出貨明細表-基因檢測(201904起'!$B:$B,AX$1,'來案暨出貨明細表-基因檢測(201904起'!$R:$R,"中英")</f>
        <v>0</v>
      </c>
      <c r="AY6" s="33">
        <f>COUNTIFS('來案暨出貨明細表-基因檢測(201904起'!$P:$P,$A6&amp;"*",'來案暨出貨明細表-基因檢測(201904起'!$B:$B,AY$1)*$B6+COUNTIFS('來案暨出貨明細表-基因檢測(201904起'!$P:$P,$A6&amp;"*",'來案暨出貨明細表-基因檢測(201904起'!$B:$B,AY$1,'來案暨出貨明細表-基因檢測(201904起'!$Q:$Q,"紙本&amp;電子")++COUNTIFS('來案暨出貨明細表-基因檢測(201904起'!$P:$P,$A6&amp;"*",'來案暨出貨明細表-基因檢測(201904起'!$B:$B,AY$1,'來案暨出貨明細表-基因檢測(201904起'!$R:$R,"中英")</f>
        <v>0</v>
      </c>
      <c r="AZ6" s="33">
        <f>COUNTIFS('來案暨出貨明細表-基因檢測(201904起'!$P:$P,$A6&amp;"*",'來案暨出貨明細表-基因檢測(201904起'!$B:$B,AZ$1)*$B6+COUNTIFS('來案暨出貨明細表-基因檢測(201904起'!$P:$P,$A6&amp;"*",'來案暨出貨明細表-基因檢測(201904起'!$B:$B,AZ$1,'來案暨出貨明細表-基因檢測(201904起'!$Q:$Q,"紙本&amp;電子")++COUNTIFS('來案暨出貨明細表-基因檢測(201904起'!$P:$P,$A6&amp;"*",'來案暨出貨明細表-基因檢測(201904起'!$B:$B,AZ$1,'來案暨出貨明細表-基因檢測(201904起'!$R:$R,"中英")</f>
        <v>0</v>
      </c>
      <c r="BA6" s="33">
        <f>COUNTIFS('來案暨出貨明細表-基因檢測(201904起'!$P:$P,$A6&amp;"*",'來案暨出貨明細表-基因檢測(201904起'!$B:$B,BA$1)*$B6+COUNTIFS('來案暨出貨明細表-基因檢測(201904起'!$P:$P,$A6&amp;"*",'來案暨出貨明細表-基因檢測(201904起'!$B:$B,BA$1,'來案暨出貨明細表-基因檢測(201904起'!$Q:$Q,"紙本&amp;電子")++COUNTIFS('來案暨出貨明細表-基因檢測(201904起'!$P:$P,$A6&amp;"*",'來案暨出貨明細表-基因檢測(201904起'!$B:$B,BA$1,'來案暨出貨明細表-基因檢測(201904起'!$R:$R,"中英")</f>
        <v>0</v>
      </c>
      <c r="BB6" s="33">
        <f>COUNTIFS('來案暨出貨明細表-基因檢測(201904起'!$P:$P,$A6&amp;"*",'來案暨出貨明細表-基因檢測(201904起'!$B:$B,BB$1)*$B6+COUNTIFS('來案暨出貨明細表-基因檢測(201904起'!$P:$P,$A6&amp;"*",'來案暨出貨明細表-基因檢測(201904起'!$B:$B,BB$1,'來案暨出貨明細表-基因檢測(201904起'!$Q:$Q,"紙本&amp;電子")++COUNTIFS('來案暨出貨明細表-基因檢測(201904起'!$P:$P,$A6&amp;"*",'來案暨出貨明細表-基因檢測(201904起'!$B:$B,BB$1,'來案暨出貨明細表-基因檢測(201904起'!$R:$R,"中英")</f>
        <v>0</v>
      </c>
      <c r="BC6" s="33">
        <f>COUNTIFS('來案暨出貨明細表-基因檢測(201904起'!$P:$P,$A6&amp;"*",'來案暨出貨明細表-基因檢測(201904起'!$B:$B,BC$1)*$B6+COUNTIFS('來案暨出貨明細表-基因檢測(201904起'!$P:$P,$A6&amp;"*",'來案暨出貨明細表-基因檢測(201904起'!$B:$B,BC$1,'來案暨出貨明細表-基因檢測(201904起'!$Q:$Q,"紙本&amp;電子")++COUNTIFS('來案暨出貨明細表-基因檢測(201904起'!$P:$P,$A6&amp;"*",'來案暨出貨明細表-基因檢測(201904起'!$B:$B,BC$1,'來案暨出貨明細表-基因檢測(201904起'!$R:$R,"中英")</f>
        <v>0</v>
      </c>
      <c r="BD6" s="33">
        <f>COUNTIFS('來案暨出貨明細表-基因檢測(201904起'!$P:$P,$A6&amp;"*",'來案暨出貨明細表-基因檢測(201904起'!$B:$B,BD$1)*$B6+COUNTIFS('來案暨出貨明細表-基因檢測(201904起'!$P:$P,$A6&amp;"*",'來案暨出貨明細表-基因檢測(201904起'!$B:$B,BD$1,'來案暨出貨明細表-基因檢測(201904起'!$Q:$Q,"紙本&amp;電子")++COUNTIFS('來案暨出貨明細表-基因檢測(201904起'!$P:$P,$A6&amp;"*",'來案暨出貨明細表-基因檢測(201904起'!$B:$B,BD$1,'來案暨出貨明細表-基因檢測(201904起'!$R:$R,"中英")</f>
        <v>0</v>
      </c>
      <c r="BE6" s="33">
        <f>COUNTIFS('來案暨出貨明細表-基因檢測(201904起'!$P:$P,$A6&amp;"*",'來案暨出貨明細表-基因檢測(201904起'!$B:$B,BE$1)*$B6+COUNTIFS('來案暨出貨明細表-基因檢測(201904起'!$P:$P,$A6&amp;"*",'來案暨出貨明細表-基因檢測(201904起'!$B:$B,BE$1,'來案暨出貨明細表-基因檢測(201904起'!$Q:$Q,"紙本&amp;電子")++COUNTIFS('來案暨出貨明細表-基因檢測(201904起'!$P:$P,$A6&amp;"*",'來案暨出貨明細表-基因檢測(201904起'!$B:$B,BE$1,'來案暨出貨明細表-基因檢測(201904起'!$R:$R,"中英")</f>
        <v>0</v>
      </c>
      <c r="BF6" s="33">
        <f>COUNTIFS('來案暨出貨明細表-基因檢測(201904起'!$P:$P,$A6&amp;"*",'來案暨出貨明細表-基因檢測(201904起'!$B:$B,BF$1)*$B6+COUNTIFS('來案暨出貨明細表-基因檢測(201904起'!$P:$P,$A6&amp;"*",'來案暨出貨明細表-基因檢測(201904起'!$B:$B,BF$1,'來案暨出貨明細表-基因檢測(201904起'!$Q:$Q,"紙本&amp;電子")++COUNTIFS('來案暨出貨明細表-基因檢測(201904起'!$P:$P,$A6&amp;"*",'來案暨出貨明細表-基因檢測(201904起'!$B:$B,BF$1,'來案暨出貨明細表-基因檢測(201904起'!$R:$R,"中英")</f>
        <v>0</v>
      </c>
      <c r="BG6" s="33">
        <f>COUNTIFS('來案暨出貨明細表-基因檢測(201904起'!$P:$P,$A6&amp;"*",'來案暨出貨明細表-基因檢測(201904起'!$B:$B,BG$1)*$B6+COUNTIFS('來案暨出貨明細表-基因檢測(201904起'!$P:$P,$A6&amp;"*",'來案暨出貨明細表-基因檢測(201904起'!$B:$B,BG$1,'來案暨出貨明細表-基因檢測(201904起'!$Q:$Q,"紙本&amp;電子")++COUNTIFS('來案暨出貨明細表-基因檢測(201904起'!$P:$P,$A6&amp;"*",'來案暨出貨明細表-基因檢測(201904起'!$B:$B,BG$1,'來案暨出貨明細表-基因檢測(201904起'!$R:$R,"中英")</f>
        <v>0</v>
      </c>
      <c r="BH6" s="33">
        <f>COUNTIFS('來案暨出貨明細表-基因檢測(201904起'!$P:$P,$A6&amp;"*",'來案暨出貨明細表-基因檢測(201904起'!$B:$B,BH$1)*$B6+COUNTIFS('來案暨出貨明細表-基因檢測(201904起'!$P:$P,$A6&amp;"*",'來案暨出貨明細表-基因檢測(201904起'!$B:$B,BH$1,'來案暨出貨明細表-基因檢測(201904起'!$Q:$Q,"紙本&amp;電子")++COUNTIFS('來案暨出貨明細表-基因檢測(201904起'!$P:$P,$A6&amp;"*",'來案暨出貨明細表-基因檢測(201904起'!$B:$B,BH$1,'來案暨出貨明細表-基因檢測(201904起'!$R:$R,"中英")</f>
        <v>0</v>
      </c>
      <c r="BI6" s="33">
        <f>COUNTIFS('來案暨出貨明細表-基因檢測(201904起'!$P:$P,$A6&amp;"*",'來案暨出貨明細表-基因檢測(201904起'!$B:$B,BI$1)*$B6+COUNTIFS('來案暨出貨明細表-基因檢測(201904起'!$P:$P,$A6&amp;"*",'來案暨出貨明細表-基因檢測(201904起'!$B:$B,BI$1,'來案暨出貨明細表-基因檢測(201904起'!$Q:$Q,"紙本&amp;電子")++COUNTIFS('來案暨出貨明細表-基因檢測(201904起'!$P:$P,$A6&amp;"*",'來案暨出貨明細表-基因檢測(201904起'!$B:$B,BI$1,'來案暨出貨明細表-基因檢測(201904起'!$R:$R,"中英")</f>
        <v>0</v>
      </c>
      <c r="BJ6" s="33">
        <f>COUNTIFS('來案暨出貨明細表-基因檢測(201904起'!$P:$P,$A6&amp;"*",'來案暨出貨明細表-基因檢測(201904起'!$B:$B,BJ$1)*$B6+COUNTIFS('來案暨出貨明細表-基因檢測(201904起'!$P:$P,$A6&amp;"*",'來案暨出貨明細表-基因檢測(201904起'!$B:$B,BJ$1,'來案暨出貨明細表-基因檢測(201904起'!$Q:$Q,"紙本&amp;電子")++COUNTIFS('來案暨出貨明細表-基因檢測(201904起'!$P:$P,$A6&amp;"*",'來案暨出貨明細表-基因檢測(201904起'!$B:$B,BJ$1,'來案暨出貨明細表-基因檢測(201904起'!$R:$R,"中英")</f>
        <v>0</v>
      </c>
      <c r="BK6" s="33">
        <f>COUNTIFS('來案暨出貨明細表-基因檢測(201904起'!$P:$P,$A6&amp;"*",'來案暨出貨明細表-基因檢測(201904起'!$B:$B,BK$1)*$B6+COUNTIFS('來案暨出貨明細表-基因檢測(201904起'!$P:$P,$A6&amp;"*",'來案暨出貨明細表-基因檢測(201904起'!$B:$B,BK$1,'來案暨出貨明細表-基因檢測(201904起'!$Q:$Q,"紙本&amp;電子")++COUNTIFS('來案暨出貨明細表-基因檢測(201904起'!$P:$P,$A6&amp;"*",'來案暨出貨明細表-基因檢測(201904起'!$B:$B,BK$1,'來案暨出貨明細表-基因檢測(201904起'!$R:$R,"中英")</f>
        <v>0</v>
      </c>
    </row>
    <row r="7" spans="1:63" ht="15" customHeight="1">
      <c r="A7" s="166" t="s">
        <v>2863</v>
      </c>
      <c r="B7" s="167">
        <v>2</v>
      </c>
      <c r="C7" s="168" t="s">
        <v>2864</v>
      </c>
      <c r="D7" s="169" t="s">
        <v>2865</v>
      </c>
      <c r="E7" s="162">
        <v>0</v>
      </c>
      <c r="F7" s="162">
        <v>0</v>
      </c>
      <c r="G7" s="162">
        <v>0</v>
      </c>
      <c r="H7" s="162">
        <v>0</v>
      </c>
      <c r="I7" s="162">
        <v>0</v>
      </c>
      <c r="J7" s="162">
        <v>0</v>
      </c>
      <c r="K7" s="162">
        <v>0</v>
      </c>
      <c r="L7" s="162">
        <v>0</v>
      </c>
      <c r="M7" s="162">
        <v>0</v>
      </c>
      <c r="N7" s="162">
        <v>0</v>
      </c>
      <c r="O7" s="162">
        <v>0</v>
      </c>
      <c r="P7" s="162">
        <v>0</v>
      </c>
      <c r="Q7" s="162">
        <v>0</v>
      </c>
      <c r="R7" s="162">
        <v>0</v>
      </c>
      <c r="S7" s="162">
        <v>0</v>
      </c>
      <c r="T7" s="162">
        <v>0</v>
      </c>
      <c r="U7" s="162">
        <v>0</v>
      </c>
      <c r="V7" s="162">
        <v>0</v>
      </c>
      <c r="W7" s="162">
        <v>0</v>
      </c>
      <c r="X7" s="162">
        <v>0</v>
      </c>
      <c r="Y7" s="162">
        <v>0</v>
      </c>
      <c r="Z7" s="162">
        <v>0</v>
      </c>
      <c r="AA7" s="162">
        <v>0</v>
      </c>
      <c r="AB7" s="162">
        <v>0</v>
      </c>
      <c r="AC7" s="162">
        <v>0</v>
      </c>
      <c r="AD7" s="162">
        <v>0</v>
      </c>
      <c r="AE7" s="162">
        <v>0</v>
      </c>
      <c r="AF7" s="162">
        <v>0</v>
      </c>
      <c r="AG7" s="162">
        <v>0</v>
      </c>
      <c r="AH7" s="162">
        <v>0</v>
      </c>
      <c r="AI7" s="162">
        <v>0</v>
      </c>
      <c r="AJ7" s="170">
        <v>0</v>
      </c>
      <c r="AK7" s="33">
        <f>COUNTIFS('來案暨出貨明細表-基因檢測(201904起'!$P:$P,$A7&amp;"*",'來案暨出貨明細表-基因檢測(201904起'!$B:$B,AK$1)*$B7+COUNTIFS('來案暨出貨明細表-基因檢測(201904起'!$P:$P,$A7&amp;"*",'來案暨出貨明細表-基因檢測(201904起'!$B:$B,AK$1,'來案暨出貨明細表-基因檢測(201904起'!$Q:$Q,"紙本&amp;電子")++COUNTIFS('來案暨出貨明細表-基因檢測(201904起'!$P:$P,$A7&amp;"*",'來案暨出貨明細表-基因檢測(201904起'!$B:$B,AK$1,'來案暨出貨明細表-基因檢測(201904起'!$R:$R,"中英")-COUNTIFS('來案暨出貨明細表-基因檢測(201904起'!$P:$P,$A9&amp;"*",'來案暨出貨明細表-基因檢測(201904起'!$B:$B,AK$1)*$B9</f>
        <v>0</v>
      </c>
      <c r="AL7" s="33">
        <f>COUNTIFS('來案暨出貨明細表-基因檢測(201904起'!$P:$P,$A7&amp;"*",'來案暨出貨明細表-基因檢測(201904起'!$B:$B,AL$1)*$B7+COUNTIFS('來案暨出貨明細表-基因檢測(201904起'!$P:$P,$A7&amp;"*",'來案暨出貨明細表-基因檢測(201904起'!$B:$B,AL$1,'來案暨出貨明細表-基因檢測(201904起'!$Q:$Q,"紙本&amp;電子")++COUNTIFS('來案暨出貨明細表-基因檢測(201904起'!$P:$P,$A7&amp;"*",'來案暨出貨明細表-基因檢測(201904起'!$B:$B,AL$1,'來案暨出貨明細表-基因檢測(201904起'!$R:$R,"中英")-COUNTIFS('來案暨出貨明細表-基因檢測(201904起'!$P:$P,$A9&amp;"*",'來案暨出貨明細表-基因檢測(201904起'!$B:$B,AL$1)*$B9</f>
        <v>0</v>
      </c>
      <c r="AM7" s="33">
        <f>COUNTIFS('來案暨出貨明細表-基因檢測(201904起'!$P:$P,$A7&amp;"*",'來案暨出貨明細表-基因檢測(201904起'!$B:$B,AM$1)*$B7+COUNTIFS('來案暨出貨明細表-基因檢測(201904起'!$P:$P,$A7&amp;"*",'來案暨出貨明細表-基因檢測(201904起'!$B:$B,AM$1,'來案暨出貨明細表-基因檢測(201904起'!$Q:$Q,"紙本&amp;電子")++COUNTIFS('來案暨出貨明細表-基因檢測(201904起'!$P:$P,$A7&amp;"*",'來案暨出貨明細表-基因檢測(201904起'!$B:$B,AM$1,'來案暨出貨明細表-基因檢測(201904起'!$R:$R,"中英")-COUNTIFS('來案暨出貨明細表-基因檢測(201904起'!$P:$P,$A9&amp;"*",'來案暨出貨明細表-基因檢測(201904起'!$B:$B,AM$1)*$B9</f>
        <v>0</v>
      </c>
      <c r="AN7" s="33">
        <f>COUNTIFS('來案暨出貨明細表-基因檢測(201904起'!$P:$P,$A7&amp;"*",'來案暨出貨明細表-基因檢測(201904起'!$B:$B,AN$1)*$B7+COUNTIFS('來案暨出貨明細表-基因檢測(201904起'!$P:$P,$A7&amp;"*",'來案暨出貨明細表-基因檢測(201904起'!$B:$B,AN$1,'來案暨出貨明細表-基因檢測(201904起'!$Q:$Q,"紙本&amp;電子")++COUNTIFS('來案暨出貨明細表-基因檢測(201904起'!$P:$P,$A7&amp;"*",'來案暨出貨明細表-基因檢測(201904起'!$B:$B,AN$1,'來案暨出貨明細表-基因檢測(201904起'!$R:$R,"中英")-COUNTIFS('來案暨出貨明細表-基因檢測(201904起'!$P:$P,$A9&amp;"*",'來案暨出貨明細表-基因檢測(201904起'!$B:$B,AN$1)*$B9</f>
        <v>0</v>
      </c>
      <c r="AO7" s="33">
        <f>COUNTIFS('來案暨出貨明細表-基因檢測(201904起'!$P:$P,$A7&amp;"*",'來案暨出貨明細表-基因檢測(201904起'!$B:$B,AO$1)*$B7+COUNTIFS('來案暨出貨明細表-基因檢測(201904起'!$P:$P,$A7&amp;"*",'來案暨出貨明細表-基因檢測(201904起'!$B:$B,AO$1,'來案暨出貨明細表-基因檢測(201904起'!$Q:$Q,"紙本&amp;電子")++COUNTIFS('來案暨出貨明細表-基因檢測(201904起'!$P:$P,$A7&amp;"*",'來案暨出貨明細表-基因檢測(201904起'!$B:$B,AO$1,'來案暨出貨明細表-基因檢測(201904起'!$R:$R,"中英")-COUNTIFS('來案暨出貨明細表-基因檢測(201904起'!$P:$P,$A9&amp;"*",'來案暨出貨明細表-基因檢測(201904起'!$B:$B,AO$1)*$B9</f>
        <v>0</v>
      </c>
      <c r="AP7" s="33">
        <f>COUNTIFS('來案暨出貨明細表-基因檢測(201904起'!$P:$P,$A7&amp;"*",'來案暨出貨明細表-基因檢測(201904起'!$B:$B,AP$1)*$B7+COUNTIFS('來案暨出貨明細表-基因檢測(201904起'!$P:$P,$A7&amp;"*",'來案暨出貨明細表-基因檢測(201904起'!$B:$B,AP$1,'來案暨出貨明細表-基因檢測(201904起'!$Q:$Q,"紙本&amp;電子")++COUNTIFS('來案暨出貨明細表-基因檢測(201904起'!$P:$P,$A7&amp;"*",'來案暨出貨明細表-基因檢測(201904起'!$B:$B,AP$1,'來案暨出貨明細表-基因檢測(201904起'!$R:$R,"中英")-COUNTIFS('來案暨出貨明細表-基因檢測(201904起'!$P:$P,$A9&amp;"*",'來案暨出貨明細表-基因檢測(201904起'!$B:$B,AP$1)*$B9</f>
        <v>0</v>
      </c>
      <c r="AQ7" s="33">
        <f>COUNTIFS('來案暨出貨明細表-基因檢測(201904起'!$P:$P,$A7&amp;"*",'來案暨出貨明細表-基因檢測(201904起'!$B:$B,AQ$1)*$B7+COUNTIFS('來案暨出貨明細表-基因檢測(201904起'!$P:$P,$A7&amp;"*",'來案暨出貨明細表-基因檢測(201904起'!$B:$B,AQ$1,'來案暨出貨明細表-基因檢測(201904起'!$Q:$Q,"紙本&amp;電子")++COUNTIFS('來案暨出貨明細表-基因檢測(201904起'!$P:$P,$A7&amp;"*",'來案暨出貨明細表-基因檢測(201904起'!$B:$B,AQ$1,'來案暨出貨明細表-基因檢測(201904起'!$R:$R,"中英")-COUNTIFS('來案暨出貨明細表-基因檢測(201904起'!$P:$P,$A9&amp;"*",'來案暨出貨明細表-基因檢測(201904起'!$B:$B,AQ$1)*$B9</f>
        <v>3</v>
      </c>
      <c r="AR7" s="33">
        <f>COUNTIFS('來案暨出貨明細表-基因檢測(201904起'!$P:$P,$A7&amp;"*",'來案暨出貨明細表-基因檢測(201904起'!$B:$B,AR$1)*$B7+COUNTIFS('來案暨出貨明細表-基因檢測(201904起'!$P:$P,$A7&amp;"*",'來案暨出貨明細表-基因檢測(201904起'!$B:$B,AR$1,'來案暨出貨明細表-基因檢測(201904起'!$Q:$Q,"紙本&amp;電子")++COUNTIFS('來案暨出貨明細表-基因檢測(201904起'!$P:$P,$A7&amp;"*",'來案暨出貨明細表-基因檢測(201904起'!$B:$B,AR$1,'來案暨出貨明細表-基因檢測(201904起'!$R:$R,"中英")-COUNTIFS('來案暨出貨明細表-基因檢測(201904起'!$P:$P,$A9&amp;"*",'來案暨出貨明細表-基因檢測(201904起'!$B:$B,AR$1)*$B9</f>
        <v>0</v>
      </c>
      <c r="AS7" s="33">
        <f>COUNTIFS('來案暨出貨明細表-基因檢測(201904起'!$P:$P,$A7&amp;"*",'來案暨出貨明細表-基因檢測(201904起'!$B:$B,AS$1)*$B7+COUNTIFS('來案暨出貨明細表-基因檢測(201904起'!$P:$P,$A7&amp;"*",'來案暨出貨明細表-基因檢測(201904起'!$B:$B,AS$1,'來案暨出貨明細表-基因檢測(201904起'!$Q:$Q,"紙本&amp;電子")++COUNTIFS('來案暨出貨明細表-基因檢測(201904起'!$P:$P,$A7&amp;"*",'來案暨出貨明細表-基因檢測(201904起'!$B:$B,AS$1,'來案暨出貨明細表-基因檢測(201904起'!$R:$R,"中英")-COUNTIFS('來案暨出貨明細表-基因檢測(201904起'!$P:$P,$A9&amp;"*",'來案暨出貨明細表-基因檢測(201904起'!$B:$B,AS$1)*$B9</f>
        <v>0</v>
      </c>
      <c r="AT7" s="33">
        <f>COUNTIFS('來案暨出貨明細表-基因檢測(201904起'!$P:$P,$A7&amp;"*",'來案暨出貨明細表-基因檢測(201904起'!$B:$B,AT$1)*$B7+COUNTIFS('來案暨出貨明細表-基因檢測(201904起'!$P:$P,$A7&amp;"*",'來案暨出貨明細表-基因檢測(201904起'!$B:$B,AT$1,'來案暨出貨明細表-基因檢測(201904起'!$Q:$Q,"紙本&amp;電子")++COUNTIFS('來案暨出貨明細表-基因檢測(201904起'!$P:$P,$A7&amp;"*",'來案暨出貨明細表-基因檢測(201904起'!$B:$B,AT$1,'來案暨出貨明細表-基因檢測(201904起'!$R:$R,"中英")-COUNTIFS('來案暨出貨明細表-基因檢測(201904起'!$P:$P,$A9&amp;"*",'來案暨出貨明細表-基因檢測(201904起'!$B:$B,AT$1)*$B9</f>
        <v>0</v>
      </c>
      <c r="AU7" s="33">
        <f>COUNTIFS('來案暨出貨明細表-基因檢測(201904起'!$P:$P,$A7&amp;"*",'來案暨出貨明細表-基因檢測(201904起'!$B:$B,AU$1)*$B7+COUNTIFS('來案暨出貨明細表-基因檢測(201904起'!$P:$P,$A7&amp;"*",'來案暨出貨明細表-基因檢測(201904起'!$B:$B,AU$1,'來案暨出貨明細表-基因檢測(201904起'!$Q:$Q,"紙本&amp;電子")++COUNTIFS('來案暨出貨明細表-基因檢測(201904起'!$P:$P,$A7&amp;"*",'來案暨出貨明細表-基因檢測(201904起'!$B:$B,AU$1,'來案暨出貨明細表-基因檢測(201904起'!$R:$R,"中英")-COUNTIFS('來案暨出貨明細表-基因檢測(201904起'!$P:$P,$A9&amp;"*",'來案暨出貨明細表-基因檢測(201904起'!$B:$B,AU$1)*$B9</f>
        <v>0</v>
      </c>
      <c r="AV7" s="33">
        <f>COUNTIFS('來案暨出貨明細表-基因檢測(201904起'!$P:$P,$A7&amp;"*",'來案暨出貨明細表-基因檢測(201904起'!$B:$B,AV$1)*$B7+COUNTIFS('來案暨出貨明細表-基因檢測(201904起'!$P:$P,$A7&amp;"*",'來案暨出貨明細表-基因檢測(201904起'!$B:$B,AV$1,'來案暨出貨明細表-基因檢測(201904起'!$Q:$Q,"紙本&amp;電子")++COUNTIFS('來案暨出貨明細表-基因檢測(201904起'!$P:$P,$A7&amp;"*",'來案暨出貨明細表-基因檢測(201904起'!$B:$B,AV$1,'來案暨出貨明細表-基因檢測(201904起'!$R:$R,"中英")-COUNTIFS('來案暨出貨明細表-基因檢測(201904起'!$P:$P,$A9&amp;"*",'來案暨出貨明細表-基因檢測(201904起'!$B:$B,AV$1)*$B9</f>
        <v>0</v>
      </c>
      <c r="AW7" s="33">
        <f>COUNTIFS('來案暨出貨明細表-基因檢測(201904起'!$P:$P,$A7&amp;"*",'來案暨出貨明細表-基因檢測(201904起'!$B:$B,AW$1)*$B7+COUNTIFS('來案暨出貨明細表-基因檢測(201904起'!$P:$P,$A7&amp;"*",'來案暨出貨明細表-基因檢測(201904起'!$B:$B,AW$1,'來案暨出貨明細表-基因檢測(201904起'!$Q:$Q,"紙本&amp;電子")++COUNTIFS('來案暨出貨明細表-基因檢測(201904起'!$P:$P,$A7&amp;"*",'來案暨出貨明細表-基因檢測(201904起'!$B:$B,AW$1,'來案暨出貨明細表-基因檢測(201904起'!$R:$R,"中英")-COUNTIFS('來案暨出貨明細表-基因檢測(201904起'!$P:$P,$A9&amp;"*",'來案暨出貨明細表-基因檢測(201904起'!$B:$B,AW$1)*$B9</f>
        <v>0</v>
      </c>
      <c r="AX7" s="33">
        <f>COUNTIFS('來案暨出貨明細表-基因檢測(201904起'!$P:$P,$A7&amp;"*",'來案暨出貨明細表-基因檢測(201904起'!$B:$B,AX$1)*$B7+COUNTIFS('來案暨出貨明細表-基因檢測(201904起'!$P:$P,$A7&amp;"*",'來案暨出貨明細表-基因檢測(201904起'!$B:$B,AX$1,'來案暨出貨明細表-基因檢測(201904起'!$Q:$Q,"紙本&amp;電子")++COUNTIFS('來案暨出貨明細表-基因檢測(201904起'!$P:$P,$A7&amp;"*",'來案暨出貨明細表-基因檢測(201904起'!$B:$B,AX$1,'來案暨出貨明細表-基因檢測(201904起'!$R:$R,"中英")-COUNTIFS('來案暨出貨明細表-基因檢測(201904起'!$P:$P,$A9&amp;"*",'來案暨出貨明細表-基因檢測(201904起'!$B:$B,AX$1)*$B9</f>
        <v>0</v>
      </c>
      <c r="AY7" s="33">
        <f>COUNTIFS('來案暨出貨明細表-基因檢測(201904起'!$P:$P,$A7&amp;"*",'來案暨出貨明細表-基因檢測(201904起'!$B:$B,AY$1)*$B7+COUNTIFS('來案暨出貨明細表-基因檢測(201904起'!$P:$P,$A7&amp;"*",'來案暨出貨明細表-基因檢測(201904起'!$B:$B,AY$1,'來案暨出貨明細表-基因檢測(201904起'!$Q:$Q,"紙本&amp;電子")++COUNTIFS('來案暨出貨明細表-基因檢測(201904起'!$P:$P,$A7&amp;"*",'來案暨出貨明細表-基因檢測(201904起'!$B:$B,AY$1,'來案暨出貨明細表-基因檢測(201904起'!$R:$R,"中英")-COUNTIFS('來案暨出貨明細表-基因檢測(201904起'!$P:$P,$A9&amp;"*",'來案暨出貨明細表-基因檢測(201904起'!$B:$B,AY$1)*$B9</f>
        <v>0</v>
      </c>
      <c r="AZ7" s="33">
        <f>COUNTIFS('來案暨出貨明細表-基因檢測(201904起'!$P:$P,$A7&amp;"*",'來案暨出貨明細表-基因檢測(201904起'!$B:$B,AZ$1)*$B7+COUNTIFS('來案暨出貨明細表-基因檢測(201904起'!$P:$P,$A7&amp;"*",'來案暨出貨明細表-基因檢測(201904起'!$B:$B,AZ$1,'來案暨出貨明細表-基因檢測(201904起'!$Q:$Q,"紙本&amp;電子")++COUNTIFS('來案暨出貨明細表-基因檢測(201904起'!$P:$P,$A7&amp;"*",'來案暨出貨明細表-基因檢測(201904起'!$B:$B,AZ$1,'來案暨出貨明細表-基因檢測(201904起'!$R:$R,"中英")-COUNTIFS('來案暨出貨明細表-基因檢測(201904起'!$P:$P,$A9&amp;"*",'來案暨出貨明細表-基因檢測(201904起'!$B:$B,AZ$1)*$B9</f>
        <v>0</v>
      </c>
      <c r="BA7" s="33">
        <f>COUNTIFS('來案暨出貨明細表-基因檢測(201904起'!$P:$P,$A7&amp;"*",'來案暨出貨明細表-基因檢測(201904起'!$B:$B,BA$1)*$B7+COUNTIFS('來案暨出貨明細表-基因檢測(201904起'!$P:$P,$A7&amp;"*",'來案暨出貨明細表-基因檢測(201904起'!$B:$B,BA$1,'來案暨出貨明細表-基因檢測(201904起'!$Q:$Q,"紙本&amp;電子")++COUNTIFS('來案暨出貨明細表-基因檢測(201904起'!$P:$P,$A7&amp;"*",'來案暨出貨明細表-基因檢測(201904起'!$B:$B,BA$1,'來案暨出貨明細表-基因檢測(201904起'!$R:$R,"中英")-COUNTIFS('來案暨出貨明細表-基因檢測(201904起'!$P:$P,$A9&amp;"*",'來案暨出貨明細表-基因檢測(201904起'!$B:$B,BA$1)*$B9</f>
        <v>0</v>
      </c>
      <c r="BB7" s="33">
        <f>COUNTIFS('來案暨出貨明細表-基因檢測(201904起'!$P:$P,$A7&amp;"*",'來案暨出貨明細表-基因檢測(201904起'!$B:$B,BB$1)*$B7+COUNTIFS('來案暨出貨明細表-基因檢測(201904起'!$P:$P,$A7&amp;"*",'來案暨出貨明細表-基因檢測(201904起'!$B:$B,BB$1,'來案暨出貨明細表-基因檢測(201904起'!$Q:$Q,"紙本&amp;電子")++COUNTIFS('來案暨出貨明細表-基因檢測(201904起'!$P:$P,$A7&amp;"*",'來案暨出貨明細表-基因檢測(201904起'!$B:$B,BB$1,'來案暨出貨明細表-基因檢測(201904起'!$R:$R,"中英")-COUNTIFS('來案暨出貨明細表-基因檢測(201904起'!$P:$P,$A9&amp;"*",'來案暨出貨明細表-基因檢測(201904起'!$B:$B,BB$1)*$B9</f>
        <v>0</v>
      </c>
      <c r="BC7" s="33">
        <f>COUNTIFS('來案暨出貨明細表-基因檢測(201904起'!$P:$P,$A7&amp;"*",'來案暨出貨明細表-基因檢測(201904起'!$B:$B,BC$1)*$B7+COUNTIFS('來案暨出貨明細表-基因檢測(201904起'!$P:$P,$A7&amp;"*",'來案暨出貨明細表-基因檢測(201904起'!$B:$B,BC$1,'來案暨出貨明細表-基因檢測(201904起'!$Q:$Q,"紙本&amp;電子")++COUNTIFS('來案暨出貨明細表-基因檢測(201904起'!$P:$P,$A7&amp;"*",'來案暨出貨明細表-基因檢測(201904起'!$B:$B,BC$1,'來案暨出貨明細表-基因檢測(201904起'!$R:$R,"中英")-COUNTIFS('來案暨出貨明細表-基因檢測(201904起'!$P:$P,$A9&amp;"*",'來案暨出貨明細表-基因檢測(201904起'!$B:$B,BC$1)*$B9</f>
        <v>0</v>
      </c>
      <c r="BD7" s="33">
        <f>COUNTIFS('來案暨出貨明細表-基因檢測(201904起'!$P:$P,$A7&amp;"*",'來案暨出貨明細表-基因檢測(201904起'!$B:$B,BD$1)*$B7+COUNTIFS('來案暨出貨明細表-基因檢測(201904起'!$P:$P,$A7&amp;"*",'來案暨出貨明細表-基因檢測(201904起'!$B:$B,BD$1,'來案暨出貨明細表-基因檢測(201904起'!$Q:$Q,"紙本&amp;電子")++COUNTIFS('來案暨出貨明細表-基因檢測(201904起'!$P:$P,$A7&amp;"*",'來案暨出貨明細表-基因檢測(201904起'!$B:$B,BD$1,'來案暨出貨明細表-基因檢測(201904起'!$R:$R,"中英")-COUNTIFS('來案暨出貨明細表-基因檢測(201904起'!$P:$P,$A9&amp;"*",'來案暨出貨明細表-基因檢測(201904起'!$B:$B,BD$1)*$B9</f>
        <v>0</v>
      </c>
      <c r="BE7" s="33">
        <f>COUNTIFS('來案暨出貨明細表-基因檢測(201904起'!$P:$P,$A7&amp;"*",'來案暨出貨明細表-基因檢測(201904起'!$B:$B,BE$1)*$B7+COUNTIFS('來案暨出貨明細表-基因檢測(201904起'!$P:$P,$A7&amp;"*",'來案暨出貨明細表-基因檢測(201904起'!$B:$B,BE$1,'來案暨出貨明細表-基因檢測(201904起'!$Q:$Q,"紙本&amp;電子")++COUNTIFS('來案暨出貨明細表-基因檢測(201904起'!$P:$P,$A7&amp;"*",'來案暨出貨明細表-基因檢測(201904起'!$B:$B,BE$1,'來案暨出貨明細表-基因檢測(201904起'!$R:$R,"中英")-COUNTIFS('來案暨出貨明細表-基因檢測(201904起'!$P:$P,$A9&amp;"*",'來案暨出貨明細表-基因檢測(201904起'!$B:$B,BE$1)*$B9</f>
        <v>0</v>
      </c>
      <c r="BF7" s="33">
        <f>COUNTIFS('來案暨出貨明細表-基因檢測(201904起'!$P:$P,$A7&amp;"*",'來案暨出貨明細表-基因檢測(201904起'!$B:$B,BF$1)*$B7+COUNTIFS('來案暨出貨明細表-基因檢測(201904起'!$P:$P,$A7&amp;"*",'來案暨出貨明細表-基因檢測(201904起'!$B:$B,BF$1,'來案暨出貨明細表-基因檢測(201904起'!$Q:$Q,"紙本&amp;電子")++COUNTIFS('來案暨出貨明細表-基因檢測(201904起'!$P:$P,$A7&amp;"*",'來案暨出貨明細表-基因檢測(201904起'!$B:$B,BF$1,'來案暨出貨明細表-基因檢測(201904起'!$R:$R,"中英")-COUNTIFS('來案暨出貨明細表-基因檢測(201904起'!$P:$P,$A9&amp;"*",'來案暨出貨明細表-基因檢測(201904起'!$B:$B,BF$1)*$B9</f>
        <v>0</v>
      </c>
      <c r="BG7" s="33">
        <f>COUNTIFS('來案暨出貨明細表-基因檢測(201904起'!$P:$P,$A7&amp;"*",'來案暨出貨明細表-基因檢測(201904起'!$B:$B,BG$1)*$B7+COUNTIFS('來案暨出貨明細表-基因檢測(201904起'!$P:$P,$A7&amp;"*",'來案暨出貨明細表-基因檢測(201904起'!$B:$B,BG$1,'來案暨出貨明細表-基因檢測(201904起'!$Q:$Q,"紙本&amp;電子")++COUNTIFS('來案暨出貨明細表-基因檢測(201904起'!$P:$P,$A7&amp;"*",'來案暨出貨明細表-基因檢測(201904起'!$B:$B,BG$1,'來案暨出貨明細表-基因檢測(201904起'!$R:$R,"中英")-COUNTIFS('來案暨出貨明細表-基因檢測(201904起'!$P:$P,$A9&amp;"*",'來案暨出貨明細表-基因檢測(201904起'!$B:$B,BG$1)*$B9</f>
        <v>0</v>
      </c>
      <c r="BH7" s="33">
        <f>COUNTIFS('來案暨出貨明細表-基因檢測(201904起'!$P:$P,$A7&amp;"*",'來案暨出貨明細表-基因檢測(201904起'!$B:$B,BH$1)*$B7+COUNTIFS('來案暨出貨明細表-基因檢測(201904起'!$P:$P,$A7&amp;"*",'來案暨出貨明細表-基因檢測(201904起'!$B:$B,BH$1,'來案暨出貨明細表-基因檢測(201904起'!$Q:$Q,"紙本&amp;電子")++COUNTIFS('來案暨出貨明細表-基因檢測(201904起'!$P:$P,$A7&amp;"*",'來案暨出貨明細表-基因檢測(201904起'!$B:$B,BH$1,'來案暨出貨明細表-基因檢測(201904起'!$R:$R,"中英")-COUNTIFS('來案暨出貨明細表-基因檢測(201904起'!$P:$P,$A9&amp;"*",'來案暨出貨明細表-基因檢測(201904起'!$B:$B,BH$1)*$B9</f>
        <v>0</v>
      </c>
      <c r="BI7" s="33">
        <f>COUNTIFS('來案暨出貨明細表-基因檢測(201904起'!$P:$P,$A7&amp;"*",'來案暨出貨明細表-基因檢測(201904起'!$B:$B,BI$1)*$B7+COUNTIFS('來案暨出貨明細表-基因檢測(201904起'!$P:$P,$A7&amp;"*",'來案暨出貨明細表-基因檢測(201904起'!$B:$B,BI$1,'來案暨出貨明細表-基因檢測(201904起'!$Q:$Q,"紙本&amp;電子")++COUNTIFS('來案暨出貨明細表-基因檢測(201904起'!$P:$P,$A7&amp;"*",'來案暨出貨明細表-基因檢測(201904起'!$B:$B,BI$1,'來案暨出貨明細表-基因檢測(201904起'!$R:$R,"中英")-COUNTIFS('來案暨出貨明細表-基因檢測(201904起'!$P:$P,$A9&amp;"*",'來案暨出貨明細表-基因檢測(201904起'!$B:$B,BI$1)*$B9</f>
        <v>0</v>
      </c>
      <c r="BJ7" s="33">
        <f>COUNTIFS('來案暨出貨明細表-基因檢測(201904起'!$P:$P,$A7&amp;"*",'來案暨出貨明細表-基因檢測(201904起'!$B:$B,BJ$1)*$B7+COUNTIFS('來案暨出貨明細表-基因檢測(201904起'!$P:$P,$A7&amp;"*",'來案暨出貨明細表-基因檢測(201904起'!$B:$B,BJ$1,'來案暨出貨明細表-基因檢測(201904起'!$Q:$Q,"紙本&amp;電子")++COUNTIFS('來案暨出貨明細表-基因檢測(201904起'!$P:$P,$A7&amp;"*",'來案暨出貨明細表-基因檢測(201904起'!$B:$B,BJ$1,'來案暨出貨明細表-基因檢測(201904起'!$R:$R,"中英")-COUNTIFS('來案暨出貨明細表-基因檢測(201904起'!$P:$P,$A9&amp;"*",'來案暨出貨明細表-基因檢測(201904起'!$B:$B,BJ$1)*$B9</f>
        <v>0</v>
      </c>
      <c r="BK7" s="33">
        <f>COUNTIFS('來案暨出貨明細表-基因檢測(201904起'!$P:$P,$A7&amp;"*",'來案暨出貨明細表-基因檢測(201904起'!$B:$B,BK$1)*$B7+COUNTIFS('來案暨出貨明細表-基因檢測(201904起'!$P:$P,$A7&amp;"*",'來案暨出貨明細表-基因檢測(201904起'!$B:$B,BK$1,'來案暨出貨明細表-基因檢測(201904起'!$Q:$Q,"紙本&amp;電子")++COUNTIFS('來案暨出貨明細表-基因檢測(201904起'!$P:$P,$A7&amp;"*",'來案暨出貨明細表-基因檢測(201904起'!$B:$B,BK$1,'來案暨出貨明細表-基因檢測(201904起'!$R:$R,"中英")-COUNTIFS('來案暨出貨明細表-基因檢測(201904起'!$P:$P,$A9&amp;"*",'來案暨出貨明細表-基因檢測(201904起'!$B:$B,BK$1)*$B9</f>
        <v>0</v>
      </c>
    </row>
    <row r="8" spans="1:63" ht="15" customHeight="1">
      <c r="A8" s="166" t="s">
        <v>3217</v>
      </c>
      <c r="B8" s="167">
        <v>2</v>
      </c>
      <c r="C8" s="168" t="s">
        <v>3218</v>
      </c>
      <c r="D8" s="169" t="s">
        <v>3219</v>
      </c>
      <c r="E8" s="162">
        <v>0</v>
      </c>
      <c r="F8" s="162">
        <v>0</v>
      </c>
      <c r="G8" s="162">
        <v>0</v>
      </c>
      <c r="H8" s="162">
        <v>0</v>
      </c>
      <c r="I8" s="162">
        <v>0</v>
      </c>
      <c r="J8" s="162">
        <v>0</v>
      </c>
      <c r="K8" s="162">
        <v>0</v>
      </c>
      <c r="L8" s="162">
        <v>0</v>
      </c>
      <c r="M8" s="162">
        <v>0</v>
      </c>
      <c r="N8" s="162">
        <v>0</v>
      </c>
      <c r="O8" s="162">
        <v>0</v>
      </c>
      <c r="P8" s="162">
        <v>0</v>
      </c>
      <c r="Q8" s="162">
        <v>0</v>
      </c>
      <c r="R8" s="162">
        <v>0</v>
      </c>
      <c r="S8" s="162">
        <v>0</v>
      </c>
      <c r="T8" s="162">
        <v>0</v>
      </c>
      <c r="U8" s="162">
        <v>0</v>
      </c>
      <c r="V8" s="162">
        <v>0</v>
      </c>
      <c r="W8" s="162">
        <v>0</v>
      </c>
      <c r="X8" s="162">
        <v>0</v>
      </c>
      <c r="Y8" s="162">
        <v>0</v>
      </c>
      <c r="Z8" s="162">
        <v>0</v>
      </c>
      <c r="AA8" s="162">
        <v>0</v>
      </c>
      <c r="AB8" s="162">
        <v>0</v>
      </c>
      <c r="AC8" s="162">
        <v>0</v>
      </c>
      <c r="AD8" s="162">
        <v>0</v>
      </c>
      <c r="AE8" s="162">
        <v>0</v>
      </c>
      <c r="AF8" s="162">
        <v>0</v>
      </c>
      <c r="AG8" s="162">
        <v>0</v>
      </c>
      <c r="AH8" s="162">
        <v>0</v>
      </c>
      <c r="AI8" s="162">
        <v>0</v>
      </c>
      <c r="AJ8" s="170">
        <v>0</v>
      </c>
      <c r="AK8" s="33">
        <f>COUNTIFS('來案暨出貨明細表-基因檢測(201904起'!$P:$P,$A8&amp;"*",'來案暨出貨明細表-基因檢測(201904起'!$B:$B,AK$1)*$B8+COUNTIFS('來案暨出貨明細表-基因檢測(201904起'!$P:$P,$A8&amp;"*",'來案暨出貨明細表-基因檢測(201904起'!$B:$B,AK$1,'來案暨出貨明細表-基因檢測(201904起'!$Q:$Q,"紙本&amp;電子")++COUNTIFS('來案暨出貨明細表-基因檢測(201904起'!$P:$P,$A8&amp;"*",'來案暨出貨明細表-基因檢測(201904起'!$B:$B,AK$1,'來案暨出貨明細表-基因檢測(201904起'!$R:$R,"中英")</f>
        <v>0</v>
      </c>
      <c r="AL8" s="33">
        <f>COUNTIFS('來案暨出貨明細表-基因檢測(201904起'!$P:$P,$A8&amp;"*",'來案暨出貨明細表-基因檢測(201904起'!$B:$B,AL$1)*$B8+COUNTIFS('來案暨出貨明細表-基因檢測(201904起'!$P:$P,$A8&amp;"*",'來案暨出貨明細表-基因檢測(201904起'!$B:$B,AL$1,'來案暨出貨明細表-基因檢測(201904起'!$Q:$Q,"紙本&amp;電子")++COUNTIFS('來案暨出貨明細表-基因檢測(201904起'!$P:$P,$A8&amp;"*",'來案暨出貨明細表-基因檢測(201904起'!$B:$B,AL$1,'來案暨出貨明細表-基因檢測(201904起'!$R:$R,"中英")</f>
        <v>0</v>
      </c>
      <c r="AM8" s="33">
        <f>COUNTIFS('來案暨出貨明細表-基因檢測(201904起'!$P:$P,$A8&amp;"*",'來案暨出貨明細表-基因檢測(201904起'!$B:$B,AM$1)*$B8+COUNTIFS('來案暨出貨明細表-基因檢測(201904起'!$P:$P,$A8&amp;"*",'來案暨出貨明細表-基因檢測(201904起'!$B:$B,AM$1,'來案暨出貨明細表-基因檢測(201904起'!$Q:$Q,"紙本&amp;電子")++COUNTIFS('來案暨出貨明細表-基因檢測(201904起'!$P:$P,$A8&amp;"*",'來案暨出貨明細表-基因檢測(201904起'!$B:$B,AM$1,'來案暨出貨明細表-基因檢測(201904起'!$R:$R,"中英")</f>
        <v>0</v>
      </c>
      <c r="AN8" s="33">
        <f>COUNTIFS('來案暨出貨明細表-基因檢測(201904起'!$P:$P,$A8&amp;"*",'來案暨出貨明細表-基因檢測(201904起'!$B:$B,AN$1)*$B8+COUNTIFS('來案暨出貨明細表-基因檢測(201904起'!$P:$P,$A8&amp;"*",'來案暨出貨明細表-基因檢測(201904起'!$B:$B,AN$1,'來案暨出貨明細表-基因檢測(201904起'!$Q:$Q,"紙本&amp;電子")++COUNTIFS('來案暨出貨明細表-基因檢測(201904起'!$P:$P,$A8&amp;"*",'來案暨出貨明細表-基因檢測(201904起'!$B:$B,AN$1,'來案暨出貨明細表-基因檢測(201904起'!$R:$R,"中英")</f>
        <v>0</v>
      </c>
      <c r="AO8" s="33">
        <f>COUNTIFS('來案暨出貨明細表-基因檢測(201904起'!$P:$P,$A8&amp;"*",'來案暨出貨明細表-基因檢測(201904起'!$B:$B,AO$1)*$B8+COUNTIFS('來案暨出貨明細表-基因檢測(201904起'!$P:$P,$A8&amp;"*",'來案暨出貨明細表-基因檢測(201904起'!$B:$B,AO$1,'來案暨出貨明細表-基因檢測(201904起'!$Q:$Q,"紙本&amp;電子")++COUNTIFS('來案暨出貨明細表-基因檢測(201904起'!$P:$P,$A8&amp;"*",'來案暨出貨明細表-基因檢測(201904起'!$B:$B,AO$1,'來案暨出貨明細表-基因檢測(201904起'!$R:$R,"中英")</f>
        <v>0</v>
      </c>
      <c r="AP8" s="33">
        <f>COUNTIFS('來案暨出貨明細表-基因檢測(201904起'!$P:$P,$A8&amp;"*",'來案暨出貨明細表-基因檢測(201904起'!$B:$B,AP$1)*$B8+COUNTIFS('來案暨出貨明細表-基因檢測(201904起'!$P:$P,$A8&amp;"*",'來案暨出貨明細表-基因檢測(201904起'!$B:$B,AP$1,'來案暨出貨明細表-基因檢測(201904起'!$Q:$Q,"紙本&amp;電子")++COUNTIFS('來案暨出貨明細表-基因檢測(201904起'!$P:$P,$A8&amp;"*",'來案暨出貨明細表-基因檢測(201904起'!$B:$B,AP$1,'來案暨出貨明細表-基因檢測(201904起'!$R:$R,"中英")</f>
        <v>0</v>
      </c>
      <c r="AQ8" s="33">
        <f>COUNTIFS('來案暨出貨明細表-基因檢測(201904起'!$P:$P,$A8&amp;"*",'來案暨出貨明細表-基因檢測(201904起'!$B:$B,AQ$1)*$B8+COUNTIFS('來案暨出貨明細表-基因檢測(201904起'!$P:$P,$A8&amp;"*",'來案暨出貨明細表-基因檢測(201904起'!$B:$B,AQ$1,'來案暨出貨明細表-基因檢測(201904起'!$Q:$Q,"紙本&amp;電子")++COUNTIFS('來案暨出貨明細表-基因檢測(201904起'!$P:$P,$A8&amp;"*",'來案暨出貨明細表-基因檢測(201904起'!$B:$B,AQ$1,'來案暨出貨明細表-基因檢測(201904起'!$R:$R,"中英")</f>
        <v>0</v>
      </c>
      <c r="AR8" s="33">
        <f>COUNTIFS('來案暨出貨明細表-基因檢測(201904起'!$P:$P,$A8&amp;"*",'來案暨出貨明細表-基因檢測(201904起'!$B:$B,AR$1)*$B8+COUNTIFS('來案暨出貨明細表-基因檢測(201904起'!$P:$P,$A8&amp;"*",'來案暨出貨明細表-基因檢測(201904起'!$B:$B,AR$1,'來案暨出貨明細表-基因檢測(201904起'!$Q:$Q,"紙本&amp;電子")++COUNTIFS('來案暨出貨明細表-基因檢測(201904起'!$P:$P,$A8&amp;"*",'來案暨出貨明細表-基因檢測(201904起'!$B:$B,AR$1,'來案暨出貨明細表-基因檢測(201904起'!$R:$R,"中英")</f>
        <v>0</v>
      </c>
      <c r="AS8" s="33">
        <f>COUNTIFS('來案暨出貨明細表-基因檢測(201904起'!$P:$P,$A8&amp;"*",'來案暨出貨明細表-基因檢測(201904起'!$B:$B,AS$1)*$B8+COUNTIFS('來案暨出貨明細表-基因檢測(201904起'!$P:$P,$A8&amp;"*",'來案暨出貨明細表-基因檢測(201904起'!$B:$B,AS$1,'來案暨出貨明細表-基因檢測(201904起'!$Q:$Q,"紙本&amp;電子")++COUNTIFS('來案暨出貨明細表-基因檢測(201904起'!$P:$P,$A8&amp;"*",'來案暨出貨明細表-基因檢測(201904起'!$B:$B,AS$1,'來案暨出貨明細表-基因檢測(201904起'!$R:$R,"中英")</f>
        <v>0</v>
      </c>
      <c r="AT8" s="33">
        <f>COUNTIFS('來案暨出貨明細表-基因檢測(201904起'!$P:$P,$A8&amp;"*",'來案暨出貨明細表-基因檢測(201904起'!$B:$B,AT$1)*$B8+COUNTIFS('來案暨出貨明細表-基因檢測(201904起'!$P:$P,$A8&amp;"*",'來案暨出貨明細表-基因檢測(201904起'!$B:$B,AT$1,'來案暨出貨明細表-基因檢測(201904起'!$Q:$Q,"紙本&amp;電子")++COUNTIFS('來案暨出貨明細表-基因檢測(201904起'!$P:$P,$A8&amp;"*",'來案暨出貨明細表-基因檢測(201904起'!$B:$B,AT$1,'來案暨出貨明細表-基因檢測(201904起'!$R:$R,"中英")</f>
        <v>0</v>
      </c>
      <c r="AU8" s="33">
        <f>COUNTIFS('來案暨出貨明細表-基因檢測(201904起'!$P:$P,$A8&amp;"*",'來案暨出貨明細表-基因檢測(201904起'!$B:$B,AU$1)*$B8+COUNTIFS('來案暨出貨明細表-基因檢測(201904起'!$P:$P,$A8&amp;"*",'來案暨出貨明細表-基因檢測(201904起'!$B:$B,AU$1,'來案暨出貨明細表-基因檢測(201904起'!$Q:$Q,"紙本&amp;電子")++COUNTIFS('來案暨出貨明細表-基因檢測(201904起'!$P:$P,$A8&amp;"*",'來案暨出貨明細表-基因檢測(201904起'!$B:$B,AU$1,'來案暨出貨明細表-基因檢測(201904起'!$R:$R,"中英")</f>
        <v>0</v>
      </c>
      <c r="AV8" s="33">
        <f>COUNTIFS('來案暨出貨明細表-基因檢測(201904起'!$P:$P,$A8&amp;"*",'來案暨出貨明細表-基因檢測(201904起'!$B:$B,AV$1)*$B8+COUNTIFS('來案暨出貨明細表-基因檢測(201904起'!$P:$P,$A8&amp;"*",'來案暨出貨明細表-基因檢測(201904起'!$B:$B,AV$1,'來案暨出貨明細表-基因檢測(201904起'!$Q:$Q,"紙本&amp;電子")++COUNTIFS('來案暨出貨明細表-基因檢測(201904起'!$P:$P,$A8&amp;"*",'來案暨出貨明細表-基因檢測(201904起'!$B:$B,AV$1,'來案暨出貨明細表-基因檢測(201904起'!$R:$R,"中英")</f>
        <v>0</v>
      </c>
      <c r="AW8" s="33">
        <f>COUNTIFS('來案暨出貨明細表-基因檢測(201904起'!$P:$P,$A8&amp;"*",'來案暨出貨明細表-基因檢測(201904起'!$B:$B,AW$1)*$B8+COUNTIFS('來案暨出貨明細表-基因檢測(201904起'!$P:$P,$A8&amp;"*",'來案暨出貨明細表-基因檢測(201904起'!$B:$B,AW$1,'來案暨出貨明細表-基因檢測(201904起'!$Q:$Q,"紙本&amp;電子")++COUNTIFS('來案暨出貨明細表-基因檢測(201904起'!$P:$P,$A8&amp;"*",'來案暨出貨明細表-基因檢測(201904起'!$B:$B,AW$1,'來案暨出貨明細表-基因檢測(201904起'!$R:$R,"中英")</f>
        <v>0</v>
      </c>
      <c r="AX8" s="33">
        <f>COUNTIFS('來案暨出貨明細表-基因檢測(201904起'!$P:$P,$A8&amp;"*",'來案暨出貨明細表-基因檢測(201904起'!$B:$B,AX$1)*$B8+COUNTIFS('來案暨出貨明細表-基因檢測(201904起'!$P:$P,$A8&amp;"*",'來案暨出貨明細表-基因檢測(201904起'!$B:$B,AX$1,'來案暨出貨明細表-基因檢測(201904起'!$Q:$Q,"紙本&amp;電子")++COUNTIFS('來案暨出貨明細表-基因檢測(201904起'!$P:$P,$A8&amp;"*",'來案暨出貨明細表-基因檢測(201904起'!$B:$B,AX$1,'來案暨出貨明細表-基因檢測(201904起'!$R:$R,"中英")</f>
        <v>0</v>
      </c>
      <c r="AY8" s="33">
        <f>COUNTIFS('來案暨出貨明細表-基因檢測(201904起'!$P:$P,$A8&amp;"*",'來案暨出貨明細表-基因檢測(201904起'!$B:$B,AY$1)*$B8+COUNTIFS('來案暨出貨明細表-基因檢測(201904起'!$P:$P,$A8&amp;"*",'來案暨出貨明細表-基因檢測(201904起'!$B:$B,AY$1,'來案暨出貨明細表-基因檢測(201904起'!$Q:$Q,"紙本&amp;電子")++COUNTIFS('來案暨出貨明細表-基因檢測(201904起'!$P:$P,$A8&amp;"*",'來案暨出貨明細表-基因檢測(201904起'!$B:$B,AY$1,'來案暨出貨明細表-基因檢測(201904起'!$R:$R,"中英")</f>
        <v>0</v>
      </c>
      <c r="AZ8" s="33">
        <f>COUNTIFS('來案暨出貨明細表-基因檢測(201904起'!$P:$P,$A8&amp;"*",'來案暨出貨明細表-基因檢測(201904起'!$B:$B,AZ$1)*$B8+COUNTIFS('來案暨出貨明細表-基因檢測(201904起'!$P:$P,$A8&amp;"*",'來案暨出貨明細表-基因檢測(201904起'!$B:$B,AZ$1,'來案暨出貨明細表-基因檢測(201904起'!$Q:$Q,"紙本&amp;電子")++COUNTIFS('來案暨出貨明細表-基因檢測(201904起'!$P:$P,$A8&amp;"*",'來案暨出貨明細表-基因檢測(201904起'!$B:$B,AZ$1,'來案暨出貨明細表-基因檢測(201904起'!$R:$R,"中英")</f>
        <v>0</v>
      </c>
      <c r="BA8" s="33">
        <f>COUNTIFS('來案暨出貨明細表-基因檢測(201904起'!$P:$P,$A8&amp;"*",'來案暨出貨明細表-基因檢測(201904起'!$B:$B,BA$1)*$B8+COUNTIFS('來案暨出貨明細表-基因檢測(201904起'!$P:$P,$A8&amp;"*",'來案暨出貨明細表-基因檢測(201904起'!$B:$B,BA$1,'來案暨出貨明細表-基因檢測(201904起'!$Q:$Q,"紙本&amp;電子")++COUNTIFS('來案暨出貨明細表-基因檢測(201904起'!$P:$P,$A8&amp;"*",'來案暨出貨明細表-基因檢測(201904起'!$B:$B,BA$1,'來案暨出貨明細表-基因檢測(201904起'!$R:$R,"中英")</f>
        <v>0</v>
      </c>
      <c r="BB8" s="33">
        <f>COUNTIFS('來案暨出貨明細表-基因檢測(201904起'!$P:$P,$A8&amp;"*",'來案暨出貨明細表-基因檢測(201904起'!$B:$B,BB$1)*$B8+COUNTIFS('來案暨出貨明細表-基因檢測(201904起'!$P:$P,$A8&amp;"*",'來案暨出貨明細表-基因檢測(201904起'!$B:$B,BB$1,'來案暨出貨明細表-基因檢測(201904起'!$Q:$Q,"紙本&amp;電子")++COUNTIFS('來案暨出貨明細表-基因檢測(201904起'!$P:$P,$A8&amp;"*",'來案暨出貨明細表-基因檢測(201904起'!$B:$B,BB$1,'來案暨出貨明細表-基因檢測(201904起'!$R:$R,"中英")</f>
        <v>0</v>
      </c>
      <c r="BC8" s="33">
        <f>COUNTIFS('來案暨出貨明細表-基因檢測(201904起'!$P:$P,$A8&amp;"*",'來案暨出貨明細表-基因檢測(201904起'!$B:$B,BC$1)*$B8+COUNTIFS('來案暨出貨明細表-基因檢測(201904起'!$P:$P,$A8&amp;"*",'來案暨出貨明細表-基因檢測(201904起'!$B:$B,BC$1,'來案暨出貨明細表-基因檢測(201904起'!$Q:$Q,"紙本&amp;電子")++COUNTIFS('來案暨出貨明細表-基因檢測(201904起'!$P:$P,$A8&amp;"*",'來案暨出貨明細表-基因檢測(201904起'!$B:$B,BC$1,'來案暨出貨明細表-基因檢測(201904起'!$R:$R,"中英")</f>
        <v>0</v>
      </c>
      <c r="BD8" s="33">
        <f>COUNTIFS('來案暨出貨明細表-基因檢測(201904起'!$P:$P,$A8&amp;"*",'來案暨出貨明細表-基因檢測(201904起'!$B:$B,BD$1)*$B8+COUNTIFS('來案暨出貨明細表-基因檢測(201904起'!$P:$P,$A8&amp;"*",'來案暨出貨明細表-基因檢測(201904起'!$B:$B,BD$1,'來案暨出貨明細表-基因檢測(201904起'!$Q:$Q,"紙本&amp;電子")++COUNTIFS('來案暨出貨明細表-基因檢測(201904起'!$P:$P,$A8&amp;"*",'來案暨出貨明細表-基因檢測(201904起'!$B:$B,BD$1,'來案暨出貨明細表-基因檢測(201904起'!$R:$R,"中英")</f>
        <v>0</v>
      </c>
      <c r="BE8" s="33">
        <f>COUNTIFS('來案暨出貨明細表-基因檢測(201904起'!$P:$P,$A8&amp;"*",'來案暨出貨明細表-基因檢測(201904起'!$B:$B,BE$1)*$B8+COUNTIFS('來案暨出貨明細表-基因檢測(201904起'!$P:$P,$A8&amp;"*",'來案暨出貨明細表-基因檢測(201904起'!$B:$B,BE$1,'來案暨出貨明細表-基因檢測(201904起'!$Q:$Q,"紙本&amp;電子")++COUNTIFS('來案暨出貨明細表-基因檢測(201904起'!$P:$P,$A8&amp;"*",'來案暨出貨明細表-基因檢測(201904起'!$B:$B,BE$1,'來案暨出貨明細表-基因檢測(201904起'!$R:$R,"中英")</f>
        <v>0</v>
      </c>
      <c r="BF8" s="33">
        <f>COUNTIFS('來案暨出貨明細表-基因檢測(201904起'!$P:$P,$A8&amp;"*",'來案暨出貨明細表-基因檢測(201904起'!$B:$B,BF$1)*$B8+COUNTIFS('來案暨出貨明細表-基因檢測(201904起'!$P:$P,$A8&amp;"*",'來案暨出貨明細表-基因檢測(201904起'!$B:$B,BF$1,'來案暨出貨明細表-基因檢測(201904起'!$Q:$Q,"紙本&amp;電子")++COUNTIFS('來案暨出貨明細表-基因檢測(201904起'!$P:$P,$A8&amp;"*",'來案暨出貨明細表-基因檢測(201904起'!$B:$B,BF$1,'來案暨出貨明細表-基因檢測(201904起'!$R:$R,"中英")</f>
        <v>0</v>
      </c>
      <c r="BG8" s="33">
        <f>COUNTIFS('來案暨出貨明細表-基因檢測(201904起'!$P:$P,$A8&amp;"*",'來案暨出貨明細表-基因檢測(201904起'!$B:$B,BG$1)*$B8+COUNTIFS('來案暨出貨明細表-基因檢測(201904起'!$P:$P,$A8&amp;"*",'來案暨出貨明細表-基因檢測(201904起'!$B:$B,BG$1,'來案暨出貨明細表-基因檢測(201904起'!$Q:$Q,"紙本&amp;電子")++COUNTIFS('來案暨出貨明細表-基因檢測(201904起'!$P:$P,$A8&amp;"*",'來案暨出貨明細表-基因檢測(201904起'!$B:$B,BG$1,'來案暨出貨明細表-基因檢測(201904起'!$R:$R,"中英")</f>
        <v>0</v>
      </c>
      <c r="BH8" s="33">
        <f>COUNTIFS('來案暨出貨明細表-基因檢測(201904起'!$P:$P,$A8&amp;"*",'來案暨出貨明細表-基因檢測(201904起'!$B:$B,BH$1)*$B8+COUNTIFS('來案暨出貨明細表-基因檢測(201904起'!$P:$P,$A8&amp;"*",'來案暨出貨明細表-基因檢測(201904起'!$B:$B,BH$1,'來案暨出貨明細表-基因檢測(201904起'!$Q:$Q,"紙本&amp;電子")++COUNTIFS('來案暨出貨明細表-基因檢測(201904起'!$P:$P,$A8&amp;"*",'來案暨出貨明細表-基因檢測(201904起'!$B:$B,BH$1,'來案暨出貨明細表-基因檢測(201904起'!$R:$R,"中英")</f>
        <v>0</v>
      </c>
      <c r="BI8" s="33">
        <f>COUNTIFS('來案暨出貨明細表-基因檢測(201904起'!$P:$P,$A8&amp;"*",'來案暨出貨明細表-基因檢測(201904起'!$B:$B,BI$1)*$B8+COUNTIFS('來案暨出貨明細表-基因檢測(201904起'!$P:$P,$A8&amp;"*",'來案暨出貨明細表-基因檢測(201904起'!$B:$B,BI$1,'來案暨出貨明細表-基因檢測(201904起'!$Q:$Q,"紙本&amp;電子")++COUNTIFS('來案暨出貨明細表-基因檢測(201904起'!$P:$P,$A8&amp;"*",'來案暨出貨明細表-基因檢測(201904起'!$B:$B,BI$1,'來案暨出貨明細表-基因檢測(201904起'!$R:$R,"中英")</f>
        <v>0</v>
      </c>
      <c r="BJ8" s="33">
        <f>COUNTIFS('來案暨出貨明細表-基因檢測(201904起'!$P:$P,$A8&amp;"*",'來案暨出貨明細表-基因檢測(201904起'!$B:$B,BJ$1)*$B8+COUNTIFS('來案暨出貨明細表-基因檢測(201904起'!$P:$P,$A8&amp;"*",'來案暨出貨明細表-基因檢測(201904起'!$B:$B,BJ$1,'來案暨出貨明細表-基因檢測(201904起'!$Q:$Q,"紙本&amp;電子")++COUNTIFS('來案暨出貨明細表-基因檢測(201904起'!$P:$P,$A8&amp;"*",'來案暨出貨明細表-基因檢測(201904起'!$B:$B,BJ$1,'來案暨出貨明細表-基因檢測(201904起'!$R:$R,"中英")</f>
        <v>0</v>
      </c>
      <c r="BK8" s="33">
        <f>COUNTIFS('來案暨出貨明細表-基因檢測(201904起'!$P:$P,$A8&amp;"*",'來案暨出貨明細表-基因檢測(201904起'!$B:$B,BK$1)*$B8+COUNTIFS('來案暨出貨明細表-基因檢測(201904起'!$P:$P,$A8&amp;"*",'來案暨出貨明細表-基因檢測(201904起'!$B:$B,BK$1,'來案暨出貨明細表-基因檢測(201904起'!$Q:$Q,"紙本&amp;電子")++COUNTIFS('來案暨出貨明細表-基因檢測(201904起'!$P:$P,$A8&amp;"*",'來案暨出貨明細表-基因檢測(201904起'!$B:$B,BK$1,'來案暨出貨明細表-基因檢測(201904起'!$R:$R,"中英")</f>
        <v>0</v>
      </c>
    </row>
    <row r="9" spans="1:63" ht="15" customHeight="1">
      <c r="A9" s="166" t="s">
        <v>3504</v>
      </c>
      <c r="B9" s="167">
        <v>3</v>
      </c>
      <c r="C9" s="168" t="s">
        <v>3505</v>
      </c>
      <c r="D9" s="169" t="s">
        <v>3506</v>
      </c>
      <c r="E9" s="162">
        <v>0</v>
      </c>
      <c r="F9" s="162">
        <v>0</v>
      </c>
      <c r="G9" s="162">
        <v>0</v>
      </c>
      <c r="H9" s="162">
        <v>0</v>
      </c>
      <c r="I9" s="162">
        <v>0</v>
      </c>
      <c r="J9" s="162">
        <v>0</v>
      </c>
      <c r="K9" s="162">
        <v>0</v>
      </c>
      <c r="L9" s="162">
        <v>0</v>
      </c>
      <c r="M9" s="162">
        <v>0</v>
      </c>
      <c r="N9" s="162">
        <v>0</v>
      </c>
      <c r="O9" s="162">
        <v>0</v>
      </c>
      <c r="P9" s="162">
        <v>0</v>
      </c>
      <c r="Q9" s="162">
        <v>0</v>
      </c>
      <c r="R9" s="162">
        <v>0</v>
      </c>
      <c r="S9" s="162">
        <v>0</v>
      </c>
      <c r="T9" s="162">
        <v>0</v>
      </c>
      <c r="U9" s="162">
        <v>0</v>
      </c>
      <c r="V9" s="162">
        <v>0</v>
      </c>
      <c r="W9" s="162">
        <v>0</v>
      </c>
      <c r="X9" s="162">
        <v>0</v>
      </c>
      <c r="Y9" s="162">
        <v>0</v>
      </c>
      <c r="Z9" s="162">
        <v>0</v>
      </c>
      <c r="AA9" s="162">
        <v>0</v>
      </c>
      <c r="AB9" s="162">
        <v>8</v>
      </c>
      <c r="AC9" s="162">
        <v>0</v>
      </c>
      <c r="AD9" s="162">
        <v>0</v>
      </c>
      <c r="AE9" s="162">
        <v>0</v>
      </c>
      <c r="AF9" s="162">
        <v>0</v>
      </c>
      <c r="AG9" s="162">
        <v>0</v>
      </c>
      <c r="AH9" s="162">
        <v>0</v>
      </c>
      <c r="AI9" s="162">
        <v>0</v>
      </c>
      <c r="AJ9" s="170">
        <v>8</v>
      </c>
      <c r="AK9" s="33">
        <f>COUNTIFS('來案暨出貨明細表-基因檢測(201904起'!$P:$P,$A9&amp;"*",'來案暨出貨明細表-基因檢測(201904起'!$B:$B,AK$1)*$B9+COUNTIFS('來案暨出貨明細表-基因檢測(201904起'!$P:$P,$A9&amp;"*",'來案暨出貨明細表-基因檢測(201904起'!$B:$B,AK$1,'來案暨出貨明細表-基因檢測(201904起'!$Q:$Q,"紙本&amp;電子")++COUNTIFS('來案暨出貨明細表-基因檢測(201904起'!$P:$P,$A9&amp;"*",'來案暨出貨明細表-基因檢測(201904起'!$B:$B,AK$1,'來案暨出貨明細表-基因檢測(201904起'!$R:$R,"中英")</f>
        <v>0</v>
      </c>
      <c r="AL9" s="33">
        <f>COUNTIFS('來案暨出貨明細表-基因檢測(201904起'!$P:$P,$A9&amp;"*",'來案暨出貨明細表-基因檢測(201904起'!$B:$B,AL$1)*$B9+COUNTIFS('來案暨出貨明細表-基因檢測(201904起'!$P:$P,$A9&amp;"*",'來案暨出貨明細表-基因檢測(201904起'!$B:$B,AL$1,'來案暨出貨明細表-基因檢測(201904起'!$Q:$Q,"紙本&amp;電子")++COUNTIFS('來案暨出貨明細表-基因檢測(201904起'!$P:$P,$A9&amp;"*",'來案暨出貨明細表-基因檢測(201904起'!$B:$B,AL$1,'來案暨出貨明細表-基因檢測(201904起'!$R:$R,"中英")</f>
        <v>0</v>
      </c>
      <c r="AM9" s="33">
        <f>COUNTIFS('來案暨出貨明細表-基因檢測(201904起'!$P:$P,$A9&amp;"*",'來案暨出貨明細表-基因檢測(201904起'!$B:$B,AM$1)*$B9+COUNTIFS('來案暨出貨明細表-基因檢測(201904起'!$P:$P,$A9&amp;"*",'來案暨出貨明細表-基因檢測(201904起'!$B:$B,AM$1,'來案暨出貨明細表-基因檢測(201904起'!$Q:$Q,"紙本&amp;電子")++COUNTIFS('來案暨出貨明細表-基因檢測(201904起'!$P:$P,$A9&amp;"*",'來案暨出貨明細表-基因檢測(201904起'!$B:$B,AM$1,'來案暨出貨明細表-基因檢測(201904起'!$R:$R,"中英")</f>
        <v>0</v>
      </c>
      <c r="AN9" s="33">
        <f>COUNTIFS('來案暨出貨明細表-基因檢測(201904起'!$P:$P,$A9&amp;"*",'來案暨出貨明細表-基因檢測(201904起'!$B:$B,AN$1)*$B9+COUNTIFS('來案暨出貨明細表-基因檢測(201904起'!$P:$P,$A9&amp;"*",'來案暨出貨明細表-基因檢測(201904起'!$B:$B,AN$1,'來案暨出貨明細表-基因檢測(201904起'!$Q:$Q,"紙本&amp;電子")++COUNTIFS('來案暨出貨明細表-基因檢測(201904起'!$P:$P,$A9&amp;"*",'來案暨出貨明細表-基因檢測(201904起'!$B:$B,AN$1,'來案暨出貨明細表-基因檢測(201904起'!$R:$R,"中英")</f>
        <v>0</v>
      </c>
      <c r="AO9" s="33">
        <f>COUNTIFS('來案暨出貨明細表-基因檢測(201904起'!$P:$P,$A9&amp;"*",'來案暨出貨明細表-基因檢測(201904起'!$B:$B,AO$1)*$B9+COUNTIFS('來案暨出貨明細表-基因檢測(201904起'!$P:$P,$A9&amp;"*",'來案暨出貨明細表-基因檢測(201904起'!$B:$B,AO$1,'來案暨出貨明細表-基因檢測(201904起'!$Q:$Q,"紙本&amp;電子")++COUNTIFS('來案暨出貨明細表-基因檢測(201904起'!$P:$P,$A9&amp;"*",'來案暨出貨明細表-基因檢測(201904起'!$B:$B,AO$1,'來案暨出貨明細表-基因檢測(201904起'!$R:$R,"中英")</f>
        <v>0</v>
      </c>
      <c r="AP9" s="33">
        <f>COUNTIFS('來案暨出貨明細表-基因檢測(201904起'!$P:$P,$A9&amp;"*",'來案暨出貨明細表-基因檢測(201904起'!$B:$B,AP$1)*$B9+COUNTIFS('來案暨出貨明細表-基因檢測(201904起'!$P:$P,$A9&amp;"*",'來案暨出貨明細表-基因檢測(201904起'!$B:$B,AP$1,'來案暨出貨明細表-基因檢測(201904起'!$Q:$Q,"紙本&amp;電子")++COUNTIFS('來案暨出貨明細表-基因檢測(201904起'!$P:$P,$A9&amp;"*",'來案暨出貨明細表-基因檢測(201904起'!$B:$B,AP$1,'來案暨出貨明細表-基因檢測(201904起'!$R:$R,"中英")</f>
        <v>0</v>
      </c>
      <c r="AQ9" s="33">
        <f>COUNTIFS('來案暨出貨明細表-基因檢測(201904起'!$P:$P,$A9&amp;"*",'來案暨出貨明細表-基因檢測(201904起'!$B:$B,AQ$1)*$B9+COUNTIFS('來案暨出貨明細表-基因檢測(201904起'!$P:$P,$A9&amp;"*",'來案暨出貨明細表-基因檢測(201904起'!$B:$B,AQ$1,'來案暨出貨明細表-基因檢測(201904起'!$Q:$Q,"紙本&amp;電子")++COUNTIFS('來案暨出貨明細表-基因檢測(201904起'!$P:$P,$A9&amp;"*",'來案暨出貨明細表-基因檢測(201904起'!$B:$B,AQ$1,'來案暨出貨明細表-基因檢測(201904起'!$R:$R,"中英")</f>
        <v>0</v>
      </c>
      <c r="AR9" s="33">
        <f>COUNTIFS('來案暨出貨明細表-基因檢測(201904起'!$P:$P,$A9&amp;"*",'來案暨出貨明細表-基因檢測(201904起'!$B:$B,AR$1)*$B9+COUNTIFS('來案暨出貨明細表-基因檢測(201904起'!$P:$P,$A9&amp;"*",'來案暨出貨明細表-基因檢測(201904起'!$B:$B,AR$1,'來案暨出貨明細表-基因檢測(201904起'!$Q:$Q,"紙本&amp;電子")++COUNTIFS('來案暨出貨明細表-基因檢測(201904起'!$P:$P,$A9&amp;"*",'來案暨出貨明細表-基因檢測(201904起'!$B:$B,AR$1,'來案暨出貨明細表-基因檢測(201904起'!$R:$R,"中英")</f>
        <v>0</v>
      </c>
      <c r="AS9" s="33">
        <f>COUNTIFS('來案暨出貨明細表-基因檢測(201904起'!$P:$P,$A9&amp;"*",'來案暨出貨明細表-基因檢測(201904起'!$B:$B,AS$1)*$B9+COUNTIFS('來案暨出貨明細表-基因檢測(201904起'!$P:$P,$A9&amp;"*",'來案暨出貨明細表-基因檢測(201904起'!$B:$B,AS$1,'來案暨出貨明細表-基因檢測(201904起'!$Q:$Q,"紙本&amp;電子")++COUNTIFS('來案暨出貨明細表-基因檢測(201904起'!$P:$P,$A9&amp;"*",'來案暨出貨明細表-基因檢測(201904起'!$B:$B,AS$1,'來案暨出貨明細表-基因檢測(201904起'!$R:$R,"中英")</f>
        <v>0</v>
      </c>
      <c r="AT9" s="33">
        <f>COUNTIFS('來案暨出貨明細表-基因檢測(201904起'!$P:$P,$A9&amp;"*",'來案暨出貨明細表-基因檢測(201904起'!$B:$B,AT$1)*$B9+COUNTIFS('來案暨出貨明細表-基因檢測(201904起'!$P:$P,$A9&amp;"*",'來案暨出貨明細表-基因檢測(201904起'!$B:$B,AT$1,'來案暨出貨明細表-基因檢測(201904起'!$Q:$Q,"紙本&amp;電子")++COUNTIFS('來案暨出貨明細表-基因檢測(201904起'!$P:$P,$A9&amp;"*",'來案暨出貨明細表-基因檢測(201904起'!$B:$B,AT$1,'來案暨出貨明細表-基因檢測(201904起'!$R:$R,"中英")</f>
        <v>0</v>
      </c>
      <c r="AU9" s="33">
        <f>COUNTIFS('來案暨出貨明細表-基因檢測(201904起'!$P:$P,$A9&amp;"*",'來案暨出貨明細表-基因檢測(201904起'!$B:$B,AU$1)*$B9+COUNTIFS('來案暨出貨明細表-基因檢測(201904起'!$P:$P,$A9&amp;"*",'來案暨出貨明細表-基因檢測(201904起'!$B:$B,AU$1,'來案暨出貨明細表-基因檢測(201904起'!$Q:$Q,"紙本&amp;電子")++COUNTIFS('來案暨出貨明細表-基因檢測(201904起'!$P:$P,$A9&amp;"*",'來案暨出貨明細表-基因檢測(201904起'!$B:$B,AU$1,'來案暨出貨明細表-基因檢測(201904起'!$R:$R,"中英")</f>
        <v>0</v>
      </c>
      <c r="AV9" s="33">
        <f>COUNTIFS('來案暨出貨明細表-基因檢測(201904起'!$P:$P,$A9&amp;"*",'來案暨出貨明細表-基因檢測(201904起'!$B:$B,AV$1)*$B9+COUNTIFS('來案暨出貨明細表-基因檢測(201904起'!$P:$P,$A9&amp;"*",'來案暨出貨明細表-基因檢測(201904起'!$B:$B,AV$1,'來案暨出貨明細表-基因檢測(201904起'!$Q:$Q,"紙本&amp;電子")++COUNTIFS('來案暨出貨明細表-基因檢測(201904起'!$P:$P,$A9&amp;"*",'來案暨出貨明細表-基因檢測(201904起'!$B:$B,AV$1,'來案暨出貨明細表-基因檢測(201904起'!$R:$R,"中英")</f>
        <v>0</v>
      </c>
      <c r="AW9" s="33">
        <f>COUNTIFS('來案暨出貨明細表-基因檢測(201904起'!$P:$P,$A9&amp;"*",'來案暨出貨明細表-基因檢測(201904起'!$B:$B,AW$1)*$B9+COUNTIFS('來案暨出貨明細表-基因檢測(201904起'!$P:$P,$A9&amp;"*",'來案暨出貨明細表-基因檢測(201904起'!$B:$B,AW$1,'來案暨出貨明細表-基因檢測(201904起'!$Q:$Q,"紙本&amp;電子")++COUNTIFS('來案暨出貨明細表-基因檢測(201904起'!$P:$P,$A9&amp;"*",'來案暨出貨明細表-基因檢測(201904起'!$B:$B,AW$1,'來案暨出貨明細表-基因檢測(201904起'!$R:$R,"中英")</f>
        <v>0</v>
      </c>
      <c r="AX9" s="33">
        <f>COUNTIFS('來案暨出貨明細表-基因檢測(201904起'!$P:$P,$A9&amp;"*",'來案暨出貨明細表-基因檢測(201904起'!$B:$B,AX$1)*$B9+COUNTIFS('來案暨出貨明細表-基因檢測(201904起'!$P:$P,$A9&amp;"*",'來案暨出貨明細表-基因檢測(201904起'!$B:$B,AX$1,'來案暨出貨明細表-基因檢測(201904起'!$Q:$Q,"紙本&amp;電子")++COUNTIFS('來案暨出貨明細表-基因檢測(201904起'!$P:$P,$A9&amp;"*",'來案暨出貨明細表-基因檢測(201904起'!$B:$B,AX$1,'來案暨出貨明細表-基因檢測(201904起'!$R:$R,"中英")</f>
        <v>0</v>
      </c>
      <c r="AY9" s="33">
        <f>COUNTIFS('來案暨出貨明細表-基因檢測(201904起'!$P:$P,$A9&amp;"*",'來案暨出貨明細表-基因檢測(201904起'!$B:$B,AY$1)*$B9+COUNTIFS('來案暨出貨明細表-基因檢測(201904起'!$P:$P,$A9&amp;"*",'來案暨出貨明細表-基因檢測(201904起'!$B:$B,AY$1,'來案暨出貨明細表-基因檢測(201904起'!$Q:$Q,"紙本&amp;電子")++COUNTIFS('來案暨出貨明細表-基因檢測(201904起'!$P:$P,$A9&amp;"*",'來案暨出貨明細表-基因檢測(201904起'!$B:$B,AY$1,'來案暨出貨明細表-基因檢測(201904起'!$R:$R,"中英")</f>
        <v>0</v>
      </c>
      <c r="AZ9" s="33">
        <f>COUNTIFS('來案暨出貨明細表-基因檢測(201904起'!$P:$P,$A9&amp;"*",'來案暨出貨明細表-基因檢測(201904起'!$B:$B,AZ$1)*$B9+COUNTIFS('來案暨出貨明細表-基因檢測(201904起'!$P:$P,$A9&amp;"*",'來案暨出貨明細表-基因檢測(201904起'!$B:$B,AZ$1,'來案暨出貨明細表-基因檢測(201904起'!$Q:$Q,"紙本&amp;電子")++COUNTIFS('來案暨出貨明細表-基因檢測(201904起'!$P:$P,$A9&amp;"*",'來案暨出貨明細表-基因檢測(201904起'!$B:$B,AZ$1,'來案暨出貨明細表-基因檢測(201904起'!$R:$R,"中英")</f>
        <v>0</v>
      </c>
      <c r="BA9" s="33">
        <f>COUNTIFS('來案暨出貨明細表-基因檢測(201904起'!$P:$P,$A9&amp;"*",'來案暨出貨明細表-基因檢測(201904起'!$B:$B,BA$1)*$B9+COUNTIFS('來案暨出貨明細表-基因檢測(201904起'!$P:$P,$A9&amp;"*",'來案暨出貨明細表-基因檢測(201904起'!$B:$B,BA$1,'來案暨出貨明細表-基因檢測(201904起'!$Q:$Q,"紙本&amp;電子")++COUNTIFS('來案暨出貨明細表-基因檢測(201904起'!$P:$P,$A9&amp;"*",'來案暨出貨明細表-基因檢測(201904起'!$B:$B,BA$1,'來案暨出貨明細表-基因檢測(201904起'!$R:$R,"中英")</f>
        <v>0</v>
      </c>
      <c r="BB9" s="33">
        <f>COUNTIFS('來案暨出貨明細表-基因檢測(201904起'!$P:$P,$A9&amp;"*",'來案暨出貨明細表-基因檢測(201904起'!$B:$B,BB$1)*$B9+COUNTIFS('來案暨出貨明細表-基因檢測(201904起'!$P:$P,$A9&amp;"*",'來案暨出貨明細表-基因檢測(201904起'!$B:$B,BB$1,'來案暨出貨明細表-基因檢測(201904起'!$Q:$Q,"紙本&amp;電子")++COUNTIFS('來案暨出貨明細表-基因檢測(201904起'!$P:$P,$A9&amp;"*",'來案暨出貨明細表-基因檢測(201904起'!$B:$B,BB$1,'來案暨出貨明細表-基因檢測(201904起'!$R:$R,"中英")</f>
        <v>0</v>
      </c>
      <c r="BC9" s="33">
        <f>COUNTIFS('來案暨出貨明細表-基因檢測(201904起'!$P:$P,$A9&amp;"*",'來案暨出貨明細表-基因檢測(201904起'!$B:$B,BC$1)*$B9+COUNTIFS('來案暨出貨明細表-基因檢測(201904起'!$P:$P,$A9&amp;"*",'來案暨出貨明細表-基因檢測(201904起'!$B:$B,BC$1,'來案暨出貨明細表-基因檢測(201904起'!$Q:$Q,"紙本&amp;電子")++COUNTIFS('來案暨出貨明細表-基因檢測(201904起'!$P:$P,$A9&amp;"*",'來案暨出貨明細表-基因檢測(201904起'!$B:$B,BC$1,'來案暨出貨明細表-基因檢測(201904起'!$R:$R,"中英")</f>
        <v>0</v>
      </c>
      <c r="BD9" s="33">
        <f>COUNTIFS('來案暨出貨明細表-基因檢測(201904起'!$P:$P,$A9&amp;"*",'來案暨出貨明細表-基因檢測(201904起'!$B:$B,BD$1)*$B9+COUNTIFS('來案暨出貨明細表-基因檢測(201904起'!$P:$P,$A9&amp;"*",'來案暨出貨明細表-基因檢測(201904起'!$B:$B,BD$1,'來案暨出貨明細表-基因檢測(201904起'!$Q:$Q,"紙本&amp;電子")++COUNTIFS('來案暨出貨明細表-基因檢測(201904起'!$P:$P,$A9&amp;"*",'來案暨出貨明細表-基因檢測(201904起'!$B:$B,BD$1,'來案暨出貨明細表-基因檢測(201904起'!$R:$R,"中英")</f>
        <v>0</v>
      </c>
      <c r="BE9" s="33">
        <f>COUNTIFS('來案暨出貨明細表-基因檢測(201904起'!$P:$P,$A9&amp;"*",'來案暨出貨明細表-基因檢測(201904起'!$B:$B,BE$1)*$B9+COUNTIFS('來案暨出貨明細表-基因檢測(201904起'!$P:$P,$A9&amp;"*",'來案暨出貨明細表-基因檢測(201904起'!$B:$B,BE$1,'來案暨出貨明細表-基因檢測(201904起'!$Q:$Q,"紙本&amp;電子")++COUNTIFS('來案暨出貨明細表-基因檢測(201904起'!$P:$P,$A9&amp;"*",'來案暨出貨明細表-基因檢測(201904起'!$B:$B,BE$1,'來案暨出貨明細表-基因檢測(201904起'!$R:$R,"中英")</f>
        <v>0</v>
      </c>
      <c r="BF9" s="33">
        <f>COUNTIFS('來案暨出貨明細表-基因檢測(201904起'!$P:$P,$A9&amp;"*",'來案暨出貨明細表-基因檢測(201904起'!$B:$B,BF$1)*$B9+COUNTIFS('來案暨出貨明細表-基因檢測(201904起'!$P:$P,$A9&amp;"*",'來案暨出貨明細表-基因檢測(201904起'!$B:$B,BF$1,'來案暨出貨明細表-基因檢測(201904起'!$Q:$Q,"紙本&amp;電子")++COUNTIFS('來案暨出貨明細表-基因檢測(201904起'!$P:$P,$A9&amp;"*",'來案暨出貨明細表-基因檢測(201904起'!$B:$B,BF$1,'來案暨出貨明細表-基因檢測(201904起'!$R:$R,"中英")</f>
        <v>0</v>
      </c>
      <c r="BG9" s="33">
        <f>COUNTIFS('來案暨出貨明細表-基因檢測(201904起'!$P:$P,$A9&amp;"*",'來案暨出貨明細表-基因檢測(201904起'!$B:$B,BG$1)*$B9+COUNTIFS('來案暨出貨明細表-基因檢測(201904起'!$P:$P,$A9&amp;"*",'來案暨出貨明細表-基因檢測(201904起'!$B:$B,BG$1,'來案暨出貨明細表-基因檢測(201904起'!$Q:$Q,"紙本&amp;電子")++COUNTIFS('來案暨出貨明細表-基因檢測(201904起'!$P:$P,$A9&amp;"*",'來案暨出貨明細表-基因檢測(201904起'!$B:$B,BG$1,'來案暨出貨明細表-基因檢測(201904起'!$R:$R,"中英")</f>
        <v>0</v>
      </c>
      <c r="BH9" s="33">
        <f>COUNTIFS('來案暨出貨明細表-基因檢測(201904起'!$P:$P,$A9&amp;"*",'來案暨出貨明細表-基因檢測(201904起'!$B:$B,BH$1)*$B9+COUNTIFS('來案暨出貨明細表-基因檢測(201904起'!$P:$P,$A9&amp;"*",'來案暨出貨明細表-基因檢測(201904起'!$B:$B,BH$1,'來案暨出貨明細表-基因檢測(201904起'!$Q:$Q,"紙本&amp;電子")++COUNTIFS('來案暨出貨明細表-基因檢測(201904起'!$P:$P,$A9&amp;"*",'來案暨出貨明細表-基因檢測(201904起'!$B:$B,BH$1,'來案暨出貨明細表-基因檢測(201904起'!$R:$R,"中英")</f>
        <v>0</v>
      </c>
      <c r="BI9" s="33">
        <f>COUNTIFS('來案暨出貨明細表-基因檢測(201904起'!$P:$P,$A9&amp;"*",'來案暨出貨明細表-基因檢測(201904起'!$B:$B,BI$1)*$B9+COUNTIFS('來案暨出貨明細表-基因檢測(201904起'!$P:$P,$A9&amp;"*",'來案暨出貨明細表-基因檢測(201904起'!$B:$B,BI$1,'來案暨出貨明細表-基因檢測(201904起'!$Q:$Q,"紙本&amp;電子")++COUNTIFS('來案暨出貨明細表-基因檢測(201904起'!$P:$P,$A9&amp;"*",'來案暨出貨明細表-基因檢測(201904起'!$B:$B,BI$1,'來案暨出貨明細表-基因檢測(201904起'!$R:$R,"中英")</f>
        <v>0</v>
      </c>
      <c r="BJ9" s="33">
        <f>COUNTIFS('來案暨出貨明細表-基因檢測(201904起'!$P:$P,$A9&amp;"*",'來案暨出貨明細表-基因檢測(201904起'!$B:$B,BJ$1)*$B9+COUNTIFS('來案暨出貨明細表-基因檢測(201904起'!$P:$P,$A9&amp;"*",'來案暨出貨明細表-基因檢測(201904起'!$B:$B,BJ$1,'來案暨出貨明細表-基因檢測(201904起'!$Q:$Q,"紙本&amp;電子")++COUNTIFS('來案暨出貨明細表-基因檢測(201904起'!$P:$P,$A9&amp;"*",'來案暨出貨明細表-基因檢測(201904起'!$B:$B,BJ$1,'來案暨出貨明細表-基因檢測(201904起'!$R:$R,"中英")</f>
        <v>0</v>
      </c>
      <c r="BK9" s="33">
        <f>COUNTIFS('來案暨出貨明細表-基因檢測(201904起'!$P:$P,$A9&amp;"*",'來案暨出貨明細表-基因檢測(201904起'!$B:$B,BK$1)*$B9+COUNTIFS('來案暨出貨明細表-基因檢測(201904起'!$P:$P,$A9&amp;"*",'來案暨出貨明細表-基因檢測(201904起'!$B:$B,BK$1,'來案暨出貨明細表-基因檢測(201904起'!$Q:$Q,"紙本&amp;電子")++COUNTIFS('來案暨出貨明細表-基因檢測(201904起'!$P:$P,$A9&amp;"*",'來案暨出貨明細表-基因檢測(201904起'!$B:$B,BK$1,'來案暨出貨明細表-基因檢測(201904起'!$R:$R,"中英")</f>
        <v>0</v>
      </c>
    </row>
    <row r="10" spans="1:63" ht="15" customHeight="1">
      <c r="A10" s="166" t="s">
        <v>3644</v>
      </c>
      <c r="B10" s="167">
        <v>1</v>
      </c>
      <c r="C10" s="168" t="s">
        <v>3645</v>
      </c>
      <c r="D10" s="169" t="s">
        <v>3648</v>
      </c>
      <c r="E10" s="162">
        <v>0</v>
      </c>
      <c r="F10" s="162">
        <v>0</v>
      </c>
      <c r="G10" s="162">
        <v>0</v>
      </c>
      <c r="H10" s="162">
        <v>0</v>
      </c>
      <c r="I10" s="162">
        <v>0</v>
      </c>
      <c r="J10" s="162">
        <v>0</v>
      </c>
      <c r="K10" s="162">
        <v>0</v>
      </c>
      <c r="L10" s="162">
        <v>0</v>
      </c>
      <c r="M10" s="162">
        <v>0</v>
      </c>
      <c r="N10" s="162">
        <v>0</v>
      </c>
      <c r="O10" s="162">
        <v>0</v>
      </c>
      <c r="P10" s="162">
        <v>0</v>
      </c>
      <c r="Q10" s="162">
        <v>0</v>
      </c>
      <c r="R10" s="162">
        <v>0</v>
      </c>
      <c r="S10" s="162">
        <v>0</v>
      </c>
      <c r="T10" s="162">
        <v>2</v>
      </c>
      <c r="U10" s="162">
        <v>0</v>
      </c>
      <c r="V10" s="162">
        <v>0</v>
      </c>
      <c r="W10" s="162">
        <v>0</v>
      </c>
      <c r="X10" s="162">
        <v>0</v>
      </c>
      <c r="Y10" s="162">
        <v>0</v>
      </c>
      <c r="Z10" s="162">
        <v>0</v>
      </c>
      <c r="AA10" s="162">
        <v>0</v>
      </c>
      <c r="AB10" s="162">
        <v>6</v>
      </c>
      <c r="AC10" s="162">
        <v>0</v>
      </c>
      <c r="AD10" s="162">
        <v>0</v>
      </c>
      <c r="AE10" s="162">
        <v>0</v>
      </c>
      <c r="AF10" s="162">
        <v>1</v>
      </c>
      <c r="AG10" s="162">
        <v>0</v>
      </c>
      <c r="AH10" s="162">
        <v>0</v>
      </c>
      <c r="AI10" s="162">
        <v>0</v>
      </c>
      <c r="AJ10" s="170">
        <v>9</v>
      </c>
      <c r="AK10" s="33">
        <f>COUNTIFS('來案暨出貨明細表-基因檢測(201904起'!$P:$P,$A10&amp;"*",'來案暨出貨明細表-基因檢測(201904起'!$B:$B,AK$1)*$B10+COUNTIFS('來案暨出貨明細表-基因檢測(201904起'!$P:$P,$A10&amp;"*",'來案暨出貨明細表-基因檢測(201904起'!$B:$B,AK$1,'來案暨出貨明細表-基因檢測(201904起'!$Q:$Q,"紙本&amp;電子")++COUNTIFS('來案暨出貨明細表-基因檢測(201904起'!$P:$P,$A10&amp;"*",'來案暨出貨明細表-基因檢測(201904起'!$B:$B,AK$1,'來案暨出貨明細表-基因檢測(201904起'!$R:$R,"中英")</f>
        <v>0</v>
      </c>
      <c r="AL10" s="33">
        <f>COUNTIFS('來案暨出貨明細表-基因檢測(201904起'!$P:$P,$A10&amp;"*",'來案暨出貨明細表-基因檢測(201904起'!$B:$B,AL$1)*$B10+COUNTIFS('來案暨出貨明細表-基因檢測(201904起'!$P:$P,$A10&amp;"*",'來案暨出貨明細表-基因檢測(201904起'!$B:$B,AL$1,'來案暨出貨明細表-基因檢測(201904起'!$Q:$Q,"紙本&amp;電子")++COUNTIFS('來案暨出貨明細表-基因檢測(201904起'!$P:$P,$A10&amp;"*",'來案暨出貨明細表-基因檢測(201904起'!$B:$B,AL$1,'來案暨出貨明細表-基因檢測(201904起'!$R:$R,"中英")</f>
        <v>0</v>
      </c>
      <c r="AM10" s="33">
        <f>COUNTIFS('來案暨出貨明細表-基因檢測(201904起'!$P:$P,$A10&amp;"*",'來案暨出貨明細表-基因檢測(201904起'!$B:$B,AM$1)*$B10+COUNTIFS('來案暨出貨明細表-基因檢測(201904起'!$P:$P,$A10&amp;"*",'來案暨出貨明細表-基因檢測(201904起'!$B:$B,AM$1,'來案暨出貨明細表-基因檢測(201904起'!$Q:$Q,"紙本&amp;電子")++COUNTIFS('來案暨出貨明細表-基因檢測(201904起'!$P:$P,$A10&amp;"*",'來案暨出貨明細表-基因檢測(201904起'!$B:$B,AM$1,'來案暨出貨明細表-基因檢測(201904起'!$R:$R,"中英")</f>
        <v>0</v>
      </c>
      <c r="AN10" s="33">
        <f>COUNTIFS('來案暨出貨明細表-基因檢測(201904起'!$P:$P,$A10&amp;"*",'來案暨出貨明細表-基因檢測(201904起'!$B:$B,AN$1)*$B10+COUNTIFS('來案暨出貨明細表-基因檢測(201904起'!$P:$P,$A10&amp;"*",'來案暨出貨明細表-基因檢測(201904起'!$B:$B,AN$1,'來案暨出貨明細表-基因檢測(201904起'!$Q:$Q,"紙本&amp;電子")++COUNTIFS('來案暨出貨明細表-基因檢測(201904起'!$P:$P,$A10&amp;"*",'來案暨出貨明細表-基因檢測(201904起'!$B:$B,AN$1,'來案暨出貨明細表-基因檢測(201904起'!$R:$R,"中英")</f>
        <v>0</v>
      </c>
      <c r="AO10" s="33">
        <f>COUNTIFS('來案暨出貨明細表-基因檢測(201904起'!$P:$P,$A10&amp;"*",'來案暨出貨明細表-基因檢測(201904起'!$B:$B,AO$1)*$B10+COUNTIFS('來案暨出貨明細表-基因檢測(201904起'!$P:$P,$A10&amp;"*",'來案暨出貨明細表-基因檢測(201904起'!$B:$B,AO$1,'來案暨出貨明細表-基因檢測(201904起'!$Q:$Q,"紙本&amp;電子")++COUNTIFS('來案暨出貨明細表-基因檢測(201904起'!$P:$P,$A10&amp;"*",'來案暨出貨明細表-基因檢測(201904起'!$B:$B,AO$1,'來案暨出貨明細表-基因檢測(201904起'!$R:$R,"中英")</f>
        <v>2</v>
      </c>
      <c r="AP10" s="33">
        <f>COUNTIFS('來案暨出貨明細表-基因檢測(201904起'!$P:$P,$A10&amp;"*",'來案暨出貨明細表-基因檢測(201904起'!$B:$B,AP$1)*$B10+COUNTIFS('來案暨出貨明細表-基因檢測(201904起'!$P:$P,$A10&amp;"*",'來案暨出貨明細表-基因檢測(201904起'!$B:$B,AP$1,'來案暨出貨明細表-基因檢測(201904起'!$Q:$Q,"紙本&amp;電子")++COUNTIFS('來案暨出貨明細表-基因檢測(201904起'!$P:$P,$A10&amp;"*",'來案暨出貨明細表-基因檢測(201904起'!$B:$B,AP$1,'來案暨出貨明細表-基因檢測(201904起'!$R:$R,"中英")</f>
        <v>0</v>
      </c>
      <c r="AQ10" s="33">
        <f>COUNTIFS('來案暨出貨明細表-基因檢測(201904起'!$P:$P,$A10&amp;"*",'來案暨出貨明細表-基因檢測(201904起'!$B:$B,AQ$1)*$B10+COUNTIFS('來案暨出貨明細表-基因檢測(201904起'!$P:$P,$A10&amp;"*",'來案暨出貨明細表-基因檢測(201904起'!$B:$B,AQ$1,'來案暨出貨明細表-基因檢測(201904起'!$Q:$Q,"紙本&amp;電子")++COUNTIFS('來案暨出貨明細表-基因檢測(201904起'!$P:$P,$A10&amp;"*",'來案暨出貨明細表-基因檢測(201904起'!$B:$B,AQ$1,'來案暨出貨明細表-基因檢測(201904起'!$R:$R,"中英")</f>
        <v>2</v>
      </c>
      <c r="AR10" s="33">
        <f>COUNTIFS('來案暨出貨明細表-基因檢測(201904起'!$P:$P,$A10&amp;"*",'來案暨出貨明細表-基因檢測(201904起'!$B:$B,AR$1)*$B10+COUNTIFS('來案暨出貨明細表-基因檢測(201904起'!$P:$P,$A10&amp;"*",'來案暨出貨明細表-基因檢測(201904起'!$B:$B,AR$1,'來案暨出貨明細表-基因檢測(201904起'!$Q:$Q,"紙本&amp;電子")++COUNTIFS('來案暨出貨明細表-基因檢測(201904起'!$P:$P,$A10&amp;"*",'來案暨出貨明細表-基因檢測(201904起'!$B:$B,AR$1,'來案暨出貨明細表-基因檢測(201904起'!$R:$R,"中英")</f>
        <v>0</v>
      </c>
      <c r="AS10" s="33">
        <f>COUNTIFS('來案暨出貨明細表-基因檢測(201904起'!$P:$P,$A10&amp;"*",'來案暨出貨明細表-基因檢測(201904起'!$B:$B,AS$1)*$B10+COUNTIFS('來案暨出貨明細表-基因檢測(201904起'!$P:$P,$A10&amp;"*",'來案暨出貨明細表-基因檢測(201904起'!$B:$B,AS$1,'來案暨出貨明細表-基因檢測(201904起'!$Q:$Q,"紙本&amp;電子")++COUNTIFS('來案暨出貨明細表-基因檢測(201904起'!$P:$P,$A10&amp;"*",'來案暨出貨明細表-基因檢測(201904起'!$B:$B,AS$1,'來案暨出貨明細表-基因檢測(201904起'!$R:$R,"中英")</f>
        <v>0</v>
      </c>
      <c r="AT10" s="33">
        <f>COUNTIFS('來案暨出貨明細表-基因檢測(201904起'!$P:$P,$A10&amp;"*",'來案暨出貨明細表-基因檢測(201904起'!$B:$B,AT$1)*$B10+COUNTIFS('來案暨出貨明細表-基因檢測(201904起'!$P:$P,$A10&amp;"*",'來案暨出貨明細表-基因檢測(201904起'!$B:$B,AT$1,'來案暨出貨明細表-基因檢測(201904起'!$Q:$Q,"紙本&amp;電子")++COUNTIFS('來案暨出貨明細表-基因檢測(201904起'!$P:$P,$A10&amp;"*",'來案暨出貨明細表-基因檢測(201904起'!$B:$B,AT$1,'來案暨出貨明細表-基因檢測(201904起'!$R:$R,"中英")</f>
        <v>0</v>
      </c>
      <c r="AU10" s="33">
        <f>COUNTIFS('來案暨出貨明細表-基因檢測(201904起'!$P:$P,$A10&amp;"*",'來案暨出貨明細表-基因檢測(201904起'!$B:$B,AU$1)*$B10+COUNTIFS('來案暨出貨明細表-基因檢測(201904起'!$P:$P,$A10&amp;"*",'來案暨出貨明細表-基因檢測(201904起'!$B:$B,AU$1,'來案暨出貨明細表-基因檢測(201904起'!$Q:$Q,"紙本&amp;電子")++COUNTIFS('來案暨出貨明細表-基因檢測(201904起'!$P:$P,$A10&amp;"*",'來案暨出貨明細表-基因檢測(201904起'!$B:$B,AU$1,'來案暨出貨明細表-基因檢測(201904起'!$R:$R,"中英")</f>
        <v>0</v>
      </c>
      <c r="AV10" s="33">
        <f>COUNTIFS('來案暨出貨明細表-基因檢測(201904起'!$P:$P,$A10&amp;"*",'來案暨出貨明細表-基因檢測(201904起'!$B:$B,AV$1)*$B10+COUNTIFS('來案暨出貨明細表-基因檢測(201904起'!$P:$P,$A10&amp;"*",'來案暨出貨明細表-基因檢測(201904起'!$B:$B,AV$1,'來案暨出貨明細表-基因檢測(201904起'!$Q:$Q,"紙本&amp;電子")++COUNTIFS('來案暨出貨明細表-基因檢測(201904起'!$P:$P,$A10&amp;"*",'來案暨出貨明細表-基因檢測(201904起'!$B:$B,AV$1,'來案暨出貨明細表-基因檢測(201904起'!$R:$R,"中英")</f>
        <v>0</v>
      </c>
      <c r="AW10" s="33">
        <f>COUNTIFS('來案暨出貨明細表-基因檢測(201904起'!$P:$P,$A10&amp;"*",'來案暨出貨明細表-基因檢測(201904起'!$B:$B,AW$1)*$B10+COUNTIFS('來案暨出貨明細表-基因檢測(201904起'!$P:$P,$A10&amp;"*",'來案暨出貨明細表-基因檢測(201904起'!$B:$B,AW$1,'來案暨出貨明細表-基因檢測(201904起'!$Q:$Q,"紙本&amp;電子")++COUNTIFS('來案暨出貨明細表-基因檢測(201904起'!$P:$P,$A10&amp;"*",'來案暨出貨明細表-基因檢測(201904起'!$B:$B,AW$1,'來案暨出貨明細表-基因檢測(201904起'!$R:$R,"中英")</f>
        <v>0</v>
      </c>
      <c r="AX10" s="33">
        <f>COUNTIFS('來案暨出貨明細表-基因檢測(201904起'!$P:$P,$A10&amp;"*",'來案暨出貨明細表-基因檢測(201904起'!$B:$B,AX$1)*$B10+COUNTIFS('來案暨出貨明細表-基因檢測(201904起'!$P:$P,$A10&amp;"*",'來案暨出貨明細表-基因檢測(201904起'!$B:$B,AX$1,'來案暨出貨明細表-基因檢測(201904起'!$Q:$Q,"紙本&amp;電子")++COUNTIFS('來案暨出貨明細表-基因檢測(201904起'!$P:$P,$A10&amp;"*",'來案暨出貨明細表-基因檢測(201904起'!$B:$B,AX$1,'來案暨出貨明細表-基因檢測(201904起'!$R:$R,"中英")</f>
        <v>0</v>
      </c>
      <c r="AY10" s="33">
        <f>COUNTIFS('來案暨出貨明細表-基因檢測(201904起'!$P:$P,$A10&amp;"*",'來案暨出貨明細表-基因檢測(201904起'!$B:$B,AY$1)*$B10+COUNTIFS('來案暨出貨明細表-基因檢測(201904起'!$P:$P,$A10&amp;"*",'來案暨出貨明細表-基因檢測(201904起'!$B:$B,AY$1,'來案暨出貨明細表-基因檢測(201904起'!$Q:$Q,"紙本&amp;電子")++COUNTIFS('來案暨出貨明細表-基因檢測(201904起'!$P:$P,$A10&amp;"*",'來案暨出貨明細表-基因檢測(201904起'!$B:$B,AY$1,'來案暨出貨明細表-基因檢測(201904起'!$R:$R,"中英")</f>
        <v>0</v>
      </c>
      <c r="AZ10" s="33">
        <f>COUNTIFS('來案暨出貨明細表-基因檢測(201904起'!$P:$P,$A10&amp;"*",'來案暨出貨明細表-基因檢測(201904起'!$B:$B,AZ$1)*$B10+COUNTIFS('來案暨出貨明細表-基因檢測(201904起'!$P:$P,$A10&amp;"*",'來案暨出貨明細表-基因檢測(201904起'!$B:$B,AZ$1,'來案暨出貨明細表-基因檢測(201904起'!$Q:$Q,"紙本&amp;電子")++COUNTIFS('來案暨出貨明細表-基因檢測(201904起'!$P:$P,$A10&amp;"*",'來案暨出貨明細表-基因檢測(201904起'!$B:$B,AZ$1,'來案暨出貨明細表-基因檢測(201904起'!$R:$R,"中英")</f>
        <v>0</v>
      </c>
      <c r="BA10" s="33">
        <f>COUNTIFS('來案暨出貨明細表-基因檢測(201904起'!$P:$P,$A10&amp;"*",'來案暨出貨明細表-基因檢測(201904起'!$B:$B,BA$1)*$B10+COUNTIFS('來案暨出貨明細表-基因檢測(201904起'!$P:$P,$A10&amp;"*",'來案暨出貨明細表-基因檢測(201904起'!$B:$B,BA$1,'來案暨出貨明細表-基因檢測(201904起'!$Q:$Q,"紙本&amp;電子")++COUNTIFS('來案暨出貨明細表-基因檢測(201904起'!$P:$P,$A10&amp;"*",'來案暨出貨明細表-基因檢測(201904起'!$B:$B,BA$1,'來案暨出貨明細表-基因檢測(201904起'!$R:$R,"中英")</f>
        <v>0</v>
      </c>
      <c r="BB10" s="33">
        <f>COUNTIFS('來案暨出貨明細表-基因檢測(201904起'!$P:$P,$A10&amp;"*",'來案暨出貨明細表-基因檢測(201904起'!$B:$B,BB$1)*$B10+COUNTIFS('來案暨出貨明細表-基因檢測(201904起'!$P:$P,$A10&amp;"*",'來案暨出貨明細表-基因檢測(201904起'!$B:$B,BB$1,'來案暨出貨明細表-基因檢測(201904起'!$Q:$Q,"紙本&amp;電子")++COUNTIFS('來案暨出貨明細表-基因檢測(201904起'!$P:$P,$A10&amp;"*",'來案暨出貨明細表-基因檢測(201904起'!$B:$B,BB$1,'來案暨出貨明細表-基因檢測(201904起'!$R:$R,"中英")</f>
        <v>1</v>
      </c>
      <c r="BC10" s="33">
        <f>COUNTIFS('來案暨出貨明細表-基因檢測(201904起'!$P:$P,$A10&amp;"*",'來案暨出貨明細表-基因檢測(201904起'!$B:$B,BC$1)*$B10+COUNTIFS('來案暨出貨明細表-基因檢測(201904起'!$P:$P,$A10&amp;"*",'來案暨出貨明細表-基因檢測(201904起'!$B:$B,BC$1,'來案暨出貨明細表-基因檢測(201904起'!$Q:$Q,"紙本&amp;電子")++COUNTIFS('來案暨出貨明細表-基因檢測(201904起'!$P:$P,$A10&amp;"*",'來案暨出貨明細表-基因檢測(201904起'!$B:$B,BC$1,'來案暨出貨明細表-基因檢測(201904起'!$R:$R,"中英")</f>
        <v>0</v>
      </c>
      <c r="BD10" s="33">
        <f>COUNTIFS('來案暨出貨明細表-基因檢測(201904起'!$P:$P,$A10&amp;"*",'來案暨出貨明細表-基因檢測(201904起'!$B:$B,BD$1)*$B10+COUNTIFS('來案暨出貨明細表-基因檢測(201904起'!$P:$P,$A10&amp;"*",'來案暨出貨明細表-基因檢測(201904起'!$B:$B,BD$1,'來案暨出貨明細表-基因檢測(201904起'!$Q:$Q,"紙本&amp;電子")++COUNTIFS('來案暨出貨明細表-基因檢測(201904起'!$P:$P,$A10&amp;"*",'來案暨出貨明細表-基因檢測(201904起'!$B:$B,BD$1,'來案暨出貨明細表-基因檢測(201904起'!$R:$R,"中英")</f>
        <v>0</v>
      </c>
      <c r="BE10" s="33">
        <f>COUNTIFS('來案暨出貨明細表-基因檢測(201904起'!$P:$P,$A10&amp;"*",'來案暨出貨明細表-基因檢測(201904起'!$B:$B,BE$1)*$B10+COUNTIFS('來案暨出貨明細表-基因檢測(201904起'!$P:$P,$A10&amp;"*",'來案暨出貨明細表-基因檢測(201904起'!$B:$B,BE$1,'來案暨出貨明細表-基因檢測(201904起'!$Q:$Q,"紙本&amp;電子")++COUNTIFS('來案暨出貨明細表-基因檢測(201904起'!$P:$P,$A10&amp;"*",'來案暨出貨明細表-基因檢測(201904起'!$B:$B,BE$1,'來案暨出貨明細表-基因檢測(201904起'!$R:$R,"中英")</f>
        <v>0</v>
      </c>
      <c r="BF10" s="33">
        <f>COUNTIFS('來案暨出貨明細表-基因檢測(201904起'!$P:$P,$A10&amp;"*",'來案暨出貨明細表-基因檢測(201904起'!$B:$B,BF$1)*$B10+COUNTIFS('來案暨出貨明細表-基因檢測(201904起'!$P:$P,$A10&amp;"*",'來案暨出貨明細表-基因檢測(201904起'!$B:$B,BF$1,'來案暨出貨明細表-基因檢測(201904起'!$Q:$Q,"紙本&amp;電子")++COUNTIFS('來案暨出貨明細表-基因檢測(201904起'!$P:$P,$A10&amp;"*",'來案暨出貨明細表-基因檢測(201904起'!$B:$B,BF$1,'來案暨出貨明細表-基因檢測(201904起'!$R:$R,"中英")</f>
        <v>0</v>
      </c>
      <c r="BG10" s="33">
        <f>COUNTIFS('來案暨出貨明細表-基因檢測(201904起'!$P:$P,$A10&amp;"*",'來案暨出貨明細表-基因檢測(201904起'!$B:$B,BG$1)*$B10+COUNTIFS('來案暨出貨明細表-基因檢測(201904起'!$P:$P,$A10&amp;"*",'來案暨出貨明細表-基因檢測(201904起'!$B:$B,BG$1,'來案暨出貨明細表-基因檢測(201904起'!$Q:$Q,"紙本&amp;電子")++COUNTIFS('來案暨出貨明細表-基因檢測(201904起'!$P:$P,$A10&amp;"*",'來案暨出貨明細表-基因檢測(201904起'!$B:$B,BG$1,'來案暨出貨明細表-基因檢測(201904起'!$R:$R,"中英")</f>
        <v>0</v>
      </c>
      <c r="BH10" s="33">
        <f>COUNTIFS('來案暨出貨明細表-基因檢測(201904起'!$P:$P,$A10&amp;"*",'來案暨出貨明細表-基因檢測(201904起'!$B:$B,BH$1)*$B10+COUNTIFS('來案暨出貨明細表-基因檢測(201904起'!$P:$P,$A10&amp;"*",'來案暨出貨明細表-基因檢測(201904起'!$B:$B,BH$1,'來案暨出貨明細表-基因檢測(201904起'!$Q:$Q,"紙本&amp;電子")++COUNTIFS('來案暨出貨明細表-基因檢測(201904起'!$P:$P,$A10&amp;"*",'來案暨出貨明細表-基因檢測(201904起'!$B:$B,BH$1,'來案暨出貨明細表-基因檢測(201904起'!$R:$R,"中英")</f>
        <v>0</v>
      </c>
      <c r="BI10" s="33">
        <f>COUNTIFS('來案暨出貨明細表-基因檢測(201904起'!$P:$P,$A10&amp;"*",'來案暨出貨明細表-基因檢測(201904起'!$B:$B,BI$1)*$B10+COUNTIFS('來案暨出貨明細表-基因檢測(201904起'!$P:$P,$A10&amp;"*",'來案暨出貨明細表-基因檢測(201904起'!$B:$B,BI$1,'來案暨出貨明細表-基因檢測(201904起'!$Q:$Q,"紙本&amp;電子")++COUNTIFS('來案暨出貨明細表-基因檢測(201904起'!$P:$P,$A10&amp;"*",'來案暨出貨明細表-基因檢測(201904起'!$B:$B,BI$1,'來案暨出貨明細表-基因檢測(201904起'!$R:$R,"中英")</f>
        <v>0</v>
      </c>
      <c r="BJ10" s="33">
        <f>COUNTIFS('來案暨出貨明細表-基因檢測(201904起'!$P:$P,$A10&amp;"*",'來案暨出貨明細表-基因檢測(201904起'!$B:$B,BJ$1)*$B10+COUNTIFS('來案暨出貨明細表-基因檢測(201904起'!$P:$P,$A10&amp;"*",'來案暨出貨明細表-基因檢測(201904起'!$B:$B,BJ$1,'來案暨出貨明細表-基因檢測(201904起'!$Q:$Q,"紙本&amp;電子")++COUNTIFS('來案暨出貨明細表-基因檢測(201904起'!$P:$P,$A10&amp;"*",'來案暨出貨明細表-基因檢測(201904起'!$B:$B,BJ$1,'來案暨出貨明細表-基因檢測(201904起'!$R:$R,"中英")</f>
        <v>0</v>
      </c>
      <c r="BK10" s="33">
        <f>COUNTIFS('來案暨出貨明細表-基因檢測(201904起'!$P:$P,$A10&amp;"*",'來案暨出貨明細表-基因檢測(201904起'!$B:$B,BK$1)*$B10+COUNTIFS('來案暨出貨明細表-基因檢測(201904起'!$P:$P,$A10&amp;"*",'來案暨出貨明細表-基因檢測(201904起'!$B:$B,BK$1,'來案暨出貨明細表-基因檢測(201904起'!$Q:$Q,"紙本&amp;電子")++COUNTIFS('來案暨出貨明細表-基因檢測(201904起'!$P:$P,$A10&amp;"*",'來案暨出貨明細表-基因檢測(201904起'!$B:$B,BK$1,'來案暨出貨明細表-基因檢測(201904起'!$R:$R,"中英")</f>
        <v>0</v>
      </c>
    </row>
    <row r="11" spans="1:63" ht="15" customHeight="1">
      <c r="A11" s="166" t="s">
        <v>3809</v>
      </c>
      <c r="B11" s="167">
        <v>1</v>
      </c>
      <c r="C11" s="168" t="s">
        <v>3810</v>
      </c>
      <c r="D11" s="169" t="s">
        <v>3809</v>
      </c>
      <c r="E11" s="162">
        <v>0</v>
      </c>
      <c r="F11" s="162">
        <v>0</v>
      </c>
      <c r="G11" s="162">
        <v>0</v>
      </c>
      <c r="H11" s="162">
        <v>0</v>
      </c>
      <c r="I11" s="162">
        <v>0</v>
      </c>
      <c r="J11" s="162">
        <v>0</v>
      </c>
      <c r="K11" s="162">
        <v>0</v>
      </c>
      <c r="L11" s="162">
        <v>0</v>
      </c>
      <c r="M11" s="162">
        <v>0</v>
      </c>
      <c r="N11" s="162">
        <v>0</v>
      </c>
      <c r="O11" s="162">
        <v>0</v>
      </c>
      <c r="P11" s="162">
        <v>0</v>
      </c>
      <c r="Q11" s="162">
        <v>0</v>
      </c>
      <c r="R11" s="162">
        <v>0</v>
      </c>
      <c r="S11" s="162">
        <v>0</v>
      </c>
      <c r="T11" s="162">
        <v>0</v>
      </c>
      <c r="U11" s="162">
        <v>0</v>
      </c>
      <c r="V11" s="162">
        <v>0</v>
      </c>
      <c r="W11" s="162">
        <v>0</v>
      </c>
      <c r="X11" s="162">
        <v>0</v>
      </c>
      <c r="Y11" s="162">
        <v>0</v>
      </c>
      <c r="Z11" s="162">
        <v>0</v>
      </c>
      <c r="AA11" s="162">
        <v>0</v>
      </c>
      <c r="AB11" s="162">
        <v>0</v>
      </c>
      <c r="AC11" s="162">
        <v>0</v>
      </c>
      <c r="AD11" s="162">
        <v>0</v>
      </c>
      <c r="AE11" s="162">
        <v>0</v>
      </c>
      <c r="AF11" s="162">
        <v>0</v>
      </c>
      <c r="AG11" s="162">
        <v>0</v>
      </c>
      <c r="AH11" s="162">
        <v>0</v>
      </c>
      <c r="AI11" s="162">
        <v>0</v>
      </c>
      <c r="AJ11" s="170">
        <v>0</v>
      </c>
      <c r="AK11" s="33">
        <f>COUNTIFS('來案暨出貨明細表-基因檢測(201904起'!$P:$P,$A11&amp;"*",'來案暨出貨明細表-基因檢測(201904起'!$B:$B,AK$1)*$B11+COUNTIFS('來案暨出貨明細表-基因檢測(201904起'!$P:$P,$A11&amp;"*",'來案暨出貨明細表-基因檢測(201904起'!$B:$B,AK$1,'來案暨出貨明細表-基因檢測(201904起'!$Q:$Q,"紙本&amp;電子")++COUNTIFS('來案暨出貨明細表-基因檢測(201904起'!$P:$P,$A11&amp;"*",'來案暨出貨明細表-基因檢測(201904起'!$B:$B,AK$1,'來案暨出貨明細表-基因檢測(201904起'!$R:$R,"中英")</f>
        <v>0</v>
      </c>
      <c r="AL11" s="33">
        <f>COUNTIFS('來案暨出貨明細表-基因檢測(201904起'!$P:$P,$A11&amp;"*",'來案暨出貨明細表-基因檢測(201904起'!$B:$B,AL$1)*$B11+COUNTIFS('來案暨出貨明細表-基因檢測(201904起'!$P:$P,$A11&amp;"*",'來案暨出貨明細表-基因檢測(201904起'!$B:$B,AL$1,'來案暨出貨明細表-基因檢測(201904起'!$Q:$Q,"紙本&amp;電子")++COUNTIFS('來案暨出貨明細表-基因檢測(201904起'!$P:$P,$A11&amp;"*",'來案暨出貨明細表-基因檢測(201904起'!$B:$B,AL$1,'來案暨出貨明細表-基因檢測(201904起'!$R:$R,"中英")</f>
        <v>0</v>
      </c>
      <c r="AM11" s="33">
        <f>COUNTIFS('來案暨出貨明細表-基因檢測(201904起'!$P:$P,$A11&amp;"*",'來案暨出貨明細表-基因檢測(201904起'!$B:$B,AM$1)*$B11+COUNTIFS('來案暨出貨明細表-基因檢測(201904起'!$P:$P,$A11&amp;"*",'來案暨出貨明細表-基因檢測(201904起'!$B:$B,AM$1,'來案暨出貨明細表-基因檢測(201904起'!$Q:$Q,"紙本&amp;電子")++COUNTIFS('來案暨出貨明細表-基因檢測(201904起'!$P:$P,$A11&amp;"*",'來案暨出貨明細表-基因檢測(201904起'!$B:$B,AM$1,'來案暨出貨明細表-基因檢測(201904起'!$R:$R,"中英")</f>
        <v>0</v>
      </c>
      <c r="AN11" s="33">
        <f>COUNTIFS('來案暨出貨明細表-基因檢測(201904起'!$P:$P,$A11&amp;"*",'來案暨出貨明細表-基因檢測(201904起'!$B:$B,AN$1)*$B11+COUNTIFS('來案暨出貨明細表-基因檢測(201904起'!$P:$P,$A11&amp;"*",'來案暨出貨明細表-基因檢測(201904起'!$B:$B,AN$1,'來案暨出貨明細表-基因檢測(201904起'!$Q:$Q,"紙本&amp;電子")++COUNTIFS('來案暨出貨明細表-基因檢測(201904起'!$P:$P,$A11&amp;"*",'來案暨出貨明細表-基因檢測(201904起'!$B:$B,AN$1,'來案暨出貨明細表-基因檢測(201904起'!$R:$R,"中英")</f>
        <v>0</v>
      </c>
      <c r="AO11" s="33">
        <f>COUNTIFS('來案暨出貨明細表-基因檢測(201904起'!$P:$P,$A11&amp;"*",'來案暨出貨明細表-基因檢測(201904起'!$B:$B,AO$1)*$B11+COUNTIFS('來案暨出貨明細表-基因檢測(201904起'!$P:$P,$A11&amp;"*",'來案暨出貨明細表-基因檢測(201904起'!$B:$B,AO$1,'來案暨出貨明細表-基因檢測(201904起'!$Q:$Q,"紙本&amp;電子")++COUNTIFS('來案暨出貨明細表-基因檢測(201904起'!$P:$P,$A11&amp;"*",'來案暨出貨明細表-基因檢測(201904起'!$B:$B,AO$1,'來案暨出貨明細表-基因檢測(201904起'!$R:$R,"中英")</f>
        <v>0</v>
      </c>
      <c r="AP11" s="33">
        <f>COUNTIFS('來案暨出貨明細表-基因檢測(201904起'!$P:$P,$A11&amp;"*",'來案暨出貨明細表-基因檢測(201904起'!$B:$B,AP$1)*$B11+COUNTIFS('來案暨出貨明細表-基因檢測(201904起'!$P:$P,$A11&amp;"*",'來案暨出貨明細表-基因檢測(201904起'!$B:$B,AP$1,'來案暨出貨明細表-基因檢測(201904起'!$Q:$Q,"紙本&amp;電子")++COUNTIFS('來案暨出貨明細表-基因檢測(201904起'!$P:$P,$A11&amp;"*",'來案暨出貨明細表-基因檢測(201904起'!$B:$B,AP$1,'來案暨出貨明細表-基因檢測(201904起'!$R:$R,"中英")</f>
        <v>0</v>
      </c>
      <c r="AQ11" s="33">
        <f>COUNTIFS('來案暨出貨明細表-基因檢測(201904起'!$P:$P,$A11&amp;"*",'來案暨出貨明細表-基因檢測(201904起'!$B:$B,AQ$1)*$B11+COUNTIFS('來案暨出貨明細表-基因檢測(201904起'!$P:$P,$A11&amp;"*",'來案暨出貨明細表-基因檢測(201904起'!$B:$B,AQ$1,'來案暨出貨明細表-基因檢測(201904起'!$Q:$Q,"紙本&amp;電子")++COUNTIFS('來案暨出貨明細表-基因檢測(201904起'!$P:$P,$A11&amp;"*",'來案暨出貨明細表-基因檢測(201904起'!$B:$B,AQ$1,'來案暨出貨明細表-基因檢測(201904起'!$R:$R,"中英")</f>
        <v>0</v>
      </c>
      <c r="AR11" s="33">
        <f>COUNTIFS('來案暨出貨明細表-基因檢測(201904起'!$P:$P,$A11&amp;"*",'來案暨出貨明細表-基因檢測(201904起'!$B:$B,AR$1)*$B11+COUNTIFS('來案暨出貨明細表-基因檢測(201904起'!$P:$P,$A11&amp;"*",'來案暨出貨明細表-基因檢測(201904起'!$B:$B,AR$1,'來案暨出貨明細表-基因檢測(201904起'!$Q:$Q,"紙本&amp;電子")++COUNTIFS('來案暨出貨明細表-基因檢測(201904起'!$P:$P,$A11&amp;"*",'來案暨出貨明細表-基因檢測(201904起'!$B:$B,AR$1,'來案暨出貨明細表-基因檢測(201904起'!$R:$R,"中英")</f>
        <v>0</v>
      </c>
      <c r="AS11" s="33">
        <f>COUNTIFS('來案暨出貨明細表-基因檢測(201904起'!$P:$P,$A11&amp;"*",'來案暨出貨明細表-基因檢測(201904起'!$B:$B,AS$1)*$B11+COUNTIFS('來案暨出貨明細表-基因檢測(201904起'!$P:$P,$A11&amp;"*",'來案暨出貨明細表-基因檢測(201904起'!$B:$B,AS$1,'來案暨出貨明細表-基因檢測(201904起'!$Q:$Q,"紙本&amp;電子")++COUNTIFS('來案暨出貨明細表-基因檢測(201904起'!$P:$P,$A11&amp;"*",'來案暨出貨明細表-基因檢測(201904起'!$B:$B,AS$1,'來案暨出貨明細表-基因檢測(201904起'!$R:$R,"中英")</f>
        <v>0</v>
      </c>
      <c r="AT11" s="33">
        <f>COUNTIFS('來案暨出貨明細表-基因檢測(201904起'!$P:$P,$A11&amp;"*",'來案暨出貨明細表-基因檢測(201904起'!$B:$B,AT$1)*$B11+COUNTIFS('來案暨出貨明細表-基因檢測(201904起'!$P:$P,$A11&amp;"*",'來案暨出貨明細表-基因檢測(201904起'!$B:$B,AT$1,'來案暨出貨明細表-基因檢測(201904起'!$Q:$Q,"紙本&amp;電子")++COUNTIFS('來案暨出貨明細表-基因檢測(201904起'!$P:$P,$A11&amp;"*",'來案暨出貨明細表-基因檢測(201904起'!$B:$B,AT$1,'來案暨出貨明細表-基因檢測(201904起'!$R:$R,"中英")</f>
        <v>0</v>
      </c>
      <c r="AU11" s="33">
        <f>COUNTIFS('來案暨出貨明細表-基因檢測(201904起'!$P:$P,$A11&amp;"*",'來案暨出貨明細表-基因檢測(201904起'!$B:$B,AU$1)*$B11+COUNTIFS('來案暨出貨明細表-基因檢測(201904起'!$P:$P,$A11&amp;"*",'來案暨出貨明細表-基因檢測(201904起'!$B:$B,AU$1,'來案暨出貨明細表-基因檢測(201904起'!$Q:$Q,"紙本&amp;電子")++COUNTIFS('來案暨出貨明細表-基因檢測(201904起'!$P:$P,$A11&amp;"*",'來案暨出貨明細表-基因檢測(201904起'!$B:$B,AU$1,'來案暨出貨明細表-基因檢測(201904起'!$R:$R,"中英")</f>
        <v>0</v>
      </c>
      <c r="AV11" s="33">
        <f>COUNTIFS('來案暨出貨明細表-基因檢測(201904起'!$P:$P,$A11&amp;"*",'來案暨出貨明細表-基因檢測(201904起'!$B:$B,AV$1)*$B11+COUNTIFS('來案暨出貨明細表-基因檢測(201904起'!$P:$P,$A11&amp;"*",'來案暨出貨明細表-基因檢測(201904起'!$B:$B,AV$1,'來案暨出貨明細表-基因檢測(201904起'!$Q:$Q,"紙本&amp;電子")++COUNTIFS('來案暨出貨明細表-基因檢測(201904起'!$P:$P,$A11&amp;"*",'來案暨出貨明細表-基因檢測(201904起'!$B:$B,AV$1,'來案暨出貨明細表-基因檢測(201904起'!$R:$R,"中英")</f>
        <v>19</v>
      </c>
      <c r="AW11" s="33">
        <f>COUNTIFS('來案暨出貨明細表-基因檢測(201904起'!$P:$P,$A11&amp;"*",'來案暨出貨明細表-基因檢測(201904起'!$B:$B,AW$1)*$B11+COUNTIFS('來案暨出貨明細表-基因檢測(201904起'!$P:$P,$A11&amp;"*",'來案暨出貨明細表-基因檢測(201904起'!$B:$B,AW$1,'來案暨出貨明細表-基因檢測(201904起'!$Q:$Q,"紙本&amp;電子")++COUNTIFS('來案暨出貨明細表-基因檢測(201904起'!$P:$P,$A11&amp;"*",'來案暨出貨明細表-基因檢測(201904起'!$B:$B,AW$1,'來案暨出貨明細表-基因檢測(201904起'!$R:$R,"中英")</f>
        <v>0</v>
      </c>
      <c r="AX11" s="33">
        <f>COUNTIFS('來案暨出貨明細表-基因檢測(201904起'!$P:$P,$A11&amp;"*",'來案暨出貨明細表-基因檢測(201904起'!$B:$B,AX$1)*$B11+COUNTIFS('來案暨出貨明細表-基因檢測(201904起'!$P:$P,$A11&amp;"*",'來案暨出貨明細表-基因檢測(201904起'!$B:$B,AX$1,'來案暨出貨明細表-基因檢測(201904起'!$Q:$Q,"紙本&amp;電子")++COUNTIFS('來案暨出貨明細表-基因檢測(201904起'!$P:$P,$A11&amp;"*",'來案暨出貨明細表-基因檢測(201904起'!$B:$B,AX$1,'來案暨出貨明細表-基因檢測(201904起'!$R:$R,"中英")</f>
        <v>0</v>
      </c>
      <c r="AY11" s="33">
        <f>COUNTIFS('來案暨出貨明細表-基因檢測(201904起'!$P:$P,$A11&amp;"*",'來案暨出貨明細表-基因檢測(201904起'!$B:$B,AY$1)*$B11+COUNTIFS('來案暨出貨明細表-基因檢測(201904起'!$P:$P,$A11&amp;"*",'來案暨出貨明細表-基因檢測(201904起'!$B:$B,AY$1,'來案暨出貨明細表-基因檢測(201904起'!$Q:$Q,"紙本&amp;電子")++COUNTIFS('來案暨出貨明細表-基因檢測(201904起'!$P:$P,$A11&amp;"*",'來案暨出貨明細表-基因檢測(201904起'!$B:$B,AY$1,'來案暨出貨明細表-基因檢測(201904起'!$R:$R,"中英")</f>
        <v>0</v>
      </c>
      <c r="AZ11" s="33">
        <f>COUNTIFS('來案暨出貨明細表-基因檢測(201904起'!$P:$P,$A11&amp;"*",'來案暨出貨明細表-基因檢測(201904起'!$B:$B,AZ$1)*$B11+COUNTIFS('來案暨出貨明細表-基因檢測(201904起'!$P:$P,$A11&amp;"*",'來案暨出貨明細表-基因檢測(201904起'!$B:$B,AZ$1,'來案暨出貨明細表-基因檢測(201904起'!$Q:$Q,"紙本&amp;電子")++COUNTIFS('來案暨出貨明細表-基因檢測(201904起'!$P:$P,$A11&amp;"*",'來案暨出貨明細表-基因檢測(201904起'!$B:$B,AZ$1,'來案暨出貨明細表-基因檢測(201904起'!$R:$R,"中英")</f>
        <v>0</v>
      </c>
      <c r="BA11" s="33">
        <f>COUNTIFS('來案暨出貨明細表-基因檢測(201904起'!$P:$P,$A11&amp;"*",'來案暨出貨明細表-基因檢測(201904起'!$B:$B,BA$1)*$B11+COUNTIFS('來案暨出貨明細表-基因檢測(201904起'!$P:$P,$A11&amp;"*",'來案暨出貨明細表-基因檢測(201904起'!$B:$B,BA$1,'來案暨出貨明細表-基因檢測(201904起'!$Q:$Q,"紙本&amp;電子")++COUNTIFS('來案暨出貨明細表-基因檢測(201904起'!$P:$P,$A11&amp;"*",'來案暨出貨明細表-基因檢測(201904起'!$B:$B,BA$1,'來案暨出貨明細表-基因檢測(201904起'!$R:$R,"中英")</f>
        <v>0</v>
      </c>
      <c r="BB11" s="33">
        <f>COUNTIFS('來案暨出貨明細表-基因檢測(201904起'!$P:$P,$A11&amp;"*",'來案暨出貨明細表-基因檢測(201904起'!$B:$B,BB$1)*$B11+COUNTIFS('來案暨出貨明細表-基因檢測(201904起'!$P:$P,$A11&amp;"*",'來案暨出貨明細表-基因檢測(201904起'!$B:$B,BB$1,'來案暨出貨明細表-基因檢測(201904起'!$Q:$Q,"紙本&amp;電子")++COUNTIFS('來案暨出貨明細表-基因檢測(201904起'!$P:$P,$A11&amp;"*",'來案暨出貨明細表-基因檢測(201904起'!$B:$B,BB$1,'來案暨出貨明細表-基因檢測(201904起'!$R:$R,"中英")</f>
        <v>0</v>
      </c>
      <c r="BC11" s="33">
        <f>COUNTIFS('來案暨出貨明細表-基因檢測(201904起'!$P:$P,$A11&amp;"*",'來案暨出貨明細表-基因檢測(201904起'!$B:$B,BC$1)*$B11+COUNTIFS('來案暨出貨明細表-基因檢測(201904起'!$P:$P,$A11&amp;"*",'來案暨出貨明細表-基因檢測(201904起'!$B:$B,BC$1,'來案暨出貨明細表-基因檢測(201904起'!$Q:$Q,"紙本&amp;電子")++COUNTIFS('來案暨出貨明細表-基因檢測(201904起'!$P:$P,$A11&amp;"*",'來案暨出貨明細表-基因檢測(201904起'!$B:$B,BC$1,'來案暨出貨明細表-基因檢測(201904起'!$R:$R,"中英")</f>
        <v>0</v>
      </c>
      <c r="BD11" s="33">
        <f>COUNTIFS('來案暨出貨明細表-基因檢測(201904起'!$P:$P,$A11&amp;"*",'來案暨出貨明細表-基因檢測(201904起'!$B:$B,BD$1)*$B11+COUNTIFS('來案暨出貨明細表-基因檢測(201904起'!$P:$P,$A11&amp;"*",'來案暨出貨明細表-基因檢測(201904起'!$B:$B,BD$1,'來案暨出貨明細表-基因檢測(201904起'!$Q:$Q,"紙本&amp;電子")++COUNTIFS('來案暨出貨明細表-基因檢測(201904起'!$P:$P,$A11&amp;"*",'來案暨出貨明細表-基因檢測(201904起'!$B:$B,BD$1,'來案暨出貨明細表-基因檢測(201904起'!$R:$R,"中英")</f>
        <v>0</v>
      </c>
      <c r="BE11" s="33">
        <f>COUNTIFS('來案暨出貨明細表-基因檢測(201904起'!$P:$P,$A11&amp;"*",'來案暨出貨明細表-基因檢測(201904起'!$B:$B,BE$1)*$B11+COUNTIFS('來案暨出貨明細表-基因檢測(201904起'!$P:$P,$A11&amp;"*",'來案暨出貨明細表-基因檢測(201904起'!$B:$B,BE$1,'來案暨出貨明細表-基因檢測(201904起'!$Q:$Q,"紙本&amp;電子")++COUNTIFS('來案暨出貨明細表-基因檢測(201904起'!$P:$P,$A11&amp;"*",'來案暨出貨明細表-基因檢測(201904起'!$B:$B,BE$1,'來案暨出貨明細表-基因檢測(201904起'!$R:$R,"中英")</f>
        <v>0</v>
      </c>
      <c r="BF11" s="33">
        <f>COUNTIFS('來案暨出貨明細表-基因檢測(201904起'!$P:$P,$A11&amp;"*",'來案暨出貨明細表-基因檢測(201904起'!$B:$B,BF$1)*$B11+COUNTIFS('來案暨出貨明細表-基因檢測(201904起'!$P:$P,$A11&amp;"*",'來案暨出貨明細表-基因檢測(201904起'!$B:$B,BF$1,'來案暨出貨明細表-基因檢測(201904起'!$Q:$Q,"紙本&amp;電子")++COUNTIFS('來案暨出貨明細表-基因檢測(201904起'!$P:$P,$A11&amp;"*",'來案暨出貨明細表-基因檢測(201904起'!$B:$B,BF$1,'來案暨出貨明細表-基因檢測(201904起'!$R:$R,"中英")</f>
        <v>0</v>
      </c>
      <c r="BG11" s="33">
        <f>COUNTIFS('來案暨出貨明細表-基因檢測(201904起'!$P:$P,$A11&amp;"*",'來案暨出貨明細表-基因檢測(201904起'!$B:$B,BG$1)*$B11+COUNTIFS('來案暨出貨明細表-基因檢測(201904起'!$P:$P,$A11&amp;"*",'來案暨出貨明細表-基因檢測(201904起'!$B:$B,BG$1,'來案暨出貨明細表-基因檢測(201904起'!$Q:$Q,"紙本&amp;電子")++COUNTIFS('來案暨出貨明細表-基因檢測(201904起'!$P:$P,$A11&amp;"*",'來案暨出貨明細表-基因檢測(201904起'!$B:$B,BG$1,'來案暨出貨明細表-基因檢測(201904起'!$R:$R,"中英")</f>
        <v>0</v>
      </c>
      <c r="BH11" s="33">
        <f>COUNTIFS('來案暨出貨明細表-基因檢測(201904起'!$P:$P,$A11&amp;"*",'來案暨出貨明細表-基因檢測(201904起'!$B:$B,BH$1)*$B11+COUNTIFS('來案暨出貨明細表-基因檢測(201904起'!$P:$P,$A11&amp;"*",'來案暨出貨明細表-基因檢測(201904起'!$B:$B,BH$1,'來案暨出貨明細表-基因檢測(201904起'!$Q:$Q,"紙本&amp;電子")++COUNTIFS('來案暨出貨明細表-基因檢測(201904起'!$P:$P,$A11&amp;"*",'來案暨出貨明細表-基因檢測(201904起'!$B:$B,BH$1,'來案暨出貨明細表-基因檢測(201904起'!$R:$R,"中英")</f>
        <v>0</v>
      </c>
      <c r="BI11" s="33">
        <f>COUNTIFS('來案暨出貨明細表-基因檢測(201904起'!$P:$P,$A11&amp;"*",'來案暨出貨明細表-基因檢測(201904起'!$B:$B,BI$1)*$B11+COUNTIFS('來案暨出貨明細表-基因檢測(201904起'!$P:$P,$A11&amp;"*",'來案暨出貨明細表-基因檢測(201904起'!$B:$B,BI$1,'來案暨出貨明細表-基因檢測(201904起'!$Q:$Q,"紙本&amp;電子")++COUNTIFS('來案暨出貨明細表-基因檢測(201904起'!$P:$P,$A11&amp;"*",'來案暨出貨明細表-基因檢測(201904起'!$B:$B,BI$1,'來案暨出貨明細表-基因檢測(201904起'!$R:$R,"中英")</f>
        <v>0</v>
      </c>
      <c r="BJ11" s="33">
        <f>COUNTIFS('來案暨出貨明細表-基因檢測(201904起'!$P:$P,$A11&amp;"*",'來案暨出貨明細表-基因檢測(201904起'!$B:$B,BJ$1)*$B11+COUNTIFS('來案暨出貨明細表-基因檢測(201904起'!$P:$P,$A11&amp;"*",'來案暨出貨明細表-基因檢測(201904起'!$B:$B,BJ$1,'來案暨出貨明細表-基因檢測(201904起'!$Q:$Q,"紙本&amp;電子")++COUNTIFS('來案暨出貨明細表-基因檢測(201904起'!$P:$P,$A11&amp;"*",'來案暨出貨明細表-基因檢測(201904起'!$B:$B,BJ$1,'來案暨出貨明細表-基因檢測(201904起'!$R:$R,"中英")</f>
        <v>0</v>
      </c>
      <c r="BK11" s="33">
        <f>COUNTIFS('來案暨出貨明細表-基因檢測(201904起'!$P:$P,$A11&amp;"*",'來案暨出貨明細表-基因檢測(201904起'!$B:$B,BK$1)*$B11+COUNTIFS('來案暨出貨明細表-基因檢測(201904起'!$P:$P,$A11&amp;"*",'來案暨出貨明細表-基因檢測(201904起'!$B:$B,BK$1,'來案暨出貨明細表-基因檢測(201904起'!$Q:$Q,"紙本&amp;電子")++COUNTIFS('來案暨出貨明細表-基因檢測(201904起'!$P:$P,$A11&amp;"*",'來案暨出貨明細表-基因檢測(201904起'!$B:$B,BK$1,'來案暨出貨明細表-基因檢測(201904起'!$R:$R,"中英")</f>
        <v>0</v>
      </c>
    </row>
    <row r="12" spans="1:63" ht="15" customHeight="1">
      <c r="A12" s="166" t="s">
        <v>3992</v>
      </c>
      <c r="B12" s="167">
        <v>1</v>
      </c>
      <c r="C12" s="168" t="s">
        <v>3993</v>
      </c>
      <c r="D12" s="169" t="s">
        <v>3994</v>
      </c>
      <c r="E12" s="162">
        <v>0</v>
      </c>
      <c r="F12" s="162">
        <v>0</v>
      </c>
      <c r="G12" s="162">
        <v>0</v>
      </c>
      <c r="H12" s="162">
        <v>0</v>
      </c>
      <c r="I12" s="162">
        <v>0</v>
      </c>
      <c r="J12" s="162">
        <v>0</v>
      </c>
      <c r="K12" s="162">
        <v>0</v>
      </c>
      <c r="L12" s="162">
        <v>0</v>
      </c>
      <c r="M12" s="162">
        <v>0</v>
      </c>
      <c r="N12" s="162">
        <v>0</v>
      </c>
      <c r="O12" s="162">
        <v>0</v>
      </c>
      <c r="P12" s="162">
        <v>0</v>
      </c>
      <c r="Q12" s="162">
        <v>0</v>
      </c>
      <c r="R12" s="162">
        <v>0</v>
      </c>
      <c r="S12" s="162">
        <v>0</v>
      </c>
      <c r="T12" s="162">
        <v>2</v>
      </c>
      <c r="U12" s="162">
        <v>0</v>
      </c>
      <c r="V12" s="162">
        <v>0</v>
      </c>
      <c r="W12" s="162">
        <v>0</v>
      </c>
      <c r="X12" s="162">
        <v>0</v>
      </c>
      <c r="Y12" s="162">
        <v>0</v>
      </c>
      <c r="Z12" s="162">
        <v>0</v>
      </c>
      <c r="AA12" s="162">
        <v>2</v>
      </c>
      <c r="AB12" s="162">
        <v>0</v>
      </c>
      <c r="AC12" s="162">
        <v>1</v>
      </c>
      <c r="AD12" s="162">
        <v>0</v>
      </c>
      <c r="AE12" s="162">
        <v>0</v>
      </c>
      <c r="AF12" s="162">
        <v>3</v>
      </c>
      <c r="AG12" s="162">
        <v>0</v>
      </c>
      <c r="AH12" s="162">
        <v>0</v>
      </c>
      <c r="AI12" s="162">
        <v>0</v>
      </c>
      <c r="AJ12" s="170">
        <v>8</v>
      </c>
      <c r="AK12" s="33">
        <f>COUNTIFS('來案暨出貨明細表-基因檢測(201904起'!$P:$P,$A12&amp;"*",'來案暨出貨明細表-基因檢測(201904起'!$B:$B,AK$1)*$B12+COUNTIFS('來案暨出貨明細表-基因檢測(201904起'!$P:$P,$A12&amp;"*",'來案暨出貨明細表-基因檢測(201904起'!$B:$B,AK$1,'來案暨出貨明細表-基因檢測(201904起'!$Q:$Q,"紙本&amp;電子")++COUNTIFS('來案暨出貨明細表-基因檢測(201904起'!$P:$P,$A12&amp;"*",'來案暨出貨明細表-基因檢測(201904起'!$B:$B,AK$1,'來案暨出貨明細表-基因檢測(201904起'!$R:$R,"中英")</f>
        <v>0</v>
      </c>
      <c r="AL12" s="33">
        <f>COUNTIFS('來案暨出貨明細表-基因檢測(201904起'!$P:$P,$A12&amp;"*",'來案暨出貨明細表-基因檢測(201904起'!$B:$B,AL$1)*$B12+COUNTIFS('來案暨出貨明細表-基因檢測(201904起'!$P:$P,$A12&amp;"*",'來案暨出貨明細表-基因檢測(201904起'!$B:$B,AL$1,'來案暨出貨明細表-基因檢測(201904起'!$Q:$Q,"紙本&amp;電子")++COUNTIFS('來案暨出貨明細表-基因檢測(201904起'!$P:$P,$A12&amp;"*",'來案暨出貨明細表-基因檢測(201904起'!$B:$B,AL$1,'來案暨出貨明細表-基因檢測(201904起'!$R:$R,"中英")</f>
        <v>0</v>
      </c>
      <c r="AM12" s="33">
        <f>COUNTIFS('來案暨出貨明細表-基因檢測(201904起'!$P:$P,$A12&amp;"*",'來案暨出貨明細表-基因檢測(201904起'!$B:$B,AM$1)*$B12+COUNTIFS('來案暨出貨明細表-基因檢測(201904起'!$P:$P,$A12&amp;"*",'來案暨出貨明細表-基因檢測(201904起'!$B:$B,AM$1,'來案暨出貨明細表-基因檢測(201904起'!$Q:$Q,"紙本&amp;電子")++COUNTIFS('來案暨出貨明細表-基因檢測(201904起'!$P:$P,$A12&amp;"*",'來案暨出貨明細表-基因檢測(201904起'!$B:$B,AM$1,'來案暨出貨明細表-基因檢測(201904起'!$R:$R,"中英")</f>
        <v>0</v>
      </c>
      <c r="AN12" s="33">
        <f>COUNTIFS('來案暨出貨明細表-基因檢測(201904起'!$P:$P,$A12&amp;"*",'來案暨出貨明細表-基因檢測(201904起'!$B:$B,AN$1)*$B12+COUNTIFS('來案暨出貨明細表-基因檢測(201904起'!$P:$P,$A12&amp;"*",'來案暨出貨明細表-基因檢測(201904起'!$B:$B,AN$1,'來案暨出貨明細表-基因檢測(201904起'!$Q:$Q,"紙本&amp;電子")++COUNTIFS('來案暨出貨明細表-基因檢測(201904起'!$P:$P,$A12&amp;"*",'來案暨出貨明細表-基因檢測(201904起'!$B:$B,AN$1,'來案暨出貨明細表-基因檢測(201904起'!$R:$R,"中英")</f>
        <v>0</v>
      </c>
      <c r="AO12" s="33">
        <f>COUNTIFS('來案暨出貨明細表-基因檢測(201904起'!$P:$P,$A12&amp;"*",'來案暨出貨明細表-基因檢測(201904起'!$B:$B,AO$1)*$B12+COUNTIFS('來案暨出貨明細表-基因檢測(201904起'!$P:$P,$A12&amp;"*",'來案暨出貨明細表-基因檢測(201904起'!$B:$B,AO$1,'來案暨出貨明細表-基因檢測(201904起'!$Q:$Q,"紙本&amp;電子")++COUNTIFS('來案暨出貨明細表-基因檢測(201904起'!$P:$P,$A12&amp;"*",'來案暨出貨明細表-基因檢測(201904起'!$B:$B,AO$1,'來案暨出貨明細表-基因檢測(201904起'!$R:$R,"中英")</f>
        <v>0</v>
      </c>
      <c r="AP12" s="33">
        <f>COUNTIFS('來案暨出貨明細表-基因檢測(201904起'!$P:$P,$A12&amp;"*",'來案暨出貨明細表-基因檢測(201904起'!$B:$B,AP$1)*$B12+COUNTIFS('來案暨出貨明細表-基因檢測(201904起'!$P:$P,$A12&amp;"*",'來案暨出貨明細表-基因檢測(201904起'!$B:$B,AP$1,'來案暨出貨明細表-基因檢測(201904起'!$Q:$Q,"紙本&amp;電子")++COUNTIFS('來案暨出貨明細表-基因檢測(201904起'!$P:$P,$A12&amp;"*",'來案暨出貨明細表-基因檢測(201904起'!$B:$B,AP$1,'來案暨出貨明細表-基因檢測(201904起'!$R:$R,"中英")</f>
        <v>0</v>
      </c>
      <c r="AQ12" s="33">
        <f>COUNTIFS('來案暨出貨明細表-基因檢測(201904起'!$P:$P,$A12&amp;"*",'來案暨出貨明細表-基因檢測(201904起'!$B:$B,AQ$1)*$B12+COUNTIFS('來案暨出貨明細表-基因檢測(201904起'!$P:$P,$A12&amp;"*",'來案暨出貨明細表-基因檢測(201904起'!$B:$B,AQ$1,'來案暨出貨明細表-基因檢測(201904起'!$Q:$Q,"紙本&amp;電子")++COUNTIFS('來案暨出貨明細表-基因檢測(201904起'!$P:$P,$A12&amp;"*",'來案暨出貨明細表-基因檢測(201904起'!$B:$B,AQ$1,'來案暨出貨明細表-基因檢測(201904起'!$R:$R,"中英")</f>
        <v>3</v>
      </c>
      <c r="AR12" s="33">
        <f>COUNTIFS('來案暨出貨明細表-基因檢測(201904起'!$P:$P,$A12&amp;"*",'來案暨出貨明細表-基因檢測(201904起'!$B:$B,AR$1)*$B12+COUNTIFS('來案暨出貨明細表-基因檢測(201904起'!$P:$P,$A12&amp;"*",'來案暨出貨明細表-基因檢測(201904起'!$B:$B,AR$1,'來案暨出貨明細表-基因檢測(201904起'!$Q:$Q,"紙本&amp;電子")++COUNTIFS('來案暨出貨明細表-基因檢測(201904起'!$P:$P,$A12&amp;"*",'來案暨出貨明細表-基因檢測(201904起'!$B:$B,AR$1,'來案暨出貨明細表-基因檢測(201904起'!$R:$R,"中英")</f>
        <v>0</v>
      </c>
      <c r="AS12" s="33">
        <f>COUNTIFS('來案暨出貨明細表-基因檢測(201904起'!$P:$P,$A12&amp;"*",'來案暨出貨明細表-基因檢測(201904起'!$B:$B,AS$1)*$B12+COUNTIFS('來案暨出貨明細表-基因檢測(201904起'!$P:$P,$A12&amp;"*",'來案暨出貨明細表-基因檢測(201904起'!$B:$B,AS$1,'來案暨出貨明細表-基因檢測(201904起'!$Q:$Q,"紙本&amp;電子")++COUNTIFS('來案暨出貨明細表-基因檢測(201904起'!$P:$P,$A12&amp;"*",'來案暨出貨明細表-基因檢測(201904起'!$B:$B,AS$1,'來案暨出貨明細表-基因檢測(201904起'!$R:$R,"中英")</f>
        <v>0</v>
      </c>
      <c r="AT12" s="33">
        <f>COUNTIFS('來案暨出貨明細表-基因檢測(201904起'!$P:$P,$A12&amp;"*",'來案暨出貨明細表-基因檢測(201904起'!$B:$B,AT$1)*$B12+COUNTIFS('來案暨出貨明細表-基因檢測(201904起'!$P:$P,$A12&amp;"*",'來案暨出貨明細表-基因檢測(201904起'!$B:$B,AT$1,'來案暨出貨明細表-基因檢測(201904起'!$Q:$Q,"紙本&amp;電子")++COUNTIFS('來案暨出貨明細表-基因檢測(201904起'!$P:$P,$A12&amp;"*",'來案暨出貨明細表-基因檢測(201904起'!$B:$B,AT$1,'來案暨出貨明細表-基因檢測(201904起'!$R:$R,"中英")</f>
        <v>1</v>
      </c>
      <c r="AU12" s="33">
        <f>COUNTIFS('來案暨出貨明細表-基因檢測(201904起'!$P:$P,$A12&amp;"*",'來案暨出貨明細表-基因檢測(201904起'!$B:$B,AU$1)*$B12+COUNTIFS('來案暨出貨明細表-基因檢測(201904起'!$P:$P,$A12&amp;"*",'來案暨出貨明細表-基因檢測(201904起'!$B:$B,AU$1,'來案暨出貨明細表-基因檢測(201904起'!$Q:$Q,"紙本&amp;電子")++COUNTIFS('來案暨出貨明細表-基因檢測(201904起'!$P:$P,$A12&amp;"*",'來案暨出貨明細表-基因檢測(201904起'!$B:$B,AU$1,'來案暨出貨明細表-基因檢測(201904起'!$R:$R,"中英")</f>
        <v>0</v>
      </c>
      <c r="AV12" s="33">
        <f>COUNTIFS('來案暨出貨明細表-基因檢測(201904起'!$P:$P,$A12&amp;"*",'來案暨出貨明細表-基因檢測(201904起'!$B:$B,AV$1)*$B12+COUNTIFS('來案暨出貨明細表-基因檢測(201904起'!$P:$P,$A12&amp;"*",'來案暨出貨明細表-基因檢測(201904起'!$B:$B,AV$1,'來案暨出貨明細表-基因檢測(201904起'!$Q:$Q,"紙本&amp;電子")++COUNTIFS('來案暨出貨明細表-基因檢測(201904起'!$P:$P,$A12&amp;"*",'來案暨出貨明細表-基因檢測(201904起'!$B:$B,AV$1,'來案暨出貨明細表-基因檢測(201904起'!$R:$R,"中英")</f>
        <v>0</v>
      </c>
      <c r="AW12" s="33">
        <f>COUNTIFS('來案暨出貨明細表-基因檢測(201904起'!$P:$P,$A12&amp;"*",'來案暨出貨明細表-基因檢測(201904起'!$B:$B,AW$1)*$B12+COUNTIFS('來案暨出貨明細表-基因檢測(201904起'!$P:$P,$A12&amp;"*",'來案暨出貨明細表-基因檢測(201904起'!$B:$B,AW$1,'來案暨出貨明細表-基因檢測(201904起'!$Q:$Q,"紙本&amp;電子")++COUNTIFS('來案暨出貨明細表-基因檢測(201904起'!$P:$P,$A12&amp;"*",'來案暨出貨明細表-基因檢測(201904起'!$B:$B,AW$1,'來案暨出貨明細表-基因檢測(201904起'!$R:$R,"中英")</f>
        <v>0</v>
      </c>
      <c r="AX12" s="33">
        <f>COUNTIFS('來案暨出貨明細表-基因檢測(201904起'!$P:$P,$A12&amp;"*",'來案暨出貨明細表-基因檢測(201904起'!$B:$B,AX$1)*$B12+COUNTIFS('來案暨出貨明細表-基因檢測(201904起'!$P:$P,$A12&amp;"*",'來案暨出貨明細表-基因檢測(201904起'!$B:$B,AX$1,'來案暨出貨明細表-基因檢測(201904起'!$Q:$Q,"紙本&amp;電子")++COUNTIFS('來案暨出貨明細表-基因檢測(201904起'!$P:$P,$A12&amp;"*",'來案暨出貨明細表-基因檢測(201904起'!$B:$B,AX$1,'來案暨出貨明細表-基因檢測(201904起'!$R:$R,"中英")</f>
        <v>0</v>
      </c>
      <c r="AY12" s="33">
        <f>COUNTIFS('來案暨出貨明細表-基因檢測(201904起'!$P:$P,$A12&amp;"*",'來案暨出貨明細表-基因檢測(201904起'!$B:$B,AY$1)*$B12+COUNTIFS('來案暨出貨明細表-基因檢測(201904起'!$P:$P,$A12&amp;"*",'來案暨出貨明細表-基因檢測(201904起'!$B:$B,AY$1,'來案暨出貨明細表-基因檢測(201904起'!$Q:$Q,"紙本&amp;電子")++COUNTIFS('來案暨出貨明細表-基因檢測(201904起'!$P:$P,$A12&amp;"*",'來案暨出貨明細表-基因檢測(201904起'!$B:$B,AY$1,'來案暨出貨明細表-基因檢測(201904起'!$R:$R,"中英")</f>
        <v>0</v>
      </c>
      <c r="AZ12" s="33">
        <f>COUNTIFS('來案暨出貨明細表-基因檢測(201904起'!$P:$P,$A12&amp;"*",'來案暨出貨明細表-基因檢測(201904起'!$B:$B,AZ$1)*$B12+COUNTIFS('來案暨出貨明細表-基因檢測(201904起'!$P:$P,$A12&amp;"*",'來案暨出貨明細表-基因檢測(201904起'!$B:$B,AZ$1,'來案暨出貨明細表-基因檢測(201904起'!$Q:$Q,"紙本&amp;電子")++COUNTIFS('來案暨出貨明細表-基因檢測(201904起'!$P:$P,$A12&amp;"*",'來案暨出貨明細表-基因檢測(201904起'!$B:$B,AZ$1,'來案暨出貨明細表-基因檢測(201904起'!$R:$R,"中英")</f>
        <v>0</v>
      </c>
      <c r="BA12" s="33">
        <f>COUNTIFS('來案暨出貨明細表-基因檢測(201904起'!$P:$P,$A12&amp;"*",'來案暨出貨明細表-基因檢測(201904起'!$B:$B,BA$1)*$B12+COUNTIFS('來案暨出貨明細表-基因檢測(201904起'!$P:$P,$A12&amp;"*",'來案暨出貨明細表-基因檢測(201904起'!$B:$B,BA$1,'來案暨出貨明細表-基因檢測(201904起'!$Q:$Q,"紙本&amp;電子")++COUNTIFS('來案暨出貨明細表-基因檢測(201904起'!$P:$P,$A12&amp;"*",'來案暨出貨明細表-基因檢測(201904起'!$B:$B,BA$1,'來案暨出貨明細表-基因檢測(201904起'!$R:$R,"中英")</f>
        <v>0</v>
      </c>
      <c r="BB12" s="33">
        <f>COUNTIFS('來案暨出貨明細表-基因檢測(201904起'!$P:$P,$A12&amp;"*",'來案暨出貨明細表-基因檢測(201904起'!$B:$B,BB$1)*$B12+COUNTIFS('來案暨出貨明細表-基因檢測(201904起'!$P:$P,$A12&amp;"*",'來案暨出貨明細表-基因檢測(201904起'!$B:$B,BB$1,'來案暨出貨明細表-基因檢測(201904起'!$Q:$Q,"紙本&amp;電子")++COUNTIFS('來案暨出貨明細表-基因檢測(201904起'!$P:$P,$A12&amp;"*",'來案暨出貨明細表-基因檢測(201904起'!$B:$B,BB$1,'來案暨出貨明細表-基因檢測(201904起'!$R:$R,"中英")</f>
        <v>1</v>
      </c>
      <c r="BC12" s="33">
        <f>COUNTIFS('來案暨出貨明細表-基因檢測(201904起'!$P:$P,$A12&amp;"*",'來案暨出貨明細表-基因檢測(201904起'!$B:$B,BC$1)*$B12+COUNTIFS('來案暨出貨明細表-基因檢測(201904起'!$P:$P,$A12&amp;"*",'來案暨出貨明細表-基因檢測(201904起'!$B:$B,BC$1,'來案暨出貨明細表-基因檢測(201904起'!$Q:$Q,"紙本&amp;電子")++COUNTIFS('來案暨出貨明細表-基因檢測(201904起'!$P:$P,$A12&amp;"*",'來案暨出貨明細表-基因檢測(201904起'!$B:$B,BC$1,'來案暨出貨明細表-基因檢測(201904起'!$R:$R,"中英")</f>
        <v>0</v>
      </c>
      <c r="BD12" s="33">
        <f>COUNTIFS('來案暨出貨明細表-基因檢測(201904起'!$P:$P,$A12&amp;"*",'來案暨出貨明細表-基因檢測(201904起'!$B:$B,BD$1)*$B12+COUNTIFS('來案暨出貨明細表-基因檢測(201904起'!$P:$P,$A12&amp;"*",'來案暨出貨明細表-基因檢測(201904起'!$B:$B,BD$1,'來案暨出貨明細表-基因檢測(201904起'!$Q:$Q,"紙本&amp;電子")++COUNTIFS('來案暨出貨明細表-基因檢測(201904起'!$P:$P,$A12&amp;"*",'來案暨出貨明細表-基因檢測(201904起'!$B:$B,BD$1,'來案暨出貨明細表-基因檢測(201904起'!$R:$R,"中英")</f>
        <v>0</v>
      </c>
      <c r="BE12" s="33">
        <f>COUNTIFS('來案暨出貨明細表-基因檢測(201904起'!$P:$P,$A12&amp;"*",'來案暨出貨明細表-基因檢測(201904起'!$B:$B,BE$1)*$B12+COUNTIFS('來案暨出貨明細表-基因檢測(201904起'!$P:$P,$A12&amp;"*",'來案暨出貨明細表-基因檢測(201904起'!$B:$B,BE$1,'來案暨出貨明細表-基因檢測(201904起'!$Q:$Q,"紙本&amp;電子")++COUNTIFS('來案暨出貨明細表-基因檢測(201904起'!$P:$P,$A12&amp;"*",'來案暨出貨明細表-基因檢測(201904起'!$B:$B,BE$1,'來案暨出貨明細表-基因檢測(201904起'!$R:$R,"中英")</f>
        <v>0</v>
      </c>
      <c r="BF12" s="33">
        <f>COUNTIFS('來案暨出貨明細表-基因檢測(201904起'!$P:$P,$A12&amp;"*",'來案暨出貨明細表-基因檢測(201904起'!$B:$B,BF$1)*$B12+COUNTIFS('來案暨出貨明細表-基因檢測(201904起'!$P:$P,$A12&amp;"*",'來案暨出貨明細表-基因檢測(201904起'!$B:$B,BF$1,'來案暨出貨明細表-基因檢測(201904起'!$Q:$Q,"紙本&amp;電子")++COUNTIFS('來案暨出貨明細表-基因檢測(201904起'!$P:$P,$A12&amp;"*",'來案暨出貨明細表-基因檢測(201904起'!$B:$B,BF$1,'來案暨出貨明細表-基因檢測(201904起'!$R:$R,"中英")</f>
        <v>0</v>
      </c>
      <c r="BG12" s="33">
        <f>COUNTIFS('來案暨出貨明細表-基因檢測(201904起'!$P:$P,$A12&amp;"*",'來案暨出貨明細表-基因檢測(201904起'!$B:$B,BG$1)*$B12+COUNTIFS('來案暨出貨明細表-基因檢測(201904起'!$P:$P,$A12&amp;"*",'來案暨出貨明細表-基因檢測(201904起'!$B:$B,BG$1,'來案暨出貨明細表-基因檢測(201904起'!$Q:$Q,"紙本&amp;電子")++COUNTIFS('來案暨出貨明細表-基因檢測(201904起'!$P:$P,$A12&amp;"*",'來案暨出貨明細表-基因檢測(201904起'!$B:$B,BG$1,'來案暨出貨明細表-基因檢測(201904起'!$R:$R,"中英")</f>
        <v>0</v>
      </c>
      <c r="BH12" s="33">
        <f>COUNTIFS('來案暨出貨明細表-基因檢測(201904起'!$P:$P,$A12&amp;"*",'來案暨出貨明細表-基因檢測(201904起'!$B:$B,BH$1)*$B12+COUNTIFS('來案暨出貨明細表-基因檢測(201904起'!$P:$P,$A12&amp;"*",'來案暨出貨明細表-基因檢測(201904起'!$B:$B,BH$1,'來案暨出貨明細表-基因檢測(201904起'!$Q:$Q,"紙本&amp;電子")++COUNTIFS('來案暨出貨明細表-基因檢測(201904起'!$P:$P,$A12&amp;"*",'來案暨出貨明細表-基因檢測(201904起'!$B:$B,BH$1,'來案暨出貨明細表-基因檢測(201904起'!$R:$R,"中英")</f>
        <v>0</v>
      </c>
      <c r="BI12" s="33">
        <f>COUNTIFS('來案暨出貨明細表-基因檢測(201904起'!$P:$P,$A12&amp;"*",'來案暨出貨明細表-基因檢測(201904起'!$B:$B,BI$1)*$B12+COUNTIFS('來案暨出貨明細表-基因檢測(201904起'!$P:$P,$A12&amp;"*",'來案暨出貨明細表-基因檢測(201904起'!$B:$B,BI$1,'來案暨出貨明細表-基因檢測(201904起'!$Q:$Q,"紙本&amp;電子")++COUNTIFS('來案暨出貨明細表-基因檢測(201904起'!$P:$P,$A12&amp;"*",'來案暨出貨明細表-基因檢測(201904起'!$B:$B,BI$1,'來案暨出貨明細表-基因檢測(201904起'!$R:$R,"中英")</f>
        <v>0</v>
      </c>
      <c r="BJ12" s="33">
        <f>COUNTIFS('來案暨出貨明細表-基因檢測(201904起'!$P:$P,$A12&amp;"*",'來案暨出貨明細表-基因檢測(201904起'!$B:$B,BJ$1)*$B12+COUNTIFS('來案暨出貨明細表-基因檢測(201904起'!$P:$P,$A12&amp;"*",'來案暨出貨明細表-基因檢測(201904起'!$B:$B,BJ$1,'來案暨出貨明細表-基因檢測(201904起'!$Q:$Q,"紙本&amp;電子")++COUNTIFS('來案暨出貨明細表-基因檢測(201904起'!$P:$P,$A12&amp;"*",'來案暨出貨明細表-基因檢測(201904起'!$B:$B,BJ$1,'來案暨出貨明細表-基因檢測(201904起'!$R:$R,"中英")</f>
        <v>0</v>
      </c>
      <c r="BK12" s="33">
        <f>COUNTIFS('來案暨出貨明細表-基因檢測(201904起'!$P:$P,$A12&amp;"*",'來案暨出貨明細表-基因檢測(201904起'!$B:$B,BK$1)*$B12+COUNTIFS('來案暨出貨明細表-基因檢測(201904起'!$P:$P,$A12&amp;"*",'來案暨出貨明細表-基因檢測(201904起'!$B:$B,BK$1,'來案暨出貨明細表-基因檢測(201904起'!$Q:$Q,"紙本&amp;電子")++COUNTIFS('來案暨出貨明細表-基因檢測(201904起'!$P:$P,$A12&amp;"*",'來案暨出貨明細表-基因檢測(201904起'!$B:$B,BK$1,'來案暨出貨明細表-基因檢測(201904起'!$R:$R,"中英")</f>
        <v>0</v>
      </c>
    </row>
    <row r="13" spans="1:63" ht="15" customHeight="1">
      <c r="A13" s="166" t="s">
        <v>4163</v>
      </c>
      <c r="B13" s="167">
        <v>1</v>
      </c>
      <c r="C13" s="168" t="s">
        <v>4164</v>
      </c>
      <c r="D13" s="169" t="s">
        <v>4165</v>
      </c>
      <c r="E13" s="162">
        <v>0</v>
      </c>
      <c r="F13" s="162">
        <v>0</v>
      </c>
      <c r="G13" s="162">
        <v>0</v>
      </c>
      <c r="H13" s="162">
        <v>0</v>
      </c>
      <c r="I13" s="162">
        <v>0</v>
      </c>
      <c r="J13" s="162">
        <v>0</v>
      </c>
      <c r="K13" s="162">
        <v>0</v>
      </c>
      <c r="L13" s="162">
        <v>0</v>
      </c>
      <c r="M13" s="162">
        <v>0</v>
      </c>
      <c r="N13" s="162">
        <v>0</v>
      </c>
      <c r="O13" s="162">
        <v>0</v>
      </c>
      <c r="P13" s="162">
        <v>0</v>
      </c>
      <c r="Q13" s="162">
        <v>0</v>
      </c>
      <c r="R13" s="162">
        <v>0</v>
      </c>
      <c r="S13" s="162">
        <v>0</v>
      </c>
      <c r="T13" s="162">
        <v>0</v>
      </c>
      <c r="U13" s="162">
        <v>0</v>
      </c>
      <c r="V13" s="162">
        <v>0</v>
      </c>
      <c r="W13" s="162">
        <v>0</v>
      </c>
      <c r="X13" s="162">
        <v>0</v>
      </c>
      <c r="Y13" s="162">
        <v>0</v>
      </c>
      <c r="Z13" s="162">
        <v>0</v>
      </c>
      <c r="AA13" s="162">
        <v>0</v>
      </c>
      <c r="AB13" s="162">
        <v>0</v>
      </c>
      <c r="AC13" s="162">
        <v>0</v>
      </c>
      <c r="AD13" s="162">
        <v>0</v>
      </c>
      <c r="AE13" s="162">
        <v>0</v>
      </c>
      <c r="AF13" s="162">
        <v>0</v>
      </c>
      <c r="AG13" s="162">
        <v>0</v>
      </c>
      <c r="AH13" s="162">
        <v>0</v>
      </c>
      <c r="AI13" s="162">
        <v>0</v>
      </c>
      <c r="AJ13" s="170">
        <v>0</v>
      </c>
      <c r="AK13" s="33">
        <f>COUNTIFS('來案暨出貨明細表-基因檢測(201904起'!$P:$P,$A13&amp;"*",'來案暨出貨明細表-基因檢測(201904起'!$B:$B,AK$1)*$B13+COUNTIFS('來案暨出貨明細表-基因檢測(201904起'!$P:$P,$A13&amp;"*",'來案暨出貨明細表-基因檢測(201904起'!$B:$B,AK$1,'來案暨出貨明細表-基因檢測(201904起'!$Q:$Q,"紙本&amp;電子")++COUNTIFS('來案暨出貨明細表-基因檢測(201904起'!$P:$P,$A13&amp;"*",'來案暨出貨明細表-基因檢測(201904起'!$B:$B,AK$1,'來案暨出貨明細表-基因檢測(201904起'!$R:$R,"中英")</f>
        <v>0</v>
      </c>
      <c r="AL13" s="33">
        <f>COUNTIFS('來案暨出貨明細表-基因檢測(201904起'!$P:$P,$A13&amp;"*",'來案暨出貨明細表-基因檢測(201904起'!$B:$B,AL$1)*$B13+COUNTIFS('來案暨出貨明細表-基因檢測(201904起'!$P:$P,$A13&amp;"*",'來案暨出貨明細表-基因檢測(201904起'!$B:$B,AL$1,'來案暨出貨明細表-基因檢測(201904起'!$Q:$Q,"紙本&amp;電子")++COUNTIFS('來案暨出貨明細表-基因檢測(201904起'!$P:$P,$A13&amp;"*",'來案暨出貨明細表-基因檢測(201904起'!$B:$B,AL$1,'來案暨出貨明細表-基因檢測(201904起'!$R:$R,"中英")</f>
        <v>0</v>
      </c>
      <c r="AM13" s="33">
        <f>COUNTIFS('來案暨出貨明細表-基因檢測(201904起'!$P:$P,$A13&amp;"*",'來案暨出貨明細表-基因檢測(201904起'!$B:$B,AM$1)*$B13+COUNTIFS('來案暨出貨明細表-基因檢測(201904起'!$P:$P,$A13&amp;"*",'來案暨出貨明細表-基因檢測(201904起'!$B:$B,AM$1,'來案暨出貨明細表-基因檢測(201904起'!$Q:$Q,"紙本&amp;電子")++COUNTIFS('來案暨出貨明細表-基因檢測(201904起'!$P:$P,$A13&amp;"*",'來案暨出貨明細表-基因檢測(201904起'!$B:$B,AM$1,'來案暨出貨明細表-基因檢測(201904起'!$R:$R,"中英")</f>
        <v>0</v>
      </c>
      <c r="AN13" s="33">
        <f>COUNTIFS('來案暨出貨明細表-基因檢測(201904起'!$P:$P,$A13&amp;"*",'來案暨出貨明細表-基因檢測(201904起'!$B:$B,AN$1)*$B13+COUNTIFS('來案暨出貨明細表-基因檢測(201904起'!$P:$P,$A13&amp;"*",'來案暨出貨明細表-基因檢測(201904起'!$B:$B,AN$1,'來案暨出貨明細表-基因檢測(201904起'!$Q:$Q,"紙本&amp;電子")++COUNTIFS('來案暨出貨明細表-基因檢測(201904起'!$P:$P,$A13&amp;"*",'來案暨出貨明細表-基因檢測(201904起'!$B:$B,AN$1,'來案暨出貨明細表-基因檢測(201904起'!$R:$R,"中英")</f>
        <v>0</v>
      </c>
      <c r="AO13" s="33">
        <f>COUNTIFS('來案暨出貨明細表-基因檢測(201904起'!$P:$P,$A13&amp;"*",'來案暨出貨明細表-基因檢測(201904起'!$B:$B,AO$1)*$B13+COUNTIFS('來案暨出貨明細表-基因檢測(201904起'!$P:$P,$A13&amp;"*",'來案暨出貨明細表-基因檢測(201904起'!$B:$B,AO$1,'來案暨出貨明細表-基因檢測(201904起'!$Q:$Q,"紙本&amp;電子")++COUNTIFS('來案暨出貨明細表-基因檢測(201904起'!$P:$P,$A13&amp;"*",'來案暨出貨明細表-基因檢測(201904起'!$B:$B,AO$1,'來案暨出貨明細表-基因檢測(201904起'!$R:$R,"中英")</f>
        <v>0</v>
      </c>
      <c r="AP13" s="33">
        <f>COUNTIFS('來案暨出貨明細表-基因檢測(201904起'!$P:$P,$A13&amp;"*",'來案暨出貨明細表-基因檢測(201904起'!$B:$B,AP$1)*$B13+COUNTIFS('來案暨出貨明細表-基因檢測(201904起'!$P:$P,$A13&amp;"*",'來案暨出貨明細表-基因檢測(201904起'!$B:$B,AP$1,'來案暨出貨明細表-基因檢測(201904起'!$Q:$Q,"紙本&amp;電子")++COUNTIFS('來案暨出貨明細表-基因檢測(201904起'!$P:$P,$A13&amp;"*",'來案暨出貨明細表-基因檢測(201904起'!$B:$B,AP$1,'來案暨出貨明細表-基因檢測(201904起'!$R:$R,"中英")</f>
        <v>0</v>
      </c>
      <c r="AQ13" s="33">
        <f>COUNTIFS('來案暨出貨明細表-基因檢測(201904起'!$P:$P,$A13&amp;"*",'來案暨出貨明細表-基因檢測(201904起'!$B:$B,AQ$1)*$B13+COUNTIFS('來案暨出貨明細表-基因檢測(201904起'!$P:$P,$A13&amp;"*",'來案暨出貨明細表-基因檢測(201904起'!$B:$B,AQ$1,'來案暨出貨明細表-基因檢測(201904起'!$Q:$Q,"紙本&amp;電子")++COUNTIFS('來案暨出貨明細表-基因檢測(201904起'!$P:$P,$A13&amp;"*",'來案暨出貨明細表-基因檢測(201904起'!$B:$B,AQ$1,'來案暨出貨明細表-基因檢測(201904起'!$R:$R,"中英")</f>
        <v>0</v>
      </c>
      <c r="AR13" s="33">
        <f>COUNTIFS('來案暨出貨明細表-基因檢測(201904起'!$P:$P,$A13&amp;"*",'來案暨出貨明細表-基因檢測(201904起'!$B:$B,AR$1)*$B13+COUNTIFS('來案暨出貨明細表-基因檢測(201904起'!$P:$P,$A13&amp;"*",'來案暨出貨明細表-基因檢測(201904起'!$B:$B,AR$1,'來案暨出貨明細表-基因檢測(201904起'!$Q:$Q,"紙本&amp;電子")++COUNTIFS('來案暨出貨明細表-基因檢測(201904起'!$P:$P,$A13&amp;"*",'來案暨出貨明細表-基因檢測(201904起'!$B:$B,AR$1,'來案暨出貨明細表-基因檢測(201904起'!$R:$R,"中英")</f>
        <v>0</v>
      </c>
      <c r="AS13" s="33">
        <f>COUNTIFS('來案暨出貨明細表-基因檢測(201904起'!$P:$P,$A13&amp;"*",'來案暨出貨明細表-基因檢測(201904起'!$B:$B,AS$1)*$B13+COUNTIFS('來案暨出貨明細表-基因檢測(201904起'!$P:$P,$A13&amp;"*",'來案暨出貨明細表-基因檢測(201904起'!$B:$B,AS$1,'來案暨出貨明細表-基因檢測(201904起'!$Q:$Q,"紙本&amp;電子")++COUNTIFS('來案暨出貨明細表-基因檢測(201904起'!$P:$P,$A13&amp;"*",'來案暨出貨明細表-基因檢測(201904起'!$B:$B,AS$1,'來案暨出貨明細表-基因檢測(201904起'!$R:$R,"中英")</f>
        <v>0</v>
      </c>
      <c r="AT13" s="33">
        <f>COUNTIFS('來案暨出貨明細表-基因檢測(201904起'!$P:$P,$A13&amp;"*",'來案暨出貨明細表-基因檢測(201904起'!$B:$B,AT$1)*$B13+COUNTIFS('來案暨出貨明細表-基因檢測(201904起'!$P:$P,$A13&amp;"*",'來案暨出貨明細表-基因檢測(201904起'!$B:$B,AT$1,'來案暨出貨明細表-基因檢測(201904起'!$Q:$Q,"紙本&amp;電子")++COUNTIFS('來案暨出貨明細表-基因檢測(201904起'!$P:$P,$A13&amp;"*",'來案暨出貨明細表-基因檢測(201904起'!$B:$B,AT$1,'來案暨出貨明細表-基因檢測(201904起'!$R:$R,"中英")</f>
        <v>0</v>
      </c>
      <c r="AU13" s="33">
        <f>COUNTIFS('來案暨出貨明細表-基因檢測(201904起'!$P:$P,$A13&amp;"*",'來案暨出貨明細表-基因檢測(201904起'!$B:$B,AU$1)*$B13+COUNTIFS('來案暨出貨明細表-基因檢測(201904起'!$P:$P,$A13&amp;"*",'來案暨出貨明細表-基因檢測(201904起'!$B:$B,AU$1,'來案暨出貨明細表-基因檢測(201904起'!$Q:$Q,"紙本&amp;電子")++COUNTIFS('來案暨出貨明細表-基因檢測(201904起'!$P:$P,$A13&amp;"*",'來案暨出貨明細表-基因檢測(201904起'!$B:$B,AU$1,'來案暨出貨明細表-基因檢測(201904起'!$R:$R,"中英")</f>
        <v>0</v>
      </c>
      <c r="AV13" s="33">
        <f>COUNTIFS('來案暨出貨明細表-基因檢測(201904起'!$P:$P,$A13&amp;"*",'來案暨出貨明細表-基因檢測(201904起'!$B:$B,AV$1)*$B13+COUNTIFS('來案暨出貨明細表-基因檢測(201904起'!$P:$P,$A13&amp;"*",'來案暨出貨明細表-基因檢測(201904起'!$B:$B,AV$1,'來案暨出貨明細表-基因檢測(201904起'!$Q:$Q,"紙本&amp;電子")++COUNTIFS('來案暨出貨明細表-基因檢測(201904起'!$P:$P,$A13&amp;"*",'來案暨出貨明細表-基因檢測(201904起'!$B:$B,AV$1,'來案暨出貨明細表-基因檢測(201904起'!$R:$R,"中英")</f>
        <v>0</v>
      </c>
      <c r="AW13" s="33">
        <f>COUNTIFS('來案暨出貨明細表-基因檢測(201904起'!$P:$P,$A13&amp;"*",'來案暨出貨明細表-基因檢測(201904起'!$B:$B,AW$1)*$B13+COUNTIFS('來案暨出貨明細表-基因檢測(201904起'!$P:$P,$A13&amp;"*",'來案暨出貨明細表-基因檢測(201904起'!$B:$B,AW$1,'來案暨出貨明細表-基因檢測(201904起'!$Q:$Q,"紙本&amp;電子")++COUNTIFS('來案暨出貨明細表-基因檢測(201904起'!$P:$P,$A13&amp;"*",'來案暨出貨明細表-基因檢測(201904起'!$B:$B,AW$1,'來案暨出貨明細表-基因檢測(201904起'!$R:$R,"中英")</f>
        <v>0</v>
      </c>
      <c r="AX13" s="33">
        <f>COUNTIFS('來案暨出貨明細表-基因檢測(201904起'!$P:$P,$A13&amp;"*",'來案暨出貨明細表-基因檢測(201904起'!$B:$B,AX$1)*$B13+COUNTIFS('來案暨出貨明細表-基因檢測(201904起'!$P:$P,$A13&amp;"*",'來案暨出貨明細表-基因檢測(201904起'!$B:$B,AX$1,'來案暨出貨明細表-基因檢測(201904起'!$Q:$Q,"紙本&amp;電子")++COUNTIFS('來案暨出貨明細表-基因檢測(201904起'!$P:$P,$A13&amp;"*",'來案暨出貨明細表-基因檢測(201904起'!$B:$B,AX$1,'來案暨出貨明細表-基因檢測(201904起'!$R:$R,"中英")</f>
        <v>0</v>
      </c>
      <c r="AY13" s="33">
        <f>COUNTIFS('來案暨出貨明細表-基因檢測(201904起'!$P:$P,$A13&amp;"*",'來案暨出貨明細表-基因檢測(201904起'!$B:$B,AY$1)*$B13+COUNTIFS('來案暨出貨明細表-基因檢測(201904起'!$P:$P,$A13&amp;"*",'來案暨出貨明細表-基因檢測(201904起'!$B:$B,AY$1,'來案暨出貨明細表-基因檢測(201904起'!$Q:$Q,"紙本&amp;電子")++COUNTIFS('來案暨出貨明細表-基因檢測(201904起'!$P:$P,$A13&amp;"*",'來案暨出貨明細表-基因檢測(201904起'!$B:$B,AY$1,'來案暨出貨明細表-基因檢測(201904起'!$R:$R,"中英")</f>
        <v>0</v>
      </c>
      <c r="AZ13" s="33">
        <f>COUNTIFS('來案暨出貨明細表-基因檢測(201904起'!$P:$P,$A13&amp;"*",'來案暨出貨明細表-基因檢測(201904起'!$B:$B,AZ$1)*$B13+COUNTIFS('來案暨出貨明細表-基因檢測(201904起'!$P:$P,$A13&amp;"*",'來案暨出貨明細表-基因檢測(201904起'!$B:$B,AZ$1,'來案暨出貨明細表-基因檢測(201904起'!$Q:$Q,"紙本&amp;電子")++COUNTIFS('來案暨出貨明細表-基因檢測(201904起'!$P:$P,$A13&amp;"*",'來案暨出貨明細表-基因檢測(201904起'!$B:$B,AZ$1,'來案暨出貨明細表-基因檢測(201904起'!$R:$R,"中英")</f>
        <v>0</v>
      </c>
      <c r="BA13" s="33">
        <f>COUNTIFS('來案暨出貨明細表-基因檢測(201904起'!$P:$P,$A13&amp;"*",'來案暨出貨明細表-基因檢測(201904起'!$B:$B,BA$1)*$B13+COUNTIFS('來案暨出貨明細表-基因檢測(201904起'!$P:$P,$A13&amp;"*",'來案暨出貨明細表-基因檢測(201904起'!$B:$B,BA$1,'來案暨出貨明細表-基因檢測(201904起'!$Q:$Q,"紙本&amp;電子")++COUNTIFS('來案暨出貨明細表-基因檢測(201904起'!$P:$P,$A13&amp;"*",'來案暨出貨明細表-基因檢測(201904起'!$B:$B,BA$1,'來案暨出貨明細表-基因檢測(201904起'!$R:$R,"中英")</f>
        <v>0</v>
      </c>
      <c r="BB13" s="33">
        <f>COUNTIFS('來案暨出貨明細表-基因檢測(201904起'!$P:$P,$A13&amp;"*",'來案暨出貨明細表-基因檢測(201904起'!$B:$B,BB$1)*$B13+COUNTIFS('來案暨出貨明細表-基因檢測(201904起'!$P:$P,$A13&amp;"*",'來案暨出貨明細表-基因檢測(201904起'!$B:$B,BB$1,'來案暨出貨明細表-基因檢測(201904起'!$Q:$Q,"紙本&amp;電子")++COUNTIFS('來案暨出貨明細表-基因檢測(201904起'!$P:$P,$A13&amp;"*",'來案暨出貨明細表-基因檢測(201904起'!$B:$B,BB$1,'來案暨出貨明細表-基因檢測(201904起'!$R:$R,"中英")</f>
        <v>0</v>
      </c>
      <c r="BC13" s="33">
        <f>COUNTIFS('來案暨出貨明細表-基因檢測(201904起'!$P:$P,$A13&amp;"*",'來案暨出貨明細表-基因檢測(201904起'!$B:$B,BC$1)*$B13+COUNTIFS('來案暨出貨明細表-基因檢測(201904起'!$P:$P,$A13&amp;"*",'來案暨出貨明細表-基因檢測(201904起'!$B:$B,BC$1,'來案暨出貨明細表-基因檢測(201904起'!$Q:$Q,"紙本&amp;電子")++COUNTIFS('來案暨出貨明細表-基因檢測(201904起'!$P:$P,$A13&amp;"*",'來案暨出貨明細表-基因檢測(201904起'!$B:$B,BC$1,'來案暨出貨明細表-基因檢測(201904起'!$R:$R,"中英")</f>
        <v>0</v>
      </c>
      <c r="BD13" s="33">
        <f>COUNTIFS('來案暨出貨明細表-基因檢測(201904起'!$P:$P,$A13&amp;"*",'來案暨出貨明細表-基因檢測(201904起'!$B:$B,BD$1)*$B13+COUNTIFS('來案暨出貨明細表-基因檢測(201904起'!$P:$P,$A13&amp;"*",'來案暨出貨明細表-基因檢測(201904起'!$B:$B,BD$1,'來案暨出貨明細表-基因檢測(201904起'!$Q:$Q,"紙本&amp;電子")++COUNTIFS('來案暨出貨明細表-基因檢測(201904起'!$P:$P,$A13&amp;"*",'來案暨出貨明細表-基因檢測(201904起'!$B:$B,BD$1,'來案暨出貨明細表-基因檢測(201904起'!$R:$R,"中英")</f>
        <v>0</v>
      </c>
      <c r="BE13" s="33">
        <f>COUNTIFS('來案暨出貨明細表-基因檢測(201904起'!$P:$P,$A13&amp;"*",'來案暨出貨明細表-基因檢測(201904起'!$B:$B,BE$1)*$B13+COUNTIFS('來案暨出貨明細表-基因檢測(201904起'!$P:$P,$A13&amp;"*",'來案暨出貨明細表-基因檢測(201904起'!$B:$B,BE$1,'來案暨出貨明細表-基因檢測(201904起'!$Q:$Q,"紙本&amp;電子")++COUNTIFS('來案暨出貨明細表-基因檢測(201904起'!$P:$P,$A13&amp;"*",'來案暨出貨明細表-基因檢測(201904起'!$B:$B,BE$1,'來案暨出貨明細表-基因檢測(201904起'!$R:$R,"中英")</f>
        <v>0</v>
      </c>
      <c r="BF13" s="33">
        <f>COUNTIFS('來案暨出貨明細表-基因檢測(201904起'!$P:$P,$A13&amp;"*",'來案暨出貨明細表-基因檢測(201904起'!$B:$B,BF$1)*$B13+COUNTIFS('來案暨出貨明細表-基因檢測(201904起'!$P:$P,$A13&amp;"*",'來案暨出貨明細表-基因檢測(201904起'!$B:$B,BF$1,'來案暨出貨明細表-基因檢測(201904起'!$Q:$Q,"紙本&amp;電子")++COUNTIFS('來案暨出貨明細表-基因檢測(201904起'!$P:$P,$A13&amp;"*",'來案暨出貨明細表-基因檢測(201904起'!$B:$B,BF$1,'來案暨出貨明細表-基因檢測(201904起'!$R:$R,"中英")</f>
        <v>0</v>
      </c>
      <c r="BG13" s="33">
        <f>COUNTIFS('來案暨出貨明細表-基因檢測(201904起'!$P:$P,$A13&amp;"*",'來案暨出貨明細表-基因檢測(201904起'!$B:$B,BG$1)*$B13+COUNTIFS('來案暨出貨明細表-基因檢測(201904起'!$P:$P,$A13&amp;"*",'來案暨出貨明細表-基因檢測(201904起'!$B:$B,BG$1,'來案暨出貨明細表-基因檢測(201904起'!$Q:$Q,"紙本&amp;電子")++COUNTIFS('來案暨出貨明細表-基因檢測(201904起'!$P:$P,$A13&amp;"*",'來案暨出貨明細表-基因檢測(201904起'!$B:$B,BG$1,'來案暨出貨明細表-基因檢測(201904起'!$R:$R,"中英")</f>
        <v>0</v>
      </c>
      <c r="BH13" s="33">
        <f>COUNTIFS('來案暨出貨明細表-基因檢測(201904起'!$P:$P,$A13&amp;"*",'來案暨出貨明細表-基因檢測(201904起'!$B:$B,BH$1)*$B13+COUNTIFS('來案暨出貨明細表-基因檢測(201904起'!$P:$P,$A13&amp;"*",'來案暨出貨明細表-基因檢測(201904起'!$B:$B,BH$1,'來案暨出貨明細表-基因檢測(201904起'!$Q:$Q,"紙本&amp;電子")++COUNTIFS('來案暨出貨明細表-基因檢測(201904起'!$P:$P,$A13&amp;"*",'來案暨出貨明細表-基因檢測(201904起'!$B:$B,BH$1,'來案暨出貨明細表-基因檢測(201904起'!$R:$R,"中英")</f>
        <v>0</v>
      </c>
      <c r="BI13" s="33">
        <f>COUNTIFS('來案暨出貨明細表-基因檢測(201904起'!$P:$P,$A13&amp;"*",'來案暨出貨明細表-基因檢測(201904起'!$B:$B,BI$1)*$B13+COUNTIFS('來案暨出貨明細表-基因檢測(201904起'!$P:$P,$A13&amp;"*",'來案暨出貨明細表-基因檢測(201904起'!$B:$B,BI$1,'來案暨出貨明細表-基因檢測(201904起'!$Q:$Q,"紙本&amp;電子")++COUNTIFS('來案暨出貨明細表-基因檢測(201904起'!$P:$P,$A13&amp;"*",'來案暨出貨明細表-基因檢測(201904起'!$B:$B,BI$1,'來案暨出貨明細表-基因檢測(201904起'!$R:$R,"中英")</f>
        <v>0</v>
      </c>
      <c r="BJ13" s="33">
        <f>COUNTIFS('來案暨出貨明細表-基因檢測(201904起'!$P:$P,$A13&amp;"*",'來案暨出貨明細表-基因檢測(201904起'!$B:$B,BJ$1)*$B13+COUNTIFS('來案暨出貨明細表-基因檢測(201904起'!$P:$P,$A13&amp;"*",'來案暨出貨明細表-基因檢測(201904起'!$B:$B,BJ$1,'來案暨出貨明細表-基因檢測(201904起'!$Q:$Q,"紙本&amp;電子")++COUNTIFS('來案暨出貨明細表-基因檢測(201904起'!$P:$P,$A13&amp;"*",'來案暨出貨明細表-基因檢測(201904起'!$B:$B,BJ$1,'來案暨出貨明細表-基因檢測(201904起'!$R:$R,"中英")</f>
        <v>0</v>
      </c>
      <c r="BK13" s="33">
        <f>COUNTIFS('來案暨出貨明細表-基因檢測(201904起'!$P:$P,$A13&amp;"*",'來案暨出貨明細表-基因檢測(201904起'!$B:$B,BK$1)*$B13+COUNTIFS('來案暨出貨明細表-基因檢測(201904起'!$P:$P,$A13&amp;"*",'來案暨出貨明細表-基因檢測(201904起'!$B:$B,BK$1,'來案暨出貨明細表-基因檢測(201904起'!$Q:$Q,"紙本&amp;電子")++COUNTIFS('來案暨出貨明細表-基因檢測(201904起'!$P:$P,$A13&amp;"*",'來案暨出貨明細表-基因檢測(201904起'!$B:$B,BK$1,'來案暨出貨明細表-基因檢測(201904起'!$R:$R,"中英")</f>
        <v>0</v>
      </c>
    </row>
    <row r="14" spans="1:63" ht="15" customHeight="1">
      <c r="A14" s="166" t="s">
        <v>4303</v>
      </c>
      <c r="B14" s="167">
        <v>2</v>
      </c>
      <c r="C14" s="168" t="s">
        <v>4304</v>
      </c>
      <c r="D14" s="169" t="s">
        <v>4305</v>
      </c>
      <c r="E14" s="162">
        <v>0</v>
      </c>
      <c r="F14" s="162">
        <v>0</v>
      </c>
      <c r="G14" s="162">
        <v>0</v>
      </c>
      <c r="H14" s="162">
        <v>0</v>
      </c>
      <c r="I14" s="162">
        <v>0</v>
      </c>
      <c r="J14" s="162">
        <v>0</v>
      </c>
      <c r="K14" s="162">
        <v>0</v>
      </c>
      <c r="L14" s="162">
        <v>0</v>
      </c>
      <c r="M14" s="162">
        <v>0</v>
      </c>
      <c r="N14" s="162">
        <v>0</v>
      </c>
      <c r="O14" s="162">
        <v>0</v>
      </c>
      <c r="P14" s="162">
        <v>0</v>
      </c>
      <c r="Q14" s="162">
        <v>0</v>
      </c>
      <c r="R14" s="162">
        <v>0</v>
      </c>
      <c r="S14" s="162">
        <v>0</v>
      </c>
      <c r="T14" s="162">
        <v>0</v>
      </c>
      <c r="U14" s="162">
        <v>0</v>
      </c>
      <c r="V14" s="162">
        <v>0</v>
      </c>
      <c r="W14" s="162">
        <v>0</v>
      </c>
      <c r="X14" s="162">
        <v>0</v>
      </c>
      <c r="Y14" s="162">
        <v>0</v>
      </c>
      <c r="Z14" s="162">
        <v>0</v>
      </c>
      <c r="AA14" s="162">
        <v>0</v>
      </c>
      <c r="AB14" s="162">
        <v>0</v>
      </c>
      <c r="AC14" s="162">
        <v>0</v>
      </c>
      <c r="AD14" s="162">
        <v>0</v>
      </c>
      <c r="AE14" s="162">
        <v>0</v>
      </c>
      <c r="AF14" s="162">
        <v>0</v>
      </c>
      <c r="AG14" s="162">
        <v>0</v>
      </c>
      <c r="AH14" s="162">
        <v>0</v>
      </c>
      <c r="AI14" s="162">
        <v>0</v>
      </c>
      <c r="AJ14" s="170">
        <v>0</v>
      </c>
      <c r="AK14" s="33">
        <f>COUNTIFS('來案暨出貨明細表-基因檢測(201904起'!$P:$P,$A14&amp;"*",'來案暨出貨明細表-基因檢測(201904起'!$B:$B,AK$1)*$B14+COUNTIFS('來案暨出貨明細表-基因檢測(201904起'!$P:$P,$A14&amp;"*",'來案暨出貨明細表-基因檢測(201904起'!$B:$B,AK$1,'來案暨出貨明細表-基因檢測(201904起'!$Q:$Q,"紙本&amp;電子")++COUNTIFS('來案暨出貨明細表-基因檢測(201904起'!$P:$P,$A14&amp;"*",'來案暨出貨明細表-基因檢測(201904起'!$B:$B,AK$1,'來案暨出貨明細表-基因檢測(201904起'!$R:$R,"中英")</f>
        <v>0</v>
      </c>
      <c r="AL14" s="33">
        <f>COUNTIFS('來案暨出貨明細表-基因檢測(201904起'!$P:$P,$A14&amp;"*",'來案暨出貨明細表-基因檢測(201904起'!$B:$B,AL$1)*$B14+COUNTIFS('來案暨出貨明細表-基因檢測(201904起'!$P:$P,$A14&amp;"*",'來案暨出貨明細表-基因檢測(201904起'!$B:$B,AL$1,'來案暨出貨明細表-基因檢測(201904起'!$Q:$Q,"紙本&amp;電子")++COUNTIFS('來案暨出貨明細表-基因檢測(201904起'!$P:$P,$A14&amp;"*",'來案暨出貨明細表-基因檢測(201904起'!$B:$B,AL$1,'來案暨出貨明細表-基因檢測(201904起'!$R:$R,"中英")</f>
        <v>0</v>
      </c>
      <c r="AM14" s="33">
        <f>COUNTIFS('來案暨出貨明細表-基因檢測(201904起'!$P:$P,$A14&amp;"*",'來案暨出貨明細表-基因檢測(201904起'!$B:$B,AM$1)*$B14+COUNTIFS('來案暨出貨明細表-基因檢測(201904起'!$P:$P,$A14&amp;"*",'來案暨出貨明細表-基因檢測(201904起'!$B:$B,AM$1,'來案暨出貨明細表-基因檢測(201904起'!$Q:$Q,"紙本&amp;電子")++COUNTIFS('來案暨出貨明細表-基因檢測(201904起'!$P:$P,$A14&amp;"*",'來案暨出貨明細表-基因檢測(201904起'!$B:$B,AM$1,'來案暨出貨明細表-基因檢測(201904起'!$R:$R,"中英")</f>
        <v>0</v>
      </c>
      <c r="AN14" s="33">
        <f>COUNTIFS('來案暨出貨明細表-基因檢測(201904起'!$P:$P,$A14&amp;"*",'來案暨出貨明細表-基因檢測(201904起'!$B:$B,AN$1)*$B14+COUNTIFS('來案暨出貨明細表-基因檢測(201904起'!$P:$P,$A14&amp;"*",'來案暨出貨明細表-基因檢測(201904起'!$B:$B,AN$1,'來案暨出貨明細表-基因檢測(201904起'!$Q:$Q,"紙本&amp;電子")++COUNTIFS('來案暨出貨明細表-基因檢測(201904起'!$P:$P,$A14&amp;"*",'來案暨出貨明細表-基因檢測(201904起'!$B:$B,AN$1,'來案暨出貨明細表-基因檢測(201904起'!$R:$R,"中英")</f>
        <v>0</v>
      </c>
      <c r="AO14" s="33">
        <f>COUNTIFS('來案暨出貨明細表-基因檢測(201904起'!$P:$P,$A14&amp;"*",'來案暨出貨明細表-基因檢測(201904起'!$B:$B,AO$1)*$B14+COUNTIFS('來案暨出貨明細表-基因檢測(201904起'!$P:$P,$A14&amp;"*",'來案暨出貨明細表-基因檢測(201904起'!$B:$B,AO$1,'來案暨出貨明細表-基因檢測(201904起'!$Q:$Q,"紙本&amp;電子")++COUNTIFS('來案暨出貨明細表-基因檢測(201904起'!$P:$P,$A14&amp;"*",'來案暨出貨明細表-基因檢測(201904起'!$B:$B,AO$1,'來案暨出貨明細表-基因檢測(201904起'!$R:$R,"中英")</f>
        <v>0</v>
      </c>
      <c r="AP14" s="33">
        <f>COUNTIFS('來案暨出貨明細表-基因檢測(201904起'!$P:$P,$A14&amp;"*",'來案暨出貨明細表-基因檢測(201904起'!$B:$B,AP$1)*$B14+COUNTIFS('來案暨出貨明細表-基因檢測(201904起'!$P:$P,$A14&amp;"*",'來案暨出貨明細表-基因檢測(201904起'!$B:$B,AP$1,'來案暨出貨明細表-基因檢測(201904起'!$Q:$Q,"紙本&amp;電子")++COUNTIFS('來案暨出貨明細表-基因檢測(201904起'!$P:$P,$A14&amp;"*",'來案暨出貨明細表-基因檢測(201904起'!$B:$B,AP$1,'來案暨出貨明細表-基因檢測(201904起'!$R:$R,"中英")</f>
        <v>0</v>
      </c>
      <c r="AQ14" s="33">
        <f>COUNTIFS('來案暨出貨明細表-基因檢測(201904起'!$P:$P,$A14&amp;"*",'來案暨出貨明細表-基因檢測(201904起'!$B:$B,AQ$1)*$B14+COUNTIFS('來案暨出貨明細表-基因檢測(201904起'!$P:$P,$A14&amp;"*",'來案暨出貨明細表-基因檢測(201904起'!$B:$B,AQ$1,'來案暨出貨明細表-基因檢測(201904起'!$Q:$Q,"紙本&amp;電子")++COUNTIFS('來案暨出貨明細表-基因檢測(201904起'!$P:$P,$A14&amp;"*",'來案暨出貨明細表-基因檢測(201904起'!$B:$B,AQ$1,'來案暨出貨明細表-基因檢測(201904起'!$R:$R,"中英")</f>
        <v>0</v>
      </c>
      <c r="AR14" s="33">
        <f>COUNTIFS('來案暨出貨明細表-基因檢測(201904起'!$P:$P,$A14&amp;"*",'來案暨出貨明細表-基因檢測(201904起'!$B:$B,AR$1)*$B14+COUNTIFS('來案暨出貨明細表-基因檢測(201904起'!$P:$P,$A14&amp;"*",'來案暨出貨明細表-基因檢測(201904起'!$B:$B,AR$1,'來案暨出貨明細表-基因檢測(201904起'!$Q:$Q,"紙本&amp;電子")++COUNTIFS('來案暨出貨明細表-基因檢測(201904起'!$P:$P,$A14&amp;"*",'來案暨出貨明細表-基因檢測(201904起'!$B:$B,AR$1,'來案暨出貨明細表-基因檢測(201904起'!$R:$R,"中英")</f>
        <v>0</v>
      </c>
      <c r="AS14" s="33">
        <f>COUNTIFS('來案暨出貨明細表-基因檢測(201904起'!$P:$P,$A14&amp;"*",'來案暨出貨明細表-基因檢測(201904起'!$B:$B,AS$1)*$B14+COUNTIFS('來案暨出貨明細表-基因檢測(201904起'!$P:$P,$A14&amp;"*",'來案暨出貨明細表-基因檢測(201904起'!$B:$B,AS$1,'來案暨出貨明細表-基因檢測(201904起'!$Q:$Q,"紙本&amp;電子")++COUNTIFS('來案暨出貨明細表-基因檢測(201904起'!$P:$P,$A14&amp;"*",'來案暨出貨明細表-基因檢測(201904起'!$B:$B,AS$1,'來案暨出貨明細表-基因檢測(201904起'!$R:$R,"中英")</f>
        <v>0</v>
      </c>
      <c r="AT14" s="33">
        <f>COUNTIFS('來案暨出貨明細表-基因檢測(201904起'!$P:$P,$A14&amp;"*",'來案暨出貨明細表-基因檢測(201904起'!$B:$B,AT$1)*$B14+COUNTIFS('來案暨出貨明細表-基因檢測(201904起'!$P:$P,$A14&amp;"*",'來案暨出貨明細表-基因檢測(201904起'!$B:$B,AT$1,'來案暨出貨明細表-基因檢測(201904起'!$Q:$Q,"紙本&amp;電子")++COUNTIFS('來案暨出貨明細表-基因檢測(201904起'!$P:$P,$A14&amp;"*",'來案暨出貨明細表-基因檢測(201904起'!$B:$B,AT$1,'來案暨出貨明細表-基因檢測(201904起'!$R:$R,"中英")</f>
        <v>0</v>
      </c>
      <c r="AU14" s="33">
        <f>COUNTIFS('來案暨出貨明細表-基因檢測(201904起'!$P:$P,$A14&amp;"*",'來案暨出貨明細表-基因檢測(201904起'!$B:$B,AU$1)*$B14+COUNTIFS('來案暨出貨明細表-基因檢測(201904起'!$P:$P,$A14&amp;"*",'來案暨出貨明細表-基因檢測(201904起'!$B:$B,AU$1,'來案暨出貨明細表-基因檢測(201904起'!$Q:$Q,"紙本&amp;電子")++COUNTIFS('來案暨出貨明細表-基因檢測(201904起'!$P:$P,$A14&amp;"*",'來案暨出貨明細表-基因檢測(201904起'!$B:$B,AU$1,'來案暨出貨明細表-基因檢測(201904起'!$R:$R,"中英")</f>
        <v>0</v>
      </c>
      <c r="AV14" s="33">
        <f>COUNTIFS('來案暨出貨明細表-基因檢測(201904起'!$P:$P,$A14&amp;"*",'來案暨出貨明細表-基因檢測(201904起'!$B:$B,AV$1)*$B14+COUNTIFS('來案暨出貨明細表-基因檢測(201904起'!$P:$P,$A14&amp;"*",'來案暨出貨明細表-基因檢測(201904起'!$B:$B,AV$1,'來案暨出貨明細表-基因檢測(201904起'!$Q:$Q,"紙本&amp;電子")++COUNTIFS('來案暨出貨明細表-基因檢測(201904起'!$P:$P,$A14&amp;"*",'來案暨出貨明細表-基因檢測(201904起'!$B:$B,AV$1,'來案暨出貨明細表-基因檢測(201904起'!$R:$R,"中英")</f>
        <v>0</v>
      </c>
      <c r="AW14" s="33">
        <f>COUNTIFS('來案暨出貨明細表-基因檢測(201904起'!$P:$P,$A14&amp;"*",'來案暨出貨明細表-基因檢測(201904起'!$B:$B,AW$1)*$B14+COUNTIFS('來案暨出貨明細表-基因檢測(201904起'!$P:$P,$A14&amp;"*",'來案暨出貨明細表-基因檢測(201904起'!$B:$B,AW$1,'來案暨出貨明細表-基因檢測(201904起'!$Q:$Q,"紙本&amp;電子")++COUNTIFS('來案暨出貨明細表-基因檢測(201904起'!$P:$P,$A14&amp;"*",'來案暨出貨明細表-基因檢測(201904起'!$B:$B,AW$1,'來案暨出貨明細表-基因檢測(201904起'!$R:$R,"中英")</f>
        <v>0</v>
      </c>
      <c r="AX14" s="33">
        <f>COUNTIFS('來案暨出貨明細表-基因檢測(201904起'!$P:$P,$A14&amp;"*",'來案暨出貨明細表-基因檢測(201904起'!$B:$B,AX$1)*$B14+COUNTIFS('來案暨出貨明細表-基因檢測(201904起'!$P:$P,$A14&amp;"*",'來案暨出貨明細表-基因檢測(201904起'!$B:$B,AX$1,'來案暨出貨明細表-基因檢測(201904起'!$Q:$Q,"紙本&amp;電子")++COUNTIFS('來案暨出貨明細表-基因檢測(201904起'!$P:$P,$A14&amp;"*",'來案暨出貨明細表-基因檢測(201904起'!$B:$B,AX$1,'來案暨出貨明細表-基因檢測(201904起'!$R:$R,"中英")</f>
        <v>0</v>
      </c>
      <c r="AY14" s="33">
        <f>COUNTIFS('來案暨出貨明細表-基因檢測(201904起'!$P:$P,$A14&amp;"*",'來案暨出貨明細表-基因檢測(201904起'!$B:$B,AY$1)*$B14+COUNTIFS('來案暨出貨明細表-基因檢測(201904起'!$P:$P,$A14&amp;"*",'來案暨出貨明細表-基因檢測(201904起'!$B:$B,AY$1,'來案暨出貨明細表-基因檢測(201904起'!$Q:$Q,"紙本&amp;電子")++COUNTIFS('來案暨出貨明細表-基因檢測(201904起'!$P:$P,$A14&amp;"*",'來案暨出貨明細表-基因檢測(201904起'!$B:$B,AY$1,'來案暨出貨明細表-基因檢測(201904起'!$R:$R,"中英")</f>
        <v>0</v>
      </c>
      <c r="AZ14" s="33">
        <f>COUNTIFS('來案暨出貨明細表-基因檢測(201904起'!$P:$P,$A14&amp;"*",'來案暨出貨明細表-基因檢測(201904起'!$B:$B,AZ$1)*$B14+COUNTIFS('來案暨出貨明細表-基因檢測(201904起'!$P:$P,$A14&amp;"*",'來案暨出貨明細表-基因檢測(201904起'!$B:$B,AZ$1,'來案暨出貨明細表-基因檢測(201904起'!$Q:$Q,"紙本&amp;電子")++COUNTIFS('來案暨出貨明細表-基因檢測(201904起'!$P:$P,$A14&amp;"*",'來案暨出貨明細表-基因檢測(201904起'!$B:$B,AZ$1,'來案暨出貨明細表-基因檢測(201904起'!$R:$R,"中英")</f>
        <v>0</v>
      </c>
      <c r="BA14" s="33">
        <f>COUNTIFS('來案暨出貨明細表-基因檢測(201904起'!$P:$P,$A14&amp;"*",'來案暨出貨明細表-基因檢測(201904起'!$B:$B,BA$1)*$B14+COUNTIFS('來案暨出貨明細表-基因檢測(201904起'!$P:$P,$A14&amp;"*",'來案暨出貨明細表-基因檢測(201904起'!$B:$B,BA$1,'來案暨出貨明細表-基因檢測(201904起'!$Q:$Q,"紙本&amp;電子")++COUNTIFS('來案暨出貨明細表-基因檢測(201904起'!$P:$P,$A14&amp;"*",'來案暨出貨明細表-基因檢測(201904起'!$B:$B,BA$1,'來案暨出貨明細表-基因檢測(201904起'!$R:$R,"中英")</f>
        <v>0</v>
      </c>
      <c r="BB14" s="33">
        <f>COUNTIFS('來案暨出貨明細表-基因檢測(201904起'!$P:$P,$A14&amp;"*",'來案暨出貨明細表-基因檢測(201904起'!$B:$B,BB$1)*$B14+COUNTIFS('來案暨出貨明細表-基因檢測(201904起'!$P:$P,$A14&amp;"*",'來案暨出貨明細表-基因檢測(201904起'!$B:$B,BB$1,'來案暨出貨明細表-基因檢測(201904起'!$Q:$Q,"紙本&amp;電子")++COUNTIFS('來案暨出貨明細表-基因檢測(201904起'!$P:$P,$A14&amp;"*",'來案暨出貨明細表-基因檢測(201904起'!$B:$B,BB$1,'來案暨出貨明細表-基因檢測(201904起'!$R:$R,"中英")</f>
        <v>0</v>
      </c>
      <c r="BC14" s="33">
        <f>COUNTIFS('來案暨出貨明細表-基因檢測(201904起'!$P:$P,$A14&amp;"*",'來案暨出貨明細表-基因檢測(201904起'!$B:$B,BC$1)*$B14+COUNTIFS('來案暨出貨明細表-基因檢測(201904起'!$P:$P,$A14&amp;"*",'來案暨出貨明細表-基因檢測(201904起'!$B:$B,BC$1,'來案暨出貨明細表-基因檢測(201904起'!$Q:$Q,"紙本&amp;電子")++COUNTIFS('來案暨出貨明細表-基因檢測(201904起'!$P:$P,$A14&amp;"*",'來案暨出貨明細表-基因檢測(201904起'!$B:$B,BC$1,'來案暨出貨明細表-基因檢測(201904起'!$R:$R,"中英")</f>
        <v>0</v>
      </c>
      <c r="BD14" s="33">
        <f>COUNTIFS('來案暨出貨明細表-基因檢測(201904起'!$P:$P,$A14&amp;"*",'來案暨出貨明細表-基因檢測(201904起'!$B:$B,BD$1)*$B14+COUNTIFS('來案暨出貨明細表-基因檢測(201904起'!$P:$P,$A14&amp;"*",'來案暨出貨明細表-基因檢測(201904起'!$B:$B,BD$1,'來案暨出貨明細表-基因檢測(201904起'!$Q:$Q,"紙本&amp;電子")++COUNTIFS('來案暨出貨明細表-基因檢測(201904起'!$P:$P,$A14&amp;"*",'來案暨出貨明細表-基因檢測(201904起'!$B:$B,BD$1,'來案暨出貨明細表-基因檢測(201904起'!$R:$R,"中英")</f>
        <v>0</v>
      </c>
      <c r="BE14" s="33">
        <f>COUNTIFS('來案暨出貨明細表-基因檢測(201904起'!$P:$P,$A14&amp;"*",'來案暨出貨明細表-基因檢測(201904起'!$B:$B,BE$1)*$B14+COUNTIFS('來案暨出貨明細表-基因檢測(201904起'!$P:$P,$A14&amp;"*",'來案暨出貨明細表-基因檢測(201904起'!$B:$B,BE$1,'來案暨出貨明細表-基因檢測(201904起'!$Q:$Q,"紙本&amp;電子")++COUNTIFS('來案暨出貨明細表-基因檢測(201904起'!$P:$P,$A14&amp;"*",'來案暨出貨明細表-基因檢測(201904起'!$B:$B,BE$1,'來案暨出貨明細表-基因檢測(201904起'!$R:$R,"中英")</f>
        <v>0</v>
      </c>
      <c r="BF14" s="33">
        <f>COUNTIFS('來案暨出貨明細表-基因檢測(201904起'!$P:$P,$A14&amp;"*",'來案暨出貨明細表-基因檢測(201904起'!$B:$B,BF$1)*$B14+COUNTIFS('來案暨出貨明細表-基因檢測(201904起'!$P:$P,$A14&amp;"*",'來案暨出貨明細表-基因檢測(201904起'!$B:$B,BF$1,'來案暨出貨明細表-基因檢測(201904起'!$Q:$Q,"紙本&amp;電子")++COUNTIFS('來案暨出貨明細表-基因檢測(201904起'!$P:$P,$A14&amp;"*",'來案暨出貨明細表-基因檢測(201904起'!$B:$B,BF$1,'來案暨出貨明細表-基因檢測(201904起'!$R:$R,"中英")</f>
        <v>0</v>
      </c>
      <c r="BG14" s="33">
        <f>COUNTIFS('來案暨出貨明細表-基因檢測(201904起'!$P:$P,$A14&amp;"*",'來案暨出貨明細表-基因檢測(201904起'!$B:$B,BG$1)*$B14+COUNTIFS('來案暨出貨明細表-基因檢測(201904起'!$P:$P,$A14&amp;"*",'來案暨出貨明細表-基因檢測(201904起'!$B:$B,BG$1,'來案暨出貨明細表-基因檢測(201904起'!$Q:$Q,"紙本&amp;電子")++COUNTIFS('來案暨出貨明細表-基因檢測(201904起'!$P:$P,$A14&amp;"*",'來案暨出貨明細表-基因檢測(201904起'!$B:$B,BG$1,'來案暨出貨明細表-基因檢測(201904起'!$R:$R,"中英")</f>
        <v>0</v>
      </c>
      <c r="BH14" s="33">
        <f>COUNTIFS('來案暨出貨明細表-基因檢測(201904起'!$P:$P,$A14&amp;"*",'來案暨出貨明細表-基因檢測(201904起'!$B:$B,BH$1)*$B14+COUNTIFS('來案暨出貨明細表-基因檢測(201904起'!$P:$P,$A14&amp;"*",'來案暨出貨明細表-基因檢測(201904起'!$B:$B,BH$1,'來案暨出貨明細表-基因檢測(201904起'!$Q:$Q,"紙本&amp;電子")++COUNTIFS('來案暨出貨明細表-基因檢測(201904起'!$P:$P,$A14&amp;"*",'來案暨出貨明細表-基因檢測(201904起'!$B:$B,BH$1,'來案暨出貨明細表-基因檢測(201904起'!$R:$R,"中英")</f>
        <v>0</v>
      </c>
      <c r="BI14" s="33">
        <f>COUNTIFS('來案暨出貨明細表-基因檢測(201904起'!$P:$P,$A14&amp;"*",'來案暨出貨明細表-基因檢測(201904起'!$B:$B,BI$1)*$B14+COUNTIFS('來案暨出貨明細表-基因檢測(201904起'!$P:$P,$A14&amp;"*",'來案暨出貨明細表-基因檢測(201904起'!$B:$B,BI$1,'來案暨出貨明細表-基因檢測(201904起'!$Q:$Q,"紙本&amp;電子")++COUNTIFS('來案暨出貨明細表-基因檢測(201904起'!$P:$P,$A14&amp;"*",'來案暨出貨明細表-基因檢測(201904起'!$B:$B,BI$1,'來案暨出貨明細表-基因檢測(201904起'!$R:$R,"中英")</f>
        <v>0</v>
      </c>
      <c r="BJ14" s="33">
        <f>COUNTIFS('來案暨出貨明細表-基因檢測(201904起'!$P:$P,$A14&amp;"*",'來案暨出貨明細表-基因檢測(201904起'!$B:$B,BJ$1)*$B14+COUNTIFS('來案暨出貨明細表-基因檢測(201904起'!$P:$P,$A14&amp;"*",'來案暨出貨明細表-基因檢測(201904起'!$B:$B,BJ$1,'來案暨出貨明細表-基因檢測(201904起'!$Q:$Q,"紙本&amp;電子")++COUNTIFS('來案暨出貨明細表-基因檢測(201904起'!$P:$P,$A14&amp;"*",'來案暨出貨明細表-基因檢測(201904起'!$B:$B,BJ$1,'來案暨出貨明細表-基因檢測(201904起'!$R:$R,"中英")</f>
        <v>0</v>
      </c>
      <c r="BK14" s="33">
        <f>COUNTIFS('來案暨出貨明細表-基因檢測(201904起'!$P:$P,$A14&amp;"*",'來案暨出貨明細表-基因檢測(201904起'!$B:$B,BK$1)*$B14+COUNTIFS('來案暨出貨明細表-基因檢測(201904起'!$P:$P,$A14&amp;"*",'來案暨出貨明細表-基因檢測(201904起'!$B:$B,BK$1,'來案暨出貨明細表-基因檢測(201904起'!$Q:$Q,"紙本&amp;電子")++COUNTIFS('來案暨出貨明細表-基因檢測(201904起'!$P:$P,$A14&amp;"*",'來案暨出貨明細表-基因檢測(201904起'!$B:$B,BK$1,'來案暨出貨明細表-基因檢測(201904起'!$R:$R,"中英")</f>
        <v>0</v>
      </c>
    </row>
    <row r="15" spans="1:63" ht="15" customHeight="1">
      <c r="A15" s="166" t="s">
        <v>4453</v>
      </c>
      <c r="B15" s="167">
        <v>1</v>
      </c>
      <c r="C15" s="168" t="s">
        <v>4456</v>
      </c>
      <c r="D15" s="169" t="s">
        <v>4458</v>
      </c>
      <c r="E15" s="162">
        <v>0</v>
      </c>
      <c r="F15" s="162">
        <v>0</v>
      </c>
      <c r="G15" s="162">
        <v>0</v>
      </c>
      <c r="H15" s="162">
        <v>1</v>
      </c>
      <c r="I15" s="162">
        <v>0</v>
      </c>
      <c r="J15" s="162">
        <v>0</v>
      </c>
      <c r="K15" s="162">
        <v>0</v>
      </c>
      <c r="L15" s="162">
        <v>0</v>
      </c>
      <c r="M15" s="162">
        <v>0</v>
      </c>
      <c r="N15" s="162">
        <v>0</v>
      </c>
      <c r="O15" s="162">
        <v>0</v>
      </c>
      <c r="P15" s="162">
        <v>0</v>
      </c>
      <c r="Q15" s="162">
        <v>0</v>
      </c>
      <c r="R15" s="162">
        <v>0</v>
      </c>
      <c r="S15" s="162">
        <v>0</v>
      </c>
      <c r="T15" s="162">
        <v>0</v>
      </c>
      <c r="U15" s="162">
        <v>0</v>
      </c>
      <c r="V15" s="162">
        <v>0</v>
      </c>
      <c r="W15" s="162">
        <v>0</v>
      </c>
      <c r="X15" s="162">
        <v>0</v>
      </c>
      <c r="Y15" s="162">
        <v>0</v>
      </c>
      <c r="Z15" s="162">
        <v>0</v>
      </c>
      <c r="AA15" s="162">
        <v>0</v>
      </c>
      <c r="AB15" s="162">
        <v>0</v>
      </c>
      <c r="AC15" s="162">
        <v>0</v>
      </c>
      <c r="AD15" s="162">
        <v>0</v>
      </c>
      <c r="AE15" s="162">
        <v>0</v>
      </c>
      <c r="AF15" s="162">
        <v>0</v>
      </c>
      <c r="AG15" s="162">
        <v>0</v>
      </c>
      <c r="AH15" s="162">
        <v>0</v>
      </c>
      <c r="AI15" s="162">
        <v>0</v>
      </c>
      <c r="AJ15" s="170">
        <v>1</v>
      </c>
      <c r="AK15" s="33">
        <f>COUNTIFS('來案暨出貨明細表-基因檢測(201904起'!$P:$P,"*"&amp;$A15&amp;"*",'來案暨出貨明細表-基因檢測(201904起'!$B:$B,AK$1)*$B15+COUNTIFS('來案暨出貨明細表-基因檢測(201904起'!$P:$P,"*"&amp;$A15&amp;"*",'來案暨出貨明細表-基因檢測(201904起'!$B:$B,AK$1,'來案暨出貨明細表-基因檢測(201904起'!$Q:$Q,"紙本&amp;電子")++COUNTIFS('來案暨出貨明細表-基因檢測(201904起'!$P:$P,"*"&amp;$A15&amp;"*",'來案暨出貨明細表-基因檢測(201904起'!$B:$B,AK$1,'來案暨出貨明細表-基因檢測(201904起'!$R:$R,"中英")</f>
        <v>0</v>
      </c>
      <c r="AL15" s="33">
        <f>COUNTIFS('來案暨出貨明細表-基因檢測(201904起'!$P:$P,"*"&amp;$A15&amp;"*",'來案暨出貨明細表-基因檢測(201904起'!$B:$B,AL$1)*$B15+COUNTIFS('來案暨出貨明細表-基因檢測(201904起'!$P:$P,"*"&amp;$A15&amp;"*",'來案暨出貨明細表-基因檢測(201904起'!$B:$B,AL$1,'來案暨出貨明細表-基因檢測(201904起'!$Q:$Q,"紙本&amp;電子")++COUNTIFS('來案暨出貨明細表-基因檢測(201904起'!$P:$P,"*"&amp;$A15&amp;"*",'來案暨出貨明細表-基因檢測(201904起'!$B:$B,AL$1,'來案暨出貨明細表-基因檢測(201904起'!$R:$R,"中英")</f>
        <v>0</v>
      </c>
      <c r="AM15" s="33">
        <f>COUNTIFS('來案暨出貨明細表-基因檢測(201904起'!$P:$P,"*"&amp;$A15&amp;"*",'來案暨出貨明細表-基因檢測(201904起'!$B:$B,AM$1)*$B15+COUNTIFS('來案暨出貨明細表-基因檢測(201904起'!$P:$P,"*"&amp;$A15&amp;"*",'來案暨出貨明細表-基因檢測(201904起'!$B:$B,AM$1,'來案暨出貨明細表-基因檢測(201904起'!$Q:$Q,"紙本&amp;電子")++COUNTIFS('來案暨出貨明細表-基因檢測(201904起'!$P:$P,"*"&amp;$A15&amp;"*",'來案暨出貨明細表-基因檢測(201904起'!$B:$B,AM$1,'來案暨出貨明細表-基因檢測(201904起'!$R:$R,"中英")</f>
        <v>0</v>
      </c>
      <c r="AN15" s="33">
        <f>COUNTIFS('來案暨出貨明細表-基因檢測(201904起'!$P:$P,"*"&amp;$A15&amp;"*",'來案暨出貨明細表-基因檢測(201904起'!$B:$B,AN$1)*$B15+COUNTIFS('來案暨出貨明細表-基因檢測(201904起'!$P:$P,"*"&amp;$A15&amp;"*",'來案暨出貨明細表-基因檢測(201904起'!$B:$B,AN$1,'來案暨出貨明細表-基因檢測(201904起'!$Q:$Q,"紙本&amp;電子")++COUNTIFS('來案暨出貨明細表-基因檢測(201904起'!$P:$P,"*"&amp;$A15&amp;"*",'來案暨出貨明細表-基因檢測(201904起'!$B:$B,AN$1,'來案暨出貨明細表-基因檢測(201904起'!$R:$R,"中英")</f>
        <v>0</v>
      </c>
      <c r="AO15" s="33">
        <f>COUNTIFS('來案暨出貨明細表-基因檢測(201904起'!$P:$P,"*"&amp;$A15&amp;"*",'來案暨出貨明細表-基因檢測(201904起'!$B:$B,AO$1)*$B15+COUNTIFS('來案暨出貨明細表-基因檢測(201904起'!$P:$P,"*"&amp;$A15&amp;"*",'來案暨出貨明細表-基因檢測(201904起'!$B:$B,AO$1,'來案暨出貨明細表-基因檢測(201904起'!$Q:$Q,"紙本&amp;電子")++COUNTIFS('來案暨出貨明細表-基因檢測(201904起'!$P:$P,"*"&amp;$A15&amp;"*",'來案暨出貨明細表-基因檢測(201904起'!$B:$B,AO$1,'來案暨出貨明細表-基因檢測(201904起'!$R:$R,"中英")</f>
        <v>0</v>
      </c>
      <c r="AP15" s="33">
        <f>COUNTIFS('來案暨出貨明細表-基因檢測(201904起'!$P:$P,"*"&amp;$A15&amp;"*",'來案暨出貨明細表-基因檢測(201904起'!$B:$B,AP$1)*$B15+COUNTIFS('來案暨出貨明細表-基因檢測(201904起'!$P:$P,"*"&amp;$A15&amp;"*",'來案暨出貨明細表-基因檢測(201904起'!$B:$B,AP$1,'來案暨出貨明細表-基因檢測(201904起'!$Q:$Q,"紙本&amp;電子")++COUNTIFS('來案暨出貨明細表-基因檢測(201904起'!$P:$P,"*"&amp;$A15&amp;"*",'來案暨出貨明細表-基因檢測(201904起'!$B:$B,AP$1,'來案暨出貨明細表-基因檢測(201904起'!$R:$R,"中英")</f>
        <v>0</v>
      </c>
      <c r="AQ15" s="33">
        <f>COUNTIFS('來案暨出貨明細表-基因檢測(201904起'!$P:$P,"*"&amp;$A15&amp;"*",'來案暨出貨明細表-基因檢測(201904起'!$B:$B,AQ$1)*$B15+COUNTIFS('來案暨出貨明細表-基因檢測(201904起'!$P:$P,"*"&amp;$A15&amp;"*",'來案暨出貨明細表-基因檢測(201904起'!$B:$B,AQ$1,'來案暨出貨明細表-基因檢測(201904起'!$Q:$Q,"紙本&amp;電子")++COUNTIFS('來案暨出貨明細表-基因檢測(201904起'!$P:$P,"*"&amp;$A15&amp;"*",'來案暨出貨明細表-基因檢測(201904起'!$B:$B,AQ$1,'來案暨出貨明細表-基因檢測(201904起'!$R:$R,"中英")</f>
        <v>0</v>
      </c>
      <c r="AR15" s="33">
        <f>COUNTIFS('來案暨出貨明細表-基因檢測(201904起'!$P:$P,"*"&amp;$A15&amp;"*",'來案暨出貨明細表-基因檢測(201904起'!$B:$B,AR$1)*$B15+COUNTIFS('來案暨出貨明細表-基因檢測(201904起'!$P:$P,"*"&amp;$A15&amp;"*",'來案暨出貨明細表-基因檢測(201904起'!$B:$B,AR$1,'來案暨出貨明細表-基因檢測(201904起'!$Q:$Q,"紙本&amp;電子")++COUNTIFS('來案暨出貨明細表-基因檢測(201904起'!$P:$P,"*"&amp;$A15&amp;"*",'來案暨出貨明細表-基因檢測(201904起'!$B:$B,AR$1,'來案暨出貨明細表-基因檢測(201904起'!$R:$R,"中英")</f>
        <v>0</v>
      </c>
      <c r="AS15" s="33">
        <f>COUNTIFS('來案暨出貨明細表-基因檢測(201904起'!$P:$P,"*"&amp;$A15&amp;"*",'來案暨出貨明細表-基因檢測(201904起'!$B:$B,AS$1)*$B15+COUNTIFS('來案暨出貨明細表-基因檢測(201904起'!$P:$P,"*"&amp;$A15&amp;"*",'來案暨出貨明細表-基因檢測(201904起'!$B:$B,AS$1,'來案暨出貨明細表-基因檢測(201904起'!$Q:$Q,"紙本&amp;電子")++COUNTIFS('來案暨出貨明細表-基因檢測(201904起'!$P:$P,"*"&amp;$A15&amp;"*",'來案暨出貨明細表-基因檢測(201904起'!$B:$B,AS$1,'來案暨出貨明細表-基因檢測(201904起'!$R:$R,"中英")</f>
        <v>0</v>
      </c>
      <c r="AT15" s="33">
        <f>COUNTIFS('來案暨出貨明細表-基因檢測(201904起'!$P:$P,"*"&amp;$A15&amp;"*",'來案暨出貨明細表-基因檢測(201904起'!$B:$B,AT$1)*$B15+COUNTIFS('來案暨出貨明細表-基因檢測(201904起'!$P:$P,"*"&amp;$A15&amp;"*",'來案暨出貨明細表-基因檢測(201904起'!$B:$B,AT$1,'來案暨出貨明細表-基因檢測(201904起'!$Q:$Q,"紙本&amp;電子")++COUNTIFS('來案暨出貨明細表-基因檢測(201904起'!$P:$P,"*"&amp;$A15&amp;"*",'來案暨出貨明細表-基因檢測(201904起'!$B:$B,AT$1,'來案暨出貨明細表-基因檢測(201904起'!$R:$R,"中英")</f>
        <v>0</v>
      </c>
      <c r="AU15" s="33">
        <f>COUNTIFS('來案暨出貨明細表-基因檢測(201904起'!$P:$P,"*"&amp;$A15&amp;"*",'來案暨出貨明細表-基因檢測(201904起'!$B:$B,AU$1)*$B15+COUNTIFS('來案暨出貨明細表-基因檢測(201904起'!$P:$P,"*"&amp;$A15&amp;"*",'來案暨出貨明細表-基因檢測(201904起'!$B:$B,AU$1,'來案暨出貨明細表-基因檢測(201904起'!$Q:$Q,"紙本&amp;電子")++COUNTIFS('來案暨出貨明細表-基因檢測(201904起'!$P:$P,"*"&amp;$A15&amp;"*",'來案暨出貨明細表-基因檢測(201904起'!$B:$B,AU$1,'來案暨出貨明細表-基因檢測(201904起'!$R:$R,"中英")</f>
        <v>0</v>
      </c>
      <c r="AV15" s="33">
        <f>COUNTIFS('來案暨出貨明細表-基因檢測(201904起'!$P:$P,"*"&amp;$A15&amp;"*",'來案暨出貨明細表-基因檢測(201904起'!$B:$B,AV$1)*$B15+COUNTIFS('來案暨出貨明細表-基因檢測(201904起'!$P:$P,"*"&amp;$A15&amp;"*",'來案暨出貨明細表-基因檢測(201904起'!$B:$B,AV$1,'來案暨出貨明細表-基因檢測(201904起'!$Q:$Q,"紙本&amp;電子")++COUNTIFS('來案暨出貨明細表-基因檢測(201904起'!$P:$P,"*"&amp;$A15&amp;"*",'來案暨出貨明細表-基因檢測(201904起'!$B:$B,AV$1,'來案暨出貨明細表-基因檢測(201904起'!$R:$R,"中英")</f>
        <v>0</v>
      </c>
      <c r="AW15" s="33">
        <f>COUNTIFS('來案暨出貨明細表-基因檢測(201904起'!$P:$P,"*"&amp;$A15&amp;"*",'來案暨出貨明細表-基因檢測(201904起'!$B:$B,AW$1)*$B15+COUNTIFS('來案暨出貨明細表-基因檢測(201904起'!$P:$P,"*"&amp;$A15&amp;"*",'來案暨出貨明細表-基因檢測(201904起'!$B:$B,AW$1,'來案暨出貨明細表-基因檢測(201904起'!$Q:$Q,"紙本&amp;電子")++COUNTIFS('來案暨出貨明細表-基因檢測(201904起'!$P:$P,"*"&amp;$A15&amp;"*",'來案暨出貨明細表-基因檢測(201904起'!$B:$B,AW$1,'來案暨出貨明細表-基因檢測(201904起'!$R:$R,"中英")</f>
        <v>0</v>
      </c>
      <c r="AX15" s="33">
        <f>COUNTIFS('來案暨出貨明細表-基因檢測(201904起'!$P:$P,"*"&amp;$A15&amp;"*",'來案暨出貨明細表-基因檢測(201904起'!$B:$B,AX$1)*$B15+COUNTIFS('來案暨出貨明細表-基因檢測(201904起'!$P:$P,"*"&amp;$A15&amp;"*",'來案暨出貨明細表-基因檢測(201904起'!$B:$B,AX$1,'來案暨出貨明細表-基因檢測(201904起'!$Q:$Q,"紙本&amp;電子")++COUNTIFS('來案暨出貨明細表-基因檢測(201904起'!$P:$P,"*"&amp;$A15&amp;"*",'來案暨出貨明細表-基因檢測(201904起'!$B:$B,AX$1,'來案暨出貨明細表-基因檢測(201904起'!$R:$R,"中英")</f>
        <v>0</v>
      </c>
      <c r="AY15" s="33">
        <f>COUNTIFS('來案暨出貨明細表-基因檢測(201904起'!$P:$P,"*"&amp;$A15&amp;"*",'來案暨出貨明細表-基因檢測(201904起'!$B:$B,AY$1)*$B15+COUNTIFS('來案暨出貨明細表-基因檢測(201904起'!$P:$P,"*"&amp;$A15&amp;"*",'來案暨出貨明細表-基因檢測(201904起'!$B:$B,AY$1,'來案暨出貨明細表-基因檢測(201904起'!$Q:$Q,"紙本&amp;電子")++COUNTIFS('來案暨出貨明細表-基因檢測(201904起'!$P:$P,"*"&amp;$A15&amp;"*",'來案暨出貨明細表-基因檢測(201904起'!$B:$B,AY$1,'來案暨出貨明細表-基因檢測(201904起'!$R:$R,"中英")</f>
        <v>0</v>
      </c>
      <c r="AZ15" s="33">
        <f>COUNTIFS('來案暨出貨明細表-基因檢測(201904起'!$P:$P,"*"&amp;$A15&amp;"*",'來案暨出貨明細表-基因檢測(201904起'!$B:$B,AZ$1)*$B15+COUNTIFS('來案暨出貨明細表-基因檢測(201904起'!$P:$P,"*"&amp;$A15&amp;"*",'來案暨出貨明細表-基因檢測(201904起'!$B:$B,AZ$1,'來案暨出貨明細表-基因檢測(201904起'!$Q:$Q,"紙本&amp;電子")++COUNTIFS('來案暨出貨明細表-基因檢測(201904起'!$P:$P,"*"&amp;$A15&amp;"*",'來案暨出貨明細表-基因檢測(201904起'!$B:$B,AZ$1,'來案暨出貨明細表-基因檢測(201904起'!$R:$R,"中英")</f>
        <v>0</v>
      </c>
      <c r="BA15" s="33">
        <f>COUNTIFS('來案暨出貨明細表-基因檢測(201904起'!$P:$P,"*"&amp;$A15&amp;"*",'來案暨出貨明細表-基因檢測(201904起'!$B:$B,BA$1)*$B15+COUNTIFS('來案暨出貨明細表-基因檢測(201904起'!$P:$P,"*"&amp;$A15&amp;"*",'來案暨出貨明細表-基因檢測(201904起'!$B:$B,BA$1,'來案暨出貨明細表-基因檢測(201904起'!$Q:$Q,"紙本&amp;電子")++COUNTIFS('來案暨出貨明細表-基因檢測(201904起'!$P:$P,"*"&amp;$A15&amp;"*",'來案暨出貨明細表-基因檢測(201904起'!$B:$B,BA$1,'來案暨出貨明細表-基因檢測(201904起'!$R:$R,"中英")</f>
        <v>0</v>
      </c>
      <c r="BB15" s="33">
        <f>COUNTIFS('來案暨出貨明細表-基因檢測(201904起'!$P:$P,"*"&amp;$A15&amp;"*",'來案暨出貨明細表-基因檢測(201904起'!$B:$B,BB$1)*$B15+COUNTIFS('來案暨出貨明細表-基因檢測(201904起'!$P:$P,"*"&amp;$A15&amp;"*",'來案暨出貨明細表-基因檢測(201904起'!$B:$B,BB$1,'來案暨出貨明細表-基因檢測(201904起'!$Q:$Q,"紙本&amp;電子")++COUNTIFS('來案暨出貨明細表-基因檢測(201904起'!$P:$P,"*"&amp;$A15&amp;"*",'來案暨出貨明細表-基因檢測(201904起'!$B:$B,BB$1,'來案暨出貨明細表-基因檢測(201904起'!$R:$R,"中英")</f>
        <v>0</v>
      </c>
      <c r="BC15" s="33">
        <f>COUNTIFS('來案暨出貨明細表-基因檢測(201904起'!$P:$P,"*"&amp;$A15&amp;"*",'來案暨出貨明細表-基因檢測(201904起'!$B:$B,BC$1)*$B15+COUNTIFS('來案暨出貨明細表-基因檢測(201904起'!$P:$P,"*"&amp;$A15&amp;"*",'來案暨出貨明細表-基因檢測(201904起'!$B:$B,BC$1,'來案暨出貨明細表-基因檢測(201904起'!$Q:$Q,"紙本&amp;電子")++COUNTIFS('來案暨出貨明細表-基因檢測(201904起'!$P:$P,"*"&amp;$A15&amp;"*",'來案暨出貨明細表-基因檢測(201904起'!$B:$B,BC$1,'來案暨出貨明細表-基因檢測(201904起'!$R:$R,"中英")</f>
        <v>0</v>
      </c>
      <c r="BD15" s="33">
        <f>COUNTIFS('來案暨出貨明細表-基因檢測(201904起'!$P:$P,"*"&amp;$A15&amp;"*",'來案暨出貨明細表-基因檢測(201904起'!$B:$B,BD$1)*$B15+COUNTIFS('來案暨出貨明細表-基因檢測(201904起'!$P:$P,"*"&amp;$A15&amp;"*",'來案暨出貨明細表-基因檢測(201904起'!$B:$B,BD$1,'來案暨出貨明細表-基因檢測(201904起'!$Q:$Q,"紙本&amp;電子")++COUNTIFS('來案暨出貨明細表-基因檢測(201904起'!$P:$P,"*"&amp;$A15&amp;"*",'來案暨出貨明細表-基因檢測(201904起'!$B:$B,BD$1,'來案暨出貨明細表-基因檢測(201904起'!$R:$R,"中英")</f>
        <v>0</v>
      </c>
      <c r="BE15" s="33">
        <f>COUNTIFS('來案暨出貨明細表-基因檢測(201904起'!$P:$P,"*"&amp;$A15&amp;"*",'來案暨出貨明細表-基因檢測(201904起'!$B:$B,BE$1)*$B15+COUNTIFS('來案暨出貨明細表-基因檢測(201904起'!$P:$P,"*"&amp;$A15&amp;"*",'來案暨出貨明細表-基因檢測(201904起'!$B:$B,BE$1,'來案暨出貨明細表-基因檢測(201904起'!$Q:$Q,"紙本&amp;電子")++COUNTIFS('來案暨出貨明細表-基因檢測(201904起'!$P:$P,"*"&amp;$A15&amp;"*",'來案暨出貨明細表-基因檢測(201904起'!$B:$B,BE$1,'來案暨出貨明細表-基因檢測(201904起'!$R:$R,"中英")</f>
        <v>0</v>
      </c>
      <c r="BF15" s="33">
        <f>COUNTIFS('來案暨出貨明細表-基因檢測(201904起'!$P:$P,"*"&amp;$A15&amp;"*",'來案暨出貨明細表-基因檢測(201904起'!$B:$B,BF$1)*$B15+COUNTIFS('來案暨出貨明細表-基因檢測(201904起'!$P:$P,"*"&amp;$A15&amp;"*",'來案暨出貨明細表-基因檢測(201904起'!$B:$B,BF$1,'來案暨出貨明細表-基因檢測(201904起'!$Q:$Q,"紙本&amp;電子")++COUNTIFS('來案暨出貨明細表-基因檢測(201904起'!$P:$P,"*"&amp;$A15&amp;"*",'來案暨出貨明細表-基因檢測(201904起'!$B:$B,BF$1,'來案暨出貨明細表-基因檢測(201904起'!$R:$R,"中英")</f>
        <v>0</v>
      </c>
      <c r="BG15" s="33">
        <f>COUNTIFS('來案暨出貨明細表-基因檢測(201904起'!$P:$P,"*"&amp;$A15&amp;"*",'來案暨出貨明細表-基因檢測(201904起'!$B:$B,BG$1)*$B15+COUNTIFS('來案暨出貨明細表-基因檢測(201904起'!$P:$P,"*"&amp;$A15&amp;"*",'來案暨出貨明細表-基因檢測(201904起'!$B:$B,BG$1,'來案暨出貨明細表-基因檢測(201904起'!$Q:$Q,"紙本&amp;電子")++COUNTIFS('來案暨出貨明細表-基因檢測(201904起'!$P:$P,"*"&amp;$A15&amp;"*",'來案暨出貨明細表-基因檢測(201904起'!$B:$B,BG$1,'來案暨出貨明細表-基因檢測(201904起'!$R:$R,"中英")</f>
        <v>0</v>
      </c>
      <c r="BH15" s="33">
        <f>COUNTIFS('來案暨出貨明細表-基因檢測(201904起'!$P:$P,"*"&amp;$A15&amp;"*",'來案暨出貨明細表-基因檢測(201904起'!$B:$B,BH$1)*$B15+COUNTIFS('來案暨出貨明細表-基因檢測(201904起'!$P:$P,"*"&amp;$A15&amp;"*",'來案暨出貨明細表-基因檢測(201904起'!$B:$B,BH$1,'來案暨出貨明細表-基因檢測(201904起'!$Q:$Q,"紙本&amp;電子")++COUNTIFS('來案暨出貨明細表-基因檢測(201904起'!$P:$P,"*"&amp;$A15&amp;"*",'來案暨出貨明細表-基因檢測(201904起'!$B:$B,BH$1,'來案暨出貨明細表-基因檢測(201904起'!$R:$R,"中英")</f>
        <v>0</v>
      </c>
      <c r="BI15" s="33">
        <f>COUNTIFS('來案暨出貨明細表-基因檢測(201904起'!$P:$P,"*"&amp;$A15&amp;"*",'來案暨出貨明細表-基因檢測(201904起'!$B:$B,BI$1)*$B15+COUNTIFS('來案暨出貨明細表-基因檢測(201904起'!$P:$P,"*"&amp;$A15&amp;"*",'來案暨出貨明細表-基因檢測(201904起'!$B:$B,BI$1,'來案暨出貨明細表-基因檢測(201904起'!$Q:$Q,"紙本&amp;電子")++COUNTIFS('來案暨出貨明細表-基因檢測(201904起'!$P:$P,"*"&amp;$A15&amp;"*",'來案暨出貨明細表-基因檢測(201904起'!$B:$B,BI$1,'來案暨出貨明細表-基因檢測(201904起'!$R:$R,"中英")</f>
        <v>0</v>
      </c>
      <c r="BJ15" s="33">
        <f>COUNTIFS('來案暨出貨明細表-基因檢測(201904起'!$P:$P,"*"&amp;$A15&amp;"*",'來案暨出貨明細表-基因檢測(201904起'!$B:$B,BJ$1)*$B15+COUNTIFS('來案暨出貨明細表-基因檢測(201904起'!$P:$P,"*"&amp;$A15&amp;"*",'來案暨出貨明細表-基因檢測(201904起'!$B:$B,BJ$1,'來案暨出貨明細表-基因檢測(201904起'!$Q:$Q,"紙本&amp;電子")++COUNTIFS('來案暨出貨明細表-基因檢測(201904起'!$P:$P,"*"&amp;$A15&amp;"*",'來案暨出貨明細表-基因檢測(201904起'!$B:$B,BJ$1,'來案暨出貨明細表-基因檢測(201904起'!$R:$R,"中英")</f>
        <v>0</v>
      </c>
      <c r="BK15" s="33">
        <f>COUNTIFS('來案暨出貨明細表-基因檢測(201904起'!$P:$P,"*"&amp;$A15&amp;"*",'來案暨出貨明細表-基因檢測(201904起'!$B:$B,BK$1)*$B15+COUNTIFS('來案暨出貨明細表-基因檢測(201904起'!$P:$P,"*"&amp;$A15&amp;"*",'來案暨出貨明細表-基因檢測(201904起'!$B:$B,BK$1,'來案暨出貨明細表-基因檢測(201904起'!$Q:$Q,"紙本&amp;電子")++COUNTIFS('來案暨出貨明細表-基因檢測(201904起'!$P:$P,"*"&amp;$A15&amp;"*",'來案暨出貨明細表-基因檢測(201904起'!$B:$B,BK$1,'來案暨出貨明細表-基因檢測(201904起'!$R:$R,"中英")</f>
        <v>0</v>
      </c>
    </row>
    <row r="16" spans="1:63" ht="15" customHeight="1">
      <c r="A16" s="166" t="s">
        <v>4510</v>
      </c>
      <c r="B16" s="167">
        <v>1</v>
      </c>
      <c r="C16" s="168" t="s">
        <v>4511</v>
      </c>
      <c r="D16" s="169" t="s">
        <v>4512</v>
      </c>
      <c r="E16" s="162">
        <v>0</v>
      </c>
      <c r="F16" s="162">
        <v>0</v>
      </c>
      <c r="G16" s="162">
        <v>0</v>
      </c>
      <c r="H16" s="162">
        <v>0</v>
      </c>
      <c r="I16" s="162">
        <v>0</v>
      </c>
      <c r="J16" s="162">
        <v>0</v>
      </c>
      <c r="K16" s="162">
        <v>0</v>
      </c>
      <c r="L16" s="162">
        <v>0</v>
      </c>
      <c r="M16" s="162">
        <v>0</v>
      </c>
      <c r="N16" s="162">
        <v>0</v>
      </c>
      <c r="O16" s="162">
        <v>0</v>
      </c>
      <c r="P16" s="162">
        <v>0</v>
      </c>
      <c r="Q16" s="162">
        <v>0</v>
      </c>
      <c r="R16" s="162">
        <v>0</v>
      </c>
      <c r="S16" s="162">
        <v>0</v>
      </c>
      <c r="T16" s="162">
        <v>0</v>
      </c>
      <c r="U16" s="162">
        <v>0</v>
      </c>
      <c r="V16" s="162">
        <v>0</v>
      </c>
      <c r="W16" s="162">
        <v>0</v>
      </c>
      <c r="X16" s="162">
        <v>0</v>
      </c>
      <c r="Y16" s="162">
        <v>0</v>
      </c>
      <c r="Z16" s="162">
        <v>0</v>
      </c>
      <c r="AA16" s="162">
        <v>0</v>
      </c>
      <c r="AB16" s="162">
        <v>0</v>
      </c>
      <c r="AC16" s="162">
        <v>0</v>
      </c>
      <c r="AD16" s="162">
        <v>0</v>
      </c>
      <c r="AE16" s="162">
        <v>0</v>
      </c>
      <c r="AF16" s="162">
        <v>0</v>
      </c>
      <c r="AG16" s="162">
        <v>0</v>
      </c>
      <c r="AH16" s="162">
        <v>0</v>
      </c>
      <c r="AI16" s="162">
        <v>0</v>
      </c>
      <c r="AJ16" s="170">
        <v>0</v>
      </c>
      <c r="AK16" s="33">
        <f>COUNTIFS('來案暨出貨明細表-基因檢測(201904起'!$P:$P,"*"&amp;$A16&amp;"*",'來案暨出貨明細表-基因檢測(201904起'!$B:$B,AK$1)*$B16+COUNTIFS('來案暨出貨明細表-基因檢測(201904起'!$P:$P,"*"&amp;$A16&amp;"*",'來案暨出貨明細表-基因檢測(201904起'!$B:$B,AK$1,'來案暨出貨明細表-基因檢測(201904起'!$Q:$Q,"紙本&amp;電子")++COUNTIFS('來案暨出貨明細表-基因檢測(201904起'!$P:$P,"*"&amp;$A16&amp;"*",'來案暨出貨明細表-基因檢測(201904起'!$B:$B,AK$1,'來案暨出貨明細表-基因檢測(201904起'!$R:$R,"中英")</f>
        <v>0</v>
      </c>
      <c r="AL16" s="33">
        <f>COUNTIFS('來案暨出貨明細表-基因檢測(201904起'!$P:$P,"*"&amp;$A16&amp;"*",'來案暨出貨明細表-基因檢測(201904起'!$B:$B,AL$1)*$B16+COUNTIFS('來案暨出貨明細表-基因檢測(201904起'!$P:$P,"*"&amp;$A16&amp;"*",'來案暨出貨明細表-基因檢測(201904起'!$B:$B,AL$1,'來案暨出貨明細表-基因檢測(201904起'!$Q:$Q,"紙本&amp;電子")++COUNTIFS('來案暨出貨明細表-基因檢測(201904起'!$P:$P,"*"&amp;$A16&amp;"*",'來案暨出貨明細表-基因檢測(201904起'!$B:$B,AL$1,'來案暨出貨明細表-基因檢測(201904起'!$R:$R,"中英")</f>
        <v>0</v>
      </c>
      <c r="AM16" s="33">
        <f>COUNTIFS('來案暨出貨明細表-基因檢測(201904起'!$P:$P,"*"&amp;$A16&amp;"*",'來案暨出貨明細表-基因檢測(201904起'!$B:$B,AM$1)*$B16+COUNTIFS('來案暨出貨明細表-基因檢測(201904起'!$P:$P,"*"&amp;$A16&amp;"*",'來案暨出貨明細表-基因檢測(201904起'!$B:$B,AM$1,'來案暨出貨明細表-基因檢測(201904起'!$Q:$Q,"紙本&amp;電子")++COUNTIFS('來案暨出貨明細表-基因檢測(201904起'!$P:$P,"*"&amp;$A16&amp;"*",'來案暨出貨明細表-基因檢測(201904起'!$B:$B,AM$1,'來案暨出貨明細表-基因檢測(201904起'!$R:$R,"中英")</f>
        <v>0</v>
      </c>
      <c r="AN16" s="33">
        <f>COUNTIFS('來案暨出貨明細表-基因檢測(201904起'!$P:$P,"*"&amp;$A16&amp;"*",'來案暨出貨明細表-基因檢測(201904起'!$B:$B,AN$1)*$B16+COUNTIFS('來案暨出貨明細表-基因檢測(201904起'!$P:$P,"*"&amp;$A16&amp;"*",'來案暨出貨明細表-基因檢測(201904起'!$B:$B,AN$1,'來案暨出貨明細表-基因檢測(201904起'!$Q:$Q,"紙本&amp;電子")++COUNTIFS('來案暨出貨明細表-基因檢測(201904起'!$P:$P,"*"&amp;$A16&amp;"*",'來案暨出貨明細表-基因檢測(201904起'!$B:$B,AN$1,'來案暨出貨明細表-基因檢測(201904起'!$R:$R,"中英")</f>
        <v>0</v>
      </c>
      <c r="AO16" s="33">
        <f>COUNTIFS('來案暨出貨明細表-基因檢測(201904起'!$P:$P,"*"&amp;$A16&amp;"*",'來案暨出貨明細表-基因檢測(201904起'!$B:$B,AO$1)*$B16+COUNTIFS('來案暨出貨明細表-基因檢測(201904起'!$P:$P,"*"&amp;$A16&amp;"*",'來案暨出貨明細表-基因檢測(201904起'!$B:$B,AO$1,'來案暨出貨明細表-基因檢測(201904起'!$Q:$Q,"紙本&amp;電子")++COUNTIFS('來案暨出貨明細表-基因檢測(201904起'!$P:$P,"*"&amp;$A16&amp;"*",'來案暨出貨明細表-基因檢測(201904起'!$B:$B,AO$1,'來案暨出貨明細表-基因檢測(201904起'!$R:$R,"中英")</f>
        <v>0</v>
      </c>
      <c r="AP16" s="33">
        <f>COUNTIFS('來案暨出貨明細表-基因檢測(201904起'!$P:$P,"*"&amp;$A16&amp;"*",'來案暨出貨明細表-基因檢測(201904起'!$B:$B,AP$1)*$B16+COUNTIFS('來案暨出貨明細表-基因檢測(201904起'!$P:$P,"*"&amp;$A16&amp;"*",'來案暨出貨明細表-基因檢測(201904起'!$B:$B,AP$1,'來案暨出貨明細表-基因檢測(201904起'!$Q:$Q,"紙本&amp;電子")++COUNTIFS('來案暨出貨明細表-基因檢測(201904起'!$P:$P,"*"&amp;$A16&amp;"*",'來案暨出貨明細表-基因檢測(201904起'!$B:$B,AP$1,'來案暨出貨明細表-基因檢測(201904起'!$R:$R,"中英")</f>
        <v>0</v>
      </c>
      <c r="AQ16" s="33">
        <f>COUNTIFS('來案暨出貨明細表-基因檢測(201904起'!$P:$P,"*"&amp;$A16&amp;"*",'來案暨出貨明細表-基因檢測(201904起'!$B:$B,AQ$1)*$B16+COUNTIFS('來案暨出貨明細表-基因檢測(201904起'!$P:$P,"*"&amp;$A16&amp;"*",'來案暨出貨明細表-基因檢測(201904起'!$B:$B,AQ$1,'來案暨出貨明細表-基因檢測(201904起'!$Q:$Q,"紙本&amp;電子")++COUNTIFS('來案暨出貨明細表-基因檢測(201904起'!$P:$P,"*"&amp;$A16&amp;"*",'來案暨出貨明細表-基因檢測(201904起'!$B:$B,AQ$1,'來案暨出貨明細表-基因檢測(201904起'!$R:$R,"中英")</f>
        <v>0</v>
      </c>
      <c r="AR16" s="33">
        <f>COUNTIFS('來案暨出貨明細表-基因檢測(201904起'!$P:$P,"*"&amp;$A16&amp;"*",'來案暨出貨明細表-基因檢測(201904起'!$B:$B,AR$1)*$B16+COUNTIFS('來案暨出貨明細表-基因檢測(201904起'!$P:$P,"*"&amp;$A16&amp;"*",'來案暨出貨明細表-基因檢測(201904起'!$B:$B,AR$1,'來案暨出貨明細表-基因檢測(201904起'!$Q:$Q,"紙本&amp;電子")++COUNTIFS('來案暨出貨明細表-基因檢測(201904起'!$P:$P,"*"&amp;$A16&amp;"*",'來案暨出貨明細表-基因檢測(201904起'!$B:$B,AR$1,'來案暨出貨明細表-基因檢測(201904起'!$R:$R,"中英")</f>
        <v>0</v>
      </c>
      <c r="AS16" s="33">
        <f>COUNTIFS('來案暨出貨明細表-基因檢測(201904起'!$P:$P,"*"&amp;$A16&amp;"*",'來案暨出貨明細表-基因檢測(201904起'!$B:$B,AS$1)*$B16+COUNTIFS('來案暨出貨明細表-基因檢測(201904起'!$P:$P,"*"&amp;$A16&amp;"*",'來案暨出貨明細表-基因檢測(201904起'!$B:$B,AS$1,'來案暨出貨明細表-基因檢測(201904起'!$Q:$Q,"紙本&amp;電子")++COUNTIFS('來案暨出貨明細表-基因檢測(201904起'!$P:$P,"*"&amp;$A16&amp;"*",'來案暨出貨明細表-基因檢測(201904起'!$B:$B,AS$1,'來案暨出貨明細表-基因檢測(201904起'!$R:$R,"中英")</f>
        <v>0</v>
      </c>
      <c r="AT16" s="33">
        <f>COUNTIFS('來案暨出貨明細表-基因檢測(201904起'!$P:$P,"*"&amp;$A16&amp;"*",'來案暨出貨明細表-基因檢測(201904起'!$B:$B,AT$1)*$B16+COUNTIFS('來案暨出貨明細表-基因檢測(201904起'!$P:$P,"*"&amp;$A16&amp;"*",'來案暨出貨明細表-基因檢測(201904起'!$B:$B,AT$1,'來案暨出貨明細表-基因檢測(201904起'!$Q:$Q,"紙本&amp;電子")++COUNTIFS('來案暨出貨明細表-基因檢測(201904起'!$P:$P,"*"&amp;$A16&amp;"*",'來案暨出貨明細表-基因檢測(201904起'!$B:$B,AT$1,'來案暨出貨明細表-基因檢測(201904起'!$R:$R,"中英")</f>
        <v>0</v>
      </c>
      <c r="AU16" s="33">
        <f>COUNTIFS('來案暨出貨明細表-基因檢測(201904起'!$P:$P,"*"&amp;$A16&amp;"*",'來案暨出貨明細表-基因檢測(201904起'!$B:$B,AU$1)*$B16+COUNTIFS('來案暨出貨明細表-基因檢測(201904起'!$P:$P,"*"&amp;$A16&amp;"*",'來案暨出貨明細表-基因檢測(201904起'!$B:$B,AU$1,'來案暨出貨明細表-基因檢測(201904起'!$Q:$Q,"紙本&amp;電子")++COUNTIFS('來案暨出貨明細表-基因檢測(201904起'!$P:$P,"*"&amp;$A16&amp;"*",'來案暨出貨明細表-基因檢測(201904起'!$B:$B,AU$1,'來案暨出貨明細表-基因檢測(201904起'!$R:$R,"中英")</f>
        <v>0</v>
      </c>
      <c r="AV16" s="33">
        <f>COUNTIFS('來案暨出貨明細表-基因檢測(201904起'!$P:$P,"*"&amp;$A16&amp;"*",'來案暨出貨明細表-基因檢測(201904起'!$B:$B,AV$1)*$B16+COUNTIFS('來案暨出貨明細表-基因檢測(201904起'!$P:$P,"*"&amp;$A16&amp;"*",'來案暨出貨明細表-基因檢測(201904起'!$B:$B,AV$1,'來案暨出貨明細表-基因檢測(201904起'!$Q:$Q,"紙本&amp;電子")++COUNTIFS('來案暨出貨明細表-基因檢測(201904起'!$P:$P,"*"&amp;$A16&amp;"*",'來案暨出貨明細表-基因檢測(201904起'!$B:$B,AV$1,'來案暨出貨明細表-基因檢測(201904起'!$R:$R,"中英")</f>
        <v>0</v>
      </c>
      <c r="AW16" s="33">
        <f>COUNTIFS('來案暨出貨明細表-基因檢測(201904起'!$P:$P,"*"&amp;$A16&amp;"*",'來案暨出貨明細表-基因檢測(201904起'!$B:$B,AW$1)*$B16+COUNTIFS('來案暨出貨明細表-基因檢測(201904起'!$P:$P,"*"&amp;$A16&amp;"*",'來案暨出貨明細表-基因檢測(201904起'!$B:$B,AW$1,'來案暨出貨明細表-基因檢測(201904起'!$Q:$Q,"紙本&amp;電子")++COUNTIFS('來案暨出貨明細表-基因檢測(201904起'!$P:$P,"*"&amp;$A16&amp;"*",'來案暨出貨明細表-基因檢測(201904起'!$B:$B,AW$1,'來案暨出貨明細表-基因檢測(201904起'!$R:$R,"中英")</f>
        <v>0</v>
      </c>
      <c r="AX16" s="33">
        <f>COUNTIFS('來案暨出貨明細表-基因檢測(201904起'!$P:$P,"*"&amp;$A16&amp;"*",'來案暨出貨明細表-基因檢測(201904起'!$B:$B,AX$1)*$B16+COUNTIFS('來案暨出貨明細表-基因檢測(201904起'!$P:$P,"*"&amp;$A16&amp;"*",'來案暨出貨明細表-基因檢測(201904起'!$B:$B,AX$1,'來案暨出貨明細表-基因檢測(201904起'!$Q:$Q,"紙本&amp;電子")++COUNTIFS('來案暨出貨明細表-基因檢測(201904起'!$P:$P,"*"&amp;$A16&amp;"*",'來案暨出貨明細表-基因檢測(201904起'!$B:$B,AX$1,'來案暨出貨明細表-基因檢測(201904起'!$R:$R,"中英")</f>
        <v>0</v>
      </c>
      <c r="AY16" s="33">
        <f>COUNTIFS('來案暨出貨明細表-基因檢測(201904起'!$P:$P,"*"&amp;$A16&amp;"*",'來案暨出貨明細表-基因檢測(201904起'!$B:$B,AY$1)*$B16+COUNTIFS('來案暨出貨明細表-基因檢測(201904起'!$P:$P,"*"&amp;$A16&amp;"*",'來案暨出貨明細表-基因檢測(201904起'!$B:$B,AY$1,'來案暨出貨明細表-基因檢測(201904起'!$Q:$Q,"紙本&amp;電子")++COUNTIFS('來案暨出貨明細表-基因檢測(201904起'!$P:$P,"*"&amp;$A16&amp;"*",'來案暨出貨明細表-基因檢測(201904起'!$B:$B,AY$1,'來案暨出貨明細表-基因檢測(201904起'!$R:$R,"中英")</f>
        <v>0</v>
      </c>
      <c r="AZ16" s="33">
        <f>COUNTIFS('來案暨出貨明細表-基因檢測(201904起'!$P:$P,"*"&amp;$A16&amp;"*",'來案暨出貨明細表-基因檢測(201904起'!$B:$B,AZ$1)*$B16+COUNTIFS('來案暨出貨明細表-基因檢測(201904起'!$P:$P,"*"&amp;$A16&amp;"*",'來案暨出貨明細表-基因檢測(201904起'!$B:$B,AZ$1,'來案暨出貨明細表-基因檢測(201904起'!$Q:$Q,"紙本&amp;電子")++COUNTIFS('來案暨出貨明細表-基因檢測(201904起'!$P:$P,"*"&amp;$A16&amp;"*",'來案暨出貨明細表-基因檢測(201904起'!$B:$B,AZ$1,'來案暨出貨明細表-基因檢測(201904起'!$R:$R,"中英")</f>
        <v>0</v>
      </c>
      <c r="BA16" s="33">
        <f>COUNTIFS('來案暨出貨明細表-基因檢測(201904起'!$P:$P,"*"&amp;$A16&amp;"*",'來案暨出貨明細表-基因檢測(201904起'!$B:$B,BA$1)*$B16+COUNTIFS('來案暨出貨明細表-基因檢測(201904起'!$P:$P,"*"&amp;$A16&amp;"*",'來案暨出貨明細表-基因檢測(201904起'!$B:$B,BA$1,'來案暨出貨明細表-基因檢測(201904起'!$Q:$Q,"紙本&amp;電子")++COUNTIFS('來案暨出貨明細表-基因檢測(201904起'!$P:$P,"*"&amp;$A16&amp;"*",'來案暨出貨明細表-基因檢測(201904起'!$B:$B,BA$1,'來案暨出貨明細表-基因檢測(201904起'!$R:$R,"中英")</f>
        <v>0</v>
      </c>
      <c r="BB16" s="33">
        <f>COUNTIFS('來案暨出貨明細表-基因檢測(201904起'!$P:$P,"*"&amp;$A16&amp;"*",'來案暨出貨明細表-基因檢測(201904起'!$B:$B,BB$1)*$B16+COUNTIFS('來案暨出貨明細表-基因檢測(201904起'!$P:$P,"*"&amp;$A16&amp;"*",'來案暨出貨明細表-基因檢測(201904起'!$B:$B,BB$1,'來案暨出貨明細表-基因檢測(201904起'!$Q:$Q,"紙本&amp;電子")++COUNTIFS('來案暨出貨明細表-基因檢測(201904起'!$P:$P,"*"&amp;$A16&amp;"*",'來案暨出貨明細表-基因檢測(201904起'!$B:$B,BB$1,'來案暨出貨明細表-基因檢測(201904起'!$R:$R,"中英")</f>
        <v>0</v>
      </c>
      <c r="BC16" s="33">
        <f>COUNTIFS('來案暨出貨明細表-基因檢測(201904起'!$P:$P,"*"&amp;$A16&amp;"*",'來案暨出貨明細表-基因檢測(201904起'!$B:$B,BC$1)*$B16+COUNTIFS('來案暨出貨明細表-基因檢測(201904起'!$P:$P,"*"&amp;$A16&amp;"*",'來案暨出貨明細表-基因檢測(201904起'!$B:$B,BC$1,'來案暨出貨明細表-基因檢測(201904起'!$Q:$Q,"紙本&amp;電子")++COUNTIFS('來案暨出貨明細表-基因檢測(201904起'!$P:$P,"*"&amp;$A16&amp;"*",'來案暨出貨明細表-基因檢測(201904起'!$B:$B,BC$1,'來案暨出貨明細表-基因檢測(201904起'!$R:$R,"中英")</f>
        <v>0</v>
      </c>
      <c r="BD16" s="33">
        <f>COUNTIFS('來案暨出貨明細表-基因檢測(201904起'!$P:$P,"*"&amp;$A16&amp;"*",'來案暨出貨明細表-基因檢測(201904起'!$B:$B,BD$1)*$B16+COUNTIFS('來案暨出貨明細表-基因檢測(201904起'!$P:$P,"*"&amp;$A16&amp;"*",'來案暨出貨明細表-基因檢測(201904起'!$B:$B,BD$1,'來案暨出貨明細表-基因檢測(201904起'!$Q:$Q,"紙本&amp;電子")++COUNTIFS('來案暨出貨明細表-基因檢測(201904起'!$P:$P,"*"&amp;$A16&amp;"*",'來案暨出貨明細表-基因檢測(201904起'!$B:$B,BD$1,'來案暨出貨明細表-基因檢測(201904起'!$R:$R,"中英")</f>
        <v>0</v>
      </c>
      <c r="BE16" s="33">
        <f>COUNTIFS('來案暨出貨明細表-基因檢測(201904起'!$P:$P,"*"&amp;$A16&amp;"*",'來案暨出貨明細表-基因檢測(201904起'!$B:$B,BE$1)*$B16+COUNTIFS('來案暨出貨明細表-基因檢測(201904起'!$P:$P,"*"&amp;$A16&amp;"*",'來案暨出貨明細表-基因檢測(201904起'!$B:$B,BE$1,'來案暨出貨明細表-基因檢測(201904起'!$Q:$Q,"紙本&amp;電子")++COUNTIFS('來案暨出貨明細表-基因檢測(201904起'!$P:$P,"*"&amp;$A16&amp;"*",'來案暨出貨明細表-基因檢測(201904起'!$B:$B,BE$1,'來案暨出貨明細表-基因檢測(201904起'!$R:$R,"中英")</f>
        <v>0</v>
      </c>
      <c r="BF16" s="33">
        <f>COUNTIFS('來案暨出貨明細表-基因檢測(201904起'!$P:$P,"*"&amp;$A16&amp;"*",'來案暨出貨明細表-基因檢測(201904起'!$B:$B,BF$1)*$B16+COUNTIFS('來案暨出貨明細表-基因檢測(201904起'!$P:$P,"*"&amp;$A16&amp;"*",'來案暨出貨明細表-基因檢測(201904起'!$B:$B,BF$1,'來案暨出貨明細表-基因檢測(201904起'!$Q:$Q,"紙本&amp;電子")++COUNTIFS('來案暨出貨明細表-基因檢測(201904起'!$P:$P,"*"&amp;$A16&amp;"*",'來案暨出貨明細表-基因檢測(201904起'!$B:$B,BF$1,'來案暨出貨明細表-基因檢測(201904起'!$R:$R,"中英")</f>
        <v>0</v>
      </c>
      <c r="BG16" s="33">
        <f>COUNTIFS('來案暨出貨明細表-基因檢測(201904起'!$P:$P,"*"&amp;$A16&amp;"*",'來案暨出貨明細表-基因檢測(201904起'!$B:$B,BG$1)*$B16+COUNTIFS('來案暨出貨明細表-基因檢測(201904起'!$P:$P,"*"&amp;$A16&amp;"*",'來案暨出貨明細表-基因檢測(201904起'!$B:$B,BG$1,'來案暨出貨明細表-基因檢測(201904起'!$Q:$Q,"紙本&amp;電子")++COUNTIFS('來案暨出貨明細表-基因檢測(201904起'!$P:$P,"*"&amp;$A16&amp;"*",'來案暨出貨明細表-基因檢測(201904起'!$B:$B,BG$1,'來案暨出貨明細表-基因檢測(201904起'!$R:$R,"中英")</f>
        <v>0</v>
      </c>
      <c r="BH16" s="33">
        <f>COUNTIFS('來案暨出貨明細表-基因檢測(201904起'!$P:$P,"*"&amp;$A16&amp;"*",'來案暨出貨明細表-基因檢測(201904起'!$B:$B,BH$1)*$B16+COUNTIFS('來案暨出貨明細表-基因檢測(201904起'!$P:$P,"*"&amp;$A16&amp;"*",'來案暨出貨明細表-基因檢測(201904起'!$B:$B,BH$1,'來案暨出貨明細表-基因檢測(201904起'!$Q:$Q,"紙本&amp;電子")++COUNTIFS('來案暨出貨明細表-基因檢測(201904起'!$P:$P,"*"&amp;$A16&amp;"*",'來案暨出貨明細表-基因檢測(201904起'!$B:$B,BH$1,'來案暨出貨明細表-基因檢測(201904起'!$R:$R,"中英")</f>
        <v>0</v>
      </c>
      <c r="BI16" s="33">
        <f>COUNTIFS('來案暨出貨明細表-基因檢測(201904起'!$P:$P,"*"&amp;$A16&amp;"*",'來案暨出貨明細表-基因檢測(201904起'!$B:$B,BI$1)*$B16+COUNTIFS('來案暨出貨明細表-基因檢測(201904起'!$P:$P,"*"&amp;$A16&amp;"*",'來案暨出貨明細表-基因檢測(201904起'!$B:$B,BI$1,'來案暨出貨明細表-基因檢測(201904起'!$Q:$Q,"紙本&amp;電子")++COUNTIFS('來案暨出貨明細表-基因檢測(201904起'!$P:$P,"*"&amp;$A16&amp;"*",'來案暨出貨明細表-基因檢測(201904起'!$B:$B,BI$1,'來案暨出貨明細表-基因檢測(201904起'!$R:$R,"中英")</f>
        <v>0</v>
      </c>
      <c r="BJ16" s="33">
        <f>COUNTIFS('來案暨出貨明細表-基因檢測(201904起'!$P:$P,"*"&amp;$A16&amp;"*",'來案暨出貨明細表-基因檢測(201904起'!$B:$B,BJ$1)*$B16+COUNTIFS('來案暨出貨明細表-基因檢測(201904起'!$P:$P,"*"&amp;$A16&amp;"*",'來案暨出貨明細表-基因檢測(201904起'!$B:$B,BJ$1,'來案暨出貨明細表-基因檢測(201904起'!$Q:$Q,"紙本&amp;電子")++COUNTIFS('來案暨出貨明細表-基因檢測(201904起'!$P:$P,"*"&amp;$A16&amp;"*",'來案暨出貨明細表-基因檢測(201904起'!$B:$B,BJ$1,'來案暨出貨明細表-基因檢測(201904起'!$R:$R,"中英")</f>
        <v>0</v>
      </c>
      <c r="BK16" s="33">
        <f>COUNTIFS('來案暨出貨明細表-基因檢測(201904起'!$P:$P,"*"&amp;$A16&amp;"*",'來案暨出貨明細表-基因檢測(201904起'!$B:$B,BK$1)*$B16+COUNTIFS('來案暨出貨明細表-基因檢測(201904起'!$P:$P,"*"&amp;$A16&amp;"*",'來案暨出貨明細表-基因檢測(201904起'!$B:$B,BK$1,'來案暨出貨明細表-基因檢測(201904起'!$Q:$Q,"紙本&amp;電子")++COUNTIFS('來案暨出貨明細表-基因檢測(201904起'!$P:$P,"*"&amp;$A16&amp;"*",'來案暨出貨明細表-基因檢測(201904起'!$B:$B,BK$1,'來案暨出貨明細表-基因檢測(201904起'!$R:$R,"中英")</f>
        <v>0</v>
      </c>
    </row>
    <row r="17" spans="1:63" ht="15" customHeight="1">
      <c r="A17" s="166" t="s">
        <v>4513</v>
      </c>
      <c r="B17" s="167">
        <v>1</v>
      </c>
      <c r="C17" s="168" t="s">
        <v>4514</v>
      </c>
      <c r="D17" s="169" t="s">
        <v>4515</v>
      </c>
      <c r="E17" s="162">
        <v>0</v>
      </c>
      <c r="F17" s="162">
        <v>0</v>
      </c>
      <c r="G17" s="162">
        <v>0</v>
      </c>
      <c r="H17" s="162">
        <v>0</v>
      </c>
      <c r="I17" s="162">
        <v>0</v>
      </c>
      <c r="J17" s="162">
        <v>0</v>
      </c>
      <c r="K17" s="162">
        <v>0</v>
      </c>
      <c r="L17" s="162">
        <v>0</v>
      </c>
      <c r="M17" s="162">
        <v>0</v>
      </c>
      <c r="N17" s="162">
        <v>0</v>
      </c>
      <c r="O17" s="162">
        <v>0</v>
      </c>
      <c r="P17" s="162">
        <v>0</v>
      </c>
      <c r="Q17" s="162">
        <v>0</v>
      </c>
      <c r="R17" s="162">
        <v>0</v>
      </c>
      <c r="S17" s="162">
        <v>0</v>
      </c>
      <c r="T17" s="162">
        <v>0</v>
      </c>
      <c r="U17" s="162">
        <v>0</v>
      </c>
      <c r="V17" s="162">
        <v>0</v>
      </c>
      <c r="W17" s="162">
        <v>0</v>
      </c>
      <c r="X17" s="162">
        <v>0</v>
      </c>
      <c r="Y17" s="162">
        <v>0</v>
      </c>
      <c r="Z17" s="162">
        <v>0</v>
      </c>
      <c r="AA17" s="162">
        <v>0</v>
      </c>
      <c r="AB17" s="162">
        <v>0</v>
      </c>
      <c r="AC17" s="162">
        <v>0</v>
      </c>
      <c r="AD17" s="162">
        <v>0</v>
      </c>
      <c r="AE17" s="162">
        <v>0</v>
      </c>
      <c r="AF17" s="162">
        <v>0</v>
      </c>
      <c r="AG17" s="162">
        <v>0</v>
      </c>
      <c r="AH17" s="162">
        <v>0</v>
      </c>
      <c r="AI17" s="162">
        <v>0</v>
      </c>
      <c r="AJ17" s="170">
        <v>0</v>
      </c>
      <c r="AK17" s="33">
        <f>COUNTIFS('來案暨出貨明細表-基因檢測(201904起'!$P:$P,"*"&amp;$A17&amp;"*",'來案暨出貨明細表-基因檢測(201904起'!$B:$B,AK$1)*$B17+COUNTIFS('來案暨出貨明細表-基因檢測(201904起'!$P:$P,"*"&amp;$A17&amp;"*",'來案暨出貨明細表-基因檢測(201904起'!$B:$B,AK$1,'來案暨出貨明細表-基因檢測(201904起'!$Q:$Q,"紙本&amp;電子")++COUNTIFS('來案暨出貨明細表-基因檢測(201904起'!$P:$P,"*"&amp;$A17&amp;"*",'來案暨出貨明細表-基因檢測(201904起'!$B:$B,AK$1,'來案暨出貨明細表-基因檢測(201904起'!$R:$R,"中英")</f>
        <v>0</v>
      </c>
      <c r="AL17" s="33">
        <f>COUNTIFS('來案暨出貨明細表-基因檢測(201904起'!$P:$P,"*"&amp;$A17&amp;"*",'來案暨出貨明細表-基因檢測(201904起'!$B:$B,AL$1)*$B17+COUNTIFS('來案暨出貨明細表-基因檢測(201904起'!$P:$P,"*"&amp;$A17&amp;"*",'來案暨出貨明細表-基因檢測(201904起'!$B:$B,AL$1,'來案暨出貨明細表-基因檢測(201904起'!$Q:$Q,"紙本&amp;電子")++COUNTIFS('來案暨出貨明細表-基因檢測(201904起'!$P:$P,"*"&amp;$A17&amp;"*",'來案暨出貨明細表-基因檢測(201904起'!$B:$B,AL$1,'來案暨出貨明細表-基因檢測(201904起'!$R:$R,"中英")</f>
        <v>0</v>
      </c>
      <c r="AM17" s="33">
        <f>COUNTIFS('來案暨出貨明細表-基因檢測(201904起'!$P:$P,"*"&amp;$A17&amp;"*",'來案暨出貨明細表-基因檢測(201904起'!$B:$B,AM$1)*$B17+COUNTIFS('來案暨出貨明細表-基因檢測(201904起'!$P:$P,"*"&amp;$A17&amp;"*",'來案暨出貨明細表-基因檢測(201904起'!$B:$B,AM$1,'來案暨出貨明細表-基因檢測(201904起'!$Q:$Q,"紙本&amp;電子")++COUNTIFS('來案暨出貨明細表-基因檢測(201904起'!$P:$P,"*"&amp;$A17&amp;"*",'來案暨出貨明細表-基因檢測(201904起'!$B:$B,AM$1,'來案暨出貨明細表-基因檢測(201904起'!$R:$R,"中英")</f>
        <v>0</v>
      </c>
      <c r="AN17" s="33">
        <f>COUNTIFS('來案暨出貨明細表-基因檢測(201904起'!$P:$P,"*"&amp;$A17&amp;"*",'來案暨出貨明細表-基因檢測(201904起'!$B:$B,AN$1)*$B17+COUNTIFS('來案暨出貨明細表-基因檢測(201904起'!$P:$P,"*"&amp;$A17&amp;"*",'來案暨出貨明細表-基因檢測(201904起'!$B:$B,AN$1,'來案暨出貨明細表-基因檢測(201904起'!$Q:$Q,"紙本&amp;電子")++COUNTIFS('來案暨出貨明細表-基因檢測(201904起'!$P:$P,"*"&amp;$A17&amp;"*",'來案暨出貨明細表-基因檢測(201904起'!$B:$B,AN$1,'來案暨出貨明細表-基因檢測(201904起'!$R:$R,"中英")</f>
        <v>0</v>
      </c>
      <c r="AO17" s="33">
        <f>COUNTIFS('來案暨出貨明細表-基因檢測(201904起'!$P:$P,"*"&amp;$A17&amp;"*",'來案暨出貨明細表-基因檢測(201904起'!$B:$B,AO$1)*$B17+COUNTIFS('來案暨出貨明細表-基因檢測(201904起'!$P:$P,"*"&amp;$A17&amp;"*",'來案暨出貨明細表-基因檢測(201904起'!$B:$B,AO$1,'來案暨出貨明細表-基因檢測(201904起'!$Q:$Q,"紙本&amp;電子")++COUNTIFS('來案暨出貨明細表-基因檢測(201904起'!$P:$P,"*"&amp;$A17&amp;"*",'來案暨出貨明細表-基因檢測(201904起'!$B:$B,AO$1,'來案暨出貨明細表-基因檢測(201904起'!$R:$R,"中英")</f>
        <v>0</v>
      </c>
      <c r="AP17" s="33">
        <f>COUNTIFS('來案暨出貨明細表-基因檢測(201904起'!$P:$P,"*"&amp;$A17&amp;"*",'來案暨出貨明細表-基因檢測(201904起'!$B:$B,AP$1)*$B17+COUNTIFS('來案暨出貨明細表-基因檢測(201904起'!$P:$P,"*"&amp;$A17&amp;"*",'來案暨出貨明細表-基因檢測(201904起'!$B:$B,AP$1,'來案暨出貨明細表-基因檢測(201904起'!$Q:$Q,"紙本&amp;電子")++COUNTIFS('來案暨出貨明細表-基因檢測(201904起'!$P:$P,"*"&amp;$A17&amp;"*",'來案暨出貨明細表-基因檢測(201904起'!$B:$B,AP$1,'來案暨出貨明細表-基因檢測(201904起'!$R:$R,"中英")</f>
        <v>0</v>
      </c>
      <c r="AQ17" s="33">
        <f>COUNTIFS('來案暨出貨明細表-基因檢測(201904起'!$P:$P,"*"&amp;$A17&amp;"*",'來案暨出貨明細表-基因檢測(201904起'!$B:$B,AQ$1)*$B17+COUNTIFS('來案暨出貨明細表-基因檢測(201904起'!$P:$P,"*"&amp;$A17&amp;"*",'來案暨出貨明細表-基因檢測(201904起'!$B:$B,AQ$1,'來案暨出貨明細表-基因檢測(201904起'!$Q:$Q,"紙本&amp;電子")++COUNTIFS('來案暨出貨明細表-基因檢測(201904起'!$P:$P,"*"&amp;$A17&amp;"*",'來案暨出貨明細表-基因檢測(201904起'!$B:$B,AQ$1,'來案暨出貨明細表-基因檢測(201904起'!$R:$R,"中英")</f>
        <v>0</v>
      </c>
      <c r="AR17" s="33">
        <f>COUNTIFS('來案暨出貨明細表-基因檢測(201904起'!$P:$P,"*"&amp;$A17&amp;"*",'來案暨出貨明細表-基因檢測(201904起'!$B:$B,AR$1)*$B17+COUNTIFS('來案暨出貨明細表-基因檢測(201904起'!$P:$P,"*"&amp;$A17&amp;"*",'來案暨出貨明細表-基因檢測(201904起'!$B:$B,AR$1,'來案暨出貨明細表-基因檢測(201904起'!$Q:$Q,"紙本&amp;電子")++COUNTIFS('來案暨出貨明細表-基因檢測(201904起'!$P:$P,"*"&amp;$A17&amp;"*",'來案暨出貨明細表-基因檢測(201904起'!$B:$B,AR$1,'來案暨出貨明細表-基因檢測(201904起'!$R:$R,"中英")</f>
        <v>0</v>
      </c>
      <c r="AS17" s="33">
        <f>COUNTIFS('來案暨出貨明細表-基因檢測(201904起'!$P:$P,"*"&amp;$A17&amp;"*",'來案暨出貨明細表-基因檢測(201904起'!$B:$B,AS$1)*$B17+COUNTIFS('來案暨出貨明細表-基因檢測(201904起'!$P:$P,"*"&amp;$A17&amp;"*",'來案暨出貨明細表-基因檢測(201904起'!$B:$B,AS$1,'來案暨出貨明細表-基因檢測(201904起'!$Q:$Q,"紙本&amp;電子")++COUNTIFS('來案暨出貨明細表-基因檢測(201904起'!$P:$P,"*"&amp;$A17&amp;"*",'來案暨出貨明細表-基因檢測(201904起'!$B:$B,AS$1,'來案暨出貨明細表-基因檢測(201904起'!$R:$R,"中英")</f>
        <v>0</v>
      </c>
      <c r="AT17" s="33">
        <f>COUNTIFS('來案暨出貨明細表-基因檢測(201904起'!$P:$P,"*"&amp;$A17&amp;"*",'來案暨出貨明細表-基因檢測(201904起'!$B:$B,AT$1)*$B17+COUNTIFS('來案暨出貨明細表-基因檢測(201904起'!$P:$P,"*"&amp;$A17&amp;"*",'來案暨出貨明細表-基因檢測(201904起'!$B:$B,AT$1,'來案暨出貨明細表-基因檢測(201904起'!$Q:$Q,"紙本&amp;電子")++COUNTIFS('來案暨出貨明細表-基因檢測(201904起'!$P:$P,"*"&amp;$A17&amp;"*",'來案暨出貨明細表-基因檢測(201904起'!$B:$B,AT$1,'來案暨出貨明細表-基因檢測(201904起'!$R:$R,"中英")</f>
        <v>0</v>
      </c>
      <c r="AU17" s="33">
        <f>COUNTIFS('來案暨出貨明細表-基因檢測(201904起'!$P:$P,"*"&amp;$A17&amp;"*",'來案暨出貨明細表-基因檢測(201904起'!$B:$B,AU$1)*$B17+COUNTIFS('來案暨出貨明細表-基因檢測(201904起'!$P:$P,"*"&amp;$A17&amp;"*",'來案暨出貨明細表-基因檢測(201904起'!$B:$B,AU$1,'來案暨出貨明細表-基因檢測(201904起'!$Q:$Q,"紙本&amp;電子")++COUNTIFS('來案暨出貨明細表-基因檢測(201904起'!$P:$P,"*"&amp;$A17&amp;"*",'來案暨出貨明細表-基因檢測(201904起'!$B:$B,AU$1,'來案暨出貨明細表-基因檢測(201904起'!$R:$R,"中英")</f>
        <v>0</v>
      </c>
      <c r="AV17" s="33">
        <f>COUNTIFS('來案暨出貨明細表-基因檢測(201904起'!$P:$P,"*"&amp;$A17&amp;"*",'來案暨出貨明細表-基因檢測(201904起'!$B:$B,AV$1)*$B17+COUNTIFS('來案暨出貨明細表-基因檢測(201904起'!$P:$P,"*"&amp;$A17&amp;"*",'來案暨出貨明細表-基因檢測(201904起'!$B:$B,AV$1,'來案暨出貨明細表-基因檢測(201904起'!$Q:$Q,"紙本&amp;電子")++COUNTIFS('來案暨出貨明細表-基因檢測(201904起'!$P:$P,"*"&amp;$A17&amp;"*",'來案暨出貨明細表-基因檢測(201904起'!$B:$B,AV$1,'來案暨出貨明細表-基因檢測(201904起'!$R:$R,"中英")</f>
        <v>0</v>
      </c>
      <c r="AW17" s="33">
        <f>COUNTIFS('來案暨出貨明細表-基因檢測(201904起'!$P:$P,"*"&amp;$A17&amp;"*",'來案暨出貨明細表-基因檢測(201904起'!$B:$B,AW$1)*$B17+COUNTIFS('來案暨出貨明細表-基因檢測(201904起'!$P:$P,"*"&amp;$A17&amp;"*",'來案暨出貨明細表-基因檢測(201904起'!$B:$B,AW$1,'來案暨出貨明細表-基因檢測(201904起'!$Q:$Q,"紙本&amp;電子")++COUNTIFS('來案暨出貨明細表-基因檢測(201904起'!$P:$P,"*"&amp;$A17&amp;"*",'來案暨出貨明細表-基因檢測(201904起'!$B:$B,AW$1,'來案暨出貨明細表-基因檢測(201904起'!$R:$R,"中英")</f>
        <v>0</v>
      </c>
      <c r="AX17" s="33">
        <f>COUNTIFS('來案暨出貨明細表-基因檢測(201904起'!$P:$P,"*"&amp;$A17&amp;"*",'來案暨出貨明細表-基因檢測(201904起'!$B:$B,AX$1)*$B17+COUNTIFS('來案暨出貨明細表-基因檢測(201904起'!$P:$P,"*"&amp;$A17&amp;"*",'來案暨出貨明細表-基因檢測(201904起'!$B:$B,AX$1,'來案暨出貨明細表-基因檢測(201904起'!$Q:$Q,"紙本&amp;電子")++COUNTIFS('來案暨出貨明細表-基因檢測(201904起'!$P:$P,"*"&amp;$A17&amp;"*",'來案暨出貨明細表-基因檢測(201904起'!$B:$B,AX$1,'來案暨出貨明細表-基因檢測(201904起'!$R:$R,"中英")</f>
        <v>0</v>
      </c>
      <c r="AY17" s="33">
        <f>COUNTIFS('來案暨出貨明細表-基因檢測(201904起'!$P:$P,"*"&amp;$A17&amp;"*",'來案暨出貨明細表-基因檢測(201904起'!$B:$B,AY$1)*$B17+COUNTIFS('來案暨出貨明細表-基因檢測(201904起'!$P:$P,"*"&amp;$A17&amp;"*",'來案暨出貨明細表-基因檢測(201904起'!$B:$B,AY$1,'來案暨出貨明細表-基因檢測(201904起'!$Q:$Q,"紙本&amp;電子")++COUNTIFS('來案暨出貨明細表-基因檢測(201904起'!$P:$P,"*"&amp;$A17&amp;"*",'來案暨出貨明細表-基因檢測(201904起'!$B:$B,AY$1,'來案暨出貨明細表-基因檢測(201904起'!$R:$R,"中英")</f>
        <v>0</v>
      </c>
      <c r="AZ17" s="33">
        <f>COUNTIFS('來案暨出貨明細表-基因檢測(201904起'!$P:$P,"*"&amp;$A17&amp;"*",'來案暨出貨明細表-基因檢測(201904起'!$B:$B,AZ$1)*$B17+COUNTIFS('來案暨出貨明細表-基因檢測(201904起'!$P:$P,"*"&amp;$A17&amp;"*",'來案暨出貨明細表-基因檢測(201904起'!$B:$B,AZ$1,'來案暨出貨明細表-基因檢測(201904起'!$Q:$Q,"紙本&amp;電子")++COUNTIFS('來案暨出貨明細表-基因檢測(201904起'!$P:$P,"*"&amp;$A17&amp;"*",'來案暨出貨明細表-基因檢測(201904起'!$B:$B,AZ$1,'來案暨出貨明細表-基因檢測(201904起'!$R:$R,"中英")</f>
        <v>0</v>
      </c>
      <c r="BA17" s="33">
        <f>COUNTIFS('來案暨出貨明細表-基因檢測(201904起'!$P:$P,"*"&amp;$A17&amp;"*",'來案暨出貨明細表-基因檢測(201904起'!$B:$B,BA$1)*$B17+COUNTIFS('來案暨出貨明細表-基因檢測(201904起'!$P:$P,"*"&amp;$A17&amp;"*",'來案暨出貨明細表-基因檢測(201904起'!$B:$B,BA$1,'來案暨出貨明細表-基因檢測(201904起'!$Q:$Q,"紙本&amp;電子")++COUNTIFS('來案暨出貨明細表-基因檢測(201904起'!$P:$P,"*"&amp;$A17&amp;"*",'來案暨出貨明細表-基因檢測(201904起'!$B:$B,BA$1,'來案暨出貨明細表-基因檢測(201904起'!$R:$R,"中英")</f>
        <v>0</v>
      </c>
      <c r="BB17" s="33">
        <f>COUNTIFS('來案暨出貨明細表-基因檢測(201904起'!$P:$P,"*"&amp;$A17&amp;"*",'來案暨出貨明細表-基因檢測(201904起'!$B:$B,BB$1)*$B17+COUNTIFS('來案暨出貨明細表-基因檢測(201904起'!$P:$P,"*"&amp;$A17&amp;"*",'來案暨出貨明細表-基因檢測(201904起'!$B:$B,BB$1,'來案暨出貨明細表-基因檢測(201904起'!$Q:$Q,"紙本&amp;電子")++COUNTIFS('來案暨出貨明細表-基因檢測(201904起'!$P:$P,"*"&amp;$A17&amp;"*",'來案暨出貨明細表-基因檢測(201904起'!$B:$B,BB$1,'來案暨出貨明細表-基因檢測(201904起'!$R:$R,"中英")</f>
        <v>0</v>
      </c>
      <c r="BC17" s="33">
        <f>COUNTIFS('來案暨出貨明細表-基因檢測(201904起'!$P:$P,"*"&amp;$A17&amp;"*",'來案暨出貨明細表-基因檢測(201904起'!$B:$B,BC$1)*$B17+COUNTIFS('來案暨出貨明細表-基因檢測(201904起'!$P:$P,"*"&amp;$A17&amp;"*",'來案暨出貨明細表-基因檢測(201904起'!$B:$B,BC$1,'來案暨出貨明細表-基因檢測(201904起'!$Q:$Q,"紙本&amp;電子")++COUNTIFS('來案暨出貨明細表-基因檢測(201904起'!$P:$P,"*"&amp;$A17&amp;"*",'來案暨出貨明細表-基因檢測(201904起'!$B:$B,BC$1,'來案暨出貨明細表-基因檢測(201904起'!$R:$R,"中英")</f>
        <v>0</v>
      </c>
      <c r="BD17" s="33">
        <f>COUNTIFS('來案暨出貨明細表-基因檢測(201904起'!$P:$P,"*"&amp;$A17&amp;"*",'來案暨出貨明細表-基因檢測(201904起'!$B:$B,BD$1)*$B17+COUNTIFS('來案暨出貨明細表-基因檢測(201904起'!$P:$P,"*"&amp;$A17&amp;"*",'來案暨出貨明細表-基因檢測(201904起'!$B:$B,BD$1,'來案暨出貨明細表-基因檢測(201904起'!$Q:$Q,"紙本&amp;電子")++COUNTIFS('來案暨出貨明細表-基因檢測(201904起'!$P:$P,"*"&amp;$A17&amp;"*",'來案暨出貨明細表-基因檢測(201904起'!$B:$B,BD$1,'來案暨出貨明細表-基因檢測(201904起'!$R:$R,"中英")</f>
        <v>0</v>
      </c>
      <c r="BE17" s="33">
        <f>COUNTIFS('來案暨出貨明細表-基因檢測(201904起'!$P:$P,"*"&amp;$A17&amp;"*",'來案暨出貨明細表-基因檢測(201904起'!$B:$B,BE$1)*$B17+COUNTIFS('來案暨出貨明細表-基因檢測(201904起'!$P:$P,"*"&amp;$A17&amp;"*",'來案暨出貨明細表-基因檢測(201904起'!$B:$B,BE$1,'來案暨出貨明細表-基因檢測(201904起'!$Q:$Q,"紙本&amp;電子")++COUNTIFS('來案暨出貨明細表-基因檢測(201904起'!$P:$P,"*"&amp;$A17&amp;"*",'來案暨出貨明細表-基因檢測(201904起'!$B:$B,BE$1,'來案暨出貨明細表-基因檢測(201904起'!$R:$R,"中英")</f>
        <v>0</v>
      </c>
      <c r="BF17" s="33">
        <f>COUNTIFS('來案暨出貨明細表-基因檢測(201904起'!$P:$P,"*"&amp;$A17&amp;"*",'來案暨出貨明細表-基因檢測(201904起'!$B:$B,BF$1)*$B17+COUNTIFS('來案暨出貨明細表-基因檢測(201904起'!$P:$P,"*"&amp;$A17&amp;"*",'來案暨出貨明細表-基因檢測(201904起'!$B:$B,BF$1,'來案暨出貨明細表-基因檢測(201904起'!$Q:$Q,"紙本&amp;電子")++COUNTIFS('來案暨出貨明細表-基因檢測(201904起'!$P:$P,"*"&amp;$A17&amp;"*",'來案暨出貨明細表-基因檢測(201904起'!$B:$B,BF$1,'來案暨出貨明細表-基因檢測(201904起'!$R:$R,"中英")</f>
        <v>0</v>
      </c>
      <c r="BG17" s="33">
        <f>COUNTIFS('來案暨出貨明細表-基因檢測(201904起'!$P:$P,"*"&amp;$A17&amp;"*",'來案暨出貨明細表-基因檢測(201904起'!$B:$B,BG$1)*$B17+COUNTIFS('來案暨出貨明細表-基因檢測(201904起'!$P:$P,"*"&amp;$A17&amp;"*",'來案暨出貨明細表-基因檢測(201904起'!$B:$B,BG$1,'來案暨出貨明細表-基因檢測(201904起'!$Q:$Q,"紙本&amp;電子")++COUNTIFS('來案暨出貨明細表-基因檢測(201904起'!$P:$P,"*"&amp;$A17&amp;"*",'來案暨出貨明細表-基因檢測(201904起'!$B:$B,BG$1,'來案暨出貨明細表-基因檢測(201904起'!$R:$R,"中英")</f>
        <v>0</v>
      </c>
      <c r="BH17" s="33">
        <f>COUNTIFS('來案暨出貨明細表-基因檢測(201904起'!$P:$P,"*"&amp;$A17&amp;"*",'來案暨出貨明細表-基因檢測(201904起'!$B:$B,BH$1)*$B17+COUNTIFS('來案暨出貨明細表-基因檢測(201904起'!$P:$P,"*"&amp;$A17&amp;"*",'來案暨出貨明細表-基因檢測(201904起'!$B:$B,BH$1,'來案暨出貨明細表-基因檢測(201904起'!$Q:$Q,"紙本&amp;電子")++COUNTIFS('來案暨出貨明細表-基因檢測(201904起'!$P:$P,"*"&amp;$A17&amp;"*",'來案暨出貨明細表-基因檢測(201904起'!$B:$B,BH$1,'來案暨出貨明細表-基因檢測(201904起'!$R:$R,"中英")</f>
        <v>0</v>
      </c>
      <c r="BI17" s="33">
        <f>COUNTIFS('來案暨出貨明細表-基因檢測(201904起'!$P:$P,"*"&amp;$A17&amp;"*",'來案暨出貨明細表-基因檢測(201904起'!$B:$B,BI$1)*$B17+COUNTIFS('來案暨出貨明細表-基因檢測(201904起'!$P:$P,"*"&amp;$A17&amp;"*",'來案暨出貨明細表-基因檢測(201904起'!$B:$B,BI$1,'來案暨出貨明細表-基因檢測(201904起'!$Q:$Q,"紙本&amp;電子")++COUNTIFS('來案暨出貨明細表-基因檢測(201904起'!$P:$P,"*"&amp;$A17&amp;"*",'來案暨出貨明細表-基因檢測(201904起'!$B:$B,BI$1,'來案暨出貨明細表-基因檢測(201904起'!$R:$R,"中英")</f>
        <v>0</v>
      </c>
      <c r="BJ17" s="33">
        <f>COUNTIFS('來案暨出貨明細表-基因檢測(201904起'!$P:$P,"*"&amp;$A17&amp;"*",'來案暨出貨明細表-基因檢測(201904起'!$B:$B,BJ$1)*$B17+COUNTIFS('來案暨出貨明細表-基因檢測(201904起'!$P:$P,"*"&amp;$A17&amp;"*",'來案暨出貨明細表-基因檢測(201904起'!$B:$B,BJ$1,'來案暨出貨明細表-基因檢測(201904起'!$Q:$Q,"紙本&amp;電子")++COUNTIFS('來案暨出貨明細表-基因檢測(201904起'!$P:$P,"*"&amp;$A17&amp;"*",'來案暨出貨明細表-基因檢測(201904起'!$B:$B,BJ$1,'來案暨出貨明細表-基因檢測(201904起'!$R:$R,"中英")</f>
        <v>0</v>
      </c>
      <c r="BK17" s="33">
        <f>COUNTIFS('來案暨出貨明細表-基因檢測(201904起'!$P:$P,"*"&amp;$A17&amp;"*",'來案暨出貨明細表-基因檢測(201904起'!$B:$B,BK$1)*$B17+COUNTIFS('來案暨出貨明細表-基因檢測(201904起'!$P:$P,"*"&amp;$A17&amp;"*",'來案暨出貨明細表-基因檢測(201904起'!$B:$B,BK$1,'來案暨出貨明細表-基因檢測(201904起'!$Q:$Q,"紙本&amp;電子")++COUNTIFS('來案暨出貨明細表-基因檢測(201904起'!$P:$P,"*"&amp;$A17&amp;"*",'來案暨出貨明細表-基因檢測(201904起'!$B:$B,BK$1,'來案暨出貨明細表-基因檢測(201904起'!$R:$R,"中英")</f>
        <v>0</v>
      </c>
    </row>
    <row r="18" spans="1:63" ht="15" customHeight="1">
      <c r="A18" s="166" t="s">
        <v>4516</v>
      </c>
      <c r="B18" s="167">
        <v>1</v>
      </c>
      <c r="C18" s="168" t="s">
        <v>4517</v>
      </c>
      <c r="D18" s="169" t="s">
        <v>4518</v>
      </c>
      <c r="E18" s="162">
        <v>0</v>
      </c>
      <c r="F18" s="162">
        <v>0</v>
      </c>
      <c r="G18" s="162">
        <v>0</v>
      </c>
      <c r="H18" s="162">
        <v>0</v>
      </c>
      <c r="I18" s="162">
        <v>0</v>
      </c>
      <c r="J18" s="162">
        <v>0</v>
      </c>
      <c r="K18" s="162">
        <v>0</v>
      </c>
      <c r="L18" s="162">
        <v>0</v>
      </c>
      <c r="M18" s="162">
        <v>0</v>
      </c>
      <c r="N18" s="162">
        <v>0</v>
      </c>
      <c r="O18" s="162">
        <v>0</v>
      </c>
      <c r="P18" s="162">
        <v>0</v>
      </c>
      <c r="Q18" s="162">
        <v>0</v>
      </c>
      <c r="R18" s="162">
        <v>0</v>
      </c>
      <c r="S18" s="162">
        <v>0</v>
      </c>
      <c r="T18" s="162">
        <v>0</v>
      </c>
      <c r="U18" s="162">
        <v>0</v>
      </c>
      <c r="V18" s="162">
        <v>0</v>
      </c>
      <c r="W18" s="162">
        <v>0</v>
      </c>
      <c r="X18" s="162">
        <v>0</v>
      </c>
      <c r="Y18" s="162">
        <v>0</v>
      </c>
      <c r="Z18" s="162">
        <v>0</v>
      </c>
      <c r="AA18" s="162">
        <v>0</v>
      </c>
      <c r="AB18" s="162">
        <v>0</v>
      </c>
      <c r="AC18" s="162">
        <v>0</v>
      </c>
      <c r="AD18" s="162">
        <v>0</v>
      </c>
      <c r="AE18" s="162">
        <v>0</v>
      </c>
      <c r="AF18" s="162">
        <v>0</v>
      </c>
      <c r="AG18" s="162">
        <v>0</v>
      </c>
      <c r="AH18" s="162">
        <v>0</v>
      </c>
      <c r="AI18" s="162">
        <v>0</v>
      </c>
      <c r="AJ18" s="170">
        <v>0</v>
      </c>
      <c r="AK18" s="33">
        <f>COUNTIFS('來案暨出貨明細表-基因檢測(201904起'!$P:$P,"*"&amp;$A18&amp;"*",'來案暨出貨明細表-基因檢測(201904起'!$B:$B,AK$1)*$B18+COUNTIFS('來案暨出貨明細表-基因檢測(201904起'!$P:$P,"*"&amp;$A18&amp;"*",'來案暨出貨明細表-基因檢測(201904起'!$B:$B,AK$1,'來案暨出貨明細表-基因檢測(201904起'!$Q:$Q,"紙本&amp;電子")++COUNTIFS('來案暨出貨明細表-基因檢測(201904起'!$P:$P,"*"&amp;$A18&amp;"*",'來案暨出貨明細表-基因檢測(201904起'!$B:$B,AK$1,'來案暨出貨明細表-基因檢測(201904起'!$R:$R,"中英")</f>
        <v>0</v>
      </c>
      <c r="AL18" s="33">
        <f>COUNTIFS('來案暨出貨明細表-基因檢測(201904起'!$P:$P,"*"&amp;$A18&amp;"*",'來案暨出貨明細表-基因檢測(201904起'!$B:$B,AL$1)*$B18+COUNTIFS('來案暨出貨明細表-基因檢測(201904起'!$P:$P,"*"&amp;$A18&amp;"*",'來案暨出貨明細表-基因檢測(201904起'!$B:$B,AL$1,'來案暨出貨明細表-基因檢測(201904起'!$Q:$Q,"紙本&amp;電子")++COUNTIFS('來案暨出貨明細表-基因檢測(201904起'!$P:$P,"*"&amp;$A18&amp;"*",'來案暨出貨明細表-基因檢測(201904起'!$B:$B,AL$1,'來案暨出貨明細表-基因檢測(201904起'!$R:$R,"中英")</f>
        <v>0</v>
      </c>
      <c r="AM18" s="33">
        <f>COUNTIFS('來案暨出貨明細表-基因檢測(201904起'!$P:$P,"*"&amp;$A18&amp;"*",'來案暨出貨明細表-基因檢測(201904起'!$B:$B,AM$1)*$B18+COUNTIFS('來案暨出貨明細表-基因檢測(201904起'!$P:$P,"*"&amp;$A18&amp;"*",'來案暨出貨明細表-基因檢測(201904起'!$B:$B,AM$1,'來案暨出貨明細表-基因檢測(201904起'!$Q:$Q,"紙本&amp;電子")++COUNTIFS('來案暨出貨明細表-基因檢測(201904起'!$P:$P,"*"&amp;$A18&amp;"*",'來案暨出貨明細表-基因檢測(201904起'!$B:$B,AM$1,'來案暨出貨明細表-基因檢測(201904起'!$R:$R,"中英")</f>
        <v>0</v>
      </c>
      <c r="AN18" s="33">
        <f>COUNTIFS('來案暨出貨明細表-基因檢測(201904起'!$P:$P,"*"&amp;$A18&amp;"*",'來案暨出貨明細表-基因檢測(201904起'!$B:$B,AN$1)*$B18+COUNTIFS('來案暨出貨明細表-基因檢測(201904起'!$P:$P,"*"&amp;$A18&amp;"*",'來案暨出貨明細表-基因檢測(201904起'!$B:$B,AN$1,'來案暨出貨明細表-基因檢測(201904起'!$Q:$Q,"紙本&amp;電子")++COUNTIFS('來案暨出貨明細表-基因檢測(201904起'!$P:$P,"*"&amp;$A18&amp;"*",'來案暨出貨明細表-基因檢測(201904起'!$B:$B,AN$1,'來案暨出貨明細表-基因檢測(201904起'!$R:$R,"中英")</f>
        <v>0</v>
      </c>
      <c r="AO18" s="33">
        <f>COUNTIFS('來案暨出貨明細表-基因檢測(201904起'!$P:$P,"*"&amp;$A18&amp;"*",'來案暨出貨明細表-基因檢測(201904起'!$B:$B,AO$1)*$B18+COUNTIFS('來案暨出貨明細表-基因檢測(201904起'!$P:$P,"*"&amp;$A18&amp;"*",'來案暨出貨明細表-基因檢測(201904起'!$B:$B,AO$1,'來案暨出貨明細表-基因檢測(201904起'!$Q:$Q,"紙本&amp;電子")++COUNTIFS('來案暨出貨明細表-基因檢測(201904起'!$P:$P,"*"&amp;$A18&amp;"*",'來案暨出貨明細表-基因檢測(201904起'!$B:$B,AO$1,'來案暨出貨明細表-基因檢測(201904起'!$R:$R,"中英")</f>
        <v>0</v>
      </c>
      <c r="AP18" s="33">
        <f>COUNTIFS('來案暨出貨明細表-基因檢測(201904起'!$P:$P,"*"&amp;$A18&amp;"*",'來案暨出貨明細表-基因檢測(201904起'!$B:$B,AP$1)*$B18+COUNTIFS('來案暨出貨明細表-基因檢測(201904起'!$P:$P,"*"&amp;$A18&amp;"*",'來案暨出貨明細表-基因檢測(201904起'!$B:$B,AP$1,'來案暨出貨明細表-基因檢測(201904起'!$Q:$Q,"紙本&amp;電子")++COUNTIFS('來案暨出貨明細表-基因檢測(201904起'!$P:$P,"*"&amp;$A18&amp;"*",'來案暨出貨明細表-基因檢測(201904起'!$B:$B,AP$1,'來案暨出貨明細表-基因檢測(201904起'!$R:$R,"中英")</f>
        <v>0</v>
      </c>
      <c r="AQ18" s="33">
        <f>COUNTIFS('來案暨出貨明細表-基因檢測(201904起'!$P:$P,"*"&amp;$A18&amp;"*",'來案暨出貨明細表-基因檢測(201904起'!$B:$B,AQ$1)*$B18+COUNTIFS('來案暨出貨明細表-基因檢測(201904起'!$P:$P,"*"&amp;$A18&amp;"*",'來案暨出貨明細表-基因檢測(201904起'!$B:$B,AQ$1,'來案暨出貨明細表-基因檢測(201904起'!$Q:$Q,"紙本&amp;電子")++COUNTIFS('來案暨出貨明細表-基因檢測(201904起'!$P:$P,"*"&amp;$A18&amp;"*",'來案暨出貨明細表-基因檢測(201904起'!$B:$B,AQ$1,'來案暨出貨明細表-基因檢測(201904起'!$R:$R,"中英")</f>
        <v>0</v>
      </c>
      <c r="AR18" s="33">
        <f>COUNTIFS('來案暨出貨明細表-基因檢測(201904起'!$P:$P,"*"&amp;$A18&amp;"*",'來案暨出貨明細表-基因檢測(201904起'!$B:$B,AR$1)*$B18+COUNTIFS('來案暨出貨明細表-基因檢測(201904起'!$P:$P,"*"&amp;$A18&amp;"*",'來案暨出貨明細表-基因檢測(201904起'!$B:$B,AR$1,'來案暨出貨明細表-基因檢測(201904起'!$Q:$Q,"紙本&amp;電子")++COUNTIFS('來案暨出貨明細表-基因檢測(201904起'!$P:$P,"*"&amp;$A18&amp;"*",'來案暨出貨明細表-基因檢測(201904起'!$B:$B,AR$1,'來案暨出貨明細表-基因檢測(201904起'!$R:$R,"中英")</f>
        <v>0</v>
      </c>
      <c r="AS18" s="33">
        <f>COUNTIFS('來案暨出貨明細表-基因檢測(201904起'!$P:$P,"*"&amp;$A18&amp;"*",'來案暨出貨明細表-基因檢測(201904起'!$B:$B,AS$1)*$B18+COUNTIFS('來案暨出貨明細表-基因檢測(201904起'!$P:$P,"*"&amp;$A18&amp;"*",'來案暨出貨明細表-基因檢測(201904起'!$B:$B,AS$1,'來案暨出貨明細表-基因檢測(201904起'!$Q:$Q,"紙本&amp;電子")++COUNTIFS('來案暨出貨明細表-基因檢測(201904起'!$P:$P,"*"&amp;$A18&amp;"*",'來案暨出貨明細表-基因檢測(201904起'!$B:$B,AS$1,'來案暨出貨明細表-基因檢測(201904起'!$R:$R,"中英")</f>
        <v>0</v>
      </c>
      <c r="AT18" s="33">
        <f>COUNTIFS('來案暨出貨明細表-基因檢測(201904起'!$P:$P,"*"&amp;$A18&amp;"*",'來案暨出貨明細表-基因檢測(201904起'!$B:$B,AT$1)*$B18+COUNTIFS('來案暨出貨明細表-基因檢測(201904起'!$P:$P,"*"&amp;$A18&amp;"*",'來案暨出貨明細表-基因檢測(201904起'!$B:$B,AT$1,'來案暨出貨明細表-基因檢測(201904起'!$Q:$Q,"紙本&amp;電子")++COUNTIFS('來案暨出貨明細表-基因檢測(201904起'!$P:$P,"*"&amp;$A18&amp;"*",'來案暨出貨明細表-基因檢測(201904起'!$B:$B,AT$1,'來案暨出貨明細表-基因檢測(201904起'!$R:$R,"中英")</f>
        <v>0</v>
      </c>
      <c r="AU18" s="33">
        <f>COUNTIFS('來案暨出貨明細表-基因檢測(201904起'!$P:$P,"*"&amp;$A18&amp;"*",'來案暨出貨明細表-基因檢測(201904起'!$B:$B,AU$1)*$B18+COUNTIFS('來案暨出貨明細表-基因檢測(201904起'!$P:$P,"*"&amp;$A18&amp;"*",'來案暨出貨明細表-基因檢測(201904起'!$B:$B,AU$1,'來案暨出貨明細表-基因檢測(201904起'!$Q:$Q,"紙本&amp;電子")++COUNTIFS('來案暨出貨明細表-基因檢測(201904起'!$P:$P,"*"&amp;$A18&amp;"*",'來案暨出貨明細表-基因檢測(201904起'!$B:$B,AU$1,'來案暨出貨明細表-基因檢測(201904起'!$R:$R,"中英")</f>
        <v>0</v>
      </c>
      <c r="AV18" s="33">
        <f>COUNTIFS('來案暨出貨明細表-基因檢測(201904起'!$P:$P,"*"&amp;$A18&amp;"*",'來案暨出貨明細表-基因檢測(201904起'!$B:$B,AV$1)*$B18+COUNTIFS('來案暨出貨明細表-基因檢測(201904起'!$P:$P,"*"&amp;$A18&amp;"*",'來案暨出貨明細表-基因檢測(201904起'!$B:$B,AV$1,'來案暨出貨明細表-基因檢測(201904起'!$Q:$Q,"紙本&amp;電子")++COUNTIFS('來案暨出貨明細表-基因檢測(201904起'!$P:$P,"*"&amp;$A18&amp;"*",'來案暨出貨明細表-基因檢測(201904起'!$B:$B,AV$1,'來案暨出貨明細表-基因檢測(201904起'!$R:$R,"中英")</f>
        <v>0</v>
      </c>
      <c r="AW18" s="33">
        <f>COUNTIFS('來案暨出貨明細表-基因檢測(201904起'!$P:$P,"*"&amp;$A18&amp;"*",'來案暨出貨明細表-基因檢測(201904起'!$B:$B,AW$1)*$B18+COUNTIFS('來案暨出貨明細表-基因檢測(201904起'!$P:$P,"*"&amp;$A18&amp;"*",'來案暨出貨明細表-基因檢測(201904起'!$B:$B,AW$1,'來案暨出貨明細表-基因檢測(201904起'!$Q:$Q,"紙本&amp;電子")++COUNTIFS('來案暨出貨明細表-基因檢測(201904起'!$P:$P,"*"&amp;$A18&amp;"*",'來案暨出貨明細表-基因檢測(201904起'!$B:$B,AW$1,'來案暨出貨明細表-基因檢測(201904起'!$R:$R,"中英")</f>
        <v>0</v>
      </c>
      <c r="AX18" s="33">
        <f>COUNTIFS('來案暨出貨明細表-基因檢測(201904起'!$P:$P,"*"&amp;$A18&amp;"*",'來案暨出貨明細表-基因檢測(201904起'!$B:$B,AX$1)*$B18+COUNTIFS('來案暨出貨明細表-基因檢測(201904起'!$P:$P,"*"&amp;$A18&amp;"*",'來案暨出貨明細表-基因檢測(201904起'!$B:$B,AX$1,'來案暨出貨明細表-基因檢測(201904起'!$Q:$Q,"紙本&amp;電子")++COUNTIFS('來案暨出貨明細表-基因檢測(201904起'!$P:$P,"*"&amp;$A18&amp;"*",'來案暨出貨明細表-基因檢測(201904起'!$B:$B,AX$1,'來案暨出貨明細表-基因檢測(201904起'!$R:$R,"中英")</f>
        <v>0</v>
      </c>
      <c r="AY18" s="33">
        <f>COUNTIFS('來案暨出貨明細表-基因檢測(201904起'!$P:$P,"*"&amp;$A18&amp;"*",'來案暨出貨明細表-基因檢測(201904起'!$B:$B,AY$1)*$B18+COUNTIFS('來案暨出貨明細表-基因檢測(201904起'!$P:$P,"*"&amp;$A18&amp;"*",'來案暨出貨明細表-基因檢測(201904起'!$B:$B,AY$1,'來案暨出貨明細表-基因檢測(201904起'!$Q:$Q,"紙本&amp;電子")++COUNTIFS('來案暨出貨明細表-基因檢測(201904起'!$P:$P,"*"&amp;$A18&amp;"*",'來案暨出貨明細表-基因檢測(201904起'!$B:$B,AY$1,'來案暨出貨明細表-基因檢測(201904起'!$R:$R,"中英")</f>
        <v>0</v>
      </c>
      <c r="AZ18" s="33">
        <f>COUNTIFS('來案暨出貨明細表-基因檢測(201904起'!$P:$P,"*"&amp;$A18&amp;"*",'來案暨出貨明細表-基因檢測(201904起'!$B:$B,AZ$1)*$B18+COUNTIFS('來案暨出貨明細表-基因檢測(201904起'!$P:$P,"*"&amp;$A18&amp;"*",'來案暨出貨明細表-基因檢測(201904起'!$B:$B,AZ$1,'來案暨出貨明細表-基因檢測(201904起'!$Q:$Q,"紙本&amp;電子")++COUNTIFS('來案暨出貨明細表-基因檢測(201904起'!$P:$P,"*"&amp;$A18&amp;"*",'來案暨出貨明細表-基因檢測(201904起'!$B:$B,AZ$1,'來案暨出貨明細表-基因檢測(201904起'!$R:$R,"中英")</f>
        <v>0</v>
      </c>
      <c r="BA18" s="33">
        <f>COUNTIFS('來案暨出貨明細表-基因檢測(201904起'!$P:$P,"*"&amp;$A18&amp;"*",'來案暨出貨明細表-基因檢測(201904起'!$B:$B,BA$1)*$B18+COUNTIFS('來案暨出貨明細表-基因檢測(201904起'!$P:$P,"*"&amp;$A18&amp;"*",'來案暨出貨明細表-基因檢測(201904起'!$B:$B,BA$1,'來案暨出貨明細表-基因檢測(201904起'!$Q:$Q,"紙本&amp;電子")++COUNTIFS('來案暨出貨明細表-基因檢測(201904起'!$P:$P,"*"&amp;$A18&amp;"*",'來案暨出貨明細表-基因檢測(201904起'!$B:$B,BA$1,'來案暨出貨明細表-基因檢測(201904起'!$R:$R,"中英")</f>
        <v>0</v>
      </c>
      <c r="BB18" s="33">
        <f>COUNTIFS('來案暨出貨明細表-基因檢測(201904起'!$P:$P,"*"&amp;$A18&amp;"*",'來案暨出貨明細表-基因檢測(201904起'!$B:$B,BB$1)*$B18+COUNTIFS('來案暨出貨明細表-基因檢測(201904起'!$P:$P,"*"&amp;$A18&amp;"*",'來案暨出貨明細表-基因檢測(201904起'!$B:$B,BB$1,'來案暨出貨明細表-基因檢測(201904起'!$Q:$Q,"紙本&amp;電子")++COUNTIFS('來案暨出貨明細表-基因檢測(201904起'!$P:$P,"*"&amp;$A18&amp;"*",'來案暨出貨明細表-基因檢測(201904起'!$B:$B,BB$1,'來案暨出貨明細表-基因檢測(201904起'!$R:$R,"中英")</f>
        <v>0</v>
      </c>
      <c r="BC18" s="33">
        <f>COUNTIFS('來案暨出貨明細表-基因檢測(201904起'!$P:$P,"*"&amp;$A18&amp;"*",'來案暨出貨明細表-基因檢測(201904起'!$B:$B,BC$1)*$B18+COUNTIFS('來案暨出貨明細表-基因檢測(201904起'!$P:$P,"*"&amp;$A18&amp;"*",'來案暨出貨明細表-基因檢測(201904起'!$B:$B,BC$1,'來案暨出貨明細表-基因檢測(201904起'!$Q:$Q,"紙本&amp;電子")++COUNTIFS('來案暨出貨明細表-基因檢測(201904起'!$P:$P,"*"&amp;$A18&amp;"*",'來案暨出貨明細表-基因檢測(201904起'!$B:$B,BC$1,'來案暨出貨明細表-基因檢測(201904起'!$R:$R,"中英")</f>
        <v>0</v>
      </c>
      <c r="BD18" s="33">
        <f>COUNTIFS('來案暨出貨明細表-基因檢測(201904起'!$P:$P,"*"&amp;$A18&amp;"*",'來案暨出貨明細表-基因檢測(201904起'!$B:$B,BD$1)*$B18+COUNTIFS('來案暨出貨明細表-基因檢測(201904起'!$P:$P,"*"&amp;$A18&amp;"*",'來案暨出貨明細表-基因檢測(201904起'!$B:$B,BD$1,'來案暨出貨明細表-基因檢測(201904起'!$Q:$Q,"紙本&amp;電子")++COUNTIFS('來案暨出貨明細表-基因檢測(201904起'!$P:$P,"*"&amp;$A18&amp;"*",'來案暨出貨明細表-基因檢測(201904起'!$B:$B,BD$1,'來案暨出貨明細表-基因檢測(201904起'!$R:$R,"中英")</f>
        <v>0</v>
      </c>
      <c r="BE18" s="33">
        <f>COUNTIFS('來案暨出貨明細表-基因檢測(201904起'!$P:$P,"*"&amp;$A18&amp;"*",'來案暨出貨明細表-基因檢測(201904起'!$B:$B,BE$1)*$B18+COUNTIFS('來案暨出貨明細表-基因檢測(201904起'!$P:$P,"*"&amp;$A18&amp;"*",'來案暨出貨明細表-基因檢測(201904起'!$B:$B,BE$1,'來案暨出貨明細表-基因檢測(201904起'!$Q:$Q,"紙本&amp;電子")++COUNTIFS('來案暨出貨明細表-基因檢測(201904起'!$P:$P,"*"&amp;$A18&amp;"*",'來案暨出貨明細表-基因檢測(201904起'!$B:$B,BE$1,'來案暨出貨明細表-基因檢測(201904起'!$R:$R,"中英")</f>
        <v>0</v>
      </c>
      <c r="BF18" s="33">
        <f>COUNTIFS('來案暨出貨明細表-基因檢測(201904起'!$P:$P,"*"&amp;$A18&amp;"*",'來案暨出貨明細表-基因檢測(201904起'!$B:$B,BF$1)*$B18+COUNTIFS('來案暨出貨明細表-基因檢測(201904起'!$P:$P,"*"&amp;$A18&amp;"*",'來案暨出貨明細表-基因檢測(201904起'!$B:$B,BF$1,'來案暨出貨明細表-基因檢測(201904起'!$Q:$Q,"紙本&amp;電子")++COUNTIFS('來案暨出貨明細表-基因檢測(201904起'!$P:$P,"*"&amp;$A18&amp;"*",'來案暨出貨明細表-基因檢測(201904起'!$B:$B,BF$1,'來案暨出貨明細表-基因檢測(201904起'!$R:$R,"中英")</f>
        <v>0</v>
      </c>
      <c r="BG18" s="33">
        <f>COUNTIFS('來案暨出貨明細表-基因檢測(201904起'!$P:$P,"*"&amp;$A18&amp;"*",'來案暨出貨明細表-基因檢測(201904起'!$B:$B,BG$1)*$B18+COUNTIFS('來案暨出貨明細表-基因檢測(201904起'!$P:$P,"*"&amp;$A18&amp;"*",'來案暨出貨明細表-基因檢測(201904起'!$B:$B,BG$1,'來案暨出貨明細表-基因檢測(201904起'!$Q:$Q,"紙本&amp;電子")++COUNTIFS('來案暨出貨明細表-基因檢測(201904起'!$P:$P,"*"&amp;$A18&amp;"*",'來案暨出貨明細表-基因檢測(201904起'!$B:$B,BG$1,'來案暨出貨明細表-基因檢測(201904起'!$R:$R,"中英")</f>
        <v>0</v>
      </c>
      <c r="BH18" s="33">
        <f>COUNTIFS('來案暨出貨明細表-基因檢測(201904起'!$P:$P,"*"&amp;$A18&amp;"*",'來案暨出貨明細表-基因檢測(201904起'!$B:$B,BH$1)*$B18+COUNTIFS('來案暨出貨明細表-基因檢測(201904起'!$P:$P,"*"&amp;$A18&amp;"*",'來案暨出貨明細表-基因檢測(201904起'!$B:$B,BH$1,'來案暨出貨明細表-基因檢測(201904起'!$Q:$Q,"紙本&amp;電子")++COUNTIFS('來案暨出貨明細表-基因檢測(201904起'!$P:$P,"*"&amp;$A18&amp;"*",'來案暨出貨明細表-基因檢測(201904起'!$B:$B,BH$1,'來案暨出貨明細表-基因檢測(201904起'!$R:$R,"中英")</f>
        <v>0</v>
      </c>
      <c r="BI18" s="33">
        <f>COUNTIFS('來案暨出貨明細表-基因檢測(201904起'!$P:$P,"*"&amp;$A18&amp;"*",'來案暨出貨明細表-基因檢測(201904起'!$B:$B,BI$1)*$B18+COUNTIFS('來案暨出貨明細表-基因檢測(201904起'!$P:$P,"*"&amp;$A18&amp;"*",'來案暨出貨明細表-基因檢測(201904起'!$B:$B,BI$1,'來案暨出貨明細表-基因檢測(201904起'!$Q:$Q,"紙本&amp;電子")++COUNTIFS('來案暨出貨明細表-基因檢測(201904起'!$P:$P,"*"&amp;$A18&amp;"*",'來案暨出貨明細表-基因檢測(201904起'!$B:$B,BI$1,'來案暨出貨明細表-基因檢測(201904起'!$R:$R,"中英")</f>
        <v>0</v>
      </c>
      <c r="BJ18" s="33">
        <f>COUNTIFS('來案暨出貨明細表-基因檢測(201904起'!$P:$P,"*"&amp;$A18&amp;"*",'來案暨出貨明細表-基因檢測(201904起'!$B:$B,BJ$1)*$B18+COUNTIFS('來案暨出貨明細表-基因檢測(201904起'!$P:$P,"*"&amp;$A18&amp;"*",'來案暨出貨明細表-基因檢測(201904起'!$B:$B,BJ$1,'來案暨出貨明細表-基因檢測(201904起'!$Q:$Q,"紙本&amp;電子")++COUNTIFS('來案暨出貨明細表-基因檢測(201904起'!$P:$P,"*"&amp;$A18&amp;"*",'來案暨出貨明細表-基因檢測(201904起'!$B:$B,BJ$1,'來案暨出貨明細表-基因檢測(201904起'!$R:$R,"中英")</f>
        <v>0</v>
      </c>
      <c r="BK18" s="33">
        <f>COUNTIFS('來案暨出貨明細表-基因檢測(201904起'!$P:$P,"*"&amp;$A18&amp;"*",'來案暨出貨明細表-基因檢測(201904起'!$B:$B,BK$1)*$B18+COUNTIFS('來案暨出貨明細表-基因檢測(201904起'!$P:$P,"*"&amp;$A18&amp;"*",'來案暨出貨明細表-基因檢測(201904起'!$B:$B,BK$1,'來案暨出貨明細表-基因檢測(201904起'!$Q:$Q,"紙本&amp;電子")++COUNTIFS('來案暨出貨明細表-基因檢測(201904起'!$P:$P,"*"&amp;$A18&amp;"*",'來案暨出貨明細表-基因檢測(201904起'!$B:$B,BK$1,'來案暨出貨明細表-基因檢測(201904起'!$R:$R,"中英")</f>
        <v>0</v>
      </c>
    </row>
    <row r="19" spans="1:63" ht="15" customHeight="1">
      <c r="A19" s="166" t="s">
        <v>4519</v>
      </c>
      <c r="B19" s="167">
        <v>1</v>
      </c>
      <c r="C19" s="168" t="s">
        <v>4520</v>
      </c>
      <c r="D19" s="169" t="s">
        <v>4521</v>
      </c>
      <c r="E19" s="162">
        <v>0</v>
      </c>
      <c r="F19" s="162">
        <v>0</v>
      </c>
      <c r="G19" s="162">
        <v>0</v>
      </c>
      <c r="H19" s="162">
        <v>0</v>
      </c>
      <c r="I19" s="162">
        <v>0</v>
      </c>
      <c r="J19" s="162">
        <v>0</v>
      </c>
      <c r="K19" s="162">
        <v>0</v>
      </c>
      <c r="L19" s="162">
        <v>0</v>
      </c>
      <c r="M19" s="162">
        <v>0</v>
      </c>
      <c r="N19" s="162">
        <v>0</v>
      </c>
      <c r="O19" s="162">
        <v>0</v>
      </c>
      <c r="P19" s="162">
        <v>0</v>
      </c>
      <c r="Q19" s="162">
        <v>0</v>
      </c>
      <c r="R19" s="162">
        <v>0</v>
      </c>
      <c r="S19" s="162">
        <v>0</v>
      </c>
      <c r="T19" s="162">
        <v>0</v>
      </c>
      <c r="U19" s="162">
        <v>0</v>
      </c>
      <c r="V19" s="162">
        <v>0</v>
      </c>
      <c r="W19" s="162">
        <v>0</v>
      </c>
      <c r="X19" s="162">
        <v>0</v>
      </c>
      <c r="Y19" s="162">
        <v>0</v>
      </c>
      <c r="Z19" s="162">
        <v>0</v>
      </c>
      <c r="AA19" s="162">
        <v>0</v>
      </c>
      <c r="AB19" s="162">
        <v>0</v>
      </c>
      <c r="AC19" s="162">
        <v>0</v>
      </c>
      <c r="AD19" s="162">
        <v>0</v>
      </c>
      <c r="AE19" s="162">
        <v>0</v>
      </c>
      <c r="AF19" s="162">
        <v>0</v>
      </c>
      <c r="AG19" s="162">
        <v>0</v>
      </c>
      <c r="AH19" s="162">
        <v>0</v>
      </c>
      <c r="AI19" s="162">
        <v>0</v>
      </c>
      <c r="AJ19" s="170">
        <v>0</v>
      </c>
      <c r="AK19" s="33">
        <f>COUNTIFS('來案暨出貨明細表-基因檢測(201904起'!$P:$P,"*"&amp;$A19&amp;"*",'來案暨出貨明細表-基因檢測(201904起'!$B:$B,AK$1)*$B19+COUNTIFS('來案暨出貨明細表-基因檢測(201904起'!$P:$P,"*"&amp;$A19&amp;"*",'來案暨出貨明細表-基因檢測(201904起'!$B:$B,AK$1,'來案暨出貨明細表-基因檢測(201904起'!$Q:$Q,"紙本&amp;電子")++COUNTIFS('來案暨出貨明細表-基因檢測(201904起'!$P:$P,"*"&amp;$A19&amp;"*",'來案暨出貨明細表-基因檢測(201904起'!$B:$B,AK$1,'來案暨出貨明細表-基因檢測(201904起'!$R:$R,"中英")</f>
        <v>0</v>
      </c>
      <c r="AL19" s="33">
        <f>COUNTIFS('來案暨出貨明細表-基因檢測(201904起'!$P:$P,"*"&amp;$A19&amp;"*",'來案暨出貨明細表-基因檢測(201904起'!$B:$B,AL$1)*$B19+COUNTIFS('來案暨出貨明細表-基因檢測(201904起'!$P:$P,"*"&amp;$A19&amp;"*",'來案暨出貨明細表-基因檢測(201904起'!$B:$B,AL$1,'來案暨出貨明細表-基因檢測(201904起'!$Q:$Q,"紙本&amp;電子")++COUNTIFS('來案暨出貨明細表-基因檢測(201904起'!$P:$P,"*"&amp;$A19&amp;"*",'來案暨出貨明細表-基因檢測(201904起'!$B:$B,AL$1,'來案暨出貨明細表-基因檢測(201904起'!$R:$R,"中英")</f>
        <v>0</v>
      </c>
      <c r="AM19" s="33">
        <f>COUNTIFS('來案暨出貨明細表-基因檢測(201904起'!$P:$P,"*"&amp;$A19&amp;"*",'來案暨出貨明細表-基因檢測(201904起'!$B:$B,AM$1)*$B19+COUNTIFS('來案暨出貨明細表-基因檢測(201904起'!$P:$P,"*"&amp;$A19&amp;"*",'來案暨出貨明細表-基因檢測(201904起'!$B:$B,AM$1,'來案暨出貨明細表-基因檢測(201904起'!$Q:$Q,"紙本&amp;電子")++COUNTIFS('來案暨出貨明細表-基因檢測(201904起'!$P:$P,"*"&amp;$A19&amp;"*",'來案暨出貨明細表-基因檢測(201904起'!$B:$B,AM$1,'來案暨出貨明細表-基因檢測(201904起'!$R:$R,"中英")</f>
        <v>0</v>
      </c>
      <c r="AN19" s="33">
        <f>COUNTIFS('來案暨出貨明細表-基因檢測(201904起'!$P:$P,"*"&amp;$A19&amp;"*",'來案暨出貨明細表-基因檢測(201904起'!$B:$B,AN$1)*$B19+COUNTIFS('來案暨出貨明細表-基因檢測(201904起'!$P:$P,"*"&amp;$A19&amp;"*",'來案暨出貨明細表-基因檢測(201904起'!$B:$B,AN$1,'來案暨出貨明細表-基因檢測(201904起'!$Q:$Q,"紙本&amp;電子")++COUNTIFS('來案暨出貨明細表-基因檢測(201904起'!$P:$P,"*"&amp;$A19&amp;"*",'來案暨出貨明細表-基因檢測(201904起'!$B:$B,AN$1,'來案暨出貨明細表-基因檢測(201904起'!$R:$R,"中英")</f>
        <v>2</v>
      </c>
      <c r="AO19" s="33">
        <f>COUNTIFS('來案暨出貨明細表-基因檢測(201904起'!$P:$P,"*"&amp;$A19&amp;"*",'來案暨出貨明細表-基因檢測(201904起'!$B:$B,AO$1)*$B19+COUNTIFS('來案暨出貨明細表-基因檢測(201904起'!$P:$P,"*"&amp;$A19&amp;"*",'來案暨出貨明細表-基因檢測(201904起'!$B:$B,AO$1,'來案暨出貨明細表-基因檢測(201904起'!$Q:$Q,"紙本&amp;電子")++COUNTIFS('來案暨出貨明細表-基因檢測(201904起'!$P:$P,"*"&amp;$A19&amp;"*",'來案暨出貨明細表-基因檢測(201904起'!$B:$B,AO$1,'來案暨出貨明細表-基因檢測(201904起'!$R:$R,"中英")</f>
        <v>0</v>
      </c>
      <c r="AP19" s="33">
        <f>COUNTIFS('來案暨出貨明細表-基因檢測(201904起'!$P:$P,"*"&amp;$A19&amp;"*",'來案暨出貨明細表-基因檢測(201904起'!$B:$B,AP$1)*$B19+COUNTIFS('來案暨出貨明細表-基因檢測(201904起'!$P:$P,"*"&amp;$A19&amp;"*",'來案暨出貨明細表-基因檢測(201904起'!$B:$B,AP$1,'來案暨出貨明細表-基因檢測(201904起'!$Q:$Q,"紙本&amp;電子")++COUNTIFS('來案暨出貨明細表-基因檢測(201904起'!$P:$P,"*"&amp;$A19&amp;"*",'來案暨出貨明細表-基因檢測(201904起'!$B:$B,AP$1,'來案暨出貨明細表-基因檢測(201904起'!$R:$R,"中英")</f>
        <v>0</v>
      </c>
      <c r="AQ19" s="33">
        <f>COUNTIFS('來案暨出貨明細表-基因檢測(201904起'!$P:$P,"*"&amp;$A19&amp;"*",'來案暨出貨明細表-基因檢測(201904起'!$B:$B,AQ$1)*$B19+COUNTIFS('來案暨出貨明細表-基因檢測(201904起'!$P:$P,"*"&amp;$A19&amp;"*",'來案暨出貨明細表-基因檢測(201904起'!$B:$B,AQ$1,'來案暨出貨明細表-基因檢測(201904起'!$Q:$Q,"紙本&amp;電子")++COUNTIFS('來案暨出貨明細表-基因檢測(201904起'!$P:$P,"*"&amp;$A19&amp;"*",'來案暨出貨明細表-基因檢測(201904起'!$B:$B,AQ$1,'來案暨出貨明細表-基因檢測(201904起'!$R:$R,"中英")</f>
        <v>1</v>
      </c>
      <c r="AR19" s="33">
        <f>COUNTIFS('來案暨出貨明細表-基因檢測(201904起'!$P:$P,"*"&amp;$A19&amp;"*",'來案暨出貨明細表-基因檢測(201904起'!$B:$B,AR$1)*$B19+COUNTIFS('來案暨出貨明細表-基因檢測(201904起'!$P:$P,"*"&amp;$A19&amp;"*",'來案暨出貨明細表-基因檢測(201904起'!$B:$B,AR$1,'來案暨出貨明細表-基因檢測(201904起'!$Q:$Q,"紙本&amp;電子")++COUNTIFS('來案暨出貨明細表-基因檢測(201904起'!$P:$P,"*"&amp;$A19&amp;"*",'來案暨出貨明細表-基因檢測(201904起'!$B:$B,AR$1,'來案暨出貨明細表-基因檢測(201904起'!$R:$R,"中英")</f>
        <v>0</v>
      </c>
      <c r="AS19" s="33">
        <f>COUNTIFS('來案暨出貨明細表-基因檢測(201904起'!$P:$P,"*"&amp;$A19&amp;"*",'來案暨出貨明細表-基因檢測(201904起'!$B:$B,AS$1)*$B19+COUNTIFS('來案暨出貨明細表-基因檢測(201904起'!$P:$P,"*"&amp;$A19&amp;"*",'來案暨出貨明細表-基因檢測(201904起'!$B:$B,AS$1,'來案暨出貨明細表-基因檢測(201904起'!$Q:$Q,"紙本&amp;電子")++COUNTIFS('來案暨出貨明細表-基因檢測(201904起'!$P:$P,"*"&amp;$A19&amp;"*",'來案暨出貨明細表-基因檢測(201904起'!$B:$B,AS$1,'來案暨出貨明細表-基因檢測(201904起'!$R:$R,"中英")</f>
        <v>0</v>
      </c>
      <c r="AT19" s="33">
        <f>COUNTIFS('來案暨出貨明細表-基因檢測(201904起'!$P:$P,"*"&amp;$A19&amp;"*",'來案暨出貨明細表-基因檢測(201904起'!$B:$B,AT$1)*$B19+COUNTIFS('來案暨出貨明細表-基因檢測(201904起'!$P:$P,"*"&amp;$A19&amp;"*",'來案暨出貨明細表-基因檢測(201904起'!$B:$B,AT$1,'來案暨出貨明細表-基因檢測(201904起'!$Q:$Q,"紙本&amp;電子")++COUNTIFS('來案暨出貨明細表-基因檢測(201904起'!$P:$P,"*"&amp;$A19&amp;"*",'來案暨出貨明細表-基因檢測(201904起'!$B:$B,AT$1,'來案暨出貨明細表-基因檢測(201904起'!$R:$R,"中英")</f>
        <v>0</v>
      </c>
      <c r="AU19" s="33">
        <f>COUNTIFS('來案暨出貨明細表-基因檢測(201904起'!$P:$P,"*"&amp;$A19&amp;"*",'來案暨出貨明細表-基因檢測(201904起'!$B:$B,AU$1)*$B19+COUNTIFS('來案暨出貨明細表-基因檢測(201904起'!$P:$P,"*"&amp;$A19&amp;"*",'來案暨出貨明細表-基因檢測(201904起'!$B:$B,AU$1,'來案暨出貨明細表-基因檢測(201904起'!$Q:$Q,"紙本&amp;電子")++COUNTIFS('來案暨出貨明細表-基因檢測(201904起'!$P:$P,"*"&amp;$A19&amp;"*",'來案暨出貨明細表-基因檢測(201904起'!$B:$B,AU$1,'來案暨出貨明細表-基因檢測(201904起'!$R:$R,"中英")</f>
        <v>0</v>
      </c>
      <c r="AV19" s="33">
        <f>COUNTIFS('來案暨出貨明細表-基因檢測(201904起'!$P:$P,"*"&amp;$A19&amp;"*",'來案暨出貨明細表-基因檢測(201904起'!$B:$B,AV$1)*$B19+COUNTIFS('來案暨出貨明細表-基因檢測(201904起'!$P:$P,"*"&amp;$A19&amp;"*",'來案暨出貨明細表-基因檢測(201904起'!$B:$B,AV$1,'來案暨出貨明細表-基因檢測(201904起'!$Q:$Q,"紙本&amp;電子")++COUNTIFS('來案暨出貨明細表-基因檢測(201904起'!$P:$P,"*"&amp;$A19&amp;"*",'來案暨出貨明細表-基因檢測(201904起'!$B:$B,AV$1,'來案暨出貨明細表-基因檢測(201904起'!$R:$R,"中英")</f>
        <v>0</v>
      </c>
      <c r="AW19" s="33">
        <f>COUNTIFS('來案暨出貨明細表-基因檢測(201904起'!$P:$P,"*"&amp;$A19&amp;"*",'來案暨出貨明細表-基因檢測(201904起'!$B:$B,AW$1)*$B19+COUNTIFS('來案暨出貨明細表-基因檢測(201904起'!$P:$P,"*"&amp;$A19&amp;"*",'來案暨出貨明細表-基因檢測(201904起'!$B:$B,AW$1,'來案暨出貨明細表-基因檢測(201904起'!$Q:$Q,"紙本&amp;電子")++COUNTIFS('來案暨出貨明細表-基因檢測(201904起'!$P:$P,"*"&amp;$A19&amp;"*",'來案暨出貨明細表-基因檢測(201904起'!$B:$B,AW$1,'來案暨出貨明細表-基因檢測(201904起'!$R:$R,"中英")</f>
        <v>0</v>
      </c>
      <c r="AX19" s="33">
        <f>COUNTIFS('來案暨出貨明細表-基因檢測(201904起'!$P:$P,"*"&amp;$A19&amp;"*",'來案暨出貨明細表-基因檢測(201904起'!$B:$B,AX$1)*$B19+COUNTIFS('來案暨出貨明細表-基因檢測(201904起'!$P:$P,"*"&amp;$A19&amp;"*",'來案暨出貨明細表-基因檢測(201904起'!$B:$B,AX$1,'來案暨出貨明細表-基因檢測(201904起'!$Q:$Q,"紙本&amp;電子")++COUNTIFS('來案暨出貨明細表-基因檢測(201904起'!$P:$P,"*"&amp;$A19&amp;"*",'來案暨出貨明細表-基因檢測(201904起'!$B:$B,AX$1,'來案暨出貨明細表-基因檢測(201904起'!$R:$R,"中英")</f>
        <v>0</v>
      </c>
      <c r="AY19" s="33">
        <f>COUNTIFS('來案暨出貨明細表-基因檢測(201904起'!$P:$P,"*"&amp;$A19&amp;"*",'來案暨出貨明細表-基因檢測(201904起'!$B:$B,AY$1)*$B19+COUNTIFS('來案暨出貨明細表-基因檢測(201904起'!$P:$P,"*"&amp;$A19&amp;"*",'來案暨出貨明細表-基因檢測(201904起'!$B:$B,AY$1,'來案暨出貨明細表-基因檢測(201904起'!$Q:$Q,"紙本&amp;電子")++COUNTIFS('來案暨出貨明細表-基因檢測(201904起'!$P:$P,"*"&amp;$A19&amp;"*",'來案暨出貨明細表-基因檢測(201904起'!$B:$B,AY$1,'來案暨出貨明細表-基因檢測(201904起'!$R:$R,"中英")</f>
        <v>0</v>
      </c>
      <c r="AZ19" s="33">
        <f>COUNTIFS('來案暨出貨明細表-基因檢測(201904起'!$P:$P,"*"&amp;$A19&amp;"*",'來案暨出貨明細表-基因檢測(201904起'!$B:$B,AZ$1)*$B19+COUNTIFS('來案暨出貨明細表-基因檢測(201904起'!$P:$P,"*"&amp;$A19&amp;"*",'來案暨出貨明細表-基因檢測(201904起'!$B:$B,AZ$1,'來案暨出貨明細表-基因檢測(201904起'!$Q:$Q,"紙本&amp;電子")++COUNTIFS('來案暨出貨明細表-基因檢測(201904起'!$P:$P,"*"&amp;$A19&amp;"*",'來案暨出貨明細表-基因檢測(201904起'!$B:$B,AZ$1,'來案暨出貨明細表-基因檢測(201904起'!$R:$R,"中英")</f>
        <v>0</v>
      </c>
      <c r="BA19" s="33">
        <f>COUNTIFS('來案暨出貨明細表-基因檢測(201904起'!$P:$P,"*"&amp;$A19&amp;"*",'來案暨出貨明細表-基因檢測(201904起'!$B:$B,BA$1)*$B19+COUNTIFS('來案暨出貨明細表-基因檢測(201904起'!$P:$P,"*"&amp;$A19&amp;"*",'來案暨出貨明細表-基因檢測(201904起'!$B:$B,BA$1,'來案暨出貨明細表-基因檢測(201904起'!$Q:$Q,"紙本&amp;電子")++COUNTIFS('來案暨出貨明細表-基因檢測(201904起'!$P:$P,"*"&amp;$A19&amp;"*",'來案暨出貨明細表-基因檢測(201904起'!$B:$B,BA$1,'來案暨出貨明細表-基因檢測(201904起'!$R:$R,"中英")</f>
        <v>0</v>
      </c>
      <c r="BB19" s="33">
        <f>COUNTIFS('來案暨出貨明細表-基因檢測(201904起'!$P:$P,"*"&amp;$A19&amp;"*",'來案暨出貨明細表-基因檢測(201904起'!$B:$B,BB$1)*$B19+COUNTIFS('來案暨出貨明細表-基因檢測(201904起'!$P:$P,"*"&amp;$A19&amp;"*",'來案暨出貨明細表-基因檢測(201904起'!$B:$B,BB$1,'來案暨出貨明細表-基因檢測(201904起'!$Q:$Q,"紙本&amp;電子")++COUNTIFS('來案暨出貨明細表-基因檢測(201904起'!$P:$P,"*"&amp;$A19&amp;"*",'來案暨出貨明細表-基因檢測(201904起'!$B:$B,BB$1,'來案暨出貨明細表-基因檢測(201904起'!$R:$R,"中英")</f>
        <v>0</v>
      </c>
      <c r="BC19" s="33">
        <f>COUNTIFS('來案暨出貨明細表-基因檢測(201904起'!$P:$P,"*"&amp;$A19&amp;"*",'來案暨出貨明細表-基因檢測(201904起'!$B:$B,BC$1)*$B19+COUNTIFS('來案暨出貨明細表-基因檢測(201904起'!$P:$P,"*"&amp;$A19&amp;"*",'來案暨出貨明細表-基因檢測(201904起'!$B:$B,BC$1,'來案暨出貨明細表-基因檢測(201904起'!$Q:$Q,"紙本&amp;電子")++COUNTIFS('來案暨出貨明細表-基因檢測(201904起'!$P:$P,"*"&amp;$A19&amp;"*",'來案暨出貨明細表-基因檢測(201904起'!$B:$B,BC$1,'來案暨出貨明細表-基因檢測(201904起'!$R:$R,"中英")</f>
        <v>0</v>
      </c>
      <c r="BD19" s="33">
        <f>COUNTIFS('來案暨出貨明細表-基因檢測(201904起'!$P:$P,"*"&amp;$A19&amp;"*",'來案暨出貨明細表-基因檢測(201904起'!$B:$B,BD$1)*$B19+COUNTIFS('來案暨出貨明細表-基因檢測(201904起'!$P:$P,"*"&amp;$A19&amp;"*",'來案暨出貨明細表-基因檢測(201904起'!$B:$B,BD$1,'來案暨出貨明細表-基因檢測(201904起'!$Q:$Q,"紙本&amp;電子")++COUNTIFS('來案暨出貨明細表-基因檢測(201904起'!$P:$P,"*"&amp;$A19&amp;"*",'來案暨出貨明細表-基因檢測(201904起'!$B:$B,BD$1,'來案暨出貨明細表-基因檢測(201904起'!$R:$R,"中英")</f>
        <v>0</v>
      </c>
      <c r="BE19" s="33">
        <f>COUNTIFS('來案暨出貨明細表-基因檢測(201904起'!$P:$P,"*"&amp;$A19&amp;"*",'來案暨出貨明細表-基因檢測(201904起'!$B:$B,BE$1)*$B19+COUNTIFS('來案暨出貨明細表-基因檢測(201904起'!$P:$P,"*"&amp;$A19&amp;"*",'來案暨出貨明細表-基因檢測(201904起'!$B:$B,BE$1,'來案暨出貨明細表-基因檢測(201904起'!$Q:$Q,"紙本&amp;電子")++COUNTIFS('來案暨出貨明細表-基因檢測(201904起'!$P:$P,"*"&amp;$A19&amp;"*",'來案暨出貨明細表-基因檢測(201904起'!$B:$B,BE$1,'來案暨出貨明細表-基因檢測(201904起'!$R:$R,"中英")</f>
        <v>0</v>
      </c>
      <c r="BF19" s="33">
        <f>COUNTIFS('來案暨出貨明細表-基因檢測(201904起'!$P:$P,"*"&amp;$A19&amp;"*",'來案暨出貨明細表-基因檢測(201904起'!$B:$B,BF$1)*$B19+COUNTIFS('來案暨出貨明細表-基因檢測(201904起'!$P:$P,"*"&amp;$A19&amp;"*",'來案暨出貨明細表-基因檢測(201904起'!$B:$B,BF$1,'來案暨出貨明細表-基因檢測(201904起'!$Q:$Q,"紙本&amp;電子")++COUNTIFS('來案暨出貨明細表-基因檢測(201904起'!$P:$P,"*"&amp;$A19&amp;"*",'來案暨出貨明細表-基因檢測(201904起'!$B:$B,BF$1,'來案暨出貨明細表-基因檢測(201904起'!$R:$R,"中英")</f>
        <v>0</v>
      </c>
      <c r="BG19" s="33">
        <f>COUNTIFS('來案暨出貨明細表-基因檢測(201904起'!$P:$P,"*"&amp;$A19&amp;"*",'來案暨出貨明細表-基因檢測(201904起'!$B:$B,BG$1)*$B19+COUNTIFS('來案暨出貨明細表-基因檢測(201904起'!$P:$P,"*"&amp;$A19&amp;"*",'來案暨出貨明細表-基因檢測(201904起'!$B:$B,BG$1,'來案暨出貨明細表-基因檢測(201904起'!$Q:$Q,"紙本&amp;電子")++COUNTIFS('來案暨出貨明細表-基因檢測(201904起'!$P:$P,"*"&amp;$A19&amp;"*",'來案暨出貨明細表-基因檢測(201904起'!$B:$B,BG$1,'來案暨出貨明細表-基因檢測(201904起'!$R:$R,"中英")</f>
        <v>0</v>
      </c>
      <c r="BH19" s="33">
        <f>COUNTIFS('來案暨出貨明細表-基因檢測(201904起'!$P:$P,"*"&amp;$A19&amp;"*",'來案暨出貨明細表-基因檢測(201904起'!$B:$B,BH$1)*$B19+COUNTIFS('來案暨出貨明細表-基因檢測(201904起'!$P:$P,"*"&amp;$A19&amp;"*",'來案暨出貨明細表-基因檢測(201904起'!$B:$B,BH$1,'來案暨出貨明細表-基因檢測(201904起'!$Q:$Q,"紙本&amp;電子")++COUNTIFS('來案暨出貨明細表-基因檢測(201904起'!$P:$P,"*"&amp;$A19&amp;"*",'來案暨出貨明細表-基因檢測(201904起'!$B:$B,BH$1,'來案暨出貨明細表-基因檢測(201904起'!$R:$R,"中英")</f>
        <v>0</v>
      </c>
      <c r="BI19" s="33">
        <f>COUNTIFS('來案暨出貨明細表-基因檢測(201904起'!$P:$P,"*"&amp;$A19&amp;"*",'來案暨出貨明細表-基因檢測(201904起'!$B:$B,BI$1)*$B19+COUNTIFS('來案暨出貨明細表-基因檢測(201904起'!$P:$P,"*"&amp;$A19&amp;"*",'來案暨出貨明細表-基因檢測(201904起'!$B:$B,BI$1,'來案暨出貨明細表-基因檢測(201904起'!$Q:$Q,"紙本&amp;電子")++COUNTIFS('來案暨出貨明細表-基因檢測(201904起'!$P:$P,"*"&amp;$A19&amp;"*",'來案暨出貨明細表-基因檢測(201904起'!$B:$B,BI$1,'來案暨出貨明細表-基因檢測(201904起'!$R:$R,"中英")</f>
        <v>0</v>
      </c>
      <c r="BJ19" s="33">
        <f>COUNTIFS('來案暨出貨明細表-基因檢測(201904起'!$P:$P,"*"&amp;$A19&amp;"*",'來案暨出貨明細表-基因檢測(201904起'!$B:$B,BJ$1)*$B19+COUNTIFS('來案暨出貨明細表-基因檢測(201904起'!$P:$P,"*"&amp;$A19&amp;"*",'來案暨出貨明細表-基因檢測(201904起'!$B:$B,BJ$1,'來案暨出貨明細表-基因檢測(201904起'!$Q:$Q,"紙本&amp;電子")++COUNTIFS('來案暨出貨明細表-基因檢測(201904起'!$P:$P,"*"&amp;$A19&amp;"*",'來案暨出貨明細表-基因檢測(201904起'!$B:$B,BJ$1,'來案暨出貨明細表-基因檢測(201904起'!$R:$R,"中英")</f>
        <v>0</v>
      </c>
      <c r="BK19" s="33">
        <f>COUNTIFS('來案暨出貨明細表-基因檢測(201904起'!$P:$P,"*"&amp;$A19&amp;"*",'來案暨出貨明細表-基因檢測(201904起'!$B:$B,BK$1)*$B19+COUNTIFS('來案暨出貨明細表-基因檢測(201904起'!$P:$P,"*"&amp;$A19&amp;"*",'來案暨出貨明細表-基因檢測(201904起'!$B:$B,BK$1,'來案暨出貨明細表-基因檢測(201904起'!$Q:$Q,"紙本&amp;電子")++COUNTIFS('來案暨出貨明細表-基因檢測(201904起'!$P:$P,"*"&amp;$A19&amp;"*",'來案暨出貨明細表-基因檢測(201904起'!$B:$B,BK$1,'來案暨出貨明細表-基因檢測(201904起'!$R:$R,"中英")</f>
        <v>0</v>
      </c>
    </row>
    <row r="20" spans="1:63" ht="15" customHeight="1">
      <c r="A20" s="166" t="s">
        <v>4522</v>
      </c>
      <c r="B20" s="167">
        <v>1</v>
      </c>
      <c r="C20" s="168" t="s">
        <v>4523</v>
      </c>
      <c r="D20" s="169" t="s">
        <v>4524</v>
      </c>
      <c r="E20" s="162">
        <v>0</v>
      </c>
      <c r="F20" s="162">
        <v>0</v>
      </c>
      <c r="G20" s="162">
        <v>0</v>
      </c>
      <c r="H20" s="162">
        <v>0</v>
      </c>
      <c r="I20" s="162">
        <v>0</v>
      </c>
      <c r="J20" s="162">
        <v>0</v>
      </c>
      <c r="K20" s="162">
        <v>0</v>
      </c>
      <c r="L20" s="162">
        <v>0</v>
      </c>
      <c r="M20" s="162">
        <v>1</v>
      </c>
      <c r="N20" s="162">
        <v>0</v>
      </c>
      <c r="O20" s="162">
        <v>0</v>
      </c>
      <c r="P20" s="162">
        <v>0</v>
      </c>
      <c r="Q20" s="162">
        <v>0</v>
      </c>
      <c r="R20" s="162">
        <v>0</v>
      </c>
      <c r="S20" s="162">
        <v>0</v>
      </c>
      <c r="T20" s="162">
        <v>0</v>
      </c>
      <c r="U20" s="162">
        <v>0</v>
      </c>
      <c r="V20" s="162">
        <v>0</v>
      </c>
      <c r="W20" s="162">
        <v>0</v>
      </c>
      <c r="X20" s="162">
        <v>0</v>
      </c>
      <c r="Y20" s="162">
        <v>0</v>
      </c>
      <c r="Z20" s="162">
        <v>0</v>
      </c>
      <c r="AA20" s="162">
        <v>0</v>
      </c>
      <c r="AB20" s="162">
        <v>0</v>
      </c>
      <c r="AC20" s="162">
        <v>0</v>
      </c>
      <c r="AD20" s="162">
        <v>0</v>
      </c>
      <c r="AE20" s="162">
        <v>0</v>
      </c>
      <c r="AF20" s="162">
        <v>0</v>
      </c>
      <c r="AG20" s="162">
        <v>0</v>
      </c>
      <c r="AH20" s="162">
        <v>0</v>
      </c>
      <c r="AI20" s="162">
        <v>0</v>
      </c>
      <c r="AJ20" s="170">
        <v>1</v>
      </c>
      <c r="AK20" s="33">
        <f>COUNTIFS('來案暨出貨明細表-基因檢測(201904起'!$P:$P,"*"&amp;$A20&amp;"*",'來案暨出貨明細表-基因檢測(201904起'!$B:$B,AK$1)*$B20+COUNTIFS('來案暨出貨明細表-基因檢測(201904起'!$P:$P,"*"&amp;$A20&amp;"*",'來案暨出貨明細表-基因檢測(201904起'!$B:$B,AK$1,'來案暨出貨明細表-基因檢測(201904起'!$Q:$Q,"紙本&amp;電子")++COUNTIFS('來案暨出貨明細表-基因檢測(201904起'!$P:$P,"*"&amp;$A20&amp;"*",'來案暨出貨明細表-基因檢測(201904起'!$B:$B,AK$1,'來案暨出貨明細表-基因檢測(201904起'!$R:$R,"中英")</f>
        <v>0</v>
      </c>
      <c r="AL20" s="33">
        <f>COUNTIFS('來案暨出貨明細表-基因檢測(201904起'!$P:$P,"*"&amp;$A20&amp;"*",'來案暨出貨明細表-基因檢測(201904起'!$B:$B,AL$1)*$B20+COUNTIFS('來案暨出貨明細表-基因檢測(201904起'!$P:$P,"*"&amp;$A20&amp;"*",'來案暨出貨明細表-基因檢測(201904起'!$B:$B,AL$1,'來案暨出貨明細表-基因檢測(201904起'!$Q:$Q,"紙本&amp;電子")++COUNTIFS('來案暨出貨明細表-基因檢測(201904起'!$P:$P,"*"&amp;$A20&amp;"*",'來案暨出貨明細表-基因檢測(201904起'!$B:$B,AL$1,'來案暨出貨明細表-基因檢測(201904起'!$R:$R,"中英")</f>
        <v>0</v>
      </c>
      <c r="AM20" s="33">
        <f>COUNTIFS('來案暨出貨明細表-基因檢測(201904起'!$P:$P,"*"&amp;$A20&amp;"*",'來案暨出貨明細表-基因檢測(201904起'!$B:$B,AM$1)*$B20+COUNTIFS('來案暨出貨明細表-基因檢測(201904起'!$P:$P,"*"&amp;$A20&amp;"*",'來案暨出貨明細表-基因檢測(201904起'!$B:$B,AM$1,'來案暨出貨明細表-基因檢測(201904起'!$Q:$Q,"紙本&amp;電子")++COUNTIFS('來案暨出貨明細表-基因檢測(201904起'!$P:$P,"*"&amp;$A20&amp;"*",'來案暨出貨明細表-基因檢測(201904起'!$B:$B,AM$1,'來案暨出貨明細表-基因檢測(201904起'!$R:$R,"中英")</f>
        <v>0</v>
      </c>
      <c r="AN20" s="33">
        <f>COUNTIFS('來案暨出貨明細表-基因檢測(201904起'!$P:$P,"*"&amp;$A20&amp;"*",'來案暨出貨明細表-基因檢測(201904起'!$B:$B,AN$1)*$B20+COUNTIFS('來案暨出貨明細表-基因檢測(201904起'!$P:$P,"*"&amp;$A20&amp;"*",'來案暨出貨明細表-基因檢測(201904起'!$B:$B,AN$1,'來案暨出貨明細表-基因檢測(201904起'!$Q:$Q,"紙本&amp;電子")++COUNTIFS('來案暨出貨明細表-基因檢測(201904起'!$P:$P,"*"&amp;$A20&amp;"*",'來案暨出貨明細表-基因檢測(201904起'!$B:$B,AN$1,'來案暨出貨明細表-基因檢測(201904起'!$R:$R,"中英")</f>
        <v>0</v>
      </c>
      <c r="AO20" s="33">
        <f>COUNTIFS('來案暨出貨明細表-基因檢測(201904起'!$P:$P,"*"&amp;$A20&amp;"*",'來案暨出貨明細表-基因檢測(201904起'!$B:$B,AO$1)*$B20+COUNTIFS('來案暨出貨明細表-基因檢測(201904起'!$P:$P,"*"&amp;$A20&amp;"*",'來案暨出貨明細表-基因檢測(201904起'!$B:$B,AO$1,'來案暨出貨明細表-基因檢測(201904起'!$Q:$Q,"紙本&amp;電子")++COUNTIFS('來案暨出貨明細表-基因檢測(201904起'!$P:$P,"*"&amp;$A20&amp;"*",'來案暨出貨明細表-基因檢測(201904起'!$B:$B,AO$1,'來案暨出貨明細表-基因檢測(201904起'!$R:$R,"中英")</f>
        <v>0</v>
      </c>
      <c r="AP20" s="33">
        <f>COUNTIFS('來案暨出貨明細表-基因檢測(201904起'!$P:$P,"*"&amp;$A20&amp;"*",'來案暨出貨明細表-基因檢測(201904起'!$B:$B,AP$1)*$B20+COUNTIFS('來案暨出貨明細表-基因檢測(201904起'!$P:$P,"*"&amp;$A20&amp;"*",'來案暨出貨明細表-基因檢測(201904起'!$B:$B,AP$1,'來案暨出貨明細表-基因檢測(201904起'!$Q:$Q,"紙本&amp;電子")++COUNTIFS('來案暨出貨明細表-基因檢測(201904起'!$P:$P,"*"&amp;$A20&amp;"*",'來案暨出貨明細表-基因檢測(201904起'!$B:$B,AP$1,'來案暨出貨明細表-基因檢測(201904起'!$R:$R,"中英")</f>
        <v>0</v>
      </c>
      <c r="AQ20" s="33">
        <f>COUNTIFS('來案暨出貨明細表-基因檢測(201904起'!$P:$P,"*"&amp;$A20&amp;"*",'來案暨出貨明細表-基因檢測(201904起'!$B:$B,AQ$1)*$B20+COUNTIFS('來案暨出貨明細表-基因檢測(201904起'!$P:$P,"*"&amp;$A20&amp;"*",'來案暨出貨明細表-基因檢測(201904起'!$B:$B,AQ$1,'來案暨出貨明細表-基因檢測(201904起'!$Q:$Q,"紙本&amp;電子")++COUNTIFS('來案暨出貨明細表-基因檢測(201904起'!$P:$P,"*"&amp;$A20&amp;"*",'來案暨出貨明細表-基因檢測(201904起'!$B:$B,AQ$1,'來案暨出貨明細表-基因檢測(201904起'!$R:$R,"中英")</f>
        <v>0</v>
      </c>
      <c r="AR20" s="33">
        <f>COUNTIFS('來案暨出貨明細表-基因檢測(201904起'!$P:$P,"*"&amp;$A20&amp;"*",'來案暨出貨明細表-基因檢測(201904起'!$B:$B,AR$1)*$B20+COUNTIFS('來案暨出貨明細表-基因檢測(201904起'!$P:$P,"*"&amp;$A20&amp;"*",'來案暨出貨明細表-基因檢測(201904起'!$B:$B,AR$1,'來案暨出貨明細表-基因檢測(201904起'!$Q:$Q,"紙本&amp;電子")++COUNTIFS('來案暨出貨明細表-基因檢測(201904起'!$P:$P,"*"&amp;$A20&amp;"*",'來案暨出貨明細表-基因檢測(201904起'!$B:$B,AR$1,'來案暨出貨明細表-基因檢測(201904起'!$R:$R,"中英")</f>
        <v>0</v>
      </c>
      <c r="AS20" s="33">
        <f>COUNTIFS('來案暨出貨明細表-基因檢測(201904起'!$P:$P,"*"&amp;$A20&amp;"*",'來案暨出貨明細表-基因檢測(201904起'!$B:$B,AS$1)*$B20+COUNTIFS('來案暨出貨明細表-基因檢測(201904起'!$P:$P,"*"&amp;$A20&amp;"*",'來案暨出貨明細表-基因檢測(201904起'!$B:$B,AS$1,'來案暨出貨明細表-基因檢測(201904起'!$Q:$Q,"紙本&amp;電子")++COUNTIFS('來案暨出貨明細表-基因檢測(201904起'!$P:$P,"*"&amp;$A20&amp;"*",'來案暨出貨明細表-基因檢測(201904起'!$B:$B,AS$1,'來案暨出貨明細表-基因檢測(201904起'!$R:$R,"中英")</f>
        <v>0</v>
      </c>
      <c r="AT20" s="33">
        <f>COUNTIFS('來案暨出貨明細表-基因檢測(201904起'!$P:$P,"*"&amp;$A20&amp;"*",'來案暨出貨明細表-基因檢測(201904起'!$B:$B,AT$1)*$B20+COUNTIFS('來案暨出貨明細表-基因檢測(201904起'!$P:$P,"*"&amp;$A20&amp;"*",'來案暨出貨明細表-基因檢測(201904起'!$B:$B,AT$1,'來案暨出貨明細表-基因檢測(201904起'!$Q:$Q,"紙本&amp;電子")++COUNTIFS('來案暨出貨明細表-基因檢測(201904起'!$P:$P,"*"&amp;$A20&amp;"*",'來案暨出貨明細表-基因檢測(201904起'!$B:$B,AT$1,'來案暨出貨明細表-基因檢測(201904起'!$R:$R,"中英")</f>
        <v>0</v>
      </c>
      <c r="AU20" s="33">
        <f>COUNTIFS('來案暨出貨明細表-基因檢測(201904起'!$P:$P,"*"&amp;$A20&amp;"*",'來案暨出貨明細表-基因檢測(201904起'!$B:$B,AU$1)*$B20+COUNTIFS('來案暨出貨明細表-基因檢測(201904起'!$P:$P,"*"&amp;$A20&amp;"*",'來案暨出貨明細表-基因檢測(201904起'!$B:$B,AU$1,'來案暨出貨明細表-基因檢測(201904起'!$Q:$Q,"紙本&amp;電子")++COUNTIFS('來案暨出貨明細表-基因檢測(201904起'!$P:$P,"*"&amp;$A20&amp;"*",'來案暨出貨明細表-基因檢測(201904起'!$B:$B,AU$1,'來案暨出貨明細表-基因檢測(201904起'!$R:$R,"中英")</f>
        <v>0</v>
      </c>
      <c r="AV20" s="33">
        <f>COUNTIFS('來案暨出貨明細表-基因檢測(201904起'!$P:$P,"*"&amp;$A20&amp;"*",'來案暨出貨明細表-基因檢測(201904起'!$B:$B,AV$1)*$B20+COUNTIFS('來案暨出貨明細表-基因檢測(201904起'!$P:$P,"*"&amp;$A20&amp;"*",'來案暨出貨明細表-基因檢測(201904起'!$B:$B,AV$1,'來案暨出貨明細表-基因檢測(201904起'!$Q:$Q,"紙本&amp;電子")++COUNTIFS('來案暨出貨明細表-基因檢測(201904起'!$P:$P,"*"&amp;$A20&amp;"*",'來案暨出貨明細表-基因檢測(201904起'!$B:$B,AV$1,'來案暨出貨明細表-基因檢測(201904起'!$R:$R,"中英")</f>
        <v>0</v>
      </c>
      <c r="AW20" s="33">
        <f>COUNTIFS('來案暨出貨明細表-基因檢測(201904起'!$P:$P,"*"&amp;$A20&amp;"*",'來案暨出貨明細表-基因檢測(201904起'!$B:$B,AW$1)*$B20+COUNTIFS('來案暨出貨明細表-基因檢測(201904起'!$P:$P,"*"&amp;$A20&amp;"*",'來案暨出貨明細表-基因檢測(201904起'!$B:$B,AW$1,'來案暨出貨明細表-基因檢測(201904起'!$Q:$Q,"紙本&amp;電子")++COUNTIFS('來案暨出貨明細表-基因檢測(201904起'!$P:$P,"*"&amp;$A20&amp;"*",'來案暨出貨明細表-基因檢測(201904起'!$B:$B,AW$1,'來案暨出貨明細表-基因檢測(201904起'!$R:$R,"中英")</f>
        <v>0</v>
      </c>
      <c r="AX20" s="33">
        <f>COUNTIFS('來案暨出貨明細表-基因檢測(201904起'!$P:$P,"*"&amp;$A20&amp;"*",'來案暨出貨明細表-基因檢測(201904起'!$B:$B,AX$1)*$B20+COUNTIFS('來案暨出貨明細表-基因檢測(201904起'!$P:$P,"*"&amp;$A20&amp;"*",'來案暨出貨明細表-基因檢測(201904起'!$B:$B,AX$1,'來案暨出貨明細表-基因檢測(201904起'!$Q:$Q,"紙本&amp;電子")++COUNTIFS('來案暨出貨明細表-基因檢測(201904起'!$P:$P,"*"&amp;$A20&amp;"*",'來案暨出貨明細表-基因檢測(201904起'!$B:$B,AX$1,'來案暨出貨明細表-基因檢測(201904起'!$R:$R,"中英")</f>
        <v>0</v>
      </c>
      <c r="AY20" s="33">
        <f>COUNTIFS('來案暨出貨明細表-基因檢測(201904起'!$P:$P,"*"&amp;$A20&amp;"*",'來案暨出貨明細表-基因檢測(201904起'!$B:$B,AY$1)*$B20+COUNTIFS('來案暨出貨明細表-基因檢測(201904起'!$P:$P,"*"&amp;$A20&amp;"*",'來案暨出貨明細表-基因檢測(201904起'!$B:$B,AY$1,'來案暨出貨明細表-基因檢測(201904起'!$Q:$Q,"紙本&amp;電子")++COUNTIFS('來案暨出貨明細表-基因檢測(201904起'!$P:$P,"*"&amp;$A20&amp;"*",'來案暨出貨明細表-基因檢測(201904起'!$B:$B,AY$1,'來案暨出貨明細表-基因檢測(201904起'!$R:$R,"中英")</f>
        <v>0</v>
      </c>
      <c r="AZ20" s="33">
        <f>COUNTIFS('來案暨出貨明細表-基因檢測(201904起'!$P:$P,"*"&amp;$A20&amp;"*",'來案暨出貨明細表-基因檢測(201904起'!$B:$B,AZ$1)*$B20+COUNTIFS('來案暨出貨明細表-基因檢測(201904起'!$P:$P,"*"&amp;$A20&amp;"*",'來案暨出貨明細表-基因檢測(201904起'!$B:$B,AZ$1,'來案暨出貨明細表-基因檢測(201904起'!$Q:$Q,"紙本&amp;電子")++COUNTIFS('來案暨出貨明細表-基因檢測(201904起'!$P:$P,"*"&amp;$A20&amp;"*",'來案暨出貨明細表-基因檢測(201904起'!$B:$B,AZ$1,'來案暨出貨明細表-基因檢測(201904起'!$R:$R,"中英")</f>
        <v>0</v>
      </c>
      <c r="BA20" s="33">
        <f>COUNTIFS('來案暨出貨明細表-基因檢測(201904起'!$P:$P,"*"&amp;$A20&amp;"*",'來案暨出貨明細表-基因檢測(201904起'!$B:$B,BA$1)*$B20+COUNTIFS('來案暨出貨明細表-基因檢測(201904起'!$P:$P,"*"&amp;$A20&amp;"*",'來案暨出貨明細表-基因檢測(201904起'!$B:$B,BA$1,'來案暨出貨明細表-基因檢測(201904起'!$Q:$Q,"紙本&amp;電子")++COUNTIFS('來案暨出貨明細表-基因檢測(201904起'!$P:$P,"*"&amp;$A20&amp;"*",'來案暨出貨明細表-基因檢測(201904起'!$B:$B,BA$1,'來案暨出貨明細表-基因檢測(201904起'!$R:$R,"中英")</f>
        <v>0</v>
      </c>
      <c r="BB20" s="33">
        <f>COUNTIFS('來案暨出貨明細表-基因檢測(201904起'!$P:$P,"*"&amp;$A20&amp;"*",'來案暨出貨明細表-基因檢測(201904起'!$B:$B,BB$1)*$B20+COUNTIFS('來案暨出貨明細表-基因檢測(201904起'!$P:$P,"*"&amp;$A20&amp;"*",'來案暨出貨明細表-基因檢測(201904起'!$B:$B,BB$1,'來案暨出貨明細表-基因檢測(201904起'!$Q:$Q,"紙本&amp;電子")++COUNTIFS('來案暨出貨明細表-基因檢測(201904起'!$P:$P,"*"&amp;$A20&amp;"*",'來案暨出貨明細表-基因檢測(201904起'!$B:$B,BB$1,'來案暨出貨明細表-基因檢測(201904起'!$R:$R,"中英")</f>
        <v>0</v>
      </c>
      <c r="BC20" s="33">
        <f>COUNTIFS('來案暨出貨明細表-基因檢測(201904起'!$P:$P,"*"&amp;$A20&amp;"*",'來案暨出貨明細表-基因檢測(201904起'!$B:$B,BC$1)*$B20+COUNTIFS('來案暨出貨明細表-基因檢測(201904起'!$P:$P,"*"&amp;$A20&amp;"*",'來案暨出貨明細表-基因檢測(201904起'!$B:$B,BC$1,'來案暨出貨明細表-基因檢測(201904起'!$Q:$Q,"紙本&amp;電子")++COUNTIFS('來案暨出貨明細表-基因檢測(201904起'!$P:$P,"*"&amp;$A20&amp;"*",'來案暨出貨明細表-基因檢測(201904起'!$B:$B,BC$1,'來案暨出貨明細表-基因檢測(201904起'!$R:$R,"中英")</f>
        <v>0</v>
      </c>
      <c r="BD20" s="33">
        <f>COUNTIFS('來案暨出貨明細表-基因檢測(201904起'!$P:$P,"*"&amp;$A20&amp;"*",'來案暨出貨明細表-基因檢測(201904起'!$B:$B,BD$1)*$B20+COUNTIFS('來案暨出貨明細表-基因檢測(201904起'!$P:$P,"*"&amp;$A20&amp;"*",'來案暨出貨明細表-基因檢測(201904起'!$B:$B,BD$1,'來案暨出貨明細表-基因檢測(201904起'!$Q:$Q,"紙本&amp;電子")++COUNTIFS('來案暨出貨明細表-基因檢測(201904起'!$P:$P,"*"&amp;$A20&amp;"*",'來案暨出貨明細表-基因檢測(201904起'!$B:$B,BD$1,'來案暨出貨明細表-基因檢測(201904起'!$R:$R,"中英")</f>
        <v>0</v>
      </c>
      <c r="BE20" s="33">
        <f>COUNTIFS('來案暨出貨明細表-基因檢測(201904起'!$P:$P,"*"&amp;$A20&amp;"*",'來案暨出貨明細表-基因檢測(201904起'!$B:$B,BE$1)*$B20+COUNTIFS('來案暨出貨明細表-基因檢測(201904起'!$P:$P,"*"&amp;$A20&amp;"*",'來案暨出貨明細表-基因檢測(201904起'!$B:$B,BE$1,'來案暨出貨明細表-基因檢測(201904起'!$Q:$Q,"紙本&amp;電子")++COUNTIFS('來案暨出貨明細表-基因檢測(201904起'!$P:$P,"*"&amp;$A20&amp;"*",'來案暨出貨明細表-基因檢測(201904起'!$B:$B,BE$1,'來案暨出貨明細表-基因檢測(201904起'!$R:$R,"中英")</f>
        <v>0</v>
      </c>
      <c r="BF20" s="33">
        <f>COUNTIFS('來案暨出貨明細表-基因檢測(201904起'!$P:$P,"*"&amp;$A20&amp;"*",'來案暨出貨明細表-基因檢測(201904起'!$B:$B,BF$1)*$B20+COUNTIFS('來案暨出貨明細表-基因檢測(201904起'!$P:$P,"*"&amp;$A20&amp;"*",'來案暨出貨明細表-基因檢測(201904起'!$B:$B,BF$1,'來案暨出貨明細表-基因檢測(201904起'!$Q:$Q,"紙本&amp;電子")++COUNTIFS('來案暨出貨明細表-基因檢測(201904起'!$P:$P,"*"&amp;$A20&amp;"*",'來案暨出貨明細表-基因檢測(201904起'!$B:$B,BF$1,'來案暨出貨明細表-基因檢測(201904起'!$R:$R,"中英")</f>
        <v>0</v>
      </c>
      <c r="BG20" s="33">
        <f>COUNTIFS('來案暨出貨明細表-基因檢測(201904起'!$P:$P,"*"&amp;$A20&amp;"*",'來案暨出貨明細表-基因檢測(201904起'!$B:$B,BG$1)*$B20+COUNTIFS('來案暨出貨明細表-基因檢測(201904起'!$P:$P,"*"&amp;$A20&amp;"*",'來案暨出貨明細表-基因檢測(201904起'!$B:$B,BG$1,'來案暨出貨明細表-基因檢測(201904起'!$Q:$Q,"紙本&amp;電子")++COUNTIFS('來案暨出貨明細表-基因檢測(201904起'!$P:$P,"*"&amp;$A20&amp;"*",'來案暨出貨明細表-基因檢測(201904起'!$B:$B,BG$1,'來案暨出貨明細表-基因檢測(201904起'!$R:$R,"中英")</f>
        <v>0</v>
      </c>
      <c r="BH20" s="33">
        <f>COUNTIFS('來案暨出貨明細表-基因檢測(201904起'!$P:$P,"*"&amp;$A20&amp;"*",'來案暨出貨明細表-基因檢測(201904起'!$B:$B,BH$1)*$B20+COUNTIFS('來案暨出貨明細表-基因檢測(201904起'!$P:$P,"*"&amp;$A20&amp;"*",'來案暨出貨明細表-基因檢測(201904起'!$B:$B,BH$1,'來案暨出貨明細表-基因檢測(201904起'!$Q:$Q,"紙本&amp;電子")++COUNTIFS('來案暨出貨明細表-基因檢測(201904起'!$P:$P,"*"&amp;$A20&amp;"*",'來案暨出貨明細表-基因檢測(201904起'!$B:$B,BH$1,'來案暨出貨明細表-基因檢測(201904起'!$R:$R,"中英")</f>
        <v>0</v>
      </c>
      <c r="BI20" s="33">
        <f>COUNTIFS('來案暨出貨明細表-基因檢測(201904起'!$P:$P,"*"&amp;$A20&amp;"*",'來案暨出貨明細表-基因檢測(201904起'!$B:$B,BI$1)*$B20+COUNTIFS('來案暨出貨明細表-基因檢測(201904起'!$P:$P,"*"&amp;$A20&amp;"*",'來案暨出貨明細表-基因檢測(201904起'!$B:$B,BI$1,'來案暨出貨明細表-基因檢測(201904起'!$Q:$Q,"紙本&amp;電子")++COUNTIFS('來案暨出貨明細表-基因檢測(201904起'!$P:$P,"*"&amp;$A20&amp;"*",'來案暨出貨明細表-基因檢測(201904起'!$B:$B,BI$1,'來案暨出貨明細表-基因檢測(201904起'!$R:$R,"中英")</f>
        <v>0</v>
      </c>
      <c r="BJ20" s="33">
        <f>COUNTIFS('來案暨出貨明細表-基因檢測(201904起'!$P:$P,"*"&amp;$A20&amp;"*",'來案暨出貨明細表-基因檢測(201904起'!$B:$B,BJ$1)*$B20+COUNTIFS('來案暨出貨明細表-基因檢測(201904起'!$P:$P,"*"&amp;$A20&amp;"*",'來案暨出貨明細表-基因檢測(201904起'!$B:$B,BJ$1,'來案暨出貨明細表-基因檢測(201904起'!$Q:$Q,"紙本&amp;電子")++COUNTIFS('來案暨出貨明細表-基因檢測(201904起'!$P:$P,"*"&amp;$A20&amp;"*",'來案暨出貨明細表-基因檢測(201904起'!$B:$B,BJ$1,'來案暨出貨明細表-基因檢測(201904起'!$R:$R,"中英")</f>
        <v>0</v>
      </c>
      <c r="BK20" s="33">
        <f>COUNTIFS('來案暨出貨明細表-基因檢測(201904起'!$P:$P,"*"&amp;$A20&amp;"*",'來案暨出貨明細表-基因檢測(201904起'!$B:$B,BK$1)*$B20+COUNTIFS('來案暨出貨明細表-基因檢測(201904起'!$P:$P,"*"&amp;$A20&amp;"*",'來案暨出貨明細表-基因檢測(201904起'!$B:$B,BK$1,'來案暨出貨明細表-基因檢測(201904起'!$Q:$Q,"紙本&amp;電子")++COUNTIFS('來案暨出貨明細表-基因檢測(201904起'!$P:$P,"*"&amp;$A20&amp;"*",'來案暨出貨明細表-基因檢測(201904起'!$B:$B,BK$1,'來案暨出貨明細表-基因檢測(201904起'!$R:$R,"中英")</f>
        <v>0</v>
      </c>
    </row>
    <row r="21" spans="1:63" ht="15" customHeight="1">
      <c r="A21" s="166" t="s">
        <v>4525</v>
      </c>
      <c r="B21" s="167">
        <v>1</v>
      </c>
      <c r="C21" s="168" t="s">
        <v>4526</v>
      </c>
      <c r="D21" s="169" t="s">
        <v>4527</v>
      </c>
      <c r="E21" s="162">
        <v>2</v>
      </c>
      <c r="F21" s="162">
        <v>0</v>
      </c>
      <c r="G21" s="162">
        <v>0</v>
      </c>
      <c r="H21" s="162">
        <v>1</v>
      </c>
      <c r="I21" s="162">
        <v>0</v>
      </c>
      <c r="J21" s="162">
        <v>0</v>
      </c>
      <c r="K21" s="162">
        <v>0</v>
      </c>
      <c r="L21" s="162">
        <v>0</v>
      </c>
      <c r="M21" s="162">
        <v>1</v>
      </c>
      <c r="N21" s="162">
        <v>0</v>
      </c>
      <c r="O21" s="162">
        <v>0</v>
      </c>
      <c r="P21" s="162">
        <v>0</v>
      </c>
      <c r="Q21" s="162">
        <v>0</v>
      </c>
      <c r="R21" s="162">
        <v>0</v>
      </c>
      <c r="S21" s="162">
        <v>0</v>
      </c>
      <c r="T21" s="162">
        <v>0</v>
      </c>
      <c r="U21" s="162">
        <v>0</v>
      </c>
      <c r="V21" s="162">
        <v>0</v>
      </c>
      <c r="W21" s="162">
        <v>0</v>
      </c>
      <c r="X21" s="162">
        <v>0</v>
      </c>
      <c r="Y21" s="162">
        <v>0</v>
      </c>
      <c r="Z21" s="162">
        <v>0</v>
      </c>
      <c r="AA21" s="162">
        <v>0</v>
      </c>
      <c r="AB21" s="162">
        <v>0</v>
      </c>
      <c r="AC21" s="162">
        <v>0</v>
      </c>
      <c r="AD21" s="162">
        <v>0</v>
      </c>
      <c r="AE21" s="162">
        <v>0</v>
      </c>
      <c r="AF21" s="162">
        <v>0</v>
      </c>
      <c r="AG21" s="162">
        <v>0</v>
      </c>
      <c r="AH21" s="162">
        <v>2</v>
      </c>
      <c r="AI21" s="162">
        <v>0</v>
      </c>
      <c r="AJ21" s="170">
        <v>6</v>
      </c>
      <c r="AK21" s="33">
        <f>COUNTIFS('來案暨出貨明細表-基因檢測(201904起'!$P:$P,$A21&amp;"*",'來案暨出貨明細表-基因檢測(201904起'!$B:$B,AK$1)*$B21+COUNTIFS('來案暨出貨明細表-基因檢測(201904起'!$P:$P,$A21&amp;"*",'來案暨出貨明細表-基因檢測(201904起'!$B:$B,AK$1,'來案暨出貨明細表-基因檢測(201904起'!$Q:$Q,"紙本&amp;電子")++COUNTIFS('來案暨出貨明細表-基因檢測(201904起'!$P:$P,$A21&amp;"*",'來案暨出貨明細表-基因檢測(201904起'!$B:$B,AK$1,'來案暨出貨明細表-基因檢測(201904起'!$R:$R,"中英")</f>
        <v>0</v>
      </c>
      <c r="AL21" s="33">
        <f>COUNTIFS('來案暨出貨明細表-基因檢測(201904起'!$P:$P,$A21&amp;"*",'來案暨出貨明細表-基因檢測(201904起'!$B:$B,AL$1)*$B21+COUNTIFS('來案暨出貨明細表-基因檢測(201904起'!$P:$P,$A21&amp;"*",'來案暨出貨明細表-基因檢測(201904起'!$B:$B,AL$1,'來案暨出貨明細表-基因檢測(201904起'!$Q:$Q,"紙本&amp;電子")++COUNTIFS('來案暨出貨明細表-基因檢測(201904起'!$P:$P,$A21&amp;"*",'來案暨出貨明細表-基因檢測(201904起'!$B:$B,AL$1,'來案暨出貨明細表-基因檢測(201904起'!$R:$R,"中英")</f>
        <v>0</v>
      </c>
      <c r="AM21" s="33">
        <f>COUNTIFS('來案暨出貨明細表-基因檢測(201904起'!$P:$P,$A21&amp;"*",'來案暨出貨明細表-基因檢測(201904起'!$B:$B,AM$1)*$B21+COUNTIFS('來案暨出貨明細表-基因檢測(201904起'!$P:$P,$A21&amp;"*",'來案暨出貨明細表-基因檢測(201904起'!$B:$B,AM$1,'來案暨出貨明細表-基因檢測(201904起'!$Q:$Q,"紙本&amp;電子")++COUNTIFS('來案暨出貨明細表-基因檢測(201904起'!$P:$P,$A21&amp;"*",'來案暨出貨明細表-基因檢測(201904起'!$B:$B,AM$1,'來案暨出貨明細表-基因檢測(201904起'!$R:$R,"中英")</f>
        <v>0</v>
      </c>
      <c r="AN21" s="33">
        <f>COUNTIFS('來案暨出貨明細表-基因檢測(201904起'!$P:$P,$A21&amp;"*",'來案暨出貨明細表-基因檢測(201904起'!$B:$B,AN$1)*$B21+COUNTIFS('來案暨出貨明細表-基因檢測(201904起'!$P:$P,$A21&amp;"*",'來案暨出貨明細表-基因檢測(201904起'!$B:$B,AN$1,'來案暨出貨明細表-基因檢測(201904起'!$Q:$Q,"紙本&amp;電子")++COUNTIFS('來案暨出貨明細表-基因檢測(201904起'!$P:$P,$A21&amp;"*",'來案暨出貨明細表-基因檢測(201904起'!$B:$B,AN$1,'來案暨出貨明細表-基因檢測(201904起'!$R:$R,"中英")</f>
        <v>0</v>
      </c>
      <c r="AO21" s="33">
        <f>COUNTIFS('來案暨出貨明細表-基因檢測(201904起'!$P:$P,$A21&amp;"*",'來案暨出貨明細表-基因檢測(201904起'!$B:$B,AO$1)*$B21+COUNTIFS('來案暨出貨明細表-基因檢測(201904起'!$P:$P,$A21&amp;"*",'來案暨出貨明細表-基因檢測(201904起'!$B:$B,AO$1,'來案暨出貨明細表-基因檢測(201904起'!$Q:$Q,"紙本&amp;電子")++COUNTIFS('來案暨出貨明細表-基因檢測(201904起'!$P:$P,$A21&amp;"*",'來案暨出貨明細表-基因檢測(201904起'!$B:$B,AO$1,'來案暨出貨明細表-基因檢測(201904起'!$R:$R,"中英")</f>
        <v>0</v>
      </c>
      <c r="AP21" s="33">
        <f>COUNTIFS('來案暨出貨明細表-基因檢測(201904起'!$P:$P,$A21&amp;"*",'來案暨出貨明細表-基因檢測(201904起'!$B:$B,AP$1)*$B21+COUNTIFS('來案暨出貨明細表-基因檢測(201904起'!$P:$P,$A21&amp;"*",'來案暨出貨明細表-基因檢測(201904起'!$B:$B,AP$1,'來案暨出貨明細表-基因檢測(201904起'!$Q:$Q,"紙本&amp;電子")++COUNTIFS('來案暨出貨明細表-基因檢測(201904起'!$P:$P,$A21&amp;"*",'來案暨出貨明細表-基因檢測(201904起'!$B:$B,AP$1,'來案暨出貨明細表-基因檢測(201904起'!$R:$R,"中英")</f>
        <v>0</v>
      </c>
      <c r="AQ21" s="33">
        <f>COUNTIFS('來案暨出貨明細表-基因檢測(201904起'!$P:$P,$A21&amp;"*",'來案暨出貨明細表-基因檢測(201904起'!$B:$B,AQ$1)*$B21+COUNTIFS('來案暨出貨明細表-基因檢測(201904起'!$P:$P,$A21&amp;"*",'來案暨出貨明細表-基因檢測(201904起'!$B:$B,AQ$1,'來案暨出貨明細表-基因檢測(201904起'!$Q:$Q,"紙本&amp;電子")++COUNTIFS('來案暨出貨明細表-基因檢測(201904起'!$P:$P,$A21&amp;"*",'來案暨出貨明細表-基因檢測(201904起'!$B:$B,AQ$1,'來案暨出貨明細表-基因檢測(201904起'!$R:$R,"中英")</f>
        <v>0</v>
      </c>
      <c r="AR21" s="33">
        <f>COUNTIFS('來案暨出貨明細表-基因檢測(201904起'!$P:$P,$A21&amp;"*",'來案暨出貨明細表-基因檢測(201904起'!$B:$B,AR$1)*$B21+COUNTIFS('來案暨出貨明細表-基因檢測(201904起'!$P:$P,$A21&amp;"*",'來案暨出貨明細表-基因檢測(201904起'!$B:$B,AR$1,'來案暨出貨明細表-基因檢測(201904起'!$Q:$Q,"紙本&amp;電子")++COUNTIFS('來案暨出貨明細表-基因檢測(201904起'!$P:$P,$A21&amp;"*",'來案暨出貨明細表-基因檢測(201904起'!$B:$B,AR$1,'來案暨出貨明細表-基因檢測(201904起'!$R:$R,"中英")</f>
        <v>0</v>
      </c>
      <c r="AS21" s="33">
        <f>COUNTIFS('來案暨出貨明細表-基因檢測(201904起'!$P:$P,$A21&amp;"*",'來案暨出貨明細表-基因檢測(201904起'!$B:$B,AS$1)*$B21+COUNTIFS('來案暨出貨明細表-基因檢測(201904起'!$P:$P,$A21&amp;"*",'來案暨出貨明細表-基因檢測(201904起'!$B:$B,AS$1,'來案暨出貨明細表-基因檢測(201904起'!$Q:$Q,"紙本&amp;電子")++COUNTIFS('來案暨出貨明細表-基因檢測(201904起'!$P:$P,$A21&amp;"*",'來案暨出貨明細表-基因檢測(201904起'!$B:$B,AS$1,'來案暨出貨明細表-基因檢測(201904起'!$R:$R,"中英")</f>
        <v>0</v>
      </c>
      <c r="AT21" s="33">
        <f>COUNTIFS('來案暨出貨明細表-基因檢測(201904起'!$P:$P,$A21&amp;"*",'來案暨出貨明細表-基因檢測(201904起'!$B:$B,AT$1)*$B21+COUNTIFS('來案暨出貨明細表-基因檢測(201904起'!$P:$P,$A21&amp;"*",'來案暨出貨明細表-基因檢測(201904起'!$B:$B,AT$1,'來案暨出貨明細表-基因檢測(201904起'!$Q:$Q,"紙本&amp;電子")++COUNTIFS('來案暨出貨明細表-基因檢測(201904起'!$P:$P,$A21&amp;"*",'來案暨出貨明細表-基因檢測(201904起'!$B:$B,AT$1,'來案暨出貨明細表-基因檢測(201904起'!$R:$R,"中英")</f>
        <v>0</v>
      </c>
      <c r="AU21" s="33">
        <f>COUNTIFS('來案暨出貨明細表-基因檢測(201904起'!$P:$P,$A21&amp;"*",'來案暨出貨明細表-基因檢測(201904起'!$B:$B,AU$1)*$B21+COUNTIFS('來案暨出貨明細表-基因檢測(201904起'!$P:$P,$A21&amp;"*",'來案暨出貨明細表-基因檢測(201904起'!$B:$B,AU$1,'來案暨出貨明細表-基因檢測(201904起'!$Q:$Q,"紙本&amp;電子")++COUNTIFS('來案暨出貨明細表-基因檢測(201904起'!$P:$P,$A21&amp;"*",'來案暨出貨明細表-基因檢測(201904起'!$B:$B,AU$1,'來案暨出貨明細表-基因檢測(201904起'!$R:$R,"中英")</f>
        <v>0</v>
      </c>
      <c r="AV21" s="33">
        <f>COUNTIFS('來案暨出貨明細表-基因檢測(201904起'!$P:$P,$A21&amp;"*",'來案暨出貨明細表-基因檢測(201904起'!$B:$B,AV$1)*$B21+COUNTIFS('來案暨出貨明細表-基因檢測(201904起'!$P:$P,$A21&amp;"*",'來案暨出貨明細表-基因檢測(201904起'!$B:$B,AV$1,'來案暨出貨明細表-基因檢測(201904起'!$Q:$Q,"紙本&amp;電子")++COUNTIFS('來案暨出貨明細表-基因檢測(201904起'!$P:$P,$A21&amp;"*",'來案暨出貨明細表-基因檢測(201904起'!$B:$B,AV$1,'來案暨出貨明細表-基因檢測(201904起'!$R:$R,"中英")</f>
        <v>1</v>
      </c>
      <c r="AW21" s="33">
        <f>COUNTIFS('來案暨出貨明細表-基因檢測(201904起'!$P:$P,$A21&amp;"*",'來案暨出貨明細表-基因檢測(201904起'!$B:$B,AW$1)*$B21+COUNTIFS('來案暨出貨明細表-基因檢測(201904起'!$P:$P,$A21&amp;"*",'來案暨出貨明細表-基因檢測(201904起'!$B:$B,AW$1,'來案暨出貨明細表-基因檢測(201904起'!$Q:$Q,"紙本&amp;電子")++COUNTIFS('來案暨出貨明細表-基因檢測(201904起'!$P:$P,$A21&amp;"*",'來案暨出貨明細表-基因檢測(201904起'!$B:$B,AW$1,'來案暨出貨明細表-基因檢測(201904起'!$R:$R,"中英")</f>
        <v>0</v>
      </c>
      <c r="AX21" s="33">
        <f>COUNTIFS('來案暨出貨明細表-基因檢測(201904起'!$P:$P,$A21&amp;"*",'來案暨出貨明細表-基因檢測(201904起'!$B:$B,AX$1)*$B21+COUNTIFS('來案暨出貨明細表-基因檢測(201904起'!$P:$P,$A21&amp;"*",'來案暨出貨明細表-基因檢測(201904起'!$B:$B,AX$1,'來案暨出貨明細表-基因檢測(201904起'!$Q:$Q,"紙本&amp;電子")++COUNTIFS('來案暨出貨明細表-基因檢測(201904起'!$P:$P,$A21&amp;"*",'來案暨出貨明細表-基因檢測(201904起'!$B:$B,AX$1,'來案暨出貨明細表-基因檢測(201904起'!$R:$R,"中英")</f>
        <v>0</v>
      </c>
      <c r="AY21" s="33">
        <f>COUNTIFS('來案暨出貨明細表-基因檢測(201904起'!$P:$P,$A21&amp;"*",'來案暨出貨明細表-基因檢測(201904起'!$B:$B,AY$1)*$B21+COUNTIFS('來案暨出貨明細表-基因檢測(201904起'!$P:$P,$A21&amp;"*",'來案暨出貨明細表-基因檢測(201904起'!$B:$B,AY$1,'來案暨出貨明細表-基因檢測(201904起'!$Q:$Q,"紙本&amp;電子")++COUNTIFS('來案暨出貨明細表-基因檢測(201904起'!$P:$P,$A21&amp;"*",'來案暨出貨明細表-基因檢測(201904起'!$B:$B,AY$1,'來案暨出貨明細表-基因檢測(201904起'!$R:$R,"中英")</f>
        <v>0</v>
      </c>
      <c r="AZ21" s="33">
        <f>COUNTIFS('來案暨出貨明細表-基因檢測(201904起'!$P:$P,$A21&amp;"*",'來案暨出貨明細表-基因檢測(201904起'!$B:$B,AZ$1)*$B21+COUNTIFS('來案暨出貨明細表-基因檢測(201904起'!$P:$P,$A21&amp;"*",'來案暨出貨明細表-基因檢測(201904起'!$B:$B,AZ$1,'來案暨出貨明細表-基因檢測(201904起'!$Q:$Q,"紙本&amp;電子")++COUNTIFS('來案暨出貨明細表-基因檢測(201904起'!$P:$P,$A21&amp;"*",'來案暨出貨明細表-基因檢測(201904起'!$B:$B,AZ$1,'來案暨出貨明細表-基因檢測(201904起'!$R:$R,"中英")</f>
        <v>0</v>
      </c>
      <c r="BA21" s="33">
        <f>COUNTIFS('來案暨出貨明細表-基因檢測(201904起'!$P:$P,$A21&amp;"*",'來案暨出貨明細表-基因檢測(201904起'!$B:$B,BA$1)*$B21+COUNTIFS('來案暨出貨明細表-基因檢測(201904起'!$P:$P,$A21&amp;"*",'來案暨出貨明細表-基因檢測(201904起'!$B:$B,BA$1,'來案暨出貨明細表-基因檢測(201904起'!$Q:$Q,"紙本&amp;電子")++COUNTIFS('來案暨出貨明細表-基因檢測(201904起'!$P:$P,$A21&amp;"*",'來案暨出貨明細表-基因檢測(201904起'!$B:$B,BA$1,'來案暨出貨明細表-基因檢測(201904起'!$R:$R,"中英")</f>
        <v>0</v>
      </c>
      <c r="BB21" s="33">
        <f>COUNTIFS('來案暨出貨明細表-基因檢測(201904起'!$P:$P,$A21&amp;"*",'來案暨出貨明細表-基因檢測(201904起'!$B:$B,BB$1)*$B21+COUNTIFS('來案暨出貨明細表-基因檢測(201904起'!$P:$P,$A21&amp;"*",'來案暨出貨明細表-基因檢測(201904起'!$B:$B,BB$1,'來案暨出貨明細表-基因檢測(201904起'!$Q:$Q,"紙本&amp;電子")++COUNTIFS('來案暨出貨明細表-基因檢測(201904起'!$P:$P,$A21&amp;"*",'來案暨出貨明細表-基因檢測(201904起'!$B:$B,BB$1,'來案暨出貨明細表-基因檢測(201904起'!$R:$R,"中英")</f>
        <v>0</v>
      </c>
      <c r="BC21" s="33">
        <f>COUNTIFS('來案暨出貨明細表-基因檢測(201904起'!$P:$P,$A21&amp;"*",'來案暨出貨明細表-基因檢測(201904起'!$B:$B,BC$1)*$B21+COUNTIFS('來案暨出貨明細表-基因檢測(201904起'!$P:$P,$A21&amp;"*",'來案暨出貨明細表-基因檢測(201904起'!$B:$B,BC$1,'來案暨出貨明細表-基因檢測(201904起'!$Q:$Q,"紙本&amp;電子")++COUNTIFS('來案暨出貨明細表-基因檢測(201904起'!$P:$P,$A21&amp;"*",'來案暨出貨明細表-基因檢測(201904起'!$B:$B,BC$1,'來案暨出貨明細表-基因檢測(201904起'!$R:$R,"中英")</f>
        <v>0</v>
      </c>
      <c r="BD21" s="33">
        <f>COUNTIFS('來案暨出貨明細表-基因檢測(201904起'!$P:$P,$A21&amp;"*",'來案暨出貨明細表-基因檢測(201904起'!$B:$B,BD$1)*$B21+COUNTIFS('來案暨出貨明細表-基因檢測(201904起'!$P:$P,$A21&amp;"*",'來案暨出貨明細表-基因檢測(201904起'!$B:$B,BD$1,'來案暨出貨明細表-基因檢測(201904起'!$Q:$Q,"紙本&amp;電子")++COUNTIFS('來案暨出貨明細表-基因檢測(201904起'!$P:$P,$A21&amp;"*",'來案暨出貨明細表-基因檢測(201904起'!$B:$B,BD$1,'來案暨出貨明細表-基因檢測(201904起'!$R:$R,"中英")</f>
        <v>0</v>
      </c>
      <c r="BE21" s="33">
        <f>COUNTIFS('來案暨出貨明細表-基因檢測(201904起'!$P:$P,$A21&amp;"*",'來案暨出貨明細表-基因檢測(201904起'!$B:$B,BE$1)*$B21+COUNTIFS('來案暨出貨明細表-基因檢測(201904起'!$P:$P,$A21&amp;"*",'來案暨出貨明細表-基因檢測(201904起'!$B:$B,BE$1,'來案暨出貨明細表-基因檢測(201904起'!$Q:$Q,"紙本&amp;電子")++COUNTIFS('來案暨出貨明細表-基因檢測(201904起'!$P:$P,$A21&amp;"*",'來案暨出貨明細表-基因檢測(201904起'!$B:$B,BE$1,'來案暨出貨明細表-基因檢測(201904起'!$R:$R,"中英")</f>
        <v>0</v>
      </c>
      <c r="BF21" s="33">
        <f>COUNTIFS('來案暨出貨明細表-基因檢測(201904起'!$P:$P,$A21&amp;"*",'來案暨出貨明細表-基因檢測(201904起'!$B:$B,BF$1)*$B21+COUNTIFS('來案暨出貨明細表-基因檢測(201904起'!$P:$P,$A21&amp;"*",'來案暨出貨明細表-基因檢測(201904起'!$B:$B,BF$1,'來案暨出貨明細表-基因檢測(201904起'!$Q:$Q,"紙本&amp;電子")++COUNTIFS('來案暨出貨明細表-基因檢測(201904起'!$P:$P,$A21&amp;"*",'來案暨出貨明細表-基因檢測(201904起'!$B:$B,BF$1,'來案暨出貨明細表-基因檢測(201904起'!$R:$R,"中英")</f>
        <v>0</v>
      </c>
      <c r="BG21" s="33">
        <f>COUNTIFS('來案暨出貨明細表-基因檢測(201904起'!$P:$P,$A21&amp;"*",'來案暨出貨明細表-基因檢測(201904起'!$B:$B,BG$1)*$B21+COUNTIFS('來案暨出貨明細表-基因檢測(201904起'!$P:$P,$A21&amp;"*",'來案暨出貨明細表-基因檢測(201904起'!$B:$B,BG$1,'來案暨出貨明細表-基因檢測(201904起'!$Q:$Q,"紙本&amp;電子")++COUNTIFS('來案暨出貨明細表-基因檢測(201904起'!$P:$P,$A21&amp;"*",'來案暨出貨明細表-基因檢測(201904起'!$B:$B,BG$1,'來案暨出貨明細表-基因檢測(201904起'!$R:$R,"中英")</f>
        <v>0</v>
      </c>
      <c r="BH21" s="33">
        <f>COUNTIFS('來案暨出貨明細表-基因檢測(201904起'!$P:$P,$A21&amp;"*",'來案暨出貨明細表-基因檢測(201904起'!$B:$B,BH$1)*$B21+COUNTIFS('來案暨出貨明細表-基因檢測(201904起'!$P:$P,$A21&amp;"*",'來案暨出貨明細表-基因檢測(201904起'!$B:$B,BH$1,'來案暨出貨明細表-基因檢測(201904起'!$Q:$Q,"紙本&amp;電子")++COUNTIFS('來案暨出貨明細表-基因檢測(201904起'!$P:$P,$A21&amp;"*",'來案暨出貨明細表-基因檢測(201904起'!$B:$B,BH$1,'來案暨出貨明細表-基因檢測(201904起'!$R:$R,"中英")</f>
        <v>0</v>
      </c>
      <c r="BI21" s="33">
        <f>COUNTIFS('來案暨出貨明細表-基因檢測(201904起'!$P:$P,$A21&amp;"*",'來案暨出貨明細表-基因檢測(201904起'!$B:$B,BI$1)*$B21+COUNTIFS('來案暨出貨明細表-基因檢測(201904起'!$P:$P,$A21&amp;"*",'來案暨出貨明細表-基因檢測(201904起'!$B:$B,BI$1,'來案暨出貨明細表-基因檢測(201904起'!$Q:$Q,"紙本&amp;電子")++COUNTIFS('來案暨出貨明細表-基因檢測(201904起'!$P:$P,$A21&amp;"*",'來案暨出貨明細表-基因檢測(201904起'!$B:$B,BI$1,'來案暨出貨明細表-基因檢測(201904起'!$R:$R,"中英")</f>
        <v>0</v>
      </c>
      <c r="BJ21" s="33">
        <f>COUNTIFS('來案暨出貨明細表-基因檢測(201904起'!$P:$P,$A21&amp;"*",'來案暨出貨明細表-基因檢測(201904起'!$B:$B,BJ$1)*$B21+COUNTIFS('來案暨出貨明細表-基因檢測(201904起'!$P:$P,$A21&amp;"*",'來案暨出貨明細表-基因檢測(201904起'!$B:$B,BJ$1,'來案暨出貨明細表-基因檢測(201904起'!$Q:$Q,"紙本&amp;電子")++COUNTIFS('來案暨出貨明細表-基因檢測(201904起'!$P:$P,$A21&amp;"*",'來案暨出貨明細表-基因檢測(201904起'!$B:$B,BJ$1,'來案暨出貨明細表-基因檢測(201904起'!$R:$R,"中英")</f>
        <v>0</v>
      </c>
      <c r="BK21" s="33">
        <f>COUNTIFS('來案暨出貨明細表-基因檢測(201904起'!$P:$P,$A21&amp;"*",'來案暨出貨明細表-基因檢測(201904起'!$B:$B,BK$1)*$B21+COUNTIFS('來案暨出貨明細表-基因檢測(201904起'!$P:$P,$A21&amp;"*",'來案暨出貨明細表-基因檢測(201904起'!$B:$B,BK$1,'來案暨出貨明細表-基因檢測(201904起'!$Q:$Q,"紙本&amp;電子")++COUNTIFS('來案暨出貨明細表-基因檢測(201904起'!$P:$P,$A21&amp;"*",'來案暨出貨明細表-基因檢測(201904起'!$B:$B,BK$1,'來案暨出貨明細表-基因檢測(201904起'!$R:$R,"中英")</f>
        <v>0</v>
      </c>
    </row>
    <row r="22" spans="1:63" ht="15" customHeight="1">
      <c r="A22" s="166" t="s">
        <v>4528</v>
      </c>
      <c r="B22" s="167">
        <v>1</v>
      </c>
      <c r="C22" s="168" t="s">
        <v>4529</v>
      </c>
      <c r="D22" s="169" t="s">
        <v>4530</v>
      </c>
      <c r="E22" s="162">
        <v>0</v>
      </c>
      <c r="F22" s="162">
        <v>0</v>
      </c>
      <c r="G22" s="162">
        <v>0</v>
      </c>
      <c r="H22" s="162">
        <v>0</v>
      </c>
      <c r="I22" s="162">
        <v>0</v>
      </c>
      <c r="J22" s="162">
        <v>0</v>
      </c>
      <c r="K22" s="162">
        <v>0</v>
      </c>
      <c r="L22" s="162">
        <v>0</v>
      </c>
      <c r="M22" s="162">
        <v>0</v>
      </c>
      <c r="N22" s="162">
        <v>0</v>
      </c>
      <c r="O22" s="162">
        <v>0</v>
      </c>
      <c r="P22" s="162">
        <v>0</v>
      </c>
      <c r="Q22" s="162">
        <v>0</v>
      </c>
      <c r="R22" s="162">
        <v>0</v>
      </c>
      <c r="S22" s="162">
        <v>0</v>
      </c>
      <c r="T22" s="162">
        <v>0</v>
      </c>
      <c r="U22" s="162">
        <v>0</v>
      </c>
      <c r="V22" s="162">
        <v>0</v>
      </c>
      <c r="W22" s="162">
        <v>0</v>
      </c>
      <c r="X22" s="162">
        <v>0</v>
      </c>
      <c r="Y22" s="162">
        <v>0</v>
      </c>
      <c r="Z22" s="162">
        <v>0</v>
      </c>
      <c r="AA22" s="162">
        <v>0</v>
      </c>
      <c r="AB22" s="162">
        <v>0</v>
      </c>
      <c r="AC22" s="162">
        <v>0</v>
      </c>
      <c r="AD22" s="162">
        <v>0</v>
      </c>
      <c r="AE22" s="162">
        <v>0</v>
      </c>
      <c r="AF22" s="162">
        <v>0</v>
      </c>
      <c r="AG22" s="162">
        <v>0</v>
      </c>
      <c r="AH22" s="162">
        <v>0</v>
      </c>
      <c r="AI22" s="162">
        <v>0</v>
      </c>
      <c r="AJ22" s="170">
        <v>0</v>
      </c>
      <c r="AK22" s="33">
        <f>COUNTIFS('來案暨出貨明細表-基因檢測(201904起'!$P:$P,$A22&amp;"*",'來案暨出貨明細表-基因檢測(201904起'!$B:$B,AK$1)*$B22+COUNTIFS('來案暨出貨明細表-基因檢測(201904起'!$P:$P,$A22&amp;"*",'來案暨出貨明細表-基因檢測(201904起'!$B:$B,AK$1,'來案暨出貨明細表-基因檢測(201904起'!$Q:$Q,"紙本&amp;電子")++COUNTIFS('來案暨出貨明細表-基因檢測(201904起'!$P:$P,$A22&amp;"*",'來案暨出貨明細表-基因檢測(201904起'!$B:$B,AK$1,'來案暨出貨明細表-基因檢測(201904起'!$R:$R,"中英")</f>
        <v>0</v>
      </c>
      <c r="AL22" s="33">
        <f>COUNTIFS('來案暨出貨明細表-基因檢測(201904起'!$P:$P,$A22&amp;"*",'來案暨出貨明細表-基因檢測(201904起'!$B:$B,AL$1)*$B22+COUNTIFS('來案暨出貨明細表-基因檢測(201904起'!$P:$P,$A22&amp;"*",'來案暨出貨明細表-基因檢測(201904起'!$B:$B,AL$1,'來案暨出貨明細表-基因檢測(201904起'!$Q:$Q,"紙本&amp;電子")++COUNTIFS('來案暨出貨明細表-基因檢測(201904起'!$P:$P,$A22&amp;"*",'來案暨出貨明細表-基因檢測(201904起'!$B:$B,AL$1,'來案暨出貨明細表-基因檢測(201904起'!$R:$R,"中英")</f>
        <v>0</v>
      </c>
      <c r="AM22" s="33">
        <f>COUNTIFS('來案暨出貨明細表-基因檢測(201904起'!$P:$P,$A22&amp;"*",'來案暨出貨明細表-基因檢測(201904起'!$B:$B,AM$1)*$B22+COUNTIFS('來案暨出貨明細表-基因檢測(201904起'!$P:$P,$A22&amp;"*",'來案暨出貨明細表-基因檢測(201904起'!$B:$B,AM$1,'來案暨出貨明細表-基因檢測(201904起'!$Q:$Q,"紙本&amp;電子")++COUNTIFS('來案暨出貨明細表-基因檢測(201904起'!$P:$P,$A22&amp;"*",'來案暨出貨明細表-基因檢測(201904起'!$B:$B,AM$1,'來案暨出貨明細表-基因檢測(201904起'!$R:$R,"中英")</f>
        <v>0</v>
      </c>
      <c r="AN22" s="33">
        <f>COUNTIFS('來案暨出貨明細表-基因檢測(201904起'!$P:$P,$A22&amp;"*",'來案暨出貨明細表-基因檢測(201904起'!$B:$B,AN$1)*$B22+COUNTIFS('來案暨出貨明細表-基因檢測(201904起'!$P:$P,$A22&amp;"*",'來案暨出貨明細表-基因檢測(201904起'!$B:$B,AN$1,'來案暨出貨明細表-基因檢測(201904起'!$Q:$Q,"紙本&amp;電子")++COUNTIFS('來案暨出貨明細表-基因檢測(201904起'!$P:$P,$A22&amp;"*",'來案暨出貨明細表-基因檢測(201904起'!$B:$B,AN$1,'來案暨出貨明細表-基因檢測(201904起'!$R:$R,"中英")</f>
        <v>0</v>
      </c>
      <c r="AO22" s="33">
        <f>COUNTIFS('來案暨出貨明細表-基因檢測(201904起'!$P:$P,$A22&amp;"*",'來案暨出貨明細表-基因檢測(201904起'!$B:$B,AO$1)*$B22+COUNTIFS('來案暨出貨明細表-基因檢測(201904起'!$P:$P,$A22&amp;"*",'來案暨出貨明細表-基因檢測(201904起'!$B:$B,AO$1,'來案暨出貨明細表-基因檢測(201904起'!$Q:$Q,"紙本&amp;電子")++COUNTIFS('來案暨出貨明細表-基因檢測(201904起'!$P:$P,$A22&amp;"*",'來案暨出貨明細表-基因檢測(201904起'!$B:$B,AO$1,'來案暨出貨明細表-基因檢測(201904起'!$R:$R,"中英")</f>
        <v>0</v>
      </c>
      <c r="AP22" s="33">
        <f>COUNTIFS('來案暨出貨明細表-基因檢測(201904起'!$P:$P,$A22&amp;"*",'來案暨出貨明細表-基因檢測(201904起'!$B:$B,AP$1)*$B22+COUNTIFS('來案暨出貨明細表-基因檢測(201904起'!$P:$P,$A22&amp;"*",'來案暨出貨明細表-基因檢測(201904起'!$B:$B,AP$1,'來案暨出貨明細表-基因檢測(201904起'!$Q:$Q,"紙本&amp;電子")++COUNTIFS('來案暨出貨明細表-基因檢測(201904起'!$P:$P,$A22&amp;"*",'來案暨出貨明細表-基因檢測(201904起'!$B:$B,AP$1,'來案暨出貨明細表-基因檢測(201904起'!$R:$R,"中英")</f>
        <v>0</v>
      </c>
      <c r="AQ22" s="33">
        <f>COUNTIFS('來案暨出貨明細表-基因檢測(201904起'!$P:$P,$A22&amp;"*",'來案暨出貨明細表-基因檢測(201904起'!$B:$B,AQ$1)*$B22+COUNTIFS('來案暨出貨明細表-基因檢測(201904起'!$P:$P,$A22&amp;"*",'來案暨出貨明細表-基因檢測(201904起'!$B:$B,AQ$1,'來案暨出貨明細表-基因檢測(201904起'!$Q:$Q,"紙本&amp;電子")++COUNTIFS('來案暨出貨明細表-基因檢測(201904起'!$P:$P,$A22&amp;"*",'來案暨出貨明細表-基因檢測(201904起'!$B:$B,AQ$1,'來案暨出貨明細表-基因檢測(201904起'!$R:$R,"中英")</f>
        <v>0</v>
      </c>
      <c r="AR22" s="33">
        <f>COUNTIFS('來案暨出貨明細表-基因檢測(201904起'!$P:$P,$A22&amp;"*",'來案暨出貨明細表-基因檢測(201904起'!$B:$B,AR$1)*$B22+COUNTIFS('來案暨出貨明細表-基因檢測(201904起'!$P:$P,$A22&amp;"*",'來案暨出貨明細表-基因檢測(201904起'!$B:$B,AR$1,'來案暨出貨明細表-基因檢測(201904起'!$Q:$Q,"紙本&amp;電子")++COUNTIFS('來案暨出貨明細表-基因檢測(201904起'!$P:$P,$A22&amp;"*",'來案暨出貨明細表-基因檢測(201904起'!$B:$B,AR$1,'來案暨出貨明細表-基因檢測(201904起'!$R:$R,"中英")</f>
        <v>0</v>
      </c>
      <c r="AS22" s="33">
        <f>COUNTIFS('來案暨出貨明細表-基因檢測(201904起'!$P:$P,$A22&amp;"*",'來案暨出貨明細表-基因檢測(201904起'!$B:$B,AS$1)*$B22+COUNTIFS('來案暨出貨明細表-基因檢測(201904起'!$P:$P,$A22&amp;"*",'來案暨出貨明細表-基因檢測(201904起'!$B:$B,AS$1,'來案暨出貨明細表-基因檢測(201904起'!$Q:$Q,"紙本&amp;電子")++COUNTIFS('來案暨出貨明細表-基因檢測(201904起'!$P:$P,$A22&amp;"*",'來案暨出貨明細表-基因檢測(201904起'!$B:$B,AS$1,'來案暨出貨明細表-基因檢測(201904起'!$R:$R,"中英")</f>
        <v>0</v>
      </c>
      <c r="AT22" s="33">
        <f>COUNTIFS('來案暨出貨明細表-基因檢測(201904起'!$P:$P,$A22&amp;"*",'來案暨出貨明細表-基因檢測(201904起'!$B:$B,AT$1)*$B22+COUNTIFS('來案暨出貨明細表-基因檢測(201904起'!$P:$P,$A22&amp;"*",'來案暨出貨明細表-基因檢測(201904起'!$B:$B,AT$1,'來案暨出貨明細表-基因檢測(201904起'!$Q:$Q,"紙本&amp;電子")++COUNTIFS('來案暨出貨明細表-基因檢測(201904起'!$P:$P,$A22&amp;"*",'來案暨出貨明細表-基因檢測(201904起'!$B:$B,AT$1,'來案暨出貨明細表-基因檢測(201904起'!$R:$R,"中英")</f>
        <v>0</v>
      </c>
      <c r="AU22" s="33">
        <f>COUNTIFS('來案暨出貨明細表-基因檢測(201904起'!$P:$P,$A22&amp;"*",'來案暨出貨明細表-基因檢測(201904起'!$B:$B,AU$1)*$B22+COUNTIFS('來案暨出貨明細表-基因檢測(201904起'!$P:$P,$A22&amp;"*",'來案暨出貨明細表-基因檢測(201904起'!$B:$B,AU$1,'來案暨出貨明細表-基因檢測(201904起'!$Q:$Q,"紙本&amp;電子")++COUNTIFS('來案暨出貨明細表-基因檢測(201904起'!$P:$P,$A22&amp;"*",'來案暨出貨明細表-基因檢測(201904起'!$B:$B,AU$1,'來案暨出貨明細表-基因檢測(201904起'!$R:$R,"中英")</f>
        <v>0</v>
      </c>
      <c r="AV22" s="33">
        <f>COUNTIFS('來案暨出貨明細表-基因檢測(201904起'!$P:$P,$A22&amp;"*",'來案暨出貨明細表-基因檢測(201904起'!$B:$B,AV$1)*$B22+COUNTIFS('來案暨出貨明細表-基因檢測(201904起'!$P:$P,$A22&amp;"*",'來案暨出貨明細表-基因檢測(201904起'!$B:$B,AV$1,'來案暨出貨明細表-基因檢測(201904起'!$Q:$Q,"紙本&amp;電子")++COUNTIFS('來案暨出貨明細表-基因檢測(201904起'!$P:$P,$A22&amp;"*",'來案暨出貨明細表-基因檢測(201904起'!$B:$B,AV$1,'來案暨出貨明細表-基因檢測(201904起'!$R:$R,"中英")</f>
        <v>0</v>
      </c>
      <c r="AW22" s="33">
        <f>COUNTIFS('來案暨出貨明細表-基因檢測(201904起'!$P:$P,$A22&amp;"*",'來案暨出貨明細表-基因檢測(201904起'!$B:$B,AW$1)*$B22+COUNTIFS('來案暨出貨明細表-基因檢測(201904起'!$P:$P,$A22&amp;"*",'來案暨出貨明細表-基因檢測(201904起'!$B:$B,AW$1,'來案暨出貨明細表-基因檢測(201904起'!$Q:$Q,"紙本&amp;電子")++COUNTIFS('來案暨出貨明細表-基因檢測(201904起'!$P:$P,$A22&amp;"*",'來案暨出貨明細表-基因檢測(201904起'!$B:$B,AW$1,'來案暨出貨明細表-基因檢測(201904起'!$R:$R,"中英")</f>
        <v>0</v>
      </c>
      <c r="AX22" s="33">
        <f>COUNTIFS('來案暨出貨明細表-基因檢測(201904起'!$P:$P,$A22&amp;"*",'來案暨出貨明細表-基因檢測(201904起'!$B:$B,AX$1)*$B22+COUNTIFS('來案暨出貨明細表-基因檢測(201904起'!$P:$P,$A22&amp;"*",'來案暨出貨明細表-基因檢測(201904起'!$B:$B,AX$1,'來案暨出貨明細表-基因檢測(201904起'!$Q:$Q,"紙本&amp;電子")++COUNTIFS('來案暨出貨明細表-基因檢測(201904起'!$P:$P,$A22&amp;"*",'來案暨出貨明細表-基因檢測(201904起'!$B:$B,AX$1,'來案暨出貨明細表-基因檢測(201904起'!$R:$R,"中英")</f>
        <v>0</v>
      </c>
      <c r="AY22" s="33">
        <f>COUNTIFS('來案暨出貨明細表-基因檢測(201904起'!$P:$P,$A22&amp;"*",'來案暨出貨明細表-基因檢測(201904起'!$B:$B,AY$1)*$B22+COUNTIFS('來案暨出貨明細表-基因檢測(201904起'!$P:$P,$A22&amp;"*",'來案暨出貨明細表-基因檢測(201904起'!$B:$B,AY$1,'來案暨出貨明細表-基因檢測(201904起'!$Q:$Q,"紙本&amp;電子")++COUNTIFS('來案暨出貨明細表-基因檢測(201904起'!$P:$P,$A22&amp;"*",'來案暨出貨明細表-基因檢測(201904起'!$B:$B,AY$1,'來案暨出貨明細表-基因檢測(201904起'!$R:$R,"中英")</f>
        <v>0</v>
      </c>
      <c r="AZ22" s="33">
        <f>COUNTIFS('來案暨出貨明細表-基因檢測(201904起'!$P:$P,$A22&amp;"*",'來案暨出貨明細表-基因檢測(201904起'!$B:$B,AZ$1)*$B22+COUNTIFS('來案暨出貨明細表-基因檢測(201904起'!$P:$P,$A22&amp;"*",'來案暨出貨明細表-基因檢測(201904起'!$B:$B,AZ$1,'來案暨出貨明細表-基因檢測(201904起'!$Q:$Q,"紙本&amp;電子")++COUNTIFS('來案暨出貨明細表-基因檢測(201904起'!$P:$P,$A22&amp;"*",'來案暨出貨明細表-基因檢測(201904起'!$B:$B,AZ$1,'來案暨出貨明細表-基因檢測(201904起'!$R:$R,"中英")</f>
        <v>0</v>
      </c>
      <c r="BA22" s="33">
        <f>COUNTIFS('來案暨出貨明細表-基因檢測(201904起'!$P:$P,$A22&amp;"*",'來案暨出貨明細表-基因檢測(201904起'!$B:$B,BA$1)*$B22+COUNTIFS('來案暨出貨明細表-基因檢測(201904起'!$P:$P,$A22&amp;"*",'來案暨出貨明細表-基因檢測(201904起'!$B:$B,BA$1,'來案暨出貨明細表-基因檢測(201904起'!$Q:$Q,"紙本&amp;電子")++COUNTIFS('來案暨出貨明細表-基因檢測(201904起'!$P:$P,$A22&amp;"*",'來案暨出貨明細表-基因檢測(201904起'!$B:$B,BA$1,'來案暨出貨明細表-基因檢測(201904起'!$R:$R,"中英")</f>
        <v>0</v>
      </c>
      <c r="BB22" s="33">
        <f>COUNTIFS('來案暨出貨明細表-基因檢測(201904起'!$P:$P,$A22&amp;"*",'來案暨出貨明細表-基因檢測(201904起'!$B:$B,BB$1)*$B22+COUNTIFS('來案暨出貨明細表-基因檢測(201904起'!$P:$P,$A22&amp;"*",'來案暨出貨明細表-基因檢測(201904起'!$B:$B,BB$1,'來案暨出貨明細表-基因檢測(201904起'!$Q:$Q,"紙本&amp;電子")++COUNTIFS('來案暨出貨明細表-基因檢測(201904起'!$P:$P,$A22&amp;"*",'來案暨出貨明細表-基因檢測(201904起'!$B:$B,BB$1,'來案暨出貨明細表-基因檢測(201904起'!$R:$R,"中英")</f>
        <v>0</v>
      </c>
      <c r="BC22" s="33">
        <f>COUNTIFS('來案暨出貨明細表-基因檢測(201904起'!$P:$P,$A22&amp;"*",'來案暨出貨明細表-基因檢測(201904起'!$B:$B,BC$1)*$B22+COUNTIFS('來案暨出貨明細表-基因檢測(201904起'!$P:$P,$A22&amp;"*",'來案暨出貨明細表-基因檢測(201904起'!$B:$B,BC$1,'來案暨出貨明細表-基因檢測(201904起'!$Q:$Q,"紙本&amp;電子")++COUNTIFS('來案暨出貨明細表-基因檢測(201904起'!$P:$P,$A22&amp;"*",'來案暨出貨明細表-基因檢測(201904起'!$B:$B,BC$1,'來案暨出貨明細表-基因檢測(201904起'!$R:$R,"中英")</f>
        <v>0</v>
      </c>
      <c r="BD22" s="33">
        <f>COUNTIFS('來案暨出貨明細表-基因檢測(201904起'!$P:$P,$A22&amp;"*",'來案暨出貨明細表-基因檢測(201904起'!$B:$B,BD$1)*$B22+COUNTIFS('來案暨出貨明細表-基因檢測(201904起'!$P:$P,$A22&amp;"*",'來案暨出貨明細表-基因檢測(201904起'!$B:$B,BD$1,'來案暨出貨明細表-基因檢測(201904起'!$Q:$Q,"紙本&amp;電子")++COUNTIFS('來案暨出貨明細表-基因檢測(201904起'!$P:$P,$A22&amp;"*",'來案暨出貨明細表-基因檢測(201904起'!$B:$B,BD$1,'來案暨出貨明細表-基因檢測(201904起'!$R:$R,"中英")</f>
        <v>0</v>
      </c>
      <c r="BE22" s="33">
        <f>COUNTIFS('來案暨出貨明細表-基因檢測(201904起'!$P:$P,$A22&amp;"*",'來案暨出貨明細表-基因檢測(201904起'!$B:$B,BE$1)*$B22+COUNTIFS('來案暨出貨明細表-基因檢測(201904起'!$P:$P,$A22&amp;"*",'來案暨出貨明細表-基因檢測(201904起'!$B:$B,BE$1,'來案暨出貨明細表-基因檢測(201904起'!$Q:$Q,"紙本&amp;電子")++COUNTIFS('來案暨出貨明細表-基因檢測(201904起'!$P:$P,$A22&amp;"*",'來案暨出貨明細表-基因檢測(201904起'!$B:$B,BE$1,'來案暨出貨明細表-基因檢測(201904起'!$R:$R,"中英")</f>
        <v>0</v>
      </c>
      <c r="BF22" s="33">
        <f>COUNTIFS('來案暨出貨明細表-基因檢測(201904起'!$P:$P,$A22&amp;"*",'來案暨出貨明細表-基因檢測(201904起'!$B:$B,BF$1)*$B22+COUNTIFS('來案暨出貨明細表-基因檢測(201904起'!$P:$P,$A22&amp;"*",'來案暨出貨明細表-基因檢測(201904起'!$B:$B,BF$1,'來案暨出貨明細表-基因檢測(201904起'!$Q:$Q,"紙本&amp;電子")++COUNTIFS('來案暨出貨明細表-基因檢測(201904起'!$P:$P,$A22&amp;"*",'來案暨出貨明細表-基因檢測(201904起'!$B:$B,BF$1,'來案暨出貨明細表-基因檢測(201904起'!$R:$R,"中英")</f>
        <v>0</v>
      </c>
      <c r="BG22" s="33">
        <f>COUNTIFS('來案暨出貨明細表-基因檢測(201904起'!$P:$P,$A22&amp;"*",'來案暨出貨明細表-基因檢測(201904起'!$B:$B,BG$1)*$B22+COUNTIFS('來案暨出貨明細表-基因檢測(201904起'!$P:$P,$A22&amp;"*",'來案暨出貨明細表-基因檢測(201904起'!$B:$B,BG$1,'來案暨出貨明細表-基因檢測(201904起'!$Q:$Q,"紙本&amp;電子")++COUNTIFS('來案暨出貨明細表-基因檢測(201904起'!$P:$P,$A22&amp;"*",'來案暨出貨明細表-基因檢測(201904起'!$B:$B,BG$1,'來案暨出貨明細表-基因檢測(201904起'!$R:$R,"中英")</f>
        <v>0</v>
      </c>
      <c r="BH22" s="33">
        <f>COUNTIFS('來案暨出貨明細表-基因檢測(201904起'!$P:$P,$A22&amp;"*",'來案暨出貨明細表-基因檢測(201904起'!$B:$B,BH$1)*$B22+COUNTIFS('來案暨出貨明細表-基因檢測(201904起'!$P:$P,$A22&amp;"*",'來案暨出貨明細表-基因檢測(201904起'!$B:$B,BH$1,'來案暨出貨明細表-基因檢測(201904起'!$Q:$Q,"紙本&amp;電子")++COUNTIFS('來案暨出貨明細表-基因檢測(201904起'!$P:$P,$A22&amp;"*",'來案暨出貨明細表-基因檢測(201904起'!$B:$B,BH$1,'來案暨出貨明細表-基因檢測(201904起'!$R:$R,"中英")</f>
        <v>0</v>
      </c>
      <c r="BI22" s="33">
        <f>COUNTIFS('來案暨出貨明細表-基因檢測(201904起'!$P:$P,$A22&amp;"*",'來案暨出貨明細表-基因檢測(201904起'!$B:$B,BI$1)*$B22+COUNTIFS('來案暨出貨明細表-基因檢測(201904起'!$P:$P,$A22&amp;"*",'來案暨出貨明細表-基因檢測(201904起'!$B:$B,BI$1,'來案暨出貨明細表-基因檢測(201904起'!$Q:$Q,"紙本&amp;電子")++COUNTIFS('來案暨出貨明細表-基因檢測(201904起'!$P:$P,$A22&amp;"*",'來案暨出貨明細表-基因檢測(201904起'!$B:$B,BI$1,'來案暨出貨明細表-基因檢測(201904起'!$R:$R,"中英")</f>
        <v>0</v>
      </c>
      <c r="BJ22" s="33">
        <f>COUNTIFS('來案暨出貨明細表-基因檢測(201904起'!$P:$P,$A22&amp;"*",'來案暨出貨明細表-基因檢測(201904起'!$B:$B,BJ$1)*$B22+COUNTIFS('來案暨出貨明細表-基因檢測(201904起'!$P:$P,$A22&amp;"*",'來案暨出貨明細表-基因檢測(201904起'!$B:$B,BJ$1,'來案暨出貨明細表-基因檢測(201904起'!$Q:$Q,"紙本&amp;電子")++COUNTIFS('來案暨出貨明細表-基因檢測(201904起'!$P:$P,$A22&amp;"*",'來案暨出貨明細表-基因檢測(201904起'!$B:$B,BJ$1,'來案暨出貨明細表-基因檢測(201904起'!$R:$R,"中英")</f>
        <v>0</v>
      </c>
      <c r="BK22" s="33">
        <f>COUNTIFS('來案暨出貨明細表-基因檢測(201904起'!$P:$P,$A22&amp;"*",'來案暨出貨明細表-基因檢測(201904起'!$B:$B,BK$1)*$B22+COUNTIFS('來案暨出貨明細表-基因檢測(201904起'!$P:$P,$A22&amp;"*",'來案暨出貨明細表-基因檢測(201904起'!$B:$B,BK$1,'來案暨出貨明細表-基因檢測(201904起'!$Q:$Q,"紙本&amp;電子")++COUNTIFS('來案暨出貨明細表-基因檢測(201904起'!$P:$P,$A22&amp;"*",'來案暨出貨明細表-基因檢測(201904起'!$B:$B,BK$1,'來案暨出貨明細表-基因檢測(201904起'!$R:$R,"中英")</f>
        <v>0</v>
      </c>
    </row>
    <row r="23" spans="1:63" ht="15" customHeight="1">
      <c r="A23" s="166" t="s">
        <v>4531</v>
      </c>
      <c r="B23" s="167">
        <v>1</v>
      </c>
      <c r="C23" s="168" t="s">
        <v>4532</v>
      </c>
      <c r="D23" s="169" t="s">
        <v>4533</v>
      </c>
      <c r="E23" s="162">
        <v>0</v>
      </c>
      <c r="F23" s="162">
        <v>0</v>
      </c>
      <c r="G23" s="162">
        <v>0</v>
      </c>
      <c r="H23" s="162">
        <v>0</v>
      </c>
      <c r="I23" s="162">
        <v>0</v>
      </c>
      <c r="J23" s="162">
        <v>0</v>
      </c>
      <c r="K23" s="162">
        <v>0</v>
      </c>
      <c r="L23" s="162">
        <v>0</v>
      </c>
      <c r="M23" s="162">
        <v>0</v>
      </c>
      <c r="N23" s="162">
        <v>0</v>
      </c>
      <c r="O23" s="162">
        <v>0</v>
      </c>
      <c r="P23" s="162">
        <v>0</v>
      </c>
      <c r="Q23" s="162">
        <v>0</v>
      </c>
      <c r="R23" s="162">
        <v>0</v>
      </c>
      <c r="S23" s="162">
        <v>0</v>
      </c>
      <c r="T23" s="162">
        <v>0</v>
      </c>
      <c r="U23" s="162">
        <v>0</v>
      </c>
      <c r="V23" s="162">
        <v>0</v>
      </c>
      <c r="W23" s="162">
        <v>0</v>
      </c>
      <c r="X23" s="162">
        <v>0</v>
      </c>
      <c r="Y23" s="162">
        <v>0</v>
      </c>
      <c r="Z23" s="162">
        <v>0</v>
      </c>
      <c r="AA23" s="162">
        <v>0</v>
      </c>
      <c r="AB23" s="162">
        <v>0</v>
      </c>
      <c r="AC23" s="162">
        <v>0</v>
      </c>
      <c r="AD23" s="162">
        <v>0</v>
      </c>
      <c r="AE23" s="162">
        <v>0</v>
      </c>
      <c r="AF23" s="162">
        <v>0</v>
      </c>
      <c r="AG23" s="162">
        <v>0</v>
      </c>
      <c r="AH23" s="162">
        <v>0</v>
      </c>
      <c r="AI23" s="162">
        <v>0</v>
      </c>
      <c r="AJ23" s="170">
        <v>0</v>
      </c>
      <c r="AK23" s="33">
        <f>COUNTIFS('來案暨出貨明細表-基因檢測(201904起'!$P:$P,$A23&amp;"*",'來案暨出貨明細表-基因檢測(201904起'!$B:$B,AK$1)*$B23+COUNTIFS('來案暨出貨明細表-基因檢測(201904起'!$P:$P,$A23&amp;"*",'來案暨出貨明細表-基因檢測(201904起'!$B:$B,AK$1,'來案暨出貨明細表-基因檢測(201904起'!$Q:$Q,"紙本&amp;電子")++COUNTIFS('來案暨出貨明細表-基因檢測(201904起'!$P:$P,$A23&amp;"*",'來案暨出貨明細表-基因檢測(201904起'!$B:$B,AK$1,'來案暨出貨明細表-基因檢測(201904起'!$R:$R,"中英")</f>
        <v>0</v>
      </c>
      <c r="AL23" s="33">
        <f>COUNTIFS('來案暨出貨明細表-基因檢測(201904起'!$P:$P,$A23&amp;"*",'來案暨出貨明細表-基因檢測(201904起'!$B:$B,AL$1)*$B23+COUNTIFS('來案暨出貨明細表-基因檢測(201904起'!$P:$P,$A23&amp;"*",'來案暨出貨明細表-基因檢測(201904起'!$B:$B,AL$1,'來案暨出貨明細表-基因檢測(201904起'!$Q:$Q,"紙本&amp;電子")++COUNTIFS('來案暨出貨明細表-基因檢測(201904起'!$P:$P,$A23&amp;"*",'來案暨出貨明細表-基因檢測(201904起'!$B:$B,AL$1,'來案暨出貨明細表-基因檢測(201904起'!$R:$R,"中英")</f>
        <v>0</v>
      </c>
      <c r="AM23" s="33">
        <f>COUNTIFS('來案暨出貨明細表-基因檢測(201904起'!$P:$P,$A23&amp;"*",'來案暨出貨明細表-基因檢測(201904起'!$B:$B,AM$1)*$B23+COUNTIFS('來案暨出貨明細表-基因檢測(201904起'!$P:$P,$A23&amp;"*",'來案暨出貨明細表-基因檢測(201904起'!$B:$B,AM$1,'來案暨出貨明細表-基因檢測(201904起'!$Q:$Q,"紙本&amp;電子")++COUNTIFS('來案暨出貨明細表-基因檢測(201904起'!$P:$P,$A23&amp;"*",'來案暨出貨明細表-基因檢測(201904起'!$B:$B,AM$1,'來案暨出貨明細表-基因檢測(201904起'!$R:$R,"中英")</f>
        <v>0</v>
      </c>
      <c r="AN23" s="33">
        <f>COUNTIFS('來案暨出貨明細表-基因檢測(201904起'!$P:$P,$A23&amp;"*",'來案暨出貨明細表-基因檢測(201904起'!$B:$B,AN$1)*$B23+COUNTIFS('來案暨出貨明細表-基因檢測(201904起'!$P:$P,$A23&amp;"*",'來案暨出貨明細表-基因檢測(201904起'!$B:$B,AN$1,'來案暨出貨明細表-基因檢測(201904起'!$Q:$Q,"紙本&amp;電子")++COUNTIFS('來案暨出貨明細表-基因檢測(201904起'!$P:$P,$A23&amp;"*",'來案暨出貨明細表-基因檢測(201904起'!$B:$B,AN$1,'來案暨出貨明細表-基因檢測(201904起'!$R:$R,"中英")</f>
        <v>2</v>
      </c>
      <c r="AO23" s="33">
        <f>COUNTIFS('來案暨出貨明細表-基因檢測(201904起'!$P:$P,$A23&amp;"*",'來案暨出貨明細表-基因檢測(201904起'!$B:$B,AO$1)*$B23+COUNTIFS('來案暨出貨明細表-基因檢測(201904起'!$P:$P,$A23&amp;"*",'來案暨出貨明細表-基因檢測(201904起'!$B:$B,AO$1,'來案暨出貨明細表-基因檢測(201904起'!$Q:$Q,"紙本&amp;電子")++COUNTIFS('來案暨出貨明細表-基因檢測(201904起'!$P:$P,$A23&amp;"*",'來案暨出貨明細表-基因檢測(201904起'!$B:$B,AO$1,'來案暨出貨明細表-基因檢測(201904起'!$R:$R,"中英")</f>
        <v>0</v>
      </c>
      <c r="AP23" s="33">
        <f>COUNTIFS('來案暨出貨明細表-基因檢測(201904起'!$P:$P,$A23&amp;"*",'來案暨出貨明細表-基因檢測(201904起'!$B:$B,AP$1)*$B23+COUNTIFS('來案暨出貨明細表-基因檢測(201904起'!$P:$P,$A23&amp;"*",'來案暨出貨明細表-基因檢測(201904起'!$B:$B,AP$1,'來案暨出貨明細表-基因檢測(201904起'!$Q:$Q,"紙本&amp;電子")++COUNTIFS('來案暨出貨明細表-基因檢測(201904起'!$P:$P,$A23&amp;"*",'來案暨出貨明細表-基因檢測(201904起'!$B:$B,AP$1,'來案暨出貨明細表-基因檢測(201904起'!$R:$R,"中英")</f>
        <v>0</v>
      </c>
      <c r="AQ23" s="33">
        <f>COUNTIFS('來案暨出貨明細表-基因檢測(201904起'!$P:$P,$A23&amp;"*",'來案暨出貨明細表-基因檢測(201904起'!$B:$B,AQ$1)*$B23+COUNTIFS('來案暨出貨明細表-基因檢測(201904起'!$P:$P,$A23&amp;"*",'來案暨出貨明細表-基因檢測(201904起'!$B:$B,AQ$1,'來案暨出貨明細表-基因檢測(201904起'!$Q:$Q,"紙本&amp;電子")++COUNTIFS('來案暨出貨明細表-基因檢測(201904起'!$P:$P,$A23&amp;"*",'來案暨出貨明細表-基因檢測(201904起'!$B:$B,AQ$1,'來案暨出貨明細表-基因檢測(201904起'!$R:$R,"中英")</f>
        <v>1</v>
      </c>
      <c r="AR23" s="33">
        <f>COUNTIFS('來案暨出貨明細表-基因檢測(201904起'!$P:$P,$A23&amp;"*",'來案暨出貨明細表-基因檢測(201904起'!$B:$B,AR$1)*$B23+COUNTIFS('來案暨出貨明細表-基因檢測(201904起'!$P:$P,$A23&amp;"*",'來案暨出貨明細表-基因檢測(201904起'!$B:$B,AR$1,'來案暨出貨明細表-基因檢測(201904起'!$Q:$Q,"紙本&amp;電子")++COUNTIFS('來案暨出貨明細表-基因檢測(201904起'!$P:$P,$A23&amp;"*",'來案暨出貨明細表-基因檢測(201904起'!$B:$B,AR$1,'來案暨出貨明細表-基因檢測(201904起'!$R:$R,"中英")</f>
        <v>0</v>
      </c>
      <c r="AS23" s="33">
        <f>COUNTIFS('來案暨出貨明細表-基因檢測(201904起'!$P:$P,$A23&amp;"*",'來案暨出貨明細表-基因檢測(201904起'!$B:$B,AS$1)*$B23+COUNTIFS('來案暨出貨明細表-基因檢測(201904起'!$P:$P,$A23&amp;"*",'來案暨出貨明細表-基因檢測(201904起'!$B:$B,AS$1,'來案暨出貨明細表-基因檢測(201904起'!$Q:$Q,"紙本&amp;電子")++COUNTIFS('來案暨出貨明細表-基因檢測(201904起'!$P:$P,$A23&amp;"*",'來案暨出貨明細表-基因檢測(201904起'!$B:$B,AS$1,'來案暨出貨明細表-基因檢測(201904起'!$R:$R,"中英")</f>
        <v>0</v>
      </c>
      <c r="AT23" s="33">
        <f>COUNTIFS('來案暨出貨明細表-基因檢測(201904起'!$P:$P,$A23&amp;"*",'來案暨出貨明細表-基因檢測(201904起'!$B:$B,AT$1)*$B23+COUNTIFS('來案暨出貨明細表-基因檢測(201904起'!$P:$P,$A23&amp;"*",'來案暨出貨明細表-基因檢測(201904起'!$B:$B,AT$1,'來案暨出貨明細表-基因檢測(201904起'!$Q:$Q,"紙本&amp;電子")++COUNTIFS('來案暨出貨明細表-基因檢測(201904起'!$P:$P,$A23&amp;"*",'來案暨出貨明細表-基因檢測(201904起'!$B:$B,AT$1,'來案暨出貨明細表-基因檢測(201904起'!$R:$R,"中英")</f>
        <v>0</v>
      </c>
      <c r="AU23" s="33">
        <f>COUNTIFS('來案暨出貨明細表-基因檢測(201904起'!$P:$P,$A23&amp;"*",'來案暨出貨明細表-基因檢測(201904起'!$B:$B,AU$1)*$B23+COUNTIFS('來案暨出貨明細表-基因檢測(201904起'!$P:$P,$A23&amp;"*",'來案暨出貨明細表-基因檢測(201904起'!$B:$B,AU$1,'來案暨出貨明細表-基因檢測(201904起'!$Q:$Q,"紙本&amp;電子")++COUNTIFS('來案暨出貨明細表-基因檢測(201904起'!$P:$P,$A23&amp;"*",'來案暨出貨明細表-基因檢測(201904起'!$B:$B,AU$1,'來案暨出貨明細表-基因檢測(201904起'!$R:$R,"中英")</f>
        <v>0</v>
      </c>
      <c r="AV23" s="33">
        <f>COUNTIFS('來案暨出貨明細表-基因檢測(201904起'!$P:$P,$A23&amp;"*",'來案暨出貨明細表-基因檢測(201904起'!$B:$B,AV$1)*$B23+COUNTIFS('來案暨出貨明細表-基因檢測(201904起'!$P:$P,$A23&amp;"*",'來案暨出貨明細表-基因檢測(201904起'!$B:$B,AV$1,'來案暨出貨明細表-基因檢測(201904起'!$Q:$Q,"紙本&amp;電子")++COUNTIFS('來案暨出貨明細表-基因檢測(201904起'!$P:$P,$A23&amp;"*",'來案暨出貨明細表-基因檢測(201904起'!$B:$B,AV$1,'來案暨出貨明細表-基因檢測(201904起'!$R:$R,"中英")</f>
        <v>0</v>
      </c>
      <c r="AW23" s="33">
        <f>COUNTIFS('來案暨出貨明細表-基因檢測(201904起'!$P:$P,$A23&amp;"*",'來案暨出貨明細表-基因檢測(201904起'!$B:$B,AW$1)*$B23+COUNTIFS('來案暨出貨明細表-基因檢測(201904起'!$P:$P,$A23&amp;"*",'來案暨出貨明細表-基因檢測(201904起'!$B:$B,AW$1,'來案暨出貨明細表-基因檢測(201904起'!$Q:$Q,"紙本&amp;電子")++COUNTIFS('來案暨出貨明細表-基因檢測(201904起'!$P:$P,$A23&amp;"*",'來案暨出貨明細表-基因檢測(201904起'!$B:$B,AW$1,'來案暨出貨明細表-基因檢測(201904起'!$R:$R,"中英")</f>
        <v>0</v>
      </c>
      <c r="AX23" s="33">
        <f>COUNTIFS('來案暨出貨明細表-基因檢測(201904起'!$P:$P,$A23&amp;"*",'來案暨出貨明細表-基因檢測(201904起'!$B:$B,AX$1)*$B23+COUNTIFS('來案暨出貨明細表-基因檢測(201904起'!$P:$P,$A23&amp;"*",'來案暨出貨明細表-基因檢測(201904起'!$B:$B,AX$1,'來案暨出貨明細表-基因檢測(201904起'!$Q:$Q,"紙本&amp;電子")++COUNTIFS('來案暨出貨明細表-基因檢測(201904起'!$P:$P,$A23&amp;"*",'來案暨出貨明細表-基因檢測(201904起'!$B:$B,AX$1,'來案暨出貨明細表-基因檢測(201904起'!$R:$R,"中英")</f>
        <v>0</v>
      </c>
      <c r="AY23" s="33">
        <f>COUNTIFS('來案暨出貨明細表-基因檢測(201904起'!$P:$P,$A23&amp;"*",'來案暨出貨明細表-基因檢測(201904起'!$B:$B,AY$1)*$B23+COUNTIFS('來案暨出貨明細表-基因檢測(201904起'!$P:$P,$A23&amp;"*",'來案暨出貨明細表-基因檢測(201904起'!$B:$B,AY$1,'來案暨出貨明細表-基因檢測(201904起'!$Q:$Q,"紙本&amp;電子")++COUNTIFS('來案暨出貨明細表-基因檢測(201904起'!$P:$P,$A23&amp;"*",'來案暨出貨明細表-基因檢測(201904起'!$B:$B,AY$1,'來案暨出貨明細表-基因檢測(201904起'!$R:$R,"中英")</f>
        <v>0</v>
      </c>
      <c r="AZ23" s="33">
        <f>COUNTIFS('來案暨出貨明細表-基因檢測(201904起'!$P:$P,$A23&amp;"*",'來案暨出貨明細表-基因檢測(201904起'!$B:$B,AZ$1)*$B23+COUNTIFS('來案暨出貨明細表-基因檢測(201904起'!$P:$P,$A23&amp;"*",'來案暨出貨明細表-基因檢測(201904起'!$B:$B,AZ$1,'來案暨出貨明細表-基因檢測(201904起'!$Q:$Q,"紙本&amp;電子")++COUNTIFS('來案暨出貨明細表-基因檢測(201904起'!$P:$P,$A23&amp;"*",'來案暨出貨明細表-基因檢測(201904起'!$B:$B,AZ$1,'來案暨出貨明細表-基因檢測(201904起'!$R:$R,"中英")</f>
        <v>0</v>
      </c>
      <c r="BA23" s="33">
        <f>COUNTIFS('來案暨出貨明細表-基因檢測(201904起'!$P:$P,$A23&amp;"*",'來案暨出貨明細表-基因檢測(201904起'!$B:$B,BA$1)*$B23+COUNTIFS('來案暨出貨明細表-基因檢測(201904起'!$P:$P,$A23&amp;"*",'來案暨出貨明細表-基因檢測(201904起'!$B:$B,BA$1,'來案暨出貨明細表-基因檢測(201904起'!$Q:$Q,"紙本&amp;電子")++COUNTIFS('來案暨出貨明細表-基因檢測(201904起'!$P:$P,$A23&amp;"*",'來案暨出貨明細表-基因檢測(201904起'!$B:$B,BA$1,'來案暨出貨明細表-基因檢測(201904起'!$R:$R,"中英")</f>
        <v>0</v>
      </c>
      <c r="BB23" s="33">
        <f>COUNTIFS('來案暨出貨明細表-基因檢測(201904起'!$P:$P,$A23&amp;"*",'來案暨出貨明細表-基因檢測(201904起'!$B:$B,BB$1)*$B23+COUNTIFS('來案暨出貨明細表-基因檢測(201904起'!$P:$P,$A23&amp;"*",'來案暨出貨明細表-基因檢測(201904起'!$B:$B,BB$1,'來案暨出貨明細表-基因檢測(201904起'!$Q:$Q,"紙本&amp;電子")++COUNTIFS('來案暨出貨明細表-基因檢測(201904起'!$P:$P,$A23&amp;"*",'來案暨出貨明細表-基因檢測(201904起'!$B:$B,BB$1,'來案暨出貨明細表-基因檢測(201904起'!$R:$R,"中英")</f>
        <v>0</v>
      </c>
      <c r="BC23" s="33">
        <f>COUNTIFS('來案暨出貨明細表-基因檢測(201904起'!$P:$P,$A23&amp;"*",'來案暨出貨明細表-基因檢測(201904起'!$B:$B,BC$1)*$B23+COUNTIFS('來案暨出貨明細表-基因檢測(201904起'!$P:$P,$A23&amp;"*",'來案暨出貨明細表-基因檢測(201904起'!$B:$B,BC$1,'來案暨出貨明細表-基因檢測(201904起'!$Q:$Q,"紙本&amp;電子")++COUNTIFS('來案暨出貨明細表-基因檢測(201904起'!$P:$P,$A23&amp;"*",'來案暨出貨明細表-基因檢測(201904起'!$B:$B,BC$1,'來案暨出貨明細表-基因檢測(201904起'!$R:$R,"中英")</f>
        <v>0</v>
      </c>
      <c r="BD23" s="33">
        <f>COUNTIFS('來案暨出貨明細表-基因檢測(201904起'!$P:$P,$A23&amp;"*",'來案暨出貨明細表-基因檢測(201904起'!$B:$B,BD$1)*$B23+COUNTIFS('來案暨出貨明細表-基因檢測(201904起'!$P:$P,$A23&amp;"*",'來案暨出貨明細表-基因檢測(201904起'!$B:$B,BD$1,'來案暨出貨明細表-基因檢測(201904起'!$Q:$Q,"紙本&amp;電子")++COUNTIFS('來案暨出貨明細表-基因檢測(201904起'!$P:$P,$A23&amp;"*",'來案暨出貨明細表-基因檢測(201904起'!$B:$B,BD$1,'來案暨出貨明細表-基因檢測(201904起'!$R:$R,"中英")</f>
        <v>0</v>
      </c>
      <c r="BE23" s="33">
        <f>COUNTIFS('來案暨出貨明細表-基因檢測(201904起'!$P:$P,$A23&amp;"*",'來案暨出貨明細表-基因檢測(201904起'!$B:$B,BE$1)*$B23+COUNTIFS('來案暨出貨明細表-基因檢測(201904起'!$P:$P,$A23&amp;"*",'來案暨出貨明細表-基因檢測(201904起'!$B:$B,BE$1,'來案暨出貨明細表-基因檢測(201904起'!$Q:$Q,"紙本&amp;電子")++COUNTIFS('來案暨出貨明細表-基因檢測(201904起'!$P:$P,$A23&amp;"*",'來案暨出貨明細表-基因檢測(201904起'!$B:$B,BE$1,'來案暨出貨明細表-基因檢測(201904起'!$R:$R,"中英")</f>
        <v>0</v>
      </c>
      <c r="BF23" s="33">
        <f>COUNTIFS('來案暨出貨明細表-基因檢測(201904起'!$P:$P,$A23&amp;"*",'來案暨出貨明細表-基因檢測(201904起'!$B:$B,BF$1)*$B23+COUNTIFS('來案暨出貨明細表-基因檢測(201904起'!$P:$P,$A23&amp;"*",'來案暨出貨明細表-基因檢測(201904起'!$B:$B,BF$1,'來案暨出貨明細表-基因檢測(201904起'!$Q:$Q,"紙本&amp;電子")++COUNTIFS('來案暨出貨明細表-基因檢測(201904起'!$P:$P,$A23&amp;"*",'來案暨出貨明細表-基因檢測(201904起'!$B:$B,BF$1,'來案暨出貨明細表-基因檢測(201904起'!$R:$R,"中英")</f>
        <v>0</v>
      </c>
      <c r="BG23" s="33">
        <f>COUNTIFS('來案暨出貨明細表-基因檢測(201904起'!$P:$P,$A23&amp;"*",'來案暨出貨明細表-基因檢測(201904起'!$B:$B,BG$1)*$B23+COUNTIFS('來案暨出貨明細表-基因檢測(201904起'!$P:$P,$A23&amp;"*",'來案暨出貨明細表-基因檢測(201904起'!$B:$B,BG$1,'來案暨出貨明細表-基因檢測(201904起'!$Q:$Q,"紙本&amp;電子")++COUNTIFS('來案暨出貨明細表-基因檢測(201904起'!$P:$P,$A23&amp;"*",'來案暨出貨明細表-基因檢測(201904起'!$B:$B,BG$1,'來案暨出貨明細表-基因檢測(201904起'!$R:$R,"中英")</f>
        <v>0</v>
      </c>
      <c r="BH23" s="33">
        <f>COUNTIFS('來案暨出貨明細表-基因檢測(201904起'!$P:$P,$A23&amp;"*",'來案暨出貨明細表-基因檢測(201904起'!$B:$B,BH$1)*$B23+COUNTIFS('來案暨出貨明細表-基因檢測(201904起'!$P:$P,$A23&amp;"*",'來案暨出貨明細表-基因檢測(201904起'!$B:$B,BH$1,'來案暨出貨明細表-基因檢測(201904起'!$Q:$Q,"紙本&amp;電子")++COUNTIFS('來案暨出貨明細表-基因檢測(201904起'!$P:$P,$A23&amp;"*",'來案暨出貨明細表-基因檢測(201904起'!$B:$B,BH$1,'來案暨出貨明細表-基因檢測(201904起'!$R:$R,"中英")</f>
        <v>0</v>
      </c>
      <c r="BI23" s="33">
        <f>COUNTIFS('來案暨出貨明細表-基因檢測(201904起'!$P:$P,$A23&amp;"*",'來案暨出貨明細表-基因檢測(201904起'!$B:$B,BI$1)*$B23+COUNTIFS('來案暨出貨明細表-基因檢測(201904起'!$P:$P,$A23&amp;"*",'來案暨出貨明細表-基因檢測(201904起'!$B:$B,BI$1,'來案暨出貨明細表-基因檢測(201904起'!$Q:$Q,"紙本&amp;電子")++COUNTIFS('來案暨出貨明細表-基因檢測(201904起'!$P:$P,$A23&amp;"*",'來案暨出貨明細表-基因檢測(201904起'!$B:$B,BI$1,'來案暨出貨明細表-基因檢測(201904起'!$R:$R,"中英")</f>
        <v>0</v>
      </c>
      <c r="BJ23" s="33">
        <f>COUNTIFS('來案暨出貨明細表-基因檢測(201904起'!$P:$P,$A23&amp;"*",'來案暨出貨明細表-基因檢測(201904起'!$B:$B,BJ$1)*$B23+COUNTIFS('來案暨出貨明細表-基因檢測(201904起'!$P:$P,$A23&amp;"*",'來案暨出貨明細表-基因檢測(201904起'!$B:$B,BJ$1,'來案暨出貨明細表-基因檢測(201904起'!$Q:$Q,"紙本&amp;電子")++COUNTIFS('來案暨出貨明細表-基因檢測(201904起'!$P:$P,$A23&amp;"*",'來案暨出貨明細表-基因檢測(201904起'!$B:$B,BJ$1,'來案暨出貨明細表-基因檢測(201904起'!$R:$R,"中英")</f>
        <v>0</v>
      </c>
      <c r="BK23" s="33">
        <f>COUNTIFS('來案暨出貨明細表-基因檢測(201904起'!$P:$P,$A23&amp;"*",'來案暨出貨明細表-基因檢測(201904起'!$B:$B,BK$1)*$B23+COUNTIFS('來案暨出貨明細表-基因檢測(201904起'!$P:$P,$A23&amp;"*",'來案暨出貨明細表-基因檢測(201904起'!$B:$B,BK$1,'來案暨出貨明細表-基因檢測(201904起'!$Q:$Q,"紙本&amp;電子")++COUNTIFS('來案暨出貨明細表-基因檢測(201904起'!$P:$P,$A23&amp;"*",'來案暨出貨明細表-基因檢測(201904起'!$B:$B,BK$1,'來案暨出貨明細表-基因檢測(201904起'!$R:$R,"中英")</f>
        <v>0</v>
      </c>
    </row>
    <row r="24" spans="1:63" ht="15" customHeight="1">
      <c r="A24" s="166" t="s">
        <v>4534</v>
      </c>
      <c r="B24" s="167">
        <v>1</v>
      </c>
      <c r="C24" s="168" t="s">
        <v>4535</v>
      </c>
      <c r="D24" s="169" t="s">
        <v>4536</v>
      </c>
      <c r="E24" s="162">
        <v>0</v>
      </c>
      <c r="F24" s="162">
        <v>0</v>
      </c>
      <c r="G24" s="162">
        <v>0</v>
      </c>
      <c r="H24" s="162">
        <v>0</v>
      </c>
      <c r="I24" s="162">
        <v>0</v>
      </c>
      <c r="J24" s="162">
        <v>0</v>
      </c>
      <c r="K24" s="162">
        <v>0</v>
      </c>
      <c r="L24" s="162">
        <v>0</v>
      </c>
      <c r="M24" s="162">
        <v>0</v>
      </c>
      <c r="N24" s="162">
        <v>0</v>
      </c>
      <c r="O24" s="162">
        <v>0</v>
      </c>
      <c r="P24" s="162">
        <v>0</v>
      </c>
      <c r="Q24" s="162">
        <v>0</v>
      </c>
      <c r="R24" s="162">
        <v>0</v>
      </c>
      <c r="S24" s="162">
        <v>0</v>
      </c>
      <c r="T24" s="162">
        <v>0</v>
      </c>
      <c r="U24" s="162">
        <v>0</v>
      </c>
      <c r="V24" s="162">
        <v>0</v>
      </c>
      <c r="W24" s="162">
        <v>0</v>
      </c>
      <c r="X24" s="162">
        <v>0</v>
      </c>
      <c r="Y24" s="162">
        <v>0</v>
      </c>
      <c r="Z24" s="162">
        <v>0</v>
      </c>
      <c r="AA24" s="162">
        <v>0</v>
      </c>
      <c r="AB24" s="162">
        <v>0</v>
      </c>
      <c r="AC24" s="162">
        <v>0</v>
      </c>
      <c r="AD24" s="162">
        <v>0</v>
      </c>
      <c r="AE24" s="162">
        <v>0</v>
      </c>
      <c r="AF24" s="162">
        <v>0</v>
      </c>
      <c r="AG24" s="162">
        <v>0</v>
      </c>
      <c r="AH24" s="162">
        <v>0</v>
      </c>
      <c r="AI24" s="162">
        <v>0</v>
      </c>
      <c r="AJ24" s="170">
        <v>0</v>
      </c>
      <c r="AK24" s="33">
        <f>COUNTIFS('來案暨出貨明細表-基因檢測(201904起'!$P:$P,$A24&amp;"*",'來案暨出貨明細表-基因檢測(201904起'!$B:$B,AK$1)*$B24+COUNTIFS('來案暨出貨明細表-基因檢測(201904起'!$P:$P,$A24&amp;"*",'來案暨出貨明細表-基因檢測(201904起'!$B:$B,AK$1,'來案暨出貨明細表-基因檢測(201904起'!$Q:$Q,"紙本&amp;電子")++COUNTIFS('來案暨出貨明細表-基因檢測(201904起'!$P:$P,$A24&amp;"*",'來案暨出貨明細表-基因檢測(201904起'!$B:$B,AK$1,'來案暨出貨明細表-基因檢測(201904起'!$R:$R,"中英")</f>
        <v>0</v>
      </c>
      <c r="AL24" s="33">
        <f>COUNTIFS('來案暨出貨明細表-基因檢測(201904起'!$P:$P,$A24&amp;"*",'來案暨出貨明細表-基因檢測(201904起'!$B:$B,AL$1)*$B24+COUNTIFS('來案暨出貨明細表-基因檢測(201904起'!$P:$P,$A24&amp;"*",'來案暨出貨明細表-基因檢測(201904起'!$B:$B,AL$1,'來案暨出貨明細表-基因檢測(201904起'!$Q:$Q,"紙本&amp;電子")++COUNTIFS('來案暨出貨明細表-基因檢測(201904起'!$P:$P,$A24&amp;"*",'來案暨出貨明細表-基因檢測(201904起'!$B:$B,AL$1,'來案暨出貨明細表-基因檢測(201904起'!$R:$R,"中英")</f>
        <v>0</v>
      </c>
      <c r="AM24" s="33">
        <f>COUNTIFS('來案暨出貨明細表-基因檢測(201904起'!$P:$P,$A24&amp;"*",'來案暨出貨明細表-基因檢測(201904起'!$B:$B,AM$1)*$B24+COUNTIFS('來案暨出貨明細表-基因檢測(201904起'!$P:$P,$A24&amp;"*",'來案暨出貨明細表-基因檢測(201904起'!$B:$B,AM$1,'來案暨出貨明細表-基因檢測(201904起'!$Q:$Q,"紙本&amp;電子")++COUNTIFS('來案暨出貨明細表-基因檢測(201904起'!$P:$P,$A24&amp;"*",'來案暨出貨明細表-基因檢測(201904起'!$B:$B,AM$1,'來案暨出貨明細表-基因檢測(201904起'!$R:$R,"中英")</f>
        <v>0</v>
      </c>
      <c r="AN24" s="33">
        <f>COUNTIFS('來案暨出貨明細表-基因檢測(201904起'!$P:$P,$A24&amp;"*",'來案暨出貨明細表-基因檢測(201904起'!$B:$B,AN$1)*$B24+COUNTIFS('來案暨出貨明細表-基因檢測(201904起'!$P:$P,$A24&amp;"*",'來案暨出貨明細表-基因檢測(201904起'!$B:$B,AN$1,'來案暨出貨明細表-基因檢測(201904起'!$Q:$Q,"紙本&amp;電子")++COUNTIFS('來案暨出貨明細表-基因檢測(201904起'!$P:$P,$A24&amp;"*",'來案暨出貨明細表-基因檢測(201904起'!$B:$B,AN$1,'來案暨出貨明細表-基因檢測(201904起'!$R:$R,"中英")</f>
        <v>0</v>
      </c>
      <c r="AO24" s="33">
        <f>COUNTIFS('來案暨出貨明細表-基因檢測(201904起'!$P:$P,$A24&amp;"*",'來案暨出貨明細表-基因檢測(201904起'!$B:$B,AO$1)*$B24+COUNTIFS('來案暨出貨明細表-基因檢測(201904起'!$P:$P,$A24&amp;"*",'來案暨出貨明細表-基因檢測(201904起'!$B:$B,AO$1,'來案暨出貨明細表-基因檢測(201904起'!$Q:$Q,"紙本&amp;電子")++COUNTIFS('來案暨出貨明細表-基因檢測(201904起'!$P:$P,$A24&amp;"*",'來案暨出貨明細表-基因檢測(201904起'!$B:$B,AO$1,'來案暨出貨明細表-基因檢測(201904起'!$R:$R,"中英")</f>
        <v>0</v>
      </c>
      <c r="AP24" s="33">
        <f>COUNTIFS('來案暨出貨明細表-基因檢測(201904起'!$P:$P,$A24&amp;"*",'來案暨出貨明細表-基因檢測(201904起'!$B:$B,AP$1)*$B24+COUNTIFS('來案暨出貨明細表-基因檢測(201904起'!$P:$P,$A24&amp;"*",'來案暨出貨明細表-基因檢測(201904起'!$B:$B,AP$1,'來案暨出貨明細表-基因檢測(201904起'!$Q:$Q,"紙本&amp;電子")++COUNTIFS('來案暨出貨明細表-基因檢測(201904起'!$P:$P,$A24&amp;"*",'來案暨出貨明細表-基因檢測(201904起'!$B:$B,AP$1,'來案暨出貨明細表-基因檢測(201904起'!$R:$R,"中英")</f>
        <v>0</v>
      </c>
      <c r="AQ24" s="33">
        <f>COUNTIFS('來案暨出貨明細表-基因檢測(201904起'!$P:$P,$A24&amp;"*",'來案暨出貨明細表-基因檢測(201904起'!$B:$B,AQ$1)*$B24+COUNTIFS('來案暨出貨明細表-基因檢測(201904起'!$P:$P,$A24&amp;"*",'來案暨出貨明細表-基因檢測(201904起'!$B:$B,AQ$1,'來案暨出貨明細表-基因檢測(201904起'!$Q:$Q,"紙本&amp;電子")++COUNTIFS('來案暨出貨明細表-基因檢測(201904起'!$P:$P,$A24&amp;"*",'來案暨出貨明細表-基因檢測(201904起'!$B:$B,AQ$1,'來案暨出貨明細表-基因檢測(201904起'!$R:$R,"中英")</f>
        <v>0</v>
      </c>
      <c r="AR24" s="33">
        <f>COUNTIFS('來案暨出貨明細表-基因檢測(201904起'!$P:$P,$A24&amp;"*",'來案暨出貨明細表-基因檢測(201904起'!$B:$B,AR$1)*$B24+COUNTIFS('來案暨出貨明細表-基因檢測(201904起'!$P:$P,$A24&amp;"*",'來案暨出貨明細表-基因檢測(201904起'!$B:$B,AR$1,'來案暨出貨明細表-基因檢測(201904起'!$Q:$Q,"紙本&amp;電子")++COUNTIFS('來案暨出貨明細表-基因檢測(201904起'!$P:$P,$A24&amp;"*",'來案暨出貨明細表-基因檢測(201904起'!$B:$B,AR$1,'來案暨出貨明細表-基因檢測(201904起'!$R:$R,"中英")</f>
        <v>0</v>
      </c>
      <c r="AS24" s="33">
        <f>COUNTIFS('來案暨出貨明細表-基因檢測(201904起'!$P:$P,$A24&amp;"*",'來案暨出貨明細表-基因檢測(201904起'!$B:$B,AS$1)*$B24+COUNTIFS('來案暨出貨明細表-基因檢測(201904起'!$P:$P,$A24&amp;"*",'來案暨出貨明細表-基因檢測(201904起'!$B:$B,AS$1,'來案暨出貨明細表-基因檢測(201904起'!$Q:$Q,"紙本&amp;電子")++COUNTIFS('來案暨出貨明細表-基因檢測(201904起'!$P:$P,$A24&amp;"*",'來案暨出貨明細表-基因檢測(201904起'!$B:$B,AS$1,'來案暨出貨明細表-基因檢測(201904起'!$R:$R,"中英")</f>
        <v>0</v>
      </c>
      <c r="AT24" s="33">
        <f>COUNTIFS('來案暨出貨明細表-基因檢測(201904起'!$P:$P,$A24&amp;"*",'來案暨出貨明細表-基因檢測(201904起'!$B:$B,AT$1)*$B24+COUNTIFS('來案暨出貨明細表-基因檢測(201904起'!$P:$P,$A24&amp;"*",'來案暨出貨明細表-基因檢測(201904起'!$B:$B,AT$1,'來案暨出貨明細表-基因檢測(201904起'!$Q:$Q,"紙本&amp;電子")++COUNTIFS('來案暨出貨明細表-基因檢測(201904起'!$P:$P,$A24&amp;"*",'來案暨出貨明細表-基因檢測(201904起'!$B:$B,AT$1,'來案暨出貨明細表-基因檢測(201904起'!$R:$R,"中英")</f>
        <v>0</v>
      </c>
      <c r="AU24" s="33">
        <f>COUNTIFS('來案暨出貨明細表-基因檢測(201904起'!$P:$P,$A24&amp;"*",'來案暨出貨明細表-基因檢測(201904起'!$B:$B,AU$1)*$B24+COUNTIFS('來案暨出貨明細表-基因檢測(201904起'!$P:$P,$A24&amp;"*",'來案暨出貨明細表-基因檢測(201904起'!$B:$B,AU$1,'來案暨出貨明細表-基因檢測(201904起'!$Q:$Q,"紙本&amp;電子")++COUNTIFS('來案暨出貨明細表-基因檢測(201904起'!$P:$P,$A24&amp;"*",'來案暨出貨明細表-基因檢測(201904起'!$B:$B,AU$1,'來案暨出貨明細表-基因檢測(201904起'!$R:$R,"中英")</f>
        <v>0</v>
      </c>
      <c r="AV24" s="33">
        <f>COUNTIFS('來案暨出貨明細表-基因檢測(201904起'!$P:$P,$A24&amp;"*",'來案暨出貨明細表-基因檢測(201904起'!$B:$B,AV$1)*$B24+COUNTIFS('來案暨出貨明細表-基因檢測(201904起'!$P:$P,$A24&amp;"*",'來案暨出貨明細表-基因檢測(201904起'!$B:$B,AV$1,'來案暨出貨明細表-基因檢測(201904起'!$Q:$Q,"紙本&amp;電子")++COUNTIFS('來案暨出貨明細表-基因檢測(201904起'!$P:$P,$A24&amp;"*",'來案暨出貨明細表-基因檢測(201904起'!$B:$B,AV$1,'來案暨出貨明細表-基因檢測(201904起'!$R:$R,"中英")</f>
        <v>0</v>
      </c>
      <c r="AW24" s="33">
        <f>COUNTIFS('來案暨出貨明細表-基因檢測(201904起'!$P:$P,$A24&amp;"*",'來案暨出貨明細表-基因檢測(201904起'!$B:$B,AW$1)*$B24+COUNTIFS('來案暨出貨明細表-基因檢測(201904起'!$P:$P,$A24&amp;"*",'來案暨出貨明細表-基因檢測(201904起'!$B:$B,AW$1,'來案暨出貨明細表-基因檢測(201904起'!$Q:$Q,"紙本&amp;電子")++COUNTIFS('來案暨出貨明細表-基因檢測(201904起'!$P:$P,$A24&amp;"*",'來案暨出貨明細表-基因檢測(201904起'!$B:$B,AW$1,'來案暨出貨明細表-基因檢測(201904起'!$R:$R,"中英")</f>
        <v>0</v>
      </c>
      <c r="AX24" s="33">
        <f>COUNTIFS('來案暨出貨明細表-基因檢測(201904起'!$P:$P,$A24&amp;"*",'來案暨出貨明細表-基因檢測(201904起'!$B:$B,AX$1)*$B24+COUNTIFS('來案暨出貨明細表-基因檢測(201904起'!$P:$P,$A24&amp;"*",'來案暨出貨明細表-基因檢測(201904起'!$B:$B,AX$1,'來案暨出貨明細表-基因檢測(201904起'!$Q:$Q,"紙本&amp;電子")++COUNTIFS('來案暨出貨明細表-基因檢測(201904起'!$P:$P,$A24&amp;"*",'來案暨出貨明細表-基因檢測(201904起'!$B:$B,AX$1,'來案暨出貨明細表-基因檢測(201904起'!$R:$R,"中英")</f>
        <v>0</v>
      </c>
      <c r="AY24" s="33">
        <f>COUNTIFS('來案暨出貨明細表-基因檢測(201904起'!$P:$P,$A24&amp;"*",'來案暨出貨明細表-基因檢測(201904起'!$B:$B,AY$1)*$B24+COUNTIFS('來案暨出貨明細表-基因檢測(201904起'!$P:$P,$A24&amp;"*",'來案暨出貨明細表-基因檢測(201904起'!$B:$B,AY$1,'來案暨出貨明細表-基因檢測(201904起'!$Q:$Q,"紙本&amp;電子")++COUNTIFS('來案暨出貨明細表-基因檢測(201904起'!$P:$P,$A24&amp;"*",'來案暨出貨明細表-基因檢測(201904起'!$B:$B,AY$1,'來案暨出貨明細表-基因檢測(201904起'!$R:$R,"中英")</f>
        <v>0</v>
      </c>
      <c r="AZ24" s="33">
        <f>COUNTIFS('來案暨出貨明細表-基因檢測(201904起'!$P:$P,$A24&amp;"*",'來案暨出貨明細表-基因檢測(201904起'!$B:$B,AZ$1)*$B24+COUNTIFS('來案暨出貨明細表-基因檢測(201904起'!$P:$P,$A24&amp;"*",'來案暨出貨明細表-基因檢測(201904起'!$B:$B,AZ$1,'來案暨出貨明細表-基因檢測(201904起'!$Q:$Q,"紙本&amp;電子")++COUNTIFS('來案暨出貨明細表-基因檢測(201904起'!$P:$P,$A24&amp;"*",'來案暨出貨明細表-基因檢測(201904起'!$B:$B,AZ$1,'來案暨出貨明細表-基因檢測(201904起'!$R:$R,"中英")</f>
        <v>0</v>
      </c>
      <c r="BA24" s="33">
        <f>COUNTIFS('來案暨出貨明細表-基因檢測(201904起'!$P:$P,$A24&amp;"*",'來案暨出貨明細表-基因檢測(201904起'!$B:$B,BA$1)*$B24+COUNTIFS('來案暨出貨明細表-基因檢測(201904起'!$P:$P,$A24&amp;"*",'來案暨出貨明細表-基因檢測(201904起'!$B:$B,BA$1,'來案暨出貨明細表-基因檢測(201904起'!$Q:$Q,"紙本&amp;電子")++COUNTIFS('來案暨出貨明細表-基因檢測(201904起'!$P:$P,$A24&amp;"*",'來案暨出貨明細表-基因檢測(201904起'!$B:$B,BA$1,'來案暨出貨明細表-基因檢測(201904起'!$R:$R,"中英")</f>
        <v>0</v>
      </c>
      <c r="BB24" s="33">
        <f>COUNTIFS('來案暨出貨明細表-基因檢測(201904起'!$P:$P,$A24&amp;"*",'來案暨出貨明細表-基因檢測(201904起'!$B:$B,BB$1)*$B24+COUNTIFS('來案暨出貨明細表-基因檢測(201904起'!$P:$P,$A24&amp;"*",'來案暨出貨明細表-基因檢測(201904起'!$B:$B,BB$1,'來案暨出貨明細表-基因檢測(201904起'!$Q:$Q,"紙本&amp;電子")++COUNTIFS('來案暨出貨明細表-基因檢測(201904起'!$P:$P,$A24&amp;"*",'來案暨出貨明細表-基因檢測(201904起'!$B:$B,BB$1,'來案暨出貨明細表-基因檢測(201904起'!$R:$R,"中英")</f>
        <v>0</v>
      </c>
      <c r="BC24" s="33">
        <f>COUNTIFS('來案暨出貨明細表-基因檢測(201904起'!$P:$P,$A24&amp;"*",'來案暨出貨明細表-基因檢測(201904起'!$B:$B,BC$1)*$B24+COUNTIFS('來案暨出貨明細表-基因檢測(201904起'!$P:$P,$A24&amp;"*",'來案暨出貨明細表-基因檢測(201904起'!$B:$B,BC$1,'來案暨出貨明細表-基因檢測(201904起'!$Q:$Q,"紙本&amp;電子")++COUNTIFS('來案暨出貨明細表-基因檢測(201904起'!$P:$P,$A24&amp;"*",'來案暨出貨明細表-基因檢測(201904起'!$B:$B,BC$1,'來案暨出貨明細表-基因檢測(201904起'!$R:$R,"中英")</f>
        <v>0</v>
      </c>
      <c r="BD24" s="33">
        <f>COUNTIFS('來案暨出貨明細表-基因檢測(201904起'!$P:$P,$A24&amp;"*",'來案暨出貨明細表-基因檢測(201904起'!$B:$B,BD$1)*$B24+COUNTIFS('來案暨出貨明細表-基因檢測(201904起'!$P:$P,$A24&amp;"*",'來案暨出貨明細表-基因檢測(201904起'!$B:$B,BD$1,'來案暨出貨明細表-基因檢測(201904起'!$Q:$Q,"紙本&amp;電子")++COUNTIFS('來案暨出貨明細表-基因檢測(201904起'!$P:$P,$A24&amp;"*",'來案暨出貨明細表-基因檢測(201904起'!$B:$B,BD$1,'來案暨出貨明細表-基因檢測(201904起'!$R:$R,"中英")</f>
        <v>0</v>
      </c>
      <c r="BE24" s="33">
        <f>COUNTIFS('來案暨出貨明細表-基因檢測(201904起'!$P:$P,$A24&amp;"*",'來案暨出貨明細表-基因檢測(201904起'!$B:$B,BE$1)*$B24+COUNTIFS('來案暨出貨明細表-基因檢測(201904起'!$P:$P,$A24&amp;"*",'來案暨出貨明細表-基因檢測(201904起'!$B:$B,BE$1,'來案暨出貨明細表-基因檢測(201904起'!$Q:$Q,"紙本&amp;電子")++COUNTIFS('來案暨出貨明細表-基因檢測(201904起'!$P:$P,$A24&amp;"*",'來案暨出貨明細表-基因檢測(201904起'!$B:$B,BE$1,'來案暨出貨明細表-基因檢測(201904起'!$R:$R,"中英")</f>
        <v>0</v>
      </c>
      <c r="BF24" s="33">
        <f>COUNTIFS('來案暨出貨明細表-基因檢測(201904起'!$P:$P,$A24&amp;"*",'來案暨出貨明細表-基因檢測(201904起'!$B:$B,BF$1)*$B24+COUNTIFS('來案暨出貨明細表-基因檢測(201904起'!$P:$P,$A24&amp;"*",'來案暨出貨明細表-基因檢測(201904起'!$B:$B,BF$1,'來案暨出貨明細表-基因檢測(201904起'!$Q:$Q,"紙本&amp;電子")++COUNTIFS('來案暨出貨明細表-基因檢測(201904起'!$P:$P,$A24&amp;"*",'來案暨出貨明細表-基因檢測(201904起'!$B:$B,BF$1,'來案暨出貨明細表-基因檢測(201904起'!$R:$R,"中英")</f>
        <v>0</v>
      </c>
      <c r="BG24" s="33">
        <f>COUNTIFS('來案暨出貨明細表-基因檢測(201904起'!$P:$P,$A24&amp;"*",'來案暨出貨明細表-基因檢測(201904起'!$B:$B,BG$1)*$B24+COUNTIFS('來案暨出貨明細表-基因檢測(201904起'!$P:$P,$A24&amp;"*",'來案暨出貨明細表-基因檢測(201904起'!$B:$B,BG$1,'來案暨出貨明細表-基因檢測(201904起'!$Q:$Q,"紙本&amp;電子")++COUNTIFS('來案暨出貨明細表-基因檢測(201904起'!$P:$P,$A24&amp;"*",'來案暨出貨明細表-基因檢測(201904起'!$B:$B,BG$1,'來案暨出貨明細表-基因檢測(201904起'!$R:$R,"中英")</f>
        <v>0</v>
      </c>
      <c r="BH24" s="33">
        <f>COUNTIFS('來案暨出貨明細表-基因檢測(201904起'!$P:$P,$A24&amp;"*",'來案暨出貨明細表-基因檢測(201904起'!$B:$B,BH$1)*$B24+COUNTIFS('來案暨出貨明細表-基因檢測(201904起'!$P:$P,$A24&amp;"*",'來案暨出貨明細表-基因檢測(201904起'!$B:$B,BH$1,'來案暨出貨明細表-基因檢測(201904起'!$Q:$Q,"紙本&amp;電子")++COUNTIFS('來案暨出貨明細表-基因檢測(201904起'!$P:$P,$A24&amp;"*",'來案暨出貨明細表-基因檢測(201904起'!$B:$B,BH$1,'來案暨出貨明細表-基因檢測(201904起'!$R:$R,"中英")</f>
        <v>0</v>
      </c>
      <c r="BI24" s="33">
        <f>COUNTIFS('來案暨出貨明細表-基因檢測(201904起'!$P:$P,$A24&amp;"*",'來案暨出貨明細表-基因檢測(201904起'!$B:$B,BI$1)*$B24+COUNTIFS('來案暨出貨明細表-基因檢測(201904起'!$P:$P,$A24&amp;"*",'來案暨出貨明細表-基因檢測(201904起'!$B:$B,BI$1,'來案暨出貨明細表-基因檢測(201904起'!$Q:$Q,"紙本&amp;電子")++COUNTIFS('來案暨出貨明細表-基因檢測(201904起'!$P:$P,$A24&amp;"*",'來案暨出貨明細表-基因檢測(201904起'!$B:$B,BI$1,'來案暨出貨明細表-基因檢測(201904起'!$R:$R,"中英")</f>
        <v>0</v>
      </c>
      <c r="BJ24" s="33">
        <f>COUNTIFS('來案暨出貨明細表-基因檢測(201904起'!$P:$P,$A24&amp;"*",'來案暨出貨明細表-基因檢測(201904起'!$B:$B,BJ$1)*$B24+COUNTIFS('來案暨出貨明細表-基因檢測(201904起'!$P:$P,$A24&amp;"*",'來案暨出貨明細表-基因檢測(201904起'!$B:$B,BJ$1,'來案暨出貨明細表-基因檢測(201904起'!$Q:$Q,"紙本&amp;電子")++COUNTIFS('來案暨出貨明細表-基因檢測(201904起'!$P:$P,$A24&amp;"*",'來案暨出貨明細表-基因檢測(201904起'!$B:$B,BJ$1,'來案暨出貨明細表-基因檢測(201904起'!$R:$R,"中英")</f>
        <v>0</v>
      </c>
      <c r="BK24" s="33">
        <f>COUNTIFS('來案暨出貨明細表-基因檢測(201904起'!$P:$P,$A24&amp;"*",'來案暨出貨明細表-基因檢測(201904起'!$B:$B,BK$1)*$B24+COUNTIFS('來案暨出貨明細表-基因檢測(201904起'!$P:$P,$A24&amp;"*",'來案暨出貨明細表-基因檢測(201904起'!$B:$B,BK$1,'來案暨出貨明細表-基因檢測(201904起'!$Q:$Q,"紙本&amp;電子")++COUNTIFS('來案暨出貨明細表-基因檢測(201904起'!$P:$P,$A24&amp;"*",'來案暨出貨明細表-基因檢測(201904起'!$B:$B,BK$1,'來案暨出貨明細表-基因檢測(201904起'!$R:$R,"中英")</f>
        <v>0</v>
      </c>
    </row>
    <row r="25" spans="1:63" ht="15" customHeight="1">
      <c r="A25" s="166" t="s">
        <v>4537</v>
      </c>
      <c r="B25" s="167">
        <v>1</v>
      </c>
      <c r="C25" s="168" t="s">
        <v>4538</v>
      </c>
      <c r="D25" s="169" t="s">
        <v>4539</v>
      </c>
      <c r="E25" s="162">
        <v>0</v>
      </c>
      <c r="F25" s="162">
        <v>0</v>
      </c>
      <c r="G25" s="162">
        <v>0</v>
      </c>
      <c r="H25" s="162">
        <v>0</v>
      </c>
      <c r="I25" s="162">
        <v>0</v>
      </c>
      <c r="J25" s="162">
        <v>0</v>
      </c>
      <c r="K25" s="162">
        <v>0</v>
      </c>
      <c r="L25" s="162">
        <v>0</v>
      </c>
      <c r="M25" s="162">
        <v>0</v>
      </c>
      <c r="N25" s="162">
        <v>0</v>
      </c>
      <c r="O25" s="162">
        <v>0</v>
      </c>
      <c r="P25" s="162">
        <v>0</v>
      </c>
      <c r="Q25" s="162">
        <v>0</v>
      </c>
      <c r="R25" s="162">
        <v>0</v>
      </c>
      <c r="S25" s="162">
        <v>0</v>
      </c>
      <c r="T25" s="162">
        <v>0</v>
      </c>
      <c r="U25" s="162">
        <v>0</v>
      </c>
      <c r="V25" s="162">
        <v>0</v>
      </c>
      <c r="W25" s="162">
        <v>0</v>
      </c>
      <c r="X25" s="162">
        <v>0</v>
      </c>
      <c r="Y25" s="162">
        <v>0</v>
      </c>
      <c r="Z25" s="162">
        <v>0</v>
      </c>
      <c r="AA25" s="162">
        <v>0</v>
      </c>
      <c r="AB25" s="162">
        <v>0</v>
      </c>
      <c r="AC25" s="162">
        <v>0</v>
      </c>
      <c r="AD25" s="162">
        <v>0</v>
      </c>
      <c r="AE25" s="162">
        <v>0</v>
      </c>
      <c r="AF25" s="162">
        <v>0</v>
      </c>
      <c r="AG25" s="162">
        <v>0</v>
      </c>
      <c r="AH25" s="162">
        <v>0</v>
      </c>
      <c r="AI25" s="162">
        <v>0</v>
      </c>
      <c r="AJ25" s="170">
        <v>0</v>
      </c>
      <c r="AK25" s="33">
        <f>COUNTIFS('來案暨出貨明細表-基因檢測(201904起'!$P:$P,$A25&amp;"*",'來案暨出貨明細表-基因檢測(201904起'!$B:$B,AK$1)*$B25+COUNTIFS('來案暨出貨明細表-基因檢測(201904起'!$P:$P,$A25&amp;"*",'來案暨出貨明細表-基因檢測(201904起'!$B:$B,AK$1,'來案暨出貨明細表-基因檢測(201904起'!$Q:$Q,"紙本&amp;電子")++COUNTIFS('來案暨出貨明細表-基因檢測(201904起'!$P:$P,$A25&amp;"*",'來案暨出貨明細表-基因檢測(201904起'!$B:$B,AK$1,'來案暨出貨明細表-基因檢測(201904起'!$R:$R,"中英")</f>
        <v>0</v>
      </c>
      <c r="AL25" s="33">
        <f>COUNTIFS('來案暨出貨明細表-基因檢測(201904起'!$P:$P,$A25&amp;"*",'來案暨出貨明細表-基因檢測(201904起'!$B:$B,AL$1)*$B25+COUNTIFS('來案暨出貨明細表-基因檢測(201904起'!$P:$P,$A25&amp;"*",'來案暨出貨明細表-基因檢測(201904起'!$B:$B,AL$1,'來案暨出貨明細表-基因檢測(201904起'!$Q:$Q,"紙本&amp;電子")++COUNTIFS('來案暨出貨明細表-基因檢測(201904起'!$P:$P,$A25&amp;"*",'來案暨出貨明細表-基因檢測(201904起'!$B:$B,AL$1,'來案暨出貨明細表-基因檢測(201904起'!$R:$R,"中英")</f>
        <v>0</v>
      </c>
      <c r="AM25" s="33">
        <f>COUNTIFS('來案暨出貨明細表-基因檢測(201904起'!$P:$P,$A25&amp;"*",'來案暨出貨明細表-基因檢測(201904起'!$B:$B,AM$1)*$B25+COUNTIFS('來案暨出貨明細表-基因檢測(201904起'!$P:$P,$A25&amp;"*",'來案暨出貨明細表-基因檢測(201904起'!$B:$B,AM$1,'來案暨出貨明細表-基因檢測(201904起'!$Q:$Q,"紙本&amp;電子")++COUNTIFS('來案暨出貨明細表-基因檢測(201904起'!$P:$P,$A25&amp;"*",'來案暨出貨明細表-基因檢測(201904起'!$B:$B,AM$1,'來案暨出貨明細表-基因檢測(201904起'!$R:$R,"中英")</f>
        <v>0</v>
      </c>
      <c r="AN25" s="33">
        <f>COUNTIFS('來案暨出貨明細表-基因檢測(201904起'!$P:$P,$A25&amp;"*",'來案暨出貨明細表-基因檢測(201904起'!$B:$B,AN$1)*$B25+COUNTIFS('來案暨出貨明細表-基因檢測(201904起'!$P:$P,$A25&amp;"*",'來案暨出貨明細表-基因檢測(201904起'!$B:$B,AN$1,'來案暨出貨明細表-基因檢測(201904起'!$Q:$Q,"紙本&amp;電子")++COUNTIFS('來案暨出貨明細表-基因檢測(201904起'!$P:$P,$A25&amp;"*",'來案暨出貨明細表-基因檢測(201904起'!$B:$B,AN$1,'來案暨出貨明細表-基因檢測(201904起'!$R:$R,"中英")</f>
        <v>0</v>
      </c>
      <c r="AO25" s="33">
        <f>COUNTIFS('來案暨出貨明細表-基因檢測(201904起'!$P:$P,$A25&amp;"*",'來案暨出貨明細表-基因檢測(201904起'!$B:$B,AO$1)*$B25+COUNTIFS('來案暨出貨明細表-基因檢測(201904起'!$P:$P,$A25&amp;"*",'來案暨出貨明細表-基因檢測(201904起'!$B:$B,AO$1,'來案暨出貨明細表-基因檢測(201904起'!$Q:$Q,"紙本&amp;電子")++COUNTIFS('來案暨出貨明細表-基因檢測(201904起'!$P:$P,$A25&amp;"*",'來案暨出貨明細表-基因檢測(201904起'!$B:$B,AO$1,'來案暨出貨明細表-基因檢測(201904起'!$R:$R,"中英")</f>
        <v>0</v>
      </c>
      <c r="AP25" s="33">
        <f>COUNTIFS('來案暨出貨明細表-基因檢測(201904起'!$P:$P,$A25&amp;"*",'來案暨出貨明細表-基因檢測(201904起'!$B:$B,AP$1)*$B25+COUNTIFS('來案暨出貨明細表-基因檢測(201904起'!$P:$P,$A25&amp;"*",'來案暨出貨明細表-基因檢測(201904起'!$B:$B,AP$1,'來案暨出貨明細表-基因檢測(201904起'!$Q:$Q,"紙本&amp;電子")++COUNTIFS('來案暨出貨明細表-基因檢測(201904起'!$P:$P,$A25&amp;"*",'來案暨出貨明細表-基因檢測(201904起'!$B:$B,AP$1,'來案暨出貨明細表-基因檢測(201904起'!$R:$R,"中英")</f>
        <v>0</v>
      </c>
      <c r="AQ25" s="33">
        <f>COUNTIFS('來案暨出貨明細表-基因檢測(201904起'!$P:$P,$A25&amp;"*",'來案暨出貨明細表-基因檢測(201904起'!$B:$B,AQ$1)*$B25+COUNTIFS('來案暨出貨明細表-基因檢測(201904起'!$P:$P,$A25&amp;"*",'來案暨出貨明細表-基因檢測(201904起'!$B:$B,AQ$1,'來案暨出貨明細表-基因檢測(201904起'!$Q:$Q,"紙本&amp;電子")++COUNTIFS('來案暨出貨明細表-基因檢測(201904起'!$P:$P,$A25&amp;"*",'來案暨出貨明細表-基因檢測(201904起'!$B:$B,AQ$1,'來案暨出貨明細表-基因檢測(201904起'!$R:$R,"中英")</f>
        <v>0</v>
      </c>
      <c r="AR25" s="33">
        <f>COUNTIFS('來案暨出貨明細表-基因檢測(201904起'!$P:$P,$A25&amp;"*",'來案暨出貨明細表-基因檢測(201904起'!$B:$B,AR$1)*$B25+COUNTIFS('來案暨出貨明細表-基因檢測(201904起'!$P:$P,$A25&amp;"*",'來案暨出貨明細表-基因檢測(201904起'!$B:$B,AR$1,'來案暨出貨明細表-基因檢測(201904起'!$Q:$Q,"紙本&amp;電子")++COUNTIFS('來案暨出貨明細表-基因檢測(201904起'!$P:$P,$A25&amp;"*",'來案暨出貨明細表-基因檢測(201904起'!$B:$B,AR$1,'來案暨出貨明細表-基因檢測(201904起'!$R:$R,"中英")</f>
        <v>0</v>
      </c>
      <c r="AS25" s="33">
        <f>COUNTIFS('來案暨出貨明細表-基因檢測(201904起'!$P:$P,$A25&amp;"*",'來案暨出貨明細表-基因檢測(201904起'!$B:$B,AS$1)*$B25+COUNTIFS('來案暨出貨明細表-基因檢測(201904起'!$P:$P,$A25&amp;"*",'來案暨出貨明細表-基因檢測(201904起'!$B:$B,AS$1,'來案暨出貨明細表-基因檢測(201904起'!$Q:$Q,"紙本&amp;電子")++COUNTIFS('來案暨出貨明細表-基因檢測(201904起'!$P:$P,$A25&amp;"*",'來案暨出貨明細表-基因檢測(201904起'!$B:$B,AS$1,'來案暨出貨明細表-基因檢測(201904起'!$R:$R,"中英")</f>
        <v>0</v>
      </c>
      <c r="AT25" s="33">
        <f>COUNTIFS('來案暨出貨明細表-基因檢測(201904起'!$P:$P,$A25&amp;"*",'來案暨出貨明細表-基因檢測(201904起'!$B:$B,AT$1)*$B25+COUNTIFS('來案暨出貨明細表-基因檢測(201904起'!$P:$P,$A25&amp;"*",'來案暨出貨明細表-基因檢測(201904起'!$B:$B,AT$1,'來案暨出貨明細表-基因檢測(201904起'!$Q:$Q,"紙本&amp;電子")++COUNTIFS('來案暨出貨明細表-基因檢測(201904起'!$P:$P,$A25&amp;"*",'來案暨出貨明細表-基因檢測(201904起'!$B:$B,AT$1,'來案暨出貨明細表-基因檢測(201904起'!$R:$R,"中英")</f>
        <v>0</v>
      </c>
      <c r="AU25" s="33">
        <f>COUNTIFS('來案暨出貨明細表-基因檢測(201904起'!$P:$P,$A25&amp;"*",'來案暨出貨明細表-基因檢測(201904起'!$B:$B,AU$1)*$B25+COUNTIFS('來案暨出貨明細表-基因檢測(201904起'!$P:$P,$A25&amp;"*",'來案暨出貨明細表-基因檢測(201904起'!$B:$B,AU$1,'來案暨出貨明細表-基因檢測(201904起'!$Q:$Q,"紙本&amp;電子")++COUNTIFS('來案暨出貨明細表-基因檢測(201904起'!$P:$P,$A25&amp;"*",'來案暨出貨明細表-基因檢測(201904起'!$B:$B,AU$1,'來案暨出貨明細表-基因檢測(201904起'!$R:$R,"中英")</f>
        <v>0</v>
      </c>
      <c r="AV25" s="33">
        <f>COUNTIFS('來案暨出貨明細表-基因檢測(201904起'!$P:$P,$A25&amp;"*",'來案暨出貨明細表-基因檢測(201904起'!$B:$B,AV$1)*$B25+COUNTIFS('來案暨出貨明細表-基因檢測(201904起'!$P:$P,$A25&amp;"*",'來案暨出貨明細表-基因檢測(201904起'!$B:$B,AV$1,'來案暨出貨明細表-基因檢測(201904起'!$Q:$Q,"紙本&amp;電子")++COUNTIFS('來案暨出貨明細表-基因檢測(201904起'!$P:$P,$A25&amp;"*",'來案暨出貨明細表-基因檢測(201904起'!$B:$B,AV$1,'來案暨出貨明細表-基因檢測(201904起'!$R:$R,"中英")</f>
        <v>0</v>
      </c>
      <c r="AW25" s="33">
        <f>COUNTIFS('來案暨出貨明細表-基因檢測(201904起'!$P:$P,$A25&amp;"*",'來案暨出貨明細表-基因檢測(201904起'!$B:$B,AW$1)*$B25+COUNTIFS('來案暨出貨明細表-基因檢測(201904起'!$P:$P,$A25&amp;"*",'來案暨出貨明細表-基因檢測(201904起'!$B:$B,AW$1,'來案暨出貨明細表-基因檢測(201904起'!$Q:$Q,"紙本&amp;電子")++COUNTIFS('來案暨出貨明細表-基因檢測(201904起'!$P:$P,$A25&amp;"*",'來案暨出貨明細表-基因檢測(201904起'!$B:$B,AW$1,'來案暨出貨明細表-基因檢測(201904起'!$R:$R,"中英")</f>
        <v>0</v>
      </c>
      <c r="AX25" s="33">
        <f>COUNTIFS('來案暨出貨明細表-基因檢測(201904起'!$P:$P,$A25&amp;"*",'來案暨出貨明細表-基因檢測(201904起'!$B:$B,AX$1)*$B25+COUNTIFS('來案暨出貨明細表-基因檢測(201904起'!$P:$P,$A25&amp;"*",'來案暨出貨明細表-基因檢測(201904起'!$B:$B,AX$1,'來案暨出貨明細表-基因檢測(201904起'!$Q:$Q,"紙本&amp;電子")++COUNTIFS('來案暨出貨明細表-基因檢測(201904起'!$P:$P,$A25&amp;"*",'來案暨出貨明細表-基因檢測(201904起'!$B:$B,AX$1,'來案暨出貨明細表-基因檢測(201904起'!$R:$R,"中英")</f>
        <v>0</v>
      </c>
      <c r="AY25" s="33">
        <f>COUNTIFS('來案暨出貨明細表-基因檢測(201904起'!$P:$P,$A25&amp;"*",'來案暨出貨明細表-基因檢測(201904起'!$B:$B,AY$1)*$B25+COUNTIFS('來案暨出貨明細表-基因檢測(201904起'!$P:$P,$A25&amp;"*",'來案暨出貨明細表-基因檢測(201904起'!$B:$B,AY$1,'來案暨出貨明細表-基因檢測(201904起'!$Q:$Q,"紙本&amp;電子")++COUNTIFS('來案暨出貨明細表-基因檢測(201904起'!$P:$P,$A25&amp;"*",'來案暨出貨明細表-基因檢測(201904起'!$B:$B,AY$1,'來案暨出貨明細表-基因檢測(201904起'!$R:$R,"中英")</f>
        <v>0</v>
      </c>
      <c r="AZ25" s="33">
        <f>COUNTIFS('來案暨出貨明細表-基因檢測(201904起'!$P:$P,$A25&amp;"*",'來案暨出貨明細表-基因檢測(201904起'!$B:$B,AZ$1)*$B25+COUNTIFS('來案暨出貨明細表-基因檢測(201904起'!$P:$P,$A25&amp;"*",'來案暨出貨明細表-基因檢測(201904起'!$B:$B,AZ$1,'來案暨出貨明細表-基因檢測(201904起'!$Q:$Q,"紙本&amp;電子")++COUNTIFS('來案暨出貨明細表-基因檢測(201904起'!$P:$P,$A25&amp;"*",'來案暨出貨明細表-基因檢測(201904起'!$B:$B,AZ$1,'來案暨出貨明細表-基因檢測(201904起'!$R:$R,"中英")</f>
        <v>0</v>
      </c>
      <c r="BA25" s="33">
        <f>COUNTIFS('來案暨出貨明細表-基因檢測(201904起'!$P:$P,$A25&amp;"*",'來案暨出貨明細表-基因檢測(201904起'!$B:$B,BA$1)*$B25+COUNTIFS('來案暨出貨明細表-基因檢測(201904起'!$P:$P,$A25&amp;"*",'來案暨出貨明細表-基因檢測(201904起'!$B:$B,BA$1,'來案暨出貨明細表-基因檢測(201904起'!$Q:$Q,"紙本&amp;電子")++COUNTIFS('來案暨出貨明細表-基因檢測(201904起'!$P:$P,$A25&amp;"*",'來案暨出貨明細表-基因檢測(201904起'!$B:$B,BA$1,'來案暨出貨明細表-基因檢測(201904起'!$R:$R,"中英")</f>
        <v>0</v>
      </c>
      <c r="BB25" s="33">
        <f>COUNTIFS('來案暨出貨明細表-基因檢測(201904起'!$P:$P,$A25&amp;"*",'來案暨出貨明細表-基因檢測(201904起'!$B:$B,BB$1)*$B25+COUNTIFS('來案暨出貨明細表-基因檢測(201904起'!$P:$P,$A25&amp;"*",'來案暨出貨明細表-基因檢測(201904起'!$B:$B,BB$1,'來案暨出貨明細表-基因檢測(201904起'!$Q:$Q,"紙本&amp;電子")++COUNTIFS('來案暨出貨明細表-基因檢測(201904起'!$P:$P,$A25&amp;"*",'來案暨出貨明細表-基因檢測(201904起'!$B:$B,BB$1,'來案暨出貨明細表-基因檢測(201904起'!$R:$R,"中英")</f>
        <v>0</v>
      </c>
      <c r="BC25" s="33">
        <f>COUNTIFS('來案暨出貨明細表-基因檢測(201904起'!$P:$P,$A25&amp;"*",'來案暨出貨明細表-基因檢測(201904起'!$B:$B,BC$1)*$B25+COUNTIFS('來案暨出貨明細表-基因檢測(201904起'!$P:$P,$A25&amp;"*",'來案暨出貨明細表-基因檢測(201904起'!$B:$B,BC$1,'來案暨出貨明細表-基因檢測(201904起'!$Q:$Q,"紙本&amp;電子")++COUNTIFS('來案暨出貨明細表-基因檢測(201904起'!$P:$P,$A25&amp;"*",'來案暨出貨明細表-基因檢測(201904起'!$B:$B,BC$1,'來案暨出貨明細表-基因檢測(201904起'!$R:$R,"中英")</f>
        <v>0</v>
      </c>
      <c r="BD25" s="33">
        <f>COUNTIFS('來案暨出貨明細表-基因檢測(201904起'!$P:$P,$A25&amp;"*",'來案暨出貨明細表-基因檢測(201904起'!$B:$B,BD$1)*$B25+COUNTIFS('來案暨出貨明細表-基因檢測(201904起'!$P:$P,$A25&amp;"*",'來案暨出貨明細表-基因檢測(201904起'!$B:$B,BD$1,'來案暨出貨明細表-基因檢測(201904起'!$Q:$Q,"紙本&amp;電子")++COUNTIFS('來案暨出貨明細表-基因檢測(201904起'!$P:$P,$A25&amp;"*",'來案暨出貨明細表-基因檢測(201904起'!$B:$B,BD$1,'來案暨出貨明細表-基因檢測(201904起'!$R:$R,"中英")</f>
        <v>0</v>
      </c>
      <c r="BE25" s="33">
        <f>COUNTIFS('來案暨出貨明細表-基因檢測(201904起'!$P:$P,$A25&amp;"*",'來案暨出貨明細表-基因檢測(201904起'!$B:$B,BE$1)*$B25+COUNTIFS('來案暨出貨明細表-基因檢測(201904起'!$P:$P,$A25&amp;"*",'來案暨出貨明細表-基因檢測(201904起'!$B:$B,BE$1,'來案暨出貨明細表-基因檢測(201904起'!$Q:$Q,"紙本&amp;電子")++COUNTIFS('來案暨出貨明細表-基因檢測(201904起'!$P:$P,$A25&amp;"*",'來案暨出貨明細表-基因檢測(201904起'!$B:$B,BE$1,'來案暨出貨明細表-基因檢測(201904起'!$R:$R,"中英")</f>
        <v>0</v>
      </c>
      <c r="BF25" s="33">
        <f>COUNTIFS('來案暨出貨明細表-基因檢測(201904起'!$P:$P,$A25&amp;"*",'來案暨出貨明細表-基因檢測(201904起'!$B:$B,BF$1)*$B25+COUNTIFS('來案暨出貨明細表-基因檢測(201904起'!$P:$P,$A25&amp;"*",'來案暨出貨明細表-基因檢測(201904起'!$B:$B,BF$1,'來案暨出貨明細表-基因檢測(201904起'!$Q:$Q,"紙本&amp;電子")++COUNTIFS('來案暨出貨明細表-基因檢測(201904起'!$P:$P,$A25&amp;"*",'來案暨出貨明細表-基因檢測(201904起'!$B:$B,BF$1,'來案暨出貨明細表-基因檢測(201904起'!$R:$R,"中英")</f>
        <v>0</v>
      </c>
      <c r="BG25" s="33">
        <f>COUNTIFS('來案暨出貨明細表-基因檢測(201904起'!$P:$P,$A25&amp;"*",'來案暨出貨明細表-基因檢測(201904起'!$B:$B,BG$1)*$B25+COUNTIFS('來案暨出貨明細表-基因檢測(201904起'!$P:$P,$A25&amp;"*",'來案暨出貨明細表-基因檢測(201904起'!$B:$B,BG$1,'來案暨出貨明細表-基因檢測(201904起'!$Q:$Q,"紙本&amp;電子")++COUNTIFS('來案暨出貨明細表-基因檢測(201904起'!$P:$P,$A25&amp;"*",'來案暨出貨明細表-基因檢測(201904起'!$B:$B,BG$1,'來案暨出貨明細表-基因檢測(201904起'!$R:$R,"中英")</f>
        <v>0</v>
      </c>
      <c r="BH25" s="33">
        <f>COUNTIFS('來案暨出貨明細表-基因檢測(201904起'!$P:$P,$A25&amp;"*",'來案暨出貨明細表-基因檢測(201904起'!$B:$B,BH$1)*$B25+COUNTIFS('來案暨出貨明細表-基因檢測(201904起'!$P:$P,$A25&amp;"*",'來案暨出貨明細表-基因檢測(201904起'!$B:$B,BH$1,'來案暨出貨明細表-基因檢測(201904起'!$Q:$Q,"紙本&amp;電子")++COUNTIFS('來案暨出貨明細表-基因檢測(201904起'!$P:$P,$A25&amp;"*",'來案暨出貨明細表-基因檢測(201904起'!$B:$B,BH$1,'來案暨出貨明細表-基因檢測(201904起'!$R:$R,"中英")</f>
        <v>0</v>
      </c>
      <c r="BI25" s="33">
        <f>COUNTIFS('來案暨出貨明細表-基因檢測(201904起'!$P:$P,$A25&amp;"*",'來案暨出貨明細表-基因檢測(201904起'!$B:$B,BI$1)*$B25+COUNTIFS('來案暨出貨明細表-基因檢測(201904起'!$P:$P,$A25&amp;"*",'來案暨出貨明細表-基因檢測(201904起'!$B:$B,BI$1,'來案暨出貨明細表-基因檢測(201904起'!$Q:$Q,"紙本&amp;電子")++COUNTIFS('來案暨出貨明細表-基因檢測(201904起'!$P:$P,$A25&amp;"*",'來案暨出貨明細表-基因檢測(201904起'!$B:$B,BI$1,'來案暨出貨明細表-基因檢測(201904起'!$R:$R,"中英")</f>
        <v>0</v>
      </c>
      <c r="BJ25" s="33">
        <f>COUNTIFS('來案暨出貨明細表-基因檢測(201904起'!$P:$P,$A25&amp;"*",'來案暨出貨明細表-基因檢測(201904起'!$B:$B,BJ$1)*$B25+COUNTIFS('來案暨出貨明細表-基因檢測(201904起'!$P:$P,$A25&amp;"*",'來案暨出貨明細表-基因檢測(201904起'!$B:$B,BJ$1,'來案暨出貨明細表-基因檢測(201904起'!$Q:$Q,"紙本&amp;電子")++COUNTIFS('來案暨出貨明細表-基因檢測(201904起'!$P:$P,$A25&amp;"*",'來案暨出貨明細表-基因檢測(201904起'!$B:$B,BJ$1,'來案暨出貨明細表-基因檢測(201904起'!$R:$R,"中英")</f>
        <v>0</v>
      </c>
      <c r="BK25" s="33">
        <f>COUNTIFS('來案暨出貨明細表-基因檢測(201904起'!$P:$P,$A25&amp;"*",'來案暨出貨明細表-基因檢測(201904起'!$B:$B,BK$1)*$B25+COUNTIFS('來案暨出貨明細表-基因檢測(201904起'!$P:$P,$A25&amp;"*",'來案暨出貨明細表-基因檢測(201904起'!$B:$B,BK$1,'來案暨出貨明細表-基因檢測(201904起'!$Q:$Q,"紙本&amp;電子")++COUNTIFS('來案暨出貨明細表-基因檢測(201904起'!$P:$P,$A25&amp;"*",'來案暨出貨明細表-基因檢測(201904起'!$B:$B,BK$1,'來案暨出貨明細表-基因檢測(201904起'!$R:$R,"中英")</f>
        <v>0</v>
      </c>
    </row>
    <row r="26" spans="1:63" ht="15" customHeight="1">
      <c r="A26" s="166" t="s">
        <v>4540</v>
      </c>
      <c r="B26" s="167">
        <v>1</v>
      </c>
      <c r="C26" s="168" t="s">
        <v>4541</v>
      </c>
      <c r="D26" s="169" t="s">
        <v>4542</v>
      </c>
      <c r="E26" s="162">
        <v>0</v>
      </c>
      <c r="F26" s="162">
        <v>0</v>
      </c>
      <c r="G26" s="162">
        <v>0</v>
      </c>
      <c r="H26" s="162">
        <v>0</v>
      </c>
      <c r="I26" s="162">
        <v>0</v>
      </c>
      <c r="J26" s="162">
        <v>0</v>
      </c>
      <c r="K26" s="162">
        <v>0</v>
      </c>
      <c r="L26" s="162">
        <v>0</v>
      </c>
      <c r="M26" s="162">
        <v>0</v>
      </c>
      <c r="N26" s="162">
        <v>0</v>
      </c>
      <c r="O26" s="162">
        <v>0</v>
      </c>
      <c r="P26" s="162">
        <v>0</v>
      </c>
      <c r="Q26" s="162">
        <v>0</v>
      </c>
      <c r="R26" s="162">
        <v>0</v>
      </c>
      <c r="S26" s="162">
        <v>0</v>
      </c>
      <c r="T26" s="162">
        <v>0</v>
      </c>
      <c r="U26" s="162">
        <v>0</v>
      </c>
      <c r="V26" s="162">
        <v>0</v>
      </c>
      <c r="W26" s="162">
        <v>0</v>
      </c>
      <c r="X26" s="162">
        <v>0</v>
      </c>
      <c r="Y26" s="162">
        <v>0</v>
      </c>
      <c r="Z26" s="162">
        <v>0</v>
      </c>
      <c r="AA26" s="162">
        <v>0</v>
      </c>
      <c r="AB26" s="162">
        <v>0</v>
      </c>
      <c r="AC26" s="162">
        <v>0</v>
      </c>
      <c r="AD26" s="162">
        <v>0</v>
      </c>
      <c r="AE26" s="162">
        <v>0</v>
      </c>
      <c r="AF26" s="162">
        <v>0</v>
      </c>
      <c r="AG26" s="162">
        <v>0</v>
      </c>
      <c r="AH26" s="162">
        <v>0</v>
      </c>
      <c r="AI26" s="162">
        <v>0</v>
      </c>
      <c r="AJ26" s="170">
        <v>0</v>
      </c>
      <c r="AK26" s="33">
        <f>COUNTIFS('來案暨出貨明細表-基因檢測(201904起'!$P:$P,$A26&amp;"*",'來案暨出貨明細表-基因檢測(201904起'!$B:$B,AK$1)*$B26+COUNTIFS('來案暨出貨明細表-基因檢測(201904起'!$P:$P,$A26&amp;"*",'來案暨出貨明細表-基因檢測(201904起'!$B:$B,AK$1,'來案暨出貨明細表-基因檢測(201904起'!$Q:$Q,"紙本&amp;電子")++COUNTIFS('來案暨出貨明細表-基因檢測(201904起'!$P:$P,$A26&amp;"*",'來案暨出貨明細表-基因檢測(201904起'!$B:$B,AK$1,'來案暨出貨明細表-基因檢測(201904起'!$R:$R,"中英")</f>
        <v>0</v>
      </c>
      <c r="AL26" s="33">
        <f>COUNTIFS('來案暨出貨明細表-基因檢測(201904起'!$P:$P,$A26&amp;"*",'來案暨出貨明細表-基因檢測(201904起'!$B:$B,AL$1)*$B26+COUNTIFS('來案暨出貨明細表-基因檢測(201904起'!$P:$P,$A26&amp;"*",'來案暨出貨明細表-基因檢測(201904起'!$B:$B,AL$1,'來案暨出貨明細表-基因檢測(201904起'!$Q:$Q,"紙本&amp;電子")++COUNTIFS('來案暨出貨明細表-基因檢測(201904起'!$P:$P,$A26&amp;"*",'來案暨出貨明細表-基因檢測(201904起'!$B:$B,AL$1,'來案暨出貨明細表-基因檢測(201904起'!$R:$R,"中英")</f>
        <v>0</v>
      </c>
      <c r="AM26" s="33">
        <f>COUNTIFS('來案暨出貨明細表-基因檢測(201904起'!$P:$P,$A26&amp;"*",'來案暨出貨明細表-基因檢測(201904起'!$B:$B,AM$1)*$B26+COUNTIFS('來案暨出貨明細表-基因檢測(201904起'!$P:$P,$A26&amp;"*",'來案暨出貨明細表-基因檢測(201904起'!$B:$B,AM$1,'來案暨出貨明細表-基因檢測(201904起'!$Q:$Q,"紙本&amp;電子")++COUNTIFS('來案暨出貨明細表-基因檢測(201904起'!$P:$P,$A26&amp;"*",'來案暨出貨明細表-基因檢測(201904起'!$B:$B,AM$1,'來案暨出貨明細表-基因檢測(201904起'!$R:$R,"中英")</f>
        <v>0</v>
      </c>
      <c r="AN26" s="33">
        <f>COUNTIFS('來案暨出貨明細表-基因檢測(201904起'!$P:$P,$A26&amp;"*",'來案暨出貨明細表-基因檢測(201904起'!$B:$B,AN$1)*$B26+COUNTIFS('來案暨出貨明細表-基因檢測(201904起'!$P:$P,$A26&amp;"*",'來案暨出貨明細表-基因檢測(201904起'!$B:$B,AN$1,'來案暨出貨明細表-基因檢測(201904起'!$Q:$Q,"紙本&amp;電子")++COUNTIFS('來案暨出貨明細表-基因檢測(201904起'!$P:$P,$A26&amp;"*",'來案暨出貨明細表-基因檢測(201904起'!$B:$B,AN$1,'來案暨出貨明細表-基因檢測(201904起'!$R:$R,"中英")</f>
        <v>0</v>
      </c>
      <c r="AO26" s="33">
        <f>COUNTIFS('來案暨出貨明細表-基因檢測(201904起'!$P:$P,$A26&amp;"*",'來案暨出貨明細表-基因檢測(201904起'!$B:$B,AO$1)*$B26+COUNTIFS('來案暨出貨明細表-基因檢測(201904起'!$P:$P,$A26&amp;"*",'來案暨出貨明細表-基因檢測(201904起'!$B:$B,AO$1,'來案暨出貨明細表-基因檢測(201904起'!$Q:$Q,"紙本&amp;電子")++COUNTIFS('來案暨出貨明細表-基因檢測(201904起'!$P:$P,$A26&amp;"*",'來案暨出貨明細表-基因檢測(201904起'!$B:$B,AO$1,'來案暨出貨明細表-基因檢測(201904起'!$R:$R,"中英")</f>
        <v>0</v>
      </c>
      <c r="AP26" s="33">
        <f>COUNTIFS('來案暨出貨明細表-基因檢測(201904起'!$P:$P,$A26&amp;"*",'來案暨出貨明細表-基因檢測(201904起'!$B:$B,AP$1)*$B26+COUNTIFS('來案暨出貨明細表-基因檢測(201904起'!$P:$P,$A26&amp;"*",'來案暨出貨明細表-基因檢測(201904起'!$B:$B,AP$1,'來案暨出貨明細表-基因檢測(201904起'!$Q:$Q,"紙本&amp;電子")++COUNTIFS('來案暨出貨明細表-基因檢測(201904起'!$P:$P,$A26&amp;"*",'來案暨出貨明細表-基因檢測(201904起'!$B:$B,AP$1,'來案暨出貨明細表-基因檢測(201904起'!$R:$R,"中英")</f>
        <v>0</v>
      </c>
      <c r="AQ26" s="33">
        <f>COUNTIFS('來案暨出貨明細表-基因檢測(201904起'!$P:$P,$A26&amp;"*",'來案暨出貨明細表-基因檢測(201904起'!$B:$B,AQ$1)*$B26+COUNTIFS('來案暨出貨明細表-基因檢測(201904起'!$P:$P,$A26&amp;"*",'來案暨出貨明細表-基因檢測(201904起'!$B:$B,AQ$1,'來案暨出貨明細表-基因檢測(201904起'!$Q:$Q,"紙本&amp;電子")++COUNTIFS('來案暨出貨明細表-基因檢測(201904起'!$P:$P,$A26&amp;"*",'來案暨出貨明細表-基因檢測(201904起'!$B:$B,AQ$1,'來案暨出貨明細表-基因檢測(201904起'!$R:$R,"中英")</f>
        <v>0</v>
      </c>
      <c r="AR26" s="33">
        <f>COUNTIFS('來案暨出貨明細表-基因檢測(201904起'!$P:$P,$A26&amp;"*",'來案暨出貨明細表-基因檢測(201904起'!$B:$B,AR$1)*$B26+COUNTIFS('來案暨出貨明細表-基因檢測(201904起'!$P:$P,$A26&amp;"*",'來案暨出貨明細表-基因檢測(201904起'!$B:$B,AR$1,'來案暨出貨明細表-基因檢測(201904起'!$Q:$Q,"紙本&amp;電子")++COUNTIFS('來案暨出貨明細表-基因檢測(201904起'!$P:$P,$A26&amp;"*",'來案暨出貨明細表-基因檢測(201904起'!$B:$B,AR$1,'來案暨出貨明細表-基因檢測(201904起'!$R:$R,"中英")</f>
        <v>0</v>
      </c>
      <c r="AS26" s="33">
        <f>COUNTIFS('來案暨出貨明細表-基因檢測(201904起'!$P:$P,$A26&amp;"*",'來案暨出貨明細表-基因檢測(201904起'!$B:$B,AS$1)*$B26+COUNTIFS('來案暨出貨明細表-基因檢測(201904起'!$P:$P,$A26&amp;"*",'來案暨出貨明細表-基因檢測(201904起'!$B:$B,AS$1,'來案暨出貨明細表-基因檢測(201904起'!$Q:$Q,"紙本&amp;電子")++COUNTIFS('來案暨出貨明細表-基因檢測(201904起'!$P:$P,$A26&amp;"*",'來案暨出貨明細表-基因檢測(201904起'!$B:$B,AS$1,'來案暨出貨明細表-基因檢測(201904起'!$R:$R,"中英")</f>
        <v>0</v>
      </c>
      <c r="AT26" s="33">
        <f>COUNTIFS('來案暨出貨明細表-基因檢測(201904起'!$P:$P,$A26&amp;"*",'來案暨出貨明細表-基因檢測(201904起'!$B:$B,AT$1)*$B26+COUNTIFS('來案暨出貨明細表-基因檢測(201904起'!$P:$P,$A26&amp;"*",'來案暨出貨明細表-基因檢測(201904起'!$B:$B,AT$1,'來案暨出貨明細表-基因檢測(201904起'!$Q:$Q,"紙本&amp;電子")++COUNTIFS('來案暨出貨明細表-基因檢測(201904起'!$P:$P,$A26&amp;"*",'來案暨出貨明細表-基因檢測(201904起'!$B:$B,AT$1,'來案暨出貨明細表-基因檢測(201904起'!$R:$R,"中英")</f>
        <v>0</v>
      </c>
      <c r="AU26" s="33">
        <f>COUNTIFS('來案暨出貨明細表-基因檢測(201904起'!$P:$P,$A26&amp;"*",'來案暨出貨明細表-基因檢測(201904起'!$B:$B,AU$1)*$B26+COUNTIFS('來案暨出貨明細表-基因檢測(201904起'!$P:$P,$A26&amp;"*",'來案暨出貨明細表-基因檢測(201904起'!$B:$B,AU$1,'來案暨出貨明細表-基因檢測(201904起'!$Q:$Q,"紙本&amp;電子")++COUNTIFS('來案暨出貨明細表-基因檢測(201904起'!$P:$P,$A26&amp;"*",'來案暨出貨明細表-基因檢測(201904起'!$B:$B,AU$1,'來案暨出貨明細表-基因檢測(201904起'!$R:$R,"中英")</f>
        <v>0</v>
      </c>
      <c r="AV26" s="33">
        <f>COUNTIFS('來案暨出貨明細表-基因檢測(201904起'!$P:$P,$A26&amp;"*",'來案暨出貨明細表-基因檢測(201904起'!$B:$B,AV$1)*$B26+COUNTIFS('來案暨出貨明細表-基因檢測(201904起'!$P:$P,$A26&amp;"*",'來案暨出貨明細表-基因檢測(201904起'!$B:$B,AV$1,'來案暨出貨明細表-基因檢測(201904起'!$Q:$Q,"紙本&amp;電子")++COUNTIFS('來案暨出貨明細表-基因檢測(201904起'!$P:$P,$A26&amp;"*",'來案暨出貨明細表-基因檢測(201904起'!$B:$B,AV$1,'來案暨出貨明細表-基因檢測(201904起'!$R:$R,"中英")</f>
        <v>0</v>
      </c>
      <c r="AW26" s="33">
        <f>COUNTIFS('來案暨出貨明細表-基因檢測(201904起'!$P:$P,$A26&amp;"*",'來案暨出貨明細表-基因檢測(201904起'!$B:$B,AW$1)*$B26+COUNTIFS('來案暨出貨明細表-基因檢測(201904起'!$P:$P,$A26&amp;"*",'來案暨出貨明細表-基因檢測(201904起'!$B:$B,AW$1,'來案暨出貨明細表-基因檢測(201904起'!$Q:$Q,"紙本&amp;電子")++COUNTIFS('來案暨出貨明細表-基因檢測(201904起'!$P:$P,$A26&amp;"*",'來案暨出貨明細表-基因檢測(201904起'!$B:$B,AW$1,'來案暨出貨明細表-基因檢測(201904起'!$R:$R,"中英")</f>
        <v>0</v>
      </c>
      <c r="AX26" s="33">
        <f>COUNTIFS('來案暨出貨明細表-基因檢測(201904起'!$P:$P,$A26&amp;"*",'來案暨出貨明細表-基因檢測(201904起'!$B:$B,AX$1)*$B26+COUNTIFS('來案暨出貨明細表-基因檢測(201904起'!$P:$P,$A26&amp;"*",'來案暨出貨明細表-基因檢測(201904起'!$B:$B,AX$1,'來案暨出貨明細表-基因檢測(201904起'!$Q:$Q,"紙本&amp;電子")++COUNTIFS('來案暨出貨明細表-基因檢測(201904起'!$P:$P,$A26&amp;"*",'來案暨出貨明細表-基因檢測(201904起'!$B:$B,AX$1,'來案暨出貨明細表-基因檢測(201904起'!$R:$R,"中英")</f>
        <v>0</v>
      </c>
      <c r="AY26" s="33">
        <f>COUNTIFS('來案暨出貨明細表-基因檢測(201904起'!$P:$P,$A26&amp;"*",'來案暨出貨明細表-基因檢測(201904起'!$B:$B,AY$1)*$B26+COUNTIFS('來案暨出貨明細表-基因檢測(201904起'!$P:$P,$A26&amp;"*",'來案暨出貨明細表-基因檢測(201904起'!$B:$B,AY$1,'來案暨出貨明細表-基因檢測(201904起'!$Q:$Q,"紙本&amp;電子")++COUNTIFS('來案暨出貨明細表-基因檢測(201904起'!$P:$P,$A26&amp;"*",'來案暨出貨明細表-基因檢測(201904起'!$B:$B,AY$1,'來案暨出貨明細表-基因檢測(201904起'!$R:$R,"中英")</f>
        <v>0</v>
      </c>
      <c r="AZ26" s="33">
        <f>COUNTIFS('來案暨出貨明細表-基因檢測(201904起'!$P:$P,$A26&amp;"*",'來案暨出貨明細表-基因檢測(201904起'!$B:$B,AZ$1)*$B26+COUNTIFS('來案暨出貨明細表-基因檢測(201904起'!$P:$P,$A26&amp;"*",'來案暨出貨明細表-基因檢測(201904起'!$B:$B,AZ$1,'來案暨出貨明細表-基因檢測(201904起'!$Q:$Q,"紙本&amp;電子")++COUNTIFS('來案暨出貨明細表-基因檢測(201904起'!$P:$P,$A26&amp;"*",'來案暨出貨明細表-基因檢測(201904起'!$B:$B,AZ$1,'來案暨出貨明細表-基因檢測(201904起'!$R:$R,"中英")</f>
        <v>0</v>
      </c>
      <c r="BA26" s="33">
        <f>COUNTIFS('來案暨出貨明細表-基因檢測(201904起'!$P:$P,$A26&amp;"*",'來案暨出貨明細表-基因檢測(201904起'!$B:$B,BA$1)*$B26+COUNTIFS('來案暨出貨明細表-基因檢測(201904起'!$P:$P,$A26&amp;"*",'來案暨出貨明細表-基因檢測(201904起'!$B:$B,BA$1,'來案暨出貨明細表-基因檢測(201904起'!$Q:$Q,"紙本&amp;電子")++COUNTIFS('來案暨出貨明細表-基因檢測(201904起'!$P:$P,$A26&amp;"*",'來案暨出貨明細表-基因檢測(201904起'!$B:$B,BA$1,'來案暨出貨明細表-基因檢測(201904起'!$R:$R,"中英")</f>
        <v>0</v>
      </c>
      <c r="BB26" s="33">
        <f>COUNTIFS('來案暨出貨明細表-基因檢測(201904起'!$P:$P,$A26&amp;"*",'來案暨出貨明細表-基因檢測(201904起'!$B:$B,BB$1)*$B26+COUNTIFS('來案暨出貨明細表-基因檢測(201904起'!$P:$P,$A26&amp;"*",'來案暨出貨明細表-基因檢測(201904起'!$B:$B,BB$1,'來案暨出貨明細表-基因檢測(201904起'!$Q:$Q,"紙本&amp;電子")++COUNTIFS('來案暨出貨明細表-基因檢測(201904起'!$P:$P,$A26&amp;"*",'來案暨出貨明細表-基因檢測(201904起'!$B:$B,BB$1,'來案暨出貨明細表-基因檢測(201904起'!$R:$R,"中英")</f>
        <v>0</v>
      </c>
      <c r="BC26" s="33">
        <f>COUNTIFS('來案暨出貨明細表-基因檢測(201904起'!$P:$P,$A26&amp;"*",'來案暨出貨明細表-基因檢測(201904起'!$B:$B,BC$1)*$B26+COUNTIFS('來案暨出貨明細表-基因檢測(201904起'!$P:$P,$A26&amp;"*",'來案暨出貨明細表-基因檢測(201904起'!$B:$B,BC$1,'來案暨出貨明細表-基因檢測(201904起'!$Q:$Q,"紙本&amp;電子")++COUNTIFS('來案暨出貨明細表-基因檢測(201904起'!$P:$P,$A26&amp;"*",'來案暨出貨明細表-基因檢測(201904起'!$B:$B,BC$1,'來案暨出貨明細表-基因檢測(201904起'!$R:$R,"中英")</f>
        <v>0</v>
      </c>
      <c r="BD26" s="33">
        <f>COUNTIFS('來案暨出貨明細表-基因檢測(201904起'!$P:$P,$A26&amp;"*",'來案暨出貨明細表-基因檢測(201904起'!$B:$B,BD$1)*$B26+COUNTIFS('來案暨出貨明細表-基因檢測(201904起'!$P:$P,$A26&amp;"*",'來案暨出貨明細表-基因檢測(201904起'!$B:$B,BD$1,'來案暨出貨明細表-基因檢測(201904起'!$Q:$Q,"紙本&amp;電子")++COUNTIFS('來案暨出貨明細表-基因檢測(201904起'!$P:$P,$A26&amp;"*",'來案暨出貨明細表-基因檢測(201904起'!$B:$B,BD$1,'來案暨出貨明細表-基因檢測(201904起'!$R:$R,"中英")</f>
        <v>0</v>
      </c>
      <c r="BE26" s="33">
        <f>COUNTIFS('來案暨出貨明細表-基因檢測(201904起'!$P:$P,$A26&amp;"*",'來案暨出貨明細表-基因檢測(201904起'!$B:$B,BE$1)*$B26+COUNTIFS('來案暨出貨明細表-基因檢測(201904起'!$P:$P,$A26&amp;"*",'來案暨出貨明細表-基因檢測(201904起'!$B:$B,BE$1,'來案暨出貨明細表-基因檢測(201904起'!$Q:$Q,"紙本&amp;電子")++COUNTIFS('來案暨出貨明細表-基因檢測(201904起'!$P:$P,$A26&amp;"*",'來案暨出貨明細表-基因檢測(201904起'!$B:$B,BE$1,'來案暨出貨明細表-基因檢測(201904起'!$R:$R,"中英")</f>
        <v>0</v>
      </c>
      <c r="BF26" s="33">
        <f>COUNTIFS('來案暨出貨明細表-基因檢測(201904起'!$P:$P,$A26&amp;"*",'來案暨出貨明細表-基因檢測(201904起'!$B:$B,BF$1)*$B26+COUNTIFS('來案暨出貨明細表-基因檢測(201904起'!$P:$P,$A26&amp;"*",'來案暨出貨明細表-基因檢測(201904起'!$B:$B,BF$1,'來案暨出貨明細表-基因檢測(201904起'!$Q:$Q,"紙本&amp;電子")++COUNTIFS('來案暨出貨明細表-基因檢測(201904起'!$P:$P,$A26&amp;"*",'來案暨出貨明細表-基因檢測(201904起'!$B:$B,BF$1,'來案暨出貨明細表-基因檢測(201904起'!$R:$R,"中英")</f>
        <v>0</v>
      </c>
      <c r="BG26" s="33">
        <f>COUNTIFS('來案暨出貨明細表-基因檢測(201904起'!$P:$P,$A26&amp;"*",'來案暨出貨明細表-基因檢測(201904起'!$B:$B,BG$1)*$B26+COUNTIFS('來案暨出貨明細表-基因檢測(201904起'!$P:$P,$A26&amp;"*",'來案暨出貨明細表-基因檢測(201904起'!$B:$B,BG$1,'來案暨出貨明細表-基因檢測(201904起'!$Q:$Q,"紙本&amp;電子")++COUNTIFS('來案暨出貨明細表-基因檢測(201904起'!$P:$P,$A26&amp;"*",'來案暨出貨明細表-基因檢測(201904起'!$B:$B,BG$1,'來案暨出貨明細表-基因檢測(201904起'!$R:$R,"中英")</f>
        <v>0</v>
      </c>
      <c r="BH26" s="33">
        <f>COUNTIFS('來案暨出貨明細表-基因檢測(201904起'!$P:$P,$A26&amp;"*",'來案暨出貨明細表-基因檢測(201904起'!$B:$B,BH$1)*$B26+COUNTIFS('來案暨出貨明細表-基因檢測(201904起'!$P:$P,$A26&amp;"*",'來案暨出貨明細表-基因檢測(201904起'!$B:$B,BH$1,'來案暨出貨明細表-基因檢測(201904起'!$Q:$Q,"紙本&amp;電子")++COUNTIFS('來案暨出貨明細表-基因檢測(201904起'!$P:$P,$A26&amp;"*",'來案暨出貨明細表-基因檢測(201904起'!$B:$B,BH$1,'來案暨出貨明細表-基因檢測(201904起'!$R:$R,"中英")</f>
        <v>0</v>
      </c>
      <c r="BI26" s="33">
        <f>COUNTIFS('來案暨出貨明細表-基因檢測(201904起'!$P:$P,$A26&amp;"*",'來案暨出貨明細表-基因檢測(201904起'!$B:$B,BI$1)*$B26+COUNTIFS('來案暨出貨明細表-基因檢測(201904起'!$P:$P,$A26&amp;"*",'來案暨出貨明細表-基因檢測(201904起'!$B:$B,BI$1,'來案暨出貨明細表-基因檢測(201904起'!$Q:$Q,"紙本&amp;電子")++COUNTIFS('來案暨出貨明細表-基因檢測(201904起'!$P:$P,$A26&amp;"*",'來案暨出貨明細表-基因檢測(201904起'!$B:$B,BI$1,'來案暨出貨明細表-基因檢測(201904起'!$R:$R,"中英")</f>
        <v>0</v>
      </c>
      <c r="BJ26" s="33">
        <f>COUNTIFS('來案暨出貨明細表-基因檢測(201904起'!$P:$P,$A26&amp;"*",'來案暨出貨明細表-基因檢測(201904起'!$B:$B,BJ$1)*$B26+COUNTIFS('來案暨出貨明細表-基因檢測(201904起'!$P:$P,$A26&amp;"*",'來案暨出貨明細表-基因檢測(201904起'!$B:$B,BJ$1,'來案暨出貨明細表-基因檢測(201904起'!$Q:$Q,"紙本&amp;電子")++COUNTIFS('來案暨出貨明細表-基因檢測(201904起'!$P:$P,$A26&amp;"*",'來案暨出貨明細表-基因檢測(201904起'!$B:$B,BJ$1,'來案暨出貨明細表-基因檢測(201904起'!$R:$R,"中英")</f>
        <v>0</v>
      </c>
      <c r="BK26" s="33">
        <f>COUNTIFS('來案暨出貨明細表-基因檢測(201904起'!$P:$P,$A26&amp;"*",'來案暨出貨明細表-基因檢測(201904起'!$B:$B,BK$1)*$B26+COUNTIFS('來案暨出貨明細表-基因檢測(201904起'!$P:$P,$A26&amp;"*",'來案暨出貨明細表-基因檢測(201904起'!$B:$B,BK$1,'來案暨出貨明細表-基因檢測(201904起'!$Q:$Q,"紙本&amp;電子")++COUNTIFS('來案暨出貨明細表-基因檢測(201904起'!$P:$P,$A26&amp;"*",'來案暨出貨明細表-基因檢測(201904起'!$B:$B,BK$1,'來案暨出貨明細表-基因檢測(201904起'!$R:$R,"中英")</f>
        <v>0</v>
      </c>
    </row>
    <row r="27" spans="1:63" ht="15" customHeight="1">
      <c r="A27" s="166" t="s">
        <v>4543</v>
      </c>
      <c r="B27" s="167">
        <v>1</v>
      </c>
      <c r="C27" s="168" t="s">
        <v>4544</v>
      </c>
      <c r="D27" s="169" t="s">
        <v>4545</v>
      </c>
      <c r="E27" s="162">
        <v>0</v>
      </c>
      <c r="F27" s="162">
        <v>0</v>
      </c>
      <c r="G27" s="162">
        <v>0</v>
      </c>
      <c r="H27" s="162">
        <v>0</v>
      </c>
      <c r="I27" s="162">
        <v>0</v>
      </c>
      <c r="J27" s="162">
        <v>0</v>
      </c>
      <c r="K27" s="162">
        <v>0</v>
      </c>
      <c r="L27" s="162">
        <v>0</v>
      </c>
      <c r="M27" s="162">
        <v>0</v>
      </c>
      <c r="N27" s="162">
        <v>0</v>
      </c>
      <c r="O27" s="162">
        <v>0</v>
      </c>
      <c r="P27" s="162">
        <v>0</v>
      </c>
      <c r="Q27" s="162">
        <v>0</v>
      </c>
      <c r="R27" s="162">
        <v>0</v>
      </c>
      <c r="S27" s="162">
        <v>0</v>
      </c>
      <c r="T27" s="162">
        <v>0</v>
      </c>
      <c r="U27" s="162">
        <v>0</v>
      </c>
      <c r="V27" s="162">
        <v>0</v>
      </c>
      <c r="W27" s="162">
        <v>0</v>
      </c>
      <c r="X27" s="162">
        <v>0</v>
      </c>
      <c r="Y27" s="162">
        <v>0</v>
      </c>
      <c r="Z27" s="162">
        <v>0</v>
      </c>
      <c r="AA27" s="162">
        <v>0</v>
      </c>
      <c r="AB27" s="162">
        <v>0</v>
      </c>
      <c r="AC27" s="162">
        <v>0</v>
      </c>
      <c r="AD27" s="162">
        <v>0</v>
      </c>
      <c r="AE27" s="162">
        <v>0</v>
      </c>
      <c r="AF27" s="162">
        <v>0</v>
      </c>
      <c r="AG27" s="162">
        <v>0</v>
      </c>
      <c r="AH27" s="162">
        <v>0</v>
      </c>
      <c r="AI27" s="162">
        <v>0</v>
      </c>
      <c r="AJ27" s="170">
        <v>0</v>
      </c>
      <c r="AK27" s="33">
        <f>COUNTIFS('來案暨出貨明細表-基因檢測(201904起'!$P:$P,$A27&amp;"*",'來案暨出貨明細表-基因檢測(201904起'!$B:$B,AK$1)*$B27+COUNTIFS('來案暨出貨明細表-基因檢測(201904起'!$P:$P,$A27&amp;"*",'來案暨出貨明細表-基因檢測(201904起'!$B:$B,AK$1,'來案暨出貨明細表-基因檢測(201904起'!$Q:$Q,"紙本&amp;電子")++COUNTIFS('來案暨出貨明細表-基因檢測(201904起'!$P:$P,$A27&amp;"*",'來案暨出貨明細表-基因檢測(201904起'!$B:$B,AK$1,'來案暨出貨明細表-基因檢測(201904起'!$R:$R,"中英")</f>
        <v>0</v>
      </c>
      <c r="AL27" s="33">
        <f>COUNTIFS('來案暨出貨明細表-基因檢測(201904起'!$P:$P,$A27&amp;"*",'來案暨出貨明細表-基因檢測(201904起'!$B:$B,AL$1)*$B27+COUNTIFS('來案暨出貨明細表-基因檢測(201904起'!$P:$P,$A27&amp;"*",'來案暨出貨明細表-基因檢測(201904起'!$B:$B,AL$1,'來案暨出貨明細表-基因檢測(201904起'!$Q:$Q,"紙本&amp;電子")++COUNTIFS('來案暨出貨明細表-基因檢測(201904起'!$P:$P,$A27&amp;"*",'來案暨出貨明細表-基因檢測(201904起'!$B:$B,AL$1,'來案暨出貨明細表-基因檢測(201904起'!$R:$R,"中英")</f>
        <v>0</v>
      </c>
      <c r="AM27" s="33">
        <f>COUNTIFS('來案暨出貨明細表-基因檢測(201904起'!$P:$P,$A27&amp;"*",'來案暨出貨明細表-基因檢測(201904起'!$B:$B,AM$1)*$B27+COUNTIFS('來案暨出貨明細表-基因檢測(201904起'!$P:$P,$A27&amp;"*",'來案暨出貨明細表-基因檢測(201904起'!$B:$B,AM$1,'來案暨出貨明細表-基因檢測(201904起'!$Q:$Q,"紙本&amp;電子")++COUNTIFS('來案暨出貨明細表-基因檢測(201904起'!$P:$P,$A27&amp;"*",'來案暨出貨明細表-基因檢測(201904起'!$B:$B,AM$1,'來案暨出貨明細表-基因檢測(201904起'!$R:$R,"中英")</f>
        <v>0</v>
      </c>
      <c r="AN27" s="33">
        <f>COUNTIFS('來案暨出貨明細表-基因檢測(201904起'!$P:$P,$A27&amp;"*",'來案暨出貨明細表-基因檢測(201904起'!$B:$B,AN$1)*$B27+COUNTIFS('來案暨出貨明細表-基因檢測(201904起'!$P:$P,$A27&amp;"*",'來案暨出貨明細表-基因檢測(201904起'!$B:$B,AN$1,'來案暨出貨明細表-基因檢測(201904起'!$Q:$Q,"紙本&amp;電子")++COUNTIFS('來案暨出貨明細表-基因檢測(201904起'!$P:$P,$A27&amp;"*",'來案暨出貨明細表-基因檢測(201904起'!$B:$B,AN$1,'來案暨出貨明細表-基因檢測(201904起'!$R:$R,"中英")</f>
        <v>0</v>
      </c>
      <c r="AO27" s="33">
        <f>COUNTIFS('來案暨出貨明細表-基因檢測(201904起'!$P:$P,$A27&amp;"*",'來案暨出貨明細表-基因檢測(201904起'!$B:$B,AO$1)*$B27+COUNTIFS('來案暨出貨明細表-基因檢測(201904起'!$P:$P,$A27&amp;"*",'來案暨出貨明細表-基因檢測(201904起'!$B:$B,AO$1,'來案暨出貨明細表-基因檢測(201904起'!$Q:$Q,"紙本&amp;電子")++COUNTIFS('來案暨出貨明細表-基因檢測(201904起'!$P:$P,$A27&amp;"*",'來案暨出貨明細表-基因檢測(201904起'!$B:$B,AO$1,'來案暨出貨明細表-基因檢測(201904起'!$R:$R,"中英")</f>
        <v>0</v>
      </c>
      <c r="AP27" s="33">
        <f>COUNTIFS('來案暨出貨明細表-基因檢測(201904起'!$P:$P,$A27&amp;"*",'來案暨出貨明細表-基因檢測(201904起'!$B:$B,AP$1)*$B27+COUNTIFS('來案暨出貨明細表-基因檢測(201904起'!$P:$P,$A27&amp;"*",'來案暨出貨明細表-基因檢測(201904起'!$B:$B,AP$1,'來案暨出貨明細表-基因檢測(201904起'!$Q:$Q,"紙本&amp;電子")++COUNTIFS('來案暨出貨明細表-基因檢測(201904起'!$P:$P,$A27&amp;"*",'來案暨出貨明細表-基因檢測(201904起'!$B:$B,AP$1,'來案暨出貨明細表-基因檢測(201904起'!$R:$R,"中英")</f>
        <v>0</v>
      </c>
      <c r="AQ27" s="33">
        <f>COUNTIFS('來案暨出貨明細表-基因檢測(201904起'!$P:$P,$A27&amp;"*",'來案暨出貨明細表-基因檢測(201904起'!$B:$B,AQ$1)*$B27+COUNTIFS('來案暨出貨明細表-基因檢測(201904起'!$P:$P,$A27&amp;"*",'來案暨出貨明細表-基因檢測(201904起'!$B:$B,AQ$1,'來案暨出貨明細表-基因檢測(201904起'!$Q:$Q,"紙本&amp;電子")++COUNTIFS('來案暨出貨明細表-基因檢測(201904起'!$P:$P,$A27&amp;"*",'來案暨出貨明細表-基因檢測(201904起'!$B:$B,AQ$1,'來案暨出貨明細表-基因檢測(201904起'!$R:$R,"中英")</f>
        <v>0</v>
      </c>
      <c r="AR27" s="33">
        <f>COUNTIFS('來案暨出貨明細表-基因檢測(201904起'!$P:$P,$A27&amp;"*",'來案暨出貨明細表-基因檢測(201904起'!$B:$B,AR$1)*$B27+COUNTIFS('來案暨出貨明細表-基因檢測(201904起'!$P:$P,$A27&amp;"*",'來案暨出貨明細表-基因檢測(201904起'!$B:$B,AR$1,'來案暨出貨明細表-基因檢測(201904起'!$Q:$Q,"紙本&amp;電子")++COUNTIFS('來案暨出貨明細表-基因檢測(201904起'!$P:$P,$A27&amp;"*",'來案暨出貨明細表-基因檢測(201904起'!$B:$B,AR$1,'來案暨出貨明細表-基因檢測(201904起'!$R:$R,"中英")</f>
        <v>0</v>
      </c>
      <c r="AS27" s="33">
        <f>COUNTIFS('來案暨出貨明細表-基因檢測(201904起'!$P:$P,$A27&amp;"*",'來案暨出貨明細表-基因檢測(201904起'!$B:$B,AS$1)*$B27+COUNTIFS('來案暨出貨明細表-基因檢測(201904起'!$P:$P,$A27&amp;"*",'來案暨出貨明細表-基因檢測(201904起'!$B:$B,AS$1,'來案暨出貨明細表-基因檢測(201904起'!$Q:$Q,"紙本&amp;電子")++COUNTIFS('來案暨出貨明細表-基因檢測(201904起'!$P:$P,$A27&amp;"*",'來案暨出貨明細表-基因檢測(201904起'!$B:$B,AS$1,'來案暨出貨明細表-基因檢測(201904起'!$R:$R,"中英")</f>
        <v>0</v>
      </c>
      <c r="AT27" s="33">
        <f>COUNTIFS('來案暨出貨明細表-基因檢測(201904起'!$P:$P,$A27&amp;"*",'來案暨出貨明細表-基因檢測(201904起'!$B:$B,AT$1)*$B27+COUNTIFS('來案暨出貨明細表-基因檢測(201904起'!$P:$P,$A27&amp;"*",'來案暨出貨明細表-基因檢測(201904起'!$B:$B,AT$1,'來案暨出貨明細表-基因檢測(201904起'!$Q:$Q,"紙本&amp;電子")++COUNTIFS('來案暨出貨明細表-基因檢測(201904起'!$P:$P,$A27&amp;"*",'來案暨出貨明細表-基因檢測(201904起'!$B:$B,AT$1,'來案暨出貨明細表-基因檢測(201904起'!$R:$R,"中英")</f>
        <v>0</v>
      </c>
      <c r="AU27" s="33">
        <f>COUNTIFS('來案暨出貨明細表-基因檢測(201904起'!$P:$P,$A27&amp;"*",'來案暨出貨明細表-基因檢測(201904起'!$B:$B,AU$1)*$B27+COUNTIFS('來案暨出貨明細表-基因檢測(201904起'!$P:$P,$A27&amp;"*",'來案暨出貨明細表-基因檢測(201904起'!$B:$B,AU$1,'來案暨出貨明細表-基因檢測(201904起'!$Q:$Q,"紙本&amp;電子")++COUNTIFS('來案暨出貨明細表-基因檢測(201904起'!$P:$P,$A27&amp;"*",'來案暨出貨明細表-基因檢測(201904起'!$B:$B,AU$1,'來案暨出貨明細表-基因檢測(201904起'!$R:$R,"中英")</f>
        <v>0</v>
      </c>
      <c r="AV27" s="33">
        <f>COUNTIFS('來案暨出貨明細表-基因檢測(201904起'!$P:$P,$A27&amp;"*",'來案暨出貨明細表-基因檢測(201904起'!$B:$B,AV$1)*$B27+COUNTIFS('來案暨出貨明細表-基因檢測(201904起'!$P:$P,$A27&amp;"*",'來案暨出貨明細表-基因檢測(201904起'!$B:$B,AV$1,'來案暨出貨明細表-基因檢測(201904起'!$Q:$Q,"紙本&amp;電子")++COUNTIFS('來案暨出貨明細表-基因檢測(201904起'!$P:$P,$A27&amp;"*",'來案暨出貨明細表-基因檢測(201904起'!$B:$B,AV$1,'來案暨出貨明細表-基因檢測(201904起'!$R:$R,"中英")</f>
        <v>0</v>
      </c>
      <c r="AW27" s="33">
        <f>COUNTIFS('來案暨出貨明細表-基因檢測(201904起'!$P:$P,$A27&amp;"*",'來案暨出貨明細表-基因檢測(201904起'!$B:$B,AW$1)*$B27+COUNTIFS('來案暨出貨明細表-基因檢測(201904起'!$P:$P,$A27&amp;"*",'來案暨出貨明細表-基因檢測(201904起'!$B:$B,AW$1,'來案暨出貨明細表-基因檢測(201904起'!$Q:$Q,"紙本&amp;電子")++COUNTIFS('來案暨出貨明細表-基因檢測(201904起'!$P:$P,$A27&amp;"*",'來案暨出貨明細表-基因檢測(201904起'!$B:$B,AW$1,'來案暨出貨明細表-基因檢測(201904起'!$R:$R,"中英")</f>
        <v>0</v>
      </c>
      <c r="AX27" s="33">
        <f>COUNTIFS('來案暨出貨明細表-基因檢測(201904起'!$P:$P,$A27&amp;"*",'來案暨出貨明細表-基因檢測(201904起'!$B:$B,AX$1)*$B27+COUNTIFS('來案暨出貨明細表-基因檢測(201904起'!$P:$P,$A27&amp;"*",'來案暨出貨明細表-基因檢測(201904起'!$B:$B,AX$1,'來案暨出貨明細表-基因檢測(201904起'!$Q:$Q,"紙本&amp;電子")++COUNTIFS('來案暨出貨明細表-基因檢測(201904起'!$P:$P,$A27&amp;"*",'來案暨出貨明細表-基因檢測(201904起'!$B:$B,AX$1,'來案暨出貨明細表-基因檢測(201904起'!$R:$R,"中英")</f>
        <v>0</v>
      </c>
      <c r="AY27" s="33">
        <f>COUNTIFS('來案暨出貨明細表-基因檢測(201904起'!$P:$P,$A27&amp;"*",'來案暨出貨明細表-基因檢測(201904起'!$B:$B,AY$1)*$B27+COUNTIFS('來案暨出貨明細表-基因檢測(201904起'!$P:$P,$A27&amp;"*",'來案暨出貨明細表-基因檢測(201904起'!$B:$B,AY$1,'來案暨出貨明細表-基因檢測(201904起'!$Q:$Q,"紙本&amp;電子")++COUNTIFS('來案暨出貨明細表-基因檢測(201904起'!$P:$P,$A27&amp;"*",'來案暨出貨明細表-基因檢測(201904起'!$B:$B,AY$1,'來案暨出貨明細表-基因檢測(201904起'!$R:$R,"中英")</f>
        <v>0</v>
      </c>
      <c r="AZ27" s="33">
        <f>COUNTIFS('來案暨出貨明細表-基因檢測(201904起'!$P:$P,$A27&amp;"*",'來案暨出貨明細表-基因檢測(201904起'!$B:$B,AZ$1)*$B27+COUNTIFS('來案暨出貨明細表-基因檢測(201904起'!$P:$P,$A27&amp;"*",'來案暨出貨明細表-基因檢測(201904起'!$B:$B,AZ$1,'來案暨出貨明細表-基因檢測(201904起'!$Q:$Q,"紙本&amp;電子")++COUNTIFS('來案暨出貨明細表-基因檢測(201904起'!$P:$P,$A27&amp;"*",'來案暨出貨明細表-基因檢測(201904起'!$B:$B,AZ$1,'來案暨出貨明細表-基因檢測(201904起'!$R:$R,"中英")</f>
        <v>0</v>
      </c>
      <c r="BA27" s="33">
        <f>COUNTIFS('來案暨出貨明細表-基因檢測(201904起'!$P:$P,$A27&amp;"*",'來案暨出貨明細表-基因檢測(201904起'!$B:$B,BA$1)*$B27+COUNTIFS('來案暨出貨明細表-基因檢測(201904起'!$P:$P,$A27&amp;"*",'來案暨出貨明細表-基因檢測(201904起'!$B:$B,BA$1,'來案暨出貨明細表-基因檢測(201904起'!$Q:$Q,"紙本&amp;電子")++COUNTIFS('來案暨出貨明細表-基因檢測(201904起'!$P:$P,$A27&amp;"*",'來案暨出貨明細表-基因檢測(201904起'!$B:$B,BA$1,'來案暨出貨明細表-基因檢測(201904起'!$R:$R,"中英")</f>
        <v>0</v>
      </c>
      <c r="BB27" s="33">
        <f>COUNTIFS('來案暨出貨明細表-基因檢測(201904起'!$P:$P,$A27&amp;"*",'來案暨出貨明細表-基因檢測(201904起'!$B:$B,BB$1)*$B27+COUNTIFS('來案暨出貨明細表-基因檢測(201904起'!$P:$P,$A27&amp;"*",'來案暨出貨明細表-基因檢測(201904起'!$B:$B,BB$1,'來案暨出貨明細表-基因檢測(201904起'!$Q:$Q,"紙本&amp;電子")++COUNTIFS('來案暨出貨明細表-基因檢測(201904起'!$P:$P,$A27&amp;"*",'來案暨出貨明細表-基因檢測(201904起'!$B:$B,BB$1,'來案暨出貨明細表-基因檢測(201904起'!$R:$R,"中英")</f>
        <v>0</v>
      </c>
      <c r="BC27" s="33">
        <f>COUNTIFS('來案暨出貨明細表-基因檢測(201904起'!$P:$P,$A27&amp;"*",'來案暨出貨明細表-基因檢測(201904起'!$B:$B,BC$1)*$B27+COUNTIFS('來案暨出貨明細表-基因檢測(201904起'!$P:$P,$A27&amp;"*",'來案暨出貨明細表-基因檢測(201904起'!$B:$B,BC$1,'來案暨出貨明細表-基因檢測(201904起'!$Q:$Q,"紙本&amp;電子")++COUNTIFS('來案暨出貨明細表-基因檢測(201904起'!$P:$P,$A27&amp;"*",'來案暨出貨明細表-基因檢測(201904起'!$B:$B,BC$1,'來案暨出貨明細表-基因檢測(201904起'!$R:$R,"中英")</f>
        <v>0</v>
      </c>
      <c r="BD27" s="33">
        <f>COUNTIFS('來案暨出貨明細表-基因檢測(201904起'!$P:$P,$A27&amp;"*",'來案暨出貨明細表-基因檢測(201904起'!$B:$B,BD$1)*$B27+COUNTIFS('來案暨出貨明細表-基因檢測(201904起'!$P:$P,$A27&amp;"*",'來案暨出貨明細表-基因檢測(201904起'!$B:$B,BD$1,'來案暨出貨明細表-基因檢測(201904起'!$Q:$Q,"紙本&amp;電子")++COUNTIFS('來案暨出貨明細表-基因檢測(201904起'!$P:$P,$A27&amp;"*",'來案暨出貨明細表-基因檢測(201904起'!$B:$B,BD$1,'來案暨出貨明細表-基因檢測(201904起'!$R:$R,"中英")</f>
        <v>0</v>
      </c>
      <c r="BE27" s="33">
        <f>COUNTIFS('來案暨出貨明細表-基因檢測(201904起'!$P:$P,$A27&amp;"*",'來案暨出貨明細表-基因檢測(201904起'!$B:$B,BE$1)*$B27+COUNTIFS('來案暨出貨明細表-基因檢測(201904起'!$P:$P,$A27&amp;"*",'來案暨出貨明細表-基因檢測(201904起'!$B:$B,BE$1,'來案暨出貨明細表-基因檢測(201904起'!$Q:$Q,"紙本&amp;電子")++COUNTIFS('來案暨出貨明細表-基因檢測(201904起'!$P:$P,$A27&amp;"*",'來案暨出貨明細表-基因檢測(201904起'!$B:$B,BE$1,'來案暨出貨明細表-基因檢測(201904起'!$R:$R,"中英")</f>
        <v>0</v>
      </c>
      <c r="BF27" s="33">
        <f>COUNTIFS('來案暨出貨明細表-基因檢測(201904起'!$P:$P,$A27&amp;"*",'來案暨出貨明細表-基因檢測(201904起'!$B:$B,BF$1)*$B27+COUNTIFS('來案暨出貨明細表-基因檢測(201904起'!$P:$P,$A27&amp;"*",'來案暨出貨明細表-基因檢測(201904起'!$B:$B,BF$1,'來案暨出貨明細表-基因檢測(201904起'!$Q:$Q,"紙本&amp;電子")++COUNTIFS('來案暨出貨明細表-基因檢測(201904起'!$P:$P,$A27&amp;"*",'來案暨出貨明細表-基因檢測(201904起'!$B:$B,BF$1,'來案暨出貨明細表-基因檢測(201904起'!$R:$R,"中英")</f>
        <v>0</v>
      </c>
      <c r="BG27" s="33">
        <f>COUNTIFS('來案暨出貨明細表-基因檢測(201904起'!$P:$P,$A27&amp;"*",'來案暨出貨明細表-基因檢測(201904起'!$B:$B,BG$1)*$B27+COUNTIFS('來案暨出貨明細表-基因檢測(201904起'!$P:$P,$A27&amp;"*",'來案暨出貨明細表-基因檢測(201904起'!$B:$B,BG$1,'來案暨出貨明細表-基因檢測(201904起'!$Q:$Q,"紙本&amp;電子")++COUNTIFS('來案暨出貨明細表-基因檢測(201904起'!$P:$P,$A27&amp;"*",'來案暨出貨明細表-基因檢測(201904起'!$B:$B,BG$1,'來案暨出貨明細表-基因檢測(201904起'!$R:$R,"中英")</f>
        <v>0</v>
      </c>
      <c r="BH27" s="33">
        <f>COUNTIFS('來案暨出貨明細表-基因檢測(201904起'!$P:$P,$A27&amp;"*",'來案暨出貨明細表-基因檢測(201904起'!$B:$B,BH$1)*$B27+COUNTIFS('來案暨出貨明細表-基因檢測(201904起'!$P:$P,$A27&amp;"*",'來案暨出貨明細表-基因檢測(201904起'!$B:$B,BH$1,'來案暨出貨明細表-基因檢測(201904起'!$Q:$Q,"紙本&amp;電子")++COUNTIFS('來案暨出貨明細表-基因檢測(201904起'!$P:$P,$A27&amp;"*",'來案暨出貨明細表-基因檢測(201904起'!$B:$B,BH$1,'來案暨出貨明細表-基因檢測(201904起'!$R:$R,"中英")</f>
        <v>0</v>
      </c>
      <c r="BI27" s="33">
        <f>COUNTIFS('來案暨出貨明細表-基因檢測(201904起'!$P:$P,$A27&amp;"*",'來案暨出貨明細表-基因檢測(201904起'!$B:$B,BI$1)*$B27+COUNTIFS('來案暨出貨明細表-基因檢測(201904起'!$P:$P,$A27&amp;"*",'來案暨出貨明細表-基因檢測(201904起'!$B:$B,BI$1,'來案暨出貨明細表-基因檢測(201904起'!$Q:$Q,"紙本&amp;電子")++COUNTIFS('來案暨出貨明細表-基因檢測(201904起'!$P:$P,$A27&amp;"*",'來案暨出貨明細表-基因檢測(201904起'!$B:$B,BI$1,'來案暨出貨明細表-基因檢測(201904起'!$R:$R,"中英")</f>
        <v>0</v>
      </c>
      <c r="BJ27" s="33">
        <f>COUNTIFS('來案暨出貨明細表-基因檢測(201904起'!$P:$P,$A27&amp;"*",'來案暨出貨明細表-基因檢測(201904起'!$B:$B,BJ$1)*$B27+COUNTIFS('來案暨出貨明細表-基因檢測(201904起'!$P:$P,$A27&amp;"*",'來案暨出貨明細表-基因檢測(201904起'!$B:$B,BJ$1,'來案暨出貨明細表-基因檢測(201904起'!$Q:$Q,"紙本&amp;電子")++COUNTIFS('來案暨出貨明細表-基因檢測(201904起'!$P:$P,$A27&amp;"*",'來案暨出貨明細表-基因檢測(201904起'!$B:$B,BJ$1,'來案暨出貨明細表-基因檢測(201904起'!$R:$R,"中英")</f>
        <v>0</v>
      </c>
      <c r="BK27" s="33">
        <f>COUNTIFS('來案暨出貨明細表-基因檢測(201904起'!$P:$P,$A27&amp;"*",'來案暨出貨明細表-基因檢測(201904起'!$B:$B,BK$1)*$B27+COUNTIFS('來案暨出貨明細表-基因檢測(201904起'!$P:$P,$A27&amp;"*",'來案暨出貨明細表-基因檢測(201904起'!$B:$B,BK$1,'來案暨出貨明細表-基因檢測(201904起'!$Q:$Q,"紙本&amp;電子")++COUNTIFS('來案暨出貨明細表-基因檢測(201904起'!$P:$P,$A27&amp;"*",'來案暨出貨明細表-基因檢測(201904起'!$B:$B,BK$1,'來案暨出貨明細表-基因檢測(201904起'!$R:$R,"中英")</f>
        <v>0</v>
      </c>
    </row>
    <row r="28" spans="1:63" ht="15" customHeight="1">
      <c r="A28" s="166" t="s">
        <v>4546</v>
      </c>
      <c r="B28" s="167">
        <v>1</v>
      </c>
      <c r="C28" s="195" t="s">
        <v>4547</v>
      </c>
      <c r="D28" s="169" t="s">
        <v>4548</v>
      </c>
      <c r="E28" s="162">
        <v>0</v>
      </c>
      <c r="F28" s="162">
        <v>0</v>
      </c>
      <c r="G28" s="162">
        <v>0</v>
      </c>
      <c r="H28" s="162">
        <v>0</v>
      </c>
      <c r="I28" s="162">
        <v>0</v>
      </c>
      <c r="J28" s="162">
        <v>0</v>
      </c>
      <c r="K28" s="162">
        <v>0</v>
      </c>
      <c r="L28" s="162">
        <v>0</v>
      </c>
      <c r="M28" s="162">
        <v>0</v>
      </c>
      <c r="N28" s="162">
        <v>0</v>
      </c>
      <c r="O28" s="162">
        <v>0</v>
      </c>
      <c r="P28" s="162">
        <v>0</v>
      </c>
      <c r="Q28" s="162">
        <v>0</v>
      </c>
      <c r="R28" s="162">
        <v>0</v>
      </c>
      <c r="S28" s="162">
        <v>1</v>
      </c>
      <c r="T28" s="162">
        <v>0</v>
      </c>
      <c r="U28" s="162">
        <v>0</v>
      </c>
      <c r="V28" s="162">
        <v>0</v>
      </c>
      <c r="W28" s="162">
        <v>0</v>
      </c>
      <c r="X28" s="162">
        <v>0</v>
      </c>
      <c r="Y28" s="162">
        <v>0</v>
      </c>
      <c r="Z28" s="162">
        <v>0</v>
      </c>
      <c r="AA28" s="162">
        <v>0</v>
      </c>
      <c r="AB28" s="162">
        <v>0</v>
      </c>
      <c r="AC28" s="162">
        <v>0</v>
      </c>
      <c r="AD28" s="162">
        <v>0</v>
      </c>
      <c r="AE28" s="162">
        <v>0</v>
      </c>
      <c r="AF28" s="162">
        <v>0</v>
      </c>
      <c r="AG28" s="162">
        <v>0</v>
      </c>
      <c r="AH28" s="162">
        <v>0</v>
      </c>
      <c r="AI28" s="162">
        <v>0</v>
      </c>
      <c r="AJ28" s="170">
        <v>1</v>
      </c>
      <c r="AK28" s="33">
        <f>COUNTIFS('來案暨出貨明細表-基因檢測(201904起'!$P:$P,$A28&amp;"*",'來案暨出貨明細表-基因檢測(201904起'!$B:$B,AK$1)*$B28+COUNTIFS('來案暨出貨明細表-基因檢測(201904起'!$P:$P,$A28&amp;"*",'來案暨出貨明細表-基因檢測(201904起'!$B:$B,AK$1,'來案暨出貨明細表-基因檢測(201904起'!$Q:$Q,"紙本&amp;電子")++COUNTIFS('來案暨出貨明細表-基因檢測(201904起'!$P:$P,$A28&amp;"*",'來案暨出貨明細表-基因檢測(201904起'!$B:$B,AK$1,'來案暨出貨明細表-基因檢測(201904起'!$R:$R,"中英")</f>
        <v>0</v>
      </c>
      <c r="AL28" s="33">
        <f>COUNTIFS('來案暨出貨明細表-基因檢測(201904起'!$P:$P,$A28&amp;"*",'來案暨出貨明細表-基因檢測(201904起'!$B:$B,AL$1)*$B28+COUNTIFS('來案暨出貨明細表-基因檢測(201904起'!$P:$P,$A28&amp;"*",'來案暨出貨明細表-基因檢測(201904起'!$B:$B,AL$1,'來案暨出貨明細表-基因檢測(201904起'!$Q:$Q,"紙本&amp;電子")++COUNTIFS('來案暨出貨明細表-基因檢測(201904起'!$P:$P,$A28&amp;"*",'來案暨出貨明細表-基因檢測(201904起'!$B:$B,AL$1,'來案暨出貨明細表-基因檢測(201904起'!$R:$R,"中英")</f>
        <v>0</v>
      </c>
      <c r="AM28" s="33">
        <f>COUNTIFS('來案暨出貨明細表-基因檢測(201904起'!$P:$P,$A28&amp;"*",'來案暨出貨明細表-基因檢測(201904起'!$B:$B,AM$1)*$B28+COUNTIFS('來案暨出貨明細表-基因檢測(201904起'!$P:$P,$A28&amp;"*",'來案暨出貨明細表-基因檢測(201904起'!$B:$B,AM$1,'來案暨出貨明細表-基因檢測(201904起'!$Q:$Q,"紙本&amp;電子")++COUNTIFS('來案暨出貨明細表-基因檢測(201904起'!$P:$P,$A28&amp;"*",'來案暨出貨明細表-基因檢測(201904起'!$B:$B,AM$1,'來案暨出貨明細表-基因檢測(201904起'!$R:$R,"中英")</f>
        <v>0</v>
      </c>
      <c r="AN28" s="33">
        <f>COUNTIFS('來案暨出貨明細表-基因檢測(201904起'!$P:$P,$A28&amp;"*",'來案暨出貨明細表-基因檢測(201904起'!$B:$B,AN$1)*$B28+COUNTIFS('來案暨出貨明細表-基因檢測(201904起'!$P:$P,$A28&amp;"*",'來案暨出貨明細表-基因檢測(201904起'!$B:$B,AN$1,'來案暨出貨明細表-基因檢測(201904起'!$Q:$Q,"紙本&amp;電子")++COUNTIFS('來案暨出貨明細表-基因檢測(201904起'!$P:$P,$A28&amp;"*",'來案暨出貨明細表-基因檢測(201904起'!$B:$B,AN$1,'來案暨出貨明細表-基因檢測(201904起'!$R:$R,"中英")</f>
        <v>0</v>
      </c>
      <c r="AO28" s="33">
        <f>COUNTIFS('來案暨出貨明細表-基因檢測(201904起'!$P:$P,$A28&amp;"*",'來案暨出貨明細表-基因檢測(201904起'!$B:$B,AO$1)*$B28+COUNTIFS('來案暨出貨明細表-基因檢測(201904起'!$P:$P,$A28&amp;"*",'來案暨出貨明細表-基因檢測(201904起'!$B:$B,AO$1,'來案暨出貨明細表-基因檢測(201904起'!$Q:$Q,"紙本&amp;電子")++COUNTIFS('來案暨出貨明細表-基因檢測(201904起'!$P:$P,$A28&amp;"*",'來案暨出貨明細表-基因檢測(201904起'!$B:$B,AO$1,'來案暨出貨明細表-基因檢測(201904起'!$R:$R,"中英")</f>
        <v>0</v>
      </c>
      <c r="AP28" s="33">
        <f>COUNTIFS('來案暨出貨明細表-基因檢測(201904起'!$P:$P,$A28&amp;"*",'來案暨出貨明細表-基因檢測(201904起'!$B:$B,AP$1)*$B28+COUNTIFS('來案暨出貨明細表-基因檢測(201904起'!$P:$P,$A28&amp;"*",'來案暨出貨明細表-基因檢測(201904起'!$B:$B,AP$1,'來案暨出貨明細表-基因檢測(201904起'!$Q:$Q,"紙本&amp;電子")++COUNTIFS('來案暨出貨明細表-基因檢測(201904起'!$P:$P,$A28&amp;"*",'來案暨出貨明細表-基因檢測(201904起'!$B:$B,AP$1,'來案暨出貨明細表-基因檢測(201904起'!$R:$R,"中英")</f>
        <v>0</v>
      </c>
      <c r="AQ28" s="33">
        <f>COUNTIFS('來案暨出貨明細表-基因檢測(201904起'!$P:$P,$A28&amp;"*",'來案暨出貨明細表-基因檢測(201904起'!$B:$B,AQ$1)*$B28+COUNTIFS('來案暨出貨明細表-基因檢測(201904起'!$P:$P,$A28&amp;"*",'來案暨出貨明細表-基因檢測(201904起'!$B:$B,AQ$1,'來案暨出貨明細表-基因檢測(201904起'!$Q:$Q,"紙本&amp;電子")++COUNTIFS('來案暨出貨明細表-基因檢測(201904起'!$P:$P,$A28&amp;"*",'來案暨出貨明細表-基因檢測(201904起'!$B:$B,AQ$1,'來案暨出貨明細表-基因檢測(201904起'!$R:$R,"中英")</f>
        <v>0</v>
      </c>
      <c r="AR28" s="33">
        <f>COUNTIFS('來案暨出貨明細表-基因檢測(201904起'!$P:$P,$A28&amp;"*",'來案暨出貨明細表-基因檢測(201904起'!$B:$B,AR$1)*$B28+COUNTIFS('來案暨出貨明細表-基因檢測(201904起'!$P:$P,$A28&amp;"*",'來案暨出貨明細表-基因檢測(201904起'!$B:$B,AR$1,'來案暨出貨明細表-基因檢測(201904起'!$Q:$Q,"紙本&amp;電子")++COUNTIFS('來案暨出貨明細表-基因檢測(201904起'!$P:$P,$A28&amp;"*",'來案暨出貨明細表-基因檢測(201904起'!$B:$B,AR$1,'來案暨出貨明細表-基因檢測(201904起'!$R:$R,"中英")</f>
        <v>0</v>
      </c>
      <c r="AS28" s="33">
        <f>COUNTIFS('來案暨出貨明細表-基因檢測(201904起'!$P:$P,$A28&amp;"*",'來案暨出貨明細表-基因檢測(201904起'!$B:$B,AS$1)*$B28+COUNTIFS('來案暨出貨明細表-基因檢測(201904起'!$P:$P,$A28&amp;"*",'來案暨出貨明細表-基因檢測(201904起'!$B:$B,AS$1,'來案暨出貨明細表-基因檢測(201904起'!$Q:$Q,"紙本&amp;電子")++COUNTIFS('來案暨出貨明細表-基因檢測(201904起'!$P:$P,$A28&amp;"*",'來案暨出貨明細表-基因檢測(201904起'!$B:$B,AS$1,'來案暨出貨明細表-基因檢測(201904起'!$R:$R,"中英")</f>
        <v>0</v>
      </c>
      <c r="AT28" s="33">
        <f>COUNTIFS('來案暨出貨明細表-基因檢測(201904起'!$P:$P,$A28&amp;"*",'來案暨出貨明細表-基因檢測(201904起'!$B:$B,AT$1)*$B28+COUNTIFS('來案暨出貨明細表-基因檢測(201904起'!$P:$P,$A28&amp;"*",'來案暨出貨明細表-基因檢測(201904起'!$B:$B,AT$1,'來案暨出貨明細表-基因檢測(201904起'!$Q:$Q,"紙本&amp;電子")++COUNTIFS('來案暨出貨明細表-基因檢測(201904起'!$P:$P,$A28&amp;"*",'來案暨出貨明細表-基因檢測(201904起'!$B:$B,AT$1,'來案暨出貨明細表-基因檢測(201904起'!$R:$R,"中英")</f>
        <v>0</v>
      </c>
      <c r="AU28" s="33">
        <f>COUNTIFS('來案暨出貨明細表-基因檢測(201904起'!$P:$P,$A28&amp;"*",'來案暨出貨明細表-基因檢測(201904起'!$B:$B,AU$1)*$B28+COUNTIFS('來案暨出貨明細表-基因檢測(201904起'!$P:$P,$A28&amp;"*",'來案暨出貨明細表-基因檢測(201904起'!$B:$B,AU$1,'來案暨出貨明細表-基因檢測(201904起'!$Q:$Q,"紙本&amp;電子")++COUNTIFS('來案暨出貨明細表-基因檢測(201904起'!$P:$P,$A28&amp;"*",'來案暨出貨明細表-基因檢測(201904起'!$B:$B,AU$1,'來案暨出貨明細表-基因檢測(201904起'!$R:$R,"中英")</f>
        <v>0</v>
      </c>
      <c r="AV28" s="33">
        <f>COUNTIFS('來案暨出貨明細表-基因檢測(201904起'!$P:$P,$A28&amp;"*",'來案暨出貨明細表-基因檢測(201904起'!$B:$B,AV$1)*$B28+COUNTIFS('來案暨出貨明細表-基因檢測(201904起'!$P:$P,$A28&amp;"*",'來案暨出貨明細表-基因檢測(201904起'!$B:$B,AV$1,'來案暨出貨明細表-基因檢測(201904起'!$Q:$Q,"紙本&amp;電子")++COUNTIFS('來案暨出貨明細表-基因檢測(201904起'!$P:$P,$A28&amp;"*",'來案暨出貨明細表-基因檢測(201904起'!$B:$B,AV$1,'來案暨出貨明細表-基因檢測(201904起'!$R:$R,"中英")</f>
        <v>0</v>
      </c>
      <c r="AW28" s="33">
        <f>COUNTIFS('來案暨出貨明細表-基因檢測(201904起'!$P:$P,$A28&amp;"*",'來案暨出貨明細表-基因檢測(201904起'!$B:$B,AW$1)*$B28+COUNTIFS('來案暨出貨明細表-基因檢測(201904起'!$P:$P,$A28&amp;"*",'來案暨出貨明細表-基因檢測(201904起'!$B:$B,AW$1,'來案暨出貨明細表-基因檢測(201904起'!$Q:$Q,"紙本&amp;電子")++COUNTIFS('來案暨出貨明細表-基因檢測(201904起'!$P:$P,$A28&amp;"*",'來案暨出貨明細表-基因檢測(201904起'!$B:$B,AW$1,'來案暨出貨明細表-基因檢測(201904起'!$R:$R,"中英")</f>
        <v>0</v>
      </c>
      <c r="AX28" s="33">
        <f>COUNTIFS('來案暨出貨明細表-基因檢測(201904起'!$P:$P,$A28&amp;"*",'來案暨出貨明細表-基因檢測(201904起'!$B:$B,AX$1)*$B28+COUNTIFS('來案暨出貨明細表-基因檢測(201904起'!$P:$P,$A28&amp;"*",'來案暨出貨明細表-基因檢測(201904起'!$B:$B,AX$1,'來案暨出貨明細表-基因檢測(201904起'!$Q:$Q,"紙本&amp;電子")++COUNTIFS('來案暨出貨明細表-基因檢測(201904起'!$P:$P,$A28&amp;"*",'來案暨出貨明細表-基因檢測(201904起'!$B:$B,AX$1,'來案暨出貨明細表-基因檢測(201904起'!$R:$R,"中英")</f>
        <v>0</v>
      </c>
      <c r="AY28" s="33">
        <f>COUNTIFS('來案暨出貨明細表-基因檢測(201904起'!$P:$P,$A28&amp;"*",'來案暨出貨明細表-基因檢測(201904起'!$B:$B,AY$1)*$B28+COUNTIFS('來案暨出貨明細表-基因檢測(201904起'!$P:$P,$A28&amp;"*",'來案暨出貨明細表-基因檢測(201904起'!$B:$B,AY$1,'來案暨出貨明細表-基因檢測(201904起'!$Q:$Q,"紙本&amp;電子")++COUNTIFS('來案暨出貨明細表-基因檢測(201904起'!$P:$P,$A28&amp;"*",'來案暨出貨明細表-基因檢測(201904起'!$B:$B,AY$1,'來案暨出貨明細表-基因檢測(201904起'!$R:$R,"中英")</f>
        <v>0</v>
      </c>
      <c r="AZ28" s="33">
        <f>COUNTIFS('來案暨出貨明細表-基因檢測(201904起'!$P:$P,$A28&amp;"*",'來案暨出貨明細表-基因檢測(201904起'!$B:$B,AZ$1)*$B28+COUNTIFS('來案暨出貨明細表-基因檢測(201904起'!$P:$P,$A28&amp;"*",'來案暨出貨明細表-基因檢測(201904起'!$B:$B,AZ$1,'來案暨出貨明細表-基因檢測(201904起'!$Q:$Q,"紙本&amp;電子")++COUNTIFS('來案暨出貨明細表-基因檢測(201904起'!$P:$P,$A28&amp;"*",'來案暨出貨明細表-基因檢測(201904起'!$B:$B,AZ$1,'來案暨出貨明細表-基因檢測(201904起'!$R:$R,"中英")</f>
        <v>0</v>
      </c>
      <c r="BA28" s="33">
        <f>COUNTIFS('來案暨出貨明細表-基因檢測(201904起'!$P:$P,$A28&amp;"*",'來案暨出貨明細表-基因檢測(201904起'!$B:$B,BA$1)*$B28+COUNTIFS('來案暨出貨明細表-基因檢測(201904起'!$P:$P,$A28&amp;"*",'來案暨出貨明細表-基因檢測(201904起'!$B:$B,BA$1,'來案暨出貨明細表-基因檢測(201904起'!$Q:$Q,"紙本&amp;電子")++COUNTIFS('來案暨出貨明細表-基因檢測(201904起'!$P:$P,$A28&amp;"*",'來案暨出貨明細表-基因檢測(201904起'!$B:$B,BA$1,'來案暨出貨明細表-基因檢測(201904起'!$R:$R,"中英")</f>
        <v>0</v>
      </c>
      <c r="BB28" s="33">
        <f>COUNTIFS('來案暨出貨明細表-基因檢測(201904起'!$P:$P,$A28&amp;"*",'來案暨出貨明細表-基因檢測(201904起'!$B:$B,BB$1)*$B28+COUNTIFS('來案暨出貨明細表-基因檢測(201904起'!$P:$P,$A28&amp;"*",'來案暨出貨明細表-基因檢測(201904起'!$B:$B,BB$1,'來案暨出貨明細表-基因檢測(201904起'!$Q:$Q,"紙本&amp;電子")++COUNTIFS('來案暨出貨明細表-基因檢測(201904起'!$P:$P,$A28&amp;"*",'來案暨出貨明細表-基因檢測(201904起'!$B:$B,BB$1,'來案暨出貨明細表-基因檢測(201904起'!$R:$R,"中英")</f>
        <v>0</v>
      </c>
      <c r="BC28" s="33">
        <f>COUNTIFS('來案暨出貨明細表-基因檢測(201904起'!$P:$P,$A28&amp;"*",'來案暨出貨明細表-基因檢測(201904起'!$B:$B,BC$1)*$B28+COUNTIFS('來案暨出貨明細表-基因檢測(201904起'!$P:$P,$A28&amp;"*",'來案暨出貨明細表-基因檢測(201904起'!$B:$B,BC$1,'來案暨出貨明細表-基因檢測(201904起'!$Q:$Q,"紙本&amp;電子")++COUNTIFS('來案暨出貨明細表-基因檢測(201904起'!$P:$P,$A28&amp;"*",'來案暨出貨明細表-基因檢測(201904起'!$B:$B,BC$1,'來案暨出貨明細表-基因檢測(201904起'!$R:$R,"中英")</f>
        <v>0</v>
      </c>
      <c r="BD28" s="33">
        <f>COUNTIFS('來案暨出貨明細表-基因檢測(201904起'!$P:$P,$A28&amp;"*",'來案暨出貨明細表-基因檢測(201904起'!$B:$B,BD$1)*$B28+COUNTIFS('來案暨出貨明細表-基因檢測(201904起'!$P:$P,$A28&amp;"*",'來案暨出貨明細表-基因檢測(201904起'!$B:$B,BD$1,'來案暨出貨明細表-基因檢測(201904起'!$Q:$Q,"紙本&amp;電子")++COUNTIFS('來案暨出貨明細表-基因檢測(201904起'!$P:$P,$A28&amp;"*",'來案暨出貨明細表-基因檢測(201904起'!$B:$B,BD$1,'來案暨出貨明細表-基因檢測(201904起'!$R:$R,"中英")</f>
        <v>0</v>
      </c>
      <c r="BE28" s="33">
        <f>COUNTIFS('來案暨出貨明細表-基因檢測(201904起'!$P:$P,$A28&amp;"*",'來案暨出貨明細表-基因檢測(201904起'!$B:$B,BE$1)*$B28+COUNTIFS('來案暨出貨明細表-基因檢測(201904起'!$P:$P,$A28&amp;"*",'來案暨出貨明細表-基因檢測(201904起'!$B:$B,BE$1,'來案暨出貨明細表-基因檢測(201904起'!$Q:$Q,"紙本&amp;電子")++COUNTIFS('來案暨出貨明細表-基因檢測(201904起'!$P:$P,$A28&amp;"*",'來案暨出貨明細表-基因檢測(201904起'!$B:$B,BE$1,'來案暨出貨明細表-基因檢測(201904起'!$R:$R,"中英")</f>
        <v>0</v>
      </c>
      <c r="BF28" s="33">
        <f>COUNTIFS('來案暨出貨明細表-基因檢測(201904起'!$P:$P,$A28&amp;"*",'來案暨出貨明細表-基因檢測(201904起'!$B:$B,BF$1)*$B28+COUNTIFS('來案暨出貨明細表-基因檢測(201904起'!$P:$P,$A28&amp;"*",'來案暨出貨明細表-基因檢測(201904起'!$B:$B,BF$1,'來案暨出貨明細表-基因檢測(201904起'!$Q:$Q,"紙本&amp;電子")++COUNTIFS('來案暨出貨明細表-基因檢測(201904起'!$P:$P,$A28&amp;"*",'來案暨出貨明細表-基因檢測(201904起'!$B:$B,BF$1,'來案暨出貨明細表-基因檢測(201904起'!$R:$R,"中英")</f>
        <v>0</v>
      </c>
      <c r="BG28" s="33">
        <f>COUNTIFS('來案暨出貨明細表-基因檢測(201904起'!$P:$P,$A28&amp;"*",'來案暨出貨明細表-基因檢測(201904起'!$B:$B,BG$1)*$B28+COUNTIFS('來案暨出貨明細表-基因檢測(201904起'!$P:$P,$A28&amp;"*",'來案暨出貨明細表-基因檢測(201904起'!$B:$B,BG$1,'來案暨出貨明細表-基因檢測(201904起'!$Q:$Q,"紙本&amp;電子")++COUNTIFS('來案暨出貨明細表-基因檢測(201904起'!$P:$P,$A28&amp;"*",'來案暨出貨明細表-基因檢測(201904起'!$B:$B,BG$1,'來案暨出貨明細表-基因檢測(201904起'!$R:$R,"中英")</f>
        <v>0</v>
      </c>
      <c r="BH28" s="33">
        <f>COUNTIFS('來案暨出貨明細表-基因檢測(201904起'!$P:$P,$A28&amp;"*",'來案暨出貨明細表-基因檢測(201904起'!$B:$B,BH$1)*$B28+COUNTIFS('來案暨出貨明細表-基因檢測(201904起'!$P:$P,$A28&amp;"*",'來案暨出貨明細表-基因檢測(201904起'!$B:$B,BH$1,'來案暨出貨明細表-基因檢測(201904起'!$Q:$Q,"紙本&amp;電子")++COUNTIFS('來案暨出貨明細表-基因檢測(201904起'!$P:$P,$A28&amp;"*",'來案暨出貨明細表-基因檢測(201904起'!$B:$B,BH$1,'來案暨出貨明細表-基因檢測(201904起'!$R:$R,"中英")</f>
        <v>0</v>
      </c>
      <c r="BI28" s="33">
        <f>COUNTIFS('來案暨出貨明細表-基因檢測(201904起'!$P:$P,$A28&amp;"*",'來案暨出貨明細表-基因檢測(201904起'!$B:$B,BI$1)*$B28+COUNTIFS('來案暨出貨明細表-基因檢測(201904起'!$P:$P,$A28&amp;"*",'來案暨出貨明細表-基因檢測(201904起'!$B:$B,BI$1,'來案暨出貨明細表-基因檢測(201904起'!$Q:$Q,"紙本&amp;電子")++COUNTIFS('來案暨出貨明細表-基因檢測(201904起'!$P:$P,$A28&amp;"*",'來案暨出貨明細表-基因檢測(201904起'!$B:$B,BI$1,'來案暨出貨明細表-基因檢測(201904起'!$R:$R,"中英")</f>
        <v>0</v>
      </c>
      <c r="BJ28" s="33">
        <f>COUNTIFS('來案暨出貨明細表-基因檢測(201904起'!$P:$P,$A28&amp;"*",'來案暨出貨明細表-基因檢測(201904起'!$B:$B,BJ$1)*$B28+COUNTIFS('來案暨出貨明細表-基因檢測(201904起'!$P:$P,$A28&amp;"*",'來案暨出貨明細表-基因檢測(201904起'!$B:$B,BJ$1,'來案暨出貨明細表-基因檢測(201904起'!$Q:$Q,"紙本&amp;電子")++COUNTIFS('來案暨出貨明細表-基因檢測(201904起'!$P:$P,$A28&amp;"*",'來案暨出貨明細表-基因檢測(201904起'!$B:$B,BJ$1,'來案暨出貨明細表-基因檢測(201904起'!$R:$R,"中英")</f>
        <v>0</v>
      </c>
      <c r="BK28" s="33">
        <f>COUNTIFS('來案暨出貨明細表-基因檢測(201904起'!$P:$P,$A28&amp;"*",'來案暨出貨明細表-基因檢測(201904起'!$B:$B,BK$1)*$B28+COUNTIFS('來案暨出貨明細表-基因檢測(201904起'!$P:$P,$A28&amp;"*",'來案暨出貨明細表-基因檢測(201904起'!$B:$B,BK$1,'來案暨出貨明細表-基因檢測(201904起'!$Q:$Q,"紙本&amp;電子")++COUNTIFS('來案暨出貨明細表-基因檢測(201904起'!$P:$P,$A28&amp;"*",'來案暨出貨明細表-基因檢測(201904起'!$B:$B,BK$1,'來案暨出貨明細表-基因檢測(201904起'!$R:$R,"中英")</f>
        <v>0</v>
      </c>
    </row>
    <row r="29" spans="1:63" ht="15" customHeight="1">
      <c r="A29" s="166" t="s">
        <v>4549</v>
      </c>
      <c r="B29" s="167">
        <v>1</v>
      </c>
      <c r="C29" s="195" t="s">
        <v>4550</v>
      </c>
      <c r="D29" s="169" t="s">
        <v>4551</v>
      </c>
      <c r="E29" s="162">
        <v>0</v>
      </c>
      <c r="F29" s="162">
        <v>0</v>
      </c>
      <c r="G29" s="162">
        <v>0</v>
      </c>
      <c r="H29" s="162">
        <v>0</v>
      </c>
      <c r="I29" s="162">
        <v>0</v>
      </c>
      <c r="J29" s="162">
        <v>0</v>
      </c>
      <c r="K29" s="162">
        <v>0</v>
      </c>
      <c r="L29" s="162">
        <v>0</v>
      </c>
      <c r="M29" s="162">
        <v>0</v>
      </c>
      <c r="N29" s="162">
        <v>0</v>
      </c>
      <c r="O29" s="162">
        <v>0</v>
      </c>
      <c r="P29" s="162">
        <v>0</v>
      </c>
      <c r="Q29" s="162">
        <v>0</v>
      </c>
      <c r="R29" s="162">
        <v>0</v>
      </c>
      <c r="S29" s="162">
        <v>0</v>
      </c>
      <c r="T29" s="162">
        <v>0</v>
      </c>
      <c r="U29" s="162">
        <v>0</v>
      </c>
      <c r="V29" s="162">
        <v>0</v>
      </c>
      <c r="W29" s="162">
        <v>0</v>
      </c>
      <c r="X29" s="162">
        <v>0</v>
      </c>
      <c r="Y29" s="162">
        <v>0</v>
      </c>
      <c r="Z29" s="162">
        <v>0</v>
      </c>
      <c r="AA29" s="162">
        <v>0</v>
      </c>
      <c r="AB29" s="162">
        <v>0</v>
      </c>
      <c r="AC29" s="162">
        <v>0</v>
      </c>
      <c r="AD29" s="162">
        <v>0</v>
      </c>
      <c r="AE29" s="162">
        <v>0</v>
      </c>
      <c r="AF29" s="162">
        <v>0</v>
      </c>
      <c r="AG29" s="162">
        <v>0</v>
      </c>
      <c r="AH29" s="162">
        <v>0</v>
      </c>
      <c r="AI29" s="162">
        <v>0</v>
      </c>
      <c r="AJ29" s="170">
        <v>0</v>
      </c>
      <c r="AK29" s="33">
        <f>COUNTIFS('來案暨出貨明細表-基因檢測(201904起'!$P:$P,$A29&amp;"*",'來案暨出貨明細表-基因檢測(201904起'!$B:$B,AK$1)*$B29+COUNTIFS('來案暨出貨明細表-基因檢測(201904起'!$P:$P,$A29&amp;"*",'來案暨出貨明細表-基因檢測(201904起'!$B:$B,AK$1,'來案暨出貨明細表-基因檢測(201904起'!$Q:$Q,"紙本&amp;電子")++COUNTIFS('來案暨出貨明細表-基因檢測(201904起'!$P:$P,$A29&amp;"*",'來案暨出貨明細表-基因檢測(201904起'!$B:$B,AK$1,'來案暨出貨明細表-基因檢測(201904起'!$R:$R,"中英")</f>
        <v>0</v>
      </c>
      <c r="AL29" s="33">
        <f>COUNTIFS('來案暨出貨明細表-基因檢測(201904起'!$P:$P,$A29&amp;"*",'來案暨出貨明細表-基因檢測(201904起'!$B:$B,AL$1)*$B29+COUNTIFS('來案暨出貨明細表-基因檢測(201904起'!$P:$P,$A29&amp;"*",'來案暨出貨明細表-基因檢測(201904起'!$B:$B,AL$1,'來案暨出貨明細表-基因檢測(201904起'!$Q:$Q,"紙本&amp;電子")++COUNTIFS('來案暨出貨明細表-基因檢測(201904起'!$P:$P,$A29&amp;"*",'來案暨出貨明細表-基因檢測(201904起'!$B:$B,AL$1,'來案暨出貨明細表-基因檢測(201904起'!$R:$R,"中英")</f>
        <v>0</v>
      </c>
      <c r="AM29" s="33">
        <f>COUNTIFS('來案暨出貨明細表-基因檢測(201904起'!$P:$P,$A29&amp;"*",'來案暨出貨明細表-基因檢測(201904起'!$B:$B,AM$1)*$B29+COUNTIFS('來案暨出貨明細表-基因檢測(201904起'!$P:$P,$A29&amp;"*",'來案暨出貨明細表-基因檢測(201904起'!$B:$B,AM$1,'來案暨出貨明細表-基因檢測(201904起'!$Q:$Q,"紙本&amp;電子")++COUNTIFS('來案暨出貨明細表-基因檢測(201904起'!$P:$P,$A29&amp;"*",'來案暨出貨明細表-基因檢測(201904起'!$B:$B,AM$1,'來案暨出貨明細表-基因檢測(201904起'!$R:$R,"中英")</f>
        <v>0</v>
      </c>
      <c r="AN29" s="33">
        <f>COUNTIFS('來案暨出貨明細表-基因檢測(201904起'!$P:$P,$A29&amp;"*",'來案暨出貨明細表-基因檢測(201904起'!$B:$B,AN$1)*$B29+COUNTIFS('來案暨出貨明細表-基因檢測(201904起'!$P:$P,$A29&amp;"*",'來案暨出貨明細表-基因檢測(201904起'!$B:$B,AN$1,'來案暨出貨明細表-基因檢測(201904起'!$Q:$Q,"紙本&amp;電子")++COUNTIFS('來案暨出貨明細表-基因檢測(201904起'!$P:$P,$A29&amp;"*",'來案暨出貨明細表-基因檢測(201904起'!$B:$B,AN$1,'來案暨出貨明細表-基因檢測(201904起'!$R:$R,"中英")</f>
        <v>0</v>
      </c>
      <c r="AO29" s="33">
        <f>COUNTIFS('來案暨出貨明細表-基因檢測(201904起'!$P:$P,$A29&amp;"*",'來案暨出貨明細表-基因檢測(201904起'!$B:$B,AO$1)*$B29+COUNTIFS('來案暨出貨明細表-基因檢測(201904起'!$P:$P,$A29&amp;"*",'來案暨出貨明細表-基因檢測(201904起'!$B:$B,AO$1,'來案暨出貨明細表-基因檢測(201904起'!$Q:$Q,"紙本&amp;電子")++COUNTIFS('來案暨出貨明細表-基因檢測(201904起'!$P:$P,$A29&amp;"*",'來案暨出貨明細表-基因檢測(201904起'!$B:$B,AO$1,'來案暨出貨明細表-基因檢測(201904起'!$R:$R,"中英")</f>
        <v>0</v>
      </c>
      <c r="AP29" s="33">
        <f>COUNTIFS('來案暨出貨明細表-基因檢測(201904起'!$P:$P,$A29&amp;"*",'來案暨出貨明細表-基因檢測(201904起'!$B:$B,AP$1)*$B29+COUNTIFS('來案暨出貨明細表-基因檢測(201904起'!$P:$P,$A29&amp;"*",'來案暨出貨明細表-基因檢測(201904起'!$B:$B,AP$1,'來案暨出貨明細表-基因檢測(201904起'!$Q:$Q,"紙本&amp;電子")++COUNTIFS('來案暨出貨明細表-基因檢測(201904起'!$P:$P,$A29&amp;"*",'來案暨出貨明細表-基因檢測(201904起'!$B:$B,AP$1,'來案暨出貨明細表-基因檢測(201904起'!$R:$R,"中英")</f>
        <v>0</v>
      </c>
      <c r="AQ29" s="33">
        <f>COUNTIFS('來案暨出貨明細表-基因檢測(201904起'!$P:$P,$A29&amp;"*",'來案暨出貨明細表-基因檢測(201904起'!$B:$B,AQ$1)*$B29+COUNTIFS('來案暨出貨明細表-基因檢測(201904起'!$P:$P,$A29&amp;"*",'來案暨出貨明細表-基因檢測(201904起'!$B:$B,AQ$1,'來案暨出貨明細表-基因檢測(201904起'!$Q:$Q,"紙本&amp;電子")++COUNTIFS('來案暨出貨明細表-基因檢測(201904起'!$P:$P,$A29&amp;"*",'來案暨出貨明細表-基因檢測(201904起'!$B:$B,AQ$1,'來案暨出貨明細表-基因檢測(201904起'!$R:$R,"中英")</f>
        <v>0</v>
      </c>
      <c r="AR29" s="33">
        <f>COUNTIFS('來案暨出貨明細表-基因檢測(201904起'!$P:$P,$A29&amp;"*",'來案暨出貨明細表-基因檢測(201904起'!$B:$B,AR$1)*$B29+COUNTIFS('來案暨出貨明細表-基因檢測(201904起'!$P:$P,$A29&amp;"*",'來案暨出貨明細表-基因檢測(201904起'!$B:$B,AR$1,'來案暨出貨明細表-基因檢測(201904起'!$Q:$Q,"紙本&amp;電子")++COUNTIFS('來案暨出貨明細表-基因檢測(201904起'!$P:$P,$A29&amp;"*",'來案暨出貨明細表-基因檢測(201904起'!$B:$B,AR$1,'來案暨出貨明細表-基因檢測(201904起'!$R:$R,"中英")</f>
        <v>0</v>
      </c>
      <c r="AS29" s="33">
        <f>COUNTIFS('來案暨出貨明細表-基因檢測(201904起'!$P:$P,$A29&amp;"*",'來案暨出貨明細表-基因檢測(201904起'!$B:$B,AS$1)*$B29+COUNTIFS('來案暨出貨明細表-基因檢測(201904起'!$P:$P,$A29&amp;"*",'來案暨出貨明細表-基因檢測(201904起'!$B:$B,AS$1,'來案暨出貨明細表-基因檢測(201904起'!$Q:$Q,"紙本&amp;電子")++COUNTIFS('來案暨出貨明細表-基因檢測(201904起'!$P:$P,$A29&amp;"*",'來案暨出貨明細表-基因檢測(201904起'!$B:$B,AS$1,'來案暨出貨明細表-基因檢測(201904起'!$R:$R,"中英")</f>
        <v>0</v>
      </c>
      <c r="AT29" s="33">
        <f>COUNTIFS('來案暨出貨明細表-基因檢測(201904起'!$P:$P,$A29&amp;"*",'來案暨出貨明細表-基因檢測(201904起'!$B:$B,AT$1)*$B29+COUNTIFS('來案暨出貨明細表-基因檢測(201904起'!$P:$P,$A29&amp;"*",'來案暨出貨明細表-基因檢測(201904起'!$B:$B,AT$1,'來案暨出貨明細表-基因檢測(201904起'!$Q:$Q,"紙本&amp;電子")++COUNTIFS('來案暨出貨明細表-基因檢測(201904起'!$P:$P,$A29&amp;"*",'來案暨出貨明細表-基因檢測(201904起'!$B:$B,AT$1,'來案暨出貨明細表-基因檢測(201904起'!$R:$R,"中英")</f>
        <v>0</v>
      </c>
      <c r="AU29" s="33">
        <f>COUNTIFS('來案暨出貨明細表-基因檢測(201904起'!$P:$P,$A29&amp;"*",'來案暨出貨明細表-基因檢測(201904起'!$B:$B,AU$1)*$B29+COUNTIFS('來案暨出貨明細表-基因檢測(201904起'!$P:$P,$A29&amp;"*",'來案暨出貨明細表-基因檢測(201904起'!$B:$B,AU$1,'來案暨出貨明細表-基因檢測(201904起'!$Q:$Q,"紙本&amp;電子")++COUNTIFS('來案暨出貨明細表-基因檢測(201904起'!$P:$P,$A29&amp;"*",'來案暨出貨明細表-基因檢測(201904起'!$B:$B,AU$1,'來案暨出貨明細表-基因檢測(201904起'!$R:$R,"中英")</f>
        <v>0</v>
      </c>
      <c r="AV29" s="33">
        <f>COUNTIFS('來案暨出貨明細表-基因檢測(201904起'!$P:$P,$A29&amp;"*",'來案暨出貨明細表-基因檢測(201904起'!$B:$B,AV$1)*$B29+COUNTIFS('來案暨出貨明細表-基因檢測(201904起'!$P:$P,$A29&amp;"*",'來案暨出貨明細表-基因檢測(201904起'!$B:$B,AV$1,'來案暨出貨明細表-基因檢測(201904起'!$Q:$Q,"紙本&amp;電子")++COUNTIFS('來案暨出貨明細表-基因檢測(201904起'!$P:$P,$A29&amp;"*",'來案暨出貨明細表-基因檢測(201904起'!$B:$B,AV$1,'來案暨出貨明細表-基因檢測(201904起'!$R:$R,"中英")</f>
        <v>0</v>
      </c>
      <c r="AW29" s="33">
        <f>COUNTIFS('來案暨出貨明細表-基因檢測(201904起'!$P:$P,$A29&amp;"*",'來案暨出貨明細表-基因檢測(201904起'!$B:$B,AW$1)*$B29+COUNTIFS('來案暨出貨明細表-基因檢測(201904起'!$P:$P,$A29&amp;"*",'來案暨出貨明細表-基因檢測(201904起'!$B:$B,AW$1,'來案暨出貨明細表-基因檢測(201904起'!$Q:$Q,"紙本&amp;電子")++COUNTIFS('來案暨出貨明細表-基因檢測(201904起'!$P:$P,$A29&amp;"*",'來案暨出貨明細表-基因檢測(201904起'!$B:$B,AW$1,'來案暨出貨明細表-基因檢測(201904起'!$R:$R,"中英")</f>
        <v>0</v>
      </c>
      <c r="AX29" s="33">
        <f>COUNTIFS('來案暨出貨明細表-基因檢測(201904起'!$P:$P,$A29&amp;"*",'來案暨出貨明細表-基因檢測(201904起'!$B:$B,AX$1)*$B29+COUNTIFS('來案暨出貨明細表-基因檢測(201904起'!$P:$P,$A29&amp;"*",'來案暨出貨明細表-基因檢測(201904起'!$B:$B,AX$1,'來案暨出貨明細表-基因檢測(201904起'!$Q:$Q,"紙本&amp;電子")++COUNTIFS('來案暨出貨明細表-基因檢測(201904起'!$P:$P,$A29&amp;"*",'來案暨出貨明細表-基因檢測(201904起'!$B:$B,AX$1,'來案暨出貨明細表-基因檢測(201904起'!$R:$R,"中英")</f>
        <v>0</v>
      </c>
      <c r="AY29" s="33">
        <f>COUNTIFS('來案暨出貨明細表-基因檢測(201904起'!$P:$P,$A29&amp;"*",'來案暨出貨明細表-基因檢測(201904起'!$B:$B,AY$1)*$B29+COUNTIFS('來案暨出貨明細表-基因檢測(201904起'!$P:$P,$A29&amp;"*",'來案暨出貨明細表-基因檢測(201904起'!$B:$B,AY$1,'來案暨出貨明細表-基因檢測(201904起'!$Q:$Q,"紙本&amp;電子")++COUNTIFS('來案暨出貨明細表-基因檢測(201904起'!$P:$P,$A29&amp;"*",'來案暨出貨明細表-基因檢測(201904起'!$B:$B,AY$1,'來案暨出貨明細表-基因檢測(201904起'!$R:$R,"中英")</f>
        <v>0</v>
      </c>
      <c r="AZ29" s="33">
        <f>COUNTIFS('來案暨出貨明細表-基因檢測(201904起'!$P:$P,$A29&amp;"*",'來案暨出貨明細表-基因檢測(201904起'!$B:$B,AZ$1)*$B29+COUNTIFS('來案暨出貨明細表-基因檢測(201904起'!$P:$P,$A29&amp;"*",'來案暨出貨明細表-基因檢測(201904起'!$B:$B,AZ$1,'來案暨出貨明細表-基因檢測(201904起'!$Q:$Q,"紙本&amp;電子")++COUNTIFS('來案暨出貨明細表-基因檢測(201904起'!$P:$P,$A29&amp;"*",'來案暨出貨明細表-基因檢測(201904起'!$B:$B,AZ$1,'來案暨出貨明細表-基因檢測(201904起'!$R:$R,"中英")</f>
        <v>0</v>
      </c>
      <c r="BA29" s="33">
        <f>COUNTIFS('來案暨出貨明細表-基因檢測(201904起'!$P:$P,$A29&amp;"*",'來案暨出貨明細表-基因檢測(201904起'!$B:$B,BA$1)*$B29+COUNTIFS('來案暨出貨明細表-基因檢測(201904起'!$P:$P,$A29&amp;"*",'來案暨出貨明細表-基因檢測(201904起'!$B:$B,BA$1,'來案暨出貨明細表-基因檢測(201904起'!$Q:$Q,"紙本&amp;電子")++COUNTIFS('來案暨出貨明細表-基因檢測(201904起'!$P:$P,$A29&amp;"*",'來案暨出貨明細表-基因檢測(201904起'!$B:$B,BA$1,'來案暨出貨明細表-基因檢測(201904起'!$R:$R,"中英")</f>
        <v>0</v>
      </c>
      <c r="BB29" s="33">
        <f>COUNTIFS('來案暨出貨明細表-基因檢測(201904起'!$P:$P,$A29&amp;"*",'來案暨出貨明細表-基因檢測(201904起'!$B:$B,BB$1)*$B29+COUNTIFS('來案暨出貨明細表-基因檢測(201904起'!$P:$P,$A29&amp;"*",'來案暨出貨明細表-基因檢測(201904起'!$B:$B,BB$1,'來案暨出貨明細表-基因檢測(201904起'!$Q:$Q,"紙本&amp;電子")++COUNTIFS('來案暨出貨明細表-基因檢測(201904起'!$P:$P,$A29&amp;"*",'來案暨出貨明細表-基因檢測(201904起'!$B:$B,BB$1,'來案暨出貨明細表-基因檢測(201904起'!$R:$R,"中英")</f>
        <v>0</v>
      </c>
      <c r="BC29" s="33">
        <f>COUNTIFS('來案暨出貨明細表-基因檢測(201904起'!$P:$P,$A29&amp;"*",'來案暨出貨明細表-基因檢測(201904起'!$B:$B,BC$1)*$B29+COUNTIFS('來案暨出貨明細表-基因檢測(201904起'!$P:$P,$A29&amp;"*",'來案暨出貨明細表-基因檢測(201904起'!$B:$B,BC$1,'來案暨出貨明細表-基因檢測(201904起'!$Q:$Q,"紙本&amp;電子")++COUNTIFS('來案暨出貨明細表-基因檢測(201904起'!$P:$P,$A29&amp;"*",'來案暨出貨明細表-基因檢測(201904起'!$B:$B,BC$1,'來案暨出貨明細表-基因檢測(201904起'!$R:$R,"中英")</f>
        <v>0</v>
      </c>
      <c r="BD29" s="33">
        <f>COUNTIFS('來案暨出貨明細表-基因檢測(201904起'!$P:$P,$A29&amp;"*",'來案暨出貨明細表-基因檢測(201904起'!$B:$B,BD$1)*$B29+COUNTIFS('來案暨出貨明細表-基因檢測(201904起'!$P:$P,$A29&amp;"*",'來案暨出貨明細表-基因檢測(201904起'!$B:$B,BD$1,'來案暨出貨明細表-基因檢測(201904起'!$Q:$Q,"紙本&amp;電子")++COUNTIFS('來案暨出貨明細表-基因檢測(201904起'!$P:$P,$A29&amp;"*",'來案暨出貨明細表-基因檢測(201904起'!$B:$B,BD$1,'來案暨出貨明細表-基因檢測(201904起'!$R:$R,"中英")</f>
        <v>0</v>
      </c>
      <c r="BE29" s="33">
        <f>COUNTIFS('來案暨出貨明細表-基因檢測(201904起'!$P:$P,$A29&amp;"*",'來案暨出貨明細表-基因檢測(201904起'!$B:$B,BE$1)*$B29+COUNTIFS('來案暨出貨明細表-基因檢測(201904起'!$P:$P,$A29&amp;"*",'來案暨出貨明細表-基因檢測(201904起'!$B:$B,BE$1,'來案暨出貨明細表-基因檢測(201904起'!$Q:$Q,"紙本&amp;電子")++COUNTIFS('來案暨出貨明細表-基因檢測(201904起'!$P:$P,$A29&amp;"*",'來案暨出貨明細表-基因檢測(201904起'!$B:$B,BE$1,'來案暨出貨明細表-基因檢測(201904起'!$R:$R,"中英")</f>
        <v>0</v>
      </c>
      <c r="BF29" s="33">
        <f>COUNTIFS('來案暨出貨明細表-基因檢測(201904起'!$P:$P,$A29&amp;"*",'來案暨出貨明細表-基因檢測(201904起'!$B:$B,BF$1)*$B29+COUNTIFS('來案暨出貨明細表-基因檢測(201904起'!$P:$P,$A29&amp;"*",'來案暨出貨明細表-基因檢測(201904起'!$B:$B,BF$1,'來案暨出貨明細表-基因檢測(201904起'!$Q:$Q,"紙本&amp;電子")++COUNTIFS('來案暨出貨明細表-基因檢測(201904起'!$P:$P,$A29&amp;"*",'來案暨出貨明細表-基因檢測(201904起'!$B:$B,BF$1,'來案暨出貨明細表-基因檢測(201904起'!$R:$R,"中英")</f>
        <v>0</v>
      </c>
      <c r="BG29" s="33">
        <f>COUNTIFS('來案暨出貨明細表-基因檢測(201904起'!$P:$P,$A29&amp;"*",'來案暨出貨明細表-基因檢測(201904起'!$B:$B,BG$1)*$B29+COUNTIFS('來案暨出貨明細表-基因檢測(201904起'!$P:$P,$A29&amp;"*",'來案暨出貨明細表-基因檢測(201904起'!$B:$B,BG$1,'來案暨出貨明細表-基因檢測(201904起'!$Q:$Q,"紙本&amp;電子")++COUNTIFS('來案暨出貨明細表-基因檢測(201904起'!$P:$P,$A29&amp;"*",'來案暨出貨明細表-基因檢測(201904起'!$B:$B,BG$1,'來案暨出貨明細表-基因檢測(201904起'!$R:$R,"中英")</f>
        <v>0</v>
      </c>
      <c r="BH29" s="33">
        <f>COUNTIFS('來案暨出貨明細表-基因檢測(201904起'!$P:$P,$A29&amp;"*",'來案暨出貨明細表-基因檢測(201904起'!$B:$B,BH$1)*$B29+COUNTIFS('來案暨出貨明細表-基因檢測(201904起'!$P:$P,$A29&amp;"*",'來案暨出貨明細表-基因檢測(201904起'!$B:$B,BH$1,'來案暨出貨明細表-基因檢測(201904起'!$Q:$Q,"紙本&amp;電子")++COUNTIFS('來案暨出貨明細表-基因檢測(201904起'!$P:$P,$A29&amp;"*",'來案暨出貨明細表-基因檢測(201904起'!$B:$B,BH$1,'來案暨出貨明細表-基因檢測(201904起'!$R:$R,"中英")</f>
        <v>0</v>
      </c>
      <c r="BI29" s="33">
        <f>COUNTIFS('來案暨出貨明細表-基因檢測(201904起'!$P:$P,$A29&amp;"*",'來案暨出貨明細表-基因檢測(201904起'!$B:$B,BI$1)*$B29+COUNTIFS('來案暨出貨明細表-基因檢測(201904起'!$P:$P,$A29&amp;"*",'來案暨出貨明細表-基因檢測(201904起'!$B:$B,BI$1,'來案暨出貨明細表-基因檢測(201904起'!$Q:$Q,"紙本&amp;電子")++COUNTIFS('來案暨出貨明細表-基因檢測(201904起'!$P:$P,$A29&amp;"*",'來案暨出貨明細表-基因檢測(201904起'!$B:$B,BI$1,'來案暨出貨明細表-基因檢測(201904起'!$R:$R,"中英")</f>
        <v>0</v>
      </c>
      <c r="BJ29" s="33">
        <f>COUNTIFS('來案暨出貨明細表-基因檢測(201904起'!$P:$P,$A29&amp;"*",'來案暨出貨明細表-基因檢測(201904起'!$B:$B,BJ$1)*$B29+COUNTIFS('來案暨出貨明細表-基因檢測(201904起'!$P:$P,$A29&amp;"*",'來案暨出貨明細表-基因檢測(201904起'!$B:$B,BJ$1,'來案暨出貨明細表-基因檢測(201904起'!$Q:$Q,"紙本&amp;電子")++COUNTIFS('來案暨出貨明細表-基因檢測(201904起'!$P:$P,$A29&amp;"*",'來案暨出貨明細表-基因檢測(201904起'!$B:$B,BJ$1,'來案暨出貨明細表-基因檢測(201904起'!$R:$R,"中英")</f>
        <v>0</v>
      </c>
      <c r="BK29" s="33">
        <f>COUNTIFS('來案暨出貨明細表-基因檢測(201904起'!$P:$P,$A29&amp;"*",'來案暨出貨明細表-基因檢測(201904起'!$B:$B,BK$1)*$B29+COUNTIFS('來案暨出貨明細表-基因檢測(201904起'!$P:$P,$A29&amp;"*",'來案暨出貨明細表-基因檢測(201904起'!$B:$B,BK$1,'來案暨出貨明細表-基因檢測(201904起'!$Q:$Q,"紙本&amp;電子")++COUNTIFS('來案暨出貨明細表-基因檢測(201904起'!$P:$P,$A29&amp;"*",'來案暨出貨明細表-基因檢測(201904起'!$B:$B,BK$1,'來案暨出貨明細表-基因檢測(201904起'!$R:$R,"中英")</f>
        <v>0</v>
      </c>
    </row>
    <row r="30" spans="1:63" ht="15" customHeight="1">
      <c r="A30" s="166" t="s">
        <v>4552</v>
      </c>
      <c r="B30" s="167">
        <v>1</v>
      </c>
      <c r="C30" s="195" t="s">
        <v>4553</v>
      </c>
      <c r="D30" s="169" t="s">
        <v>626</v>
      </c>
      <c r="E30" s="162">
        <v>0</v>
      </c>
      <c r="F30" s="162">
        <v>0</v>
      </c>
      <c r="G30" s="162">
        <v>0</v>
      </c>
      <c r="H30" s="162">
        <v>0</v>
      </c>
      <c r="I30" s="162">
        <v>0</v>
      </c>
      <c r="J30" s="162">
        <v>0</v>
      </c>
      <c r="K30" s="162">
        <v>0</v>
      </c>
      <c r="L30" s="162">
        <v>0</v>
      </c>
      <c r="M30" s="162">
        <v>0</v>
      </c>
      <c r="N30" s="162">
        <v>0</v>
      </c>
      <c r="O30" s="162">
        <v>0</v>
      </c>
      <c r="P30" s="162">
        <v>0</v>
      </c>
      <c r="Q30" s="162">
        <v>0</v>
      </c>
      <c r="R30" s="162">
        <v>0</v>
      </c>
      <c r="S30" s="162">
        <v>1</v>
      </c>
      <c r="T30" s="162">
        <v>0</v>
      </c>
      <c r="U30" s="162">
        <v>0</v>
      </c>
      <c r="V30" s="162">
        <v>0</v>
      </c>
      <c r="W30" s="162">
        <v>0</v>
      </c>
      <c r="X30" s="162">
        <v>0</v>
      </c>
      <c r="Y30" s="162">
        <v>0</v>
      </c>
      <c r="Z30" s="162">
        <v>0</v>
      </c>
      <c r="AA30" s="162">
        <v>0</v>
      </c>
      <c r="AB30" s="162">
        <v>0</v>
      </c>
      <c r="AC30" s="162">
        <v>0</v>
      </c>
      <c r="AD30" s="162">
        <v>0</v>
      </c>
      <c r="AE30" s="162">
        <v>0</v>
      </c>
      <c r="AF30" s="162">
        <v>0</v>
      </c>
      <c r="AG30" s="162">
        <v>0</v>
      </c>
      <c r="AH30" s="162">
        <v>0</v>
      </c>
      <c r="AI30" s="162">
        <v>0</v>
      </c>
      <c r="AJ30" s="170">
        <v>1</v>
      </c>
      <c r="AK30" s="33">
        <f>COUNTIFS('來案暨出貨明細表-基因檢測(201904起'!$P:$P,$A30&amp;"*",'來案暨出貨明細表-基因檢測(201904起'!$B:$B,AK$1)*$B30+COUNTIFS('來案暨出貨明細表-基因檢測(201904起'!$P:$P,$A30&amp;"*",'來案暨出貨明細表-基因檢測(201904起'!$B:$B,AK$1,'來案暨出貨明細表-基因檢測(201904起'!$Q:$Q,"紙本&amp;電子")++COUNTIFS('來案暨出貨明細表-基因檢測(201904起'!$P:$P,$A30&amp;"*",'來案暨出貨明細表-基因檢測(201904起'!$B:$B,AK$1,'來案暨出貨明細表-基因檢測(201904起'!$R:$R,"中英")</f>
        <v>0</v>
      </c>
      <c r="AL30" s="33">
        <f>COUNTIFS('來案暨出貨明細表-基因檢測(201904起'!$P:$P,$A30&amp;"*",'來案暨出貨明細表-基因檢測(201904起'!$B:$B,AL$1)*$B30+COUNTIFS('來案暨出貨明細表-基因檢測(201904起'!$P:$P,$A30&amp;"*",'來案暨出貨明細表-基因檢測(201904起'!$B:$B,AL$1,'來案暨出貨明細表-基因檢測(201904起'!$Q:$Q,"紙本&amp;電子")++COUNTIFS('來案暨出貨明細表-基因檢測(201904起'!$P:$P,$A30&amp;"*",'來案暨出貨明細表-基因檢測(201904起'!$B:$B,AL$1,'來案暨出貨明細表-基因檢測(201904起'!$R:$R,"中英")</f>
        <v>0</v>
      </c>
      <c r="AM30" s="33">
        <f>COUNTIFS('來案暨出貨明細表-基因檢測(201904起'!$P:$P,$A30&amp;"*",'來案暨出貨明細表-基因檢測(201904起'!$B:$B,AM$1)*$B30+COUNTIFS('來案暨出貨明細表-基因檢測(201904起'!$P:$P,$A30&amp;"*",'來案暨出貨明細表-基因檢測(201904起'!$B:$B,AM$1,'來案暨出貨明細表-基因檢測(201904起'!$Q:$Q,"紙本&amp;電子")++COUNTIFS('來案暨出貨明細表-基因檢測(201904起'!$P:$P,$A30&amp;"*",'來案暨出貨明細表-基因檢測(201904起'!$B:$B,AM$1,'來案暨出貨明細表-基因檢測(201904起'!$R:$R,"中英")</f>
        <v>0</v>
      </c>
      <c r="AN30" s="33">
        <f>COUNTIFS('來案暨出貨明細表-基因檢測(201904起'!$P:$P,$A30&amp;"*",'來案暨出貨明細表-基因檢測(201904起'!$B:$B,AN$1)*$B30+COUNTIFS('來案暨出貨明細表-基因檢測(201904起'!$P:$P,$A30&amp;"*",'來案暨出貨明細表-基因檢測(201904起'!$B:$B,AN$1,'來案暨出貨明細表-基因檢測(201904起'!$Q:$Q,"紙本&amp;電子")++COUNTIFS('來案暨出貨明細表-基因檢測(201904起'!$P:$P,$A30&amp;"*",'來案暨出貨明細表-基因檢測(201904起'!$B:$B,AN$1,'來案暨出貨明細表-基因檢測(201904起'!$R:$R,"中英")</f>
        <v>0</v>
      </c>
      <c r="AO30" s="33">
        <f>COUNTIFS('來案暨出貨明細表-基因檢測(201904起'!$P:$P,$A30&amp;"*",'來案暨出貨明細表-基因檢測(201904起'!$B:$B,AO$1)*$B30+COUNTIFS('來案暨出貨明細表-基因檢測(201904起'!$P:$P,$A30&amp;"*",'來案暨出貨明細表-基因檢測(201904起'!$B:$B,AO$1,'來案暨出貨明細表-基因檢測(201904起'!$Q:$Q,"紙本&amp;電子")++COUNTIFS('來案暨出貨明細表-基因檢測(201904起'!$P:$P,$A30&amp;"*",'來案暨出貨明細表-基因檢測(201904起'!$B:$B,AO$1,'來案暨出貨明細表-基因檢測(201904起'!$R:$R,"中英")</f>
        <v>0</v>
      </c>
      <c r="AP30" s="33">
        <f>COUNTIFS('來案暨出貨明細表-基因檢測(201904起'!$P:$P,$A30&amp;"*",'來案暨出貨明細表-基因檢測(201904起'!$B:$B,AP$1)*$B30+COUNTIFS('來案暨出貨明細表-基因檢測(201904起'!$P:$P,$A30&amp;"*",'來案暨出貨明細表-基因檢測(201904起'!$B:$B,AP$1,'來案暨出貨明細表-基因檢測(201904起'!$Q:$Q,"紙本&amp;電子")++COUNTIFS('來案暨出貨明細表-基因檢測(201904起'!$P:$P,$A30&amp;"*",'來案暨出貨明細表-基因檢測(201904起'!$B:$B,AP$1,'來案暨出貨明細表-基因檢測(201904起'!$R:$R,"中英")</f>
        <v>0</v>
      </c>
      <c r="AQ30" s="33">
        <f>COUNTIFS('來案暨出貨明細表-基因檢測(201904起'!$P:$P,$A30&amp;"*",'來案暨出貨明細表-基因檢測(201904起'!$B:$B,AQ$1)*$B30+COUNTIFS('來案暨出貨明細表-基因檢測(201904起'!$P:$P,$A30&amp;"*",'來案暨出貨明細表-基因檢測(201904起'!$B:$B,AQ$1,'來案暨出貨明細表-基因檢測(201904起'!$Q:$Q,"紙本&amp;電子")++COUNTIFS('來案暨出貨明細表-基因檢測(201904起'!$P:$P,$A30&amp;"*",'來案暨出貨明細表-基因檢測(201904起'!$B:$B,AQ$1,'來案暨出貨明細表-基因檢測(201904起'!$R:$R,"中英")</f>
        <v>0</v>
      </c>
      <c r="AR30" s="33">
        <f>COUNTIFS('來案暨出貨明細表-基因檢測(201904起'!$P:$P,$A30&amp;"*",'來案暨出貨明細表-基因檢測(201904起'!$B:$B,AR$1)*$B30+COUNTIFS('來案暨出貨明細表-基因檢測(201904起'!$P:$P,$A30&amp;"*",'來案暨出貨明細表-基因檢測(201904起'!$B:$B,AR$1,'來案暨出貨明細表-基因檢測(201904起'!$Q:$Q,"紙本&amp;電子")++COUNTIFS('來案暨出貨明細表-基因檢測(201904起'!$P:$P,$A30&amp;"*",'來案暨出貨明細表-基因檢測(201904起'!$B:$B,AR$1,'來案暨出貨明細表-基因檢測(201904起'!$R:$R,"中英")</f>
        <v>0</v>
      </c>
      <c r="AS30" s="33">
        <f>COUNTIFS('來案暨出貨明細表-基因檢測(201904起'!$P:$P,$A30&amp;"*",'來案暨出貨明細表-基因檢測(201904起'!$B:$B,AS$1)*$B30+COUNTIFS('來案暨出貨明細表-基因檢測(201904起'!$P:$P,$A30&amp;"*",'來案暨出貨明細表-基因檢測(201904起'!$B:$B,AS$1,'來案暨出貨明細表-基因檢測(201904起'!$Q:$Q,"紙本&amp;電子")++COUNTIFS('來案暨出貨明細表-基因檢測(201904起'!$P:$P,$A30&amp;"*",'來案暨出貨明細表-基因檢測(201904起'!$B:$B,AS$1,'來案暨出貨明細表-基因檢測(201904起'!$R:$R,"中英")</f>
        <v>0</v>
      </c>
      <c r="AT30" s="33">
        <f>COUNTIFS('來案暨出貨明細表-基因檢測(201904起'!$P:$P,$A30&amp;"*",'來案暨出貨明細表-基因檢測(201904起'!$B:$B,AT$1)*$B30+COUNTIFS('來案暨出貨明細表-基因檢測(201904起'!$P:$P,$A30&amp;"*",'來案暨出貨明細表-基因檢測(201904起'!$B:$B,AT$1,'來案暨出貨明細表-基因檢測(201904起'!$Q:$Q,"紙本&amp;電子")++COUNTIFS('來案暨出貨明細表-基因檢測(201904起'!$P:$P,$A30&amp;"*",'來案暨出貨明細表-基因檢測(201904起'!$B:$B,AT$1,'來案暨出貨明細表-基因檢測(201904起'!$R:$R,"中英")</f>
        <v>0</v>
      </c>
      <c r="AU30" s="33">
        <f>COUNTIFS('來案暨出貨明細表-基因檢測(201904起'!$P:$P,$A30&amp;"*",'來案暨出貨明細表-基因檢測(201904起'!$B:$B,AU$1)*$B30+COUNTIFS('來案暨出貨明細表-基因檢測(201904起'!$P:$P,$A30&amp;"*",'來案暨出貨明細表-基因檢測(201904起'!$B:$B,AU$1,'來案暨出貨明細表-基因檢測(201904起'!$Q:$Q,"紙本&amp;電子")++COUNTIFS('來案暨出貨明細表-基因檢測(201904起'!$P:$P,$A30&amp;"*",'來案暨出貨明細表-基因檢測(201904起'!$B:$B,AU$1,'來案暨出貨明細表-基因檢測(201904起'!$R:$R,"中英")</f>
        <v>0</v>
      </c>
      <c r="AV30" s="33">
        <f>COUNTIFS('來案暨出貨明細表-基因檢測(201904起'!$P:$P,$A30&amp;"*",'來案暨出貨明細表-基因檢測(201904起'!$B:$B,AV$1)*$B30+COUNTIFS('來案暨出貨明細表-基因檢測(201904起'!$P:$P,$A30&amp;"*",'來案暨出貨明細表-基因檢測(201904起'!$B:$B,AV$1,'來案暨出貨明細表-基因檢測(201904起'!$Q:$Q,"紙本&amp;電子")++COUNTIFS('來案暨出貨明細表-基因檢測(201904起'!$P:$P,$A30&amp;"*",'來案暨出貨明細表-基因檢測(201904起'!$B:$B,AV$1,'來案暨出貨明細表-基因檢測(201904起'!$R:$R,"中英")</f>
        <v>0</v>
      </c>
      <c r="AW30" s="33">
        <f>COUNTIFS('來案暨出貨明細表-基因檢測(201904起'!$P:$P,$A30&amp;"*",'來案暨出貨明細表-基因檢測(201904起'!$B:$B,AW$1)*$B30+COUNTIFS('來案暨出貨明細表-基因檢測(201904起'!$P:$P,$A30&amp;"*",'來案暨出貨明細表-基因檢測(201904起'!$B:$B,AW$1,'來案暨出貨明細表-基因檢測(201904起'!$Q:$Q,"紙本&amp;電子")++COUNTIFS('來案暨出貨明細表-基因檢測(201904起'!$P:$P,$A30&amp;"*",'來案暨出貨明細表-基因檢測(201904起'!$B:$B,AW$1,'來案暨出貨明細表-基因檢測(201904起'!$R:$R,"中英")</f>
        <v>0</v>
      </c>
      <c r="AX30" s="33">
        <f>COUNTIFS('來案暨出貨明細表-基因檢測(201904起'!$P:$P,$A30&amp;"*",'來案暨出貨明細表-基因檢測(201904起'!$B:$B,AX$1)*$B30+COUNTIFS('來案暨出貨明細表-基因檢測(201904起'!$P:$P,$A30&amp;"*",'來案暨出貨明細表-基因檢測(201904起'!$B:$B,AX$1,'來案暨出貨明細表-基因檢測(201904起'!$Q:$Q,"紙本&amp;電子")++COUNTIFS('來案暨出貨明細表-基因檢測(201904起'!$P:$P,$A30&amp;"*",'來案暨出貨明細表-基因檢測(201904起'!$B:$B,AX$1,'來案暨出貨明細表-基因檢測(201904起'!$R:$R,"中英")</f>
        <v>0</v>
      </c>
      <c r="AY30" s="33">
        <f>COUNTIFS('來案暨出貨明細表-基因檢測(201904起'!$P:$P,$A30&amp;"*",'來案暨出貨明細表-基因檢測(201904起'!$B:$B,AY$1)*$B30+COUNTIFS('來案暨出貨明細表-基因檢測(201904起'!$P:$P,$A30&amp;"*",'來案暨出貨明細表-基因檢測(201904起'!$B:$B,AY$1,'來案暨出貨明細表-基因檢測(201904起'!$Q:$Q,"紙本&amp;電子")++COUNTIFS('來案暨出貨明細表-基因檢測(201904起'!$P:$P,$A30&amp;"*",'來案暨出貨明細表-基因檢測(201904起'!$B:$B,AY$1,'來案暨出貨明細表-基因檢測(201904起'!$R:$R,"中英")</f>
        <v>0</v>
      </c>
      <c r="AZ30" s="33">
        <f>COUNTIFS('來案暨出貨明細表-基因檢測(201904起'!$P:$P,$A30&amp;"*",'來案暨出貨明細表-基因檢測(201904起'!$B:$B,AZ$1)*$B30+COUNTIFS('來案暨出貨明細表-基因檢測(201904起'!$P:$P,$A30&amp;"*",'來案暨出貨明細表-基因檢測(201904起'!$B:$B,AZ$1,'來案暨出貨明細表-基因檢測(201904起'!$Q:$Q,"紙本&amp;電子")++COUNTIFS('來案暨出貨明細表-基因檢測(201904起'!$P:$P,$A30&amp;"*",'來案暨出貨明細表-基因檢測(201904起'!$B:$B,AZ$1,'來案暨出貨明細表-基因檢測(201904起'!$R:$R,"中英")</f>
        <v>0</v>
      </c>
      <c r="BA30" s="33">
        <f>COUNTIFS('來案暨出貨明細表-基因檢測(201904起'!$P:$P,$A30&amp;"*",'來案暨出貨明細表-基因檢測(201904起'!$B:$B,BA$1)*$B30+COUNTIFS('來案暨出貨明細表-基因檢測(201904起'!$P:$P,$A30&amp;"*",'來案暨出貨明細表-基因檢測(201904起'!$B:$B,BA$1,'來案暨出貨明細表-基因檢測(201904起'!$Q:$Q,"紙本&amp;電子")++COUNTIFS('來案暨出貨明細表-基因檢測(201904起'!$P:$P,$A30&amp;"*",'來案暨出貨明細表-基因檢測(201904起'!$B:$B,BA$1,'來案暨出貨明細表-基因檢測(201904起'!$R:$R,"中英")</f>
        <v>0</v>
      </c>
      <c r="BB30" s="33">
        <f>COUNTIFS('來案暨出貨明細表-基因檢測(201904起'!$P:$P,$A30&amp;"*",'來案暨出貨明細表-基因檢測(201904起'!$B:$B,BB$1)*$B30+COUNTIFS('來案暨出貨明細表-基因檢測(201904起'!$P:$P,$A30&amp;"*",'來案暨出貨明細表-基因檢測(201904起'!$B:$B,BB$1,'來案暨出貨明細表-基因檢測(201904起'!$Q:$Q,"紙本&amp;電子")++COUNTIFS('來案暨出貨明細表-基因檢測(201904起'!$P:$P,$A30&amp;"*",'來案暨出貨明細表-基因檢測(201904起'!$B:$B,BB$1,'來案暨出貨明細表-基因檢測(201904起'!$R:$R,"中英")</f>
        <v>0</v>
      </c>
      <c r="BC30" s="33">
        <f>COUNTIFS('來案暨出貨明細表-基因檢測(201904起'!$P:$P,$A30&amp;"*",'來案暨出貨明細表-基因檢測(201904起'!$B:$B,BC$1)*$B30+COUNTIFS('來案暨出貨明細表-基因檢測(201904起'!$P:$P,$A30&amp;"*",'來案暨出貨明細表-基因檢測(201904起'!$B:$B,BC$1,'來案暨出貨明細表-基因檢測(201904起'!$Q:$Q,"紙本&amp;電子")++COUNTIFS('來案暨出貨明細表-基因檢測(201904起'!$P:$P,$A30&amp;"*",'來案暨出貨明細表-基因檢測(201904起'!$B:$B,BC$1,'來案暨出貨明細表-基因檢測(201904起'!$R:$R,"中英")</f>
        <v>0</v>
      </c>
      <c r="BD30" s="33">
        <f>COUNTIFS('來案暨出貨明細表-基因檢測(201904起'!$P:$P,$A30&amp;"*",'來案暨出貨明細表-基因檢測(201904起'!$B:$B,BD$1)*$B30+COUNTIFS('來案暨出貨明細表-基因檢測(201904起'!$P:$P,$A30&amp;"*",'來案暨出貨明細表-基因檢測(201904起'!$B:$B,BD$1,'來案暨出貨明細表-基因檢測(201904起'!$Q:$Q,"紙本&amp;電子")++COUNTIFS('來案暨出貨明細表-基因檢測(201904起'!$P:$P,$A30&amp;"*",'來案暨出貨明細表-基因檢測(201904起'!$B:$B,BD$1,'來案暨出貨明細表-基因檢測(201904起'!$R:$R,"中英")</f>
        <v>0</v>
      </c>
      <c r="BE30" s="33">
        <f>COUNTIFS('來案暨出貨明細表-基因檢測(201904起'!$P:$P,$A30&amp;"*",'來案暨出貨明細表-基因檢測(201904起'!$B:$B,BE$1)*$B30+COUNTIFS('來案暨出貨明細表-基因檢測(201904起'!$P:$P,$A30&amp;"*",'來案暨出貨明細表-基因檢測(201904起'!$B:$B,BE$1,'來案暨出貨明細表-基因檢測(201904起'!$Q:$Q,"紙本&amp;電子")++COUNTIFS('來案暨出貨明細表-基因檢測(201904起'!$P:$P,$A30&amp;"*",'來案暨出貨明細表-基因檢測(201904起'!$B:$B,BE$1,'來案暨出貨明細表-基因檢測(201904起'!$R:$R,"中英")</f>
        <v>0</v>
      </c>
      <c r="BF30" s="33">
        <f>COUNTIFS('來案暨出貨明細表-基因檢測(201904起'!$P:$P,$A30&amp;"*",'來案暨出貨明細表-基因檢測(201904起'!$B:$B,BF$1)*$B30+COUNTIFS('來案暨出貨明細表-基因檢測(201904起'!$P:$P,$A30&amp;"*",'來案暨出貨明細表-基因檢測(201904起'!$B:$B,BF$1,'來案暨出貨明細表-基因檢測(201904起'!$Q:$Q,"紙本&amp;電子")++COUNTIFS('來案暨出貨明細表-基因檢測(201904起'!$P:$P,$A30&amp;"*",'來案暨出貨明細表-基因檢測(201904起'!$B:$B,BF$1,'來案暨出貨明細表-基因檢測(201904起'!$R:$R,"中英")</f>
        <v>0</v>
      </c>
      <c r="BG30" s="33">
        <f>COUNTIFS('來案暨出貨明細表-基因檢測(201904起'!$P:$P,$A30&amp;"*",'來案暨出貨明細表-基因檢測(201904起'!$B:$B,BG$1)*$B30+COUNTIFS('來案暨出貨明細表-基因檢測(201904起'!$P:$P,$A30&amp;"*",'來案暨出貨明細表-基因檢測(201904起'!$B:$B,BG$1,'來案暨出貨明細表-基因檢測(201904起'!$Q:$Q,"紙本&amp;電子")++COUNTIFS('來案暨出貨明細表-基因檢測(201904起'!$P:$P,$A30&amp;"*",'來案暨出貨明細表-基因檢測(201904起'!$B:$B,BG$1,'來案暨出貨明細表-基因檢測(201904起'!$R:$R,"中英")</f>
        <v>0</v>
      </c>
      <c r="BH30" s="33">
        <f>COUNTIFS('來案暨出貨明細表-基因檢測(201904起'!$P:$P,$A30&amp;"*",'來案暨出貨明細表-基因檢測(201904起'!$B:$B,BH$1)*$B30+COUNTIFS('來案暨出貨明細表-基因檢測(201904起'!$P:$P,$A30&amp;"*",'來案暨出貨明細表-基因檢測(201904起'!$B:$B,BH$1,'來案暨出貨明細表-基因檢測(201904起'!$Q:$Q,"紙本&amp;電子")++COUNTIFS('來案暨出貨明細表-基因檢測(201904起'!$P:$P,$A30&amp;"*",'來案暨出貨明細表-基因檢測(201904起'!$B:$B,BH$1,'來案暨出貨明細表-基因檢測(201904起'!$R:$R,"中英")</f>
        <v>0</v>
      </c>
      <c r="BI30" s="33">
        <f>COUNTIFS('來案暨出貨明細表-基因檢測(201904起'!$P:$P,$A30&amp;"*",'來案暨出貨明細表-基因檢測(201904起'!$B:$B,BI$1)*$B30+COUNTIFS('來案暨出貨明細表-基因檢測(201904起'!$P:$P,$A30&amp;"*",'來案暨出貨明細表-基因檢測(201904起'!$B:$B,BI$1,'來案暨出貨明細表-基因檢測(201904起'!$Q:$Q,"紙本&amp;電子")++COUNTIFS('來案暨出貨明細表-基因檢測(201904起'!$P:$P,$A30&amp;"*",'來案暨出貨明細表-基因檢測(201904起'!$B:$B,BI$1,'來案暨出貨明細表-基因檢測(201904起'!$R:$R,"中英")</f>
        <v>0</v>
      </c>
      <c r="BJ30" s="33">
        <f>COUNTIFS('來案暨出貨明細表-基因檢測(201904起'!$P:$P,$A30&amp;"*",'來案暨出貨明細表-基因檢測(201904起'!$B:$B,BJ$1)*$B30+COUNTIFS('來案暨出貨明細表-基因檢測(201904起'!$P:$P,$A30&amp;"*",'來案暨出貨明細表-基因檢測(201904起'!$B:$B,BJ$1,'來案暨出貨明細表-基因檢測(201904起'!$Q:$Q,"紙本&amp;電子")++COUNTIFS('來案暨出貨明細表-基因檢測(201904起'!$P:$P,$A30&amp;"*",'來案暨出貨明細表-基因檢測(201904起'!$B:$B,BJ$1,'來案暨出貨明細表-基因檢測(201904起'!$R:$R,"中英")</f>
        <v>0</v>
      </c>
      <c r="BK30" s="33">
        <f>COUNTIFS('來案暨出貨明細表-基因檢測(201904起'!$P:$P,$A30&amp;"*",'來案暨出貨明細表-基因檢測(201904起'!$B:$B,BK$1)*$B30+COUNTIFS('來案暨出貨明細表-基因檢測(201904起'!$P:$P,$A30&amp;"*",'來案暨出貨明細表-基因檢測(201904起'!$B:$B,BK$1,'來案暨出貨明細表-基因檢測(201904起'!$Q:$Q,"紙本&amp;電子")++COUNTIFS('來案暨出貨明細表-基因檢測(201904起'!$P:$P,$A30&amp;"*",'來案暨出貨明細表-基因檢測(201904起'!$B:$B,BK$1,'來案暨出貨明細表-基因檢測(201904起'!$R:$R,"中英")</f>
        <v>0</v>
      </c>
    </row>
    <row r="31" spans="1:63" ht="15" customHeight="1">
      <c r="A31" s="166" t="s">
        <v>4554</v>
      </c>
      <c r="B31" s="167">
        <v>1</v>
      </c>
      <c r="C31" s="195" t="s">
        <v>4555</v>
      </c>
      <c r="D31" s="169" t="s">
        <v>4556</v>
      </c>
      <c r="E31" s="162">
        <v>0</v>
      </c>
      <c r="F31" s="162">
        <v>0</v>
      </c>
      <c r="G31" s="162">
        <v>0</v>
      </c>
      <c r="H31" s="162">
        <v>0</v>
      </c>
      <c r="I31" s="162">
        <v>0</v>
      </c>
      <c r="J31" s="162">
        <v>0</v>
      </c>
      <c r="K31" s="162">
        <v>1</v>
      </c>
      <c r="L31" s="162">
        <v>0</v>
      </c>
      <c r="M31" s="162">
        <v>0</v>
      </c>
      <c r="N31" s="162">
        <v>0</v>
      </c>
      <c r="O31" s="162">
        <v>0</v>
      </c>
      <c r="P31" s="162">
        <v>0</v>
      </c>
      <c r="Q31" s="162">
        <v>0</v>
      </c>
      <c r="R31" s="162">
        <v>0</v>
      </c>
      <c r="S31" s="162">
        <v>0</v>
      </c>
      <c r="T31" s="162">
        <v>0</v>
      </c>
      <c r="U31" s="162">
        <v>0</v>
      </c>
      <c r="V31" s="162">
        <v>0</v>
      </c>
      <c r="W31" s="162">
        <v>0</v>
      </c>
      <c r="X31" s="162">
        <v>0</v>
      </c>
      <c r="Y31" s="162">
        <v>0</v>
      </c>
      <c r="Z31" s="162">
        <v>0</v>
      </c>
      <c r="AA31" s="162">
        <v>0</v>
      </c>
      <c r="AB31" s="162">
        <v>0</v>
      </c>
      <c r="AC31" s="162">
        <v>0</v>
      </c>
      <c r="AD31" s="162">
        <v>0</v>
      </c>
      <c r="AE31" s="162">
        <v>0</v>
      </c>
      <c r="AF31" s="162">
        <v>0</v>
      </c>
      <c r="AG31" s="162">
        <v>0</v>
      </c>
      <c r="AH31" s="162">
        <v>0</v>
      </c>
      <c r="AI31" s="162">
        <v>0</v>
      </c>
      <c r="AJ31" s="170">
        <v>1</v>
      </c>
      <c r="AK31" s="33">
        <f>COUNTIFS('來案暨出貨明細表-基因檢測(201904起'!$P:$P,$A31&amp;"*",'來案暨出貨明細表-基因檢測(201904起'!$B:$B,AK$1)*$B31+COUNTIFS('來案暨出貨明細表-基因檢測(201904起'!$P:$P,$A31&amp;"*",'來案暨出貨明細表-基因檢測(201904起'!$B:$B,AK$1,'來案暨出貨明細表-基因檢測(201904起'!$Q:$Q,"紙本&amp;電子")++COUNTIFS('來案暨出貨明細表-基因檢測(201904起'!$P:$P,$A31&amp;"*",'來案暨出貨明細表-基因檢測(201904起'!$B:$B,AK$1,'來案暨出貨明細表-基因檢測(201904起'!$R:$R,"中英")</f>
        <v>0</v>
      </c>
      <c r="AL31" s="33">
        <f>COUNTIFS('來案暨出貨明細表-基因檢測(201904起'!$P:$P,$A31&amp;"*",'來案暨出貨明細表-基因檢測(201904起'!$B:$B,AL$1)*$B31+COUNTIFS('來案暨出貨明細表-基因檢測(201904起'!$P:$P,$A31&amp;"*",'來案暨出貨明細表-基因檢測(201904起'!$B:$B,AL$1,'來案暨出貨明細表-基因檢測(201904起'!$Q:$Q,"紙本&amp;電子")++COUNTIFS('來案暨出貨明細表-基因檢測(201904起'!$P:$P,$A31&amp;"*",'來案暨出貨明細表-基因檢測(201904起'!$B:$B,AL$1,'來案暨出貨明細表-基因檢測(201904起'!$R:$R,"中英")</f>
        <v>0</v>
      </c>
      <c r="AM31" s="33">
        <f>COUNTIFS('來案暨出貨明細表-基因檢測(201904起'!$P:$P,$A31&amp;"*",'來案暨出貨明細表-基因檢測(201904起'!$B:$B,AM$1)*$B31+COUNTIFS('來案暨出貨明細表-基因檢測(201904起'!$P:$P,$A31&amp;"*",'來案暨出貨明細表-基因檢測(201904起'!$B:$B,AM$1,'來案暨出貨明細表-基因檢測(201904起'!$Q:$Q,"紙本&amp;電子")++COUNTIFS('來案暨出貨明細表-基因檢測(201904起'!$P:$P,$A31&amp;"*",'來案暨出貨明細表-基因檢測(201904起'!$B:$B,AM$1,'來案暨出貨明細表-基因檢測(201904起'!$R:$R,"中英")</f>
        <v>0</v>
      </c>
      <c r="AN31" s="33">
        <f>COUNTIFS('來案暨出貨明細表-基因檢測(201904起'!$P:$P,$A31&amp;"*",'來案暨出貨明細表-基因檢測(201904起'!$B:$B,AN$1)*$B31+COUNTIFS('來案暨出貨明細表-基因檢測(201904起'!$P:$P,$A31&amp;"*",'來案暨出貨明細表-基因檢測(201904起'!$B:$B,AN$1,'來案暨出貨明細表-基因檢測(201904起'!$Q:$Q,"紙本&amp;電子")++COUNTIFS('來案暨出貨明細表-基因檢測(201904起'!$P:$P,$A31&amp;"*",'來案暨出貨明細表-基因檢測(201904起'!$B:$B,AN$1,'來案暨出貨明細表-基因檢測(201904起'!$R:$R,"中英")</f>
        <v>0</v>
      </c>
      <c r="AO31" s="33">
        <f>COUNTIFS('來案暨出貨明細表-基因檢測(201904起'!$P:$P,$A31&amp;"*",'來案暨出貨明細表-基因檢測(201904起'!$B:$B,AO$1)*$B31+COUNTIFS('來案暨出貨明細表-基因檢測(201904起'!$P:$P,$A31&amp;"*",'來案暨出貨明細表-基因檢測(201904起'!$B:$B,AO$1,'來案暨出貨明細表-基因檢測(201904起'!$Q:$Q,"紙本&amp;電子")++COUNTIFS('來案暨出貨明細表-基因檢測(201904起'!$P:$P,$A31&amp;"*",'來案暨出貨明細表-基因檢測(201904起'!$B:$B,AO$1,'來案暨出貨明細表-基因檢測(201904起'!$R:$R,"中英")</f>
        <v>0</v>
      </c>
      <c r="AP31" s="33">
        <f>COUNTIFS('來案暨出貨明細表-基因檢測(201904起'!$P:$P,$A31&amp;"*",'來案暨出貨明細表-基因檢測(201904起'!$B:$B,AP$1)*$B31+COUNTIFS('來案暨出貨明細表-基因檢測(201904起'!$P:$P,$A31&amp;"*",'來案暨出貨明細表-基因檢測(201904起'!$B:$B,AP$1,'來案暨出貨明細表-基因檢測(201904起'!$Q:$Q,"紙本&amp;電子")++COUNTIFS('來案暨出貨明細表-基因檢測(201904起'!$P:$P,$A31&amp;"*",'來案暨出貨明細表-基因檢測(201904起'!$B:$B,AP$1,'來案暨出貨明細表-基因檢測(201904起'!$R:$R,"中英")</f>
        <v>0</v>
      </c>
      <c r="AQ31" s="33">
        <f>COUNTIFS('來案暨出貨明細表-基因檢測(201904起'!$P:$P,$A31&amp;"*",'來案暨出貨明細表-基因檢測(201904起'!$B:$B,AQ$1)*$B31+COUNTIFS('來案暨出貨明細表-基因檢測(201904起'!$P:$P,$A31&amp;"*",'來案暨出貨明細表-基因檢測(201904起'!$B:$B,AQ$1,'來案暨出貨明細表-基因檢測(201904起'!$Q:$Q,"紙本&amp;電子")++COUNTIFS('來案暨出貨明細表-基因檢測(201904起'!$P:$P,$A31&amp;"*",'來案暨出貨明細表-基因檢測(201904起'!$B:$B,AQ$1,'來案暨出貨明細表-基因檢測(201904起'!$R:$R,"中英")</f>
        <v>0</v>
      </c>
      <c r="AR31" s="33">
        <f>COUNTIFS('來案暨出貨明細表-基因檢測(201904起'!$P:$P,$A31&amp;"*",'來案暨出貨明細表-基因檢測(201904起'!$B:$B,AR$1)*$B31+COUNTIFS('來案暨出貨明細表-基因檢測(201904起'!$P:$P,$A31&amp;"*",'來案暨出貨明細表-基因檢測(201904起'!$B:$B,AR$1,'來案暨出貨明細表-基因檢測(201904起'!$Q:$Q,"紙本&amp;電子")++COUNTIFS('來案暨出貨明細表-基因檢測(201904起'!$P:$P,$A31&amp;"*",'來案暨出貨明細表-基因檢測(201904起'!$B:$B,AR$1,'來案暨出貨明細表-基因檢測(201904起'!$R:$R,"中英")</f>
        <v>0</v>
      </c>
      <c r="AS31" s="33">
        <f>COUNTIFS('來案暨出貨明細表-基因檢測(201904起'!$P:$P,$A31&amp;"*",'來案暨出貨明細表-基因檢測(201904起'!$B:$B,AS$1)*$B31+COUNTIFS('來案暨出貨明細表-基因檢測(201904起'!$P:$P,$A31&amp;"*",'來案暨出貨明細表-基因檢測(201904起'!$B:$B,AS$1,'來案暨出貨明細表-基因檢測(201904起'!$Q:$Q,"紙本&amp;電子")++COUNTIFS('來案暨出貨明細表-基因檢測(201904起'!$P:$P,$A31&amp;"*",'來案暨出貨明細表-基因檢測(201904起'!$B:$B,AS$1,'來案暨出貨明細表-基因檢測(201904起'!$R:$R,"中英")</f>
        <v>0</v>
      </c>
      <c r="AT31" s="33">
        <f>COUNTIFS('來案暨出貨明細表-基因檢測(201904起'!$P:$P,$A31&amp;"*",'來案暨出貨明細表-基因檢測(201904起'!$B:$B,AT$1)*$B31+COUNTIFS('來案暨出貨明細表-基因檢測(201904起'!$P:$P,$A31&amp;"*",'來案暨出貨明細表-基因檢測(201904起'!$B:$B,AT$1,'來案暨出貨明細表-基因檢測(201904起'!$Q:$Q,"紙本&amp;電子")++COUNTIFS('來案暨出貨明細表-基因檢測(201904起'!$P:$P,$A31&amp;"*",'來案暨出貨明細表-基因檢測(201904起'!$B:$B,AT$1,'來案暨出貨明細表-基因檢測(201904起'!$R:$R,"中英")</f>
        <v>0</v>
      </c>
      <c r="AU31" s="33">
        <f>COUNTIFS('來案暨出貨明細表-基因檢測(201904起'!$P:$P,$A31&amp;"*",'來案暨出貨明細表-基因檢測(201904起'!$B:$B,AU$1)*$B31+COUNTIFS('來案暨出貨明細表-基因檢測(201904起'!$P:$P,$A31&amp;"*",'來案暨出貨明細表-基因檢測(201904起'!$B:$B,AU$1,'來案暨出貨明細表-基因檢測(201904起'!$Q:$Q,"紙本&amp;電子")++COUNTIFS('來案暨出貨明細表-基因檢測(201904起'!$P:$P,$A31&amp;"*",'來案暨出貨明細表-基因檢測(201904起'!$B:$B,AU$1,'來案暨出貨明細表-基因檢測(201904起'!$R:$R,"中英")</f>
        <v>0</v>
      </c>
      <c r="AV31" s="33">
        <f>COUNTIFS('來案暨出貨明細表-基因檢測(201904起'!$P:$P,$A31&amp;"*",'來案暨出貨明細表-基因檢測(201904起'!$B:$B,AV$1)*$B31+COUNTIFS('來案暨出貨明細表-基因檢測(201904起'!$P:$P,$A31&amp;"*",'來案暨出貨明細表-基因檢測(201904起'!$B:$B,AV$1,'來案暨出貨明細表-基因檢測(201904起'!$Q:$Q,"紙本&amp;電子")++COUNTIFS('來案暨出貨明細表-基因檢測(201904起'!$P:$P,$A31&amp;"*",'來案暨出貨明細表-基因檢測(201904起'!$B:$B,AV$1,'來案暨出貨明細表-基因檢測(201904起'!$R:$R,"中英")</f>
        <v>0</v>
      </c>
      <c r="AW31" s="33">
        <f>COUNTIFS('來案暨出貨明細表-基因檢測(201904起'!$P:$P,$A31&amp;"*",'來案暨出貨明細表-基因檢測(201904起'!$B:$B,AW$1)*$B31+COUNTIFS('來案暨出貨明細表-基因檢測(201904起'!$P:$P,$A31&amp;"*",'來案暨出貨明細表-基因檢測(201904起'!$B:$B,AW$1,'來案暨出貨明細表-基因檢測(201904起'!$Q:$Q,"紙本&amp;電子")++COUNTIFS('來案暨出貨明細表-基因檢測(201904起'!$P:$P,$A31&amp;"*",'來案暨出貨明細表-基因檢測(201904起'!$B:$B,AW$1,'來案暨出貨明細表-基因檢測(201904起'!$R:$R,"中英")</f>
        <v>0</v>
      </c>
      <c r="AX31" s="33">
        <f>COUNTIFS('來案暨出貨明細表-基因檢測(201904起'!$P:$P,$A31&amp;"*",'來案暨出貨明細表-基因檢測(201904起'!$B:$B,AX$1)*$B31+COUNTIFS('來案暨出貨明細表-基因檢測(201904起'!$P:$P,$A31&amp;"*",'來案暨出貨明細表-基因檢測(201904起'!$B:$B,AX$1,'來案暨出貨明細表-基因檢測(201904起'!$Q:$Q,"紙本&amp;電子")++COUNTIFS('來案暨出貨明細表-基因檢測(201904起'!$P:$P,$A31&amp;"*",'來案暨出貨明細表-基因檢測(201904起'!$B:$B,AX$1,'來案暨出貨明細表-基因檢測(201904起'!$R:$R,"中英")</f>
        <v>0</v>
      </c>
      <c r="AY31" s="33">
        <f>COUNTIFS('來案暨出貨明細表-基因檢測(201904起'!$P:$P,$A31&amp;"*",'來案暨出貨明細表-基因檢測(201904起'!$B:$B,AY$1)*$B31+COUNTIFS('來案暨出貨明細表-基因檢測(201904起'!$P:$P,$A31&amp;"*",'來案暨出貨明細表-基因檢測(201904起'!$B:$B,AY$1,'來案暨出貨明細表-基因檢測(201904起'!$Q:$Q,"紙本&amp;電子")++COUNTIFS('來案暨出貨明細表-基因檢測(201904起'!$P:$P,$A31&amp;"*",'來案暨出貨明細表-基因檢測(201904起'!$B:$B,AY$1,'來案暨出貨明細表-基因檢測(201904起'!$R:$R,"中英")</f>
        <v>0</v>
      </c>
      <c r="AZ31" s="33">
        <f>COUNTIFS('來案暨出貨明細表-基因檢測(201904起'!$P:$P,$A31&amp;"*",'來案暨出貨明細表-基因檢測(201904起'!$B:$B,AZ$1)*$B31+COUNTIFS('來案暨出貨明細表-基因檢測(201904起'!$P:$P,$A31&amp;"*",'來案暨出貨明細表-基因檢測(201904起'!$B:$B,AZ$1,'來案暨出貨明細表-基因檢測(201904起'!$Q:$Q,"紙本&amp;電子")++COUNTIFS('來案暨出貨明細表-基因檢測(201904起'!$P:$P,$A31&amp;"*",'來案暨出貨明細表-基因檢測(201904起'!$B:$B,AZ$1,'來案暨出貨明細表-基因檢測(201904起'!$R:$R,"中英")</f>
        <v>0</v>
      </c>
      <c r="BA31" s="33">
        <f>COUNTIFS('來案暨出貨明細表-基因檢測(201904起'!$P:$P,$A31&amp;"*",'來案暨出貨明細表-基因檢測(201904起'!$B:$B,BA$1)*$B31+COUNTIFS('來案暨出貨明細表-基因檢測(201904起'!$P:$P,$A31&amp;"*",'來案暨出貨明細表-基因檢測(201904起'!$B:$B,BA$1,'來案暨出貨明細表-基因檢測(201904起'!$Q:$Q,"紙本&amp;電子")++COUNTIFS('來案暨出貨明細表-基因檢測(201904起'!$P:$P,$A31&amp;"*",'來案暨出貨明細表-基因檢測(201904起'!$B:$B,BA$1,'來案暨出貨明細表-基因檢測(201904起'!$R:$R,"中英")</f>
        <v>0</v>
      </c>
      <c r="BB31" s="33">
        <f>COUNTIFS('來案暨出貨明細表-基因檢測(201904起'!$P:$P,$A31&amp;"*",'來案暨出貨明細表-基因檢測(201904起'!$B:$B,BB$1)*$B31+COUNTIFS('來案暨出貨明細表-基因檢測(201904起'!$P:$P,$A31&amp;"*",'來案暨出貨明細表-基因檢測(201904起'!$B:$B,BB$1,'來案暨出貨明細表-基因檢測(201904起'!$Q:$Q,"紙本&amp;電子")++COUNTIFS('來案暨出貨明細表-基因檢測(201904起'!$P:$P,$A31&amp;"*",'來案暨出貨明細表-基因檢測(201904起'!$B:$B,BB$1,'來案暨出貨明細表-基因檢測(201904起'!$R:$R,"中英")</f>
        <v>0</v>
      </c>
      <c r="BC31" s="33">
        <f>COUNTIFS('來案暨出貨明細表-基因檢測(201904起'!$P:$P,$A31&amp;"*",'來案暨出貨明細表-基因檢測(201904起'!$B:$B,BC$1)*$B31+COUNTIFS('來案暨出貨明細表-基因檢測(201904起'!$P:$P,$A31&amp;"*",'來案暨出貨明細表-基因檢測(201904起'!$B:$B,BC$1,'來案暨出貨明細表-基因檢測(201904起'!$Q:$Q,"紙本&amp;電子")++COUNTIFS('來案暨出貨明細表-基因檢測(201904起'!$P:$P,$A31&amp;"*",'來案暨出貨明細表-基因檢測(201904起'!$B:$B,BC$1,'來案暨出貨明細表-基因檢測(201904起'!$R:$R,"中英")</f>
        <v>0</v>
      </c>
      <c r="BD31" s="33">
        <f>COUNTIFS('來案暨出貨明細表-基因檢測(201904起'!$P:$P,$A31&amp;"*",'來案暨出貨明細表-基因檢測(201904起'!$B:$B,BD$1)*$B31+COUNTIFS('來案暨出貨明細表-基因檢測(201904起'!$P:$P,$A31&amp;"*",'來案暨出貨明細表-基因檢測(201904起'!$B:$B,BD$1,'來案暨出貨明細表-基因檢測(201904起'!$Q:$Q,"紙本&amp;電子")++COUNTIFS('來案暨出貨明細表-基因檢測(201904起'!$P:$P,$A31&amp;"*",'來案暨出貨明細表-基因檢測(201904起'!$B:$B,BD$1,'來案暨出貨明細表-基因檢測(201904起'!$R:$R,"中英")</f>
        <v>0</v>
      </c>
      <c r="BE31" s="33">
        <f>COUNTIFS('來案暨出貨明細表-基因檢測(201904起'!$P:$P,$A31&amp;"*",'來案暨出貨明細表-基因檢測(201904起'!$B:$B,BE$1)*$B31+COUNTIFS('來案暨出貨明細表-基因檢測(201904起'!$P:$P,$A31&amp;"*",'來案暨出貨明細表-基因檢測(201904起'!$B:$B,BE$1,'來案暨出貨明細表-基因檢測(201904起'!$Q:$Q,"紙本&amp;電子")++COUNTIFS('來案暨出貨明細表-基因檢測(201904起'!$P:$P,$A31&amp;"*",'來案暨出貨明細表-基因檢測(201904起'!$B:$B,BE$1,'來案暨出貨明細表-基因檢測(201904起'!$R:$R,"中英")</f>
        <v>0</v>
      </c>
      <c r="BF31" s="33">
        <f>COUNTIFS('來案暨出貨明細表-基因檢測(201904起'!$P:$P,$A31&amp;"*",'來案暨出貨明細表-基因檢測(201904起'!$B:$B,BF$1)*$B31+COUNTIFS('來案暨出貨明細表-基因檢測(201904起'!$P:$P,$A31&amp;"*",'來案暨出貨明細表-基因檢測(201904起'!$B:$B,BF$1,'來案暨出貨明細表-基因檢測(201904起'!$Q:$Q,"紙本&amp;電子")++COUNTIFS('來案暨出貨明細表-基因檢測(201904起'!$P:$P,$A31&amp;"*",'來案暨出貨明細表-基因檢測(201904起'!$B:$B,BF$1,'來案暨出貨明細表-基因檢測(201904起'!$R:$R,"中英")</f>
        <v>0</v>
      </c>
      <c r="BG31" s="33">
        <f>COUNTIFS('來案暨出貨明細表-基因檢測(201904起'!$P:$P,$A31&amp;"*",'來案暨出貨明細表-基因檢測(201904起'!$B:$B,BG$1)*$B31+COUNTIFS('來案暨出貨明細表-基因檢測(201904起'!$P:$P,$A31&amp;"*",'來案暨出貨明細表-基因檢測(201904起'!$B:$B,BG$1,'來案暨出貨明細表-基因檢測(201904起'!$Q:$Q,"紙本&amp;電子")++COUNTIFS('來案暨出貨明細表-基因檢測(201904起'!$P:$P,$A31&amp;"*",'來案暨出貨明細表-基因檢測(201904起'!$B:$B,BG$1,'來案暨出貨明細表-基因檢測(201904起'!$R:$R,"中英")</f>
        <v>0</v>
      </c>
      <c r="BH31" s="33">
        <f>COUNTIFS('來案暨出貨明細表-基因檢測(201904起'!$P:$P,$A31&amp;"*",'來案暨出貨明細表-基因檢測(201904起'!$B:$B,BH$1)*$B31+COUNTIFS('來案暨出貨明細表-基因檢測(201904起'!$P:$P,$A31&amp;"*",'來案暨出貨明細表-基因檢測(201904起'!$B:$B,BH$1,'來案暨出貨明細表-基因檢測(201904起'!$Q:$Q,"紙本&amp;電子")++COUNTIFS('來案暨出貨明細表-基因檢測(201904起'!$P:$P,$A31&amp;"*",'來案暨出貨明細表-基因檢測(201904起'!$B:$B,BH$1,'來案暨出貨明細表-基因檢測(201904起'!$R:$R,"中英")</f>
        <v>0</v>
      </c>
      <c r="BI31" s="33">
        <f>COUNTIFS('來案暨出貨明細表-基因檢測(201904起'!$P:$P,$A31&amp;"*",'來案暨出貨明細表-基因檢測(201904起'!$B:$B,BI$1)*$B31+COUNTIFS('來案暨出貨明細表-基因檢測(201904起'!$P:$P,$A31&amp;"*",'來案暨出貨明細表-基因檢測(201904起'!$B:$B,BI$1,'來案暨出貨明細表-基因檢測(201904起'!$Q:$Q,"紙本&amp;電子")++COUNTIFS('來案暨出貨明細表-基因檢測(201904起'!$P:$P,$A31&amp;"*",'來案暨出貨明細表-基因檢測(201904起'!$B:$B,BI$1,'來案暨出貨明細表-基因檢測(201904起'!$R:$R,"中英")</f>
        <v>0</v>
      </c>
      <c r="BJ31" s="33">
        <f>COUNTIFS('來案暨出貨明細表-基因檢測(201904起'!$P:$P,$A31&amp;"*",'來案暨出貨明細表-基因檢測(201904起'!$B:$B,BJ$1)*$B31+COUNTIFS('來案暨出貨明細表-基因檢測(201904起'!$P:$P,$A31&amp;"*",'來案暨出貨明細表-基因檢測(201904起'!$B:$B,BJ$1,'來案暨出貨明細表-基因檢測(201904起'!$Q:$Q,"紙本&amp;電子")++COUNTIFS('來案暨出貨明細表-基因檢測(201904起'!$P:$P,$A31&amp;"*",'來案暨出貨明細表-基因檢測(201904起'!$B:$B,BJ$1,'來案暨出貨明細表-基因檢測(201904起'!$R:$R,"中英")</f>
        <v>0</v>
      </c>
      <c r="BK31" s="33">
        <f>COUNTIFS('來案暨出貨明細表-基因檢測(201904起'!$P:$P,$A31&amp;"*",'來案暨出貨明細表-基因檢測(201904起'!$B:$B,BK$1)*$B31+COUNTIFS('來案暨出貨明細表-基因檢測(201904起'!$P:$P,$A31&amp;"*",'來案暨出貨明細表-基因檢測(201904起'!$B:$B,BK$1,'來案暨出貨明細表-基因檢測(201904起'!$Q:$Q,"紙本&amp;電子")++COUNTIFS('來案暨出貨明細表-基因檢測(201904起'!$P:$P,$A31&amp;"*",'來案暨出貨明細表-基因檢測(201904起'!$B:$B,BK$1,'來案暨出貨明細表-基因檢測(201904起'!$R:$R,"中英")</f>
        <v>0</v>
      </c>
    </row>
    <row r="32" spans="1:63" ht="15" customHeight="1">
      <c r="A32" s="166" t="s">
        <v>4557</v>
      </c>
      <c r="B32" s="167">
        <v>1</v>
      </c>
      <c r="C32" s="195" t="s">
        <v>4558</v>
      </c>
      <c r="D32" s="169" t="s">
        <v>627</v>
      </c>
      <c r="E32" s="162">
        <v>0</v>
      </c>
      <c r="F32" s="162">
        <v>0</v>
      </c>
      <c r="G32" s="162">
        <v>0</v>
      </c>
      <c r="H32" s="162">
        <v>0</v>
      </c>
      <c r="I32" s="162">
        <v>0</v>
      </c>
      <c r="J32" s="162">
        <v>0</v>
      </c>
      <c r="K32" s="162">
        <v>1</v>
      </c>
      <c r="L32" s="162">
        <v>0</v>
      </c>
      <c r="M32" s="162">
        <v>0</v>
      </c>
      <c r="N32" s="162">
        <v>0</v>
      </c>
      <c r="O32" s="162">
        <v>0</v>
      </c>
      <c r="P32" s="162">
        <v>0</v>
      </c>
      <c r="Q32" s="162">
        <v>0</v>
      </c>
      <c r="R32" s="162">
        <v>0</v>
      </c>
      <c r="S32" s="162">
        <v>1</v>
      </c>
      <c r="T32" s="162">
        <v>0</v>
      </c>
      <c r="U32" s="162">
        <v>0</v>
      </c>
      <c r="V32" s="162">
        <v>0</v>
      </c>
      <c r="W32" s="162">
        <v>0</v>
      </c>
      <c r="X32" s="162">
        <v>0</v>
      </c>
      <c r="Y32" s="162">
        <v>0</v>
      </c>
      <c r="Z32" s="162">
        <v>0</v>
      </c>
      <c r="AA32" s="162">
        <v>0</v>
      </c>
      <c r="AB32" s="162">
        <v>0</v>
      </c>
      <c r="AC32" s="162">
        <v>0</v>
      </c>
      <c r="AD32" s="162">
        <v>0</v>
      </c>
      <c r="AE32" s="162">
        <v>0</v>
      </c>
      <c r="AF32" s="162">
        <v>0</v>
      </c>
      <c r="AG32" s="162">
        <v>0</v>
      </c>
      <c r="AH32" s="162">
        <v>0</v>
      </c>
      <c r="AI32" s="162">
        <v>0</v>
      </c>
      <c r="AJ32" s="170">
        <v>2</v>
      </c>
      <c r="AK32" s="33">
        <f>COUNTIFS('來案暨出貨明細表-基因檢測(201904起'!$P:$P,$A32&amp;"*",'來案暨出貨明細表-基因檢測(201904起'!$B:$B,AK$1)*$B32+COUNTIFS('來案暨出貨明細表-基因檢測(201904起'!$P:$P,$A32&amp;"*",'來案暨出貨明細表-基因檢測(201904起'!$B:$B,AK$1,'來案暨出貨明細表-基因檢測(201904起'!$Q:$Q,"紙本&amp;電子")++COUNTIFS('來案暨出貨明細表-基因檢測(201904起'!$P:$P,$A32&amp;"*",'來案暨出貨明細表-基因檢測(201904起'!$B:$B,AK$1,'來案暨出貨明細表-基因檢測(201904起'!$R:$R,"中英")</f>
        <v>0</v>
      </c>
      <c r="AL32" s="33">
        <f>COUNTIFS('來案暨出貨明細表-基因檢測(201904起'!$P:$P,$A32&amp;"*",'來案暨出貨明細表-基因檢測(201904起'!$B:$B,AL$1)*$B32+COUNTIFS('來案暨出貨明細表-基因檢測(201904起'!$P:$P,$A32&amp;"*",'來案暨出貨明細表-基因檢測(201904起'!$B:$B,AL$1,'來案暨出貨明細表-基因檢測(201904起'!$Q:$Q,"紙本&amp;電子")++COUNTIFS('來案暨出貨明細表-基因檢測(201904起'!$P:$P,$A32&amp;"*",'來案暨出貨明細表-基因檢測(201904起'!$B:$B,AL$1,'來案暨出貨明細表-基因檢測(201904起'!$R:$R,"中英")</f>
        <v>0</v>
      </c>
      <c r="AM32" s="33">
        <f>COUNTIFS('來案暨出貨明細表-基因檢測(201904起'!$P:$P,$A32&amp;"*",'來案暨出貨明細表-基因檢測(201904起'!$B:$B,AM$1)*$B32+COUNTIFS('來案暨出貨明細表-基因檢測(201904起'!$P:$P,$A32&amp;"*",'來案暨出貨明細表-基因檢測(201904起'!$B:$B,AM$1,'來案暨出貨明細表-基因檢測(201904起'!$Q:$Q,"紙本&amp;電子")++COUNTIFS('來案暨出貨明細表-基因檢測(201904起'!$P:$P,$A32&amp;"*",'來案暨出貨明細表-基因檢測(201904起'!$B:$B,AM$1,'來案暨出貨明細表-基因檢測(201904起'!$R:$R,"中英")</f>
        <v>0</v>
      </c>
      <c r="AN32" s="33">
        <f>COUNTIFS('來案暨出貨明細表-基因檢測(201904起'!$P:$P,$A32&amp;"*",'來案暨出貨明細表-基因檢測(201904起'!$B:$B,AN$1)*$B32+COUNTIFS('來案暨出貨明細表-基因檢測(201904起'!$P:$P,$A32&amp;"*",'來案暨出貨明細表-基因檢測(201904起'!$B:$B,AN$1,'來案暨出貨明細表-基因檢測(201904起'!$Q:$Q,"紙本&amp;電子")++COUNTIFS('來案暨出貨明細表-基因檢測(201904起'!$P:$P,$A32&amp;"*",'來案暨出貨明細表-基因檢測(201904起'!$B:$B,AN$1,'來案暨出貨明細表-基因檢測(201904起'!$R:$R,"中英")</f>
        <v>0</v>
      </c>
      <c r="AO32" s="33">
        <f>COUNTIFS('來案暨出貨明細表-基因檢測(201904起'!$P:$P,$A32&amp;"*",'來案暨出貨明細表-基因檢測(201904起'!$B:$B,AO$1)*$B32+COUNTIFS('來案暨出貨明細表-基因檢測(201904起'!$P:$P,$A32&amp;"*",'來案暨出貨明細表-基因檢測(201904起'!$B:$B,AO$1,'來案暨出貨明細表-基因檢測(201904起'!$Q:$Q,"紙本&amp;電子")++COUNTIFS('來案暨出貨明細表-基因檢測(201904起'!$P:$P,$A32&amp;"*",'來案暨出貨明細表-基因檢測(201904起'!$B:$B,AO$1,'來案暨出貨明細表-基因檢測(201904起'!$R:$R,"中英")</f>
        <v>0</v>
      </c>
      <c r="AP32" s="33">
        <f>COUNTIFS('來案暨出貨明細表-基因檢測(201904起'!$P:$P,$A32&amp;"*",'來案暨出貨明細表-基因檢測(201904起'!$B:$B,AP$1)*$B32+COUNTIFS('來案暨出貨明細表-基因檢測(201904起'!$P:$P,$A32&amp;"*",'來案暨出貨明細表-基因檢測(201904起'!$B:$B,AP$1,'來案暨出貨明細表-基因檢測(201904起'!$Q:$Q,"紙本&amp;電子")++COUNTIFS('來案暨出貨明細表-基因檢測(201904起'!$P:$P,$A32&amp;"*",'來案暨出貨明細表-基因檢測(201904起'!$B:$B,AP$1,'來案暨出貨明細表-基因檢測(201904起'!$R:$R,"中英")</f>
        <v>0</v>
      </c>
      <c r="AQ32" s="33">
        <f>COUNTIFS('來案暨出貨明細表-基因檢測(201904起'!$P:$P,$A32&amp;"*",'來案暨出貨明細表-基因檢測(201904起'!$B:$B,AQ$1)*$B32+COUNTIFS('來案暨出貨明細表-基因檢測(201904起'!$P:$P,$A32&amp;"*",'來案暨出貨明細表-基因檢測(201904起'!$B:$B,AQ$1,'來案暨出貨明細表-基因檢測(201904起'!$Q:$Q,"紙本&amp;電子")++COUNTIFS('來案暨出貨明細表-基因檢測(201904起'!$P:$P,$A32&amp;"*",'來案暨出貨明細表-基因檢測(201904起'!$B:$B,AQ$1,'來案暨出貨明細表-基因檢測(201904起'!$R:$R,"中英")</f>
        <v>0</v>
      </c>
      <c r="AR32" s="33">
        <f>COUNTIFS('來案暨出貨明細表-基因檢測(201904起'!$P:$P,$A32&amp;"*",'來案暨出貨明細表-基因檢測(201904起'!$B:$B,AR$1)*$B32+COUNTIFS('來案暨出貨明細表-基因檢測(201904起'!$P:$P,$A32&amp;"*",'來案暨出貨明細表-基因檢測(201904起'!$B:$B,AR$1,'來案暨出貨明細表-基因檢測(201904起'!$Q:$Q,"紙本&amp;電子")++COUNTIFS('來案暨出貨明細表-基因檢測(201904起'!$P:$P,$A32&amp;"*",'來案暨出貨明細表-基因檢測(201904起'!$B:$B,AR$1,'來案暨出貨明細表-基因檢測(201904起'!$R:$R,"中英")</f>
        <v>0</v>
      </c>
      <c r="AS32" s="33">
        <f>COUNTIFS('來案暨出貨明細表-基因檢測(201904起'!$P:$P,$A32&amp;"*",'來案暨出貨明細表-基因檢測(201904起'!$B:$B,AS$1)*$B32+COUNTIFS('來案暨出貨明細表-基因檢測(201904起'!$P:$P,$A32&amp;"*",'來案暨出貨明細表-基因檢測(201904起'!$B:$B,AS$1,'來案暨出貨明細表-基因檢測(201904起'!$Q:$Q,"紙本&amp;電子")++COUNTIFS('來案暨出貨明細表-基因檢測(201904起'!$P:$P,$A32&amp;"*",'來案暨出貨明細表-基因檢測(201904起'!$B:$B,AS$1,'來案暨出貨明細表-基因檢測(201904起'!$R:$R,"中英")</f>
        <v>0</v>
      </c>
      <c r="AT32" s="33">
        <f>COUNTIFS('來案暨出貨明細表-基因檢測(201904起'!$P:$P,$A32&amp;"*",'來案暨出貨明細表-基因檢測(201904起'!$B:$B,AT$1)*$B32+COUNTIFS('來案暨出貨明細表-基因檢測(201904起'!$P:$P,$A32&amp;"*",'來案暨出貨明細表-基因檢測(201904起'!$B:$B,AT$1,'來案暨出貨明細表-基因檢測(201904起'!$Q:$Q,"紙本&amp;電子")++COUNTIFS('來案暨出貨明細表-基因檢測(201904起'!$P:$P,$A32&amp;"*",'來案暨出貨明細表-基因檢測(201904起'!$B:$B,AT$1,'來案暨出貨明細表-基因檢測(201904起'!$R:$R,"中英")</f>
        <v>0</v>
      </c>
      <c r="AU32" s="33">
        <f>COUNTIFS('來案暨出貨明細表-基因檢測(201904起'!$P:$P,$A32&amp;"*",'來案暨出貨明細表-基因檢測(201904起'!$B:$B,AU$1)*$B32+COUNTIFS('來案暨出貨明細表-基因檢測(201904起'!$P:$P,$A32&amp;"*",'來案暨出貨明細表-基因檢測(201904起'!$B:$B,AU$1,'來案暨出貨明細表-基因檢測(201904起'!$Q:$Q,"紙本&amp;電子")++COUNTIFS('來案暨出貨明細表-基因檢測(201904起'!$P:$P,$A32&amp;"*",'來案暨出貨明細表-基因檢測(201904起'!$B:$B,AU$1,'來案暨出貨明細表-基因檢測(201904起'!$R:$R,"中英")</f>
        <v>0</v>
      </c>
      <c r="AV32" s="33">
        <f>COUNTIFS('來案暨出貨明細表-基因檢測(201904起'!$P:$P,$A32&amp;"*",'來案暨出貨明細表-基因檢測(201904起'!$B:$B,AV$1)*$B32+COUNTIFS('來案暨出貨明細表-基因檢測(201904起'!$P:$P,$A32&amp;"*",'來案暨出貨明細表-基因檢測(201904起'!$B:$B,AV$1,'來案暨出貨明細表-基因檢測(201904起'!$Q:$Q,"紙本&amp;電子")++COUNTIFS('來案暨出貨明細表-基因檢測(201904起'!$P:$P,$A32&amp;"*",'來案暨出貨明細表-基因檢測(201904起'!$B:$B,AV$1,'來案暨出貨明細表-基因檢測(201904起'!$R:$R,"中英")</f>
        <v>0</v>
      </c>
      <c r="AW32" s="33">
        <f>COUNTIFS('來案暨出貨明細表-基因檢測(201904起'!$P:$P,$A32&amp;"*",'來案暨出貨明細表-基因檢測(201904起'!$B:$B,AW$1)*$B32+COUNTIFS('來案暨出貨明細表-基因檢測(201904起'!$P:$P,$A32&amp;"*",'來案暨出貨明細表-基因檢測(201904起'!$B:$B,AW$1,'來案暨出貨明細表-基因檢測(201904起'!$Q:$Q,"紙本&amp;電子")++COUNTIFS('來案暨出貨明細表-基因檢測(201904起'!$P:$P,$A32&amp;"*",'來案暨出貨明細表-基因檢測(201904起'!$B:$B,AW$1,'來案暨出貨明細表-基因檢測(201904起'!$R:$R,"中英")</f>
        <v>0</v>
      </c>
      <c r="AX32" s="33">
        <f>COUNTIFS('來案暨出貨明細表-基因檢測(201904起'!$P:$P,$A32&amp;"*",'來案暨出貨明細表-基因檢測(201904起'!$B:$B,AX$1)*$B32+COUNTIFS('來案暨出貨明細表-基因檢測(201904起'!$P:$P,$A32&amp;"*",'來案暨出貨明細表-基因檢測(201904起'!$B:$B,AX$1,'來案暨出貨明細表-基因檢測(201904起'!$Q:$Q,"紙本&amp;電子")++COUNTIFS('來案暨出貨明細表-基因檢測(201904起'!$P:$P,$A32&amp;"*",'來案暨出貨明細表-基因檢測(201904起'!$B:$B,AX$1,'來案暨出貨明細表-基因檢測(201904起'!$R:$R,"中英")</f>
        <v>0</v>
      </c>
      <c r="AY32" s="33">
        <f>COUNTIFS('來案暨出貨明細表-基因檢測(201904起'!$P:$P,$A32&amp;"*",'來案暨出貨明細表-基因檢測(201904起'!$B:$B,AY$1)*$B32+COUNTIFS('來案暨出貨明細表-基因檢測(201904起'!$P:$P,$A32&amp;"*",'來案暨出貨明細表-基因檢測(201904起'!$B:$B,AY$1,'來案暨出貨明細表-基因檢測(201904起'!$Q:$Q,"紙本&amp;電子")++COUNTIFS('來案暨出貨明細表-基因檢測(201904起'!$P:$P,$A32&amp;"*",'來案暨出貨明細表-基因檢測(201904起'!$B:$B,AY$1,'來案暨出貨明細表-基因檢測(201904起'!$R:$R,"中英")</f>
        <v>0</v>
      </c>
      <c r="AZ32" s="33">
        <f>COUNTIFS('來案暨出貨明細表-基因檢測(201904起'!$P:$P,$A32&amp;"*",'來案暨出貨明細表-基因檢測(201904起'!$B:$B,AZ$1)*$B32+COUNTIFS('來案暨出貨明細表-基因檢測(201904起'!$P:$P,$A32&amp;"*",'來案暨出貨明細表-基因檢測(201904起'!$B:$B,AZ$1,'來案暨出貨明細表-基因檢測(201904起'!$Q:$Q,"紙本&amp;電子")++COUNTIFS('來案暨出貨明細表-基因檢測(201904起'!$P:$P,$A32&amp;"*",'來案暨出貨明細表-基因檢測(201904起'!$B:$B,AZ$1,'來案暨出貨明細表-基因檢測(201904起'!$R:$R,"中英")</f>
        <v>0</v>
      </c>
      <c r="BA32" s="33">
        <f>COUNTIFS('來案暨出貨明細表-基因檢測(201904起'!$P:$P,$A32&amp;"*",'來案暨出貨明細表-基因檢測(201904起'!$B:$B,BA$1)*$B32+COUNTIFS('來案暨出貨明細表-基因檢測(201904起'!$P:$P,$A32&amp;"*",'來案暨出貨明細表-基因檢測(201904起'!$B:$B,BA$1,'來案暨出貨明細表-基因檢測(201904起'!$Q:$Q,"紙本&amp;電子")++COUNTIFS('來案暨出貨明細表-基因檢測(201904起'!$P:$P,$A32&amp;"*",'來案暨出貨明細表-基因檢測(201904起'!$B:$B,BA$1,'來案暨出貨明細表-基因檢測(201904起'!$R:$R,"中英")</f>
        <v>0</v>
      </c>
      <c r="BB32" s="33">
        <f>COUNTIFS('來案暨出貨明細表-基因檢測(201904起'!$P:$P,$A32&amp;"*",'來案暨出貨明細表-基因檢測(201904起'!$B:$B,BB$1)*$B32+COUNTIFS('來案暨出貨明細表-基因檢測(201904起'!$P:$P,$A32&amp;"*",'來案暨出貨明細表-基因檢測(201904起'!$B:$B,BB$1,'來案暨出貨明細表-基因檢測(201904起'!$Q:$Q,"紙本&amp;電子")++COUNTIFS('來案暨出貨明細表-基因檢測(201904起'!$P:$P,$A32&amp;"*",'來案暨出貨明細表-基因檢測(201904起'!$B:$B,BB$1,'來案暨出貨明細表-基因檢測(201904起'!$R:$R,"中英")</f>
        <v>0</v>
      </c>
      <c r="BC32" s="33">
        <f>COUNTIFS('來案暨出貨明細表-基因檢測(201904起'!$P:$P,$A32&amp;"*",'來案暨出貨明細表-基因檢測(201904起'!$B:$B,BC$1)*$B32+COUNTIFS('來案暨出貨明細表-基因檢測(201904起'!$P:$P,$A32&amp;"*",'來案暨出貨明細表-基因檢測(201904起'!$B:$B,BC$1,'來案暨出貨明細表-基因檢測(201904起'!$Q:$Q,"紙本&amp;電子")++COUNTIFS('來案暨出貨明細表-基因檢測(201904起'!$P:$P,$A32&amp;"*",'來案暨出貨明細表-基因檢測(201904起'!$B:$B,BC$1,'來案暨出貨明細表-基因檢測(201904起'!$R:$R,"中英")</f>
        <v>0</v>
      </c>
      <c r="BD32" s="33">
        <f>COUNTIFS('來案暨出貨明細表-基因檢測(201904起'!$P:$P,$A32&amp;"*",'來案暨出貨明細表-基因檢測(201904起'!$B:$B,BD$1)*$B32+COUNTIFS('來案暨出貨明細表-基因檢測(201904起'!$P:$P,$A32&amp;"*",'來案暨出貨明細表-基因檢測(201904起'!$B:$B,BD$1,'來案暨出貨明細表-基因檢測(201904起'!$Q:$Q,"紙本&amp;電子")++COUNTIFS('來案暨出貨明細表-基因檢測(201904起'!$P:$P,$A32&amp;"*",'來案暨出貨明細表-基因檢測(201904起'!$B:$B,BD$1,'來案暨出貨明細表-基因檢測(201904起'!$R:$R,"中英")</f>
        <v>0</v>
      </c>
      <c r="BE32" s="33">
        <f>COUNTIFS('來案暨出貨明細表-基因檢測(201904起'!$P:$P,$A32&amp;"*",'來案暨出貨明細表-基因檢測(201904起'!$B:$B,BE$1)*$B32+COUNTIFS('來案暨出貨明細表-基因檢測(201904起'!$P:$P,$A32&amp;"*",'來案暨出貨明細表-基因檢測(201904起'!$B:$B,BE$1,'來案暨出貨明細表-基因檢測(201904起'!$Q:$Q,"紙本&amp;電子")++COUNTIFS('來案暨出貨明細表-基因檢測(201904起'!$P:$P,$A32&amp;"*",'來案暨出貨明細表-基因檢測(201904起'!$B:$B,BE$1,'來案暨出貨明細表-基因檢測(201904起'!$R:$R,"中英")</f>
        <v>0</v>
      </c>
      <c r="BF32" s="33">
        <f>COUNTIFS('來案暨出貨明細表-基因檢測(201904起'!$P:$P,$A32&amp;"*",'來案暨出貨明細表-基因檢測(201904起'!$B:$B,BF$1)*$B32+COUNTIFS('來案暨出貨明細表-基因檢測(201904起'!$P:$P,$A32&amp;"*",'來案暨出貨明細表-基因檢測(201904起'!$B:$B,BF$1,'來案暨出貨明細表-基因檢測(201904起'!$Q:$Q,"紙本&amp;電子")++COUNTIFS('來案暨出貨明細表-基因檢測(201904起'!$P:$P,$A32&amp;"*",'來案暨出貨明細表-基因檢測(201904起'!$B:$B,BF$1,'來案暨出貨明細表-基因檢測(201904起'!$R:$R,"中英")</f>
        <v>0</v>
      </c>
      <c r="BG32" s="33">
        <f>COUNTIFS('來案暨出貨明細表-基因檢測(201904起'!$P:$P,$A32&amp;"*",'來案暨出貨明細表-基因檢測(201904起'!$B:$B,BG$1)*$B32+COUNTIFS('來案暨出貨明細表-基因檢測(201904起'!$P:$P,$A32&amp;"*",'來案暨出貨明細表-基因檢測(201904起'!$B:$B,BG$1,'來案暨出貨明細表-基因檢測(201904起'!$Q:$Q,"紙本&amp;電子")++COUNTIFS('來案暨出貨明細表-基因檢測(201904起'!$P:$P,$A32&amp;"*",'來案暨出貨明細表-基因檢測(201904起'!$B:$B,BG$1,'來案暨出貨明細表-基因檢測(201904起'!$R:$R,"中英")</f>
        <v>0</v>
      </c>
      <c r="BH32" s="33">
        <f>COUNTIFS('來案暨出貨明細表-基因檢測(201904起'!$P:$P,$A32&amp;"*",'來案暨出貨明細表-基因檢測(201904起'!$B:$B,BH$1)*$B32+COUNTIFS('來案暨出貨明細表-基因檢測(201904起'!$P:$P,$A32&amp;"*",'來案暨出貨明細表-基因檢測(201904起'!$B:$B,BH$1,'來案暨出貨明細表-基因檢測(201904起'!$Q:$Q,"紙本&amp;電子")++COUNTIFS('來案暨出貨明細表-基因檢測(201904起'!$P:$P,$A32&amp;"*",'來案暨出貨明細表-基因檢測(201904起'!$B:$B,BH$1,'來案暨出貨明細表-基因檢測(201904起'!$R:$R,"中英")</f>
        <v>0</v>
      </c>
      <c r="BI32" s="33">
        <f>COUNTIFS('來案暨出貨明細表-基因檢測(201904起'!$P:$P,$A32&amp;"*",'來案暨出貨明細表-基因檢測(201904起'!$B:$B,BI$1)*$B32+COUNTIFS('來案暨出貨明細表-基因檢測(201904起'!$P:$P,$A32&amp;"*",'來案暨出貨明細表-基因檢測(201904起'!$B:$B,BI$1,'來案暨出貨明細表-基因檢測(201904起'!$Q:$Q,"紙本&amp;電子")++COUNTIFS('來案暨出貨明細表-基因檢測(201904起'!$P:$P,$A32&amp;"*",'來案暨出貨明細表-基因檢測(201904起'!$B:$B,BI$1,'來案暨出貨明細表-基因檢測(201904起'!$R:$R,"中英")</f>
        <v>0</v>
      </c>
      <c r="BJ32" s="33">
        <f>COUNTIFS('來案暨出貨明細表-基因檢測(201904起'!$P:$P,$A32&amp;"*",'來案暨出貨明細表-基因檢測(201904起'!$B:$B,BJ$1)*$B32+COUNTIFS('來案暨出貨明細表-基因檢測(201904起'!$P:$P,$A32&amp;"*",'來案暨出貨明細表-基因檢測(201904起'!$B:$B,BJ$1,'來案暨出貨明細表-基因檢測(201904起'!$Q:$Q,"紙本&amp;電子")++COUNTIFS('來案暨出貨明細表-基因檢測(201904起'!$P:$P,$A32&amp;"*",'來案暨出貨明細表-基因檢測(201904起'!$B:$B,BJ$1,'來案暨出貨明細表-基因檢測(201904起'!$R:$R,"中英")</f>
        <v>0</v>
      </c>
      <c r="BK32" s="33">
        <f>COUNTIFS('來案暨出貨明細表-基因檢測(201904起'!$P:$P,$A32&amp;"*",'來案暨出貨明細表-基因檢測(201904起'!$B:$B,BK$1)*$B32+COUNTIFS('來案暨出貨明細表-基因檢測(201904起'!$P:$P,$A32&amp;"*",'來案暨出貨明細表-基因檢測(201904起'!$B:$B,BK$1,'來案暨出貨明細表-基因檢測(201904起'!$Q:$Q,"紙本&amp;電子")++COUNTIFS('來案暨出貨明細表-基因檢測(201904起'!$P:$P,$A32&amp;"*",'來案暨出貨明細表-基因檢測(201904起'!$B:$B,BK$1,'來案暨出貨明細表-基因檢測(201904起'!$R:$R,"中英")</f>
        <v>0</v>
      </c>
    </row>
    <row r="33" spans="1:63" ht="15" customHeight="1">
      <c r="A33" s="166" t="s">
        <v>4559</v>
      </c>
      <c r="B33" s="167">
        <v>1</v>
      </c>
      <c r="C33" s="195" t="s">
        <v>4560</v>
      </c>
      <c r="D33" s="169" t="s">
        <v>4561</v>
      </c>
      <c r="E33" s="162">
        <v>0</v>
      </c>
      <c r="F33" s="162">
        <v>0</v>
      </c>
      <c r="G33" s="162">
        <v>0</v>
      </c>
      <c r="H33" s="162">
        <v>0</v>
      </c>
      <c r="I33" s="162">
        <v>0</v>
      </c>
      <c r="J33" s="162">
        <v>0</v>
      </c>
      <c r="K33" s="162">
        <v>0</v>
      </c>
      <c r="L33" s="162">
        <v>0</v>
      </c>
      <c r="M33" s="162">
        <v>0</v>
      </c>
      <c r="N33" s="162">
        <v>0</v>
      </c>
      <c r="O33" s="162">
        <v>0</v>
      </c>
      <c r="P33" s="162">
        <v>0</v>
      </c>
      <c r="Q33" s="162">
        <v>0</v>
      </c>
      <c r="R33" s="162">
        <v>0</v>
      </c>
      <c r="S33" s="162">
        <v>0</v>
      </c>
      <c r="T33" s="162">
        <v>0</v>
      </c>
      <c r="U33" s="162">
        <v>0</v>
      </c>
      <c r="V33" s="162">
        <v>0</v>
      </c>
      <c r="W33" s="162">
        <v>0</v>
      </c>
      <c r="X33" s="162">
        <v>0</v>
      </c>
      <c r="Y33" s="162">
        <v>0</v>
      </c>
      <c r="Z33" s="162">
        <v>0</v>
      </c>
      <c r="AA33" s="162">
        <v>0</v>
      </c>
      <c r="AB33" s="162">
        <v>0</v>
      </c>
      <c r="AC33" s="162">
        <v>0</v>
      </c>
      <c r="AD33" s="162">
        <v>0</v>
      </c>
      <c r="AE33" s="162">
        <v>0</v>
      </c>
      <c r="AF33" s="162">
        <v>0</v>
      </c>
      <c r="AG33" s="162">
        <v>0</v>
      </c>
      <c r="AH33" s="162">
        <v>0</v>
      </c>
      <c r="AI33" s="162">
        <v>0</v>
      </c>
      <c r="AJ33" s="170">
        <v>0</v>
      </c>
      <c r="AK33" s="33">
        <f>COUNTIFS('來案暨出貨明細表-基因檢測(201904起'!$P:$P,$A33&amp;"*",'來案暨出貨明細表-基因檢測(201904起'!$B:$B,AK$1)*$B33+COUNTIFS('來案暨出貨明細表-基因檢測(201904起'!$P:$P,$A33&amp;"*",'來案暨出貨明細表-基因檢測(201904起'!$B:$B,AK$1,'來案暨出貨明細表-基因檢測(201904起'!$Q:$Q,"紙本&amp;電子")++COUNTIFS('來案暨出貨明細表-基因檢測(201904起'!$P:$P,$A33&amp;"*",'來案暨出貨明細表-基因檢測(201904起'!$B:$B,AK$1,'來案暨出貨明細表-基因檢測(201904起'!$R:$R,"中英")</f>
        <v>0</v>
      </c>
      <c r="AL33" s="33">
        <f>COUNTIFS('來案暨出貨明細表-基因檢測(201904起'!$P:$P,$A33&amp;"*",'來案暨出貨明細表-基因檢測(201904起'!$B:$B,AL$1)*$B33+COUNTIFS('來案暨出貨明細表-基因檢測(201904起'!$P:$P,$A33&amp;"*",'來案暨出貨明細表-基因檢測(201904起'!$B:$B,AL$1,'來案暨出貨明細表-基因檢測(201904起'!$Q:$Q,"紙本&amp;電子")++COUNTIFS('來案暨出貨明細表-基因檢測(201904起'!$P:$P,$A33&amp;"*",'來案暨出貨明細表-基因檢測(201904起'!$B:$B,AL$1,'來案暨出貨明細表-基因檢測(201904起'!$R:$R,"中英")</f>
        <v>0</v>
      </c>
      <c r="AM33" s="33">
        <f>COUNTIFS('來案暨出貨明細表-基因檢測(201904起'!$P:$P,$A33&amp;"*",'來案暨出貨明細表-基因檢測(201904起'!$B:$B,AM$1)*$B33+COUNTIFS('來案暨出貨明細表-基因檢測(201904起'!$P:$P,$A33&amp;"*",'來案暨出貨明細表-基因檢測(201904起'!$B:$B,AM$1,'來案暨出貨明細表-基因檢測(201904起'!$Q:$Q,"紙本&amp;電子")++COUNTIFS('來案暨出貨明細表-基因檢測(201904起'!$P:$P,$A33&amp;"*",'來案暨出貨明細表-基因檢測(201904起'!$B:$B,AM$1,'來案暨出貨明細表-基因檢測(201904起'!$R:$R,"中英")</f>
        <v>0</v>
      </c>
      <c r="AN33" s="33">
        <f>COUNTIFS('來案暨出貨明細表-基因檢測(201904起'!$P:$P,$A33&amp;"*",'來案暨出貨明細表-基因檢測(201904起'!$B:$B,AN$1)*$B33+COUNTIFS('來案暨出貨明細表-基因檢測(201904起'!$P:$P,$A33&amp;"*",'來案暨出貨明細表-基因檢測(201904起'!$B:$B,AN$1,'來案暨出貨明細表-基因檢測(201904起'!$Q:$Q,"紙本&amp;電子")++COUNTIFS('來案暨出貨明細表-基因檢測(201904起'!$P:$P,$A33&amp;"*",'來案暨出貨明細表-基因檢測(201904起'!$B:$B,AN$1,'來案暨出貨明細表-基因檢測(201904起'!$R:$R,"中英")</f>
        <v>0</v>
      </c>
      <c r="AO33" s="33">
        <f>COUNTIFS('來案暨出貨明細表-基因檢測(201904起'!$P:$P,$A33&amp;"*",'來案暨出貨明細表-基因檢測(201904起'!$B:$B,AO$1)*$B33+COUNTIFS('來案暨出貨明細表-基因檢測(201904起'!$P:$P,$A33&amp;"*",'來案暨出貨明細表-基因檢測(201904起'!$B:$B,AO$1,'來案暨出貨明細表-基因檢測(201904起'!$Q:$Q,"紙本&amp;電子")++COUNTIFS('來案暨出貨明細表-基因檢測(201904起'!$P:$P,$A33&amp;"*",'來案暨出貨明細表-基因檢測(201904起'!$B:$B,AO$1,'來案暨出貨明細表-基因檢測(201904起'!$R:$R,"中英")</f>
        <v>0</v>
      </c>
      <c r="AP33" s="33">
        <f>COUNTIFS('來案暨出貨明細表-基因檢測(201904起'!$P:$P,$A33&amp;"*",'來案暨出貨明細表-基因檢測(201904起'!$B:$B,AP$1)*$B33+COUNTIFS('來案暨出貨明細表-基因檢測(201904起'!$P:$P,$A33&amp;"*",'來案暨出貨明細表-基因檢測(201904起'!$B:$B,AP$1,'來案暨出貨明細表-基因檢測(201904起'!$Q:$Q,"紙本&amp;電子")++COUNTIFS('來案暨出貨明細表-基因檢測(201904起'!$P:$P,$A33&amp;"*",'來案暨出貨明細表-基因檢測(201904起'!$B:$B,AP$1,'來案暨出貨明細表-基因檢測(201904起'!$R:$R,"中英")</f>
        <v>0</v>
      </c>
      <c r="AQ33" s="33">
        <f>COUNTIFS('來案暨出貨明細表-基因檢測(201904起'!$P:$P,$A33&amp;"*",'來案暨出貨明細表-基因檢測(201904起'!$B:$B,AQ$1)*$B33+COUNTIFS('來案暨出貨明細表-基因檢測(201904起'!$P:$P,$A33&amp;"*",'來案暨出貨明細表-基因檢測(201904起'!$B:$B,AQ$1,'來案暨出貨明細表-基因檢測(201904起'!$Q:$Q,"紙本&amp;電子")++COUNTIFS('來案暨出貨明細表-基因檢測(201904起'!$P:$P,$A33&amp;"*",'來案暨出貨明細表-基因檢測(201904起'!$B:$B,AQ$1,'來案暨出貨明細表-基因檢測(201904起'!$R:$R,"中英")</f>
        <v>0</v>
      </c>
      <c r="AR33" s="33">
        <f>COUNTIFS('來案暨出貨明細表-基因檢測(201904起'!$P:$P,$A33&amp;"*",'來案暨出貨明細表-基因檢測(201904起'!$B:$B,AR$1)*$B33+COUNTIFS('來案暨出貨明細表-基因檢測(201904起'!$P:$P,$A33&amp;"*",'來案暨出貨明細表-基因檢測(201904起'!$B:$B,AR$1,'來案暨出貨明細表-基因檢測(201904起'!$Q:$Q,"紙本&amp;電子")++COUNTIFS('來案暨出貨明細表-基因檢測(201904起'!$P:$P,$A33&amp;"*",'來案暨出貨明細表-基因檢測(201904起'!$B:$B,AR$1,'來案暨出貨明細表-基因檢測(201904起'!$R:$R,"中英")</f>
        <v>0</v>
      </c>
      <c r="AS33" s="33">
        <f>COUNTIFS('來案暨出貨明細表-基因檢測(201904起'!$P:$P,$A33&amp;"*",'來案暨出貨明細表-基因檢測(201904起'!$B:$B,AS$1)*$B33+COUNTIFS('來案暨出貨明細表-基因檢測(201904起'!$P:$P,$A33&amp;"*",'來案暨出貨明細表-基因檢測(201904起'!$B:$B,AS$1,'來案暨出貨明細表-基因檢測(201904起'!$Q:$Q,"紙本&amp;電子")++COUNTIFS('來案暨出貨明細表-基因檢測(201904起'!$P:$P,$A33&amp;"*",'來案暨出貨明細表-基因檢測(201904起'!$B:$B,AS$1,'來案暨出貨明細表-基因檢測(201904起'!$R:$R,"中英")</f>
        <v>0</v>
      </c>
      <c r="AT33" s="33">
        <f>COUNTIFS('來案暨出貨明細表-基因檢測(201904起'!$P:$P,$A33&amp;"*",'來案暨出貨明細表-基因檢測(201904起'!$B:$B,AT$1)*$B33+COUNTIFS('來案暨出貨明細表-基因檢測(201904起'!$P:$P,$A33&amp;"*",'來案暨出貨明細表-基因檢測(201904起'!$B:$B,AT$1,'來案暨出貨明細表-基因檢測(201904起'!$Q:$Q,"紙本&amp;電子")++COUNTIFS('來案暨出貨明細表-基因檢測(201904起'!$P:$P,$A33&amp;"*",'來案暨出貨明細表-基因檢測(201904起'!$B:$B,AT$1,'來案暨出貨明細表-基因檢測(201904起'!$R:$R,"中英")</f>
        <v>0</v>
      </c>
      <c r="AU33" s="33">
        <f>COUNTIFS('來案暨出貨明細表-基因檢測(201904起'!$P:$P,$A33&amp;"*",'來案暨出貨明細表-基因檢測(201904起'!$B:$B,AU$1)*$B33+COUNTIFS('來案暨出貨明細表-基因檢測(201904起'!$P:$P,$A33&amp;"*",'來案暨出貨明細表-基因檢測(201904起'!$B:$B,AU$1,'來案暨出貨明細表-基因檢測(201904起'!$Q:$Q,"紙本&amp;電子")++COUNTIFS('來案暨出貨明細表-基因檢測(201904起'!$P:$P,$A33&amp;"*",'來案暨出貨明細表-基因檢測(201904起'!$B:$B,AU$1,'來案暨出貨明細表-基因檢測(201904起'!$R:$R,"中英")</f>
        <v>0</v>
      </c>
      <c r="AV33" s="33">
        <f>COUNTIFS('來案暨出貨明細表-基因檢測(201904起'!$P:$P,$A33&amp;"*",'來案暨出貨明細表-基因檢測(201904起'!$B:$B,AV$1)*$B33+COUNTIFS('來案暨出貨明細表-基因檢測(201904起'!$P:$P,$A33&amp;"*",'來案暨出貨明細表-基因檢測(201904起'!$B:$B,AV$1,'來案暨出貨明細表-基因檢測(201904起'!$Q:$Q,"紙本&amp;電子")++COUNTIFS('來案暨出貨明細表-基因檢測(201904起'!$P:$P,$A33&amp;"*",'來案暨出貨明細表-基因檢測(201904起'!$B:$B,AV$1,'來案暨出貨明細表-基因檢測(201904起'!$R:$R,"中英")</f>
        <v>0</v>
      </c>
      <c r="AW33" s="33">
        <f>COUNTIFS('來案暨出貨明細表-基因檢測(201904起'!$P:$P,$A33&amp;"*",'來案暨出貨明細表-基因檢測(201904起'!$B:$B,AW$1)*$B33+COUNTIFS('來案暨出貨明細表-基因檢測(201904起'!$P:$P,$A33&amp;"*",'來案暨出貨明細表-基因檢測(201904起'!$B:$B,AW$1,'來案暨出貨明細表-基因檢測(201904起'!$Q:$Q,"紙本&amp;電子")++COUNTIFS('來案暨出貨明細表-基因檢測(201904起'!$P:$P,$A33&amp;"*",'來案暨出貨明細表-基因檢測(201904起'!$B:$B,AW$1,'來案暨出貨明細表-基因檢測(201904起'!$R:$R,"中英")</f>
        <v>0</v>
      </c>
      <c r="AX33" s="33">
        <f>COUNTIFS('來案暨出貨明細表-基因檢測(201904起'!$P:$P,$A33&amp;"*",'來案暨出貨明細表-基因檢測(201904起'!$B:$B,AX$1)*$B33+COUNTIFS('來案暨出貨明細表-基因檢測(201904起'!$P:$P,$A33&amp;"*",'來案暨出貨明細表-基因檢測(201904起'!$B:$B,AX$1,'來案暨出貨明細表-基因檢測(201904起'!$Q:$Q,"紙本&amp;電子")++COUNTIFS('來案暨出貨明細表-基因檢測(201904起'!$P:$P,$A33&amp;"*",'來案暨出貨明細表-基因檢測(201904起'!$B:$B,AX$1,'來案暨出貨明細表-基因檢測(201904起'!$R:$R,"中英")</f>
        <v>0</v>
      </c>
      <c r="AY33" s="33">
        <f>COUNTIFS('來案暨出貨明細表-基因檢測(201904起'!$P:$P,$A33&amp;"*",'來案暨出貨明細表-基因檢測(201904起'!$B:$B,AY$1)*$B33+COUNTIFS('來案暨出貨明細表-基因檢測(201904起'!$P:$P,$A33&amp;"*",'來案暨出貨明細表-基因檢測(201904起'!$B:$B,AY$1,'來案暨出貨明細表-基因檢測(201904起'!$Q:$Q,"紙本&amp;電子")++COUNTIFS('來案暨出貨明細表-基因檢測(201904起'!$P:$P,$A33&amp;"*",'來案暨出貨明細表-基因檢測(201904起'!$B:$B,AY$1,'來案暨出貨明細表-基因檢測(201904起'!$R:$R,"中英")</f>
        <v>0</v>
      </c>
      <c r="AZ33" s="33">
        <f>COUNTIFS('來案暨出貨明細表-基因檢測(201904起'!$P:$P,$A33&amp;"*",'來案暨出貨明細表-基因檢測(201904起'!$B:$B,AZ$1)*$B33+COUNTIFS('來案暨出貨明細表-基因檢測(201904起'!$P:$P,$A33&amp;"*",'來案暨出貨明細表-基因檢測(201904起'!$B:$B,AZ$1,'來案暨出貨明細表-基因檢測(201904起'!$Q:$Q,"紙本&amp;電子")++COUNTIFS('來案暨出貨明細表-基因檢測(201904起'!$P:$P,$A33&amp;"*",'來案暨出貨明細表-基因檢測(201904起'!$B:$B,AZ$1,'來案暨出貨明細表-基因檢測(201904起'!$R:$R,"中英")</f>
        <v>0</v>
      </c>
      <c r="BA33" s="33">
        <f>COUNTIFS('來案暨出貨明細表-基因檢測(201904起'!$P:$P,$A33&amp;"*",'來案暨出貨明細表-基因檢測(201904起'!$B:$B,BA$1)*$B33+COUNTIFS('來案暨出貨明細表-基因檢測(201904起'!$P:$P,$A33&amp;"*",'來案暨出貨明細表-基因檢測(201904起'!$B:$B,BA$1,'來案暨出貨明細表-基因檢測(201904起'!$Q:$Q,"紙本&amp;電子")++COUNTIFS('來案暨出貨明細表-基因檢測(201904起'!$P:$P,$A33&amp;"*",'來案暨出貨明細表-基因檢測(201904起'!$B:$B,BA$1,'來案暨出貨明細表-基因檢測(201904起'!$R:$R,"中英")</f>
        <v>0</v>
      </c>
      <c r="BB33" s="33">
        <f>COUNTIFS('來案暨出貨明細表-基因檢測(201904起'!$P:$P,$A33&amp;"*",'來案暨出貨明細表-基因檢測(201904起'!$B:$B,BB$1)*$B33+COUNTIFS('來案暨出貨明細表-基因檢測(201904起'!$P:$P,$A33&amp;"*",'來案暨出貨明細表-基因檢測(201904起'!$B:$B,BB$1,'來案暨出貨明細表-基因檢測(201904起'!$Q:$Q,"紙本&amp;電子")++COUNTIFS('來案暨出貨明細表-基因檢測(201904起'!$P:$P,$A33&amp;"*",'來案暨出貨明細表-基因檢測(201904起'!$B:$B,BB$1,'來案暨出貨明細表-基因檢測(201904起'!$R:$R,"中英")</f>
        <v>0</v>
      </c>
      <c r="BC33" s="33">
        <f>COUNTIFS('來案暨出貨明細表-基因檢測(201904起'!$P:$P,$A33&amp;"*",'來案暨出貨明細表-基因檢測(201904起'!$B:$B,BC$1)*$B33+COUNTIFS('來案暨出貨明細表-基因檢測(201904起'!$P:$P,$A33&amp;"*",'來案暨出貨明細表-基因檢測(201904起'!$B:$B,BC$1,'來案暨出貨明細表-基因檢測(201904起'!$Q:$Q,"紙本&amp;電子")++COUNTIFS('來案暨出貨明細表-基因檢測(201904起'!$P:$P,$A33&amp;"*",'來案暨出貨明細表-基因檢測(201904起'!$B:$B,BC$1,'來案暨出貨明細表-基因檢測(201904起'!$R:$R,"中英")</f>
        <v>0</v>
      </c>
      <c r="BD33" s="33">
        <f>COUNTIFS('來案暨出貨明細表-基因檢測(201904起'!$P:$P,$A33&amp;"*",'來案暨出貨明細表-基因檢測(201904起'!$B:$B,BD$1)*$B33+COUNTIFS('來案暨出貨明細表-基因檢測(201904起'!$P:$P,$A33&amp;"*",'來案暨出貨明細表-基因檢測(201904起'!$B:$B,BD$1,'來案暨出貨明細表-基因檢測(201904起'!$Q:$Q,"紙本&amp;電子")++COUNTIFS('來案暨出貨明細表-基因檢測(201904起'!$P:$P,$A33&amp;"*",'來案暨出貨明細表-基因檢測(201904起'!$B:$B,BD$1,'來案暨出貨明細表-基因檢測(201904起'!$R:$R,"中英")</f>
        <v>0</v>
      </c>
      <c r="BE33" s="33">
        <f>COUNTIFS('來案暨出貨明細表-基因檢測(201904起'!$P:$P,$A33&amp;"*",'來案暨出貨明細表-基因檢測(201904起'!$B:$B,BE$1)*$B33+COUNTIFS('來案暨出貨明細表-基因檢測(201904起'!$P:$P,$A33&amp;"*",'來案暨出貨明細表-基因檢測(201904起'!$B:$B,BE$1,'來案暨出貨明細表-基因檢測(201904起'!$Q:$Q,"紙本&amp;電子")++COUNTIFS('來案暨出貨明細表-基因檢測(201904起'!$P:$P,$A33&amp;"*",'來案暨出貨明細表-基因檢測(201904起'!$B:$B,BE$1,'來案暨出貨明細表-基因檢測(201904起'!$R:$R,"中英")</f>
        <v>0</v>
      </c>
      <c r="BF33" s="33">
        <f>COUNTIFS('來案暨出貨明細表-基因檢測(201904起'!$P:$P,$A33&amp;"*",'來案暨出貨明細表-基因檢測(201904起'!$B:$B,BF$1)*$B33+COUNTIFS('來案暨出貨明細表-基因檢測(201904起'!$P:$P,$A33&amp;"*",'來案暨出貨明細表-基因檢測(201904起'!$B:$B,BF$1,'來案暨出貨明細表-基因檢測(201904起'!$Q:$Q,"紙本&amp;電子")++COUNTIFS('來案暨出貨明細表-基因檢測(201904起'!$P:$P,$A33&amp;"*",'來案暨出貨明細表-基因檢測(201904起'!$B:$B,BF$1,'來案暨出貨明細表-基因檢測(201904起'!$R:$R,"中英")</f>
        <v>0</v>
      </c>
      <c r="BG33" s="33">
        <f>COUNTIFS('來案暨出貨明細表-基因檢測(201904起'!$P:$P,$A33&amp;"*",'來案暨出貨明細表-基因檢測(201904起'!$B:$B,BG$1)*$B33+COUNTIFS('來案暨出貨明細表-基因檢測(201904起'!$P:$P,$A33&amp;"*",'來案暨出貨明細表-基因檢測(201904起'!$B:$B,BG$1,'來案暨出貨明細表-基因檢測(201904起'!$Q:$Q,"紙本&amp;電子")++COUNTIFS('來案暨出貨明細表-基因檢測(201904起'!$P:$P,$A33&amp;"*",'來案暨出貨明細表-基因檢測(201904起'!$B:$B,BG$1,'來案暨出貨明細表-基因檢測(201904起'!$R:$R,"中英")</f>
        <v>0</v>
      </c>
      <c r="BH33" s="33">
        <f>COUNTIFS('來案暨出貨明細表-基因檢測(201904起'!$P:$P,$A33&amp;"*",'來案暨出貨明細表-基因檢測(201904起'!$B:$B,BH$1)*$B33+COUNTIFS('來案暨出貨明細表-基因檢測(201904起'!$P:$P,$A33&amp;"*",'來案暨出貨明細表-基因檢測(201904起'!$B:$B,BH$1,'來案暨出貨明細表-基因檢測(201904起'!$Q:$Q,"紙本&amp;電子")++COUNTIFS('來案暨出貨明細表-基因檢測(201904起'!$P:$P,$A33&amp;"*",'來案暨出貨明細表-基因檢測(201904起'!$B:$B,BH$1,'來案暨出貨明細表-基因檢測(201904起'!$R:$R,"中英")</f>
        <v>0</v>
      </c>
      <c r="BI33" s="33">
        <f>COUNTIFS('來案暨出貨明細表-基因檢測(201904起'!$P:$P,$A33&amp;"*",'來案暨出貨明細表-基因檢測(201904起'!$B:$B,BI$1)*$B33+COUNTIFS('來案暨出貨明細表-基因檢測(201904起'!$P:$P,$A33&amp;"*",'來案暨出貨明細表-基因檢測(201904起'!$B:$B,BI$1,'來案暨出貨明細表-基因檢測(201904起'!$Q:$Q,"紙本&amp;電子")++COUNTIFS('來案暨出貨明細表-基因檢測(201904起'!$P:$P,$A33&amp;"*",'來案暨出貨明細表-基因檢測(201904起'!$B:$B,BI$1,'來案暨出貨明細表-基因檢測(201904起'!$R:$R,"中英")</f>
        <v>0</v>
      </c>
      <c r="BJ33" s="33">
        <f>COUNTIFS('來案暨出貨明細表-基因檢測(201904起'!$P:$P,$A33&amp;"*",'來案暨出貨明細表-基因檢測(201904起'!$B:$B,BJ$1)*$B33+COUNTIFS('來案暨出貨明細表-基因檢測(201904起'!$P:$P,$A33&amp;"*",'來案暨出貨明細表-基因檢測(201904起'!$B:$B,BJ$1,'來案暨出貨明細表-基因檢測(201904起'!$Q:$Q,"紙本&amp;電子")++COUNTIFS('來案暨出貨明細表-基因檢測(201904起'!$P:$P,$A33&amp;"*",'來案暨出貨明細表-基因檢測(201904起'!$B:$B,BJ$1,'來案暨出貨明細表-基因檢測(201904起'!$R:$R,"中英")</f>
        <v>0</v>
      </c>
      <c r="BK33" s="33">
        <f>COUNTIFS('來案暨出貨明細表-基因檢測(201904起'!$P:$P,$A33&amp;"*",'來案暨出貨明細表-基因檢測(201904起'!$B:$B,BK$1)*$B33+COUNTIFS('來案暨出貨明細表-基因檢測(201904起'!$P:$P,$A33&amp;"*",'來案暨出貨明細表-基因檢測(201904起'!$B:$B,BK$1,'來案暨出貨明細表-基因檢測(201904起'!$Q:$Q,"紙本&amp;電子")++COUNTIFS('來案暨出貨明細表-基因檢測(201904起'!$P:$P,$A33&amp;"*",'來案暨出貨明細表-基因檢測(201904起'!$B:$B,BK$1,'來案暨出貨明細表-基因檢測(201904起'!$R:$R,"中英")</f>
        <v>0</v>
      </c>
    </row>
    <row r="34" spans="1:63" ht="15" customHeight="1">
      <c r="A34" s="166" t="s">
        <v>4562</v>
      </c>
      <c r="B34" s="167">
        <v>1</v>
      </c>
      <c r="C34" s="195" t="s">
        <v>4563</v>
      </c>
      <c r="D34" s="169" t="s">
        <v>4564</v>
      </c>
      <c r="E34" s="162">
        <v>0</v>
      </c>
      <c r="F34" s="162">
        <v>0</v>
      </c>
      <c r="G34" s="162">
        <v>0</v>
      </c>
      <c r="H34" s="162">
        <v>0</v>
      </c>
      <c r="I34" s="162">
        <v>0</v>
      </c>
      <c r="J34" s="162">
        <v>0</v>
      </c>
      <c r="K34" s="162">
        <v>0</v>
      </c>
      <c r="L34" s="162">
        <v>0</v>
      </c>
      <c r="M34" s="162">
        <v>0</v>
      </c>
      <c r="N34" s="162">
        <v>0</v>
      </c>
      <c r="O34" s="162">
        <v>0</v>
      </c>
      <c r="P34" s="162">
        <v>0</v>
      </c>
      <c r="Q34" s="162">
        <v>0</v>
      </c>
      <c r="R34" s="162">
        <v>0</v>
      </c>
      <c r="S34" s="162">
        <v>0</v>
      </c>
      <c r="T34" s="162">
        <v>0</v>
      </c>
      <c r="U34" s="162">
        <v>0</v>
      </c>
      <c r="V34" s="162">
        <v>0</v>
      </c>
      <c r="W34" s="162">
        <v>0</v>
      </c>
      <c r="X34" s="162">
        <v>0</v>
      </c>
      <c r="Y34" s="162">
        <v>0</v>
      </c>
      <c r="Z34" s="162">
        <v>0</v>
      </c>
      <c r="AA34" s="162">
        <v>0</v>
      </c>
      <c r="AB34" s="162">
        <v>0</v>
      </c>
      <c r="AC34" s="162">
        <v>0</v>
      </c>
      <c r="AD34" s="162">
        <v>0</v>
      </c>
      <c r="AE34" s="162">
        <v>0</v>
      </c>
      <c r="AF34" s="162">
        <v>0</v>
      </c>
      <c r="AG34" s="162">
        <v>0</v>
      </c>
      <c r="AH34" s="162">
        <v>0</v>
      </c>
      <c r="AI34" s="162">
        <v>0</v>
      </c>
      <c r="AJ34" s="170">
        <v>0</v>
      </c>
      <c r="AK34" s="33">
        <f>COUNTIFS('來案暨出貨明細表-基因檢測(201904起'!$P:$P,$A34&amp;"*",'來案暨出貨明細表-基因檢測(201904起'!$B:$B,AK$1)*$B34+COUNTIFS('來案暨出貨明細表-基因檢測(201904起'!$P:$P,$A34&amp;"*",'來案暨出貨明細表-基因檢測(201904起'!$B:$B,AK$1,'來案暨出貨明細表-基因檢測(201904起'!$Q:$Q,"紙本&amp;電子")++COUNTIFS('來案暨出貨明細表-基因檢測(201904起'!$P:$P,$A34&amp;"*",'來案暨出貨明細表-基因檢測(201904起'!$B:$B,AK$1,'來案暨出貨明細表-基因檢測(201904起'!$R:$R,"中英")</f>
        <v>0</v>
      </c>
      <c r="AL34" s="33">
        <f>COUNTIFS('來案暨出貨明細表-基因檢測(201904起'!$P:$P,$A34&amp;"*",'來案暨出貨明細表-基因檢測(201904起'!$B:$B,AL$1)*$B34+COUNTIFS('來案暨出貨明細表-基因檢測(201904起'!$P:$P,$A34&amp;"*",'來案暨出貨明細表-基因檢測(201904起'!$B:$B,AL$1,'來案暨出貨明細表-基因檢測(201904起'!$Q:$Q,"紙本&amp;電子")++COUNTIFS('來案暨出貨明細表-基因檢測(201904起'!$P:$P,$A34&amp;"*",'來案暨出貨明細表-基因檢測(201904起'!$B:$B,AL$1,'來案暨出貨明細表-基因檢測(201904起'!$R:$R,"中英")</f>
        <v>0</v>
      </c>
      <c r="AM34" s="33">
        <f>COUNTIFS('來案暨出貨明細表-基因檢測(201904起'!$P:$P,$A34&amp;"*",'來案暨出貨明細表-基因檢測(201904起'!$B:$B,AM$1)*$B34+COUNTIFS('來案暨出貨明細表-基因檢測(201904起'!$P:$P,$A34&amp;"*",'來案暨出貨明細表-基因檢測(201904起'!$B:$B,AM$1,'來案暨出貨明細表-基因檢測(201904起'!$Q:$Q,"紙本&amp;電子")++COUNTIFS('來案暨出貨明細表-基因檢測(201904起'!$P:$P,$A34&amp;"*",'來案暨出貨明細表-基因檢測(201904起'!$B:$B,AM$1,'來案暨出貨明細表-基因檢測(201904起'!$R:$R,"中英")</f>
        <v>0</v>
      </c>
      <c r="AN34" s="33">
        <f>COUNTIFS('來案暨出貨明細表-基因檢測(201904起'!$P:$P,$A34&amp;"*",'來案暨出貨明細表-基因檢測(201904起'!$B:$B,AN$1)*$B34+COUNTIFS('來案暨出貨明細表-基因檢測(201904起'!$P:$P,$A34&amp;"*",'來案暨出貨明細表-基因檢測(201904起'!$B:$B,AN$1,'來案暨出貨明細表-基因檢測(201904起'!$Q:$Q,"紙本&amp;電子")++COUNTIFS('來案暨出貨明細表-基因檢測(201904起'!$P:$P,$A34&amp;"*",'來案暨出貨明細表-基因檢測(201904起'!$B:$B,AN$1,'來案暨出貨明細表-基因檢測(201904起'!$R:$R,"中英")</f>
        <v>0</v>
      </c>
      <c r="AO34" s="33">
        <f>COUNTIFS('來案暨出貨明細表-基因檢測(201904起'!$P:$P,$A34&amp;"*",'來案暨出貨明細表-基因檢測(201904起'!$B:$B,AO$1)*$B34+COUNTIFS('來案暨出貨明細表-基因檢測(201904起'!$P:$P,$A34&amp;"*",'來案暨出貨明細表-基因檢測(201904起'!$B:$B,AO$1,'來案暨出貨明細表-基因檢測(201904起'!$Q:$Q,"紙本&amp;電子")++COUNTIFS('來案暨出貨明細表-基因檢測(201904起'!$P:$P,$A34&amp;"*",'來案暨出貨明細表-基因檢測(201904起'!$B:$B,AO$1,'來案暨出貨明細表-基因檢測(201904起'!$R:$R,"中英")</f>
        <v>0</v>
      </c>
      <c r="AP34" s="33">
        <f>COUNTIFS('來案暨出貨明細表-基因檢測(201904起'!$P:$P,$A34&amp;"*",'來案暨出貨明細表-基因檢測(201904起'!$B:$B,AP$1)*$B34+COUNTIFS('來案暨出貨明細表-基因檢測(201904起'!$P:$P,$A34&amp;"*",'來案暨出貨明細表-基因檢測(201904起'!$B:$B,AP$1,'來案暨出貨明細表-基因檢測(201904起'!$Q:$Q,"紙本&amp;電子")++COUNTIFS('來案暨出貨明細表-基因檢測(201904起'!$P:$P,$A34&amp;"*",'來案暨出貨明細表-基因檢測(201904起'!$B:$B,AP$1,'來案暨出貨明細表-基因檢測(201904起'!$R:$R,"中英")</f>
        <v>0</v>
      </c>
      <c r="AQ34" s="33">
        <f>COUNTIFS('來案暨出貨明細表-基因檢測(201904起'!$P:$P,$A34&amp;"*",'來案暨出貨明細表-基因檢測(201904起'!$B:$B,AQ$1)*$B34+COUNTIFS('來案暨出貨明細表-基因檢測(201904起'!$P:$P,$A34&amp;"*",'來案暨出貨明細表-基因檢測(201904起'!$B:$B,AQ$1,'來案暨出貨明細表-基因檢測(201904起'!$Q:$Q,"紙本&amp;電子")++COUNTIFS('來案暨出貨明細表-基因檢測(201904起'!$P:$P,$A34&amp;"*",'來案暨出貨明細表-基因檢測(201904起'!$B:$B,AQ$1,'來案暨出貨明細表-基因檢測(201904起'!$R:$R,"中英")</f>
        <v>0</v>
      </c>
      <c r="AR34" s="33">
        <f>COUNTIFS('來案暨出貨明細表-基因檢測(201904起'!$P:$P,$A34&amp;"*",'來案暨出貨明細表-基因檢測(201904起'!$B:$B,AR$1)*$B34+COUNTIFS('來案暨出貨明細表-基因檢測(201904起'!$P:$P,$A34&amp;"*",'來案暨出貨明細表-基因檢測(201904起'!$B:$B,AR$1,'來案暨出貨明細表-基因檢測(201904起'!$Q:$Q,"紙本&amp;電子")++COUNTIFS('來案暨出貨明細表-基因檢測(201904起'!$P:$P,$A34&amp;"*",'來案暨出貨明細表-基因檢測(201904起'!$B:$B,AR$1,'來案暨出貨明細表-基因檢測(201904起'!$R:$R,"中英")</f>
        <v>0</v>
      </c>
      <c r="AS34" s="33">
        <f>COUNTIFS('來案暨出貨明細表-基因檢測(201904起'!$P:$P,$A34&amp;"*",'來案暨出貨明細表-基因檢測(201904起'!$B:$B,AS$1)*$B34+COUNTIFS('來案暨出貨明細表-基因檢測(201904起'!$P:$P,$A34&amp;"*",'來案暨出貨明細表-基因檢測(201904起'!$B:$B,AS$1,'來案暨出貨明細表-基因檢測(201904起'!$Q:$Q,"紙本&amp;電子")++COUNTIFS('來案暨出貨明細表-基因檢測(201904起'!$P:$P,$A34&amp;"*",'來案暨出貨明細表-基因檢測(201904起'!$B:$B,AS$1,'來案暨出貨明細表-基因檢測(201904起'!$R:$R,"中英")</f>
        <v>0</v>
      </c>
      <c r="AT34" s="33">
        <f>COUNTIFS('來案暨出貨明細表-基因檢測(201904起'!$P:$P,$A34&amp;"*",'來案暨出貨明細表-基因檢測(201904起'!$B:$B,AT$1)*$B34+COUNTIFS('來案暨出貨明細表-基因檢測(201904起'!$P:$P,$A34&amp;"*",'來案暨出貨明細表-基因檢測(201904起'!$B:$B,AT$1,'來案暨出貨明細表-基因檢測(201904起'!$Q:$Q,"紙本&amp;電子")++COUNTIFS('來案暨出貨明細表-基因檢測(201904起'!$P:$P,$A34&amp;"*",'來案暨出貨明細表-基因檢測(201904起'!$B:$B,AT$1,'來案暨出貨明細表-基因檢測(201904起'!$R:$R,"中英")</f>
        <v>0</v>
      </c>
      <c r="AU34" s="33">
        <f>COUNTIFS('來案暨出貨明細表-基因檢測(201904起'!$P:$P,$A34&amp;"*",'來案暨出貨明細表-基因檢測(201904起'!$B:$B,AU$1)*$B34+COUNTIFS('來案暨出貨明細表-基因檢測(201904起'!$P:$P,$A34&amp;"*",'來案暨出貨明細表-基因檢測(201904起'!$B:$B,AU$1,'來案暨出貨明細表-基因檢測(201904起'!$Q:$Q,"紙本&amp;電子")++COUNTIFS('來案暨出貨明細表-基因檢測(201904起'!$P:$P,$A34&amp;"*",'來案暨出貨明細表-基因檢測(201904起'!$B:$B,AU$1,'來案暨出貨明細表-基因檢測(201904起'!$R:$R,"中英")</f>
        <v>0</v>
      </c>
      <c r="AV34" s="33">
        <f>COUNTIFS('來案暨出貨明細表-基因檢測(201904起'!$P:$P,$A34&amp;"*",'來案暨出貨明細表-基因檢測(201904起'!$B:$B,AV$1)*$B34+COUNTIFS('來案暨出貨明細表-基因檢測(201904起'!$P:$P,$A34&amp;"*",'來案暨出貨明細表-基因檢測(201904起'!$B:$B,AV$1,'來案暨出貨明細表-基因檢測(201904起'!$Q:$Q,"紙本&amp;電子")++COUNTIFS('來案暨出貨明細表-基因檢測(201904起'!$P:$P,$A34&amp;"*",'來案暨出貨明細表-基因檢測(201904起'!$B:$B,AV$1,'來案暨出貨明細表-基因檢測(201904起'!$R:$R,"中英")</f>
        <v>0</v>
      </c>
      <c r="AW34" s="33">
        <f>COUNTIFS('來案暨出貨明細表-基因檢測(201904起'!$P:$P,$A34&amp;"*",'來案暨出貨明細表-基因檢測(201904起'!$B:$B,AW$1)*$B34+COUNTIFS('來案暨出貨明細表-基因檢測(201904起'!$P:$P,$A34&amp;"*",'來案暨出貨明細表-基因檢測(201904起'!$B:$B,AW$1,'來案暨出貨明細表-基因檢測(201904起'!$Q:$Q,"紙本&amp;電子")++COUNTIFS('來案暨出貨明細表-基因檢測(201904起'!$P:$P,$A34&amp;"*",'來案暨出貨明細表-基因檢測(201904起'!$B:$B,AW$1,'來案暨出貨明細表-基因檢測(201904起'!$R:$R,"中英")</f>
        <v>0</v>
      </c>
      <c r="AX34" s="33">
        <f>COUNTIFS('來案暨出貨明細表-基因檢測(201904起'!$P:$P,$A34&amp;"*",'來案暨出貨明細表-基因檢測(201904起'!$B:$B,AX$1)*$B34+COUNTIFS('來案暨出貨明細表-基因檢測(201904起'!$P:$P,$A34&amp;"*",'來案暨出貨明細表-基因檢測(201904起'!$B:$B,AX$1,'來案暨出貨明細表-基因檢測(201904起'!$Q:$Q,"紙本&amp;電子")++COUNTIFS('來案暨出貨明細表-基因檢測(201904起'!$P:$P,$A34&amp;"*",'來案暨出貨明細表-基因檢測(201904起'!$B:$B,AX$1,'來案暨出貨明細表-基因檢測(201904起'!$R:$R,"中英")</f>
        <v>0</v>
      </c>
      <c r="AY34" s="33">
        <f>COUNTIFS('來案暨出貨明細表-基因檢測(201904起'!$P:$P,$A34&amp;"*",'來案暨出貨明細表-基因檢測(201904起'!$B:$B,AY$1)*$B34+COUNTIFS('來案暨出貨明細表-基因檢測(201904起'!$P:$P,$A34&amp;"*",'來案暨出貨明細表-基因檢測(201904起'!$B:$B,AY$1,'來案暨出貨明細表-基因檢測(201904起'!$Q:$Q,"紙本&amp;電子")++COUNTIFS('來案暨出貨明細表-基因檢測(201904起'!$P:$P,$A34&amp;"*",'來案暨出貨明細表-基因檢測(201904起'!$B:$B,AY$1,'來案暨出貨明細表-基因檢測(201904起'!$R:$R,"中英")</f>
        <v>0</v>
      </c>
      <c r="AZ34" s="33">
        <f>COUNTIFS('來案暨出貨明細表-基因檢測(201904起'!$P:$P,$A34&amp;"*",'來案暨出貨明細表-基因檢測(201904起'!$B:$B,AZ$1)*$B34+COUNTIFS('來案暨出貨明細表-基因檢測(201904起'!$P:$P,$A34&amp;"*",'來案暨出貨明細表-基因檢測(201904起'!$B:$B,AZ$1,'來案暨出貨明細表-基因檢測(201904起'!$Q:$Q,"紙本&amp;電子")++COUNTIFS('來案暨出貨明細表-基因檢測(201904起'!$P:$P,$A34&amp;"*",'來案暨出貨明細表-基因檢測(201904起'!$B:$B,AZ$1,'來案暨出貨明細表-基因檢測(201904起'!$R:$R,"中英")</f>
        <v>0</v>
      </c>
      <c r="BA34" s="33">
        <f>COUNTIFS('來案暨出貨明細表-基因檢測(201904起'!$P:$P,$A34&amp;"*",'來案暨出貨明細表-基因檢測(201904起'!$B:$B,BA$1)*$B34+COUNTIFS('來案暨出貨明細表-基因檢測(201904起'!$P:$P,$A34&amp;"*",'來案暨出貨明細表-基因檢測(201904起'!$B:$B,BA$1,'來案暨出貨明細表-基因檢測(201904起'!$Q:$Q,"紙本&amp;電子")++COUNTIFS('來案暨出貨明細表-基因檢測(201904起'!$P:$P,$A34&amp;"*",'來案暨出貨明細表-基因檢測(201904起'!$B:$B,BA$1,'來案暨出貨明細表-基因檢測(201904起'!$R:$R,"中英")</f>
        <v>0</v>
      </c>
      <c r="BB34" s="33">
        <f>COUNTIFS('來案暨出貨明細表-基因檢測(201904起'!$P:$P,$A34&amp;"*",'來案暨出貨明細表-基因檢測(201904起'!$B:$B,BB$1)*$B34+COUNTIFS('來案暨出貨明細表-基因檢測(201904起'!$P:$P,$A34&amp;"*",'來案暨出貨明細表-基因檢測(201904起'!$B:$B,BB$1,'來案暨出貨明細表-基因檢測(201904起'!$Q:$Q,"紙本&amp;電子")++COUNTIFS('來案暨出貨明細表-基因檢測(201904起'!$P:$P,$A34&amp;"*",'來案暨出貨明細表-基因檢測(201904起'!$B:$B,BB$1,'來案暨出貨明細表-基因檢測(201904起'!$R:$R,"中英")</f>
        <v>0</v>
      </c>
      <c r="BC34" s="33">
        <f>COUNTIFS('來案暨出貨明細表-基因檢測(201904起'!$P:$P,$A34&amp;"*",'來案暨出貨明細表-基因檢測(201904起'!$B:$B,BC$1)*$B34+COUNTIFS('來案暨出貨明細表-基因檢測(201904起'!$P:$P,$A34&amp;"*",'來案暨出貨明細表-基因檢測(201904起'!$B:$B,BC$1,'來案暨出貨明細表-基因檢測(201904起'!$Q:$Q,"紙本&amp;電子")++COUNTIFS('來案暨出貨明細表-基因檢測(201904起'!$P:$P,$A34&amp;"*",'來案暨出貨明細表-基因檢測(201904起'!$B:$B,BC$1,'來案暨出貨明細表-基因檢測(201904起'!$R:$R,"中英")</f>
        <v>0</v>
      </c>
      <c r="BD34" s="33">
        <f>COUNTIFS('來案暨出貨明細表-基因檢測(201904起'!$P:$P,$A34&amp;"*",'來案暨出貨明細表-基因檢測(201904起'!$B:$B,BD$1)*$B34+COUNTIFS('來案暨出貨明細表-基因檢測(201904起'!$P:$P,$A34&amp;"*",'來案暨出貨明細表-基因檢測(201904起'!$B:$B,BD$1,'來案暨出貨明細表-基因檢測(201904起'!$Q:$Q,"紙本&amp;電子")++COUNTIFS('來案暨出貨明細表-基因檢測(201904起'!$P:$P,$A34&amp;"*",'來案暨出貨明細表-基因檢測(201904起'!$B:$B,BD$1,'來案暨出貨明細表-基因檢測(201904起'!$R:$R,"中英")</f>
        <v>0</v>
      </c>
      <c r="BE34" s="33">
        <f>COUNTIFS('來案暨出貨明細表-基因檢測(201904起'!$P:$P,$A34&amp;"*",'來案暨出貨明細表-基因檢測(201904起'!$B:$B,BE$1)*$B34+COUNTIFS('來案暨出貨明細表-基因檢測(201904起'!$P:$P,$A34&amp;"*",'來案暨出貨明細表-基因檢測(201904起'!$B:$B,BE$1,'來案暨出貨明細表-基因檢測(201904起'!$Q:$Q,"紙本&amp;電子")++COUNTIFS('來案暨出貨明細表-基因檢測(201904起'!$P:$P,$A34&amp;"*",'來案暨出貨明細表-基因檢測(201904起'!$B:$B,BE$1,'來案暨出貨明細表-基因檢測(201904起'!$R:$R,"中英")</f>
        <v>0</v>
      </c>
      <c r="BF34" s="33">
        <f>COUNTIFS('來案暨出貨明細表-基因檢測(201904起'!$P:$P,$A34&amp;"*",'來案暨出貨明細表-基因檢測(201904起'!$B:$B,BF$1)*$B34+COUNTIFS('來案暨出貨明細表-基因檢測(201904起'!$P:$P,$A34&amp;"*",'來案暨出貨明細表-基因檢測(201904起'!$B:$B,BF$1,'來案暨出貨明細表-基因檢測(201904起'!$Q:$Q,"紙本&amp;電子")++COUNTIFS('來案暨出貨明細表-基因檢測(201904起'!$P:$P,$A34&amp;"*",'來案暨出貨明細表-基因檢測(201904起'!$B:$B,BF$1,'來案暨出貨明細表-基因檢測(201904起'!$R:$R,"中英")</f>
        <v>0</v>
      </c>
      <c r="BG34" s="33">
        <f>COUNTIFS('來案暨出貨明細表-基因檢測(201904起'!$P:$P,$A34&amp;"*",'來案暨出貨明細表-基因檢測(201904起'!$B:$B,BG$1)*$B34+COUNTIFS('來案暨出貨明細表-基因檢測(201904起'!$P:$P,$A34&amp;"*",'來案暨出貨明細表-基因檢測(201904起'!$B:$B,BG$1,'來案暨出貨明細表-基因檢測(201904起'!$Q:$Q,"紙本&amp;電子")++COUNTIFS('來案暨出貨明細表-基因檢測(201904起'!$P:$P,$A34&amp;"*",'來案暨出貨明細表-基因檢測(201904起'!$B:$B,BG$1,'來案暨出貨明細表-基因檢測(201904起'!$R:$R,"中英")</f>
        <v>0</v>
      </c>
      <c r="BH34" s="33">
        <f>COUNTIFS('來案暨出貨明細表-基因檢測(201904起'!$P:$P,$A34&amp;"*",'來案暨出貨明細表-基因檢測(201904起'!$B:$B,BH$1)*$B34+COUNTIFS('來案暨出貨明細表-基因檢測(201904起'!$P:$P,$A34&amp;"*",'來案暨出貨明細表-基因檢測(201904起'!$B:$B,BH$1,'來案暨出貨明細表-基因檢測(201904起'!$Q:$Q,"紙本&amp;電子")++COUNTIFS('來案暨出貨明細表-基因檢測(201904起'!$P:$P,$A34&amp;"*",'來案暨出貨明細表-基因檢測(201904起'!$B:$B,BH$1,'來案暨出貨明細表-基因檢測(201904起'!$R:$R,"中英")</f>
        <v>0</v>
      </c>
      <c r="BI34" s="33">
        <f>COUNTIFS('來案暨出貨明細表-基因檢測(201904起'!$P:$P,$A34&amp;"*",'來案暨出貨明細表-基因檢測(201904起'!$B:$B,BI$1)*$B34+COUNTIFS('來案暨出貨明細表-基因檢測(201904起'!$P:$P,$A34&amp;"*",'來案暨出貨明細表-基因檢測(201904起'!$B:$B,BI$1,'來案暨出貨明細表-基因檢測(201904起'!$Q:$Q,"紙本&amp;電子")++COUNTIFS('來案暨出貨明細表-基因檢測(201904起'!$P:$P,$A34&amp;"*",'來案暨出貨明細表-基因檢測(201904起'!$B:$B,BI$1,'來案暨出貨明細表-基因檢測(201904起'!$R:$R,"中英")</f>
        <v>0</v>
      </c>
      <c r="BJ34" s="33">
        <f>COUNTIFS('來案暨出貨明細表-基因檢測(201904起'!$P:$P,$A34&amp;"*",'來案暨出貨明細表-基因檢測(201904起'!$B:$B,BJ$1)*$B34+COUNTIFS('來案暨出貨明細表-基因檢測(201904起'!$P:$P,$A34&amp;"*",'來案暨出貨明細表-基因檢測(201904起'!$B:$B,BJ$1,'來案暨出貨明細表-基因檢測(201904起'!$Q:$Q,"紙本&amp;電子")++COUNTIFS('來案暨出貨明細表-基因檢測(201904起'!$P:$P,$A34&amp;"*",'來案暨出貨明細表-基因檢測(201904起'!$B:$B,BJ$1,'來案暨出貨明細表-基因檢測(201904起'!$R:$R,"中英")</f>
        <v>0</v>
      </c>
      <c r="BK34" s="33">
        <f>COUNTIFS('來案暨出貨明細表-基因檢測(201904起'!$P:$P,$A34&amp;"*",'來案暨出貨明細表-基因檢測(201904起'!$B:$B,BK$1)*$B34+COUNTIFS('來案暨出貨明細表-基因檢測(201904起'!$P:$P,$A34&amp;"*",'來案暨出貨明細表-基因檢測(201904起'!$B:$B,BK$1,'來案暨出貨明細表-基因檢測(201904起'!$Q:$Q,"紙本&amp;電子")++COUNTIFS('來案暨出貨明細表-基因檢測(201904起'!$P:$P,$A34&amp;"*",'來案暨出貨明細表-基因檢測(201904起'!$B:$B,BK$1,'來案暨出貨明細表-基因檢測(201904起'!$R:$R,"中英")</f>
        <v>0</v>
      </c>
    </row>
    <row r="35" spans="1:63" ht="15" customHeight="1">
      <c r="A35" s="166" t="s">
        <v>4565</v>
      </c>
      <c r="B35" s="167">
        <v>1</v>
      </c>
      <c r="C35" s="195" t="s">
        <v>4566</v>
      </c>
      <c r="D35" s="169" t="s">
        <v>606</v>
      </c>
      <c r="E35" s="162">
        <v>0</v>
      </c>
      <c r="F35" s="162">
        <v>0</v>
      </c>
      <c r="G35" s="162">
        <v>0</v>
      </c>
      <c r="H35" s="162">
        <v>0</v>
      </c>
      <c r="I35" s="162">
        <v>0</v>
      </c>
      <c r="J35" s="162">
        <v>0</v>
      </c>
      <c r="K35" s="162">
        <v>0</v>
      </c>
      <c r="L35" s="162">
        <v>0</v>
      </c>
      <c r="M35" s="162">
        <v>0</v>
      </c>
      <c r="N35" s="162">
        <v>0</v>
      </c>
      <c r="O35" s="162">
        <v>0</v>
      </c>
      <c r="P35" s="162">
        <v>0</v>
      </c>
      <c r="Q35" s="162">
        <v>0</v>
      </c>
      <c r="R35" s="162">
        <v>0</v>
      </c>
      <c r="S35" s="162">
        <v>0</v>
      </c>
      <c r="T35" s="162">
        <v>0</v>
      </c>
      <c r="U35" s="162">
        <v>0</v>
      </c>
      <c r="V35" s="162">
        <v>0</v>
      </c>
      <c r="W35" s="162">
        <v>0</v>
      </c>
      <c r="X35" s="162">
        <v>0</v>
      </c>
      <c r="Y35" s="162">
        <v>0</v>
      </c>
      <c r="Z35" s="162">
        <v>0</v>
      </c>
      <c r="AA35" s="162">
        <v>0</v>
      </c>
      <c r="AB35" s="162">
        <v>0</v>
      </c>
      <c r="AC35" s="162">
        <v>0</v>
      </c>
      <c r="AD35" s="162">
        <v>0</v>
      </c>
      <c r="AE35" s="162">
        <v>0</v>
      </c>
      <c r="AF35" s="162">
        <v>0</v>
      </c>
      <c r="AG35" s="162">
        <v>0</v>
      </c>
      <c r="AH35" s="162">
        <v>0</v>
      </c>
      <c r="AI35" s="162">
        <v>0</v>
      </c>
      <c r="AJ35" s="170">
        <v>0</v>
      </c>
      <c r="AK35" s="33">
        <f>COUNTIFS('來案暨出貨明細表-基因檢測(201904起'!$P:$P,$A35&amp;"*",'來案暨出貨明細表-基因檢測(201904起'!$B:$B,AK$1)*$B35+COUNTIFS('來案暨出貨明細表-基因檢測(201904起'!$P:$P,$A35&amp;"*",'來案暨出貨明細表-基因檢測(201904起'!$B:$B,AK$1,'來案暨出貨明細表-基因檢測(201904起'!$Q:$Q,"紙本&amp;電子")++COUNTIFS('來案暨出貨明細表-基因檢測(201904起'!$P:$P,$A35&amp;"*",'來案暨出貨明細表-基因檢測(201904起'!$B:$B,AK$1,'來案暨出貨明細表-基因檢測(201904起'!$R:$R,"中英")</f>
        <v>0</v>
      </c>
      <c r="AL35" s="33">
        <f>COUNTIFS('來案暨出貨明細表-基因檢測(201904起'!$P:$P,$A35&amp;"*",'來案暨出貨明細表-基因檢測(201904起'!$B:$B,AL$1)*$B35+COUNTIFS('來案暨出貨明細表-基因檢測(201904起'!$P:$P,$A35&amp;"*",'來案暨出貨明細表-基因檢測(201904起'!$B:$B,AL$1,'來案暨出貨明細表-基因檢測(201904起'!$Q:$Q,"紙本&amp;電子")++COUNTIFS('來案暨出貨明細表-基因檢測(201904起'!$P:$P,$A35&amp;"*",'來案暨出貨明細表-基因檢測(201904起'!$B:$B,AL$1,'來案暨出貨明細表-基因檢測(201904起'!$R:$R,"中英")</f>
        <v>0</v>
      </c>
      <c r="AM35" s="33">
        <f>COUNTIFS('來案暨出貨明細表-基因檢測(201904起'!$P:$P,$A35&amp;"*",'來案暨出貨明細表-基因檢測(201904起'!$B:$B,AM$1)*$B35+COUNTIFS('來案暨出貨明細表-基因檢測(201904起'!$P:$P,$A35&amp;"*",'來案暨出貨明細表-基因檢測(201904起'!$B:$B,AM$1,'來案暨出貨明細表-基因檢測(201904起'!$Q:$Q,"紙本&amp;電子")++COUNTIFS('來案暨出貨明細表-基因檢測(201904起'!$P:$P,$A35&amp;"*",'來案暨出貨明細表-基因檢測(201904起'!$B:$B,AM$1,'來案暨出貨明細表-基因檢測(201904起'!$R:$R,"中英")</f>
        <v>0</v>
      </c>
      <c r="AN35" s="33">
        <f>COUNTIFS('來案暨出貨明細表-基因檢測(201904起'!$P:$P,$A35&amp;"*",'來案暨出貨明細表-基因檢測(201904起'!$B:$B,AN$1)*$B35+COUNTIFS('來案暨出貨明細表-基因檢測(201904起'!$P:$P,$A35&amp;"*",'來案暨出貨明細表-基因檢測(201904起'!$B:$B,AN$1,'來案暨出貨明細表-基因檢測(201904起'!$Q:$Q,"紙本&amp;電子")++COUNTIFS('來案暨出貨明細表-基因檢測(201904起'!$P:$P,$A35&amp;"*",'來案暨出貨明細表-基因檢測(201904起'!$B:$B,AN$1,'來案暨出貨明細表-基因檢測(201904起'!$R:$R,"中英")</f>
        <v>0</v>
      </c>
      <c r="AO35" s="33">
        <f>COUNTIFS('來案暨出貨明細表-基因檢測(201904起'!$P:$P,$A35&amp;"*",'來案暨出貨明細表-基因檢測(201904起'!$B:$B,AO$1)*$B35+COUNTIFS('來案暨出貨明細表-基因檢測(201904起'!$P:$P,$A35&amp;"*",'來案暨出貨明細表-基因檢測(201904起'!$B:$B,AO$1,'來案暨出貨明細表-基因檢測(201904起'!$Q:$Q,"紙本&amp;電子")++COUNTIFS('來案暨出貨明細表-基因檢測(201904起'!$P:$P,$A35&amp;"*",'來案暨出貨明細表-基因檢測(201904起'!$B:$B,AO$1,'來案暨出貨明細表-基因檢測(201904起'!$R:$R,"中英")</f>
        <v>0</v>
      </c>
      <c r="AP35" s="33">
        <f>COUNTIFS('來案暨出貨明細表-基因檢測(201904起'!$P:$P,$A35&amp;"*",'來案暨出貨明細表-基因檢測(201904起'!$B:$B,AP$1)*$B35+COUNTIFS('來案暨出貨明細表-基因檢測(201904起'!$P:$P,$A35&amp;"*",'來案暨出貨明細表-基因檢測(201904起'!$B:$B,AP$1,'來案暨出貨明細表-基因檢測(201904起'!$Q:$Q,"紙本&amp;電子")++COUNTIFS('來案暨出貨明細表-基因檢測(201904起'!$P:$P,$A35&amp;"*",'來案暨出貨明細表-基因檢測(201904起'!$B:$B,AP$1,'來案暨出貨明細表-基因檢測(201904起'!$R:$R,"中英")</f>
        <v>0</v>
      </c>
      <c r="AQ35" s="33">
        <f>COUNTIFS('來案暨出貨明細表-基因檢測(201904起'!$P:$P,$A35&amp;"*",'來案暨出貨明細表-基因檢測(201904起'!$B:$B,AQ$1)*$B35+COUNTIFS('來案暨出貨明細表-基因檢測(201904起'!$P:$P,$A35&amp;"*",'來案暨出貨明細表-基因檢測(201904起'!$B:$B,AQ$1,'來案暨出貨明細表-基因檢測(201904起'!$Q:$Q,"紙本&amp;電子")++COUNTIFS('來案暨出貨明細表-基因檢測(201904起'!$P:$P,$A35&amp;"*",'來案暨出貨明細表-基因檢測(201904起'!$B:$B,AQ$1,'來案暨出貨明細表-基因檢測(201904起'!$R:$R,"中英")</f>
        <v>0</v>
      </c>
      <c r="AR35" s="33">
        <f>COUNTIFS('來案暨出貨明細表-基因檢測(201904起'!$P:$P,$A35&amp;"*",'來案暨出貨明細表-基因檢測(201904起'!$B:$B,AR$1)*$B35+COUNTIFS('來案暨出貨明細表-基因檢測(201904起'!$P:$P,$A35&amp;"*",'來案暨出貨明細表-基因檢測(201904起'!$B:$B,AR$1,'來案暨出貨明細表-基因檢測(201904起'!$Q:$Q,"紙本&amp;電子")++COUNTIFS('來案暨出貨明細表-基因檢測(201904起'!$P:$P,$A35&amp;"*",'來案暨出貨明細表-基因檢測(201904起'!$B:$B,AR$1,'來案暨出貨明細表-基因檢測(201904起'!$R:$R,"中英")</f>
        <v>0</v>
      </c>
      <c r="AS35" s="33">
        <f>COUNTIFS('來案暨出貨明細表-基因檢測(201904起'!$P:$P,$A35&amp;"*",'來案暨出貨明細表-基因檢測(201904起'!$B:$B,AS$1)*$B35+COUNTIFS('來案暨出貨明細表-基因檢測(201904起'!$P:$P,$A35&amp;"*",'來案暨出貨明細表-基因檢測(201904起'!$B:$B,AS$1,'來案暨出貨明細表-基因檢測(201904起'!$Q:$Q,"紙本&amp;電子")++COUNTIFS('來案暨出貨明細表-基因檢測(201904起'!$P:$P,$A35&amp;"*",'來案暨出貨明細表-基因檢測(201904起'!$B:$B,AS$1,'來案暨出貨明細表-基因檢測(201904起'!$R:$R,"中英")</f>
        <v>0</v>
      </c>
      <c r="AT35" s="33">
        <f>COUNTIFS('來案暨出貨明細表-基因檢測(201904起'!$P:$P,$A35&amp;"*",'來案暨出貨明細表-基因檢測(201904起'!$B:$B,AT$1)*$B35+COUNTIFS('來案暨出貨明細表-基因檢測(201904起'!$P:$P,$A35&amp;"*",'來案暨出貨明細表-基因檢測(201904起'!$B:$B,AT$1,'來案暨出貨明細表-基因檢測(201904起'!$Q:$Q,"紙本&amp;電子")++COUNTIFS('來案暨出貨明細表-基因檢測(201904起'!$P:$P,$A35&amp;"*",'來案暨出貨明細表-基因檢測(201904起'!$B:$B,AT$1,'來案暨出貨明細表-基因檢測(201904起'!$R:$R,"中英")</f>
        <v>0</v>
      </c>
      <c r="AU35" s="33">
        <f>COUNTIFS('來案暨出貨明細表-基因檢測(201904起'!$P:$P,$A35&amp;"*",'來案暨出貨明細表-基因檢測(201904起'!$B:$B,AU$1)*$B35+COUNTIFS('來案暨出貨明細表-基因檢測(201904起'!$P:$P,$A35&amp;"*",'來案暨出貨明細表-基因檢測(201904起'!$B:$B,AU$1,'來案暨出貨明細表-基因檢測(201904起'!$Q:$Q,"紙本&amp;電子")++COUNTIFS('來案暨出貨明細表-基因檢測(201904起'!$P:$P,$A35&amp;"*",'來案暨出貨明細表-基因檢測(201904起'!$B:$B,AU$1,'來案暨出貨明細表-基因檢測(201904起'!$R:$R,"中英")</f>
        <v>0</v>
      </c>
      <c r="AV35" s="33">
        <f>COUNTIFS('來案暨出貨明細表-基因檢測(201904起'!$P:$P,$A35&amp;"*",'來案暨出貨明細表-基因檢測(201904起'!$B:$B,AV$1)*$B35+COUNTIFS('來案暨出貨明細表-基因檢測(201904起'!$P:$P,$A35&amp;"*",'來案暨出貨明細表-基因檢測(201904起'!$B:$B,AV$1,'來案暨出貨明細表-基因檢測(201904起'!$Q:$Q,"紙本&amp;電子")++COUNTIFS('來案暨出貨明細表-基因檢測(201904起'!$P:$P,$A35&amp;"*",'來案暨出貨明細表-基因檢測(201904起'!$B:$B,AV$1,'來案暨出貨明細表-基因檢測(201904起'!$R:$R,"中英")</f>
        <v>0</v>
      </c>
      <c r="AW35" s="33">
        <f>COUNTIFS('來案暨出貨明細表-基因檢測(201904起'!$P:$P,$A35&amp;"*",'來案暨出貨明細表-基因檢測(201904起'!$B:$B,AW$1)*$B35+COUNTIFS('來案暨出貨明細表-基因檢測(201904起'!$P:$P,$A35&amp;"*",'來案暨出貨明細表-基因檢測(201904起'!$B:$B,AW$1,'來案暨出貨明細表-基因檢測(201904起'!$Q:$Q,"紙本&amp;電子")++COUNTIFS('來案暨出貨明細表-基因檢測(201904起'!$P:$P,$A35&amp;"*",'來案暨出貨明細表-基因檢測(201904起'!$B:$B,AW$1,'來案暨出貨明細表-基因檢測(201904起'!$R:$R,"中英")</f>
        <v>0</v>
      </c>
      <c r="AX35" s="33">
        <f>COUNTIFS('來案暨出貨明細表-基因檢測(201904起'!$P:$P,$A35&amp;"*",'來案暨出貨明細表-基因檢測(201904起'!$B:$B,AX$1)*$B35+COUNTIFS('來案暨出貨明細表-基因檢測(201904起'!$P:$P,$A35&amp;"*",'來案暨出貨明細表-基因檢測(201904起'!$B:$B,AX$1,'來案暨出貨明細表-基因檢測(201904起'!$Q:$Q,"紙本&amp;電子")++COUNTIFS('來案暨出貨明細表-基因檢測(201904起'!$P:$P,$A35&amp;"*",'來案暨出貨明細表-基因檢測(201904起'!$B:$B,AX$1,'來案暨出貨明細表-基因檢測(201904起'!$R:$R,"中英")</f>
        <v>0</v>
      </c>
      <c r="AY35" s="33">
        <f>COUNTIFS('來案暨出貨明細表-基因檢測(201904起'!$P:$P,$A35&amp;"*",'來案暨出貨明細表-基因檢測(201904起'!$B:$B,AY$1)*$B35+COUNTIFS('來案暨出貨明細表-基因檢測(201904起'!$P:$P,$A35&amp;"*",'來案暨出貨明細表-基因檢測(201904起'!$B:$B,AY$1,'來案暨出貨明細表-基因檢測(201904起'!$Q:$Q,"紙本&amp;電子")++COUNTIFS('來案暨出貨明細表-基因檢測(201904起'!$P:$P,$A35&amp;"*",'來案暨出貨明細表-基因檢測(201904起'!$B:$B,AY$1,'來案暨出貨明細表-基因檢測(201904起'!$R:$R,"中英")</f>
        <v>0</v>
      </c>
      <c r="AZ35" s="33">
        <f>COUNTIFS('來案暨出貨明細表-基因檢測(201904起'!$P:$P,$A35&amp;"*",'來案暨出貨明細表-基因檢測(201904起'!$B:$B,AZ$1)*$B35+COUNTIFS('來案暨出貨明細表-基因檢測(201904起'!$P:$P,$A35&amp;"*",'來案暨出貨明細表-基因檢測(201904起'!$B:$B,AZ$1,'來案暨出貨明細表-基因檢測(201904起'!$Q:$Q,"紙本&amp;電子")++COUNTIFS('來案暨出貨明細表-基因檢測(201904起'!$P:$P,$A35&amp;"*",'來案暨出貨明細表-基因檢測(201904起'!$B:$B,AZ$1,'來案暨出貨明細表-基因檢測(201904起'!$R:$R,"中英")</f>
        <v>0</v>
      </c>
      <c r="BA35" s="33">
        <f>COUNTIFS('來案暨出貨明細表-基因檢測(201904起'!$P:$P,$A35&amp;"*",'來案暨出貨明細表-基因檢測(201904起'!$B:$B,BA$1)*$B35+COUNTIFS('來案暨出貨明細表-基因檢測(201904起'!$P:$P,$A35&amp;"*",'來案暨出貨明細表-基因檢測(201904起'!$B:$B,BA$1,'來案暨出貨明細表-基因檢測(201904起'!$Q:$Q,"紙本&amp;電子")++COUNTIFS('來案暨出貨明細表-基因檢測(201904起'!$P:$P,$A35&amp;"*",'來案暨出貨明細表-基因檢測(201904起'!$B:$B,BA$1,'來案暨出貨明細表-基因檢測(201904起'!$R:$R,"中英")</f>
        <v>0</v>
      </c>
      <c r="BB35" s="33">
        <f>COUNTIFS('來案暨出貨明細表-基因檢測(201904起'!$P:$P,$A35&amp;"*",'來案暨出貨明細表-基因檢測(201904起'!$B:$B,BB$1)*$B35+COUNTIFS('來案暨出貨明細表-基因檢測(201904起'!$P:$P,$A35&amp;"*",'來案暨出貨明細表-基因檢測(201904起'!$B:$B,BB$1,'來案暨出貨明細表-基因檢測(201904起'!$Q:$Q,"紙本&amp;電子")++COUNTIFS('來案暨出貨明細表-基因檢測(201904起'!$P:$P,$A35&amp;"*",'來案暨出貨明細表-基因檢測(201904起'!$B:$B,BB$1,'來案暨出貨明細表-基因檢測(201904起'!$R:$R,"中英")</f>
        <v>0</v>
      </c>
      <c r="BC35" s="33">
        <f>COUNTIFS('來案暨出貨明細表-基因檢測(201904起'!$P:$P,$A35&amp;"*",'來案暨出貨明細表-基因檢測(201904起'!$B:$B,BC$1)*$B35+COUNTIFS('來案暨出貨明細表-基因檢測(201904起'!$P:$P,$A35&amp;"*",'來案暨出貨明細表-基因檢測(201904起'!$B:$B,BC$1,'來案暨出貨明細表-基因檢測(201904起'!$Q:$Q,"紙本&amp;電子")++COUNTIFS('來案暨出貨明細表-基因檢測(201904起'!$P:$P,$A35&amp;"*",'來案暨出貨明細表-基因檢測(201904起'!$B:$B,BC$1,'來案暨出貨明細表-基因檢測(201904起'!$R:$R,"中英")</f>
        <v>0</v>
      </c>
      <c r="BD35" s="33">
        <f>COUNTIFS('來案暨出貨明細表-基因檢測(201904起'!$P:$P,$A35&amp;"*",'來案暨出貨明細表-基因檢測(201904起'!$B:$B,BD$1)*$B35+COUNTIFS('來案暨出貨明細表-基因檢測(201904起'!$P:$P,$A35&amp;"*",'來案暨出貨明細表-基因檢測(201904起'!$B:$B,BD$1,'來案暨出貨明細表-基因檢測(201904起'!$Q:$Q,"紙本&amp;電子")++COUNTIFS('來案暨出貨明細表-基因檢測(201904起'!$P:$P,$A35&amp;"*",'來案暨出貨明細表-基因檢測(201904起'!$B:$B,BD$1,'來案暨出貨明細表-基因檢測(201904起'!$R:$R,"中英")</f>
        <v>0</v>
      </c>
      <c r="BE35" s="33">
        <f>COUNTIFS('來案暨出貨明細表-基因檢測(201904起'!$P:$P,$A35&amp;"*",'來案暨出貨明細表-基因檢測(201904起'!$B:$B,BE$1)*$B35+COUNTIFS('來案暨出貨明細表-基因檢測(201904起'!$P:$P,$A35&amp;"*",'來案暨出貨明細表-基因檢測(201904起'!$B:$B,BE$1,'來案暨出貨明細表-基因檢測(201904起'!$Q:$Q,"紙本&amp;電子")++COUNTIFS('來案暨出貨明細表-基因檢測(201904起'!$P:$P,$A35&amp;"*",'來案暨出貨明細表-基因檢測(201904起'!$B:$B,BE$1,'來案暨出貨明細表-基因檢測(201904起'!$R:$R,"中英")</f>
        <v>0</v>
      </c>
      <c r="BF35" s="33">
        <f>COUNTIFS('來案暨出貨明細表-基因檢測(201904起'!$P:$P,$A35&amp;"*",'來案暨出貨明細表-基因檢測(201904起'!$B:$B,BF$1)*$B35+COUNTIFS('來案暨出貨明細表-基因檢測(201904起'!$P:$P,$A35&amp;"*",'來案暨出貨明細表-基因檢測(201904起'!$B:$B,BF$1,'來案暨出貨明細表-基因檢測(201904起'!$Q:$Q,"紙本&amp;電子")++COUNTIFS('來案暨出貨明細表-基因檢測(201904起'!$P:$P,$A35&amp;"*",'來案暨出貨明細表-基因檢測(201904起'!$B:$B,BF$1,'來案暨出貨明細表-基因檢測(201904起'!$R:$R,"中英")</f>
        <v>0</v>
      </c>
      <c r="BG35" s="33">
        <f>COUNTIFS('來案暨出貨明細表-基因檢測(201904起'!$P:$P,$A35&amp;"*",'來案暨出貨明細表-基因檢測(201904起'!$B:$B,BG$1)*$B35+COUNTIFS('來案暨出貨明細表-基因檢測(201904起'!$P:$P,$A35&amp;"*",'來案暨出貨明細表-基因檢測(201904起'!$B:$B,BG$1,'來案暨出貨明細表-基因檢測(201904起'!$Q:$Q,"紙本&amp;電子")++COUNTIFS('來案暨出貨明細表-基因檢測(201904起'!$P:$P,$A35&amp;"*",'來案暨出貨明細表-基因檢測(201904起'!$B:$B,BG$1,'來案暨出貨明細表-基因檢測(201904起'!$R:$R,"中英")</f>
        <v>0</v>
      </c>
      <c r="BH35" s="33">
        <f>COUNTIFS('來案暨出貨明細表-基因檢測(201904起'!$P:$P,$A35&amp;"*",'來案暨出貨明細表-基因檢測(201904起'!$B:$B,BH$1)*$B35+COUNTIFS('來案暨出貨明細表-基因檢測(201904起'!$P:$P,$A35&amp;"*",'來案暨出貨明細表-基因檢測(201904起'!$B:$B,BH$1,'來案暨出貨明細表-基因檢測(201904起'!$Q:$Q,"紙本&amp;電子")++COUNTIFS('來案暨出貨明細表-基因檢測(201904起'!$P:$P,$A35&amp;"*",'來案暨出貨明細表-基因檢測(201904起'!$B:$B,BH$1,'來案暨出貨明細表-基因檢測(201904起'!$R:$R,"中英")</f>
        <v>0</v>
      </c>
      <c r="BI35" s="33">
        <f>COUNTIFS('來案暨出貨明細表-基因檢測(201904起'!$P:$P,$A35&amp;"*",'來案暨出貨明細表-基因檢測(201904起'!$B:$B,BI$1)*$B35+COUNTIFS('來案暨出貨明細表-基因檢測(201904起'!$P:$P,$A35&amp;"*",'來案暨出貨明細表-基因檢測(201904起'!$B:$B,BI$1,'來案暨出貨明細表-基因檢測(201904起'!$Q:$Q,"紙本&amp;電子")++COUNTIFS('來案暨出貨明細表-基因檢測(201904起'!$P:$P,$A35&amp;"*",'來案暨出貨明細表-基因檢測(201904起'!$B:$B,BI$1,'來案暨出貨明細表-基因檢測(201904起'!$R:$R,"中英")</f>
        <v>0</v>
      </c>
      <c r="BJ35" s="33">
        <f>COUNTIFS('來案暨出貨明細表-基因檢測(201904起'!$P:$P,$A35&amp;"*",'來案暨出貨明細表-基因檢測(201904起'!$B:$B,BJ$1)*$B35+COUNTIFS('來案暨出貨明細表-基因檢測(201904起'!$P:$P,$A35&amp;"*",'來案暨出貨明細表-基因檢測(201904起'!$B:$B,BJ$1,'來案暨出貨明細表-基因檢測(201904起'!$Q:$Q,"紙本&amp;電子")++COUNTIFS('來案暨出貨明細表-基因檢測(201904起'!$P:$P,$A35&amp;"*",'來案暨出貨明細表-基因檢測(201904起'!$B:$B,BJ$1,'來案暨出貨明細表-基因檢測(201904起'!$R:$R,"中英")</f>
        <v>0</v>
      </c>
      <c r="BK35" s="33">
        <f>COUNTIFS('來案暨出貨明細表-基因檢測(201904起'!$P:$P,$A35&amp;"*",'來案暨出貨明細表-基因檢測(201904起'!$B:$B,BK$1)*$B35+COUNTIFS('來案暨出貨明細表-基因檢測(201904起'!$P:$P,$A35&amp;"*",'來案暨出貨明細表-基因檢測(201904起'!$B:$B,BK$1,'來案暨出貨明細表-基因檢測(201904起'!$Q:$Q,"紙本&amp;電子")++COUNTIFS('來案暨出貨明細表-基因檢測(201904起'!$P:$P,$A35&amp;"*",'來案暨出貨明細表-基因檢測(201904起'!$B:$B,BK$1,'來案暨出貨明細表-基因檢測(201904起'!$R:$R,"中英")</f>
        <v>0</v>
      </c>
    </row>
    <row r="36" spans="1:63" ht="15" customHeight="1">
      <c r="A36" s="166" t="s">
        <v>4567</v>
      </c>
      <c r="B36" s="167">
        <v>1</v>
      </c>
      <c r="C36" s="195" t="s">
        <v>4568</v>
      </c>
      <c r="D36" s="169" t="s">
        <v>612</v>
      </c>
      <c r="E36" s="162">
        <v>0</v>
      </c>
      <c r="F36" s="162">
        <v>0</v>
      </c>
      <c r="G36" s="162">
        <v>0</v>
      </c>
      <c r="H36" s="162">
        <v>0</v>
      </c>
      <c r="I36" s="162">
        <v>0</v>
      </c>
      <c r="J36" s="162">
        <v>0</v>
      </c>
      <c r="K36" s="162">
        <v>0</v>
      </c>
      <c r="L36" s="162">
        <v>0</v>
      </c>
      <c r="M36" s="162">
        <v>0</v>
      </c>
      <c r="N36" s="162">
        <v>0</v>
      </c>
      <c r="O36" s="162">
        <v>0</v>
      </c>
      <c r="P36" s="162">
        <v>0</v>
      </c>
      <c r="Q36" s="162">
        <v>0</v>
      </c>
      <c r="R36" s="162">
        <v>0</v>
      </c>
      <c r="S36" s="162">
        <v>0</v>
      </c>
      <c r="T36" s="162">
        <v>0</v>
      </c>
      <c r="U36" s="162">
        <v>0</v>
      </c>
      <c r="V36" s="162">
        <v>0</v>
      </c>
      <c r="W36" s="162">
        <v>0</v>
      </c>
      <c r="X36" s="162">
        <v>0</v>
      </c>
      <c r="Y36" s="162">
        <v>0</v>
      </c>
      <c r="Z36" s="162">
        <v>0</v>
      </c>
      <c r="AA36" s="162">
        <v>0</v>
      </c>
      <c r="AB36" s="162">
        <v>0</v>
      </c>
      <c r="AC36" s="162">
        <v>0</v>
      </c>
      <c r="AD36" s="162">
        <v>0</v>
      </c>
      <c r="AE36" s="162">
        <v>0</v>
      </c>
      <c r="AF36" s="162">
        <v>0</v>
      </c>
      <c r="AG36" s="162">
        <v>0</v>
      </c>
      <c r="AH36" s="162">
        <v>0</v>
      </c>
      <c r="AI36" s="162">
        <v>0</v>
      </c>
      <c r="AJ36" s="170">
        <v>0</v>
      </c>
      <c r="AK36" s="33">
        <f>COUNTIFS('來案暨出貨明細表-基因檢測(201904起'!$P:$P,$A36&amp;"*",'來案暨出貨明細表-基因檢測(201904起'!$B:$B,AK$1)*$B36+COUNTIFS('來案暨出貨明細表-基因檢測(201904起'!$P:$P,$A36&amp;"*",'來案暨出貨明細表-基因檢測(201904起'!$B:$B,AK$1,'來案暨出貨明細表-基因檢測(201904起'!$Q:$Q,"紙本&amp;電子")++COUNTIFS('來案暨出貨明細表-基因檢測(201904起'!$P:$P,$A36&amp;"*",'來案暨出貨明細表-基因檢測(201904起'!$B:$B,AK$1,'來案暨出貨明細表-基因檢測(201904起'!$R:$R,"中英")</f>
        <v>0</v>
      </c>
      <c r="AL36" s="33">
        <f>COUNTIFS('來案暨出貨明細表-基因檢測(201904起'!$P:$P,$A36&amp;"*",'來案暨出貨明細表-基因檢測(201904起'!$B:$B,AL$1)*$B36+COUNTIFS('來案暨出貨明細表-基因檢測(201904起'!$P:$P,$A36&amp;"*",'來案暨出貨明細表-基因檢測(201904起'!$B:$B,AL$1,'來案暨出貨明細表-基因檢測(201904起'!$Q:$Q,"紙本&amp;電子")++COUNTIFS('來案暨出貨明細表-基因檢測(201904起'!$P:$P,$A36&amp;"*",'來案暨出貨明細表-基因檢測(201904起'!$B:$B,AL$1,'來案暨出貨明細表-基因檢測(201904起'!$R:$R,"中英")</f>
        <v>0</v>
      </c>
      <c r="AM36" s="33">
        <f>COUNTIFS('來案暨出貨明細表-基因檢測(201904起'!$P:$P,$A36&amp;"*",'來案暨出貨明細表-基因檢測(201904起'!$B:$B,AM$1)*$B36+COUNTIFS('來案暨出貨明細表-基因檢測(201904起'!$P:$P,$A36&amp;"*",'來案暨出貨明細表-基因檢測(201904起'!$B:$B,AM$1,'來案暨出貨明細表-基因檢測(201904起'!$Q:$Q,"紙本&amp;電子")++COUNTIFS('來案暨出貨明細表-基因檢測(201904起'!$P:$P,$A36&amp;"*",'來案暨出貨明細表-基因檢測(201904起'!$B:$B,AM$1,'來案暨出貨明細表-基因檢測(201904起'!$R:$R,"中英")</f>
        <v>0</v>
      </c>
      <c r="AN36" s="33">
        <f>COUNTIFS('來案暨出貨明細表-基因檢測(201904起'!$P:$P,$A36&amp;"*",'來案暨出貨明細表-基因檢測(201904起'!$B:$B,AN$1)*$B36+COUNTIFS('來案暨出貨明細表-基因檢測(201904起'!$P:$P,$A36&amp;"*",'來案暨出貨明細表-基因檢測(201904起'!$B:$B,AN$1,'來案暨出貨明細表-基因檢測(201904起'!$Q:$Q,"紙本&amp;電子")++COUNTIFS('來案暨出貨明細表-基因檢測(201904起'!$P:$P,$A36&amp;"*",'來案暨出貨明細表-基因檢測(201904起'!$B:$B,AN$1,'來案暨出貨明細表-基因檢測(201904起'!$R:$R,"中英")</f>
        <v>0</v>
      </c>
      <c r="AO36" s="33">
        <f>COUNTIFS('來案暨出貨明細表-基因檢測(201904起'!$P:$P,$A36&amp;"*",'來案暨出貨明細表-基因檢測(201904起'!$B:$B,AO$1)*$B36+COUNTIFS('來案暨出貨明細表-基因檢測(201904起'!$P:$P,$A36&amp;"*",'來案暨出貨明細表-基因檢測(201904起'!$B:$B,AO$1,'來案暨出貨明細表-基因檢測(201904起'!$Q:$Q,"紙本&amp;電子")++COUNTIFS('來案暨出貨明細表-基因檢測(201904起'!$P:$P,$A36&amp;"*",'來案暨出貨明細表-基因檢測(201904起'!$B:$B,AO$1,'來案暨出貨明細表-基因檢測(201904起'!$R:$R,"中英")</f>
        <v>0</v>
      </c>
      <c r="AP36" s="33">
        <f>COUNTIFS('來案暨出貨明細表-基因檢測(201904起'!$P:$P,$A36&amp;"*",'來案暨出貨明細表-基因檢測(201904起'!$B:$B,AP$1)*$B36+COUNTIFS('來案暨出貨明細表-基因檢測(201904起'!$P:$P,$A36&amp;"*",'來案暨出貨明細表-基因檢測(201904起'!$B:$B,AP$1,'來案暨出貨明細表-基因檢測(201904起'!$Q:$Q,"紙本&amp;電子")++COUNTIFS('來案暨出貨明細表-基因檢測(201904起'!$P:$P,$A36&amp;"*",'來案暨出貨明細表-基因檢測(201904起'!$B:$B,AP$1,'來案暨出貨明細表-基因檢測(201904起'!$R:$R,"中英")</f>
        <v>0</v>
      </c>
      <c r="AQ36" s="33">
        <f>COUNTIFS('來案暨出貨明細表-基因檢測(201904起'!$P:$P,$A36&amp;"*",'來案暨出貨明細表-基因檢測(201904起'!$B:$B,AQ$1)*$B36+COUNTIFS('來案暨出貨明細表-基因檢測(201904起'!$P:$P,$A36&amp;"*",'來案暨出貨明細表-基因檢測(201904起'!$B:$B,AQ$1,'來案暨出貨明細表-基因檢測(201904起'!$Q:$Q,"紙本&amp;電子")++COUNTIFS('來案暨出貨明細表-基因檢測(201904起'!$P:$P,$A36&amp;"*",'來案暨出貨明細表-基因檢測(201904起'!$B:$B,AQ$1,'來案暨出貨明細表-基因檢測(201904起'!$R:$R,"中英")</f>
        <v>0</v>
      </c>
      <c r="AR36" s="33">
        <f>COUNTIFS('來案暨出貨明細表-基因檢測(201904起'!$P:$P,$A36&amp;"*",'來案暨出貨明細表-基因檢測(201904起'!$B:$B,AR$1)*$B36+COUNTIFS('來案暨出貨明細表-基因檢測(201904起'!$P:$P,$A36&amp;"*",'來案暨出貨明細表-基因檢測(201904起'!$B:$B,AR$1,'來案暨出貨明細表-基因檢測(201904起'!$Q:$Q,"紙本&amp;電子")++COUNTIFS('來案暨出貨明細表-基因檢測(201904起'!$P:$P,$A36&amp;"*",'來案暨出貨明細表-基因檢測(201904起'!$B:$B,AR$1,'來案暨出貨明細表-基因檢測(201904起'!$R:$R,"中英")</f>
        <v>0</v>
      </c>
      <c r="AS36" s="33">
        <f>COUNTIFS('來案暨出貨明細表-基因檢測(201904起'!$P:$P,$A36&amp;"*",'來案暨出貨明細表-基因檢測(201904起'!$B:$B,AS$1)*$B36+COUNTIFS('來案暨出貨明細表-基因檢測(201904起'!$P:$P,$A36&amp;"*",'來案暨出貨明細表-基因檢測(201904起'!$B:$B,AS$1,'來案暨出貨明細表-基因檢測(201904起'!$Q:$Q,"紙本&amp;電子")++COUNTIFS('來案暨出貨明細表-基因檢測(201904起'!$P:$P,$A36&amp;"*",'來案暨出貨明細表-基因檢測(201904起'!$B:$B,AS$1,'來案暨出貨明細表-基因檢測(201904起'!$R:$R,"中英")</f>
        <v>0</v>
      </c>
      <c r="AT36" s="33">
        <f>COUNTIFS('來案暨出貨明細表-基因檢測(201904起'!$P:$P,$A36&amp;"*",'來案暨出貨明細表-基因檢測(201904起'!$B:$B,AT$1)*$B36+COUNTIFS('來案暨出貨明細表-基因檢測(201904起'!$P:$P,$A36&amp;"*",'來案暨出貨明細表-基因檢測(201904起'!$B:$B,AT$1,'來案暨出貨明細表-基因檢測(201904起'!$Q:$Q,"紙本&amp;電子")++COUNTIFS('來案暨出貨明細表-基因檢測(201904起'!$P:$P,$A36&amp;"*",'來案暨出貨明細表-基因檢測(201904起'!$B:$B,AT$1,'來案暨出貨明細表-基因檢測(201904起'!$R:$R,"中英")</f>
        <v>0</v>
      </c>
      <c r="AU36" s="33">
        <f>COUNTIFS('來案暨出貨明細表-基因檢測(201904起'!$P:$P,$A36&amp;"*",'來案暨出貨明細表-基因檢測(201904起'!$B:$B,AU$1)*$B36+COUNTIFS('來案暨出貨明細表-基因檢測(201904起'!$P:$P,$A36&amp;"*",'來案暨出貨明細表-基因檢測(201904起'!$B:$B,AU$1,'來案暨出貨明細表-基因檢測(201904起'!$Q:$Q,"紙本&amp;電子")++COUNTIFS('來案暨出貨明細表-基因檢測(201904起'!$P:$P,$A36&amp;"*",'來案暨出貨明細表-基因檢測(201904起'!$B:$B,AU$1,'來案暨出貨明細表-基因檢測(201904起'!$R:$R,"中英")</f>
        <v>0</v>
      </c>
      <c r="AV36" s="33">
        <f>COUNTIFS('來案暨出貨明細表-基因檢測(201904起'!$P:$P,$A36&amp;"*",'來案暨出貨明細表-基因檢測(201904起'!$B:$B,AV$1)*$B36+COUNTIFS('來案暨出貨明細表-基因檢測(201904起'!$P:$P,$A36&amp;"*",'來案暨出貨明細表-基因檢測(201904起'!$B:$B,AV$1,'來案暨出貨明細表-基因檢測(201904起'!$Q:$Q,"紙本&amp;電子")++COUNTIFS('來案暨出貨明細表-基因檢測(201904起'!$P:$P,$A36&amp;"*",'來案暨出貨明細表-基因檢測(201904起'!$B:$B,AV$1,'來案暨出貨明細表-基因檢測(201904起'!$R:$R,"中英")</f>
        <v>0</v>
      </c>
      <c r="AW36" s="33">
        <f>COUNTIFS('來案暨出貨明細表-基因檢測(201904起'!$P:$P,$A36&amp;"*",'來案暨出貨明細表-基因檢測(201904起'!$B:$B,AW$1)*$B36+COUNTIFS('來案暨出貨明細表-基因檢測(201904起'!$P:$P,$A36&amp;"*",'來案暨出貨明細表-基因檢測(201904起'!$B:$B,AW$1,'來案暨出貨明細表-基因檢測(201904起'!$Q:$Q,"紙本&amp;電子")++COUNTIFS('來案暨出貨明細表-基因檢測(201904起'!$P:$P,$A36&amp;"*",'來案暨出貨明細表-基因檢測(201904起'!$B:$B,AW$1,'來案暨出貨明細表-基因檢測(201904起'!$R:$R,"中英")</f>
        <v>0</v>
      </c>
      <c r="AX36" s="33">
        <f>COUNTIFS('來案暨出貨明細表-基因檢測(201904起'!$P:$P,$A36&amp;"*",'來案暨出貨明細表-基因檢測(201904起'!$B:$B,AX$1)*$B36+COUNTIFS('來案暨出貨明細表-基因檢測(201904起'!$P:$P,$A36&amp;"*",'來案暨出貨明細表-基因檢測(201904起'!$B:$B,AX$1,'來案暨出貨明細表-基因檢測(201904起'!$Q:$Q,"紙本&amp;電子")++COUNTIFS('來案暨出貨明細表-基因檢測(201904起'!$P:$P,$A36&amp;"*",'來案暨出貨明細表-基因檢測(201904起'!$B:$B,AX$1,'來案暨出貨明細表-基因檢測(201904起'!$R:$R,"中英")</f>
        <v>0</v>
      </c>
      <c r="AY36" s="33">
        <f>COUNTIFS('來案暨出貨明細表-基因檢測(201904起'!$P:$P,$A36&amp;"*",'來案暨出貨明細表-基因檢測(201904起'!$B:$B,AY$1)*$B36+COUNTIFS('來案暨出貨明細表-基因檢測(201904起'!$P:$P,$A36&amp;"*",'來案暨出貨明細表-基因檢測(201904起'!$B:$B,AY$1,'來案暨出貨明細表-基因檢測(201904起'!$Q:$Q,"紙本&amp;電子")++COUNTIFS('來案暨出貨明細表-基因檢測(201904起'!$P:$P,$A36&amp;"*",'來案暨出貨明細表-基因檢測(201904起'!$B:$B,AY$1,'來案暨出貨明細表-基因檢測(201904起'!$R:$R,"中英")</f>
        <v>0</v>
      </c>
      <c r="AZ36" s="33">
        <f>COUNTIFS('來案暨出貨明細表-基因檢測(201904起'!$P:$P,$A36&amp;"*",'來案暨出貨明細表-基因檢測(201904起'!$B:$B,AZ$1)*$B36+COUNTIFS('來案暨出貨明細表-基因檢測(201904起'!$P:$P,$A36&amp;"*",'來案暨出貨明細表-基因檢測(201904起'!$B:$B,AZ$1,'來案暨出貨明細表-基因檢測(201904起'!$Q:$Q,"紙本&amp;電子")++COUNTIFS('來案暨出貨明細表-基因檢測(201904起'!$P:$P,$A36&amp;"*",'來案暨出貨明細表-基因檢測(201904起'!$B:$B,AZ$1,'來案暨出貨明細表-基因檢測(201904起'!$R:$R,"中英")</f>
        <v>0</v>
      </c>
      <c r="BA36" s="33">
        <f>COUNTIFS('來案暨出貨明細表-基因檢測(201904起'!$P:$P,$A36&amp;"*",'來案暨出貨明細表-基因檢測(201904起'!$B:$B,BA$1)*$B36+COUNTIFS('來案暨出貨明細表-基因檢測(201904起'!$P:$P,$A36&amp;"*",'來案暨出貨明細表-基因檢測(201904起'!$B:$B,BA$1,'來案暨出貨明細表-基因檢測(201904起'!$Q:$Q,"紙本&amp;電子")++COUNTIFS('來案暨出貨明細表-基因檢測(201904起'!$P:$P,$A36&amp;"*",'來案暨出貨明細表-基因檢測(201904起'!$B:$B,BA$1,'來案暨出貨明細表-基因檢測(201904起'!$R:$R,"中英")</f>
        <v>0</v>
      </c>
      <c r="BB36" s="33">
        <f>COUNTIFS('來案暨出貨明細表-基因檢測(201904起'!$P:$P,$A36&amp;"*",'來案暨出貨明細表-基因檢測(201904起'!$B:$B,BB$1)*$B36+COUNTIFS('來案暨出貨明細表-基因檢測(201904起'!$P:$P,$A36&amp;"*",'來案暨出貨明細表-基因檢測(201904起'!$B:$B,BB$1,'來案暨出貨明細表-基因檢測(201904起'!$Q:$Q,"紙本&amp;電子")++COUNTIFS('來案暨出貨明細表-基因檢測(201904起'!$P:$P,$A36&amp;"*",'來案暨出貨明細表-基因檢測(201904起'!$B:$B,BB$1,'來案暨出貨明細表-基因檢測(201904起'!$R:$R,"中英")</f>
        <v>0</v>
      </c>
      <c r="BC36" s="33">
        <f>COUNTIFS('來案暨出貨明細表-基因檢測(201904起'!$P:$P,$A36&amp;"*",'來案暨出貨明細表-基因檢測(201904起'!$B:$B,BC$1)*$B36+COUNTIFS('來案暨出貨明細表-基因檢測(201904起'!$P:$P,$A36&amp;"*",'來案暨出貨明細表-基因檢測(201904起'!$B:$B,BC$1,'來案暨出貨明細表-基因檢測(201904起'!$Q:$Q,"紙本&amp;電子")++COUNTIFS('來案暨出貨明細表-基因檢測(201904起'!$P:$P,$A36&amp;"*",'來案暨出貨明細表-基因檢測(201904起'!$B:$B,BC$1,'來案暨出貨明細表-基因檢測(201904起'!$R:$R,"中英")</f>
        <v>0</v>
      </c>
      <c r="BD36" s="33">
        <f>COUNTIFS('來案暨出貨明細表-基因檢測(201904起'!$P:$P,$A36&amp;"*",'來案暨出貨明細表-基因檢測(201904起'!$B:$B,BD$1)*$B36+COUNTIFS('來案暨出貨明細表-基因檢測(201904起'!$P:$P,$A36&amp;"*",'來案暨出貨明細表-基因檢測(201904起'!$B:$B,BD$1,'來案暨出貨明細表-基因檢測(201904起'!$Q:$Q,"紙本&amp;電子")++COUNTIFS('來案暨出貨明細表-基因檢測(201904起'!$P:$P,$A36&amp;"*",'來案暨出貨明細表-基因檢測(201904起'!$B:$B,BD$1,'來案暨出貨明細表-基因檢測(201904起'!$R:$R,"中英")</f>
        <v>0</v>
      </c>
      <c r="BE36" s="33">
        <f>COUNTIFS('來案暨出貨明細表-基因檢測(201904起'!$P:$P,$A36&amp;"*",'來案暨出貨明細表-基因檢測(201904起'!$B:$B,BE$1)*$B36+COUNTIFS('來案暨出貨明細表-基因檢測(201904起'!$P:$P,$A36&amp;"*",'來案暨出貨明細表-基因檢測(201904起'!$B:$B,BE$1,'來案暨出貨明細表-基因檢測(201904起'!$Q:$Q,"紙本&amp;電子")++COUNTIFS('來案暨出貨明細表-基因檢測(201904起'!$P:$P,$A36&amp;"*",'來案暨出貨明細表-基因檢測(201904起'!$B:$B,BE$1,'來案暨出貨明細表-基因檢測(201904起'!$R:$R,"中英")</f>
        <v>0</v>
      </c>
      <c r="BF36" s="33">
        <f>COUNTIFS('來案暨出貨明細表-基因檢測(201904起'!$P:$P,$A36&amp;"*",'來案暨出貨明細表-基因檢測(201904起'!$B:$B,BF$1)*$B36+COUNTIFS('來案暨出貨明細表-基因檢測(201904起'!$P:$P,$A36&amp;"*",'來案暨出貨明細表-基因檢測(201904起'!$B:$B,BF$1,'來案暨出貨明細表-基因檢測(201904起'!$Q:$Q,"紙本&amp;電子")++COUNTIFS('來案暨出貨明細表-基因檢測(201904起'!$P:$P,$A36&amp;"*",'來案暨出貨明細表-基因檢測(201904起'!$B:$B,BF$1,'來案暨出貨明細表-基因檢測(201904起'!$R:$R,"中英")</f>
        <v>0</v>
      </c>
      <c r="BG36" s="33">
        <f>COUNTIFS('來案暨出貨明細表-基因檢測(201904起'!$P:$P,$A36&amp;"*",'來案暨出貨明細表-基因檢測(201904起'!$B:$B,BG$1)*$B36+COUNTIFS('來案暨出貨明細表-基因檢測(201904起'!$P:$P,$A36&amp;"*",'來案暨出貨明細表-基因檢測(201904起'!$B:$B,BG$1,'來案暨出貨明細表-基因檢測(201904起'!$Q:$Q,"紙本&amp;電子")++COUNTIFS('來案暨出貨明細表-基因檢測(201904起'!$P:$P,$A36&amp;"*",'來案暨出貨明細表-基因檢測(201904起'!$B:$B,BG$1,'來案暨出貨明細表-基因檢測(201904起'!$R:$R,"中英")</f>
        <v>0</v>
      </c>
      <c r="BH36" s="33">
        <f>COUNTIFS('來案暨出貨明細表-基因檢測(201904起'!$P:$P,$A36&amp;"*",'來案暨出貨明細表-基因檢測(201904起'!$B:$B,BH$1)*$B36+COUNTIFS('來案暨出貨明細表-基因檢測(201904起'!$P:$P,$A36&amp;"*",'來案暨出貨明細表-基因檢測(201904起'!$B:$B,BH$1,'來案暨出貨明細表-基因檢測(201904起'!$Q:$Q,"紙本&amp;電子")++COUNTIFS('來案暨出貨明細表-基因檢測(201904起'!$P:$P,$A36&amp;"*",'來案暨出貨明細表-基因檢測(201904起'!$B:$B,BH$1,'來案暨出貨明細表-基因檢測(201904起'!$R:$R,"中英")</f>
        <v>0</v>
      </c>
      <c r="BI36" s="33">
        <f>COUNTIFS('來案暨出貨明細表-基因檢測(201904起'!$P:$P,$A36&amp;"*",'來案暨出貨明細表-基因檢測(201904起'!$B:$B,BI$1)*$B36+COUNTIFS('來案暨出貨明細表-基因檢測(201904起'!$P:$P,$A36&amp;"*",'來案暨出貨明細表-基因檢測(201904起'!$B:$B,BI$1,'來案暨出貨明細表-基因檢測(201904起'!$Q:$Q,"紙本&amp;電子")++COUNTIFS('來案暨出貨明細表-基因檢測(201904起'!$P:$P,$A36&amp;"*",'來案暨出貨明細表-基因檢測(201904起'!$B:$B,BI$1,'來案暨出貨明細表-基因檢測(201904起'!$R:$R,"中英")</f>
        <v>0</v>
      </c>
      <c r="BJ36" s="33">
        <f>COUNTIFS('來案暨出貨明細表-基因檢測(201904起'!$P:$P,$A36&amp;"*",'來案暨出貨明細表-基因檢測(201904起'!$B:$B,BJ$1)*$B36+COUNTIFS('來案暨出貨明細表-基因檢測(201904起'!$P:$P,$A36&amp;"*",'來案暨出貨明細表-基因檢測(201904起'!$B:$B,BJ$1,'來案暨出貨明細表-基因檢測(201904起'!$Q:$Q,"紙本&amp;電子")++COUNTIFS('來案暨出貨明細表-基因檢測(201904起'!$P:$P,$A36&amp;"*",'來案暨出貨明細表-基因檢測(201904起'!$B:$B,BJ$1,'來案暨出貨明細表-基因檢測(201904起'!$R:$R,"中英")</f>
        <v>0</v>
      </c>
      <c r="BK36" s="33">
        <f>COUNTIFS('來案暨出貨明細表-基因檢測(201904起'!$P:$P,$A36&amp;"*",'來案暨出貨明細表-基因檢測(201904起'!$B:$B,BK$1)*$B36+COUNTIFS('來案暨出貨明細表-基因檢測(201904起'!$P:$P,$A36&amp;"*",'來案暨出貨明細表-基因檢測(201904起'!$B:$B,BK$1,'來案暨出貨明細表-基因檢測(201904起'!$Q:$Q,"紙本&amp;電子")++COUNTIFS('來案暨出貨明細表-基因檢測(201904起'!$P:$P,$A36&amp;"*",'來案暨出貨明細表-基因檢測(201904起'!$B:$B,BK$1,'來案暨出貨明細表-基因檢測(201904起'!$R:$R,"中英")</f>
        <v>0</v>
      </c>
    </row>
    <row r="37" spans="1:63" ht="15" customHeight="1">
      <c r="A37" s="166" t="s">
        <v>4569</v>
      </c>
      <c r="B37" s="167">
        <v>1</v>
      </c>
      <c r="C37" s="168" t="s">
        <v>4570</v>
      </c>
      <c r="D37" s="169" t="s">
        <v>4571</v>
      </c>
      <c r="E37" s="196">
        <v>0</v>
      </c>
      <c r="F37" s="196">
        <v>0</v>
      </c>
      <c r="G37" s="196">
        <v>0</v>
      </c>
      <c r="H37" s="196">
        <v>0</v>
      </c>
      <c r="I37" s="196">
        <v>0</v>
      </c>
      <c r="J37" s="196">
        <v>0</v>
      </c>
      <c r="K37" s="196">
        <v>0</v>
      </c>
      <c r="L37" s="196">
        <v>0</v>
      </c>
      <c r="M37" s="196">
        <v>0</v>
      </c>
      <c r="N37" s="196">
        <v>0</v>
      </c>
      <c r="O37" s="196">
        <v>0</v>
      </c>
      <c r="P37" s="196">
        <v>0</v>
      </c>
      <c r="Q37" s="196">
        <v>0</v>
      </c>
      <c r="R37" s="196">
        <v>0</v>
      </c>
      <c r="S37" s="196">
        <v>0</v>
      </c>
      <c r="T37" s="196">
        <v>0</v>
      </c>
      <c r="U37" s="196">
        <v>0</v>
      </c>
      <c r="V37" s="196">
        <v>0</v>
      </c>
      <c r="W37" s="196">
        <v>0</v>
      </c>
      <c r="X37" s="196">
        <v>0</v>
      </c>
      <c r="Y37" s="196">
        <v>0</v>
      </c>
      <c r="Z37" s="196">
        <v>0</v>
      </c>
      <c r="AA37" s="196">
        <v>2</v>
      </c>
      <c r="AB37" s="196">
        <v>0</v>
      </c>
      <c r="AC37" s="196">
        <v>0</v>
      </c>
      <c r="AD37" s="196">
        <v>0</v>
      </c>
      <c r="AE37" s="196">
        <v>0</v>
      </c>
      <c r="AF37" s="196">
        <v>0</v>
      </c>
      <c r="AG37" s="196">
        <v>1</v>
      </c>
      <c r="AH37" s="196">
        <v>0</v>
      </c>
      <c r="AI37" s="196">
        <v>0</v>
      </c>
      <c r="AJ37" s="170">
        <v>3</v>
      </c>
      <c r="AK37" s="33">
        <f>COUNTIFS('來案暨出貨明細表-基因檢測(201904起'!$P:$P,$A37&amp;"*",'來案暨出貨明細表-基因檢測(201904起'!$B:$B,AK$1)*$B37+COUNTIFS('來案暨出貨明細表-基因檢測(201904起'!$P:$P,$A37&amp;"*",'來案暨出貨明細表-基因檢測(201904起'!$B:$B,AK$1,'來案暨出貨明細表-基因檢測(201904起'!$Q:$Q,"紙本&amp;電子")++COUNTIFS('來案暨出貨明細表-基因檢測(201904起'!$P:$P,$A37&amp;"*",'來案暨出貨明細表-基因檢測(201904起'!$B:$B,AK$1,'來案暨出貨明細表-基因檢測(201904起'!$R:$R,"中英")</f>
        <v>0</v>
      </c>
      <c r="AL37" s="33">
        <f>COUNTIFS('來案暨出貨明細表-基因檢測(201904起'!$P:$P,$A37&amp;"*",'來案暨出貨明細表-基因檢測(201904起'!$B:$B,AL$1)*$B37+COUNTIFS('來案暨出貨明細表-基因檢測(201904起'!$P:$P,$A37&amp;"*",'來案暨出貨明細表-基因檢測(201904起'!$B:$B,AL$1,'來案暨出貨明細表-基因檢測(201904起'!$Q:$Q,"紙本&amp;電子")++COUNTIFS('來案暨出貨明細表-基因檢測(201904起'!$P:$P,$A37&amp;"*",'來案暨出貨明細表-基因檢測(201904起'!$B:$B,AL$1,'來案暨出貨明細表-基因檢測(201904起'!$R:$R,"中英")</f>
        <v>0</v>
      </c>
      <c r="AM37" s="33">
        <f>COUNTIFS('來案暨出貨明細表-基因檢測(201904起'!$P:$P,$A37&amp;"*",'來案暨出貨明細表-基因檢測(201904起'!$B:$B,AM$1)*$B37+COUNTIFS('來案暨出貨明細表-基因檢測(201904起'!$P:$P,$A37&amp;"*",'來案暨出貨明細表-基因檢測(201904起'!$B:$B,AM$1,'來案暨出貨明細表-基因檢測(201904起'!$Q:$Q,"紙本&amp;電子")++COUNTIFS('來案暨出貨明細表-基因檢測(201904起'!$P:$P,$A37&amp;"*",'來案暨出貨明細表-基因檢測(201904起'!$B:$B,AM$1,'來案暨出貨明細表-基因檢測(201904起'!$R:$R,"中英")</f>
        <v>0</v>
      </c>
      <c r="AN37" s="33">
        <f>COUNTIFS('來案暨出貨明細表-基因檢測(201904起'!$P:$P,$A37&amp;"*",'來案暨出貨明細表-基因檢測(201904起'!$B:$B,AN$1)*$B37+COUNTIFS('來案暨出貨明細表-基因檢測(201904起'!$P:$P,$A37&amp;"*",'來案暨出貨明細表-基因檢測(201904起'!$B:$B,AN$1,'來案暨出貨明細表-基因檢測(201904起'!$Q:$Q,"紙本&amp;電子")++COUNTIFS('來案暨出貨明細表-基因檢測(201904起'!$P:$P,$A37&amp;"*",'來案暨出貨明細表-基因檢測(201904起'!$B:$B,AN$1,'來案暨出貨明細表-基因檢測(201904起'!$R:$R,"中英")</f>
        <v>0</v>
      </c>
      <c r="AO37" s="33">
        <f>COUNTIFS('來案暨出貨明細表-基因檢測(201904起'!$P:$P,$A37&amp;"*",'來案暨出貨明細表-基因檢測(201904起'!$B:$B,AO$1)*$B37+COUNTIFS('來案暨出貨明細表-基因檢測(201904起'!$P:$P,$A37&amp;"*",'來案暨出貨明細表-基因檢測(201904起'!$B:$B,AO$1,'來案暨出貨明細表-基因檢測(201904起'!$Q:$Q,"紙本&amp;電子")++COUNTIFS('來案暨出貨明細表-基因檢測(201904起'!$P:$P,$A37&amp;"*",'來案暨出貨明細表-基因檢測(201904起'!$B:$B,AO$1,'來案暨出貨明細表-基因檢測(201904起'!$R:$R,"中英")</f>
        <v>0</v>
      </c>
      <c r="AP37" s="33">
        <f>COUNTIFS('來案暨出貨明細表-基因檢測(201904起'!$P:$P,$A37&amp;"*",'來案暨出貨明細表-基因檢測(201904起'!$B:$B,AP$1)*$B37+COUNTIFS('來案暨出貨明細表-基因檢測(201904起'!$P:$P,$A37&amp;"*",'來案暨出貨明細表-基因檢測(201904起'!$B:$B,AP$1,'來案暨出貨明細表-基因檢測(201904起'!$Q:$Q,"紙本&amp;電子")++COUNTIFS('來案暨出貨明細表-基因檢測(201904起'!$P:$P,$A37&amp;"*",'來案暨出貨明細表-基因檢測(201904起'!$B:$B,AP$1,'來案暨出貨明細表-基因檢測(201904起'!$R:$R,"中英")</f>
        <v>0</v>
      </c>
      <c r="AQ37" s="33">
        <f>COUNTIFS('來案暨出貨明細表-基因檢測(201904起'!$P:$P,$A37&amp;"*",'來案暨出貨明細表-基因檢測(201904起'!$B:$B,AQ$1)*$B37+COUNTIFS('來案暨出貨明細表-基因檢測(201904起'!$P:$P,$A37&amp;"*",'來案暨出貨明細表-基因檢測(201904起'!$B:$B,AQ$1,'來案暨出貨明細表-基因檢測(201904起'!$Q:$Q,"紙本&amp;電子")++COUNTIFS('來案暨出貨明細表-基因檢測(201904起'!$P:$P,$A37&amp;"*",'來案暨出貨明細表-基因檢測(201904起'!$B:$B,AQ$1,'來案暨出貨明細表-基因檢測(201904起'!$R:$R,"中英")</f>
        <v>0</v>
      </c>
      <c r="AR37" s="33">
        <f>COUNTIFS('來案暨出貨明細表-基因檢測(201904起'!$P:$P,$A37&amp;"*",'來案暨出貨明細表-基因檢測(201904起'!$B:$B,AR$1)*$B37+COUNTIFS('來案暨出貨明細表-基因檢測(201904起'!$P:$P,$A37&amp;"*",'來案暨出貨明細表-基因檢測(201904起'!$B:$B,AR$1,'來案暨出貨明細表-基因檢測(201904起'!$Q:$Q,"紙本&amp;電子")++COUNTIFS('來案暨出貨明細表-基因檢測(201904起'!$P:$P,$A37&amp;"*",'來案暨出貨明細表-基因檢測(201904起'!$B:$B,AR$1,'來案暨出貨明細表-基因檢測(201904起'!$R:$R,"中英")</f>
        <v>0</v>
      </c>
      <c r="AS37" s="33">
        <f>COUNTIFS('來案暨出貨明細表-基因檢測(201904起'!$P:$P,$A37&amp;"*",'來案暨出貨明細表-基因檢測(201904起'!$B:$B,AS$1)*$B37+COUNTIFS('來案暨出貨明細表-基因檢測(201904起'!$P:$P,$A37&amp;"*",'來案暨出貨明細表-基因檢測(201904起'!$B:$B,AS$1,'來案暨出貨明細表-基因檢測(201904起'!$Q:$Q,"紙本&amp;電子")++COUNTIFS('來案暨出貨明細表-基因檢測(201904起'!$P:$P,$A37&amp;"*",'來案暨出貨明細表-基因檢測(201904起'!$B:$B,AS$1,'來案暨出貨明細表-基因檢測(201904起'!$R:$R,"中英")</f>
        <v>0</v>
      </c>
      <c r="AT37" s="33">
        <f>COUNTIFS('來案暨出貨明細表-基因檢測(201904起'!$P:$P,$A37&amp;"*",'來案暨出貨明細表-基因檢測(201904起'!$B:$B,AT$1)*$B37+COUNTIFS('來案暨出貨明細表-基因檢測(201904起'!$P:$P,$A37&amp;"*",'來案暨出貨明細表-基因檢測(201904起'!$B:$B,AT$1,'來案暨出貨明細表-基因檢測(201904起'!$Q:$Q,"紙本&amp;電子")++COUNTIFS('來案暨出貨明細表-基因檢測(201904起'!$P:$P,$A37&amp;"*",'來案暨出貨明細表-基因檢測(201904起'!$B:$B,AT$1,'來案暨出貨明細表-基因檢測(201904起'!$R:$R,"中英")</f>
        <v>0</v>
      </c>
      <c r="AU37" s="33">
        <f>COUNTIFS('來案暨出貨明細表-基因檢測(201904起'!$P:$P,$A37&amp;"*",'來案暨出貨明細表-基因檢測(201904起'!$B:$B,AU$1)*$B37+COUNTIFS('來案暨出貨明細表-基因檢測(201904起'!$P:$P,$A37&amp;"*",'來案暨出貨明細表-基因檢測(201904起'!$B:$B,AU$1,'來案暨出貨明細表-基因檢測(201904起'!$Q:$Q,"紙本&amp;電子")++COUNTIFS('來案暨出貨明細表-基因檢測(201904起'!$P:$P,$A37&amp;"*",'來案暨出貨明細表-基因檢測(201904起'!$B:$B,AU$1,'來案暨出貨明細表-基因檢測(201904起'!$R:$R,"中英")</f>
        <v>0</v>
      </c>
      <c r="AV37" s="33">
        <f>COUNTIFS('來案暨出貨明細表-基因檢測(201904起'!$P:$P,$A37&amp;"*",'來案暨出貨明細表-基因檢測(201904起'!$B:$B,AV$1)*$B37+COUNTIFS('來案暨出貨明細表-基因檢測(201904起'!$P:$P,$A37&amp;"*",'來案暨出貨明細表-基因檢測(201904起'!$B:$B,AV$1,'來案暨出貨明細表-基因檢測(201904起'!$Q:$Q,"紙本&amp;電子")++COUNTIFS('來案暨出貨明細表-基因檢測(201904起'!$P:$P,$A37&amp;"*",'來案暨出貨明細表-基因檢測(201904起'!$B:$B,AV$1,'來案暨出貨明細表-基因檢測(201904起'!$R:$R,"中英")</f>
        <v>0</v>
      </c>
      <c r="AW37" s="33">
        <f>COUNTIFS('來案暨出貨明細表-基因檢測(201904起'!$P:$P,$A37&amp;"*",'來案暨出貨明細表-基因檢測(201904起'!$B:$B,AW$1)*$B37+COUNTIFS('來案暨出貨明細表-基因檢測(201904起'!$P:$P,$A37&amp;"*",'來案暨出貨明細表-基因檢測(201904起'!$B:$B,AW$1,'來案暨出貨明細表-基因檢測(201904起'!$Q:$Q,"紙本&amp;電子")++COUNTIFS('來案暨出貨明細表-基因檢測(201904起'!$P:$P,$A37&amp;"*",'來案暨出貨明細表-基因檢測(201904起'!$B:$B,AW$1,'來案暨出貨明細表-基因檢測(201904起'!$R:$R,"中英")</f>
        <v>0</v>
      </c>
      <c r="AX37" s="33">
        <f>COUNTIFS('來案暨出貨明細表-基因檢測(201904起'!$P:$P,$A37&amp;"*",'來案暨出貨明細表-基因檢測(201904起'!$B:$B,AX$1)*$B37+COUNTIFS('來案暨出貨明細表-基因檢測(201904起'!$P:$P,$A37&amp;"*",'來案暨出貨明細表-基因檢測(201904起'!$B:$B,AX$1,'來案暨出貨明細表-基因檢測(201904起'!$Q:$Q,"紙本&amp;電子")++COUNTIFS('來案暨出貨明細表-基因檢測(201904起'!$P:$P,$A37&amp;"*",'來案暨出貨明細表-基因檢測(201904起'!$B:$B,AX$1,'來案暨出貨明細表-基因檢測(201904起'!$R:$R,"中英")</f>
        <v>0</v>
      </c>
      <c r="AY37" s="33">
        <f>COUNTIFS('來案暨出貨明細表-基因檢測(201904起'!$P:$P,$A37&amp;"*",'來案暨出貨明細表-基因檢測(201904起'!$B:$B,AY$1)*$B37+COUNTIFS('來案暨出貨明細表-基因檢測(201904起'!$P:$P,$A37&amp;"*",'來案暨出貨明細表-基因檢測(201904起'!$B:$B,AY$1,'來案暨出貨明細表-基因檢測(201904起'!$Q:$Q,"紙本&amp;電子")++COUNTIFS('來案暨出貨明細表-基因檢測(201904起'!$P:$P,$A37&amp;"*",'來案暨出貨明細表-基因檢測(201904起'!$B:$B,AY$1,'來案暨出貨明細表-基因檢測(201904起'!$R:$R,"中英")</f>
        <v>0</v>
      </c>
      <c r="AZ37" s="33">
        <f>COUNTIFS('來案暨出貨明細表-基因檢測(201904起'!$P:$P,$A37&amp;"*",'來案暨出貨明細表-基因檢測(201904起'!$B:$B,AZ$1)*$B37+COUNTIFS('來案暨出貨明細表-基因檢測(201904起'!$P:$P,$A37&amp;"*",'來案暨出貨明細表-基因檢測(201904起'!$B:$B,AZ$1,'來案暨出貨明細表-基因檢測(201904起'!$Q:$Q,"紙本&amp;電子")++COUNTIFS('來案暨出貨明細表-基因檢測(201904起'!$P:$P,$A37&amp;"*",'來案暨出貨明細表-基因檢測(201904起'!$B:$B,AZ$1,'來案暨出貨明細表-基因檢測(201904起'!$R:$R,"中英")</f>
        <v>0</v>
      </c>
      <c r="BA37" s="33">
        <f>COUNTIFS('來案暨出貨明細表-基因檢測(201904起'!$P:$P,$A37&amp;"*",'來案暨出貨明細表-基因檢測(201904起'!$B:$B,BA$1)*$B37+COUNTIFS('來案暨出貨明細表-基因檢測(201904起'!$P:$P,$A37&amp;"*",'來案暨出貨明細表-基因檢測(201904起'!$B:$B,BA$1,'來案暨出貨明細表-基因檢測(201904起'!$Q:$Q,"紙本&amp;電子")++COUNTIFS('來案暨出貨明細表-基因檢測(201904起'!$P:$P,$A37&amp;"*",'來案暨出貨明細表-基因檢測(201904起'!$B:$B,BA$1,'來案暨出貨明細表-基因檢測(201904起'!$R:$R,"中英")</f>
        <v>0</v>
      </c>
      <c r="BB37" s="33">
        <f>COUNTIFS('來案暨出貨明細表-基因檢測(201904起'!$P:$P,$A37&amp;"*",'來案暨出貨明細表-基因檢測(201904起'!$B:$B,BB$1)*$B37+COUNTIFS('來案暨出貨明細表-基因檢測(201904起'!$P:$P,$A37&amp;"*",'來案暨出貨明細表-基因檢測(201904起'!$B:$B,BB$1,'來案暨出貨明細表-基因檢測(201904起'!$Q:$Q,"紙本&amp;電子")++COUNTIFS('來案暨出貨明細表-基因檢測(201904起'!$P:$P,$A37&amp;"*",'來案暨出貨明細表-基因檢測(201904起'!$B:$B,BB$1,'來案暨出貨明細表-基因檢測(201904起'!$R:$R,"中英")</f>
        <v>0</v>
      </c>
      <c r="BC37" s="33">
        <f>COUNTIFS('來案暨出貨明細表-基因檢測(201904起'!$P:$P,$A37&amp;"*",'來案暨出貨明細表-基因檢測(201904起'!$B:$B,BC$1)*$B37+COUNTIFS('來案暨出貨明細表-基因檢測(201904起'!$P:$P,$A37&amp;"*",'來案暨出貨明細表-基因檢測(201904起'!$B:$B,BC$1,'來案暨出貨明細表-基因檢測(201904起'!$Q:$Q,"紙本&amp;電子")++COUNTIFS('來案暨出貨明細表-基因檢測(201904起'!$P:$P,$A37&amp;"*",'來案暨出貨明細表-基因檢測(201904起'!$B:$B,BC$1,'來案暨出貨明細表-基因檢測(201904起'!$R:$R,"中英")</f>
        <v>0</v>
      </c>
      <c r="BD37" s="33">
        <f>COUNTIFS('來案暨出貨明細表-基因檢測(201904起'!$P:$P,$A37&amp;"*",'來案暨出貨明細表-基因檢測(201904起'!$B:$B,BD$1)*$B37+COUNTIFS('來案暨出貨明細表-基因檢測(201904起'!$P:$P,$A37&amp;"*",'來案暨出貨明細表-基因檢測(201904起'!$B:$B,BD$1,'來案暨出貨明細表-基因檢測(201904起'!$Q:$Q,"紙本&amp;電子")++COUNTIFS('來案暨出貨明細表-基因檢測(201904起'!$P:$P,$A37&amp;"*",'來案暨出貨明細表-基因檢測(201904起'!$B:$B,BD$1,'來案暨出貨明細表-基因檢測(201904起'!$R:$R,"中英")</f>
        <v>0</v>
      </c>
      <c r="BE37" s="33">
        <f>COUNTIFS('來案暨出貨明細表-基因檢測(201904起'!$P:$P,$A37&amp;"*",'來案暨出貨明細表-基因檢測(201904起'!$B:$B,BE$1)*$B37+COUNTIFS('來案暨出貨明細表-基因檢測(201904起'!$P:$P,$A37&amp;"*",'來案暨出貨明細表-基因檢測(201904起'!$B:$B,BE$1,'來案暨出貨明細表-基因檢測(201904起'!$Q:$Q,"紙本&amp;電子")++COUNTIFS('來案暨出貨明細表-基因檢測(201904起'!$P:$P,$A37&amp;"*",'來案暨出貨明細表-基因檢測(201904起'!$B:$B,BE$1,'來案暨出貨明細表-基因檢測(201904起'!$R:$R,"中英")</f>
        <v>0</v>
      </c>
      <c r="BF37" s="33">
        <f>COUNTIFS('來案暨出貨明細表-基因檢測(201904起'!$P:$P,$A37&amp;"*",'來案暨出貨明細表-基因檢測(201904起'!$B:$B,BF$1)*$B37+COUNTIFS('來案暨出貨明細表-基因檢測(201904起'!$P:$P,$A37&amp;"*",'來案暨出貨明細表-基因檢測(201904起'!$B:$B,BF$1,'來案暨出貨明細表-基因檢測(201904起'!$Q:$Q,"紙本&amp;電子")++COUNTIFS('來案暨出貨明細表-基因檢測(201904起'!$P:$P,$A37&amp;"*",'來案暨出貨明細表-基因檢測(201904起'!$B:$B,BF$1,'來案暨出貨明細表-基因檢測(201904起'!$R:$R,"中英")</f>
        <v>0</v>
      </c>
      <c r="BG37" s="33">
        <f>COUNTIFS('來案暨出貨明細表-基因檢測(201904起'!$P:$P,$A37&amp;"*",'來案暨出貨明細表-基因檢測(201904起'!$B:$B,BG$1)*$B37+COUNTIFS('來案暨出貨明細表-基因檢測(201904起'!$P:$P,$A37&amp;"*",'來案暨出貨明細表-基因檢測(201904起'!$B:$B,BG$1,'來案暨出貨明細表-基因檢測(201904起'!$Q:$Q,"紙本&amp;電子")++COUNTIFS('來案暨出貨明細表-基因檢測(201904起'!$P:$P,$A37&amp;"*",'來案暨出貨明細表-基因檢測(201904起'!$B:$B,BG$1,'來案暨出貨明細表-基因檢測(201904起'!$R:$R,"中英")</f>
        <v>0</v>
      </c>
      <c r="BH37" s="33">
        <f>COUNTIFS('來案暨出貨明細表-基因檢測(201904起'!$P:$P,$A37&amp;"*",'來案暨出貨明細表-基因檢測(201904起'!$B:$B,BH$1)*$B37+COUNTIFS('來案暨出貨明細表-基因檢測(201904起'!$P:$P,$A37&amp;"*",'來案暨出貨明細表-基因檢測(201904起'!$B:$B,BH$1,'來案暨出貨明細表-基因檢測(201904起'!$Q:$Q,"紙本&amp;電子")++COUNTIFS('來案暨出貨明細表-基因檢測(201904起'!$P:$P,$A37&amp;"*",'來案暨出貨明細表-基因檢測(201904起'!$B:$B,BH$1,'來案暨出貨明細表-基因檢測(201904起'!$R:$R,"中英")</f>
        <v>0</v>
      </c>
      <c r="BI37" s="33">
        <f>COUNTIFS('來案暨出貨明細表-基因檢測(201904起'!$P:$P,$A37&amp;"*",'來案暨出貨明細表-基因檢測(201904起'!$B:$B,BI$1)*$B37+COUNTIFS('來案暨出貨明細表-基因檢測(201904起'!$P:$P,$A37&amp;"*",'來案暨出貨明細表-基因檢測(201904起'!$B:$B,BI$1,'來案暨出貨明細表-基因檢測(201904起'!$Q:$Q,"紙本&amp;電子")++COUNTIFS('來案暨出貨明細表-基因檢測(201904起'!$P:$P,$A37&amp;"*",'來案暨出貨明細表-基因檢測(201904起'!$B:$B,BI$1,'來案暨出貨明細表-基因檢測(201904起'!$R:$R,"中英")</f>
        <v>0</v>
      </c>
      <c r="BJ37" s="33">
        <f>COUNTIFS('來案暨出貨明細表-基因檢測(201904起'!$P:$P,$A37&amp;"*",'來案暨出貨明細表-基因檢測(201904起'!$B:$B,BJ$1)*$B37+COUNTIFS('來案暨出貨明細表-基因檢測(201904起'!$P:$P,$A37&amp;"*",'來案暨出貨明細表-基因檢測(201904起'!$B:$B,BJ$1,'來案暨出貨明細表-基因檢測(201904起'!$Q:$Q,"紙本&amp;電子")++COUNTIFS('來案暨出貨明細表-基因檢測(201904起'!$P:$P,$A37&amp;"*",'來案暨出貨明細表-基因檢測(201904起'!$B:$B,BJ$1,'來案暨出貨明細表-基因檢測(201904起'!$R:$R,"中英")</f>
        <v>0</v>
      </c>
      <c r="BK37" s="33">
        <f>COUNTIFS('來案暨出貨明細表-基因檢測(201904起'!$P:$P,$A37&amp;"*",'來案暨出貨明細表-基因檢測(201904起'!$B:$B,BK$1)*$B37+COUNTIFS('來案暨出貨明細表-基因檢測(201904起'!$P:$P,$A37&amp;"*",'來案暨出貨明細表-基因檢測(201904起'!$B:$B,BK$1,'來案暨出貨明細表-基因檢測(201904起'!$Q:$Q,"紙本&amp;電子")++COUNTIFS('來案暨出貨明細表-基因檢測(201904起'!$P:$P,$A37&amp;"*",'來案暨出貨明細表-基因檢測(201904起'!$B:$B,BK$1,'來案暨出貨明細表-基因檢測(201904起'!$R:$R,"中英")</f>
        <v>0</v>
      </c>
    </row>
    <row r="38" spans="1:63" ht="15" customHeight="1">
      <c r="A38" s="197"/>
      <c r="B38" s="198"/>
      <c r="C38" s="199" t="s">
        <v>2434</v>
      </c>
      <c r="D38" s="200" t="s">
        <v>2434</v>
      </c>
      <c r="E38" s="199">
        <f t="shared" ref="E38:AI38" si="0">SUM(E2:E37)</f>
        <v>2</v>
      </c>
      <c r="F38" s="199">
        <f t="shared" si="0"/>
        <v>6</v>
      </c>
      <c r="G38" s="199">
        <f t="shared" si="0"/>
        <v>0</v>
      </c>
      <c r="H38" s="199">
        <f t="shared" si="0"/>
        <v>10</v>
      </c>
      <c r="I38" s="199">
        <f t="shared" si="0"/>
        <v>0</v>
      </c>
      <c r="J38" s="199">
        <f t="shared" si="0"/>
        <v>0</v>
      </c>
      <c r="K38" s="199">
        <f t="shared" si="0"/>
        <v>2</v>
      </c>
      <c r="L38" s="199">
        <f t="shared" si="0"/>
        <v>0</v>
      </c>
      <c r="M38" s="199">
        <f t="shared" si="0"/>
        <v>21</v>
      </c>
      <c r="N38" s="199">
        <f t="shared" si="0"/>
        <v>0</v>
      </c>
      <c r="O38" s="199">
        <f t="shared" si="0"/>
        <v>0</v>
      </c>
      <c r="P38" s="199">
        <f t="shared" si="0"/>
        <v>0</v>
      </c>
      <c r="Q38" s="199">
        <f t="shared" si="0"/>
        <v>0</v>
      </c>
      <c r="R38" s="199">
        <f t="shared" si="0"/>
        <v>14</v>
      </c>
      <c r="S38" s="199">
        <f t="shared" si="0"/>
        <v>8</v>
      </c>
      <c r="T38" s="199">
        <f t="shared" si="0"/>
        <v>4</v>
      </c>
      <c r="U38" s="199">
        <f t="shared" si="0"/>
        <v>1</v>
      </c>
      <c r="V38" s="199">
        <f t="shared" si="0"/>
        <v>4</v>
      </c>
      <c r="W38" s="199">
        <f t="shared" si="0"/>
        <v>0</v>
      </c>
      <c r="X38" s="199">
        <f t="shared" si="0"/>
        <v>0</v>
      </c>
      <c r="Y38" s="199">
        <f t="shared" si="0"/>
        <v>0</v>
      </c>
      <c r="Z38" s="199">
        <f t="shared" si="0"/>
        <v>0</v>
      </c>
      <c r="AA38" s="199">
        <f t="shared" si="0"/>
        <v>12</v>
      </c>
      <c r="AB38" s="199">
        <f t="shared" si="0"/>
        <v>16</v>
      </c>
      <c r="AC38" s="199">
        <f t="shared" si="0"/>
        <v>8</v>
      </c>
      <c r="AD38" s="199">
        <f t="shared" si="0"/>
        <v>0</v>
      </c>
      <c r="AE38" s="199">
        <f t="shared" si="0"/>
        <v>0</v>
      </c>
      <c r="AF38" s="199">
        <f t="shared" si="0"/>
        <v>5</v>
      </c>
      <c r="AG38" s="199">
        <f t="shared" si="0"/>
        <v>3</v>
      </c>
      <c r="AH38" s="199">
        <f t="shared" si="0"/>
        <v>2</v>
      </c>
      <c r="AI38" s="199">
        <f t="shared" si="0"/>
        <v>0</v>
      </c>
      <c r="AJ38" s="201"/>
      <c r="AK38" s="202">
        <f t="shared" ref="AK38:BK38" si="1">SUM(AK2:AK37)</f>
        <v>0</v>
      </c>
      <c r="AL38" s="202">
        <f t="shared" si="1"/>
        <v>0</v>
      </c>
      <c r="AM38" s="202">
        <f t="shared" si="1"/>
        <v>0</v>
      </c>
      <c r="AN38" s="202">
        <f t="shared" si="1"/>
        <v>10</v>
      </c>
      <c r="AO38" s="202">
        <f t="shared" si="1"/>
        <v>3</v>
      </c>
      <c r="AP38" s="202">
        <f t="shared" si="1"/>
        <v>0</v>
      </c>
      <c r="AQ38" s="202">
        <f t="shared" si="1"/>
        <v>21</v>
      </c>
      <c r="AR38" s="202">
        <f t="shared" si="1"/>
        <v>0</v>
      </c>
      <c r="AS38" s="202">
        <f t="shared" si="1"/>
        <v>0</v>
      </c>
      <c r="AT38" s="202">
        <f t="shared" si="1"/>
        <v>7</v>
      </c>
      <c r="AU38" s="202">
        <f t="shared" si="1"/>
        <v>0</v>
      </c>
      <c r="AV38" s="202">
        <f t="shared" si="1"/>
        <v>24</v>
      </c>
      <c r="AW38" s="202">
        <f t="shared" si="1"/>
        <v>0</v>
      </c>
      <c r="AX38" s="202">
        <f t="shared" si="1"/>
        <v>5</v>
      </c>
      <c r="AY38" s="202">
        <f t="shared" si="1"/>
        <v>0</v>
      </c>
      <c r="AZ38" s="202">
        <f t="shared" si="1"/>
        <v>0</v>
      </c>
      <c r="BA38" s="202">
        <f t="shared" si="1"/>
        <v>0</v>
      </c>
      <c r="BB38" s="202">
        <f t="shared" si="1"/>
        <v>8</v>
      </c>
      <c r="BC38" s="202">
        <f t="shared" si="1"/>
        <v>0</v>
      </c>
      <c r="BD38" s="202">
        <f t="shared" si="1"/>
        <v>0</v>
      </c>
      <c r="BE38" s="202">
        <f t="shared" si="1"/>
        <v>0</v>
      </c>
      <c r="BF38" s="202">
        <f t="shared" si="1"/>
        <v>0</v>
      </c>
      <c r="BG38" s="202">
        <f t="shared" si="1"/>
        <v>0</v>
      </c>
      <c r="BH38" s="202">
        <f t="shared" si="1"/>
        <v>0</v>
      </c>
      <c r="BI38" s="202">
        <f t="shared" si="1"/>
        <v>0</v>
      </c>
      <c r="BJ38" s="202">
        <f t="shared" si="1"/>
        <v>0</v>
      </c>
      <c r="BK38" s="202">
        <f t="shared" si="1"/>
        <v>0</v>
      </c>
    </row>
    <row r="39" spans="1:63" ht="15" customHeight="1">
      <c r="A39" s="197"/>
      <c r="B39" s="197"/>
      <c r="C39" s="197"/>
      <c r="D39" s="197"/>
      <c r="E39" s="197"/>
      <c r="F39" s="197"/>
      <c r="G39" s="197"/>
      <c r="H39" s="197"/>
      <c r="I39" s="197"/>
      <c r="J39" s="197"/>
      <c r="K39" s="197"/>
      <c r="L39" s="197"/>
      <c r="M39" s="197"/>
      <c r="N39" s="197"/>
      <c r="O39" s="197"/>
      <c r="P39" s="197"/>
      <c r="Q39" s="197"/>
      <c r="R39" s="197"/>
      <c r="S39" s="197"/>
      <c r="T39" s="197"/>
      <c r="U39" s="197"/>
      <c r="V39" s="197"/>
      <c r="W39" s="197"/>
      <c r="X39" s="197"/>
      <c r="Y39" s="197"/>
      <c r="Z39" s="197"/>
      <c r="AA39" s="197"/>
      <c r="AB39" s="197"/>
      <c r="AC39" s="197"/>
      <c r="AD39" s="197"/>
      <c r="AE39" s="197"/>
      <c r="AF39" s="197"/>
      <c r="AG39" s="197"/>
      <c r="AH39" s="197"/>
      <c r="AI39" s="197"/>
      <c r="AJ39" s="201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</row>
    <row r="40" spans="1:63" ht="15" customHeight="1">
      <c r="A40" s="197"/>
      <c r="B40" s="197"/>
      <c r="C40" s="197"/>
      <c r="D40" s="197"/>
      <c r="E40" s="197"/>
      <c r="F40" s="197"/>
      <c r="G40" s="197"/>
      <c r="H40" s="197"/>
      <c r="I40" s="197"/>
      <c r="J40" s="197"/>
      <c r="K40" s="197"/>
      <c r="L40" s="197"/>
      <c r="M40" s="197"/>
      <c r="N40" s="197"/>
      <c r="O40" s="197"/>
      <c r="P40" s="197"/>
      <c r="Q40" s="197"/>
      <c r="R40" s="197"/>
      <c r="S40" s="197"/>
      <c r="T40" s="197"/>
      <c r="U40" s="197"/>
      <c r="V40" s="197"/>
      <c r="W40" s="197"/>
      <c r="X40" s="197"/>
      <c r="Y40" s="197"/>
      <c r="Z40" s="197"/>
      <c r="AA40" s="197"/>
      <c r="AB40" s="197"/>
      <c r="AC40" s="197"/>
      <c r="AD40" s="197"/>
      <c r="AE40" s="197"/>
      <c r="AF40" s="197"/>
      <c r="AG40" s="197"/>
      <c r="AH40" s="197"/>
      <c r="AI40" s="197"/>
      <c r="AJ40" s="201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</row>
    <row r="41" spans="1:63" ht="15" customHeight="1">
      <c r="A41" s="197"/>
      <c r="B41" s="197"/>
      <c r="C41" s="197"/>
      <c r="D41" s="197"/>
      <c r="E41" s="197"/>
      <c r="F41" s="197"/>
      <c r="G41" s="197"/>
      <c r="H41" s="197"/>
      <c r="I41" s="197"/>
      <c r="J41" s="197"/>
      <c r="K41" s="197"/>
      <c r="L41" s="197"/>
      <c r="M41" s="197"/>
      <c r="N41" s="197"/>
      <c r="O41" s="197"/>
      <c r="P41" s="197"/>
      <c r="Q41" s="197"/>
      <c r="R41" s="197"/>
      <c r="S41" s="197"/>
      <c r="T41" s="197"/>
      <c r="U41" s="197"/>
      <c r="V41" s="197"/>
      <c r="W41" s="197"/>
      <c r="X41" s="197"/>
      <c r="Y41" s="197"/>
      <c r="Z41" s="197"/>
      <c r="AA41" s="197"/>
      <c r="AB41" s="197"/>
      <c r="AC41" s="197"/>
      <c r="AD41" s="197"/>
      <c r="AE41" s="197"/>
      <c r="AF41" s="197"/>
      <c r="AG41" s="197"/>
      <c r="AH41" s="197"/>
      <c r="AI41" s="197"/>
      <c r="AJ41" s="201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</row>
    <row r="42" spans="1:63" ht="15" customHeight="1">
      <c r="A42" s="197"/>
      <c r="B42" s="197"/>
      <c r="C42" s="197"/>
      <c r="D42" s="197"/>
      <c r="E42" s="197"/>
      <c r="F42" s="197"/>
      <c r="G42" s="197"/>
      <c r="H42" s="197"/>
      <c r="I42" s="197"/>
      <c r="J42" s="197"/>
      <c r="K42" s="197"/>
      <c r="L42" s="197"/>
      <c r="M42" s="197"/>
      <c r="N42" s="197"/>
      <c r="O42" s="197"/>
      <c r="P42" s="197"/>
      <c r="Q42" s="197"/>
      <c r="R42" s="197"/>
      <c r="S42" s="197"/>
      <c r="T42" s="197"/>
      <c r="U42" s="197"/>
      <c r="V42" s="197"/>
      <c r="W42" s="197"/>
      <c r="X42" s="197"/>
      <c r="Y42" s="197"/>
      <c r="Z42" s="197"/>
      <c r="AA42" s="197"/>
      <c r="AB42" s="197"/>
      <c r="AC42" s="197"/>
      <c r="AD42" s="197"/>
      <c r="AE42" s="197"/>
      <c r="AF42" s="197"/>
      <c r="AG42" s="197"/>
      <c r="AH42" s="197"/>
      <c r="AI42" s="197"/>
      <c r="AJ42" s="201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</row>
    <row r="43" spans="1:63" ht="15" customHeight="1">
      <c r="A43" s="197"/>
      <c r="B43" s="197"/>
      <c r="C43" s="197"/>
      <c r="D43" s="197"/>
      <c r="E43" s="197"/>
      <c r="F43" s="197"/>
      <c r="G43" s="197"/>
      <c r="H43" s="197"/>
      <c r="I43" s="197"/>
      <c r="J43" s="197"/>
      <c r="K43" s="197"/>
      <c r="L43" s="197"/>
      <c r="M43" s="197"/>
      <c r="N43" s="197"/>
      <c r="O43" s="197"/>
      <c r="P43" s="197"/>
      <c r="Q43" s="197"/>
      <c r="R43" s="197"/>
      <c r="S43" s="197"/>
      <c r="T43" s="197"/>
      <c r="U43" s="197"/>
      <c r="V43" s="197"/>
      <c r="W43" s="197"/>
      <c r="X43" s="197"/>
      <c r="Y43" s="197"/>
      <c r="Z43" s="197"/>
      <c r="AA43" s="197"/>
      <c r="AB43" s="197"/>
      <c r="AC43" s="197"/>
      <c r="AD43" s="197"/>
      <c r="AE43" s="197"/>
      <c r="AF43" s="197"/>
      <c r="AG43" s="197"/>
      <c r="AH43" s="197"/>
      <c r="AI43" s="197"/>
      <c r="AJ43" s="201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</row>
    <row r="44" spans="1:63" ht="15" customHeight="1">
      <c r="A44" s="197"/>
      <c r="B44" s="197"/>
      <c r="C44" s="197"/>
      <c r="D44" s="197"/>
      <c r="E44" s="197"/>
      <c r="F44" s="197"/>
      <c r="G44" s="197"/>
      <c r="H44" s="197"/>
      <c r="I44" s="197"/>
      <c r="J44" s="197"/>
      <c r="K44" s="197"/>
      <c r="L44" s="197"/>
      <c r="M44" s="197"/>
      <c r="N44" s="197"/>
      <c r="O44" s="197"/>
      <c r="P44" s="197"/>
      <c r="Q44" s="197"/>
      <c r="R44" s="197"/>
      <c r="S44" s="197"/>
      <c r="T44" s="197"/>
      <c r="U44" s="197"/>
      <c r="V44" s="197"/>
      <c r="W44" s="197"/>
      <c r="X44" s="197"/>
      <c r="Y44" s="197"/>
      <c r="Z44" s="197"/>
      <c r="AA44" s="197"/>
      <c r="AB44" s="197"/>
      <c r="AC44" s="197"/>
      <c r="AD44" s="197"/>
      <c r="AE44" s="197"/>
      <c r="AF44" s="197"/>
      <c r="AG44" s="197"/>
      <c r="AH44" s="197"/>
      <c r="AI44" s="197"/>
      <c r="AJ44" s="201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</row>
    <row r="45" spans="1:63" ht="15" customHeight="1">
      <c r="A45" s="197"/>
      <c r="B45" s="197"/>
      <c r="C45" s="197"/>
      <c r="D45" s="197"/>
      <c r="E45" s="197"/>
      <c r="F45" s="197"/>
      <c r="G45" s="197"/>
      <c r="H45" s="197"/>
      <c r="I45" s="197"/>
      <c r="J45" s="197"/>
      <c r="K45" s="197"/>
      <c r="L45" s="197"/>
      <c r="M45" s="197"/>
      <c r="N45" s="197"/>
      <c r="O45" s="197"/>
      <c r="P45" s="197"/>
      <c r="Q45" s="197"/>
      <c r="R45" s="197"/>
      <c r="S45" s="197"/>
      <c r="T45" s="197"/>
      <c r="U45" s="197"/>
      <c r="V45" s="197"/>
      <c r="W45" s="197"/>
      <c r="X45" s="197"/>
      <c r="Y45" s="197"/>
      <c r="Z45" s="197"/>
      <c r="AA45" s="197"/>
      <c r="AB45" s="197"/>
      <c r="AC45" s="197"/>
      <c r="AD45" s="197"/>
      <c r="AE45" s="197"/>
      <c r="AF45" s="197"/>
      <c r="AG45" s="197"/>
      <c r="AH45" s="197"/>
      <c r="AI45" s="197"/>
      <c r="AJ45" s="201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</row>
    <row r="46" spans="1:63" ht="15" customHeight="1">
      <c r="A46" s="197"/>
      <c r="B46" s="197"/>
      <c r="C46" s="197"/>
      <c r="D46" s="197"/>
      <c r="E46" s="197"/>
      <c r="F46" s="197"/>
      <c r="G46" s="197"/>
      <c r="H46" s="197"/>
      <c r="I46" s="197"/>
      <c r="J46" s="197"/>
      <c r="K46" s="197"/>
      <c r="L46" s="197"/>
      <c r="M46" s="197"/>
      <c r="N46" s="197"/>
      <c r="O46" s="197"/>
      <c r="P46" s="197"/>
      <c r="Q46" s="197"/>
      <c r="R46" s="197"/>
      <c r="S46" s="197"/>
      <c r="T46" s="197"/>
      <c r="U46" s="197"/>
      <c r="V46" s="197"/>
      <c r="W46" s="197"/>
      <c r="X46" s="197"/>
      <c r="Y46" s="197"/>
      <c r="Z46" s="197"/>
      <c r="AA46" s="197"/>
      <c r="AB46" s="197"/>
      <c r="AC46" s="197"/>
      <c r="AD46" s="197"/>
      <c r="AE46" s="197"/>
      <c r="AF46" s="197"/>
      <c r="AG46" s="197"/>
      <c r="AH46" s="197"/>
      <c r="AI46" s="197"/>
      <c r="AJ46" s="201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</row>
    <row r="47" spans="1:63" ht="15" customHeight="1">
      <c r="A47" s="197"/>
      <c r="B47" s="197"/>
      <c r="C47" s="197"/>
      <c r="D47" s="197"/>
      <c r="E47" s="197"/>
      <c r="F47" s="197"/>
      <c r="G47" s="197"/>
      <c r="H47" s="197"/>
      <c r="I47" s="197"/>
      <c r="J47" s="197"/>
      <c r="K47" s="197"/>
      <c r="L47" s="197"/>
      <c r="M47" s="197"/>
      <c r="N47" s="197"/>
      <c r="O47" s="197"/>
      <c r="P47" s="197"/>
      <c r="Q47" s="197"/>
      <c r="R47" s="197"/>
      <c r="S47" s="197"/>
      <c r="T47" s="197"/>
      <c r="U47" s="197"/>
      <c r="V47" s="197"/>
      <c r="W47" s="197"/>
      <c r="X47" s="197"/>
      <c r="Y47" s="197"/>
      <c r="Z47" s="197"/>
      <c r="AA47" s="197"/>
      <c r="AB47" s="197"/>
      <c r="AC47" s="197"/>
      <c r="AD47" s="197"/>
      <c r="AE47" s="197"/>
      <c r="AF47" s="197"/>
      <c r="AG47" s="197"/>
      <c r="AH47" s="197"/>
      <c r="AI47" s="197"/>
      <c r="AJ47" s="201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</row>
    <row r="48" spans="1:63" ht="15" customHeight="1">
      <c r="A48" s="197"/>
      <c r="B48" s="197"/>
      <c r="C48" s="197"/>
      <c r="D48" s="197"/>
      <c r="E48" s="197"/>
      <c r="F48" s="197"/>
      <c r="G48" s="197"/>
      <c r="H48" s="197"/>
      <c r="I48" s="197"/>
      <c r="J48" s="197"/>
      <c r="K48" s="197"/>
      <c r="L48" s="197"/>
      <c r="M48" s="197"/>
      <c r="N48" s="197"/>
      <c r="O48" s="197"/>
      <c r="P48" s="197"/>
      <c r="Q48" s="197"/>
      <c r="R48" s="197"/>
      <c r="S48" s="197"/>
      <c r="T48" s="197"/>
      <c r="U48" s="197"/>
      <c r="V48" s="197"/>
      <c r="W48" s="197"/>
      <c r="X48" s="197"/>
      <c r="Y48" s="197"/>
      <c r="Z48" s="197"/>
      <c r="AA48" s="197"/>
      <c r="AB48" s="197"/>
      <c r="AC48" s="197"/>
      <c r="AD48" s="197"/>
      <c r="AE48" s="197"/>
      <c r="AF48" s="197"/>
      <c r="AG48" s="197"/>
      <c r="AH48" s="197"/>
      <c r="AI48" s="197"/>
      <c r="AJ48" s="201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</row>
    <row r="49" spans="1:63" ht="15" customHeight="1">
      <c r="A49" s="197"/>
      <c r="B49" s="197"/>
      <c r="C49" s="197"/>
      <c r="D49" s="197"/>
      <c r="E49" s="197"/>
      <c r="F49" s="197"/>
      <c r="G49" s="197"/>
      <c r="H49" s="197"/>
      <c r="I49" s="197"/>
      <c r="J49" s="197"/>
      <c r="K49" s="197"/>
      <c r="L49" s="197"/>
      <c r="M49" s="197"/>
      <c r="N49" s="197"/>
      <c r="O49" s="197"/>
      <c r="P49" s="197"/>
      <c r="Q49" s="197"/>
      <c r="R49" s="197"/>
      <c r="S49" s="197"/>
      <c r="T49" s="197"/>
      <c r="U49" s="197"/>
      <c r="V49" s="197"/>
      <c r="W49" s="197"/>
      <c r="X49" s="197"/>
      <c r="Y49" s="197"/>
      <c r="Z49" s="197"/>
      <c r="AA49" s="197"/>
      <c r="AB49" s="197"/>
      <c r="AC49" s="197"/>
      <c r="AD49" s="197"/>
      <c r="AE49" s="197"/>
      <c r="AF49" s="197"/>
      <c r="AG49" s="197"/>
      <c r="AH49" s="197"/>
      <c r="AI49" s="197"/>
      <c r="AJ49" s="201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</row>
    <row r="50" spans="1:63" ht="15" customHeight="1">
      <c r="A50" s="197"/>
      <c r="B50" s="197"/>
      <c r="C50" s="197"/>
      <c r="D50" s="197"/>
      <c r="E50" s="197"/>
      <c r="F50" s="197"/>
      <c r="G50" s="197"/>
      <c r="H50" s="197"/>
      <c r="I50" s="197"/>
      <c r="J50" s="197"/>
      <c r="K50" s="197"/>
      <c r="L50" s="197"/>
      <c r="M50" s="197"/>
      <c r="N50" s="197"/>
      <c r="O50" s="197"/>
      <c r="P50" s="197"/>
      <c r="Q50" s="197"/>
      <c r="R50" s="197"/>
      <c r="S50" s="197"/>
      <c r="T50" s="197"/>
      <c r="U50" s="197"/>
      <c r="V50" s="197"/>
      <c r="W50" s="197"/>
      <c r="X50" s="197"/>
      <c r="Y50" s="197"/>
      <c r="Z50" s="197"/>
      <c r="AA50" s="197"/>
      <c r="AB50" s="197"/>
      <c r="AC50" s="197"/>
      <c r="AD50" s="197"/>
      <c r="AE50" s="197"/>
      <c r="AF50" s="197"/>
      <c r="AG50" s="197"/>
      <c r="AH50" s="197"/>
      <c r="AI50" s="197"/>
      <c r="AJ50" s="201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</row>
    <row r="51" spans="1:63" ht="15" customHeight="1">
      <c r="A51" s="197"/>
      <c r="B51" s="197"/>
      <c r="C51" s="197"/>
      <c r="D51" s="197"/>
      <c r="E51" s="197"/>
      <c r="F51" s="197"/>
      <c r="G51" s="197"/>
      <c r="H51" s="197"/>
      <c r="I51" s="197"/>
      <c r="J51" s="197"/>
      <c r="K51" s="197"/>
      <c r="L51" s="197"/>
      <c r="M51" s="197"/>
      <c r="N51" s="197"/>
      <c r="O51" s="197"/>
      <c r="P51" s="197"/>
      <c r="Q51" s="197"/>
      <c r="R51" s="197"/>
      <c r="S51" s="197"/>
      <c r="T51" s="197"/>
      <c r="U51" s="197"/>
      <c r="V51" s="197"/>
      <c r="W51" s="197"/>
      <c r="X51" s="197"/>
      <c r="Y51" s="197"/>
      <c r="Z51" s="197"/>
      <c r="AA51" s="197"/>
      <c r="AB51" s="197"/>
      <c r="AC51" s="197"/>
      <c r="AD51" s="197"/>
      <c r="AE51" s="197"/>
      <c r="AF51" s="197"/>
      <c r="AG51" s="197"/>
      <c r="AH51" s="197"/>
      <c r="AI51" s="197"/>
      <c r="AJ51" s="201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</row>
    <row r="52" spans="1:63" ht="15" customHeight="1">
      <c r="A52" s="197"/>
      <c r="B52" s="197"/>
      <c r="C52" s="197"/>
      <c r="D52" s="197"/>
      <c r="E52" s="197"/>
      <c r="F52" s="197"/>
      <c r="G52" s="197"/>
      <c r="H52" s="197"/>
      <c r="I52" s="197"/>
      <c r="J52" s="197"/>
      <c r="K52" s="197"/>
      <c r="L52" s="197"/>
      <c r="M52" s="197"/>
      <c r="N52" s="197"/>
      <c r="O52" s="197"/>
      <c r="P52" s="197"/>
      <c r="Q52" s="197"/>
      <c r="R52" s="197"/>
      <c r="S52" s="197"/>
      <c r="T52" s="197"/>
      <c r="U52" s="197"/>
      <c r="V52" s="197"/>
      <c r="W52" s="197"/>
      <c r="X52" s="197"/>
      <c r="Y52" s="197"/>
      <c r="Z52" s="197"/>
      <c r="AA52" s="197"/>
      <c r="AB52" s="197"/>
      <c r="AC52" s="197"/>
      <c r="AD52" s="197"/>
      <c r="AE52" s="197"/>
      <c r="AF52" s="197"/>
      <c r="AG52" s="197"/>
      <c r="AH52" s="197"/>
      <c r="AI52" s="197"/>
      <c r="AJ52" s="201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</row>
    <row r="53" spans="1:63" ht="15" customHeight="1">
      <c r="A53" s="197"/>
      <c r="B53" s="197"/>
      <c r="C53" s="197"/>
      <c r="D53" s="197"/>
      <c r="E53" s="197"/>
      <c r="F53" s="197"/>
      <c r="G53" s="197"/>
      <c r="H53" s="197"/>
      <c r="I53" s="197"/>
      <c r="J53" s="197"/>
      <c r="K53" s="197"/>
      <c r="L53" s="197"/>
      <c r="M53" s="197"/>
      <c r="N53" s="197"/>
      <c r="O53" s="197"/>
      <c r="P53" s="197"/>
      <c r="Q53" s="197"/>
      <c r="R53" s="197"/>
      <c r="S53" s="197"/>
      <c r="T53" s="197"/>
      <c r="U53" s="197"/>
      <c r="V53" s="197"/>
      <c r="W53" s="197"/>
      <c r="X53" s="197"/>
      <c r="Y53" s="197"/>
      <c r="Z53" s="197"/>
      <c r="AA53" s="197"/>
      <c r="AB53" s="197"/>
      <c r="AC53" s="197"/>
      <c r="AD53" s="197"/>
      <c r="AE53" s="197"/>
      <c r="AF53" s="197"/>
      <c r="AG53" s="197"/>
      <c r="AH53" s="197"/>
      <c r="AI53" s="197"/>
      <c r="AJ53" s="201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</row>
    <row r="54" spans="1:63" ht="15" customHeight="1">
      <c r="A54" s="197"/>
      <c r="B54" s="197"/>
      <c r="C54" s="197"/>
      <c r="D54" s="197"/>
      <c r="E54" s="197"/>
      <c r="F54" s="197"/>
      <c r="G54" s="197"/>
      <c r="H54" s="197"/>
      <c r="I54" s="197"/>
      <c r="J54" s="197"/>
      <c r="K54" s="197"/>
      <c r="L54" s="197"/>
      <c r="M54" s="197"/>
      <c r="N54" s="197"/>
      <c r="O54" s="197"/>
      <c r="P54" s="197"/>
      <c r="Q54" s="197"/>
      <c r="R54" s="197"/>
      <c r="S54" s="197"/>
      <c r="T54" s="197"/>
      <c r="U54" s="197"/>
      <c r="V54" s="197"/>
      <c r="W54" s="197"/>
      <c r="X54" s="197"/>
      <c r="Y54" s="197"/>
      <c r="Z54" s="197"/>
      <c r="AA54" s="197"/>
      <c r="AB54" s="197"/>
      <c r="AC54" s="197"/>
      <c r="AD54" s="197"/>
      <c r="AE54" s="197"/>
      <c r="AF54" s="197"/>
      <c r="AG54" s="197"/>
      <c r="AH54" s="197"/>
      <c r="AI54" s="197"/>
      <c r="AJ54" s="201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</row>
    <row r="55" spans="1:63" ht="15" customHeight="1">
      <c r="A55" s="197"/>
      <c r="B55" s="197"/>
      <c r="C55" s="197"/>
      <c r="D55" s="197"/>
      <c r="E55" s="197"/>
      <c r="F55" s="197"/>
      <c r="G55" s="197"/>
      <c r="H55" s="197"/>
      <c r="I55" s="197"/>
      <c r="J55" s="197"/>
      <c r="K55" s="197"/>
      <c r="L55" s="197"/>
      <c r="M55" s="197"/>
      <c r="N55" s="197"/>
      <c r="O55" s="197"/>
      <c r="P55" s="197"/>
      <c r="Q55" s="197"/>
      <c r="R55" s="197"/>
      <c r="S55" s="197"/>
      <c r="T55" s="197"/>
      <c r="U55" s="197"/>
      <c r="V55" s="197"/>
      <c r="W55" s="197"/>
      <c r="X55" s="197"/>
      <c r="Y55" s="197"/>
      <c r="Z55" s="197"/>
      <c r="AA55" s="197"/>
      <c r="AB55" s="197"/>
      <c r="AC55" s="197"/>
      <c r="AD55" s="197"/>
      <c r="AE55" s="197"/>
      <c r="AF55" s="197"/>
      <c r="AG55" s="197"/>
      <c r="AH55" s="197"/>
      <c r="AI55" s="197"/>
      <c r="AJ55" s="201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</row>
    <row r="56" spans="1:63" ht="15" customHeight="1">
      <c r="A56" s="197"/>
      <c r="B56" s="197"/>
      <c r="C56" s="197"/>
      <c r="D56" s="197"/>
      <c r="E56" s="197"/>
      <c r="F56" s="197"/>
      <c r="G56" s="197"/>
      <c r="H56" s="197"/>
      <c r="I56" s="197"/>
      <c r="J56" s="197"/>
      <c r="K56" s="197"/>
      <c r="L56" s="197"/>
      <c r="M56" s="197"/>
      <c r="N56" s="197"/>
      <c r="O56" s="197"/>
      <c r="P56" s="197"/>
      <c r="Q56" s="197"/>
      <c r="R56" s="197"/>
      <c r="S56" s="197"/>
      <c r="T56" s="197"/>
      <c r="U56" s="197"/>
      <c r="V56" s="197"/>
      <c r="W56" s="197"/>
      <c r="X56" s="197"/>
      <c r="Y56" s="197"/>
      <c r="Z56" s="197"/>
      <c r="AA56" s="197"/>
      <c r="AB56" s="197"/>
      <c r="AC56" s="197"/>
      <c r="AD56" s="197"/>
      <c r="AE56" s="197"/>
      <c r="AF56" s="197"/>
      <c r="AG56" s="197"/>
      <c r="AH56" s="197"/>
      <c r="AI56" s="197"/>
      <c r="AJ56" s="201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</row>
    <row r="57" spans="1:63" ht="15" customHeight="1">
      <c r="A57" s="197"/>
      <c r="B57" s="197"/>
      <c r="C57" s="197"/>
      <c r="D57" s="197"/>
      <c r="E57" s="197"/>
      <c r="F57" s="197"/>
      <c r="G57" s="197"/>
      <c r="H57" s="197"/>
      <c r="I57" s="197"/>
      <c r="J57" s="197"/>
      <c r="K57" s="197"/>
      <c r="L57" s="197"/>
      <c r="M57" s="197"/>
      <c r="N57" s="197"/>
      <c r="O57" s="197"/>
      <c r="P57" s="197"/>
      <c r="Q57" s="197"/>
      <c r="R57" s="197"/>
      <c r="S57" s="197"/>
      <c r="T57" s="197"/>
      <c r="U57" s="197"/>
      <c r="V57" s="197"/>
      <c r="W57" s="197"/>
      <c r="X57" s="197"/>
      <c r="Y57" s="197"/>
      <c r="Z57" s="197"/>
      <c r="AA57" s="197"/>
      <c r="AB57" s="197"/>
      <c r="AC57" s="197"/>
      <c r="AD57" s="197"/>
      <c r="AE57" s="197"/>
      <c r="AF57" s="197"/>
      <c r="AG57" s="197"/>
      <c r="AH57" s="197"/>
      <c r="AI57" s="197"/>
      <c r="AJ57" s="201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</row>
    <row r="58" spans="1:63" ht="15" customHeight="1">
      <c r="A58" s="197"/>
      <c r="B58" s="197"/>
      <c r="C58" s="197"/>
      <c r="D58" s="197"/>
      <c r="E58" s="197"/>
      <c r="F58" s="197"/>
      <c r="G58" s="197"/>
      <c r="H58" s="197"/>
      <c r="I58" s="197"/>
      <c r="J58" s="197"/>
      <c r="K58" s="197"/>
      <c r="L58" s="197"/>
      <c r="M58" s="197"/>
      <c r="N58" s="197"/>
      <c r="O58" s="197"/>
      <c r="P58" s="197"/>
      <c r="Q58" s="197"/>
      <c r="R58" s="197"/>
      <c r="S58" s="197"/>
      <c r="T58" s="197"/>
      <c r="U58" s="197"/>
      <c r="V58" s="197"/>
      <c r="W58" s="197"/>
      <c r="X58" s="197"/>
      <c r="Y58" s="197"/>
      <c r="Z58" s="197"/>
      <c r="AA58" s="197"/>
      <c r="AB58" s="197"/>
      <c r="AC58" s="197"/>
      <c r="AD58" s="197"/>
      <c r="AE58" s="197"/>
      <c r="AF58" s="197"/>
      <c r="AG58" s="197"/>
      <c r="AH58" s="197"/>
      <c r="AI58" s="197"/>
      <c r="AJ58" s="201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</row>
    <row r="59" spans="1:63" ht="15" customHeight="1">
      <c r="A59" s="197"/>
      <c r="B59" s="197"/>
      <c r="C59" s="197"/>
      <c r="D59" s="197"/>
      <c r="E59" s="197"/>
      <c r="F59" s="197"/>
      <c r="G59" s="197"/>
      <c r="H59" s="197"/>
      <c r="I59" s="197"/>
      <c r="J59" s="197"/>
      <c r="K59" s="197"/>
      <c r="L59" s="197"/>
      <c r="M59" s="197"/>
      <c r="N59" s="197"/>
      <c r="O59" s="197"/>
      <c r="P59" s="197"/>
      <c r="Q59" s="197"/>
      <c r="R59" s="197"/>
      <c r="S59" s="197"/>
      <c r="T59" s="197"/>
      <c r="U59" s="197"/>
      <c r="V59" s="197"/>
      <c r="W59" s="197"/>
      <c r="X59" s="197"/>
      <c r="Y59" s="197"/>
      <c r="Z59" s="197"/>
      <c r="AA59" s="197"/>
      <c r="AB59" s="197"/>
      <c r="AC59" s="197"/>
      <c r="AD59" s="197"/>
      <c r="AE59" s="197"/>
      <c r="AF59" s="197"/>
      <c r="AG59" s="197"/>
      <c r="AH59" s="197"/>
      <c r="AI59" s="197"/>
      <c r="AJ59" s="201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</row>
    <row r="60" spans="1:63" ht="15" customHeight="1">
      <c r="A60" s="197"/>
      <c r="B60" s="197"/>
      <c r="C60" s="197"/>
      <c r="D60" s="197"/>
      <c r="E60" s="197"/>
      <c r="F60" s="197"/>
      <c r="G60" s="197"/>
      <c r="H60" s="197"/>
      <c r="I60" s="197"/>
      <c r="J60" s="197"/>
      <c r="K60" s="197"/>
      <c r="L60" s="197"/>
      <c r="M60" s="197"/>
      <c r="N60" s="197"/>
      <c r="O60" s="197"/>
      <c r="P60" s="197"/>
      <c r="Q60" s="197"/>
      <c r="R60" s="197"/>
      <c r="S60" s="197"/>
      <c r="T60" s="197"/>
      <c r="U60" s="197"/>
      <c r="V60" s="197"/>
      <c r="W60" s="197"/>
      <c r="X60" s="197"/>
      <c r="Y60" s="197"/>
      <c r="Z60" s="197"/>
      <c r="AA60" s="197"/>
      <c r="AB60" s="197"/>
      <c r="AC60" s="197"/>
      <c r="AD60" s="197"/>
      <c r="AE60" s="197"/>
      <c r="AF60" s="197"/>
      <c r="AG60" s="197"/>
      <c r="AH60" s="197"/>
      <c r="AI60" s="197"/>
      <c r="AJ60" s="201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</row>
    <row r="61" spans="1:63" ht="15" customHeight="1">
      <c r="A61" s="197"/>
      <c r="B61" s="197"/>
      <c r="C61" s="197"/>
      <c r="D61" s="197"/>
      <c r="E61" s="197"/>
      <c r="F61" s="197"/>
      <c r="G61" s="197"/>
      <c r="H61" s="197"/>
      <c r="I61" s="197"/>
      <c r="J61" s="197"/>
      <c r="K61" s="197"/>
      <c r="L61" s="197"/>
      <c r="M61" s="197"/>
      <c r="N61" s="197"/>
      <c r="O61" s="197"/>
      <c r="P61" s="197"/>
      <c r="Q61" s="197"/>
      <c r="R61" s="197"/>
      <c r="S61" s="197"/>
      <c r="T61" s="197"/>
      <c r="U61" s="197"/>
      <c r="V61" s="197"/>
      <c r="W61" s="197"/>
      <c r="X61" s="197"/>
      <c r="Y61" s="197"/>
      <c r="Z61" s="197"/>
      <c r="AA61" s="197"/>
      <c r="AB61" s="197"/>
      <c r="AC61" s="197"/>
      <c r="AD61" s="197"/>
      <c r="AE61" s="197"/>
      <c r="AF61" s="197"/>
      <c r="AG61" s="197"/>
      <c r="AH61" s="197"/>
      <c r="AI61" s="197"/>
      <c r="AJ61" s="201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</row>
    <row r="62" spans="1:63" ht="15" customHeight="1">
      <c r="A62" s="197"/>
      <c r="B62" s="197"/>
      <c r="C62" s="197"/>
      <c r="D62" s="197"/>
      <c r="E62" s="197"/>
      <c r="F62" s="197"/>
      <c r="G62" s="197"/>
      <c r="H62" s="197"/>
      <c r="I62" s="197"/>
      <c r="J62" s="197"/>
      <c r="K62" s="197"/>
      <c r="L62" s="197"/>
      <c r="M62" s="197"/>
      <c r="N62" s="197"/>
      <c r="O62" s="197"/>
      <c r="P62" s="197"/>
      <c r="Q62" s="197"/>
      <c r="R62" s="197"/>
      <c r="S62" s="197"/>
      <c r="T62" s="197"/>
      <c r="U62" s="197"/>
      <c r="V62" s="197"/>
      <c r="W62" s="197"/>
      <c r="X62" s="197"/>
      <c r="Y62" s="197"/>
      <c r="Z62" s="197"/>
      <c r="AA62" s="197"/>
      <c r="AB62" s="197"/>
      <c r="AC62" s="197"/>
      <c r="AD62" s="197"/>
      <c r="AE62" s="197"/>
      <c r="AF62" s="197"/>
      <c r="AG62" s="197"/>
      <c r="AH62" s="197"/>
      <c r="AI62" s="197"/>
      <c r="AJ62" s="201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</row>
    <row r="63" spans="1:63" ht="15" customHeight="1">
      <c r="A63" s="197"/>
      <c r="B63" s="197"/>
      <c r="C63" s="197"/>
      <c r="D63" s="197"/>
      <c r="E63" s="197"/>
      <c r="F63" s="197"/>
      <c r="G63" s="197"/>
      <c r="H63" s="197"/>
      <c r="I63" s="197"/>
      <c r="J63" s="197"/>
      <c r="K63" s="197"/>
      <c r="L63" s="197"/>
      <c r="M63" s="197"/>
      <c r="N63" s="197"/>
      <c r="O63" s="197"/>
      <c r="P63" s="197"/>
      <c r="Q63" s="197"/>
      <c r="R63" s="197"/>
      <c r="S63" s="197"/>
      <c r="T63" s="197"/>
      <c r="U63" s="197"/>
      <c r="V63" s="197"/>
      <c r="W63" s="197"/>
      <c r="X63" s="197"/>
      <c r="Y63" s="197"/>
      <c r="Z63" s="197"/>
      <c r="AA63" s="197"/>
      <c r="AB63" s="197"/>
      <c r="AC63" s="197"/>
      <c r="AD63" s="197"/>
      <c r="AE63" s="197"/>
      <c r="AF63" s="197"/>
      <c r="AG63" s="197"/>
      <c r="AH63" s="197"/>
      <c r="AI63" s="197"/>
      <c r="AJ63" s="201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</row>
    <row r="64" spans="1:63" ht="15" customHeight="1">
      <c r="A64" s="197"/>
      <c r="B64" s="197"/>
      <c r="C64" s="197"/>
      <c r="D64" s="197"/>
      <c r="E64" s="197"/>
      <c r="F64" s="197"/>
      <c r="G64" s="197"/>
      <c r="H64" s="197"/>
      <c r="I64" s="197"/>
      <c r="J64" s="197"/>
      <c r="K64" s="197"/>
      <c r="L64" s="197"/>
      <c r="M64" s="197"/>
      <c r="N64" s="197"/>
      <c r="O64" s="197"/>
      <c r="P64" s="197"/>
      <c r="Q64" s="197"/>
      <c r="R64" s="197"/>
      <c r="S64" s="197"/>
      <c r="T64" s="197"/>
      <c r="U64" s="197"/>
      <c r="V64" s="197"/>
      <c r="W64" s="197"/>
      <c r="X64" s="197"/>
      <c r="Y64" s="197"/>
      <c r="Z64" s="197"/>
      <c r="AA64" s="197"/>
      <c r="AB64" s="197"/>
      <c r="AC64" s="197"/>
      <c r="AD64" s="197"/>
      <c r="AE64" s="197"/>
      <c r="AF64" s="197"/>
      <c r="AG64" s="197"/>
      <c r="AH64" s="197"/>
      <c r="AI64" s="197"/>
      <c r="AJ64" s="201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</row>
    <row r="65" spans="1:63" ht="15" customHeight="1">
      <c r="A65" s="197"/>
      <c r="B65" s="197"/>
      <c r="C65" s="197"/>
      <c r="D65" s="197"/>
      <c r="E65" s="197"/>
      <c r="F65" s="197"/>
      <c r="G65" s="197"/>
      <c r="H65" s="197"/>
      <c r="I65" s="197"/>
      <c r="J65" s="197"/>
      <c r="K65" s="197"/>
      <c r="L65" s="197"/>
      <c r="M65" s="197"/>
      <c r="N65" s="197"/>
      <c r="O65" s="197"/>
      <c r="P65" s="197"/>
      <c r="Q65" s="197"/>
      <c r="R65" s="197"/>
      <c r="S65" s="197"/>
      <c r="T65" s="197"/>
      <c r="U65" s="197"/>
      <c r="V65" s="197"/>
      <c r="W65" s="197"/>
      <c r="X65" s="197"/>
      <c r="Y65" s="197"/>
      <c r="Z65" s="197"/>
      <c r="AA65" s="197"/>
      <c r="AB65" s="197"/>
      <c r="AC65" s="197"/>
      <c r="AD65" s="197"/>
      <c r="AE65" s="197"/>
      <c r="AF65" s="197"/>
      <c r="AG65" s="197"/>
      <c r="AH65" s="197"/>
      <c r="AI65" s="197"/>
      <c r="AJ65" s="201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</row>
    <row r="66" spans="1:63" ht="15" customHeight="1">
      <c r="A66" s="197"/>
      <c r="B66" s="197"/>
      <c r="C66" s="197"/>
      <c r="D66" s="197"/>
      <c r="E66" s="197"/>
      <c r="F66" s="197"/>
      <c r="G66" s="197"/>
      <c r="H66" s="197"/>
      <c r="I66" s="197"/>
      <c r="J66" s="197"/>
      <c r="K66" s="197"/>
      <c r="L66" s="197"/>
      <c r="M66" s="197"/>
      <c r="N66" s="197"/>
      <c r="O66" s="197"/>
      <c r="P66" s="197"/>
      <c r="Q66" s="197"/>
      <c r="R66" s="197"/>
      <c r="S66" s="197"/>
      <c r="T66" s="197"/>
      <c r="U66" s="197"/>
      <c r="V66" s="197"/>
      <c r="W66" s="197"/>
      <c r="X66" s="197"/>
      <c r="Y66" s="197"/>
      <c r="Z66" s="197"/>
      <c r="AA66" s="197"/>
      <c r="AB66" s="197"/>
      <c r="AC66" s="197"/>
      <c r="AD66" s="197"/>
      <c r="AE66" s="197"/>
      <c r="AF66" s="197"/>
      <c r="AG66" s="197"/>
      <c r="AH66" s="197"/>
      <c r="AI66" s="197"/>
      <c r="AJ66" s="201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</row>
    <row r="67" spans="1:63" ht="15" customHeight="1">
      <c r="A67" s="197"/>
      <c r="B67" s="197"/>
      <c r="C67" s="197"/>
      <c r="D67" s="197"/>
      <c r="E67" s="197"/>
      <c r="F67" s="197"/>
      <c r="G67" s="197"/>
      <c r="H67" s="197"/>
      <c r="I67" s="197"/>
      <c r="J67" s="197"/>
      <c r="K67" s="197"/>
      <c r="L67" s="197"/>
      <c r="M67" s="197"/>
      <c r="N67" s="197"/>
      <c r="O67" s="197"/>
      <c r="P67" s="197"/>
      <c r="Q67" s="197"/>
      <c r="R67" s="197"/>
      <c r="S67" s="197"/>
      <c r="T67" s="197"/>
      <c r="U67" s="197"/>
      <c r="V67" s="197"/>
      <c r="W67" s="197"/>
      <c r="X67" s="197"/>
      <c r="Y67" s="197"/>
      <c r="Z67" s="197"/>
      <c r="AA67" s="197"/>
      <c r="AB67" s="197"/>
      <c r="AC67" s="197"/>
      <c r="AD67" s="197"/>
      <c r="AE67" s="197"/>
      <c r="AF67" s="197"/>
      <c r="AG67" s="197"/>
      <c r="AH67" s="197"/>
      <c r="AI67" s="197"/>
      <c r="AJ67" s="201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</row>
    <row r="68" spans="1:63" ht="15" customHeight="1">
      <c r="A68" s="197"/>
      <c r="B68" s="197"/>
      <c r="C68" s="197"/>
      <c r="D68" s="197"/>
      <c r="E68" s="197"/>
      <c r="F68" s="197"/>
      <c r="G68" s="197"/>
      <c r="H68" s="197"/>
      <c r="I68" s="197"/>
      <c r="J68" s="197"/>
      <c r="K68" s="197"/>
      <c r="L68" s="197"/>
      <c r="M68" s="197"/>
      <c r="N68" s="197"/>
      <c r="O68" s="197"/>
      <c r="P68" s="197"/>
      <c r="Q68" s="197"/>
      <c r="R68" s="197"/>
      <c r="S68" s="197"/>
      <c r="T68" s="197"/>
      <c r="U68" s="197"/>
      <c r="V68" s="197"/>
      <c r="W68" s="197"/>
      <c r="X68" s="197"/>
      <c r="Y68" s="197"/>
      <c r="Z68" s="197"/>
      <c r="AA68" s="197"/>
      <c r="AB68" s="197"/>
      <c r="AC68" s="197"/>
      <c r="AD68" s="197"/>
      <c r="AE68" s="197"/>
      <c r="AF68" s="197"/>
      <c r="AG68" s="197"/>
      <c r="AH68" s="197"/>
      <c r="AI68" s="197"/>
      <c r="AJ68" s="201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</row>
    <row r="69" spans="1:63" ht="15" customHeight="1">
      <c r="A69" s="197"/>
      <c r="B69" s="197"/>
      <c r="C69" s="197"/>
      <c r="D69" s="197"/>
      <c r="E69" s="197"/>
      <c r="F69" s="197"/>
      <c r="G69" s="197"/>
      <c r="H69" s="197"/>
      <c r="I69" s="197"/>
      <c r="J69" s="197"/>
      <c r="K69" s="197"/>
      <c r="L69" s="197"/>
      <c r="M69" s="197"/>
      <c r="N69" s="197"/>
      <c r="O69" s="197"/>
      <c r="P69" s="197"/>
      <c r="Q69" s="197"/>
      <c r="R69" s="197"/>
      <c r="S69" s="197"/>
      <c r="T69" s="197"/>
      <c r="U69" s="197"/>
      <c r="V69" s="197"/>
      <c r="W69" s="197"/>
      <c r="X69" s="197"/>
      <c r="Y69" s="197"/>
      <c r="Z69" s="197"/>
      <c r="AA69" s="197"/>
      <c r="AB69" s="197"/>
      <c r="AC69" s="197"/>
      <c r="AD69" s="197"/>
      <c r="AE69" s="197"/>
      <c r="AF69" s="197"/>
      <c r="AG69" s="197"/>
      <c r="AH69" s="197"/>
      <c r="AI69" s="197"/>
      <c r="AJ69" s="201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</row>
    <row r="70" spans="1:63" ht="15" customHeight="1">
      <c r="A70" s="197"/>
      <c r="B70" s="197"/>
      <c r="C70" s="197"/>
      <c r="D70" s="197"/>
      <c r="E70" s="197"/>
      <c r="F70" s="197"/>
      <c r="G70" s="197"/>
      <c r="H70" s="197"/>
      <c r="I70" s="197"/>
      <c r="J70" s="197"/>
      <c r="K70" s="197"/>
      <c r="L70" s="197"/>
      <c r="M70" s="197"/>
      <c r="N70" s="197"/>
      <c r="O70" s="197"/>
      <c r="P70" s="197"/>
      <c r="Q70" s="197"/>
      <c r="R70" s="197"/>
      <c r="S70" s="197"/>
      <c r="T70" s="197"/>
      <c r="U70" s="197"/>
      <c r="V70" s="197"/>
      <c r="W70" s="197"/>
      <c r="X70" s="197"/>
      <c r="Y70" s="197"/>
      <c r="Z70" s="197"/>
      <c r="AA70" s="197"/>
      <c r="AB70" s="197"/>
      <c r="AC70" s="197"/>
      <c r="AD70" s="197"/>
      <c r="AE70" s="197"/>
      <c r="AF70" s="197"/>
      <c r="AG70" s="197"/>
      <c r="AH70" s="197"/>
      <c r="AI70" s="197"/>
      <c r="AJ70" s="201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</row>
    <row r="71" spans="1:63" ht="15" customHeight="1">
      <c r="A71" s="197"/>
      <c r="B71" s="197"/>
      <c r="C71" s="197"/>
      <c r="D71" s="197"/>
      <c r="E71" s="197"/>
      <c r="F71" s="197"/>
      <c r="G71" s="197"/>
      <c r="H71" s="197"/>
      <c r="I71" s="197"/>
      <c r="J71" s="197"/>
      <c r="K71" s="197"/>
      <c r="L71" s="197"/>
      <c r="M71" s="197"/>
      <c r="N71" s="197"/>
      <c r="O71" s="197"/>
      <c r="P71" s="197"/>
      <c r="Q71" s="197"/>
      <c r="R71" s="197"/>
      <c r="S71" s="197"/>
      <c r="T71" s="197"/>
      <c r="U71" s="197"/>
      <c r="V71" s="197"/>
      <c r="W71" s="197"/>
      <c r="X71" s="197"/>
      <c r="Y71" s="197"/>
      <c r="Z71" s="197"/>
      <c r="AA71" s="197"/>
      <c r="AB71" s="197"/>
      <c r="AC71" s="197"/>
      <c r="AD71" s="197"/>
      <c r="AE71" s="197"/>
      <c r="AF71" s="197"/>
      <c r="AG71" s="197"/>
      <c r="AH71" s="197"/>
      <c r="AI71" s="197"/>
      <c r="AJ71" s="201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</row>
    <row r="72" spans="1:63" ht="15" customHeight="1">
      <c r="A72" s="197"/>
      <c r="B72" s="197"/>
      <c r="C72" s="197"/>
      <c r="D72" s="197"/>
      <c r="E72" s="197"/>
      <c r="F72" s="197"/>
      <c r="G72" s="197"/>
      <c r="H72" s="197"/>
      <c r="I72" s="197"/>
      <c r="J72" s="197"/>
      <c r="K72" s="197"/>
      <c r="L72" s="197"/>
      <c r="M72" s="197"/>
      <c r="N72" s="197"/>
      <c r="O72" s="197"/>
      <c r="P72" s="197"/>
      <c r="Q72" s="197"/>
      <c r="R72" s="197"/>
      <c r="S72" s="197"/>
      <c r="T72" s="197"/>
      <c r="U72" s="197"/>
      <c r="V72" s="197"/>
      <c r="W72" s="197"/>
      <c r="X72" s="197"/>
      <c r="Y72" s="197"/>
      <c r="Z72" s="197"/>
      <c r="AA72" s="197"/>
      <c r="AB72" s="197"/>
      <c r="AC72" s="197"/>
      <c r="AD72" s="197"/>
      <c r="AE72" s="197"/>
      <c r="AF72" s="197"/>
      <c r="AG72" s="197"/>
      <c r="AH72" s="197"/>
      <c r="AI72" s="197"/>
      <c r="AJ72" s="201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</row>
    <row r="73" spans="1:63" ht="15" customHeight="1">
      <c r="A73" s="197"/>
      <c r="B73" s="197"/>
      <c r="C73" s="197"/>
      <c r="D73" s="197"/>
      <c r="E73" s="197"/>
      <c r="F73" s="197"/>
      <c r="G73" s="197"/>
      <c r="H73" s="197"/>
      <c r="I73" s="197"/>
      <c r="J73" s="197"/>
      <c r="K73" s="197"/>
      <c r="L73" s="197"/>
      <c r="M73" s="197"/>
      <c r="N73" s="197"/>
      <c r="O73" s="197"/>
      <c r="P73" s="197"/>
      <c r="Q73" s="197"/>
      <c r="R73" s="197"/>
      <c r="S73" s="197"/>
      <c r="T73" s="197"/>
      <c r="U73" s="197"/>
      <c r="V73" s="197"/>
      <c r="W73" s="197"/>
      <c r="X73" s="197"/>
      <c r="Y73" s="197"/>
      <c r="Z73" s="197"/>
      <c r="AA73" s="197"/>
      <c r="AB73" s="197"/>
      <c r="AC73" s="197"/>
      <c r="AD73" s="197"/>
      <c r="AE73" s="197"/>
      <c r="AF73" s="197"/>
      <c r="AG73" s="197"/>
      <c r="AH73" s="197"/>
      <c r="AI73" s="197"/>
      <c r="AJ73" s="201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</row>
    <row r="74" spans="1:63" ht="15" customHeight="1">
      <c r="A74" s="197"/>
      <c r="B74" s="197"/>
      <c r="C74" s="197"/>
      <c r="D74" s="197"/>
      <c r="E74" s="197"/>
      <c r="F74" s="197"/>
      <c r="G74" s="197"/>
      <c r="H74" s="197"/>
      <c r="I74" s="197"/>
      <c r="J74" s="197"/>
      <c r="K74" s="197"/>
      <c r="L74" s="197"/>
      <c r="M74" s="197"/>
      <c r="N74" s="197"/>
      <c r="O74" s="197"/>
      <c r="P74" s="197"/>
      <c r="Q74" s="197"/>
      <c r="R74" s="197"/>
      <c r="S74" s="197"/>
      <c r="T74" s="197"/>
      <c r="U74" s="197"/>
      <c r="V74" s="197"/>
      <c r="W74" s="197"/>
      <c r="X74" s="197"/>
      <c r="Y74" s="197"/>
      <c r="Z74" s="197"/>
      <c r="AA74" s="197"/>
      <c r="AB74" s="197"/>
      <c r="AC74" s="197"/>
      <c r="AD74" s="197"/>
      <c r="AE74" s="197"/>
      <c r="AF74" s="197"/>
      <c r="AG74" s="197"/>
      <c r="AH74" s="197"/>
      <c r="AI74" s="197"/>
      <c r="AJ74" s="201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</row>
    <row r="75" spans="1:63" ht="15" customHeight="1">
      <c r="A75" s="197"/>
      <c r="B75" s="197"/>
      <c r="C75" s="197"/>
      <c r="D75" s="197"/>
      <c r="E75" s="197"/>
      <c r="F75" s="197"/>
      <c r="G75" s="197"/>
      <c r="H75" s="197"/>
      <c r="I75" s="197"/>
      <c r="J75" s="197"/>
      <c r="K75" s="197"/>
      <c r="L75" s="197"/>
      <c r="M75" s="197"/>
      <c r="N75" s="197"/>
      <c r="O75" s="197"/>
      <c r="P75" s="197"/>
      <c r="Q75" s="197"/>
      <c r="R75" s="197"/>
      <c r="S75" s="197"/>
      <c r="T75" s="197"/>
      <c r="U75" s="197"/>
      <c r="V75" s="197"/>
      <c r="W75" s="197"/>
      <c r="X75" s="197"/>
      <c r="Y75" s="197"/>
      <c r="Z75" s="197"/>
      <c r="AA75" s="197"/>
      <c r="AB75" s="197"/>
      <c r="AC75" s="197"/>
      <c r="AD75" s="197"/>
      <c r="AE75" s="197"/>
      <c r="AF75" s="197"/>
      <c r="AG75" s="197"/>
      <c r="AH75" s="197"/>
      <c r="AI75" s="197"/>
      <c r="AJ75" s="201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</row>
    <row r="76" spans="1:63" ht="15" customHeight="1">
      <c r="A76" s="197"/>
      <c r="B76" s="197"/>
      <c r="C76" s="197"/>
      <c r="D76" s="197"/>
      <c r="E76" s="197"/>
      <c r="F76" s="197"/>
      <c r="G76" s="197"/>
      <c r="H76" s="197"/>
      <c r="I76" s="197"/>
      <c r="J76" s="197"/>
      <c r="K76" s="197"/>
      <c r="L76" s="197"/>
      <c r="M76" s="197"/>
      <c r="N76" s="197"/>
      <c r="O76" s="197"/>
      <c r="P76" s="197"/>
      <c r="Q76" s="197"/>
      <c r="R76" s="197"/>
      <c r="S76" s="197"/>
      <c r="T76" s="197"/>
      <c r="U76" s="197"/>
      <c r="V76" s="197"/>
      <c r="W76" s="197"/>
      <c r="X76" s="197"/>
      <c r="Y76" s="197"/>
      <c r="Z76" s="197"/>
      <c r="AA76" s="197"/>
      <c r="AB76" s="197"/>
      <c r="AC76" s="197"/>
      <c r="AD76" s="197"/>
      <c r="AE76" s="197"/>
      <c r="AF76" s="197"/>
      <c r="AG76" s="197"/>
      <c r="AH76" s="197"/>
      <c r="AI76" s="197"/>
      <c r="AJ76" s="201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</row>
    <row r="77" spans="1:63" ht="15" customHeight="1">
      <c r="A77" s="197"/>
      <c r="B77" s="197"/>
      <c r="C77" s="197"/>
      <c r="D77" s="197"/>
      <c r="E77" s="197"/>
      <c r="F77" s="197"/>
      <c r="G77" s="197"/>
      <c r="H77" s="197"/>
      <c r="I77" s="197"/>
      <c r="J77" s="197"/>
      <c r="K77" s="197"/>
      <c r="L77" s="197"/>
      <c r="M77" s="197"/>
      <c r="N77" s="197"/>
      <c r="O77" s="197"/>
      <c r="P77" s="197"/>
      <c r="Q77" s="197"/>
      <c r="R77" s="197"/>
      <c r="S77" s="197"/>
      <c r="T77" s="197"/>
      <c r="U77" s="197"/>
      <c r="V77" s="197"/>
      <c r="W77" s="197"/>
      <c r="X77" s="197"/>
      <c r="Y77" s="197"/>
      <c r="Z77" s="197"/>
      <c r="AA77" s="197"/>
      <c r="AB77" s="197"/>
      <c r="AC77" s="197"/>
      <c r="AD77" s="197"/>
      <c r="AE77" s="197"/>
      <c r="AF77" s="197"/>
      <c r="AG77" s="197"/>
      <c r="AH77" s="197"/>
      <c r="AI77" s="197"/>
      <c r="AJ77" s="201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</row>
    <row r="78" spans="1:63" ht="15" customHeight="1">
      <c r="A78" s="197"/>
      <c r="B78" s="197"/>
      <c r="C78" s="197"/>
      <c r="D78" s="197"/>
      <c r="E78" s="197"/>
      <c r="F78" s="197"/>
      <c r="G78" s="197"/>
      <c r="H78" s="197"/>
      <c r="I78" s="197"/>
      <c r="J78" s="197"/>
      <c r="K78" s="197"/>
      <c r="L78" s="197"/>
      <c r="M78" s="197"/>
      <c r="N78" s="197"/>
      <c r="O78" s="197"/>
      <c r="P78" s="197"/>
      <c r="Q78" s="197"/>
      <c r="R78" s="197"/>
      <c r="S78" s="197"/>
      <c r="T78" s="197"/>
      <c r="U78" s="197"/>
      <c r="V78" s="197"/>
      <c r="W78" s="197"/>
      <c r="X78" s="197"/>
      <c r="Y78" s="197"/>
      <c r="Z78" s="197"/>
      <c r="AA78" s="197"/>
      <c r="AB78" s="197"/>
      <c r="AC78" s="197"/>
      <c r="AD78" s="197"/>
      <c r="AE78" s="197"/>
      <c r="AF78" s="197"/>
      <c r="AG78" s="197"/>
      <c r="AH78" s="197"/>
      <c r="AI78" s="197"/>
      <c r="AJ78" s="201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</row>
    <row r="79" spans="1:63" ht="15" customHeight="1">
      <c r="A79" s="197"/>
      <c r="B79" s="197"/>
      <c r="C79" s="197"/>
      <c r="D79" s="197"/>
      <c r="E79" s="197"/>
      <c r="F79" s="197"/>
      <c r="G79" s="197"/>
      <c r="H79" s="197"/>
      <c r="I79" s="197"/>
      <c r="J79" s="197"/>
      <c r="K79" s="197"/>
      <c r="L79" s="197"/>
      <c r="M79" s="197"/>
      <c r="N79" s="197"/>
      <c r="O79" s="197"/>
      <c r="P79" s="197"/>
      <c r="Q79" s="197"/>
      <c r="R79" s="197"/>
      <c r="S79" s="197"/>
      <c r="T79" s="197"/>
      <c r="U79" s="197"/>
      <c r="V79" s="197"/>
      <c r="W79" s="197"/>
      <c r="X79" s="197"/>
      <c r="Y79" s="197"/>
      <c r="Z79" s="197"/>
      <c r="AA79" s="197"/>
      <c r="AB79" s="197"/>
      <c r="AC79" s="197"/>
      <c r="AD79" s="197"/>
      <c r="AE79" s="197"/>
      <c r="AF79" s="197"/>
      <c r="AG79" s="197"/>
      <c r="AH79" s="197"/>
      <c r="AI79" s="197"/>
      <c r="AJ79" s="201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</row>
    <row r="80" spans="1:63" ht="15" customHeight="1">
      <c r="A80" s="197"/>
      <c r="B80" s="197"/>
      <c r="C80" s="197"/>
      <c r="D80" s="197"/>
      <c r="E80" s="197"/>
      <c r="F80" s="197"/>
      <c r="G80" s="197"/>
      <c r="H80" s="197"/>
      <c r="I80" s="197"/>
      <c r="J80" s="197"/>
      <c r="K80" s="197"/>
      <c r="L80" s="197"/>
      <c r="M80" s="197"/>
      <c r="N80" s="197"/>
      <c r="O80" s="197"/>
      <c r="P80" s="197"/>
      <c r="Q80" s="197"/>
      <c r="R80" s="197"/>
      <c r="S80" s="197"/>
      <c r="T80" s="197"/>
      <c r="U80" s="197"/>
      <c r="V80" s="197"/>
      <c r="W80" s="197"/>
      <c r="X80" s="197"/>
      <c r="Y80" s="197"/>
      <c r="Z80" s="197"/>
      <c r="AA80" s="197"/>
      <c r="AB80" s="197"/>
      <c r="AC80" s="197"/>
      <c r="AD80" s="197"/>
      <c r="AE80" s="197"/>
      <c r="AF80" s="197"/>
      <c r="AG80" s="197"/>
      <c r="AH80" s="197"/>
      <c r="AI80" s="197"/>
      <c r="AJ80" s="201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</row>
    <row r="81" spans="1:63" ht="15" customHeight="1">
      <c r="A81" s="197"/>
      <c r="B81" s="197"/>
      <c r="C81" s="197"/>
      <c r="D81" s="197"/>
      <c r="E81" s="197"/>
      <c r="F81" s="197"/>
      <c r="G81" s="197"/>
      <c r="H81" s="197"/>
      <c r="I81" s="197"/>
      <c r="J81" s="197"/>
      <c r="K81" s="197"/>
      <c r="L81" s="197"/>
      <c r="M81" s="197"/>
      <c r="N81" s="197"/>
      <c r="O81" s="197"/>
      <c r="P81" s="197"/>
      <c r="Q81" s="197"/>
      <c r="R81" s="197"/>
      <c r="S81" s="197"/>
      <c r="T81" s="197"/>
      <c r="U81" s="197"/>
      <c r="V81" s="197"/>
      <c r="W81" s="197"/>
      <c r="X81" s="197"/>
      <c r="Y81" s="197"/>
      <c r="Z81" s="197"/>
      <c r="AA81" s="197"/>
      <c r="AB81" s="197"/>
      <c r="AC81" s="197"/>
      <c r="AD81" s="197"/>
      <c r="AE81" s="197"/>
      <c r="AF81" s="197"/>
      <c r="AG81" s="197"/>
      <c r="AH81" s="197"/>
      <c r="AI81" s="197"/>
      <c r="AJ81" s="201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</row>
    <row r="82" spans="1:63" ht="15" customHeight="1">
      <c r="A82" s="197"/>
      <c r="B82" s="197"/>
      <c r="C82" s="197"/>
      <c r="D82" s="197"/>
      <c r="E82" s="197"/>
      <c r="F82" s="197"/>
      <c r="G82" s="197"/>
      <c r="H82" s="197"/>
      <c r="I82" s="197"/>
      <c r="J82" s="197"/>
      <c r="K82" s="197"/>
      <c r="L82" s="197"/>
      <c r="M82" s="197"/>
      <c r="N82" s="197"/>
      <c r="O82" s="197"/>
      <c r="P82" s="197"/>
      <c r="Q82" s="197"/>
      <c r="R82" s="197"/>
      <c r="S82" s="197"/>
      <c r="T82" s="197"/>
      <c r="U82" s="197"/>
      <c r="V82" s="197"/>
      <c r="W82" s="197"/>
      <c r="X82" s="197"/>
      <c r="Y82" s="197"/>
      <c r="Z82" s="197"/>
      <c r="AA82" s="197"/>
      <c r="AB82" s="197"/>
      <c r="AC82" s="197"/>
      <c r="AD82" s="197"/>
      <c r="AE82" s="197"/>
      <c r="AF82" s="197"/>
      <c r="AG82" s="197"/>
      <c r="AH82" s="197"/>
      <c r="AI82" s="197"/>
      <c r="AJ82" s="201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</row>
    <row r="83" spans="1:63" ht="15" customHeight="1">
      <c r="A83" s="197"/>
      <c r="B83" s="197"/>
      <c r="C83" s="197"/>
      <c r="D83" s="197"/>
      <c r="E83" s="197"/>
      <c r="F83" s="197"/>
      <c r="G83" s="197"/>
      <c r="H83" s="197"/>
      <c r="I83" s="197"/>
      <c r="J83" s="197"/>
      <c r="K83" s="197"/>
      <c r="L83" s="197"/>
      <c r="M83" s="197"/>
      <c r="N83" s="197"/>
      <c r="O83" s="197"/>
      <c r="P83" s="197"/>
      <c r="Q83" s="197"/>
      <c r="R83" s="197"/>
      <c r="S83" s="197"/>
      <c r="T83" s="197"/>
      <c r="U83" s="197"/>
      <c r="V83" s="197"/>
      <c r="W83" s="197"/>
      <c r="X83" s="197"/>
      <c r="Y83" s="197"/>
      <c r="Z83" s="197"/>
      <c r="AA83" s="197"/>
      <c r="AB83" s="197"/>
      <c r="AC83" s="197"/>
      <c r="AD83" s="197"/>
      <c r="AE83" s="197"/>
      <c r="AF83" s="197"/>
      <c r="AG83" s="197"/>
      <c r="AH83" s="197"/>
      <c r="AI83" s="197"/>
      <c r="AJ83" s="201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</row>
    <row r="84" spans="1:63" ht="15" customHeight="1">
      <c r="A84" s="197"/>
      <c r="B84" s="197"/>
      <c r="C84" s="197"/>
      <c r="D84" s="197"/>
      <c r="E84" s="197"/>
      <c r="F84" s="197"/>
      <c r="G84" s="197"/>
      <c r="H84" s="197"/>
      <c r="I84" s="197"/>
      <c r="J84" s="197"/>
      <c r="K84" s="197"/>
      <c r="L84" s="197"/>
      <c r="M84" s="197"/>
      <c r="N84" s="197"/>
      <c r="O84" s="197"/>
      <c r="P84" s="197"/>
      <c r="Q84" s="197"/>
      <c r="R84" s="197"/>
      <c r="S84" s="197"/>
      <c r="T84" s="197"/>
      <c r="U84" s="197"/>
      <c r="V84" s="197"/>
      <c r="W84" s="197"/>
      <c r="X84" s="197"/>
      <c r="Y84" s="197"/>
      <c r="Z84" s="197"/>
      <c r="AA84" s="197"/>
      <c r="AB84" s="197"/>
      <c r="AC84" s="197"/>
      <c r="AD84" s="197"/>
      <c r="AE84" s="197"/>
      <c r="AF84" s="197"/>
      <c r="AG84" s="197"/>
      <c r="AH84" s="197"/>
      <c r="AI84" s="197"/>
      <c r="AJ84" s="201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</row>
    <row r="85" spans="1:63" ht="15" customHeight="1">
      <c r="A85" s="197"/>
      <c r="B85" s="197"/>
      <c r="C85" s="197"/>
      <c r="D85" s="197"/>
      <c r="E85" s="197"/>
      <c r="F85" s="197"/>
      <c r="G85" s="197"/>
      <c r="H85" s="197"/>
      <c r="I85" s="197"/>
      <c r="J85" s="197"/>
      <c r="K85" s="197"/>
      <c r="L85" s="197"/>
      <c r="M85" s="197"/>
      <c r="N85" s="197"/>
      <c r="O85" s="197"/>
      <c r="P85" s="197"/>
      <c r="Q85" s="197"/>
      <c r="R85" s="197"/>
      <c r="S85" s="197"/>
      <c r="T85" s="197"/>
      <c r="U85" s="197"/>
      <c r="V85" s="197"/>
      <c r="W85" s="197"/>
      <c r="X85" s="197"/>
      <c r="Y85" s="197"/>
      <c r="Z85" s="197"/>
      <c r="AA85" s="197"/>
      <c r="AB85" s="197"/>
      <c r="AC85" s="197"/>
      <c r="AD85" s="197"/>
      <c r="AE85" s="197"/>
      <c r="AF85" s="197"/>
      <c r="AG85" s="197"/>
      <c r="AH85" s="197"/>
      <c r="AI85" s="197"/>
      <c r="AJ85" s="201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</row>
    <row r="86" spans="1:63" ht="15" customHeight="1">
      <c r="A86" s="197"/>
      <c r="B86" s="197"/>
      <c r="C86" s="197"/>
      <c r="D86" s="197"/>
      <c r="E86" s="197"/>
      <c r="F86" s="197"/>
      <c r="G86" s="197"/>
      <c r="H86" s="197"/>
      <c r="I86" s="197"/>
      <c r="J86" s="197"/>
      <c r="K86" s="197"/>
      <c r="L86" s="197"/>
      <c r="M86" s="197"/>
      <c r="N86" s="197"/>
      <c r="O86" s="197"/>
      <c r="P86" s="197"/>
      <c r="Q86" s="197"/>
      <c r="R86" s="197"/>
      <c r="S86" s="197"/>
      <c r="T86" s="197"/>
      <c r="U86" s="197"/>
      <c r="V86" s="197"/>
      <c r="W86" s="197"/>
      <c r="X86" s="197"/>
      <c r="Y86" s="197"/>
      <c r="Z86" s="197"/>
      <c r="AA86" s="197"/>
      <c r="AB86" s="197"/>
      <c r="AC86" s="197"/>
      <c r="AD86" s="197"/>
      <c r="AE86" s="197"/>
      <c r="AF86" s="197"/>
      <c r="AG86" s="197"/>
      <c r="AH86" s="197"/>
      <c r="AI86" s="197"/>
      <c r="AJ86" s="201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</row>
    <row r="87" spans="1:63" ht="15" customHeight="1">
      <c r="A87" s="197"/>
      <c r="B87" s="197"/>
      <c r="C87" s="197"/>
      <c r="D87" s="197"/>
      <c r="E87" s="197"/>
      <c r="F87" s="197"/>
      <c r="G87" s="197"/>
      <c r="H87" s="197"/>
      <c r="I87" s="197"/>
      <c r="J87" s="197"/>
      <c r="K87" s="197"/>
      <c r="L87" s="197"/>
      <c r="M87" s="197"/>
      <c r="N87" s="197"/>
      <c r="O87" s="197"/>
      <c r="P87" s="197"/>
      <c r="Q87" s="197"/>
      <c r="R87" s="197"/>
      <c r="S87" s="197"/>
      <c r="T87" s="197"/>
      <c r="U87" s="197"/>
      <c r="V87" s="197"/>
      <c r="W87" s="197"/>
      <c r="X87" s="197"/>
      <c r="Y87" s="197"/>
      <c r="Z87" s="197"/>
      <c r="AA87" s="197"/>
      <c r="AB87" s="197"/>
      <c r="AC87" s="197"/>
      <c r="AD87" s="197"/>
      <c r="AE87" s="197"/>
      <c r="AF87" s="197"/>
      <c r="AG87" s="197"/>
      <c r="AH87" s="197"/>
      <c r="AI87" s="197"/>
      <c r="AJ87" s="201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</row>
    <row r="88" spans="1:63" ht="15" customHeight="1">
      <c r="A88" s="197"/>
      <c r="B88" s="197"/>
      <c r="C88" s="197"/>
      <c r="D88" s="197"/>
      <c r="E88" s="197"/>
      <c r="F88" s="197"/>
      <c r="G88" s="197"/>
      <c r="H88" s="197"/>
      <c r="I88" s="197"/>
      <c r="J88" s="197"/>
      <c r="K88" s="197"/>
      <c r="L88" s="197"/>
      <c r="M88" s="197"/>
      <c r="N88" s="197"/>
      <c r="O88" s="197"/>
      <c r="P88" s="197"/>
      <c r="Q88" s="197"/>
      <c r="R88" s="197"/>
      <c r="S88" s="197"/>
      <c r="T88" s="197"/>
      <c r="U88" s="197"/>
      <c r="V88" s="197"/>
      <c r="W88" s="197"/>
      <c r="X88" s="197"/>
      <c r="Y88" s="197"/>
      <c r="Z88" s="197"/>
      <c r="AA88" s="197"/>
      <c r="AB88" s="197"/>
      <c r="AC88" s="197"/>
      <c r="AD88" s="197"/>
      <c r="AE88" s="197"/>
      <c r="AF88" s="197"/>
      <c r="AG88" s="197"/>
      <c r="AH88" s="197"/>
      <c r="AI88" s="197"/>
      <c r="AJ88" s="201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</row>
    <row r="89" spans="1:63" ht="15" customHeight="1">
      <c r="A89" s="197"/>
      <c r="B89" s="197"/>
      <c r="C89" s="197"/>
      <c r="D89" s="197"/>
      <c r="E89" s="197"/>
      <c r="F89" s="197"/>
      <c r="G89" s="197"/>
      <c r="H89" s="197"/>
      <c r="I89" s="197"/>
      <c r="J89" s="197"/>
      <c r="K89" s="197"/>
      <c r="L89" s="197"/>
      <c r="M89" s="197"/>
      <c r="N89" s="197"/>
      <c r="O89" s="197"/>
      <c r="P89" s="197"/>
      <c r="Q89" s="197"/>
      <c r="R89" s="197"/>
      <c r="S89" s="197"/>
      <c r="T89" s="197"/>
      <c r="U89" s="197"/>
      <c r="V89" s="197"/>
      <c r="W89" s="197"/>
      <c r="X89" s="197"/>
      <c r="Y89" s="197"/>
      <c r="Z89" s="197"/>
      <c r="AA89" s="197"/>
      <c r="AB89" s="197"/>
      <c r="AC89" s="197"/>
      <c r="AD89" s="197"/>
      <c r="AE89" s="197"/>
      <c r="AF89" s="197"/>
      <c r="AG89" s="197"/>
      <c r="AH89" s="197"/>
      <c r="AI89" s="197"/>
      <c r="AJ89" s="201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</row>
    <row r="90" spans="1:63" ht="15" customHeight="1">
      <c r="A90" s="197"/>
      <c r="B90" s="197"/>
      <c r="C90" s="197"/>
      <c r="D90" s="197"/>
      <c r="E90" s="197"/>
      <c r="F90" s="197"/>
      <c r="G90" s="197"/>
      <c r="H90" s="197"/>
      <c r="I90" s="197"/>
      <c r="J90" s="197"/>
      <c r="K90" s="197"/>
      <c r="L90" s="197"/>
      <c r="M90" s="197"/>
      <c r="N90" s="197"/>
      <c r="O90" s="197"/>
      <c r="P90" s="197"/>
      <c r="Q90" s="197"/>
      <c r="R90" s="197"/>
      <c r="S90" s="197"/>
      <c r="T90" s="197"/>
      <c r="U90" s="197"/>
      <c r="V90" s="197"/>
      <c r="W90" s="197"/>
      <c r="X90" s="197"/>
      <c r="Y90" s="197"/>
      <c r="Z90" s="197"/>
      <c r="AA90" s="197"/>
      <c r="AB90" s="197"/>
      <c r="AC90" s="197"/>
      <c r="AD90" s="197"/>
      <c r="AE90" s="197"/>
      <c r="AF90" s="197"/>
      <c r="AG90" s="197"/>
      <c r="AH90" s="197"/>
      <c r="AI90" s="197"/>
      <c r="AJ90" s="201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</row>
    <row r="91" spans="1:63" ht="15" customHeight="1">
      <c r="A91" s="197"/>
      <c r="B91" s="197"/>
      <c r="C91" s="197"/>
      <c r="D91" s="197"/>
      <c r="E91" s="197"/>
      <c r="F91" s="197"/>
      <c r="G91" s="197"/>
      <c r="H91" s="197"/>
      <c r="I91" s="197"/>
      <c r="J91" s="197"/>
      <c r="K91" s="197"/>
      <c r="L91" s="197"/>
      <c r="M91" s="197"/>
      <c r="N91" s="197"/>
      <c r="O91" s="197"/>
      <c r="P91" s="197"/>
      <c r="Q91" s="197"/>
      <c r="R91" s="197"/>
      <c r="S91" s="197"/>
      <c r="T91" s="197"/>
      <c r="U91" s="197"/>
      <c r="V91" s="197"/>
      <c r="W91" s="197"/>
      <c r="X91" s="197"/>
      <c r="Y91" s="197"/>
      <c r="Z91" s="197"/>
      <c r="AA91" s="197"/>
      <c r="AB91" s="197"/>
      <c r="AC91" s="197"/>
      <c r="AD91" s="197"/>
      <c r="AE91" s="197"/>
      <c r="AF91" s="197"/>
      <c r="AG91" s="197"/>
      <c r="AH91" s="197"/>
      <c r="AI91" s="197"/>
      <c r="AJ91" s="201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</row>
    <row r="92" spans="1:63" ht="15" customHeight="1">
      <c r="A92" s="197"/>
      <c r="B92" s="197"/>
      <c r="C92" s="197"/>
      <c r="D92" s="197"/>
      <c r="E92" s="197"/>
      <c r="F92" s="197"/>
      <c r="G92" s="197"/>
      <c r="H92" s="197"/>
      <c r="I92" s="197"/>
      <c r="J92" s="197"/>
      <c r="K92" s="197"/>
      <c r="L92" s="197"/>
      <c r="M92" s="197"/>
      <c r="N92" s="197"/>
      <c r="O92" s="197"/>
      <c r="P92" s="197"/>
      <c r="Q92" s="197"/>
      <c r="R92" s="197"/>
      <c r="S92" s="197"/>
      <c r="T92" s="197"/>
      <c r="U92" s="197"/>
      <c r="V92" s="197"/>
      <c r="W92" s="197"/>
      <c r="X92" s="197"/>
      <c r="Y92" s="197"/>
      <c r="Z92" s="197"/>
      <c r="AA92" s="197"/>
      <c r="AB92" s="197"/>
      <c r="AC92" s="197"/>
      <c r="AD92" s="197"/>
      <c r="AE92" s="197"/>
      <c r="AF92" s="197"/>
      <c r="AG92" s="197"/>
      <c r="AH92" s="197"/>
      <c r="AI92" s="197"/>
      <c r="AJ92" s="201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</row>
    <row r="93" spans="1:63" ht="15" customHeight="1">
      <c r="A93" s="197"/>
      <c r="B93" s="197"/>
      <c r="C93" s="197"/>
      <c r="D93" s="197"/>
      <c r="E93" s="197"/>
      <c r="F93" s="197"/>
      <c r="G93" s="197"/>
      <c r="H93" s="197"/>
      <c r="I93" s="197"/>
      <c r="J93" s="197"/>
      <c r="K93" s="197"/>
      <c r="L93" s="197"/>
      <c r="M93" s="197"/>
      <c r="N93" s="197"/>
      <c r="O93" s="197"/>
      <c r="P93" s="197"/>
      <c r="Q93" s="197"/>
      <c r="R93" s="197"/>
      <c r="S93" s="197"/>
      <c r="T93" s="197"/>
      <c r="U93" s="197"/>
      <c r="V93" s="197"/>
      <c r="W93" s="197"/>
      <c r="X93" s="197"/>
      <c r="Y93" s="197"/>
      <c r="Z93" s="197"/>
      <c r="AA93" s="197"/>
      <c r="AB93" s="197"/>
      <c r="AC93" s="197"/>
      <c r="AD93" s="197"/>
      <c r="AE93" s="197"/>
      <c r="AF93" s="197"/>
      <c r="AG93" s="197"/>
      <c r="AH93" s="197"/>
      <c r="AI93" s="197"/>
      <c r="AJ93" s="201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</row>
    <row r="94" spans="1:63" ht="15" customHeight="1">
      <c r="A94" s="197"/>
      <c r="B94" s="197"/>
      <c r="C94" s="197"/>
      <c r="D94" s="197"/>
      <c r="E94" s="197"/>
      <c r="F94" s="197"/>
      <c r="G94" s="197"/>
      <c r="H94" s="197"/>
      <c r="I94" s="197"/>
      <c r="J94" s="197"/>
      <c r="K94" s="197"/>
      <c r="L94" s="197"/>
      <c r="M94" s="197"/>
      <c r="N94" s="197"/>
      <c r="O94" s="197"/>
      <c r="P94" s="197"/>
      <c r="Q94" s="197"/>
      <c r="R94" s="197"/>
      <c r="S94" s="197"/>
      <c r="T94" s="197"/>
      <c r="U94" s="197"/>
      <c r="V94" s="197"/>
      <c r="W94" s="197"/>
      <c r="X94" s="197"/>
      <c r="Y94" s="197"/>
      <c r="Z94" s="197"/>
      <c r="AA94" s="197"/>
      <c r="AB94" s="197"/>
      <c r="AC94" s="197"/>
      <c r="AD94" s="197"/>
      <c r="AE94" s="197"/>
      <c r="AF94" s="197"/>
      <c r="AG94" s="197"/>
      <c r="AH94" s="197"/>
      <c r="AI94" s="197"/>
      <c r="AJ94" s="201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</row>
    <row r="95" spans="1:63" ht="15" customHeight="1">
      <c r="A95" s="197"/>
      <c r="B95" s="197"/>
      <c r="C95" s="197"/>
      <c r="D95" s="197"/>
      <c r="E95" s="197"/>
      <c r="F95" s="197"/>
      <c r="G95" s="197"/>
      <c r="H95" s="197"/>
      <c r="I95" s="197"/>
      <c r="J95" s="197"/>
      <c r="K95" s="197"/>
      <c r="L95" s="197"/>
      <c r="M95" s="197"/>
      <c r="N95" s="197"/>
      <c r="O95" s="197"/>
      <c r="P95" s="197"/>
      <c r="Q95" s="197"/>
      <c r="R95" s="197"/>
      <c r="S95" s="197"/>
      <c r="T95" s="197"/>
      <c r="U95" s="197"/>
      <c r="V95" s="197"/>
      <c r="W95" s="197"/>
      <c r="X95" s="197"/>
      <c r="Y95" s="197"/>
      <c r="Z95" s="197"/>
      <c r="AA95" s="197"/>
      <c r="AB95" s="197"/>
      <c r="AC95" s="197"/>
      <c r="AD95" s="197"/>
      <c r="AE95" s="197"/>
      <c r="AF95" s="197"/>
      <c r="AG95" s="197"/>
      <c r="AH95" s="197"/>
      <c r="AI95" s="197"/>
      <c r="AJ95" s="201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</row>
    <row r="96" spans="1:63" ht="15" customHeight="1">
      <c r="A96" s="197"/>
      <c r="B96" s="197"/>
      <c r="C96" s="197"/>
      <c r="D96" s="197"/>
      <c r="E96" s="197"/>
      <c r="F96" s="197"/>
      <c r="G96" s="197"/>
      <c r="H96" s="197"/>
      <c r="I96" s="197"/>
      <c r="J96" s="197"/>
      <c r="K96" s="197"/>
      <c r="L96" s="197"/>
      <c r="M96" s="197"/>
      <c r="N96" s="197"/>
      <c r="O96" s="197"/>
      <c r="P96" s="197"/>
      <c r="Q96" s="197"/>
      <c r="R96" s="197"/>
      <c r="S96" s="197"/>
      <c r="T96" s="197"/>
      <c r="U96" s="197"/>
      <c r="V96" s="197"/>
      <c r="W96" s="197"/>
      <c r="X96" s="197"/>
      <c r="Y96" s="197"/>
      <c r="Z96" s="197"/>
      <c r="AA96" s="197"/>
      <c r="AB96" s="197"/>
      <c r="AC96" s="197"/>
      <c r="AD96" s="197"/>
      <c r="AE96" s="197"/>
      <c r="AF96" s="197"/>
      <c r="AG96" s="197"/>
      <c r="AH96" s="197"/>
      <c r="AI96" s="197"/>
      <c r="AJ96" s="201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</row>
    <row r="97" spans="1:63" ht="15" customHeight="1">
      <c r="A97" s="197"/>
      <c r="B97" s="197"/>
      <c r="C97" s="197"/>
      <c r="D97" s="197"/>
      <c r="E97" s="197"/>
      <c r="F97" s="197"/>
      <c r="G97" s="197"/>
      <c r="H97" s="197"/>
      <c r="I97" s="197"/>
      <c r="J97" s="197"/>
      <c r="K97" s="197"/>
      <c r="L97" s="197"/>
      <c r="M97" s="197"/>
      <c r="N97" s="197"/>
      <c r="O97" s="197"/>
      <c r="P97" s="197"/>
      <c r="Q97" s="197"/>
      <c r="R97" s="197"/>
      <c r="S97" s="197"/>
      <c r="T97" s="197"/>
      <c r="U97" s="197"/>
      <c r="V97" s="197"/>
      <c r="W97" s="197"/>
      <c r="X97" s="197"/>
      <c r="Y97" s="197"/>
      <c r="Z97" s="197"/>
      <c r="AA97" s="197"/>
      <c r="AB97" s="197"/>
      <c r="AC97" s="197"/>
      <c r="AD97" s="197"/>
      <c r="AE97" s="197"/>
      <c r="AF97" s="197"/>
      <c r="AG97" s="197"/>
      <c r="AH97" s="197"/>
      <c r="AI97" s="197"/>
      <c r="AJ97" s="201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</row>
    <row r="98" spans="1:63" ht="15" customHeight="1">
      <c r="A98" s="197"/>
      <c r="B98" s="197"/>
      <c r="C98" s="197"/>
      <c r="D98" s="197"/>
      <c r="E98" s="197"/>
      <c r="F98" s="197"/>
      <c r="G98" s="197"/>
      <c r="H98" s="197"/>
      <c r="I98" s="197"/>
      <c r="J98" s="197"/>
      <c r="K98" s="197"/>
      <c r="L98" s="197"/>
      <c r="M98" s="197"/>
      <c r="N98" s="197"/>
      <c r="O98" s="197"/>
      <c r="P98" s="197"/>
      <c r="Q98" s="197"/>
      <c r="R98" s="197"/>
      <c r="S98" s="197"/>
      <c r="T98" s="197"/>
      <c r="U98" s="197"/>
      <c r="V98" s="197"/>
      <c r="W98" s="197"/>
      <c r="X98" s="197"/>
      <c r="Y98" s="197"/>
      <c r="Z98" s="197"/>
      <c r="AA98" s="197"/>
      <c r="AB98" s="197"/>
      <c r="AC98" s="197"/>
      <c r="AD98" s="197"/>
      <c r="AE98" s="197"/>
      <c r="AF98" s="197"/>
      <c r="AG98" s="197"/>
      <c r="AH98" s="197"/>
      <c r="AI98" s="197"/>
      <c r="AJ98" s="201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</row>
    <row r="99" spans="1:63" ht="15" customHeight="1">
      <c r="A99" s="197"/>
      <c r="B99" s="197"/>
      <c r="C99" s="197"/>
      <c r="D99" s="197"/>
      <c r="E99" s="197"/>
      <c r="F99" s="197"/>
      <c r="G99" s="197"/>
      <c r="H99" s="197"/>
      <c r="I99" s="197"/>
      <c r="J99" s="197"/>
      <c r="K99" s="197"/>
      <c r="L99" s="197"/>
      <c r="M99" s="197"/>
      <c r="N99" s="197"/>
      <c r="O99" s="197"/>
      <c r="P99" s="197"/>
      <c r="Q99" s="197"/>
      <c r="R99" s="197"/>
      <c r="S99" s="197"/>
      <c r="T99" s="197"/>
      <c r="U99" s="197"/>
      <c r="V99" s="197"/>
      <c r="W99" s="197"/>
      <c r="X99" s="197"/>
      <c r="Y99" s="197"/>
      <c r="Z99" s="197"/>
      <c r="AA99" s="197"/>
      <c r="AB99" s="197"/>
      <c r="AC99" s="197"/>
      <c r="AD99" s="197"/>
      <c r="AE99" s="197"/>
      <c r="AF99" s="197"/>
      <c r="AG99" s="197"/>
      <c r="AH99" s="197"/>
      <c r="AI99" s="197"/>
      <c r="AJ99" s="201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</row>
    <row r="100" spans="1:63" ht="15" customHeight="1">
      <c r="A100" s="197"/>
      <c r="B100" s="197"/>
      <c r="C100" s="197"/>
      <c r="D100" s="197"/>
      <c r="E100" s="197"/>
      <c r="F100" s="197"/>
      <c r="G100" s="197"/>
      <c r="H100" s="197"/>
      <c r="I100" s="197"/>
      <c r="J100" s="197"/>
      <c r="K100" s="197"/>
      <c r="L100" s="197"/>
      <c r="M100" s="197"/>
      <c r="N100" s="197"/>
      <c r="O100" s="197"/>
      <c r="P100" s="197"/>
      <c r="Q100" s="197"/>
      <c r="R100" s="197"/>
      <c r="S100" s="197"/>
      <c r="T100" s="197"/>
      <c r="U100" s="197"/>
      <c r="V100" s="197"/>
      <c r="W100" s="197"/>
      <c r="X100" s="197"/>
      <c r="Y100" s="197"/>
      <c r="Z100" s="197"/>
      <c r="AA100" s="197"/>
      <c r="AB100" s="197"/>
      <c r="AC100" s="197"/>
      <c r="AD100" s="197"/>
      <c r="AE100" s="197"/>
      <c r="AF100" s="197"/>
      <c r="AG100" s="197"/>
      <c r="AH100" s="197"/>
      <c r="AI100" s="197"/>
      <c r="AJ100" s="201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</row>
    <row r="101" spans="1:63" ht="15" customHeight="1">
      <c r="A101" s="197"/>
      <c r="B101" s="197"/>
      <c r="C101" s="197"/>
      <c r="D101" s="197"/>
      <c r="E101" s="197"/>
      <c r="F101" s="197"/>
      <c r="G101" s="197"/>
      <c r="H101" s="197"/>
      <c r="I101" s="197"/>
      <c r="J101" s="197"/>
      <c r="K101" s="197"/>
      <c r="L101" s="197"/>
      <c r="M101" s="197"/>
      <c r="N101" s="197"/>
      <c r="O101" s="197"/>
      <c r="P101" s="197"/>
      <c r="Q101" s="197"/>
      <c r="R101" s="197"/>
      <c r="S101" s="197"/>
      <c r="T101" s="197"/>
      <c r="U101" s="197"/>
      <c r="V101" s="197"/>
      <c r="W101" s="197"/>
      <c r="X101" s="197"/>
      <c r="Y101" s="197"/>
      <c r="Z101" s="197"/>
      <c r="AA101" s="197"/>
      <c r="AB101" s="197"/>
      <c r="AC101" s="197"/>
      <c r="AD101" s="197"/>
      <c r="AE101" s="197"/>
      <c r="AF101" s="197"/>
      <c r="AG101" s="197"/>
      <c r="AH101" s="197"/>
      <c r="AI101" s="197"/>
      <c r="AJ101" s="201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</row>
    <row r="102" spans="1:63" ht="15" customHeight="1">
      <c r="A102" s="197"/>
      <c r="B102" s="197"/>
      <c r="C102" s="197"/>
      <c r="D102" s="197"/>
      <c r="E102" s="197"/>
      <c r="F102" s="197"/>
      <c r="G102" s="197"/>
      <c r="H102" s="197"/>
      <c r="I102" s="197"/>
      <c r="J102" s="197"/>
      <c r="K102" s="197"/>
      <c r="L102" s="197"/>
      <c r="M102" s="197"/>
      <c r="N102" s="197"/>
      <c r="O102" s="197"/>
      <c r="P102" s="197"/>
      <c r="Q102" s="197"/>
      <c r="R102" s="197"/>
      <c r="S102" s="197"/>
      <c r="T102" s="197"/>
      <c r="U102" s="197"/>
      <c r="V102" s="197"/>
      <c r="W102" s="197"/>
      <c r="X102" s="197"/>
      <c r="Y102" s="197"/>
      <c r="Z102" s="197"/>
      <c r="AA102" s="197"/>
      <c r="AB102" s="197"/>
      <c r="AC102" s="197"/>
      <c r="AD102" s="197"/>
      <c r="AE102" s="197"/>
      <c r="AF102" s="197"/>
      <c r="AG102" s="197"/>
      <c r="AH102" s="197"/>
      <c r="AI102" s="197"/>
      <c r="AJ102" s="201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</row>
    <row r="103" spans="1:63" ht="15" customHeight="1">
      <c r="A103" s="197"/>
      <c r="B103" s="197"/>
      <c r="C103" s="197"/>
      <c r="D103" s="197"/>
      <c r="E103" s="197"/>
      <c r="F103" s="197"/>
      <c r="G103" s="197"/>
      <c r="H103" s="197"/>
      <c r="I103" s="197"/>
      <c r="J103" s="197"/>
      <c r="K103" s="197"/>
      <c r="L103" s="197"/>
      <c r="M103" s="197"/>
      <c r="N103" s="197"/>
      <c r="O103" s="197"/>
      <c r="P103" s="197"/>
      <c r="Q103" s="197"/>
      <c r="R103" s="197"/>
      <c r="S103" s="197"/>
      <c r="T103" s="197"/>
      <c r="U103" s="197"/>
      <c r="V103" s="197"/>
      <c r="W103" s="197"/>
      <c r="X103" s="197"/>
      <c r="Y103" s="197"/>
      <c r="Z103" s="197"/>
      <c r="AA103" s="197"/>
      <c r="AB103" s="197"/>
      <c r="AC103" s="197"/>
      <c r="AD103" s="197"/>
      <c r="AE103" s="197"/>
      <c r="AF103" s="197"/>
      <c r="AG103" s="197"/>
      <c r="AH103" s="197"/>
      <c r="AI103" s="197"/>
      <c r="AJ103" s="201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</row>
    <row r="104" spans="1:63" ht="15" customHeight="1">
      <c r="A104" s="197"/>
      <c r="B104" s="197"/>
      <c r="C104" s="197"/>
      <c r="D104" s="197"/>
      <c r="E104" s="197"/>
      <c r="F104" s="197"/>
      <c r="G104" s="197"/>
      <c r="H104" s="197"/>
      <c r="I104" s="197"/>
      <c r="J104" s="197"/>
      <c r="K104" s="197"/>
      <c r="L104" s="197"/>
      <c r="M104" s="197"/>
      <c r="N104" s="197"/>
      <c r="O104" s="197"/>
      <c r="P104" s="197"/>
      <c r="Q104" s="197"/>
      <c r="R104" s="197"/>
      <c r="S104" s="197"/>
      <c r="T104" s="197"/>
      <c r="U104" s="197"/>
      <c r="V104" s="197"/>
      <c r="W104" s="197"/>
      <c r="X104" s="197"/>
      <c r="Y104" s="197"/>
      <c r="Z104" s="197"/>
      <c r="AA104" s="197"/>
      <c r="AB104" s="197"/>
      <c r="AC104" s="197"/>
      <c r="AD104" s="197"/>
      <c r="AE104" s="197"/>
      <c r="AF104" s="197"/>
      <c r="AG104" s="197"/>
      <c r="AH104" s="197"/>
      <c r="AI104" s="197"/>
      <c r="AJ104" s="201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</row>
    <row r="105" spans="1:63" ht="15" customHeight="1">
      <c r="A105" s="197"/>
      <c r="B105" s="197"/>
      <c r="C105" s="197"/>
      <c r="D105" s="197"/>
      <c r="E105" s="197"/>
      <c r="F105" s="197"/>
      <c r="G105" s="197"/>
      <c r="H105" s="197"/>
      <c r="I105" s="197"/>
      <c r="J105" s="197"/>
      <c r="K105" s="197"/>
      <c r="L105" s="197"/>
      <c r="M105" s="197"/>
      <c r="N105" s="197"/>
      <c r="O105" s="197"/>
      <c r="P105" s="197"/>
      <c r="Q105" s="197"/>
      <c r="R105" s="197"/>
      <c r="S105" s="197"/>
      <c r="T105" s="197"/>
      <c r="U105" s="197"/>
      <c r="V105" s="197"/>
      <c r="W105" s="197"/>
      <c r="X105" s="197"/>
      <c r="Y105" s="197"/>
      <c r="Z105" s="197"/>
      <c r="AA105" s="197"/>
      <c r="AB105" s="197"/>
      <c r="AC105" s="197"/>
      <c r="AD105" s="197"/>
      <c r="AE105" s="197"/>
      <c r="AF105" s="197"/>
      <c r="AG105" s="197"/>
      <c r="AH105" s="197"/>
      <c r="AI105" s="197"/>
      <c r="AJ105" s="201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</row>
    <row r="106" spans="1:63" ht="15" customHeight="1">
      <c r="A106" s="197"/>
      <c r="B106" s="197"/>
      <c r="C106" s="197"/>
      <c r="D106" s="197"/>
      <c r="E106" s="197"/>
      <c r="F106" s="197"/>
      <c r="G106" s="197"/>
      <c r="H106" s="197"/>
      <c r="I106" s="197"/>
      <c r="J106" s="197"/>
      <c r="K106" s="197"/>
      <c r="L106" s="197"/>
      <c r="M106" s="197"/>
      <c r="N106" s="197"/>
      <c r="O106" s="197"/>
      <c r="P106" s="197"/>
      <c r="Q106" s="197"/>
      <c r="R106" s="197"/>
      <c r="S106" s="197"/>
      <c r="T106" s="197"/>
      <c r="U106" s="197"/>
      <c r="V106" s="197"/>
      <c r="W106" s="197"/>
      <c r="X106" s="197"/>
      <c r="Y106" s="197"/>
      <c r="Z106" s="197"/>
      <c r="AA106" s="197"/>
      <c r="AB106" s="197"/>
      <c r="AC106" s="197"/>
      <c r="AD106" s="197"/>
      <c r="AE106" s="197"/>
      <c r="AF106" s="197"/>
      <c r="AG106" s="197"/>
      <c r="AH106" s="197"/>
      <c r="AI106" s="197"/>
      <c r="AJ106" s="201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</row>
    <row r="107" spans="1:63" ht="15" customHeight="1">
      <c r="A107" s="197"/>
      <c r="B107" s="197"/>
      <c r="C107" s="197"/>
      <c r="D107" s="197"/>
      <c r="E107" s="197"/>
      <c r="F107" s="197"/>
      <c r="G107" s="197"/>
      <c r="H107" s="197"/>
      <c r="I107" s="197"/>
      <c r="J107" s="197"/>
      <c r="K107" s="197"/>
      <c r="L107" s="197"/>
      <c r="M107" s="197"/>
      <c r="N107" s="197"/>
      <c r="O107" s="197"/>
      <c r="P107" s="197"/>
      <c r="Q107" s="197"/>
      <c r="R107" s="197"/>
      <c r="S107" s="197"/>
      <c r="T107" s="197"/>
      <c r="U107" s="197"/>
      <c r="V107" s="197"/>
      <c r="W107" s="197"/>
      <c r="X107" s="197"/>
      <c r="Y107" s="197"/>
      <c r="Z107" s="197"/>
      <c r="AA107" s="197"/>
      <c r="AB107" s="197"/>
      <c r="AC107" s="197"/>
      <c r="AD107" s="197"/>
      <c r="AE107" s="197"/>
      <c r="AF107" s="197"/>
      <c r="AG107" s="197"/>
      <c r="AH107" s="197"/>
      <c r="AI107" s="197"/>
      <c r="AJ107" s="201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</row>
    <row r="108" spans="1:63" ht="15" customHeight="1">
      <c r="A108" s="197"/>
      <c r="B108" s="197"/>
      <c r="C108" s="197"/>
      <c r="D108" s="197"/>
      <c r="E108" s="197"/>
      <c r="F108" s="197"/>
      <c r="G108" s="197"/>
      <c r="H108" s="197"/>
      <c r="I108" s="197"/>
      <c r="J108" s="197"/>
      <c r="K108" s="197"/>
      <c r="L108" s="197"/>
      <c r="M108" s="197"/>
      <c r="N108" s="197"/>
      <c r="O108" s="197"/>
      <c r="P108" s="197"/>
      <c r="Q108" s="197"/>
      <c r="R108" s="197"/>
      <c r="S108" s="197"/>
      <c r="T108" s="197"/>
      <c r="U108" s="197"/>
      <c r="V108" s="197"/>
      <c r="W108" s="197"/>
      <c r="X108" s="197"/>
      <c r="Y108" s="197"/>
      <c r="Z108" s="197"/>
      <c r="AA108" s="197"/>
      <c r="AB108" s="197"/>
      <c r="AC108" s="197"/>
      <c r="AD108" s="197"/>
      <c r="AE108" s="197"/>
      <c r="AF108" s="197"/>
      <c r="AG108" s="197"/>
      <c r="AH108" s="197"/>
      <c r="AI108" s="197"/>
      <c r="AJ108" s="201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</row>
    <row r="109" spans="1:63" ht="15" customHeight="1">
      <c r="A109" s="197"/>
      <c r="B109" s="197"/>
      <c r="C109" s="197"/>
      <c r="D109" s="197"/>
      <c r="E109" s="197"/>
      <c r="F109" s="197"/>
      <c r="G109" s="197"/>
      <c r="H109" s="197"/>
      <c r="I109" s="197"/>
      <c r="J109" s="197"/>
      <c r="K109" s="197"/>
      <c r="L109" s="197"/>
      <c r="M109" s="197"/>
      <c r="N109" s="197"/>
      <c r="O109" s="197"/>
      <c r="P109" s="197"/>
      <c r="Q109" s="197"/>
      <c r="R109" s="197"/>
      <c r="S109" s="197"/>
      <c r="T109" s="197"/>
      <c r="U109" s="197"/>
      <c r="V109" s="197"/>
      <c r="W109" s="197"/>
      <c r="X109" s="197"/>
      <c r="Y109" s="197"/>
      <c r="Z109" s="197"/>
      <c r="AA109" s="197"/>
      <c r="AB109" s="197"/>
      <c r="AC109" s="197"/>
      <c r="AD109" s="197"/>
      <c r="AE109" s="197"/>
      <c r="AF109" s="197"/>
      <c r="AG109" s="197"/>
      <c r="AH109" s="197"/>
      <c r="AI109" s="197"/>
      <c r="AJ109" s="201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</row>
    <row r="110" spans="1:63" ht="15" customHeight="1">
      <c r="A110" s="197"/>
      <c r="B110" s="197"/>
      <c r="C110" s="197"/>
      <c r="D110" s="197"/>
      <c r="E110" s="197"/>
      <c r="F110" s="197"/>
      <c r="G110" s="197"/>
      <c r="H110" s="197"/>
      <c r="I110" s="197"/>
      <c r="J110" s="197"/>
      <c r="K110" s="197"/>
      <c r="L110" s="197"/>
      <c r="M110" s="197"/>
      <c r="N110" s="197"/>
      <c r="O110" s="197"/>
      <c r="P110" s="197"/>
      <c r="Q110" s="197"/>
      <c r="R110" s="197"/>
      <c r="S110" s="197"/>
      <c r="T110" s="197"/>
      <c r="U110" s="197"/>
      <c r="V110" s="197"/>
      <c r="W110" s="197"/>
      <c r="X110" s="197"/>
      <c r="Y110" s="197"/>
      <c r="Z110" s="197"/>
      <c r="AA110" s="197"/>
      <c r="AB110" s="197"/>
      <c r="AC110" s="197"/>
      <c r="AD110" s="197"/>
      <c r="AE110" s="197"/>
      <c r="AF110" s="197"/>
      <c r="AG110" s="197"/>
      <c r="AH110" s="197"/>
      <c r="AI110" s="197"/>
      <c r="AJ110" s="201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</row>
    <row r="111" spans="1:63" ht="15" customHeight="1">
      <c r="A111" s="197"/>
      <c r="B111" s="197"/>
      <c r="C111" s="197"/>
      <c r="D111" s="197"/>
      <c r="E111" s="197"/>
      <c r="F111" s="197"/>
      <c r="G111" s="197"/>
      <c r="H111" s="197"/>
      <c r="I111" s="197"/>
      <c r="J111" s="197"/>
      <c r="K111" s="197"/>
      <c r="L111" s="197"/>
      <c r="M111" s="197"/>
      <c r="N111" s="197"/>
      <c r="O111" s="197"/>
      <c r="P111" s="197"/>
      <c r="Q111" s="197"/>
      <c r="R111" s="197"/>
      <c r="S111" s="197"/>
      <c r="T111" s="197"/>
      <c r="U111" s="197"/>
      <c r="V111" s="197"/>
      <c r="W111" s="197"/>
      <c r="X111" s="197"/>
      <c r="Y111" s="197"/>
      <c r="Z111" s="197"/>
      <c r="AA111" s="197"/>
      <c r="AB111" s="197"/>
      <c r="AC111" s="197"/>
      <c r="AD111" s="197"/>
      <c r="AE111" s="197"/>
      <c r="AF111" s="197"/>
      <c r="AG111" s="197"/>
      <c r="AH111" s="197"/>
      <c r="AI111" s="197"/>
      <c r="AJ111" s="201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</row>
    <row r="112" spans="1:63" ht="15" customHeight="1">
      <c r="A112" s="197"/>
      <c r="B112" s="197"/>
      <c r="C112" s="197"/>
      <c r="D112" s="197"/>
      <c r="E112" s="197"/>
      <c r="F112" s="197"/>
      <c r="G112" s="197"/>
      <c r="H112" s="197"/>
      <c r="I112" s="197"/>
      <c r="J112" s="197"/>
      <c r="K112" s="197"/>
      <c r="L112" s="197"/>
      <c r="M112" s="197"/>
      <c r="N112" s="197"/>
      <c r="O112" s="197"/>
      <c r="P112" s="197"/>
      <c r="Q112" s="197"/>
      <c r="R112" s="197"/>
      <c r="S112" s="197"/>
      <c r="T112" s="197"/>
      <c r="U112" s="197"/>
      <c r="V112" s="197"/>
      <c r="W112" s="197"/>
      <c r="X112" s="197"/>
      <c r="Y112" s="197"/>
      <c r="Z112" s="197"/>
      <c r="AA112" s="197"/>
      <c r="AB112" s="197"/>
      <c r="AC112" s="197"/>
      <c r="AD112" s="197"/>
      <c r="AE112" s="197"/>
      <c r="AF112" s="197"/>
      <c r="AG112" s="197"/>
      <c r="AH112" s="197"/>
      <c r="AI112" s="197"/>
      <c r="AJ112" s="201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</row>
    <row r="113" spans="1:63" ht="15" customHeight="1">
      <c r="A113" s="197"/>
      <c r="B113" s="197"/>
      <c r="C113" s="197"/>
      <c r="D113" s="197"/>
      <c r="E113" s="197"/>
      <c r="F113" s="197"/>
      <c r="G113" s="197"/>
      <c r="H113" s="197"/>
      <c r="I113" s="197"/>
      <c r="J113" s="197"/>
      <c r="K113" s="197"/>
      <c r="L113" s="197"/>
      <c r="M113" s="197"/>
      <c r="N113" s="197"/>
      <c r="O113" s="197"/>
      <c r="P113" s="197"/>
      <c r="Q113" s="197"/>
      <c r="R113" s="197"/>
      <c r="S113" s="197"/>
      <c r="T113" s="197"/>
      <c r="U113" s="197"/>
      <c r="V113" s="197"/>
      <c r="W113" s="197"/>
      <c r="X113" s="197"/>
      <c r="Y113" s="197"/>
      <c r="Z113" s="197"/>
      <c r="AA113" s="197"/>
      <c r="AB113" s="197"/>
      <c r="AC113" s="197"/>
      <c r="AD113" s="197"/>
      <c r="AE113" s="197"/>
      <c r="AF113" s="197"/>
      <c r="AG113" s="197"/>
      <c r="AH113" s="197"/>
      <c r="AI113" s="197"/>
      <c r="AJ113" s="201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</row>
    <row r="114" spans="1:63" ht="15" customHeight="1">
      <c r="A114" s="197"/>
      <c r="B114" s="197"/>
      <c r="C114" s="197"/>
      <c r="D114" s="197"/>
      <c r="E114" s="197"/>
      <c r="F114" s="197"/>
      <c r="G114" s="197"/>
      <c r="H114" s="197"/>
      <c r="I114" s="197"/>
      <c r="J114" s="197"/>
      <c r="K114" s="197"/>
      <c r="L114" s="197"/>
      <c r="M114" s="197"/>
      <c r="N114" s="197"/>
      <c r="O114" s="197"/>
      <c r="P114" s="197"/>
      <c r="Q114" s="197"/>
      <c r="R114" s="197"/>
      <c r="S114" s="197"/>
      <c r="T114" s="197"/>
      <c r="U114" s="197"/>
      <c r="V114" s="197"/>
      <c r="W114" s="197"/>
      <c r="X114" s="197"/>
      <c r="Y114" s="197"/>
      <c r="Z114" s="197"/>
      <c r="AA114" s="197"/>
      <c r="AB114" s="197"/>
      <c r="AC114" s="197"/>
      <c r="AD114" s="197"/>
      <c r="AE114" s="197"/>
      <c r="AF114" s="197"/>
      <c r="AG114" s="197"/>
      <c r="AH114" s="197"/>
      <c r="AI114" s="197"/>
      <c r="AJ114" s="201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</row>
    <row r="115" spans="1:63" ht="15" customHeight="1">
      <c r="A115" s="197"/>
      <c r="B115" s="197"/>
      <c r="C115" s="197"/>
      <c r="D115" s="197"/>
      <c r="E115" s="197"/>
      <c r="F115" s="197"/>
      <c r="G115" s="197"/>
      <c r="H115" s="197"/>
      <c r="I115" s="197"/>
      <c r="J115" s="197"/>
      <c r="K115" s="197"/>
      <c r="L115" s="197"/>
      <c r="M115" s="197"/>
      <c r="N115" s="197"/>
      <c r="O115" s="197"/>
      <c r="P115" s="197"/>
      <c r="Q115" s="197"/>
      <c r="R115" s="197"/>
      <c r="S115" s="197"/>
      <c r="T115" s="197"/>
      <c r="U115" s="197"/>
      <c r="V115" s="197"/>
      <c r="W115" s="197"/>
      <c r="X115" s="197"/>
      <c r="Y115" s="197"/>
      <c r="Z115" s="197"/>
      <c r="AA115" s="197"/>
      <c r="AB115" s="197"/>
      <c r="AC115" s="197"/>
      <c r="AD115" s="197"/>
      <c r="AE115" s="197"/>
      <c r="AF115" s="197"/>
      <c r="AG115" s="197"/>
      <c r="AH115" s="197"/>
      <c r="AI115" s="197"/>
      <c r="AJ115" s="201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</row>
    <row r="116" spans="1:63" ht="15" customHeight="1">
      <c r="A116" s="197"/>
      <c r="B116" s="197"/>
      <c r="C116" s="197"/>
      <c r="D116" s="197"/>
      <c r="E116" s="197"/>
      <c r="F116" s="197"/>
      <c r="G116" s="197"/>
      <c r="H116" s="197"/>
      <c r="I116" s="197"/>
      <c r="J116" s="197"/>
      <c r="K116" s="197"/>
      <c r="L116" s="197"/>
      <c r="M116" s="197"/>
      <c r="N116" s="197"/>
      <c r="O116" s="197"/>
      <c r="P116" s="197"/>
      <c r="Q116" s="197"/>
      <c r="R116" s="197"/>
      <c r="S116" s="197"/>
      <c r="T116" s="197"/>
      <c r="U116" s="197"/>
      <c r="V116" s="197"/>
      <c r="W116" s="197"/>
      <c r="X116" s="197"/>
      <c r="Y116" s="197"/>
      <c r="Z116" s="197"/>
      <c r="AA116" s="197"/>
      <c r="AB116" s="197"/>
      <c r="AC116" s="197"/>
      <c r="AD116" s="197"/>
      <c r="AE116" s="197"/>
      <c r="AF116" s="197"/>
      <c r="AG116" s="197"/>
      <c r="AH116" s="197"/>
      <c r="AI116" s="197"/>
      <c r="AJ116" s="201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</row>
    <row r="117" spans="1:63" ht="15" customHeight="1">
      <c r="A117" s="197"/>
      <c r="B117" s="197"/>
      <c r="C117" s="197"/>
      <c r="D117" s="197"/>
      <c r="E117" s="197"/>
      <c r="F117" s="197"/>
      <c r="G117" s="197"/>
      <c r="H117" s="197"/>
      <c r="I117" s="197"/>
      <c r="J117" s="197"/>
      <c r="K117" s="197"/>
      <c r="L117" s="197"/>
      <c r="M117" s="197"/>
      <c r="N117" s="197"/>
      <c r="O117" s="197"/>
      <c r="P117" s="197"/>
      <c r="Q117" s="197"/>
      <c r="R117" s="197"/>
      <c r="S117" s="197"/>
      <c r="T117" s="197"/>
      <c r="U117" s="197"/>
      <c r="V117" s="197"/>
      <c r="W117" s="197"/>
      <c r="X117" s="197"/>
      <c r="Y117" s="197"/>
      <c r="Z117" s="197"/>
      <c r="AA117" s="197"/>
      <c r="AB117" s="197"/>
      <c r="AC117" s="197"/>
      <c r="AD117" s="197"/>
      <c r="AE117" s="197"/>
      <c r="AF117" s="197"/>
      <c r="AG117" s="197"/>
      <c r="AH117" s="197"/>
      <c r="AI117" s="197"/>
      <c r="AJ117" s="201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</row>
    <row r="118" spans="1:63" ht="15" customHeight="1">
      <c r="A118" s="197"/>
      <c r="B118" s="197"/>
      <c r="C118" s="197"/>
      <c r="D118" s="197"/>
      <c r="E118" s="197"/>
      <c r="F118" s="197"/>
      <c r="G118" s="197"/>
      <c r="H118" s="197"/>
      <c r="I118" s="197"/>
      <c r="J118" s="197"/>
      <c r="K118" s="197"/>
      <c r="L118" s="197"/>
      <c r="M118" s="197"/>
      <c r="N118" s="197"/>
      <c r="O118" s="197"/>
      <c r="P118" s="197"/>
      <c r="Q118" s="197"/>
      <c r="R118" s="197"/>
      <c r="S118" s="197"/>
      <c r="T118" s="197"/>
      <c r="U118" s="197"/>
      <c r="V118" s="197"/>
      <c r="W118" s="197"/>
      <c r="X118" s="197"/>
      <c r="Y118" s="197"/>
      <c r="Z118" s="197"/>
      <c r="AA118" s="197"/>
      <c r="AB118" s="197"/>
      <c r="AC118" s="197"/>
      <c r="AD118" s="197"/>
      <c r="AE118" s="197"/>
      <c r="AF118" s="197"/>
      <c r="AG118" s="197"/>
      <c r="AH118" s="197"/>
      <c r="AI118" s="197"/>
      <c r="AJ118" s="201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</row>
    <row r="119" spans="1:63" ht="15" customHeight="1">
      <c r="A119" s="197"/>
      <c r="B119" s="197"/>
      <c r="C119" s="197"/>
      <c r="D119" s="197"/>
      <c r="E119" s="197"/>
      <c r="F119" s="197"/>
      <c r="G119" s="197"/>
      <c r="H119" s="197"/>
      <c r="I119" s="197"/>
      <c r="J119" s="197"/>
      <c r="K119" s="197"/>
      <c r="L119" s="197"/>
      <c r="M119" s="197"/>
      <c r="N119" s="197"/>
      <c r="O119" s="197"/>
      <c r="P119" s="197"/>
      <c r="Q119" s="197"/>
      <c r="R119" s="197"/>
      <c r="S119" s="197"/>
      <c r="T119" s="197"/>
      <c r="U119" s="197"/>
      <c r="V119" s="197"/>
      <c r="W119" s="197"/>
      <c r="X119" s="197"/>
      <c r="Y119" s="197"/>
      <c r="Z119" s="197"/>
      <c r="AA119" s="197"/>
      <c r="AB119" s="197"/>
      <c r="AC119" s="197"/>
      <c r="AD119" s="197"/>
      <c r="AE119" s="197"/>
      <c r="AF119" s="197"/>
      <c r="AG119" s="197"/>
      <c r="AH119" s="197"/>
      <c r="AI119" s="197"/>
      <c r="AJ119" s="201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</row>
    <row r="120" spans="1:63" ht="15" customHeight="1">
      <c r="A120" s="197"/>
      <c r="B120" s="197"/>
      <c r="C120" s="197"/>
      <c r="D120" s="197"/>
      <c r="E120" s="197"/>
      <c r="F120" s="197"/>
      <c r="G120" s="197"/>
      <c r="H120" s="197"/>
      <c r="I120" s="197"/>
      <c r="J120" s="197"/>
      <c r="K120" s="197"/>
      <c r="L120" s="197"/>
      <c r="M120" s="197"/>
      <c r="N120" s="197"/>
      <c r="O120" s="197"/>
      <c r="P120" s="197"/>
      <c r="Q120" s="197"/>
      <c r="R120" s="197"/>
      <c r="S120" s="197"/>
      <c r="T120" s="197"/>
      <c r="U120" s="197"/>
      <c r="V120" s="197"/>
      <c r="W120" s="197"/>
      <c r="X120" s="197"/>
      <c r="Y120" s="197"/>
      <c r="Z120" s="197"/>
      <c r="AA120" s="197"/>
      <c r="AB120" s="197"/>
      <c r="AC120" s="197"/>
      <c r="AD120" s="197"/>
      <c r="AE120" s="197"/>
      <c r="AF120" s="197"/>
      <c r="AG120" s="197"/>
      <c r="AH120" s="197"/>
      <c r="AI120" s="197"/>
      <c r="AJ120" s="201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</row>
    <row r="121" spans="1:63" ht="15" customHeight="1">
      <c r="A121" s="197"/>
      <c r="B121" s="197"/>
      <c r="C121" s="197"/>
      <c r="D121" s="197"/>
      <c r="E121" s="197"/>
      <c r="F121" s="197"/>
      <c r="G121" s="197"/>
      <c r="H121" s="197"/>
      <c r="I121" s="197"/>
      <c r="J121" s="197"/>
      <c r="K121" s="197"/>
      <c r="L121" s="197"/>
      <c r="M121" s="197"/>
      <c r="N121" s="197"/>
      <c r="O121" s="197"/>
      <c r="P121" s="197"/>
      <c r="Q121" s="197"/>
      <c r="R121" s="197"/>
      <c r="S121" s="197"/>
      <c r="T121" s="197"/>
      <c r="U121" s="197"/>
      <c r="V121" s="197"/>
      <c r="W121" s="197"/>
      <c r="X121" s="197"/>
      <c r="Y121" s="197"/>
      <c r="Z121" s="197"/>
      <c r="AA121" s="197"/>
      <c r="AB121" s="197"/>
      <c r="AC121" s="197"/>
      <c r="AD121" s="197"/>
      <c r="AE121" s="197"/>
      <c r="AF121" s="197"/>
      <c r="AG121" s="197"/>
      <c r="AH121" s="197"/>
      <c r="AI121" s="197"/>
      <c r="AJ121" s="201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</row>
    <row r="122" spans="1:63" ht="15" customHeight="1">
      <c r="A122" s="197"/>
      <c r="B122" s="197"/>
      <c r="C122" s="197"/>
      <c r="D122" s="197"/>
      <c r="E122" s="197"/>
      <c r="F122" s="197"/>
      <c r="G122" s="197"/>
      <c r="H122" s="197"/>
      <c r="I122" s="197"/>
      <c r="J122" s="197"/>
      <c r="K122" s="197"/>
      <c r="L122" s="197"/>
      <c r="M122" s="197"/>
      <c r="N122" s="197"/>
      <c r="O122" s="197"/>
      <c r="P122" s="197"/>
      <c r="Q122" s="197"/>
      <c r="R122" s="197"/>
      <c r="S122" s="197"/>
      <c r="T122" s="197"/>
      <c r="U122" s="197"/>
      <c r="V122" s="197"/>
      <c r="W122" s="197"/>
      <c r="X122" s="197"/>
      <c r="Y122" s="197"/>
      <c r="Z122" s="197"/>
      <c r="AA122" s="197"/>
      <c r="AB122" s="197"/>
      <c r="AC122" s="197"/>
      <c r="AD122" s="197"/>
      <c r="AE122" s="197"/>
      <c r="AF122" s="197"/>
      <c r="AG122" s="197"/>
      <c r="AH122" s="197"/>
      <c r="AI122" s="197"/>
      <c r="AJ122" s="201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</row>
    <row r="123" spans="1:63" ht="15" customHeight="1">
      <c r="A123" s="197"/>
      <c r="B123" s="197"/>
      <c r="C123" s="197"/>
      <c r="D123" s="197"/>
      <c r="E123" s="197"/>
      <c r="F123" s="197"/>
      <c r="G123" s="197"/>
      <c r="H123" s="197"/>
      <c r="I123" s="197"/>
      <c r="J123" s="197"/>
      <c r="K123" s="197"/>
      <c r="L123" s="197"/>
      <c r="M123" s="197"/>
      <c r="N123" s="197"/>
      <c r="O123" s="197"/>
      <c r="P123" s="197"/>
      <c r="Q123" s="197"/>
      <c r="R123" s="197"/>
      <c r="S123" s="197"/>
      <c r="T123" s="197"/>
      <c r="U123" s="197"/>
      <c r="V123" s="197"/>
      <c r="W123" s="197"/>
      <c r="X123" s="197"/>
      <c r="Y123" s="197"/>
      <c r="Z123" s="197"/>
      <c r="AA123" s="197"/>
      <c r="AB123" s="197"/>
      <c r="AC123" s="197"/>
      <c r="AD123" s="197"/>
      <c r="AE123" s="197"/>
      <c r="AF123" s="197"/>
      <c r="AG123" s="197"/>
      <c r="AH123" s="197"/>
      <c r="AI123" s="197"/>
      <c r="AJ123" s="201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</row>
    <row r="124" spans="1:63" ht="15" customHeight="1">
      <c r="A124" s="197"/>
      <c r="B124" s="197"/>
      <c r="C124" s="197"/>
      <c r="D124" s="197"/>
      <c r="E124" s="197"/>
      <c r="F124" s="197"/>
      <c r="G124" s="197"/>
      <c r="H124" s="197"/>
      <c r="I124" s="197"/>
      <c r="J124" s="197"/>
      <c r="K124" s="197"/>
      <c r="L124" s="197"/>
      <c r="M124" s="197"/>
      <c r="N124" s="197"/>
      <c r="O124" s="197"/>
      <c r="P124" s="197"/>
      <c r="Q124" s="197"/>
      <c r="R124" s="197"/>
      <c r="S124" s="197"/>
      <c r="T124" s="197"/>
      <c r="U124" s="197"/>
      <c r="V124" s="197"/>
      <c r="W124" s="197"/>
      <c r="X124" s="197"/>
      <c r="Y124" s="197"/>
      <c r="Z124" s="197"/>
      <c r="AA124" s="197"/>
      <c r="AB124" s="197"/>
      <c r="AC124" s="197"/>
      <c r="AD124" s="197"/>
      <c r="AE124" s="197"/>
      <c r="AF124" s="197"/>
      <c r="AG124" s="197"/>
      <c r="AH124" s="197"/>
      <c r="AI124" s="197"/>
      <c r="AJ124" s="201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</row>
    <row r="125" spans="1:63" ht="15" customHeight="1">
      <c r="A125" s="197"/>
      <c r="B125" s="197"/>
      <c r="C125" s="197"/>
      <c r="D125" s="197"/>
      <c r="E125" s="197"/>
      <c r="F125" s="197"/>
      <c r="G125" s="197"/>
      <c r="H125" s="197"/>
      <c r="I125" s="197"/>
      <c r="J125" s="197"/>
      <c r="K125" s="197"/>
      <c r="L125" s="197"/>
      <c r="M125" s="197"/>
      <c r="N125" s="197"/>
      <c r="O125" s="197"/>
      <c r="P125" s="197"/>
      <c r="Q125" s="197"/>
      <c r="R125" s="197"/>
      <c r="S125" s="197"/>
      <c r="T125" s="197"/>
      <c r="U125" s="197"/>
      <c r="V125" s="197"/>
      <c r="W125" s="197"/>
      <c r="X125" s="197"/>
      <c r="Y125" s="197"/>
      <c r="Z125" s="197"/>
      <c r="AA125" s="197"/>
      <c r="AB125" s="197"/>
      <c r="AC125" s="197"/>
      <c r="AD125" s="197"/>
      <c r="AE125" s="197"/>
      <c r="AF125" s="197"/>
      <c r="AG125" s="197"/>
      <c r="AH125" s="197"/>
      <c r="AI125" s="197"/>
      <c r="AJ125" s="201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</row>
    <row r="126" spans="1:63" ht="15" customHeight="1">
      <c r="A126" s="197"/>
      <c r="B126" s="197"/>
      <c r="C126" s="197"/>
      <c r="D126" s="197"/>
      <c r="E126" s="197"/>
      <c r="F126" s="197"/>
      <c r="G126" s="197"/>
      <c r="H126" s="197"/>
      <c r="I126" s="197"/>
      <c r="J126" s="197"/>
      <c r="K126" s="197"/>
      <c r="L126" s="197"/>
      <c r="M126" s="197"/>
      <c r="N126" s="197"/>
      <c r="O126" s="197"/>
      <c r="P126" s="197"/>
      <c r="Q126" s="197"/>
      <c r="R126" s="197"/>
      <c r="S126" s="197"/>
      <c r="T126" s="197"/>
      <c r="U126" s="197"/>
      <c r="V126" s="197"/>
      <c r="W126" s="197"/>
      <c r="X126" s="197"/>
      <c r="Y126" s="197"/>
      <c r="Z126" s="197"/>
      <c r="AA126" s="197"/>
      <c r="AB126" s="197"/>
      <c r="AC126" s="197"/>
      <c r="AD126" s="197"/>
      <c r="AE126" s="197"/>
      <c r="AF126" s="197"/>
      <c r="AG126" s="197"/>
      <c r="AH126" s="197"/>
      <c r="AI126" s="197"/>
      <c r="AJ126" s="201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</row>
    <row r="127" spans="1:63" ht="15" customHeight="1">
      <c r="A127" s="197"/>
      <c r="B127" s="197"/>
      <c r="C127" s="197"/>
      <c r="D127" s="197"/>
      <c r="E127" s="197"/>
      <c r="F127" s="197"/>
      <c r="G127" s="197"/>
      <c r="H127" s="197"/>
      <c r="I127" s="197"/>
      <c r="J127" s="197"/>
      <c r="K127" s="197"/>
      <c r="L127" s="197"/>
      <c r="M127" s="197"/>
      <c r="N127" s="197"/>
      <c r="O127" s="197"/>
      <c r="P127" s="197"/>
      <c r="Q127" s="197"/>
      <c r="R127" s="197"/>
      <c r="S127" s="197"/>
      <c r="T127" s="197"/>
      <c r="U127" s="197"/>
      <c r="V127" s="197"/>
      <c r="W127" s="197"/>
      <c r="X127" s="197"/>
      <c r="Y127" s="197"/>
      <c r="Z127" s="197"/>
      <c r="AA127" s="197"/>
      <c r="AB127" s="197"/>
      <c r="AC127" s="197"/>
      <c r="AD127" s="197"/>
      <c r="AE127" s="197"/>
      <c r="AF127" s="197"/>
      <c r="AG127" s="197"/>
      <c r="AH127" s="197"/>
      <c r="AI127" s="197"/>
      <c r="AJ127" s="201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</row>
    <row r="128" spans="1:63" ht="15" customHeight="1">
      <c r="A128" s="197"/>
      <c r="B128" s="197"/>
      <c r="C128" s="197"/>
      <c r="D128" s="197"/>
      <c r="E128" s="197"/>
      <c r="F128" s="197"/>
      <c r="G128" s="197"/>
      <c r="H128" s="197"/>
      <c r="I128" s="197"/>
      <c r="J128" s="197"/>
      <c r="K128" s="197"/>
      <c r="L128" s="197"/>
      <c r="M128" s="197"/>
      <c r="N128" s="197"/>
      <c r="O128" s="197"/>
      <c r="P128" s="197"/>
      <c r="Q128" s="197"/>
      <c r="R128" s="197"/>
      <c r="S128" s="197"/>
      <c r="T128" s="197"/>
      <c r="U128" s="197"/>
      <c r="V128" s="197"/>
      <c r="W128" s="197"/>
      <c r="X128" s="197"/>
      <c r="Y128" s="197"/>
      <c r="Z128" s="197"/>
      <c r="AA128" s="197"/>
      <c r="AB128" s="197"/>
      <c r="AC128" s="197"/>
      <c r="AD128" s="197"/>
      <c r="AE128" s="197"/>
      <c r="AF128" s="197"/>
      <c r="AG128" s="197"/>
      <c r="AH128" s="197"/>
      <c r="AI128" s="197"/>
      <c r="AJ128" s="201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</row>
    <row r="129" spans="1:63" ht="15" customHeight="1">
      <c r="A129" s="197"/>
      <c r="B129" s="197"/>
      <c r="C129" s="197"/>
      <c r="D129" s="197"/>
      <c r="E129" s="197"/>
      <c r="F129" s="197"/>
      <c r="G129" s="197"/>
      <c r="H129" s="197"/>
      <c r="I129" s="197"/>
      <c r="J129" s="197"/>
      <c r="K129" s="197"/>
      <c r="L129" s="197"/>
      <c r="M129" s="197"/>
      <c r="N129" s="197"/>
      <c r="O129" s="197"/>
      <c r="P129" s="197"/>
      <c r="Q129" s="197"/>
      <c r="R129" s="197"/>
      <c r="S129" s="197"/>
      <c r="T129" s="197"/>
      <c r="U129" s="197"/>
      <c r="V129" s="197"/>
      <c r="W129" s="197"/>
      <c r="X129" s="197"/>
      <c r="Y129" s="197"/>
      <c r="Z129" s="197"/>
      <c r="AA129" s="197"/>
      <c r="AB129" s="197"/>
      <c r="AC129" s="197"/>
      <c r="AD129" s="197"/>
      <c r="AE129" s="197"/>
      <c r="AF129" s="197"/>
      <c r="AG129" s="197"/>
      <c r="AH129" s="197"/>
      <c r="AI129" s="197"/>
      <c r="AJ129" s="201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</row>
    <row r="130" spans="1:63" ht="15" customHeight="1">
      <c r="A130" s="197"/>
      <c r="B130" s="197"/>
      <c r="C130" s="197"/>
      <c r="D130" s="197"/>
      <c r="E130" s="197"/>
      <c r="F130" s="197"/>
      <c r="G130" s="197"/>
      <c r="H130" s="197"/>
      <c r="I130" s="197"/>
      <c r="J130" s="197"/>
      <c r="K130" s="197"/>
      <c r="L130" s="197"/>
      <c r="M130" s="197"/>
      <c r="N130" s="197"/>
      <c r="O130" s="197"/>
      <c r="P130" s="197"/>
      <c r="Q130" s="197"/>
      <c r="R130" s="197"/>
      <c r="S130" s="197"/>
      <c r="T130" s="197"/>
      <c r="U130" s="197"/>
      <c r="V130" s="197"/>
      <c r="W130" s="197"/>
      <c r="X130" s="197"/>
      <c r="Y130" s="197"/>
      <c r="Z130" s="197"/>
      <c r="AA130" s="197"/>
      <c r="AB130" s="197"/>
      <c r="AC130" s="197"/>
      <c r="AD130" s="197"/>
      <c r="AE130" s="197"/>
      <c r="AF130" s="197"/>
      <c r="AG130" s="197"/>
      <c r="AH130" s="197"/>
      <c r="AI130" s="197"/>
      <c r="AJ130" s="201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</row>
    <row r="131" spans="1:63" ht="15" customHeight="1">
      <c r="A131" s="197"/>
      <c r="B131" s="197"/>
      <c r="C131" s="197"/>
      <c r="D131" s="197"/>
      <c r="E131" s="197"/>
      <c r="F131" s="197"/>
      <c r="G131" s="197"/>
      <c r="H131" s="197"/>
      <c r="I131" s="197"/>
      <c r="J131" s="197"/>
      <c r="K131" s="197"/>
      <c r="L131" s="197"/>
      <c r="M131" s="197"/>
      <c r="N131" s="197"/>
      <c r="O131" s="197"/>
      <c r="P131" s="197"/>
      <c r="Q131" s="197"/>
      <c r="R131" s="197"/>
      <c r="S131" s="197"/>
      <c r="T131" s="197"/>
      <c r="U131" s="197"/>
      <c r="V131" s="197"/>
      <c r="W131" s="197"/>
      <c r="X131" s="197"/>
      <c r="Y131" s="197"/>
      <c r="Z131" s="197"/>
      <c r="AA131" s="197"/>
      <c r="AB131" s="197"/>
      <c r="AC131" s="197"/>
      <c r="AD131" s="197"/>
      <c r="AE131" s="197"/>
      <c r="AF131" s="197"/>
      <c r="AG131" s="197"/>
      <c r="AH131" s="197"/>
      <c r="AI131" s="197"/>
      <c r="AJ131" s="201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</row>
    <row r="132" spans="1:63" ht="15" customHeight="1">
      <c r="A132" s="197"/>
      <c r="B132" s="197"/>
      <c r="C132" s="197"/>
      <c r="D132" s="197"/>
      <c r="E132" s="197"/>
      <c r="F132" s="197"/>
      <c r="G132" s="197"/>
      <c r="H132" s="197"/>
      <c r="I132" s="197"/>
      <c r="J132" s="197"/>
      <c r="K132" s="197"/>
      <c r="L132" s="197"/>
      <c r="M132" s="197"/>
      <c r="N132" s="197"/>
      <c r="O132" s="197"/>
      <c r="P132" s="197"/>
      <c r="Q132" s="197"/>
      <c r="R132" s="197"/>
      <c r="S132" s="197"/>
      <c r="T132" s="197"/>
      <c r="U132" s="197"/>
      <c r="V132" s="197"/>
      <c r="W132" s="197"/>
      <c r="X132" s="197"/>
      <c r="Y132" s="197"/>
      <c r="Z132" s="197"/>
      <c r="AA132" s="197"/>
      <c r="AB132" s="197"/>
      <c r="AC132" s="197"/>
      <c r="AD132" s="197"/>
      <c r="AE132" s="197"/>
      <c r="AF132" s="197"/>
      <c r="AG132" s="197"/>
      <c r="AH132" s="197"/>
      <c r="AI132" s="197"/>
      <c r="AJ132" s="201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</row>
    <row r="133" spans="1:63" ht="15" customHeight="1">
      <c r="A133" s="197"/>
      <c r="B133" s="197"/>
      <c r="C133" s="197"/>
      <c r="D133" s="197"/>
      <c r="E133" s="197"/>
      <c r="F133" s="197"/>
      <c r="G133" s="197"/>
      <c r="H133" s="197"/>
      <c r="I133" s="197"/>
      <c r="J133" s="197"/>
      <c r="K133" s="197"/>
      <c r="L133" s="197"/>
      <c r="M133" s="197"/>
      <c r="N133" s="197"/>
      <c r="O133" s="197"/>
      <c r="P133" s="197"/>
      <c r="Q133" s="197"/>
      <c r="R133" s="197"/>
      <c r="S133" s="197"/>
      <c r="T133" s="197"/>
      <c r="U133" s="197"/>
      <c r="V133" s="197"/>
      <c r="W133" s="197"/>
      <c r="X133" s="197"/>
      <c r="Y133" s="197"/>
      <c r="Z133" s="197"/>
      <c r="AA133" s="197"/>
      <c r="AB133" s="197"/>
      <c r="AC133" s="197"/>
      <c r="AD133" s="197"/>
      <c r="AE133" s="197"/>
      <c r="AF133" s="197"/>
      <c r="AG133" s="197"/>
      <c r="AH133" s="197"/>
      <c r="AI133" s="197"/>
      <c r="AJ133" s="201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</row>
    <row r="134" spans="1:63" ht="15" customHeight="1">
      <c r="A134" s="197"/>
      <c r="B134" s="197"/>
      <c r="C134" s="197"/>
      <c r="D134" s="197"/>
      <c r="E134" s="197"/>
      <c r="F134" s="197"/>
      <c r="G134" s="197"/>
      <c r="H134" s="197"/>
      <c r="I134" s="197"/>
      <c r="J134" s="197"/>
      <c r="K134" s="197"/>
      <c r="L134" s="197"/>
      <c r="M134" s="197"/>
      <c r="N134" s="197"/>
      <c r="O134" s="197"/>
      <c r="P134" s="197"/>
      <c r="Q134" s="197"/>
      <c r="R134" s="197"/>
      <c r="S134" s="197"/>
      <c r="T134" s="197"/>
      <c r="U134" s="197"/>
      <c r="V134" s="197"/>
      <c r="W134" s="197"/>
      <c r="X134" s="197"/>
      <c r="Y134" s="197"/>
      <c r="Z134" s="197"/>
      <c r="AA134" s="197"/>
      <c r="AB134" s="197"/>
      <c r="AC134" s="197"/>
      <c r="AD134" s="197"/>
      <c r="AE134" s="197"/>
      <c r="AF134" s="197"/>
      <c r="AG134" s="197"/>
      <c r="AH134" s="197"/>
      <c r="AI134" s="197"/>
      <c r="AJ134" s="201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</row>
    <row r="135" spans="1:63" ht="15" customHeight="1">
      <c r="A135" s="197"/>
      <c r="B135" s="197"/>
      <c r="C135" s="197"/>
      <c r="D135" s="197"/>
      <c r="E135" s="197"/>
      <c r="F135" s="197"/>
      <c r="G135" s="197"/>
      <c r="H135" s="197"/>
      <c r="I135" s="197"/>
      <c r="J135" s="197"/>
      <c r="K135" s="197"/>
      <c r="L135" s="197"/>
      <c r="M135" s="197"/>
      <c r="N135" s="197"/>
      <c r="O135" s="197"/>
      <c r="P135" s="197"/>
      <c r="Q135" s="197"/>
      <c r="R135" s="197"/>
      <c r="S135" s="197"/>
      <c r="T135" s="197"/>
      <c r="U135" s="197"/>
      <c r="V135" s="197"/>
      <c r="W135" s="197"/>
      <c r="X135" s="197"/>
      <c r="Y135" s="197"/>
      <c r="Z135" s="197"/>
      <c r="AA135" s="197"/>
      <c r="AB135" s="197"/>
      <c r="AC135" s="197"/>
      <c r="AD135" s="197"/>
      <c r="AE135" s="197"/>
      <c r="AF135" s="197"/>
      <c r="AG135" s="197"/>
      <c r="AH135" s="197"/>
      <c r="AI135" s="197"/>
      <c r="AJ135" s="201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</row>
    <row r="136" spans="1:63" ht="15" customHeight="1">
      <c r="A136" s="197"/>
      <c r="B136" s="197"/>
      <c r="C136" s="197"/>
      <c r="D136" s="197"/>
      <c r="E136" s="197"/>
      <c r="F136" s="197"/>
      <c r="G136" s="197"/>
      <c r="H136" s="197"/>
      <c r="I136" s="197"/>
      <c r="J136" s="197"/>
      <c r="K136" s="197"/>
      <c r="L136" s="197"/>
      <c r="M136" s="197"/>
      <c r="N136" s="197"/>
      <c r="O136" s="197"/>
      <c r="P136" s="197"/>
      <c r="Q136" s="197"/>
      <c r="R136" s="197"/>
      <c r="S136" s="197"/>
      <c r="T136" s="197"/>
      <c r="U136" s="197"/>
      <c r="V136" s="197"/>
      <c r="W136" s="197"/>
      <c r="X136" s="197"/>
      <c r="Y136" s="197"/>
      <c r="Z136" s="197"/>
      <c r="AA136" s="197"/>
      <c r="AB136" s="197"/>
      <c r="AC136" s="197"/>
      <c r="AD136" s="197"/>
      <c r="AE136" s="197"/>
      <c r="AF136" s="197"/>
      <c r="AG136" s="197"/>
      <c r="AH136" s="197"/>
      <c r="AI136" s="197"/>
      <c r="AJ136" s="201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</row>
    <row r="137" spans="1:63" ht="15" customHeight="1">
      <c r="A137" s="197"/>
      <c r="B137" s="197"/>
      <c r="C137" s="197"/>
      <c r="D137" s="197"/>
      <c r="E137" s="197"/>
      <c r="F137" s="197"/>
      <c r="G137" s="197"/>
      <c r="H137" s="197"/>
      <c r="I137" s="197"/>
      <c r="J137" s="197"/>
      <c r="K137" s="197"/>
      <c r="L137" s="197"/>
      <c r="M137" s="197"/>
      <c r="N137" s="197"/>
      <c r="O137" s="197"/>
      <c r="P137" s="197"/>
      <c r="Q137" s="197"/>
      <c r="R137" s="197"/>
      <c r="S137" s="197"/>
      <c r="T137" s="197"/>
      <c r="U137" s="197"/>
      <c r="V137" s="197"/>
      <c r="W137" s="197"/>
      <c r="X137" s="197"/>
      <c r="Y137" s="197"/>
      <c r="Z137" s="197"/>
      <c r="AA137" s="197"/>
      <c r="AB137" s="197"/>
      <c r="AC137" s="197"/>
      <c r="AD137" s="197"/>
      <c r="AE137" s="197"/>
      <c r="AF137" s="197"/>
      <c r="AG137" s="197"/>
      <c r="AH137" s="197"/>
      <c r="AI137" s="197"/>
      <c r="AJ137" s="201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</row>
    <row r="138" spans="1:63" ht="15" customHeight="1">
      <c r="A138" s="197"/>
      <c r="B138" s="197"/>
      <c r="C138" s="197"/>
      <c r="D138" s="197"/>
      <c r="E138" s="197"/>
      <c r="F138" s="197"/>
      <c r="G138" s="197"/>
      <c r="H138" s="197"/>
      <c r="I138" s="197"/>
      <c r="J138" s="197"/>
      <c r="K138" s="197"/>
      <c r="L138" s="197"/>
      <c r="M138" s="197"/>
      <c r="N138" s="197"/>
      <c r="O138" s="197"/>
      <c r="P138" s="197"/>
      <c r="Q138" s="197"/>
      <c r="R138" s="197"/>
      <c r="S138" s="197"/>
      <c r="T138" s="197"/>
      <c r="U138" s="197"/>
      <c r="V138" s="197"/>
      <c r="W138" s="197"/>
      <c r="X138" s="197"/>
      <c r="Y138" s="197"/>
      <c r="Z138" s="197"/>
      <c r="AA138" s="197"/>
      <c r="AB138" s="197"/>
      <c r="AC138" s="197"/>
      <c r="AD138" s="197"/>
      <c r="AE138" s="197"/>
      <c r="AF138" s="197"/>
      <c r="AG138" s="197"/>
      <c r="AH138" s="197"/>
      <c r="AI138" s="197"/>
      <c r="AJ138" s="201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</row>
    <row r="139" spans="1:63" ht="15" customHeight="1">
      <c r="A139" s="197"/>
      <c r="B139" s="197"/>
      <c r="C139" s="197"/>
      <c r="D139" s="197"/>
      <c r="E139" s="197"/>
      <c r="F139" s="197"/>
      <c r="G139" s="197"/>
      <c r="H139" s="197"/>
      <c r="I139" s="197"/>
      <c r="J139" s="197"/>
      <c r="K139" s="197"/>
      <c r="L139" s="197"/>
      <c r="M139" s="197"/>
      <c r="N139" s="197"/>
      <c r="O139" s="197"/>
      <c r="P139" s="197"/>
      <c r="Q139" s="197"/>
      <c r="R139" s="197"/>
      <c r="S139" s="197"/>
      <c r="T139" s="197"/>
      <c r="U139" s="197"/>
      <c r="V139" s="197"/>
      <c r="W139" s="197"/>
      <c r="X139" s="197"/>
      <c r="Y139" s="197"/>
      <c r="Z139" s="197"/>
      <c r="AA139" s="197"/>
      <c r="AB139" s="197"/>
      <c r="AC139" s="197"/>
      <c r="AD139" s="197"/>
      <c r="AE139" s="197"/>
      <c r="AF139" s="197"/>
      <c r="AG139" s="197"/>
      <c r="AH139" s="197"/>
      <c r="AI139" s="197"/>
      <c r="AJ139" s="201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</row>
    <row r="140" spans="1:63" ht="15" customHeight="1">
      <c r="A140" s="197"/>
      <c r="B140" s="197"/>
      <c r="C140" s="197"/>
      <c r="D140" s="197"/>
      <c r="E140" s="197"/>
      <c r="F140" s="197"/>
      <c r="G140" s="197"/>
      <c r="H140" s="197"/>
      <c r="I140" s="197"/>
      <c r="J140" s="197"/>
      <c r="K140" s="197"/>
      <c r="L140" s="197"/>
      <c r="M140" s="197"/>
      <c r="N140" s="197"/>
      <c r="O140" s="197"/>
      <c r="P140" s="197"/>
      <c r="Q140" s="197"/>
      <c r="R140" s="197"/>
      <c r="S140" s="197"/>
      <c r="T140" s="197"/>
      <c r="U140" s="197"/>
      <c r="V140" s="197"/>
      <c r="W140" s="197"/>
      <c r="X140" s="197"/>
      <c r="Y140" s="197"/>
      <c r="Z140" s="197"/>
      <c r="AA140" s="197"/>
      <c r="AB140" s="197"/>
      <c r="AC140" s="197"/>
      <c r="AD140" s="197"/>
      <c r="AE140" s="197"/>
      <c r="AF140" s="197"/>
      <c r="AG140" s="197"/>
      <c r="AH140" s="197"/>
      <c r="AI140" s="197"/>
      <c r="AJ140" s="201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</row>
    <row r="141" spans="1:63" ht="15" customHeight="1">
      <c r="A141" s="197"/>
      <c r="B141" s="197"/>
      <c r="C141" s="197"/>
      <c r="D141" s="197"/>
      <c r="E141" s="197"/>
      <c r="F141" s="197"/>
      <c r="G141" s="197"/>
      <c r="H141" s="197"/>
      <c r="I141" s="197"/>
      <c r="J141" s="197"/>
      <c r="K141" s="197"/>
      <c r="L141" s="197"/>
      <c r="M141" s="197"/>
      <c r="N141" s="197"/>
      <c r="O141" s="197"/>
      <c r="P141" s="197"/>
      <c r="Q141" s="197"/>
      <c r="R141" s="197"/>
      <c r="S141" s="197"/>
      <c r="T141" s="197"/>
      <c r="U141" s="197"/>
      <c r="V141" s="197"/>
      <c r="W141" s="197"/>
      <c r="X141" s="197"/>
      <c r="Y141" s="197"/>
      <c r="Z141" s="197"/>
      <c r="AA141" s="197"/>
      <c r="AB141" s="197"/>
      <c r="AC141" s="197"/>
      <c r="AD141" s="197"/>
      <c r="AE141" s="197"/>
      <c r="AF141" s="197"/>
      <c r="AG141" s="197"/>
      <c r="AH141" s="197"/>
      <c r="AI141" s="197"/>
      <c r="AJ141" s="201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</row>
    <row r="142" spans="1:63" ht="15" customHeight="1">
      <c r="A142" s="197"/>
      <c r="B142" s="197"/>
      <c r="C142" s="197"/>
      <c r="D142" s="197"/>
      <c r="E142" s="197"/>
      <c r="F142" s="197"/>
      <c r="G142" s="197"/>
      <c r="H142" s="197"/>
      <c r="I142" s="197"/>
      <c r="J142" s="197"/>
      <c r="K142" s="197"/>
      <c r="L142" s="197"/>
      <c r="M142" s="197"/>
      <c r="N142" s="197"/>
      <c r="O142" s="197"/>
      <c r="P142" s="197"/>
      <c r="Q142" s="197"/>
      <c r="R142" s="197"/>
      <c r="S142" s="197"/>
      <c r="T142" s="197"/>
      <c r="U142" s="197"/>
      <c r="V142" s="197"/>
      <c r="W142" s="197"/>
      <c r="X142" s="197"/>
      <c r="Y142" s="197"/>
      <c r="Z142" s="197"/>
      <c r="AA142" s="197"/>
      <c r="AB142" s="197"/>
      <c r="AC142" s="197"/>
      <c r="AD142" s="197"/>
      <c r="AE142" s="197"/>
      <c r="AF142" s="197"/>
      <c r="AG142" s="197"/>
      <c r="AH142" s="197"/>
      <c r="AI142" s="197"/>
      <c r="AJ142" s="201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</row>
    <row r="143" spans="1:63" ht="15" customHeight="1">
      <c r="A143" s="197"/>
      <c r="B143" s="197"/>
      <c r="C143" s="197"/>
      <c r="D143" s="197"/>
      <c r="E143" s="197"/>
      <c r="F143" s="197"/>
      <c r="G143" s="197"/>
      <c r="H143" s="197"/>
      <c r="I143" s="197"/>
      <c r="J143" s="197"/>
      <c r="K143" s="197"/>
      <c r="L143" s="197"/>
      <c r="M143" s="197"/>
      <c r="N143" s="197"/>
      <c r="O143" s="197"/>
      <c r="P143" s="197"/>
      <c r="Q143" s="197"/>
      <c r="R143" s="197"/>
      <c r="S143" s="197"/>
      <c r="T143" s="197"/>
      <c r="U143" s="197"/>
      <c r="V143" s="197"/>
      <c r="W143" s="197"/>
      <c r="X143" s="197"/>
      <c r="Y143" s="197"/>
      <c r="Z143" s="197"/>
      <c r="AA143" s="197"/>
      <c r="AB143" s="197"/>
      <c r="AC143" s="197"/>
      <c r="AD143" s="197"/>
      <c r="AE143" s="197"/>
      <c r="AF143" s="197"/>
      <c r="AG143" s="197"/>
      <c r="AH143" s="197"/>
      <c r="AI143" s="197"/>
      <c r="AJ143" s="201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</row>
    <row r="144" spans="1:63" ht="15" customHeight="1">
      <c r="A144" s="197"/>
      <c r="B144" s="197"/>
      <c r="C144" s="197"/>
      <c r="D144" s="197"/>
      <c r="E144" s="197"/>
      <c r="F144" s="197"/>
      <c r="G144" s="197"/>
      <c r="H144" s="197"/>
      <c r="I144" s="197"/>
      <c r="J144" s="197"/>
      <c r="K144" s="197"/>
      <c r="L144" s="197"/>
      <c r="M144" s="197"/>
      <c r="N144" s="197"/>
      <c r="O144" s="197"/>
      <c r="P144" s="197"/>
      <c r="Q144" s="197"/>
      <c r="R144" s="197"/>
      <c r="S144" s="197"/>
      <c r="T144" s="197"/>
      <c r="U144" s="197"/>
      <c r="V144" s="197"/>
      <c r="W144" s="197"/>
      <c r="X144" s="197"/>
      <c r="Y144" s="197"/>
      <c r="Z144" s="197"/>
      <c r="AA144" s="197"/>
      <c r="AB144" s="197"/>
      <c r="AC144" s="197"/>
      <c r="AD144" s="197"/>
      <c r="AE144" s="197"/>
      <c r="AF144" s="197"/>
      <c r="AG144" s="197"/>
      <c r="AH144" s="197"/>
      <c r="AI144" s="197"/>
      <c r="AJ144" s="201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</row>
    <row r="145" spans="1:63" ht="15" customHeight="1">
      <c r="A145" s="197"/>
      <c r="B145" s="197"/>
      <c r="C145" s="197"/>
      <c r="D145" s="197"/>
      <c r="E145" s="197"/>
      <c r="F145" s="197"/>
      <c r="G145" s="197"/>
      <c r="H145" s="197"/>
      <c r="I145" s="197"/>
      <c r="J145" s="197"/>
      <c r="K145" s="197"/>
      <c r="L145" s="197"/>
      <c r="M145" s="197"/>
      <c r="N145" s="197"/>
      <c r="O145" s="197"/>
      <c r="P145" s="197"/>
      <c r="Q145" s="197"/>
      <c r="R145" s="197"/>
      <c r="S145" s="197"/>
      <c r="T145" s="197"/>
      <c r="U145" s="197"/>
      <c r="V145" s="197"/>
      <c r="W145" s="197"/>
      <c r="X145" s="197"/>
      <c r="Y145" s="197"/>
      <c r="Z145" s="197"/>
      <c r="AA145" s="197"/>
      <c r="AB145" s="197"/>
      <c r="AC145" s="197"/>
      <c r="AD145" s="197"/>
      <c r="AE145" s="197"/>
      <c r="AF145" s="197"/>
      <c r="AG145" s="197"/>
      <c r="AH145" s="197"/>
      <c r="AI145" s="197"/>
      <c r="AJ145" s="201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</row>
    <row r="146" spans="1:63" ht="15" customHeight="1">
      <c r="A146" s="197"/>
      <c r="B146" s="197"/>
      <c r="C146" s="197"/>
      <c r="D146" s="197"/>
      <c r="E146" s="197"/>
      <c r="F146" s="197"/>
      <c r="G146" s="197"/>
      <c r="H146" s="197"/>
      <c r="I146" s="197"/>
      <c r="J146" s="197"/>
      <c r="K146" s="197"/>
      <c r="L146" s="197"/>
      <c r="M146" s="197"/>
      <c r="N146" s="197"/>
      <c r="O146" s="197"/>
      <c r="P146" s="197"/>
      <c r="Q146" s="197"/>
      <c r="R146" s="197"/>
      <c r="S146" s="197"/>
      <c r="T146" s="197"/>
      <c r="U146" s="197"/>
      <c r="V146" s="197"/>
      <c r="W146" s="197"/>
      <c r="X146" s="197"/>
      <c r="Y146" s="197"/>
      <c r="Z146" s="197"/>
      <c r="AA146" s="197"/>
      <c r="AB146" s="197"/>
      <c r="AC146" s="197"/>
      <c r="AD146" s="197"/>
      <c r="AE146" s="197"/>
      <c r="AF146" s="197"/>
      <c r="AG146" s="197"/>
      <c r="AH146" s="197"/>
      <c r="AI146" s="197"/>
      <c r="AJ146" s="201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</row>
    <row r="147" spans="1:63" ht="15" customHeight="1">
      <c r="A147" s="197"/>
      <c r="B147" s="197"/>
      <c r="C147" s="197"/>
      <c r="D147" s="197"/>
      <c r="E147" s="197"/>
      <c r="F147" s="197"/>
      <c r="G147" s="197"/>
      <c r="H147" s="197"/>
      <c r="I147" s="197"/>
      <c r="J147" s="197"/>
      <c r="K147" s="197"/>
      <c r="L147" s="197"/>
      <c r="M147" s="197"/>
      <c r="N147" s="197"/>
      <c r="O147" s="197"/>
      <c r="P147" s="197"/>
      <c r="Q147" s="197"/>
      <c r="R147" s="197"/>
      <c r="S147" s="197"/>
      <c r="T147" s="197"/>
      <c r="U147" s="197"/>
      <c r="V147" s="197"/>
      <c r="W147" s="197"/>
      <c r="X147" s="197"/>
      <c r="Y147" s="197"/>
      <c r="Z147" s="197"/>
      <c r="AA147" s="197"/>
      <c r="AB147" s="197"/>
      <c r="AC147" s="197"/>
      <c r="AD147" s="197"/>
      <c r="AE147" s="197"/>
      <c r="AF147" s="197"/>
      <c r="AG147" s="197"/>
      <c r="AH147" s="197"/>
      <c r="AI147" s="197"/>
      <c r="AJ147" s="201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</row>
    <row r="148" spans="1:63" ht="15" customHeight="1">
      <c r="A148" s="197"/>
      <c r="B148" s="197"/>
      <c r="C148" s="197"/>
      <c r="D148" s="197"/>
      <c r="E148" s="197"/>
      <c r="F148" s="197"/>
      <c r="G148" s="197"/>
      <c r="H148" s="197"/>
      <c r="I148" s="197"/>
      <c r="J148" s="197"/>
      <c r="K148" s="197"/>
      <c r="L148" s="197"/>
      <c r="M148" s="197"/>
      <c r="N148" s="197"/>
      <c r="O148" s="197"/>
      <c r="P148" s="197"/>
      <c r="Q148" s="197"/>
      <c r="R148" s="197"/>
      <c r="S148" s="197"/>
      <c r="T148" s="197"/>
      <c r="U148" s="197"/>
      <c r="V148" s="197"/>
      <c r="W148" s="197"/>
      <c r="X148" s="197"/>
      <c r="Y148" s="197"/>
      <c r="Z148" s="197"/>
      <c r="AA148" s="197"/>
      <c r="AB148" s="197"/>
      <c r="AC148" s="197"/>
      <c r="AD148" s="197"/>
      <c r="AE148" s="197"/>
      <c r="AF148" s="197"/>
      <c r="AG148" s="197"/>
      <c r="AH148" s="197"/>
      <c r="AI148" s="197"/>
      <c r="AJ148" s="201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</row>
    <row r="149" spans="1:63" ht="15" customHeight="1">
      <c r="A149" s="197"/>
      <c r="B149" s="197"/>
      <c r="C149" s="197"/>
      <c r="D149" s="197"/>
      <c r="E149" s="197"/>
      <c r="F149" s="197"/>
      <c r="G149" s="197"/>
      <c r="H149" s="197"/>
      <c r="I149" s="197"/>
      <c r="J149" s="197"/>
      <c r="K149" s="197"/>
      <c r="L149" s="197"/>
      <c r="M149" s="197"/>
      <c r="N149" s="197"/>
      <c r="O149" s="197"/>
      <c r="P149" s="197"/>
      <c r="Q149" s="197"/>
      <c r="R149" s="197"/>
      <c r="S149" s="197"/>
      <c r="T149" s="197"/>
      <c r="U149" s="197"/>
      <c r="V149" s="197"/>
      <c r="W149" s="197"/>
      <c r="X149" s="197"/>
      <c r="Y149" s="197"/>
      <c r="Z149" s="197"/>
      <c r="AA149" s="197"/>
      <c r="AB149" s="197"/>
      <c r="AC149" s="197"/>
      <c r="AD149" s="197"/>
      <c r="AE149" s="197"/>
      <c r="AF149" s="197"/>
      <c r="AG149" s="197"/>
      <c r="AH149" s="197"/>
      <c r="AI149" s="197"/>
      <c r="AJ149" s="201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</row>
    <row r="150" spans="1:63" ht="15" customHeight="1">
      <c r="A150" s="197"/>
      <c r="B150" s="197"/>
      <c r="C150" s="197"/>
      <c r="D150" s="197"/>
      <c r="E150" s="197"/>
      <c r="F150" s="197"/>
      <c r="G150" s="197"/>
      <c r="H150" s="197"/>
      <c r="I150" s="197"/>
      <c r="J150" s="197"/>
      <c r="K150" s="197"/>
      <c r="L150" s="197"/>
      <c r="M150" s="197"/>
      <c r="N150" s="197"/>
      <c r="O150" s="197"/>
      <c r="P150" s="197"/>
      <c r="Q150" s="197"/>
      <c r="R150" s="197"/>
      <c r="S150" s="197"/>
      <c r="T150" s="197"/>
      <c r="U150" s="197"/>
      <c r="V150" s="197"/>
      <c r="W150" s="197"/>
      <c r="X150" s="197"/>
      <c r="Y150" s="197"/>
      <c r="Z150" s="197"/>
      <c r="AA150" s="197"/>
      <c r="AB150" s="197"/>
      <c r="AC150" s="197"/>
      <c r="AD150" s="197"/>
      <c r="AE150" s="197"/>
      <c r="AF150" s="197"/>
      <c r="AG150" s="197"/>
      <c r="AH150" s="197"/>
      <c r="AI150" s="197"/>
      <c r="AJ150" s="201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</row>
    <row r="151" spans="1:63" ht="15" customHeight="1">
      <c r="A151" s="197"/>
      <c r="B151" s="197"/>
      <c r="C151" s="197"/>
      <c r="D151" s="197"/>
      <c r="E151" s="197"/>
      <c r="F151" s="197"/>
      <c r="G151" s="197"/>
      <c r="H151" s="197"/>
      <c r="I151" s="197"/>
      <c r="J151" s="197"/>
      <c r="K151" s="197"/>
      <c r="L151" s="197"/>
      <c r="M151" s="197"/>
      <c r="N151" s="197"/>
      <c r="O151" s="197"/>
      <c r="P151" s="197"/>
      <c r="Q151" s="197"/>
      <c r="R151" s="197"/>
      <c r="S151" s="197"/>
      <c r="T151" s="197"/>
      <c r="U151" s="197"/>
      <c r="V151" s="197"/>
      <c r="W151" s="197"/>
      <c r="X151" s="197"/>
      <c r="Y151" s="197"/>
      <c r="Z151" s="197"/>
      <c r="AA151" s="197"/>
      <c r="AB151" s="197"/>
      <c r="AC151" s="197"/>
      <c r="AD151" s="197"/>
      <c r="AE151" s="197"/>
      <c r="AF151" s="197"/>
      <c r="AG151" s="197"/>
      <c r="AH151" s="197"/>
      <c r="AI151" s="197"/>
      <c r="AJ151" s="201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</row>
    <row r="152" spans="1:63" ht="15" customHeight="1">
      <c r="A152" s="197"/>
      <c r="B152" s="197"/>
      <c r="C152" s="197"/>
      <c r="D152" s="197"/>
      <c r="E152" s="197"/>
      <c r="F152" s="197"/>
      <c r="G152" s="197"/>
      <c r="H152" s="197"/>
      <c r="I152" s="197"/>
      <c r="J152" s="197"/>
      <c r="K152" s="197"/>
      <c r="L152" s="197"/>
      <c r="M152" s="197"/>
      <c r="N152" s="197"/>
      <c r="O152" s="197"/>
      <c r="P152" s="197"/>
      <c r="Q152" s="197"/>
      <c r="R152" s="197"/>
      <c r="S152" s="197"/>
      <c r="T152" s="197"/>
      <c r="U152" s="197"/>
      <c r="V152" s="197"/>
      <c r="W152" s="197"/>
      <c r="X152" s="197"/>
      <c r="Y152" s="197"/>
      <c r="Z152" s="197"/>
      <c r="AA152" s="197"/>
      <c r="AB152" s="197"/>
      <c r="AC152" s="197"/>
      <c r="AD152" s="197"/>
      <c r="AE152" s="197"/>
      <c r="AF152" s="197"/>
      <c r="AG152" s="197"/>
      <c r="AH152" s="197"/>
      <c r="AI152" s="197"/>
      <c r="AJ152" s="201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</row>
    <row r="153" spans="1:63" ht="15" customHeight="1">
      <c r="A153" s="197"/>
      <c r="B153" s="197"/>
      <c r="C153" s="197"/>
      <c r="D153" s="197"/>
      <c r="E153" s="197"/>
      <c r="F153" s="197"/>
      <c r="G153" s="197"/>
      <c r="H153" s="197"/>
      <c r="I153" s="197"/>
      <c r="J153" s="197"/>
      <c r="K153" s="197"/>
      <c r="L153" s="197"/>
      <c r="M153" s="197"/>
      <c r="N153" s="197"/>
      <c r="O153" s="197"/>
      <c r="P153" s="197"/>
      <c r="Q153" s="197"/>
      <c r="R153" s="197"/>
      <c r="S153" s="197"/>
      <c r="T153" s="197"/>
      <c r="U153" s="197"/>
      <c r="V153" s="197"/>
      <c r="W153" s="197"/>
      <c r="X153" s="197"/>
      <c r="Y153" s="197"/>
      <c r="Z153" s="197"/>
      <c r="AA153" s="197"/>
      <c r="AB153" s="197"/>
      <c r="AC153" s="197"/>
      <c r="AD153" s="197"/>
      <c r="AE153" s="197"/>
      <c r="AF153" s="197"/>
      <c r="AG153" s="197"/>
      <c r="AH153" s="197"/>
      <c r="AI153" s="197"/>
      <c r="AJ153" s="201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</row>
    <row r="154" spans="1:63" ht="15" customHeight="1">
      <c r="A154" s="197"/>
      <c r="B154" s="197"/>
      <c r="C154" s="197"/>
      <c r="D154" s="197"/>
      <c r="E154" s="197"/>
      <c r="F154" s="197"/>
      <c r="G154" s="197"/>
      <c r="H154" s="197"/>
      <c r="I154" s="197"/>
      <c r="J154" s="197"/>
      <c r="K154" s="197"/>
      <c r="L154" s="197"/>
      <c r="M154" s="197"/>
      <c r="N154" s="197"/>
      <c r="O154" s="197"/>
      <c r="P154" s="197"/>
      <c r="Q154" s="197"/>
      <c r="R154" s="197"/>
      <c r="S154" s="197"/>
      <c r="T154" s="197"/>
      <c r="U154" s="197"/>
      <c r="V154" s="197"/>
      <c r="W154" s="197"/>
      <c r="X154" s="197"/>
      <c r="Y154" s="197"/>
      <c r="Z154" s="197"/>
      <c r="AA154" s="197"/>
      <c r="AB154" s="197"/>
      <c r="AC154" s="197"/>
      <c r="AD154" s="197"/>
      <c r="AE154" s="197"/>
      <c r="AF154" s="197"/>
      <c r="AG154" s="197"/>
      <c r="AH154" s="197"/>
      <c r="AI154" s="197"/>
      <c r="AJ154" s="201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</row>
    <row r="155" spans="1:63" ht="15" customHeight="1">
      <c r="A155" s="197"/>
      <c r="B155" s="197"/>
      <c r="C155" s="197"/>
      <c r="D155" s="197"/>
      <c r="E155" s="197"/>
      <c r="F155" s="197"/>
      <c r="G155" s="197"/>
      <c r="H155" s="197"/>
      <c r="I155" s="197"/>
      <c r="J155" s="197"/>
      <c r="K155" s="197"/>
      <c r="L155" s="197"/>
      <c r="M155" s="197"/>
      <c r="N155" s="197"/>
      <c r="O155" s="197"/>
      <c r="P155" s="197"/>
      <c r="Q155" s="197"/>
      <c r="R155" s="197"/>
      <c r="S155" s="197"/>
      <c r="T155" s="197"/>
      <c r="U155" s="197"/>
      <c r="V155" s="197"/>
      <c r="W155" s="197"/>
      <c r="X155" s="197"/>
      <c r="Y155" s="197"/>
      <c r="Z155" s="197"/>
      <c r="AA155" s="197"/>
      <c r="AB155" s="197"/>
      <c r="AC155" s="197"/>
      <c r="AD155" s="197"/>
      <c r="AE155" s="197"/>
      <c r="AF155" s="197"/>
      <c r="AG155" s="197"/>
      <c r="AH155" s="197"/>
      <c r="AI155" s="197"/>
      <c r="AJ155" s="201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</row>
    <row r="156" spans="1:63" ht="15" customHeight="1">
      <c r="A156" s="197"/>
      <c r="B156" s="197"/>
      <c r="C156" s="197"/>
      <c r="D156" s="197"/>
      <c r="E156" s="197"/>
      <c r="F156" s="197"/>
      <c r="G156" s="197"/>
      <c r="H156" s="197"/>
      <c r="I156" s="197"/>
      <c r="J156" s="197"/>
      <c r="K156" s="197"/>
      <c r="L156" s="197"/>
      <c r="M156" s="197"/>
      <c r="N156" s="197"/>
      <c r="O156" s="197"/>
      <c r="P156" s="197"/>
      <c r="Q156" s="197"/>
      <c r="R156" s="197"/>
      <c r="S156" s="197"/>
      <c r="T156" s="197"/>
      <c r="U156" s="197"/>
      <c r="V156" s="197"/>
      <c r="W156" s="197"/>
      <c r="X156" s="197"/>
      <c r="Y156" s="197"/>
      <c r="Z156" s="197"/>
      <c r="AA156" s="197"/>
      <c r="AB156" s="197"/>
      <c r="AC156" s="197"/>
      <c r="AD156" s="197"/>
      <c r="AE156" s="197"/>
      <c r="AF156" s="197"/>
      <c r="AG156" s="197"/>
      <c r="AH156" s="197"/>
      <c r="AI156" s="197"/>
      <c r="AJ156" s="201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</row>
    <row r="157" spans="1:63" ht="15" customHeight="1">
      <c r="A157" s="197"/>
      <c r="B157" s="197"/>
      <c r="C157" s="197"/>
      <c r="D157" s="197"/>
      <c r="E157" s="197"/>
      <c r="F157" s="197"/>
      <c r="G157" s="197"/>
      <c r="H157" s="197"/>
      <c r="I157" s="197"/>
      <c r="J157" s="197"/>
      <c r="K157" s="197"/>
      <c r="L157" s="197"/>
      <c r="M157" s="197"/>
      <c r="N157" s="197"/>
      <c r="O157" s="197"/>
      <c r="P157" s="197"/>
      <c r="Q157" s="197"/>
      <c r="R157" s="197"/>
      <c r="S157" s="197"/>
      <c r="T157" s="197"/>
      <c r="U157" s="197"/>
      <c r="V157" s="197"/>
      <c r="W157" s="197"/>
      <c r="X157" s="197"/>
      <c r="Y157" s="197"/>
      <c r="Z157" s="197"/>
      <c r="AA157" s="197"/>
      <c r="AB157" s="197"/>
      <c r="AC157" s="197"/>
      <c r="AD157" s="197"/>
      <c r="AE157" s="197"/>
      <c r="AF157" s="197"/>
      <c r="AG157" s="197"/>
      <c r="AH157" s="197"/>
      <c r="AI157" s="197"/>
      <c r="AJ157" s="201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</row>
    <row r="158" spans="1:63" ht="15" customHeight="1">
      <c r="A158" s="197"/>
      <c r="B158" s="197"/>
      <c r="C158" s="197"/>
      <c r="D158" s="197"/>
      <c r="E158" s="197"/>
      <c r="F158" s="197"/>
      <c r="G158" s="197"/>
      <c r="H158" s="197"/>
      <c r="I158" s="197"/>
      <c r="J158" s="197"/>
      <c r="K158" s="197"/>
      <c r="L158" s="197"/>
      <c r="M158" s="197"/>
      <c r="N158" s="197"/>
      <c r="O158" s="197"/>
      <c r="P158" s="197"/>
      <c r="Q158" s="197"/>
      <c r="R158" s="197"/>
      <c r="S158" s="197"/>
      <c r="T158" s="197"/>
      <c r="U158" s="197"/>
      <c r="V158" s="197"/>
      <c r="W158" s="197"/>
      <c r="X158" s="197"/>
      <c r="Y158" s="197"/>
      <c r="Z158" s="197"/>
      <c r="AA158" s="197"/>
      <c r="AB158" s="197"/>
      <c r="AC158" s="197"/>
      <c r="AD158" s="197"/>
      <c r="AE158" s="197"/>
      <c r="AF158" s="197"/>
      <c r="AG158" s="197"/>
      <c r="AH158" s="197"/>
      <c r="AI158" s="197"/>
      <c r="AJ158" s="201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</row>
    <row r="159" spans="1:63" ht="15" customHeight="1">
      <c r="A159" s="197"/>
      <c r="B159" s="197"/>
      <c r="C159" s="197"/>
      <c r="D159" s="197"/>
      <c r="E159" s="197"/>
      <c r="F159" s="197"/>
      <c r="G159" s="197"/>
      <c r="H159" s="197"/>
      <c r="I159" s="197"/>
      <c r="J159" s="197"/>
      <c r="K159" s="197"/>
      <c r="L159" s="197"/>
      <c r="M159" s="197"/>
      <c r="N159" s="197"/>
      <c r="O159" s="197"/>
      <c r="P159" s="197"/>
      <c r="Q159" s="197"/>
      <c r="R159" s="197"/>
      <c r="S159" s="197"/>
      <c r="T159" s="197"/>
      <c r="U159" s="197"/>
      <c r="V159" s="197"/>
      <c r="W159" s="197"/>
      <c r="X159" s="197"/>
      <c r="Y159" s="197"/>
      <c r="Z159" s="197"/>
      <c r="AA159" s="197"/>
      <c r="AB159" s="197"/>
      <c r="AC159" s="197"/>
      <c r="AD159" s="197"/>
      <c r="AE159" s="197"/>
      <c r="AF159" s="197"/>
      <c r="AG159" s="197"/>
      <c r="AH159" s="197"/>
      <c r="AI159" s="197"/>
      <c r="AJ159" s="201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</row>
    <row r="160" spans="1:63" ht="15" customHeight="1">
      <c r="A160" s="197"/>
      <c r="B160" s="197"/>
      <c r="C160" s="197"/>
      <c r="D160" s="197"/>
      <c r="E160" s="197"/>
      <c r="F160" s="197"/>
      <c r="G160" s="197"/>
      <c r="H160" s="197"/>
      <c r="I160" s="197"/>
      <c r="J160" s="197"/>
      <c r="K160" s="197"/>
      <c r="L160" s="197"/>
      <c r="M160" s="197"/>
      <c r="N160" s="197"/>
      <c r="O160" s="197"/>
      <c r="P160" s="197"/>
      <c r="Q160" s="197"/>
      <c r="R160" s="197"/>
      <c r="S160" s="197"/>
      <c r="T160" s="197"/>
      <c r="U160" s="197"/>
      <c r="V160" s="197"/>
      <c r="W160" s="197"/>
      <c r="X160" s="197"/>
      <c r="Y160" s="197"/>
      <c r="Z160" s="197"/>
      <c r="AA160" s="197"/>
      <c r="AB160" s="197"/>
      <c r="AC160" s="197"/>
      <c r="AD160" s="197"/>
      <c r="AE160" s="197"/>
      <c r="AF160" s="197"/>
      <c r="AG160" s="197"/>
      <c r="AH160" s="197"/>
      <c r="AI160" s="197"/>
      <c r="AJ160" s="201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</row>
    <row r="161" spans="1:63" ht="15" customHeight="1">
      <c r="A161" s="197"/>
      <c r="B161" s="197"/>
      <c r="C161" s="197"/>
      <c r="D161" s="197"/>
      <c r="E161" s="197"/>
      <c r="F161" s="197"/>
      <c r="G161" s="197"/>
      <c r="H161" s="197"/>
      <c r="I161" s="197"/>
      <c r="J161" s="197"/>
      <c r="K161" s="197"/>
      <c r="L161" s="197"/>
      <c r="M161" s="197"/>
      <c r="N161" s="197"/>
      <c r="O161" s="197"/>
      <c r="P161" s="197"/>
      <c r="Q161" s="197"/>
      <c r="R161" s="197"/>
      <c r="S161" s="197"/>
      <c r="T161" s="197"/>
      <c r="U161" s="197"/>
      <c r="V161" s="197"/>
      <c r="W161" s="197"/>
      <c r="X161" s="197"/>
      <c r="Y161" s="197"/>
      <c r="Z161" s="197"/>
      <c r="AA161" s="197"/>
      <c r="AB161" s="197"/>
      <c r="AC161" s="197"/>
      <c r="AD161" s="197"/>
      <c r="AE161" s="197"/>
      <c r="AF161" s="197"/>
      <c r="AG161" s="197"/>
      <c r="AH161" s="197"/>
      <c r="AI161" s="197"/>
      <c r="AJ161" s="201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</row>
    <row r="162" spans="1:63" ht="15" customHeight="1">
      <c r="A162" s="197"/>
      <c r="B162" s="197"/>
      <c r="C162" s="197"/>
      <c r="D162" s="197"/>
      <c r="E162" s="197"/>
      <c r="F162" s="197"/>
      <c r="G162" s="197"/>
      <c r="H162" s="197"/>
      <c r="I162" s="197"/>
      <c r="J162" s="197"/>
      <c r="K162" s="197"/>
      <c r="L162" s="197"/>
      <c r="M162" s="197"/>
      <c r="N162" s="197"/>
      <c r="O162" s="197"/>
      <c r="P162" s="197"/>
      <c r="Q162" s="197"/>
      <c r="R162" s="197"/>
      <c r="S162" s="197"/>
      <c r="T162" s="197"/>
      <c r="U162" s="197"/>
      <c r="V162" s="197"/>
      <c r="W162" s="197"/>
      <c r="X162" s="197"/>
      <c r="Y162" s="197"/>
      <c r="Z162" s="197"/>
      <c r="AA162" s="197"/>
      <c r="AB162" s="197"/>
      <c r="AC162" s="197"/>
      <c r="AD162" s="197"/>
      <c r="AE162" s="197"/>
      <c r="AF162" s="197"/>
      <c r="AG162" s="197"/>
      <c r="AH162" s="197"/>
      <c r="AI162" s="197"/>
      <c r="AJ162" s="201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</row>
    <row r="163" spans="1:63" ht="15" customHeight="1">
      <c r="A163" s="197"/>
      <c r="B163" s="197"/>
      <c r="C163" s="197"/>
      <c r="D163" s="197"/>
      <c r="E163" s="197"/>
      <c r="F163" s="197"/>
      <c r="G163" s="197"/>
      <c r="H163" s="197"/>
      <c r="I163" s="197"/>
      <c r="J163" s="197"/>
      <c r="K163" s="197"/>
      <c r="L163" s="197"/>
      <c r="M163" s="197"/>
      <c r="N163" s="197"/>
      <c r="O163" s="197"/>
      <c r="P163" s="197"/>
      <c r="Q163" s="197"/>
      <c r="R163" s="197"/>
      <c r="S163" s="197"/>
      <c r="T163" s="197"/>
      <c r="U163" s="197"/>
      <c r="V163" s="197"/>
      <c r="W163" s="197"/>
      <c r="X163" s="197"/>
      <c r="Y163" s="197"/>
      <c r="Z163" s="197"/>
      <c r="AA163" s="197"/>
      <c r="AB163" s="197"/>
      <c r="AC163" s="197"/>
      <c r="AD163" s="197"/>
      <c r="AE163" s="197"/>
      <c r="AF163" s="197"/>
      <c r="AG163" s="197"/>
      <c r="AH163" s="197"/>
      <c r="AI163" s="197"/>
      <c r="AJ163" s="201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</row>
    <row r="164" spans="1:63" ht="15" customHeight="1">
      <c r="A164" s="197"/>
      <c r="B164" s="197"/>
      <c r="C164" s="197"/>
      <c r="D164" s="197"/>
      <c r="E164" s="197"/>
      <c r="F164" s="197"/>
      <c r="G164" s="197"/>
      <c r="H164" s="197"/>
      <c r="I164" s="197"/>
      <c r="J164" s="197"/>
      <c r="K164" s="197"/>
      <c r="L164" s="197"/>
      <c r="M164" s="197"/>
      <c r="N164" s="197"/>
      <c r="O164" s="197"/>
      <c r="P164" s="197"/>
      <c r="Q164" s="197"/>
      <c r="R164" s="197"/>
      <c r="S164" s="197"/>
      <c r="T164" s="197"/>
      <c r="U164" s="197"/>
      <c r="V164" s="197"/>
      <c r="W164" s="197"/>
      <c r="X164" s="197"/>
      <c r="Y164" s="197"/>
      <c r="Z164" s="197"/>
      <c r="AA164" s="197"/>
      <c r="AB164" s="197"/>
      <c r="AC164" s="197"/>
      <c r="AD164" s="197"/>
      <c r="AE164" s="197"/>
      <c r="AF164" s="197"/>
      <c r="AG164" s="197"/>
      <c r="AH164" s="197"/>
      <c r="AI164" s="197"/>
      <c r="AJ164" s="201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</row>
    <row r="165" spans="1:63" ht="15" customHeight="1">
      <c r="A165" s="197"/>
      <c r="B165" s="197"/>
      <c r="C165" s="197"/>
      <c r="D165" s="197"/>
      <c r="E165" s="197"/>
      <c r="F165" s="197"/>
      <c r="G165" s="197"/>
      <c r="H165" s="197"/>
      <c r="I165" s="197"/>
      <c r="J165" s="197"/>
      <c r="K165" s="197"/>
      <c r="L165" s="197"/>
      <c r="M165" s="197"/>
      <c r="N165" s="197"/>
      <c r="O165" s="197"/>
      <c r="P165" s="197"/>
      <c r="Q165" s="197"/>
      <c r="R165" s="197"/>
      <c r="S165" s="197"/>
      <c r="T165" s="197"/>
      <c r="U165" s="197"/>
      <c r="V165" s="197"/>
      <c r="W165" s="197"/>
      <c r="X165" s="197"/>
      <c r="Y165" s="197"/>
      <c r="Z165" s="197"/>
      <c r="AA165" s="197"/>
      <c r="AB165" s="197"/>
      <c r="AC165" s="197"/>
      <c r="AD165" s="197"/>
      <c r="AE165" s="197"/>
      <c r="AF165" s="197"/>
      <c r="AG165" s="197"/>
      <c r="AH165" s="197"/>
      <c r="AI165" s="197"/>
      <c r="AJ165" s="201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</row>
    <row r="166" spans="1:63" ht="15" customHeight="1">
      <c r="A166" s="197"/>
      <c r="B166" s="197"/>
      <c r="C166" s="197"/>
      <c r="D166" s="197"/>
      <c r="E166" s="197"/>
      <c r="F166" s="197"/>
      <c r="G166" s="197"/>
      <c r="H166" s="197"/>
      <c r="I166" s="197"/>
      <c r="J166" s="197"/>
      <c r="K166" s="197"/>
      <c r="L166" s="197"/>
      <c r="M166" s="197"/>
      <c r="N166" s="197"/>
      <c r="O166" s="197"/>
      <c r="P166" s="197"/>
      <c r="Q166" s="197"/>
      <c r="R166" s="197"/>
      <c r="S166" s="197"/>
      <c r="T166" s="197"/>
      <c r="U166" s="197"/>
      <c r="V166" s="197"/>
      <c r="W166" s="197"/>
      <c r="X166" s="197"/>
      <c r="Y166" s="197"/>
      <c r="Z166" s="197"/>
      <c r="AA166" s="197"/>
      <c r="AB166" s="197"/>
      <c r="AC166" s="197"/>
      <c r="AD166" s="197"/>
      <c r="AE166" s="197"/>
      <c r="AF166" s="197"/>
      <c r="AG166" s="197"/>
      <c r="AH166" s="197"/>
      <c r="AI166" s="197"/>
      <c r="AJ166" s="201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</row>
    <row r="167" spans="1:63" ht="15" customHeight="1">
      <c r="A167" s="197"/>
      <c r="B167" s="197"/>
      <c r="C167" s="197"/>
      <c r="D167" s="197"/>
      <c r="E167" s="197"/>
      <c r="F167" s="197"/>
      <c r="G167" s="197"/>
      <c r="H167" s="197"/>
      <c r="I167" s="197"/>
      <c r="J167" s="197"/>
      <c r="K167" s="197"/>
      <c r="L167" s="197"/>
      <c r="M167" s="197"/>
      <c r="N167" s="197"/>
      <c r="O167" s="197"/>
      <c r="P167" s="197"/>
      <c r="Q167" s="197"/>
      <c r="R167" s="197"/>
      <c r="S167" s="197"/>
      <c r="T167" s="197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7"/>
      <c r="AI167" s="197"/>
      <c r="AJ167" s="201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</row>
    <row r="168" spans="1:63" ht="15" customHeight="1">
      <c r="A168" s="197"/>
      <c r="B168" s="197"/>
      <c r="C168" s="197"/>
      <c r="D168" s="197"/>
      <c r="E168" s="197"/>
      <c r="F168" s="197"/>
      <c r="G168" s="197"/>
      <c r="H168" s="197"/>
      <c r="I168" s="197"/>
      <c r="J168" s="197"/>
      <c r="K168" s="197"/>
      <c r="L168" s="197"/>
      <c r="M168" s="197"/>
      <c r="N168" s="197"/>
      <c r="O168" s="197"/>
      <c r="P168" s="197"/>
      <c r="Q168" s="197"/>
      <c r="R168" s="197"/>
      <c r="S168" s="197"/>
      <c r="T168" s="197"/>
      <c r="U168" s="197"/>
      <c r="V168" s="197"/>
      <c r="W168" s="197"/>
      <c r="X168" s="197"/>
      <c r="Y168" s="197"/>
      <c r="Z168" s="197"/>
      <c r="AA168" s="197"/>
      <c r="AB168" s="197"/>
      <c r="AC168" s="197"/>
      <c r="AD168" s="197"/>
      <c r="AE168" s="197"/>
      <c r="AF168" s="197"/>
      <c r="AG168" s="197"/>
      <c r="AH168" s="197"/>
      <c r="AI168" s="197"/>
      <c r="AJ168" s="201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</row>
    <row r="169" spans="1:63" ht="15" customHeight="1">
      <c r="A169" s="197"/>
      <c r="B169" s="197"/>
      <c r="C169" s="197"/>
      <c r="D169" s="197"/>
      <c r="E169" s="197"/>
      <c r="F169" s="197"/>
      <c r="G169" s="197"/>
      <c r="H169" s="197"/>
      <c r="I169" s="197"/>
      <c r="J169" s="197"/>
      <c r="K169" s="197"/>
      <c r="L169" s="197"/>
      <c r="M169" s="197"/>
      <c r="N169" s="197"/>
      <c r="O169" s="197"/>
      <c r="P169" s="197"/>
      <c r="Q169" s="197"/>
      <c r="R169" s="197"/>
      <c r="S169" s="197"/>
      <c r="T169" s="197"/>
      <c r="U169" s="197"/>
      <c r="V169" s="197"/>
      <c r="W169" s="197"/>
      <c r="X169" s="197"/>
      <c r="Y169" s="197"/>
      <c r="Z169" s="197"/>
      <c r="AA169" s="197"/>
      <c r="AB169" s="197"/>
      <c r="AC169" s="197"/>
      <c r="AD169" s="197"/>
      <c r="AE169" s="197"/>
      <c r="AF169" s="197"/>
      <c r="AG169" s="197"/>
      <c r="AH169" s="197"/>
      <c r="AI169" s="197"/>
      <c r="AJ169" s="201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</row>
    <row r="170" spans="1:63" ht="15" customHeight="1">
      <c r="A170" s="197"/>
      <c r="B170" s="197"/>
      <c r="C170" s="197"/>
      <c r="D170" s="197"/>
      <c r="E170" s="197"/>
      <c r="F170" s="197"/>
      <c r="G170" s="197"/>
      <c r="H170" s="197"/>
      <c r="I170" s="197"/>
      <c r="J170" s="197"/>
      <c r="K170" s="197"/>
      <c r="L170" s="197"/>
      <c r="M170" s="197"/>
      <c r="N170" s="197"/>
      <c r="O170" s="197"/>
      <c r="P170" s="197"/>
      <c r="Q170" s="197"/>
      <c r="R170" s="197"/>
      <c r="S170" s="197"/>
      <c r="T170" s="197"/>
      <c r="U170" s="197"/>
      <c r="V170" s="197"/>
      <c r="W170" s="197"/>
      <c r="X170" s="197"/>
      <c r="Y170" s="197"/>
      <c r="Z170" s="197"/>
      <c r="AA170" s="197"/>
      <c r="AB170" s="197"/>
      <c r="AC170" s="197"/>
      <c r="AD170" s="197"/>
      <c r="AE170" s="197"/>
      <c r="AF170" s="197"/>
      <c r="AG170" s="197"/>
      <c r="AH170" s="197"/>
      <c r="AI170" s="197"/>
      <c r="AJ170" s="201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</row>
    <row r="171" spans="1:63" ht="15" customHeight="1">
      <c r="A171" s="197"/>
      <c r="B171" s="197"/>
      <c r="C171" s="197"/>
      <c r="D171" s="197"/>
      <c r="E171" s="197"/>
      <c r="F171" s="197"/>
      <c r="G171" s="197"/>
      <c r="H171" s="197"/>
      <c r="I171" s="197"/>
      <c r="J171" s="197"/>
      <c r="K171" s="197"/>
      <c r="L171" s="197"/>
      <c r="M171" s="197"/>
      <c r="N171" s="197"/>
      <c r="O171" s="197"/>
      <c r="P171" s="197"/>
      <c r="Q171" s="197"/>
      <c r="R171" s="197"/>
      <c r="S171" s="197"/>
      <c r="T171" s="197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7"/>
      <c r="AI171" s="197"/>
      <c r="AJ171" s="201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</row>
    <row r="172" spans="1:63" ht="15" customHeight="1">
      <c r="A172" s="197"/>
      <c r="B172" s="197"/>
      <c r="C172" s="197"/>
      <c r="D172" s="197"/>
      <c r="E172" s="197"/>
      <c r="F172" s="197"/>
      <c r="G172" s="197"/>
      <c r="H172" s="197"/>
      <c r="I172" s="197"/>
      <c r="J172" s="197"/>
      <c r="K172" s="197"/>
      <c r="L172" s="197"/>
      <c r="M172" s="197"/>
      <c r="N172" s="197"/>
      <c r="O172" s="197"/>
      <c r="P172" s="197"/>
      <c r="Q172" s="197"/>
      <c r="R172" s="197"/>
      <c r="S172" s="197"/>
      <c r="T172" s="197"/>
      <c r="U172" s="197"/>
      <c r="V172" s="197"/>
      <c r="W172" s="197"/>
      <c r="X172" s="197"/>
      <c r="Y172" s="197"/>
      <c r="Z172" s="197"/>
      <c r="AA172" s="197"/>
      <c r="AB172" s="197"/>
      <c r="AC172" s="197"/>
      <c r="AD172" s="197"/>
      <c r="AE172" s="197"/>
      <c r="AF172" s="197"/>
      <c r="AG172" s="197"/>
      <c r="AH172" s="197"/>
      <c r="AI172" s="197"/>
      <c r="AJ172" s="201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</row>
    <row r="173" spans="1:63" ht="15" customHeight="1">
      <c r="A173" s="197"/>
      <c r="B173" s="197"/>
      <c r="C173" s="197"/>
      <c r="D173" s="197"/>
      <c r="E173" s="197"/>
      <c r="F173" s="197"/>
      <c r="G173" s="197"/>
      <c r="H173" s="197"/>
      <c r="I173" s="197"/>
      <c r="J173" s="197"/>
      <c r="K173" s="197"/>
      <c r="L173" s="197"/>
      <c r="M173" s="197"/>
      <c r="N173" s="197"/>
      <c r="O173" s="197"/>
      <c r="P173" s="197"/>
      <c r="Q173" s="197"/>
      <c r="R173" s="197"/>
      <c r="S173" s="197"/>
      <c r="T173" s="197"/>
      <c r="U173" s="197"/>
      <c r="V173" s="197"/>
      <c r="W173" s="197"/>
      <c r="X173" s="197"/>
      <c r="Y173" s="197"/>
      <c r="Z173" s="197"/>
      <c r="AA173" s="197"/>
      <c r="AB173" s="197"/>
      <c r="AC173" s="197"/>
      <c r="AD173" s="197"/>
      <c r="AE173" s="197"/>
      <c r="AF173" s="197"/>
      <c r="AG173" s="197"/>
      <c r="AH173" s="197"/>
      <c r="AI173" s="197"/>
      <c r="AJ173" s="201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</row>
    <row r="174" spans="1:63" ht="15" customHeight="1">
      <c r="A174" s="197"/>
      <c r="B174" s="197"/>
      <c r="C174" s="197"/>
      <c r="D174" s="197"/>
      <c r="E174" s="197"/>
      <c r="F174" s="197"/>
      <c r="G174" s="197"/>
      <c r="H174" s="197"/>
      <c r="I174" s="197"/>
      <c r="J174" s="197"/>
      <c r="K174" s="197"/>
      <c r="L174" s="197"/>
      <c r="M174" s="197"/>
      <c r="N174" s="197"/>
      <c r="O174" s="197"/>
      <c r="P174" s="197"/>
      <c r="Q174" s="197"/>
      <c r="R174" s="197"/>
      <c r="S174" s="197"/>
      <c r="T174" s="197"/>
      <c r="U174" s="197"/>
      <c r="V174" s="197"/>
      <c r="W174" s="197"/>
      <c r="X174" s="197"/>
      <c r="Y174" s="197"/>
      <c r="Z174" s="197"/>
      <c r="AA174" s="197"/>
      <c r="AB174" s="197"/>
      <c r="AC174" s="197"/>
      <c r="AD174" s="197"/>
      <c r="AE174" s="197"/>
      <c r="AF174" s="197"/>
      <c r="AG174" s="197"/>
      <c r="AH174" s="197"/>
      <c r="AI174" s="197"/>
      <c r="AJ174" s="201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</row>
    <row r="175" spans="1:63" ht="15" customHeight="1">
      <c r="A175" s="197"/>
      <c r="B175" s="197"/>
      <c r="C175" s="197"/>
      <c r="D175" s="197"/>
      <c r="E175" s="197"/>
      <c r="F175" s="197"/>
      <c r="G175" s="197"/>
      <c r="H175" s="197"/>
      <c r="I175" s="197"/>
      <c r="J175" s="197"/>
      <c r="K175" s="197"/>
      <c r="L175" s="197"/>
      <c r="M175" s="197"/>
      <c r="N175" s="197"/>
      <c r="O175" s="197"/>
      <c r="P175" s="197"/>
      <c r="Q175" s="197"/>
      <c r="R175" s="197"/>
      <c r="S175" s="197"/>
      <c r="T175" s="197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7"/>
      <c r="AI175" s="197"/>
      <c r="AJ175" s="201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</row>
    <row r="176" spans="1:63" ht="15" customHeight="1">
      <c r="A176" s="197"/>
      <c r="B176" s="197"/>
      <c r="C176" s="197"/>
      <c r="D176" s="197"/>
      <c r="E176" s="197"/>
      <c r="F176" s="197"/>
      <c r="G176" s="197"/>
      <c r="H176" s="197"/>
      <c r="I176" s="197"/>
      <c r="J176" s="197"/>
      <c r="K176" s="197"/>
      <c r="L176" s="197"/>
      <c r="M176" s="197"/>
      <c r="N176" s="197"/>
      <c r="O176" s="197"/>
      <c r="P176" s="197"/>
      <c r="Q176" s="197"/>
      <c r="R176" s="197"/>
      <c r="S176" s="197"/>
      <c r="T176" s="197"/>
      <c r="U176" s="197"/>
      <c r="V176" s="197"/>
      <c r="W176" s="197"/>
      <c r="X176" s="197"/>
      <c r="Y176" s="197"/>
      <c r="Z176" s="197"/>
      <c r="AA176" s="197"/>
      <c r="AB176" s="197"/>
      <c r="AC176" s="197"/>
      <c r="AD176" s="197"/>
      <c r="AE176" s="197"/>
      <c r="AF176" s="197"/>
      <c r="AG176" s="197"/>
      <c r="AH176" s="197"/>
      <c r="AI176" s="197"/>
      <c r="AJ176" s="201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</row>
    <row r="177" spans="1:63" ht="15" customHeight="1">
      <c r="A177" s="197"/>
      <c r="B177" s="197"/>
      <c r="C177" s="197"/>
      <c r="D177" s="197"/>
      <c r="E177" s="197"/>
      <c r="F177" s="197"/>
      <c r="G177" s="197"/>
      <c r="H177" s="197"/>
      <c r="I177" s="197"/>
      <c r="J177" s="197"/>
      <c r="K177" s="197"/>
      <c r="L177" s="197"/>
      <c r="M177" s="197"/>
      <c r="N177" s="197"/>
      <c r="O177" s="197"/>
      <c r="P177" s="197"/>
      <c r="Q177" s="197"/>
      <c r="R177" s="197"/>
      <c r="S177" s="197"/>
      <c r="T177" s="197"/>
      <c r="U177" s="197"/>
      <c r="V177" s="197"/>
      <c r="W177" s="197"/>
      <c r="X177" s="197"/>
      <c r="Y177" s="197"/>
      <c r="Z177" s="197"/>
      <c r="AA177" s="197"/>
      <c r="AB177" s="197"/>
      <c r="AC177" s="197"/>
      <c r="AD177" s="197"/>
      <c r="AE177" s="197"/>
      <c r="AF177" s="197"/>
      <c r="AG177" s="197"/>
      <c r="AH177" s="197"/>
      <c r="AI177" s="197"/>
      <c r="AJ177" s="201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</row>
    <row r="178" spans="1:63" ht="15" customHeight="1">
      <c r="A178" s="197"/>
      <c r="B178" s="197"/>
      <c r="C178" s="197"/>
      <c r="D178" s="197"/>
      <c r="E178" s="197"/>
      <c r="F178" s="197"/>
      <c r="G178" s="197"/>
      <c r="H178" s="197"/>
      <c r="I178" s="197"/>
      <c r="J178" s="197"/>
      <c r="K178" s="197"/>
      <c r="L178" s="197"/>
      <c r="M178" s="197"/>
      <c r="N178" s="197"/>
      <c r="O178" s="197"/>
      <c r="P178" s="197"/>
      <c r="Q178" s="197"/>
      <c r="R178" s="197"/>
      <c r="S178" s="197"/>
      <c r="T178" s="197"/>
      <c r="U178" s="197"/>
      <c r="V178" s="197"/>
      <c r="W178" s="197"/>
      <c r="X178" s="197"/>
      <c r="Y178" s="197"/>
      <c r="Z178" s="197"/>
      <c r="AA178" s="197"/>
      <c r="AB178" s="197"/>
      <c r="AC178" s="197"/>
      <c r="AD178" s="197"/>
      <c r="AE178" s="197"/>
      <c r="AF178" s="197"/>
      <c r="AG178" s="197"/>
      <c r="AH178" s="197"/>
      <c r="AI178" s="197"/>
      <c r="AJ178" s="201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</row>
    <row r="179" spans="1:63" ht="15" customHeight="1">
      <c r="A179" s="197"/>
      <c r="B179" s="197"/>
      <c r="C179" s="197"/>
      <c r="D179" s="197"/>
      <c r="E179" s="197"/>
      <c r="F179" s="197"/>
      <c r="G179" s="197"/>
      <c r="H179" s="197"/>
      <c r="I179" s="197"/>
      <c r="J179" s="197"/>
      <c r="K179" s="197"/>
      <c r="L179" s="197"/>
      <c r="M179" s="197"/>
      <c r="N179" s="197"/>
      <c r="O179" s="197"/>
      <c r="P179" s="197"/>
      <c r="Q179" s="197"/>
      <c r="R179" s="197"/>
      <c r="S179" s="197"/>
      <c r="T179" s="197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7"/>
      <c r="AI179" s="197"/>
      <c r="AJ179" s="201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</row>
    <row r="180" spans="1:63" ht="15" customHeight="1">
      <c r="A180" s="197"/>
      <c r="B180" s="197"/>
      <c r="C180" s="197"/>
      <c r="D180" s="197"/>
      <c r="E180" s="197"/>
      <c r="F180" s="197"/>
      <c r="G180" s="197"/>
      <c r="H180" s="197"/>
      <c r="I180" s="197"/>
      <c r="J180" s="197"/>
      <c r="K180" s="197"/>
      <c r="L180" s="197"/>
      <c r="M180" s="197"/>
      <c r="N180" s="197"/>
      <c r="O180" s="197"/>
      <c r="P180" s="197"/>
      <c r="Q180" s="197"/>
      <c r="R180" s="197"/>
      <c r="S180" s="197"/>
      <c r="T180" s="197"/>
      <c r="U180" s="197"/>
      <c r="V180" s="197"/>
      <c r="W180" s="197"/>
      <c r="X180" s="197"/>
      <c r="Y180" s="197"/>
      <c r="Z180" s="197"/>
      <c r="AA180" s="197"/>
      <c r="AB180" s="197"/>
      <c r="AC180" s="197"/>
      <c r="AD180" s="197"/>
      <c r="AE180" s="197"/>
      <c r="AF180" s="197"/>
      <c r="AG180" s="197"/>
      <c r="AH180" s="197"/>
      <c r="AI180" s="197"/>
      <c r="AJ180" s="201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</row>
    <row r="181" spans="1:63" ht="15" customHeight="1">
      <c r="A181" s="197"/>
      <c r="B181" s="197"/>
      <c r="C181" s="197"/>
      <c r="D181" s="197"/>
      <c r="E181" s="197"/>
      <c r="F181" s="197"/>
      <c r="G181" s="197"/>
      <c r="H181" s="197"/>
      <c r="I181" s="197"/>
      <c r="J181" s="197"/>
      <c r="K181" s="197"/>
      <c r="L181" s="197"/>
      <c r="M181" s="197"/>
      <c r="N181" s="197"/>
      <c r="O181" s="197"/>
      <c r="P181" s="197"/>
      <c r="Q181" s="197"/>
      <c r="R181" s="197"/>
      <c r="S181" s="197"/>
      <c r="T181" s="197"/>
      <c r="U181" s="197"/>
      <c r="V181" s="197"/>
      <c r="W181" s="197"/>
      <c r="X181" s="197"/>
      <c r="Y181" s="197"/>
      <c r="Z181" s="197"/>
      <c r="AA181" s="197"/>
      <c r="AB181" s="197"/>
      <c r="AC181" s="197"/>
      <c r="AD181" s="197"/>
      <c r="AE181" s="197"/>
      <c r="AF181" s="197"/>
      <c r="AG181" s="197"/>
      <c r="AH181" s="197"/>
      <c r="AI181" s="197"/>
      <c r="AJ181" s="201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</row>
    <row r="182" spans="1:63" ht="15" customHeight="1">
      <c r="A182" s="197"/>
      <c r="B182" s="197"/>
      <c r="C182" s="197"/>
      <c r="D182" s="197"/>
      <c r="E182" s="197"/>
      <c r="F182" s="197"/>
      <c r="G182" s="197"/>
      <c r="H182" s="197"/>
      <c r="I182" s="197"/>
      <c r="J182" s="197"/>
      <c r="K182" s="197"/>
      <c r="L182" s="197"/>
      <c r="M182" s="197"/>
      <c r="N182" s="197"/>
      <c r="O182" s="197"/>
      <c r="P182" s="197"/>
      <c r="Q182" s="197"/>
      <c r="R182" s="197"/>
      <c r="S182" s="197"/>
      <c r="T182" s="197"/>
      <c r="U182" s="197"/>
      <c r="V182" s="197"/>
      <c r="W182" s="197"/>
      <c r="X182" s="197"/>
      <c r="Y182" s="197"/>
      <c r="Z182" s="197"/>
      <c r="AA182" s="197"/>
      <c r="AB182" s="197"/>
      <c r="AC182" s="197"/>
      <c r="AD182" s="197"/>
      <c r="AE182" s="197"/>
      <c r="AF182" s="197"/>
      <c r="AG182" s="197"/>
      <c r="AH182" s="197"/>
      <c r="AI182" s="197"/>
      <c r="AJ182" s="201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</row>
    <row r="183" spans="1:63" ht="15" customHeight="1">
      <c r="A183" s="197"/>
      <c r="B183" s="197"/>
      <c r="C183" s="197"/>
      <c r="D183" s="197"/>
      <c r="E183" s="197"/>
      <c r="F183" s="197"/>
      <c r="G183" s="197"/>
      <c r="H183" s="197"/>
      <c r="I183" s="197"/>
      <c r="J183" s="197"/>
      <c r="K183" s="197"/>
      <c r="L183" s="197"/>
      <c r="M183" s="197"/>
      <c r="N183" s="197"/>
      <c r="O183" s="197"/>
      <c r="P183" s="197"/>
      <c r="Q183" s="197"/>
      <c r="R183" s="197"/>
      <c r="S183" s="197"/>
      <c r="T183" s="197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7"/>
      <c r="AI183" s="197"/>
      <c r="AJ183" s="201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</row>
    <row r="184" spans="1:63" ht="15" customHeight="1">
      <c r="A184" s="197"/>
      <c r="B184" s="197"/>
      <c r="C184" s="197"/>
      <c r="D184" s="197"/>
      <c r="E184" s="197"/>
      <c r="F184" s="197"/>
      <c r="G184" s="197"/>
      <c r="H184" s="197"/>
      <c r="I184" s="197"/>
      <c r="J184" s="197"/>
      <c r="K184" s="197"/>
      <c r="L184" s="197"/>
      <c r="M184" s="197"/>
      <c r="N184" s="197"/>
      <c r="O184" s="197"/>
      <c r="P184" s="197"/>
      <c r="Q184" s="197"/>
      <c r="R184" s="197"/>
      <c r="S184" s="197"/>
      <c r="T184" s="197"/>
      <c r="U184" s="197"/>
      <c r="V184" s="197"/>
      <c r="W184" s="197"/>
      <c r="X184" s="197"/>
      <c r="Y184" s="197"/>
      <c r="Z184" s="197"/>
      <c r="AA184" s="197"/>
      <c r="AB184" s="197"/>
      <c r="AC184" s="197"/>
      <c r="AD184" s="197"/>
      <c r="AE184" s="197"/>
      <c r="AF184" s="197"/>
      <c r="AG184" s="197"/>
      <c r="AH184" s="197"/>
      <c r="AI184" s="197"/>
      <c r="AJ184" s="201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</row>
    <row r="185" spans="1:63" ht="15" customHeight="1">
      <c r="A185" s="197"/>
      <c r="B185" s="197"/>
      <c r="C185" s="197"/>
      <c r="D185" s="197"/>
      <c r="E185" s="197"/>
      <c r="F185" s="197"/>
      <c r="G185" s="197"/>
      <c r="H185" s="197"/>
      <c r="I185" s="197"/>
      <c r="J185" s="197"/>
      <c r="K185" s="197"/>
      <c r="L185" s="197"/>
      <c r="M185" s="197"/>
      <c r="N185" s="197"/>
      <c r="O185" s="197"/>
      <c r="P185" s="197"/>
      <c r="Q185" s="197"/>
      <c r="R185" s="197"/>
      <c r="S185" s="197"/>
      <c r="T185" s="197"/>
      <c r="U185" s="197"/>
      <c r="V185" s="197"/>
      <c r="W185" s="197"/>
      <c r="X185" s="197"/>
      <c r="Y185" s="197"/>
      <c r="Z185" s="197"/>
      <c r="AA185" s="197"/>
      <c r="AB185" s="197"/>
      <c r="AC185" s="197"/>
      <c r="AD185" s="197"/>
      <c r="AE185" s="197"/>
      <c r="AF185" s="197"/>
      <c r="AG185" s="197"/>
      <c r="AH185" s="197"/>
      <c r="AI185" s="197"/>
      <c r="AJ185" s="201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</row>
    <row r="186" spans="1:63" ht="15" customHeight="1">
      <c r="A186" s="197"/>
      <c r="B186" s="197"/>
      <c r="C186" s="197"/>
      <c r="D186" s="197"/>
      <c r="E186" s="197"/>
      <c r="F186" s="197"/>
      <c r="G186" s="197"/>
      <c r="H186" s="197"/>
      <c r="I186" s="197"/>
      <c r="J186" s="197"/>
      <c r="K186" s="197"/>
      <c r="L186" s="197"/>
      <c r="M186" s="197"/>
      <c r="N186" s="197"/>
      <c r="O186" s="197"/>
      <c r="P186" s="197"/>
      <c r="Q186" s="197"/>
      <c r="R186" s="197"/>
      <c r="S186" s="197"/>
      <c r="T186" s="197"/>
      <c r="U186" s="197"/>
      <c r="V186" s="197"/>
      <c r="W186" s="197"/>
      <c r="X186" s="197"/>
      <c r="Y186" s="197"/>
      <c r="Z186" s="197"/>
      <c r="AA186" s="197"/>
      <c r="AB186" s="197"/>
      <c r="AC186" s="197"/>
      <c r="AD186" s="197"/>
      <c r="AE186" s="197"/>
      <c r="AF186" s="197"/>
      <c r="AG186" s="197"/>
      <c r="AH186" s="197"/>
      <c r="AI186" s="197"/>
      <c r="AJ186" s="201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</row>
    <row r="187" spans="1:63" ht="15" customHeight="1">
      <c r="A187" s="197"/>
      <c r="B187" s="197"/>
      <c r="C187" s="197"/>
      <c r="D187" s="197"/>
      <c r="E187" s="197"/>
      <c r="F187" s="197"/>
      <c r="G187" s="197"/>
      <c r="H187" s="197"/>
      <c r="I187" s="197"/>
      <c r="J187" s="197"/>
      <c r="K187" s="197"/>
      <c r="L187" s="197"/>
      <c r="M187" s="197"/>
      <c r="N187" s="197"/>
      <c r="O187" s="197"/>
      <c r="P187" s="197"/>
      <c r="Q187" s="197"/>
      <c r="R187" s="197"/>
      <c r="S187" s="197"/>
      <c r="T187" s="197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7"/>
      <c r="AI187" s="197"/>
      <c r="AJ187" s="201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</row>
    <row r="188" spans="1:63" ht="15" customHeight="1">
      <c r="A188" s="197"/>
      <c r="B188" s="197"/>
      <c r="C188" s="197"/>
      <c r="D188" s="197"/>
      <c r="E188" s="197"/>
      <c r="F188" s="197"/>
      <c r="G188" s="197"/>
      <c r="H188" s="197"/>
      <c r="I188" s="197"/>
      <c r="J188" s="197"/>
      <c r="K188" s="197"/>
      <c r="L188" s="197"/>
      <c r="M188" s="197"/>
      <c r="N188" s="197"/>
      <c r="O188" s="197"/>
      <c r="P188" s="197"/>
      <c r="Q188" s="197"/>
      <c r="R188" s="197"/>
      <c r="S188" s="197"/>
      <c r="T188" s="197"/>
      <c r="U188" s="197"/>
      <c r="V188" s="197"/>
      <c r="W188" s="197"/>
      <c r="X188" s="197"/>
      <c r="Y188" s="197"/>
      <c r="Z188" s="197"/>
      <c r="AA188" s="197"/>
      <c r="AB188" s="197"/>
      <c r="AC188" s="197"/>
      <c r="AD188" s="197"/>
      <c r="AE188" s="197"/>
      <c r="AF188" s="197"/>
      <c r="AG188" s="197"/>
      <c r="AH188" s="197"/>
      <c r="AI188" s="197"/>
      <c r="AJ188" s="201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</row>
    <row r="189" spans="1:63" ht="15" customHeight="1">
      <c r="A189" s="197"/>
      <c r="B189" s="197"/>
      <c r="C189" s="197"/>
      <c r="D189" s="197"/>
      <c r="E189" s="197"/>
      <c r="F189" s="197"/>
      <c r="G189" s="197"/>
      <c r="H189" s="197"/>
      <c r="I189" s="197"/>
      <c r="J189" s="197"/>
      <c r="K189" s="197"/>
      <c r="L189" s="197"/>
      <c r="M189" s="197"/>
      <c r="N189" s="197"/>
      <c r="O189" s="197"/>
      <c r="P189" s="197"/>
      <c r="Q189" s="197"/>
      <c r="R189" s="197"/>
      <c r="S189" s="197"/>
      <c r="T189" s="197"/>
      <c r="U189" s="197"/>
      <c r="V189" s="197"/>
      <c r="W189" s="197"/>
      <c r="X189" s="197"/>
      <c r="Y189" s="197"/>
      <c r="Z189" s="197"/>
      <c r="AA189" s="197"/>
      <c r="AB189" s="197"/>
      <c r="AC189" s="197"/>
      <c r="AD189" s="197"/>
      <c r="AE189" s="197"/>
      <c r="AF189" s="197"/>
      <c r="AG189" s="197"/>
      <c r="AH189" s="197"/>
      <c r="AI189" s="197"/>
      <c r="AJ189" s="201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</row>
    <row r="190" spans="1:63" ht="15" customHeight="1">
      <c r="A190" s="197"/>
      <c r="B190" s="197"/>
      <c r="C190" s="197"/>
      <c r="D190" s="197"/>
      <c r="E190" s="197"/>
      <c r="F190" s="197"/>
      <c r="G190" s="197"/>
      <c r="H190" s="197"/>
      <c r="I190" s="197"/>
      <c r="J190" s="197"/>
      <c r="K190" s="197"/>
      <c r="L190" s="197"/>
      <c r="M190" s="197"/>
      <c r="N190" s="197"/>
      <c r="O190" s="197"/>
      <c r="P190" s="197"/>
      <c r="Q190" s="197"/>
      <c r="R190" s="197"/>
      <c r="S190" s="197"/>
      <c r="T190" s="197"/>
      <c r="U190" s="197"/>
      <c r="V190" s="197"/>
      <c r="W190" s="197"/>
      <c r="X190" s="197"/>
      <c r="Y190" s="197"/>
      <c r="Z190" s="197"/>
      <c r="AA190" s="197"/>
      <c r="AB190" s="197"/>
      <c r="AC190" s="197"/>
      <c r="AD190" s="197"/>
      <c r="AE190" s="197"/>
      <c r="AF190" s="197"/>
      <c r="AG190" s="197"/>
      <c r="AH190" s="197"/>
      <c r="AI190" s="197"/>
      <c r="AJ190" s="201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</row>
    <row r="191" spans="1:63" ht="15" customHeight="1">
      <c r="A191" s="197"/>
      <c r="B191" s="197"/>
      <c r="C191" s="197"/>
      <c r="D191" s="197"/>
      <c r="E191" s="197"/>
      <c r="F191" s="197"/>
      <c r="G191" s="197"/>
      <c r="H191" s="197"/>
      <c r="I191" s="197"/>
      <c r="J191" s="197"/>
      <c r="K191" s="197"/>
      <c r="L191" s="197"/>
      <c r="M191" s="197"/>
      <c r="N191" s="197"/>
      <c r="O191" s="197"/>
      <c r="P191" s="197"/>
      <c r="Q191" s="197"/>
      <c r="R191" s="197"/>
      <c r="S191" s="197"/>
      <c r="T191" s="197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7"/>
      <c r="AI191" s="197"/>
      <c r="AJ191" s="201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</row>
    <row r="192" spans="1:63" ht="15" customHeight="1">
      <c r="A192" s="197"/>
      <c r="B192" s="197"/>
      <c r="C192" s="197"/>
      <c r="D192" s="197"/>
      <c r="E192" s="197"/>
      <c r="F192" s="197"/>
      <c r="G192" s="197"/>
      <c r="H192" s="197"/>
      <c r="I192" s="197"/>
      <c r="J192" s="197"/>
      <c r="K192" s="197"/>
      <c r="L192" s="197"/>
      <c r="M192" s="197"/>
      <c r="N192" s="197"/>
      <c r="O192" s="197"/>
      <c r="P192" s="197"/>
      <c r="Q192" s="197"/>
      <c r="R192" s="197"/>
      <c r="S192" s="197"/>
      <c r="T192" s="197"/>
      <c r="U192" s="197"/>
      <c r="V192" s="197"/>
      <c r="W192" s="197"/>
      <c r="X192" s="197"/>
      <c r="Y192" s="197"/>
      <c r="Z192" s="197"/>
      <c r="AA192" s="197"/>
      <c r="AB192" s="197"/>
      <c r="AC192" s="197"/>
      <c r="AD192" s="197"/>
      <c r="AE192" s="197"/>
      <c r="AF192" s="197"/>
      <c r="AG192" s="197"/>
      <c r="AH192" s="197"/>
      <c r="AI192" s="197"/>
      <c r="AJ192" s="201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</row>
    <row r="193" spans="1:63" ht="15" customHeight="1">
      <c r="A193" s="197"/>
      <c r="B193" s="197"/>
      <c r="C193" s="197"/>
      <c r="D193" s="197"/>
      <c r="E193" s="197"/>
      <c r="F193" s="197"/>
      <c r="G193" s="197"/>
      <c r="H193" s="197"/>
      <c r="I193" s="197"/>
      <c r="J193" s="197"/>
      <c r="K193" s="197"/>
      <c r="L193" s="197"/>
      <c r="M193" s="197"/>
      <c r="N193" s="197"/>
      <c r="O193" s="197"/>
      <c r="P193" s="197"/>
      <c r="Q193" s="197"/>
      <c r="R193" s="197"/>
      <c r="S193" s="197"/>
      <c r="T193" s="197"/>
      <c r="U193" s="197"/>
      <c r="V193" s="197"/>
      <c r="W193" s="197"/>
      <c r="X193" s="197"/>
      <c r="Y193" s="197"/>
      <c r="Z193" s="197"/>
      <c r="AA193" s="197"/>
      <c r="AB193" s="197"/>
      <c r="AC193" s="197"/>
      <c r="AD193" s="197"/>
      <c r="AE193" s="197"/>
      <c r="AF193" s="197"/>
      <c r="AG193" s="197"/>
      <c r="AH193" s="197"/>
      <c r="AI193" s="197"/>
      <c r="AJ193" s="201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</row>
    <row r="194" spans="1:63" ht="15" customHeight="1">
      <c r="A194" s="197"/>
      <c r="B194" s="197"/>
      <c r="C194" s="197"/>
      <c r="D194" s="197"/>
      <c r="E194" s="197"/>
      <c r="F194" s="197"/>
      <c r="G194" s="197"/>
      <c r="H194" s="197"/>
      <c r="I194" s="197"/>
      <c r="J194" s="197"/>
      <c r="K194" s="197"/>
      <c r="L194" s="197"/>
      <c r="M194" s="197"/>
      <c r="N194" s="197"/>
      <c r="O194" s="197"/>
      <c r="P194" s="197"/>
      <c r="Q194" s="197"/>
      <c r="R194" s="197"/>
      <c r="S194" s="197"/>
      <c r="T194" s="197"/>
      <c r="U194" s="197"/>
      <c r="V194" s="197"/>
      <c r="W194" s="197"/>
      <c r="X194" s="197"/>
      <c r="Y194" s="197"/>
      <c r="Z194" s="197"/>
      <c r="AA194" s="197"/>
      <c r="AB194" s="197"/>
      <c r="AC194" s="197"/>
      <c r="AD194" s="197"/>
      <c r="AE194" s="197"/>
      <c r="AF194" s="197"/>
      <c r="AG194" s="197"/>
      <c r="AH194" s="197"/>
      <c r="AI194" s="197"/>
      <c r="AJ194" s="201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</row>
    <row r="195" spans="1:63" ht="15" customHeight="1">
      <c r="A195" s="197"/>
      <c r="B195" s="197"/>
      <c r="C195" s="197"/>
      <c r="D195" s="197"/>
      <c r="E195" s="197"/>
      <c r="F195" s="197"/>
      <c r="G195" s="197"/>
      <c r="H195" s="197"/>
      <c r="I195" s="197"/>
      <c r="J195" s="197"/>
      <c r="K195" s="197"/>
      <c r="L195" s="197"/>
      <c r="M195" s="197"/>
      <c r="N195" s="197"/>
      <c r="O195" s="197"/>
      <c r="P195" s="197"/>
      <c r="Q195" s="197"/>
      <c r="R195" s="197"/>
      <c r="S195" s="197"/>
      <c r="T195" s="197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7"/>
      <c r="AI195" s="197"/>
      <c r="AJ195" s="201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</row>
    <row r="196" spans="1:63" ht="15" customHeight="1">
      <c r="A196" s="197"/>
      <c r="B196" s="197"/>
      <c r="C196" s="197"/>
      <c r="D196" s="197"/>
      <c r="E196" s="197"/>
      <c r="F196" s="197"/>
      <c r="G196" s="197"/>
      <c r="H196" s="197"/>
      <c r="I196" s="197"/>
      <c r="J196" s="197"/>
      <c r="K196" s="197"/>
      <c r="L196" s="197"/>
      <c r="M196" s="197"/>
      <c r="N196" s="197"/>
      <c r="O196" s="197"/>
      <c r="P196" s="197"/>
      <c r="Q196" s="197"/>
      <c r="R196" s="197"/>
      <c r="S196" s="197"/>
      <c r="T196" s="197"/>
      <c r="U196" s="197"/>
      <c r="V196" s="197"/>
      <c r="W196" s="197"/>
      <c r="X196" s="197"/>
      <c r="Y196" s="197"/>
      <c r="Z196" s="197"/>
      <c r="AA196" s="197"/>
      <c r="AB196" s="197"/>
      <c r="AC196" s="197"/>
      <c r="AD196" s="197"/>
      <c r="AE196" s="197"/>
      <c r="AF196" s="197"/>
      <c r="AG196" s="197"/>
      <c r="AH196" s="197"/>
      <c r="AI196" s="197"/>
      <c r="AJ196" s="201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</row>
    <row r="197" spans="1:63" ht="15" customHeight="1">
      <c r="A197" s="197"/>
      <c r="B197" s="197"/>
      <c r="C197" s="197"/>
      <c r="D197" s="197"/>
      <c r="E197" s="197"/>
      <c r="F197" s="197"/>
      <c r="G197" s="197"/>
      <c r="H197" s="197"/>
      <c r="I197" s="197"/>
      <c r="J197" s="197"/>
      <c r="K197" s="197"/>
      <c r="L197" s="197"/>
      <c r="M197" s="197"/>
      <c r="N197" s="197"/>
      <c r="O197" s="197"/>
      <c r="P197" s="197"/>
      <c r="Q197" s="197"/>
      <c r="R197" s="197"/>
      <c r="S197" s="197"/>
      <c r="T197" s="197"/>
      <c r="U197" s="197"/>
      <c r="V197" s="197"/>
      <c r="W197" s="197"/>
      <c r="X197" s="197"/>
      <c r="Y197" s="197"/>
      <c r="Z197" s="197"/>
      <c r="AA197" s="197"/>
      <c r="AB197" s="197"/>
      <c r="AC197" s="197"/>
      <c r="AD197" s="197"/>
      <c r="AE197" s="197"/>
      <c r="AF197" s="197"/>
      <c r="AG197" s="197"/>
      <c r="AH197" s="197"/>
      <c r="AI197" s="197"/>
      <c r="AJ197" s="201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</row>
    <row r="198" spans="1:63" ht="15" customHeight="1">
      <c r="A198" s="197"/>
      <c r="B198" s="197"/>
      <c r="C198" s="197"/>
      <c r="D198" s="197"/>
      <c r="E198" s="197"/>
      <c r="F198" s="197"/>
      <c r="G198" s="197"/>
      <c r="H198" s="197"/>
      <c r="I198" s="197"/>
      <c r="J198" s="197"/>
      <c r="K198" s="197"/>
      <c r="L198" s="197"/>
      <c r="M198" s="197"/>
      <c r="N198" s="197"/>
      <c r="O198" s="197"/>
      <c r="P198" s="197"/>
      <c r="Q198" s="197"/>
      <c r="R198" s="197"/>
      <c r="S198" s="197"/>
      <c r="T198" s="197"/>
      <c r="U198" s="197"/>
      <c r="V198" s="197"/>
      <c r="W198" s="197"/>
      <c r="X198" s="197"/>
      <c r="Y198" s="197"/>
      <c r="Z198" s="197"/>
      <c r="AA198" s="197"/>
      <c r="AB198" s="197"/>
      <c r="AC198" s="197"/>
      <c r="AD198" s="197"/>
      <c r="AE198" s="197"/>
      <c r="AF198" s="197"/>
      <c r="AG198" s="197"/>
      <c r="AH198" s="197"/>
      <c r="AI198" s="197"/>
      <c r="AJ198" s="201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</row>
    <row r="199" spans="1:63" ht="15" customHeight="1">
      <c r="A199" s="197"/>
      <c r="B199" s="197"/>
      <c r="C199" s="197"/>
      <c r="D199" s="197"/>
      <c r="E199" s="197"/>
      <c r="F199" s="197"/>
      <c r="G199" s="197"/>
      <c r="H199" s="197"/>
      <c r="I199" s="197"/>
      <c r="J199" s="197"/>
      <c r="K199" s="197"/>
      <c r="L199" s="197"/>
      <c r="M199" s="197"/>
      <c r="N199" s="197"/>
      <c r="O199" s="197"/>
      <c r="P199" s="197"/>
      <c r="Q199" s="197"/>
      <c r="R199" s="197"/>
      <c r="S199" s="197"/>
      <c r="T199" s="197"/>
      <c r="U199" s="197"/>
      <c r="V199" s="197"/>
      <c r="W199" s="197"/>
      <c r="X199" s="197"/>
      <c r="Y199" s="197"/>
      <c r="Z199" s="197"/>
      <c r="AA199" s="197"/>
      <c r="AB199" s="197"/>
      <c r="AC199" s="197"/>
      <c r="AD199" s="197"/>
      <c r="AE199" s="197"/>
      <c r="AF199" s="197"/>
      <c r="AG199" s="197"/>
      <c r="AH199" s="197"/>
      <c r="AI199" s="197"/>
      <c r="AJ199" s="201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</row>
    <row r="200" spans="1:63" ht="15" customHeight="1">
      <c r="A200" s="197"/>
      <c r="B200" s="197"/>
      <c r="C200" s="197"/>
      <c r="D200" s="197"/>
      <c r="E200" s="197"/>
      <c r="F200" s="197"/>
      <c r="G200" s="197"/>
      <c r="H200" s="197"/>
      <c r="I200" s="197"/>
      <c r="J200" s="197"/>
      <c r="K200" s="197"/>
      <c r="L200" s="197"/>
      <c r="M200" s="197"/>
      <c r="N200" s="197"/>
      <c r="O200" s="197"/>
      <c r="P200" s="197"/>
      <c r="Q200" s="197"/>
      <c r="R200" s="197"/>
      <c r="S200" s="197"/>
      <c r="T200" s="197"/>
      <c r="U200" s="197"/>
      <c r="V200" s="197"/>
      <c r="W200" s="197"/>
      <c r="X200" s="197"/>
      <c r="Y200" s="197"/>
      <c r="Z200" s="197"/>
      <c r="AA200" s="197"/>
      <c r="AB200" s="197"/>
      <c r="AC200" s="197"/>
      <c r="AD200" s="197"/>
      <c r="AE200" s="197"/>
      <c r="AF200" s="197"/>
      <c r="AG200" s="197"/>
      <c r="AH200" s="197"/>
      <c r="AI200" s="197"/>
      <c r="AJ200" s="201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</row>
    <row r="201" spans="1:63" ht="15" customHeight="1">
      <c r="A201" s="197"/>
      <c r="B201" s="197"/>
      <c r="C201" s="197"/>
      <c r="D201" s="197"/>
      <c r="E201" s="197"/>
      <c r="F201" s="197"/>
      <c r="G201" s="197"/>
      <c r="H201" s="197"/>
      <c r="I201" s="197"/>
      <c r="J201" s="197"/>
      <c r="K201" s="197"/>
      <c r="L201" s="197"/>
      <c r="M201" s="197"/>
      <c r="N201" s="197"/>
      <c r="O201" s="197"/>
      <c r="P201" s="197"/>
      <c r="Q201" s="197"/>
      <c r="R201" s="197"/>
      <c r="S201" s="197"/>
      <c r="T201" s="197"/>
      <c r="U201" s="197"/>
      <c r="V201" s="197"/>
      <c r="W201" s="197"/>
      <c r="X201" s="197"/>
      <c r="Y201" s="197"/>
      <c r="Z201" s="197"/>
      <c r="AA201" s="197"/>
      <c r="AB201" s="197"/>
      <c r="AC201" s="197"/>
      <c r="AD201" s="197"/>
      <c r="AE201" s="197"/>
      <c r="AF201" s="197"/>
      <c r="AG201" s="197"/>
      <c r="AH201" s="197"/>
      <c r="AI201" s="197"/>
      <c r="AJ201" s="201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</row>
    <row r="202" spans="1:63" ht="15" customHeight="1">
      <c r="A202" s="197"/>
      <c r="B202" s="197"/>
      <c r="C202" s="197"/>
      <c r="D202" s="197"/>
      <c r="E202" s="197"/>
      <c r="F202" s="197"/>
      <c r="G202" s="197"/>
      <c r="H202" s="197"/>
      <c r="I202" s="197"/>
      <c r="J202" s="197"/>
      <c r="K202" s="197"/>
      <c r="L202" s="197"/>
      <c r="M202" s="197"/>
      <c r="N202" s="197"/>
      <c r="O202" s="197"/>
      <c r="P202" s="197"/>
      <c r="Q202" s="197"/>
      <c r="R202" s="197"/>
      <c r="S202" s="197"/>
      <c r="T202" s="197"/>
      <c r="U202" s="197"/>
      <c r="V202" s="197"/>
      <c r="W202" s="197"/>
      <c r="X202" s="197"/>
      <c r="Y202" s="197"/>
      <c r="Z202" s="197"/>
      <c r="AA202" s="197"/>
      <c r="AB202" s="197"/>
      <c r="AC202" s="197"/>
      <c r="AD202" s="197"/>
      <c r="AE202" s="197"/>
      <c r="AF202" s="197"/>
      <c r="AG202" s="197"/>
      <c r="AH202" s="197"/>
      <c r="AI202" s="197"/>
      <c r="AJ202" s="201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</row>
    <row r="203" spans="1:63" ht="15" customHeight="1">
      <c r="A203" s="197"/>
      <c r="B203" s="197"/>
      <c r="C203" s="197"/>
      <c r="D203" s="197"/>
      <c r="E203" s="197"/>
      <c r="F203" s="197"/>
      <c r="G203" s="197"/>
      <c r="H203" s="197"/>
      <c r="I203" s="197"/>
      <c r="J203" s="197"/>
      <c r="K203" s="197"/>
      <c r="L203" s="197"/>
      <c r="M203" s="197"/>
      <c r="N203" s="197"/>
      <c r="O203" s="197"/>
      <c r="P203" s="197"/>
      <c r="Q203" s="197"/>
      <c r="R203" s="197"/>
      <c r="S203" s="197"/>
      <c r="T203" s="197"/>
      <c r="U203" s="197"/>
      <c r="V203" s="197"/>
      <c r="W203" s="197"/>
      <c r="X203" s="197"/>
      <c r="Y203" s="197"/>
      <c r="Z203" s="197"/>
      <c r="AA203" s="197"/>
      <c r="AB203" s="197"/>
      <c r="AC203" s="197"/>
      <c r="AD203" s="197"/>
      <c r="AE203" s="197"/>
      <c r="AF203" s="197"/>
      <c r="AG203" s="197"/>
      <c r="AH203" s="197"/>
      <c r="AI203" s="197"/>
      <c r="AJ203" s="201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</row>
    <row r="204" spans="1:63" ht="15" customHeight="1">
      <c r="A204" s="197"/>
      <c r="B204" s="197"/>
      <c r="C204" s="197"/>
      <c r="D204" s="197"/>
      <c r="E204" s="197"/>
      <c r="F204" s="197"/>
      <c r="G204" s="197"/>
      <c r="H204" s="197"/>
      <c r="I204" s="197"/>
      <c r="J204" s="197"/>
      <c r="K204" s="197"/>
      <c r="L204" s="197"/>
      <c r="M204" s="197"/>
      <c r="N204" s="197"/>
      <c r="O204" s="197"/>
      <c r="P204" s="197"/>
      <c r="Q204" s="197"/>
      <c r="R204" s="197"/>
      <c r="S204" s="197"/>
      <c r="T204" s="197"/>
      <c r="U204" s="197"/>
      <c r="V204" s="197"/>
      <c r="W204" s="197"/>
      <c r="X204" s="197"/>
      <c r="Y204" s="197"/>
      <c r="Z204" s="197"/>
      <c r="AA204" s="197"/>
      <c r="AB204" s="197"/>
      <c r="AC204" s="197"/>
      <c r="AD204" s="197"/>
      <c r="AE204" s="197"/>
      <c r="AF204" s="197"/>
      <c r="AG204" s="197"/>
      <c r="AH204" s="197"/>
      <c r="AI204" s="197"/>
      <c r="AJ204" s="201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</row>
    <row r="205" spans="1:63" ht="15" customHeight="1">
      <c r="A205" s="197"/>
      <c r="B205" s="197"/>
      <c r="C205" s="197"/>
      <c r="D205" s="197"/>
      <c r="E205" s="197"/>
      <c r="F205" s="197"/>
      <c r="G205" s="197"/>
      <c r="H205" s="197"/>
      <c r="I205" s="197"/>
      <c r="J205" s="197"/>
      <c r="K205" s="197"/>
      <c r="L205" s="197"/>
      <c r="M205" s="197"/>
      <c r="N205" s="197"/>
      <c r="O205" s="197"/>
      <c r="P205" s="197"/>
      <c r="Q205" s="197"/>
      <c r="R205" s="197"/>
      <c r="S205" s="197"/>
      <c r="T205" s="197"/>
      <c r="U205" s="197"/>
      <c r="V205" s="197"/>
      <c r="W205" s="197"/>
      <c r="X205" s="197"/>
      <c r="Y205" s="197"/>
      <c r="Z205" s="197"/>
      <c r="AA205" s="197"/>
      <c r="AB205" s="197"/>
      <c r="AC205" s="197"/>
      <c r="AD205" s="197"/>
      <c r="AE205" s="197"/>
      <c r="AF205" s="197"/>
      <c r="AG205" s="197"/>
      <c r="AH205" s="197"/>
      <c r="AI205" s="197"/>
      <c r="AJ205" s="201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</row>
    <row r="206" spans="1:63" ht="15" customHeight="1">
      <c r="A206" s="197"/>
      <c r="B206" s="197"/>
      <c r="C206" s="197"/>
      <c r="D206" s="197"/>
      <c r="E206" s="197"/>
      <c r="F206" s="197"/>
      <c r="G206" s="197"/>
      <c r="H206" s="197"/>
      <c r="I206" s="197"/>
      <c r="J206" s="197"/>
      <c r="K206" s="197"/>
      <c r="L206" s="197"/>
      <c r="M206" s="197"/>
      <c r="N206" s="197"/>
      <c r="O206" s="197"/>
      <c r="P206" s="197"/>
      <c r="Q206" s="197"/>
      <c r="R206" s="197"/>
      <c r="S206" s="197"/>
      <c r="T206" s="197"/>
      <c r="U206" s="197"/>
      <c r="V206" s="197"/>
      <c r="W206" s="197"/>
      <c r="X206" s="197"/>
      <c r="Y206" s="197"/>
      <c r="Z206" s="197"/>
      <c r="AA206" s="197"/>
      <c r="AB206" s="197"/>
      <c r="AC206" s="197"/>
      <c r="AD206" s="197"/>
      <c r="AE206" s="197"/>
      <c r="AF206" s="197"/>
      <c r="AG206" s="197"/>
      <c r="AH206" s="197"/>
      <c r="AI206" s="197"/>
      <c r="AJ206" s="201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</row>
    <row r="207" spans="1:63" ht="15" customHeight="1">
      <c r="A207" s="197"/>
      <c r="B207" s="197"/>
      <c r="C207" s="197"/>
      <c r="D207" s="197"/>
      <c r="E207" s="197"/>
      <c r="F207" s="197"/>
      <c r="G207" s="197"/>
      <c r="H207" s="197"/>
      <c r="I207" s="197"/>
      <c r="J207" s="197"/>
      <c r="K207" s="197"/>
      <c r="L207" s="197"/>
      <c r="M207" s="197"/>
      <c r="N207" s="197"/>
      <c r="O207" s="197"/>
      <c r="P207" s="197"/>
      <c r="Q207" s="197"/>
      <c r="R207" s="197"/>
      <c r="S207" s="197"/>
      <c r="T207" s="197"/>
      <c r="U207" s="197"/>
      <c r="V207" s="197"/>
      <c r="W207" s="197"/>
      <c r="X207" s="197"/>
      <c r="Y207" s="197"/>
      <c r="Z207" s="197"/>
      <c r="AA207" s="197"/>
      <c r="AB207" s="197"/>
      <c r="AC207" s="197"/>
      <c r="AD207" s="197"/>
      <c r="AE207" s="197"/>
      <c r="AF207" s="197"/>
      <c r="AG207" s="197"/>
      <c r="AH207" s="197"/>
      <c r="AI207" s="197"/>
      <c r="AJ207" s="201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</row>
    <row r="208" spans="1:63" ht="15" customHeight="1">
      <c r="A208" s="197"/>
      <c r="B208" s="197"/>
      <c r="C208" s="197"/>
      <c r="D208" s="197"/>
      <c r="E208" s="197"/>
      <c r="F208" s="197"/>
      <c r="G208" s="197"/>
      <c r="H208" s="197"/>
      <c r="I208" s="197"/>
      <c r="J208" s="197"/>
      <c r="K208" s="197"/>
      <c r="L208" s="197"/>
      <c r="M208" s="197"/>
      <c r="N208" s="197"/>
      <c r="O208" s="197"/>
      <c r="P208" s="197"/>
      <c r="Q208" s="197"/>
      <c r="R208" s="197"/>
      <c r="S208" s="197"/>
      <c r="T208" s="197"/>
      <c r="U208" s="197"/>
      <c r="V208" s="197"/>
      <c r="W208" s="197"/>
      <c r="X208" s="197"/>
      <c r="Y208" s="197"/>
      <c r="Z208" s="197"/>
      <c r="AA208" s="197"/>
      <c r="AB208" s="197"/>
      <c r="AC208" s="197"/>
      <c r="AD208" s="197"/>
      <c r="AE208" s="197"/>
      <c r="AF208" s="197"/>
      <c r="AG208" s="197"/>
      <c r="AH208" s="197"/>
      <c r="AI208" s="197"/>
      <c r="AJ208" s="201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</row>
    <row r="209" spans="1:63" ht="15" customHeight="1">
      <c r="A209" s="197"/>
      <c r="B209" s="197"/>
      <c r="C209" s="197"/>
      <c r="D209" s="197"/>
      <c r="E209" s="197"/>
      <c r="F209" s="197"/>
      <c r="G209" s="197"/>
      <c r="H209" s="197"/>
      <c r="I209" s="197"/>
      <c r="J209" s="197"/>
      <c r="K209" s="197"/>
      <c r="L209" s="197"/>
      <c r="M209" s="197"/>
      <c r="N209" s="197"/>
      <c r="O209" s="197"/>
      <c r="P209" s="197"/>
      <c r="Q209" s="197"/>
      <c r="R209" s="197"/>
      <c r="S209" s="197"/>
      <c r="T209" s="197"/>
      <c r="U209" s="197"/>
      <c r="V209" s="197"/>
      <c r="W209" s="197"/>
      <c r="X209" s="197"/>
      <c r="Y209" s="197"/>
      <c r="Z209" s="197"/>
      <c r="AA209" s="197"/>
      <c r="AB209" s="197"/>
      <c r="AC209" s="197"/>
      <c r="AD209" s="197"/>
      <c r="AE209" s="197"/>
      <c r="AF209" s="197"/>
      <c r="AG209" s="197"/>
      <c r="AH209" s="197"/>
      <c r="AI209" s="197"/>
      <c r="AJ209" s="201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</row>
    <row r="210" spans="1:63" ht="15" customHeight="1">
      <c r="A210" s="197"/>
      <c r="B210" s="197"/>
      <c r="C210" s="197"/>
      <c r="D210" s="197"/>
      <c r="E210" s="197"/>
      <c r="F210" s="197"/>
      <c r="G210" s="197"/>
      <c r="H210" s="197"/>
      <c r="I210" s="197"/>
      <c r="J210" s="197"/>
      <c r="K210" s="197"/>
      <c r="L210" s="197"/>
      <c r="M210" s="197"/>
      <c r="N210" s="197"/>
      <c r="O210" s="197"/>
      <c r="P210" s="197"/>
      <c r="Q210" s="197"/>
      <c r="R210" s="197"/>
      <c r="S210" s="197"/>
      <c r="T210" s="197"/>
      <c r="U210" s="197"/>
      <c r="V210" s="197"/>
      <c r="W210" s="197"/>
      <c r="X210" s="197"/>
      <c r="Y210" s="197"/>
      <c r="Z210" s="197"/>
      <c r="AA210" s="197"/>
      <c r="AB210" s="197"/>
      <c r="AC210" s="197"/>
      <c r="AD210" s="197"/>
      <c r="AE210" s="197"/>
      <c r="AF210" s="197"/>
      <c r="AG210" s="197"/>
      <c r="AH210" s="197"/>
      <c r="AI210" s="197"/>
      <c r="AJ210" s="201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</row>
    <row r="211" spans="1:63" ht="15" customHeight="1">
      <c r="A211" s="197"/>
      <c r="B211" s="197"/>
      <c r="C211" s="197"/>
      <c r="D211" s="197"/>
      <c r="E211" s="197"/>
      <c r="F211" s="197"/>
      <c r="G211" s="197"/>
      <c r="H211" s="197"/>
      <c r="I211" s="197"/>
      <c r="J211" s="197"/>
      <c r="K211" s="197"/>
      <c r="L211" s="197"/>
      <c r="M211" s="197"/>
      <c r="N211" s="197"/>
      <c r="O211" s="197"/>
      <c r="P211" s="197"/>
      <c r="Q211" s="197"/>
      <c r="R211" s="197"/>
      <c r="S211" s="197"/>
      <c r="T211" s="197"/>
      <c r="U211" s="197"/>
      <c r="V211" s="197"/>
      <c r="W211" s="197"/>
      <c r="X211" s="197"/>
      <c r="Y211" s="197"/>
      <c r="Z211" s="197"/>
      <c r="AA211" s="197"/>
      <c r="AB211" s="197"/>
      <c r="AC211" s="197"/>
      <c r="AD211" s="197"/>
      <c r="AE211" s="197"/>
      <c r="AF211" s="197"/>
      <c r="AG211" s="197"/>
      <c r="AH211" s="197"/>
      <c r="AI211" s="197"/>
      <c r="AJ211" s="201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</row>
    <row r="212" spans="1:63" ht="15" customHeight="1">
      <c r="A212" s="197"/>
      <c r="B212" s="197"/>
      <c r="C212" s="197"/>
      <c r="D212" s="197"/>
      <c r="E212" s="197"/>
      <c r="F212" s="197"/>
      <c r="G212" s="197"/>
      <c r="H212" s="197"/>
      <c r="I212" s="197"/>
      <c r="J212" s="197"/>
      <c r="K212" s="197"/>
      <c r="L212" s="197"/>
      <c r="M212" s="197"/>
      <c r="N212" s="197"/>
      <c r="O212" s="197"/>
      <c r="P212" s="197"/>
      <c r="Q212" s="197"/>
      <c r="R212" s="197"/>
      <c r="S212" s="197"/>
      <c r="T212" s="197"/>
      <c r="U212" s="197"/>
      <c r="V212" s="197"/>
      <c r="W212" s="197"/>
      <c r="X212" s="197"/>
      <c r="Y212" s="197"/>
      <c r="Z212" s="197"/>
      <c r="AA212" s="197"/>
      <c r="AB212" s="197"/>
      <c r="AC212" s="197"/>
      <c r="AD212" s="197"/>
      <c r="AE212" s="197"/>
      <c r="AF212" s="197"/>
      <c r="AG212" s="197"/>
      <c r="AH212" s="197"/>
      <c r="AI212" s="197"/>
      <c r="AJ212" s="201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</row>
    <row r="213" spans="1:63" ht="15" customHeight="1">
      <c r="A213" s="197"/>
      <c r="B213" s="197"/>
      <c r="C213" s="197"/>
      <c r="D213" s="197"/>
      <c r="E213" s="197"/>
      <c r="F213" s="197"/>
      <c r="G213" s="197"/>
      <c r="H213" s="197"/>
      <c r="I213" s="197"/>
      <c r="J213" s="197"/>
      <c r="K213" s="197"/>
      <c r="L213" s="197"/>
      <c r="M213" s="197"/>
      <c r="N213" s="197"/>
      <c r="O213" s="197"/>
      <c r="P213" s="197"/>
      <c r="Q213" s="197"/>
      <c r="R213" s="197"/>
      <c r="S213" s="197"/>
      <c r="T213" s="197"/>
      <c r="U213" s="197"/>
      <c r="V213" s="197"/>
      <c r="W213" s="197"/>
      <c r="X213" s="197"/>
      <c r="Y213" s="197"/>
      <c r="Z213" s="197"/>
      <c r="AA213" s="197"/>
      <c r="AB213" s="197"/>
      <c r="AC213" s="197"/>
      <c r="AD213" s="197"/>
      <c r="AE213" s="197"/>
      <c r="AF213" s="197"/>
      <c r="AG213" s="197"/>
      <c r="AH213" s="197"/>
      <c r="AI213" s="197"/>
      <c r="AJ213" s="201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</row>
    <row r="214" spans="1:63" ht="15" customHeight="1">
      <c r="A214" s="197"/>
      <c r="B214" s="197"/>
      <c r="C214" s="197"/>
      <c r="D214" s="197"/>
      <c r="E214" s="197"/>
      <c r="F214" s="197"/>
      <c r="G214" s="197"/>
      <c r="H214" s="197"/>
      <c r="I214" s="197"/>
      <c r="J214" s="197"/>
      <c r="K214" s="197"/>
      <c r="L214" s="197"/>
      <c r="M214" s="197"/>
      <c r="N214" s="197"/>
      <c r="O214" s="197"/>
      <c r="P214" s="197"/>
      <c r="Q214" s="197"/>
      <c r="R214" s="197"/>
      <c r="S214" s="197"/>
      <c r="T214" s="197"/>
      <c r="U214" s="197"/>
      <c r="V214" s="197"/>
      <c r="W214" s="197"/>
      <c r="X214" s="197"/>
      <c r="Y214" s="197"/>
      <c r="Z214" s="197"/>
      <c r="AA214" s="197"/>
      <c r="AB214" s="197"/>
      <c r="AC214" s="197"/>
      <c r="AD214" s="197"/>
      <c r="AE214" s="197"/>
      <c r="AF214" s="197"/>
      <c r="AG214" s="197"/>
      <c r="AH214" s="197"/>
      <c r="AI214" s="197"/>
      <c r="AJ214" s="201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</row>
    <row r="215" spans="1:63" ht="15" customHeight="1">
      <c r="A215" s="197"/>
      <c r="B215" s="197"/>
      <c r="C215" s="197"/>
      <c r="D215" s="197"/>
      <c r="E215" s="197"/>
      <c r="F215" s="197"/>
      <c r="G215" s="197"/>
      <c r="H215" s="197"/>
      <c r="I215" s="197"/>
      <c r="J215" s="197"/>
      <c r="K215" s="197"/>
      <c r="L215" s="197"/>
      <c r="M215" s="197"/>
      <c r="N215" s="197"/>
      <c r="O215" s="197"/>
      <c r="P215" s="197"/>
      <c r="Q215" s="197"/>
      <c r="R215" s="197"/>
      <c r="S215" s="197"/>
      <c r="T215" s="197"/>
      <c r="U215" s="197"/>
      <c r="V215" s="197"/>
      <c r="W215" s="197"/>
      <c r="X215" s="197"/>
      <c r="Y215" s="197"/>
      <c r="Z215" s="197"/>
      <c r="AA215" s="197"/>
      <c r="AB215" s="197"/>
      <c r="AC215" s="197"/>
      <c r="AD215" s="197"/>
      <c r="AE215" s="197"/>
      <c r="AF215" s="197"/>
      <c r="AG215" s="197"/>
      <c r="AH215" s="197"/>
      <c r="AI215" s="197"/>
      <c r="AJ215" s="201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</row>
    <row r="216" spans="1:63" ht="15" customHeight="1">
      <c r="A216" s="197"/>
      <c r="B216" s="197"/>
      <c r="C216" s="197"/>
      <c r="D216" s="197"/>
      <c r="E216" s="197"/>
      <c r="F216" s="197"/>
      <c r="G216" s="197"/>
      <c r="H216" s="197"/>
      <c r="I216" s="197"/>
      <c r="J216" s="197"/>
      <c r="K216" s="197"/>
      <c r="L216" s="197"/>
      <c r="M216" s="197"/>
      <c r="N216" s="197"/>
      <c r="O216" s="197"/>
      <c r="P216" s="197"/>
      <c r="Q216" s="197"/>
      <c r="R216" s="197"/>
      <c r="S216" s="197"/>
      <c r="T216" s="197"/>
      <c r="U216" s="197"/>
      <c r="V216" s="197"/>
      <c r="W216" s="197"/>
      <c r="X216" s="197"/>
      <c r="Y216" s="197"/>
      <c r="Z216" s="197"/>
      <c r="AA216" s="197"/>
      <c r="AB216" s="197"/>
      <c r="AC216" s="197"/>
      <c r="AD216" s="197"/>
      <c r="AE216" s="197"/>
      <c r="AF216" s="197"/>
      <c r="AG216" s="197"/>
      <c r="AH216" s="197"/>
      <c r="AI216" s="197"/>
      <c r="AJ216" s="201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</row>
    <row r="217" spans="1:63" ht="15" customHeight="1">
      <c r="A217" s="197"/>
      <c r="B217" s="197"/>
      <c r="C217" s="197"/>
      <c r="D217" s="197"/>
      <c r="E217" s="197"/>
      <c r="F217" s="197"/>
      <c r="G217" s="197"/>
      <c r="H217" s="197"/>
      <c r="I217" s="197"/>
      <c r="J217" s="197"/>
      <c r="K217" s="197"/>
      <c r="L217" s="197"/>
      <c r="M217" s="197"/>
      <c r="N217" s="197"/>
      <c r="O217" s="197"/>
      <c r="P217" s="197"/>
      <c r="Q217" s="197"/>
      <c r="R217" s="197"/>
      <c r="S217" s="197"/>
      <c r="T217" s="197"/>
      <c r="U217" s="197"/>
      <c r="V217" s="197"/>
      <c r="W217" s="197"/>
      <c r="X217" s="197"/>
      <c r="Y217" s="197"/>
      <c r="Z217" s="197"/>
      <c r="AA217" s="197"/>
      <c r="AB217" s="197"/>
      <c r="AC217" s="197"/>
      <c r="AD217" s="197"/>
      <c r="AE217" s="197"/>
      <c r="AF217" s="197"/>
      <c r="AG217" s="197"/>
      <c r="AH217" s="197"/>
      <c r="AI217" s="197"/>
      <c r="AJ217" s="201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</row>
    <row r="218" spans="1:63" ht="15" customHeight="1">
      <c r="A218" s="197"/>
      <c r="B218" s="197"/>
      <c r="C218" s="197"/>
      <c r="D218" s="197"/>
      <c r="E218" s="197"/>
      <c r="F218" s="197"/>
      <c r="G218" s="197"/>
      <c r="H218" s="197"/>
      <c r="I218" s="197"/>
      <c r="J218" s="197"/>
      <c r="K218" s="197"/>
      <c r="L218" s="197"/>
      <c r="M218" s="197"/>
      <c r="N218" s="197"/>
      <c r="O218" s="197"/>
      <c r="P218" s="197"/>
      <c r="Q218" s="197"/>
      <c r="R218" s="197"/>
      <c r="S218" s="197"/>
      <c r="T218" s="197"/>
      <c r="U218" s="197"/>
      <c r="V218" s="197"/>
      <c r="W218" s="197"/>
      <c r="X218" s="197"/>
      <c r="Y218" s="197"/>
      <c r="Z218" s="197"/>
      <c r="AA218" s="197"/>
      <c r="AB218" s="197"/>
      <c r="AC218" s="197"/>
      <c r="AD218" s="197"/>
      <c r="AE218" s="197"/>
      <c r="AF218" s="197"/>
      <c r="AG218" s="197"/>
      <c r="AH218" s="197"/>
      <c r="AI218" s="197"/>
      <c r="AJ218" s="201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</row>
    <row r="219" spans="1:63" ht="15" customHeight="1">
      <c r="A219" s="197"/>
      <c r="B219" s="197"/>
      <c r="C219" s="197"/>
      <c r="D219" s="197"/>
      <c r="E219" s="197"/>
      <c r="F219" s="197"/>
      <c r="G219" s="197"/>
      <c r="H219" s="197"/>
      <c r="I219" s="197"/>
      <c r="J219" s="197"/>
      <c r="K219" s="197"/>
      <c r="L219" s="197"/>
      <c r="M219" s="197"/>
      <c r="N219" s="197"/>
      <c r="O219" s="197"/>
      <c r="P219" s="197"/>
      <c r="Q219" s="197"/>
      <c r="R219" s="197"/>
      <c r="S219" s="197"/>
      <c r="T219" s="197"/>
      <c r="U219" s="197"/>
      <c r="V219" s="197"/>
      <c r="W219" s="197"/>
      <c r="X219" s="197"/>
      <c r="Y219" s="197"/>
      <c r="Z219" s="197"/>
      <c r="AA219" s="197"/>
      <c r="AB219" s="197"/>
      <c r="AC219" s="197"/>
      <c r="AD219" s="197"/>
      <c r="AE219" s="197"/>
      <c r="AF219" s="197"/>
      <c r="AG219" s="197"/>
      <c r="AH219" s="197"/>
      <c r="AI219" s="197"/>
      <c r="AJ219" s="201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</row>
    <row r="220" spans="1:63" ht="15" customHeight="1">
      <c r="A220" s="197"/>
      <c r="B220" s="197"/>
      <c r="C220" s="197"/>
      <c r="D220" s="197"/>
      <c r="E220" s="197"/>
      <c r="F220" s="197"/>
      <c r="G220" s="197"/>
      <c r="H220" s="197"/>
      <c r="I220" s="197"/>
      <c r="J220" s="197"/>
      <c r="K220" s="197"/>
      <c r="L220" s="197"/>
      <c r="M220" s="197"/>
      <c r="N220" s="197"/>
      <c r="O220" s="197"/>
      <c r="P220" s="197"/>
      <c r="Q220" s="197"/>
      <c r="R220" s="197"/>
      <c r="S220" s="197"/>
      <c r="T220" s="197"/>
      <c r="U220" s="197"/>
      <c r="V220" s="197"/>
      <c r="W220" s="197"/>
      <c r="X220" s="197"/>
      <c r="Y220" s="197"/>
      <c r="Z220" s="197"/>
      <c r="AA220" s="197"/>
      <c r="AB220" s="197"/>
      <c r="AC220" s="197"/>
      <c r="AD220" s="197"/>
      <c r="AE220" s="197"/>
      <c r="AF220" s="197"/>
      <c r="AG220" s="197"/>
      <c r="AH220" s="197"/>
      <c r="AI220" s="197"/>
      <c r="AJ220" s="201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</row>
    <row r="221" spans="1:63" ht="15" customHeight="1">
      <c r="A221" s="197"/>
      <c r="B221" s="197"/>
      <c r="C221" s="197"/>
      <c r="D221" s="197"/>
      <c r="E221" s="197"/>
      <c r="F221" s="197"/>
      <c r="G221" s="197"/>
      <c r="H221" s="197"/>
      <c r="I221" s="197"/>
      <c r="J221" s="197"/>
      <c r="K221" s="197"/>
      <c r="L221" s="197"/>
      <c r="M221" s="197"/>
      <c r="N221" s="197"/>
      <c r="O221" s="197"/>
      <c r="P221" s="197"/>
      <c r="Q221" s="197"/>
      <c r="R221" s="197"/>
      <c r="S221" s="197"/>
      <c r="T221" s="197"/>
      <c r="U221" s="197"/>
      <c r="V221" s="197"/>
      <c r="W221" s="197"/>
      <c r="X221" s="197"/>
      <c r="Y221" s="197"/>
      <c r="Z221" s="197"/>
      <c r="AA221" s="197"/>
      <c r="AB221" s="197"/>
      <c r="AC221" s="197"/>
      <c r="AD221" s="197"/>
      <c r="AE221" s="197"/>
      <c r="AF221" s="197"/>
      <c r="AG221" s="197"/>
      <c r="AH221" s="197"/>
      <c r="AI221" s="197"/>
      <c r="AJ221" s="201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</row>
    <row r="222" spans="1:63" ht="15" customHeight="1">
      <c r="A222" s="197"/>
      <c r="B222" s="197"/>
      <c r="C222" s="197"/>
      <c r="D222" s="197"/>
      <c r="E222" s="197"/>
      <c r="F222" s="197"/>
      <c r="G222" s="197"/>
      <c r="H222" s="197"/>
      <c r="I222" s="197"/>
      <c r="J222" s="197"/>
      <c r="K222" s="197"/>
      <c r="L222" s="197"/>
      <c r="M222" s="197"/>
      <c r="N222" s="197"/>
      <c r="O222" s="197"/>
      <c r="P222" s="197"/>
      <c r="Q222" s="197"/>
      <c r="R222" s="197"/>
      <c r="S222" s="197"/>
      <c r="T222" s="197"/>
      <c r="U222" s="197"/>
      <c r="V222" s="197"/>
      <c r="W222" s="197"/>
      <c r="X222" s="197"/>
      <c r="Y222" s="197"/>
      <c r="Z222" s="197"/>
      <c r="AA222" s="197"/>
      <c r="AB222" s="197"/>
      <c r="AC222" s="197"/>
      <c r="AD222" s="197"/>
      <c r="AE222" s="197"/>
      <c r="AF222" s="197"/>
      <c r="AG222" s="197"/>
      <c r="AH222" s="197"/>
      <c r="AI222" s="197"/>
      <c r="AJ222" s="201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</row>
    <row r="223" spans="1:63" ht="15" customHeight="1">
      <c r="A223" s="197"/>
      <c r="B223" s="197"/>
      <c r="C223" s="197"/>
      <c r="D223" s="197"/>
      <c r="E223" s="197"/>
      <c r="F223" s="197"/>
      <c r="G223" s="197"/>
      <c r="H223" s="197"/>
      <c r="I223" s="197"/>
      <c r="J223" s="197"/>
      <c r="K223" s="197"/>
      <c r="L223" s="197"/>
      <c r="M223" s="197"/>
      <c r="N223" s="197"/>
      <c r="O223" s="197"/>
      <c r="P223" s="197"/>
      <c r="Q223" s="197"/>
      <c r="R223" s="197"/>
      <c r="S223" s="197"/>
      <c r="T223" s="197"/>
      <c r="U223" s="197"/>
      <c r="V223" s="197"/>
      <c r="W223" s="197"/>
      <c r="X223" s="197"/>
      <c r="Y223" s="197"/>
      <c r="Z223" s="197"/>
      <c r="AA223" s="197"/>
      <c r="AB223" s="197"/>
      <c r="AC223" s="197"/>
      <c r="AD223" s="197"/>
      <c r="AE223" s="197"/>
      <c r="AF223" s="197"/>
      <c r="AG223" s="197"/>
      <c r="AH223" s="197"/>
      <c r="AI223" s="197"/>
      <c r="AJ223" s="201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</row>
    <row r="224" spans="1:63" ht="15" customHeight="1">
      <c r="A224" s="197"/>
      <c r="B224" s="197"/>
      <c r="C224" s="197"/>
      <c r="D224" s="197"/>
      <c r="E224" s="197"/>
      <c r="F224" s="197"/>
      <c r="G224" s="197"/>
      <c r="H224" s="197"/>
      <c r="I224" s="197"/>
      <c r="J224" s="197"/>
      <c r="K224" s="197"/>
      <c r="L224" s="197"/>
      <c r="M224" s="197"/>
      <c r="N224" s="197"/>
      <c r="O224" s="197"/>
      <c r="P224" s="197"/>
      <c r="Q224" s="197"/>
      <c r="R224" s="197"/>
      <c r="S224" s="197"/>
      <c r="T224" s="197"/>
      <c r="U224" s="197"/>
      <c r="V224" s="197"/>
      <c r="W224" s="197"/>
      <c r="X224" s="197"/>
      <c r="Y224" s="197"/>
      <c r="Z224" s="197"/>
      <c r="AA224" s="197"/>
      <c r="AB224" s="197"/>
      <c r="AC224" s="197"/>
      <c r="AD224" s="197"/>
      <c r="AE224" s="197"/>
      <c r="AF224" s="197"/>
      <c r="AG224" s="197"/>
      <c r="AH224" s="197"/>
      <c r="AI224" s="197"/>
      <c r="AJ224" s="201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</row>
    <row r="225" spans="1:63" ht="15" customHeight="1">
      <c r="A225" s="197"/>
      <c r="B225" s="197"/>
      <c r="C225" s="197"/>
      <c r="D225" s="197"/>
      <c r="E225" s="197"/>
      <c r="F225" s="197"/>
      <c r="G225" s="197"/>
      <c r="H225" s="197"/>
      <c r="I225" s="197"/>
      <c r="J225" s="197"/>
      <c r="K225" s="197"/>
      <c r="L225" s="197"/>
      <c r="M225" s="197"/>
      <c r="N225" s="197"/>
      <c r="O225" s="197"/>
      <c r="P225" s="197"/>
      <c r="Q225" s="197"/>
      <c r="R225" s="197"/>
      <c r="S225" s="197"/>
      <c r="T225" s="197"/>
      <c r="U225" s="197"/>
      <c r="V225" s="197"/>
      <c r="W225" s="197"/>
      <c r="X225" s="197"/>
      <c r="Y225" s="197"/>
      <c r="Z225" s="197"/>
      <c r="AA225" s="197"/>
      <c r="AB225" s="197"/>
      <c r="AC225" s="197"/>
      <c r="AD225" s="197"/>
      <c r="AE225" s="197"/>
      <c r="AF225" s="197"/>
      <c r="AG225" s="197"/>
      <c r="AH225" s="197"/>
      <c r="AI225" s="197"/>
      <c r="AJ225" s="201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</row>
    <row r="226" spans="1:63" ht="15" customHeight="1">
      <c r="A226" s="197"/>
      <c r="B226" s="197"/>
      <c r="C226" s="197"/>
      <c r="D226" s="197"/>
      <c r="E226" s="197"/>
      <c r="F226" s="197"/>
      <c r="G226" s="197"/>
      <c r="H226" s="197"/>
      <c r="I226" s="197"/>
      <c r="J226" s="197"/>
      <c r="K226" s="197"/>
      <c r="L226" s="197"/>
      <c r="M226" s="197"/>
      <c r="N226" s="197"/>
      <c r="O226" s="197"/>
      <c r="P226" s="197"/>
      <c r="Q226" s="197"/>
      <c r="R226" s="197"/>
      <c r="S226" s="197"/>
      <c r="T226" s="197"/>
      <c r="U226" s="197"/>
      <c r="V226" s="197"/>
      <c r="W226" s="197"/>
      <c r="X226" s="197"/>
      <c r="Y226" s="197"/>
      <c r="Z226" s="197"/>
      <c r="AA226" s="197"/>
      <c r="AB226" s="197"/>
      <c r="AC226" s="197"/>
      <c r="AD226" s="197"/>
      <c r="AE226" s="197"/>
      <c r="AF226" s="197"/>
      <c r="AG226" s="197"/>
      <c r="AH226" s="197"/>
      <c r="AI226" s="197"/>
      <c r="AJ226" s="201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</row>
    <row r="227" spans="1:63" ht="15" customHeight="1">
      <c r="A227" s="197"/>
      <c r="B227" s="197"/>
      <c r="C227" s="197"/>
      <c r="D227" s="197"/>
      <c r="E227" s="197"/>
      <c r="F227" s="197"/>
      <c r="G227" s="197"/>
      <c r="H227" s="197"/>
      <c r="I227" s="197"/>
      <c r="J227" s="197"/>
      <c r="K227" s="197"/>
      <c r="L227" s="197"/>
      <c r="M227" s="197"/>
      <c r="N227" s="197"/>
      <c r="O227" s="197"/>
      <c r="P227" s="197"/>
      <c r="Q227" s="197"/>
      <c r="R227" s="197"/>
      <c r="S227" s="197"/>
      <c r="T227" s="197"/>
      <c r="U227" s="197"/>
      <c r="V227" s="197"/>
      <c r="W227" s="197"/>
      <c r="X227" s="197"/>
      <c r="Y227" s="197"/>
      <c r="Z227" s="197"/>
      <c r="AA227" s="197"/>
      <c r="AB227" s="197"/>
      <c r="AC227" s="197"/>
      <c r="AD227" s="197"/>
      <c r="AE227" s="197"/>
      <c r="AF227" s="197"/>
      <c r="AG227" s="197"/>
      <c r="AH227" s="197"/>
      <c r="AI227" s="197"/>
      <c r="AJ227" s="201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</row>
    <row r="228" spans="1:63" ht="15" customHeight="1">
      <c r="A228" s="197"/>
      <c r="B228" s="197"/>
      <c r="C228" s="197"/>
      <c r="D228" s="197"/>
      <c r="E228" s="197"/>
      <c r="F228" s="197"/>
      <c r="G228" s="197"/>
      <c r="H228" s="197"/>
      <c r="I228" s="197"/>
      <c r="J228" s="197"/>
      <c r="K228" s="197"/>
      <c r="L228" s="197"/>
      <c r="M228" s="197"/>
      <c r="N228" s="197"/>
      <c r="O228" s="197"/>
      <c r="P228" s="197"/>
      <c r="Q228" s="197"/>
      <c r="R228" s="197"/>
      <c r="S228" s="197"/>
      <c r="T228" s="197"/>
      <c r="U228" s="197"/>
      <c r="V228" s="197"/>
      <c r="W228" s="197"/>
      <c r="X228" s="197"/>
      <c r="Y228" s="197"/>
      <c r="Z228" s="197"/>
      <c r="AA228" s="197"/>
      <c r="AB228" s="197"/>
      <c r="AC228" s="197"/>
      <c r="AD228" s="197"/>
      <c r="AE228" s="197"/>
      <c r="AF228" s="197"/>
      <c r="AG228" s="197"/>
      <c r="AH228" s="197"/>
      <c r="AI228" s="197"/>
      <c r="AJ228" s="201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</row>
    <row r="229" spans="1:63" ht="15" customHeight="1">
      <c r="A229" s="197"/>
      <c r="B229" s="197"/>
      <c r="C229" s="197"/>
      <c r="D229" s="197"/>
      <c r="E229" s="197"/>
      <c r="F229" s="197"/>
      <c r="G229" s="197"/>
      <c r="H229" s="197"/>
      <c r="I229" s="197"/>
      <c r="J229" s="197"/>
      <c r="K229" s="197"/>
      <c r="L229" s="197"/>
      <c r="M229" s="197"/>
      <c r="N229" s="197"/>
      <c r="O229" s="197"/>
      <c r="P229" s="197"/>
      <c r="Q229" s="197"/>
      <c r="R229" s="197"/>
      <c r="S229" s="197"/>
      <c r="T229" s="197"/>
      <c r="U229" s="197"/>
      <c r="V229" s="197"/>
      <c r="W229" s="197"/>
      <c r="X229" s="197"/>
      <c r="Y229" s="197"/>
      <c r="Z229" s="197"/>
      <c r="AA229" s="197"/>
      <c r="AB229" s="197"/>
      <c r="AC229" s="197"/>
      <c r="AD229" s="197"/>
      <c r="AE229" s="197"/>
      <c r="AF229" s="197"/>
      <c r="AG229" s="197"/>
      <c r="AH229" s="197"/>
      <c r="AI229" s="197"/>
      <c r="AJ229" s="201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</row>
    <row r="230" spans="1:63" ht="15" customHeight="1">
      <c r="A230" s="197"/>
      <c r="B230" s="197"/>
      <c r="C230" s="197"/>
      <c r="D230" s="197"/>
      <c r="E230" s="197"/>
      <c r="F230" s="197"/>
      <c r="G230" s="197"/>
      <c r="H230" s="197"/>
      <c r="I230" s="197"/>
      <c r="J230" s="197"/>
      <c r="K230" s="197"/>
      <c r="L230" s="197"/>
      <c r="M230" s="197"/>
      <c r="N230" s="197"/>
      <c r="O230" s="197"/>
      <c r="P230" s="197"/>
      <c r="Q230" s="197"/>
      <c r="R230" s="197"/>
      <c r="S230" s="197"/>
      <c r="T230" s="197"/>
      <c r="U230" s="197"/>
      <c r="V230" s="197"/>
      <c r="W230" s="197"/>
      <c r="X230" s="197"/>
      <c r="Y230" s="197"/>
      <c r="Z230" s="197"/>
      <c r="AA230" s="197"/>
      <c r="AB230" s="197"/>
      <c r="AC230" s="197"/>
      <c r="AD230" s="197"/>
      <c r="AE230" s="197"/>
      <c r="AF230" s="197"/>
      <c r="AG230" s="197"/>
      <c r="AH230" s="197"/>
      <c r="AI230" s="197"/>
      <c r="AJ230" s="201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</row>
    <row r="231" spans="1:63" ht="15" customHeight="1">
      <c r="A231" s="197"/>
      <c r="B231" s="197"/>
      <c r="C231" s="197"/>
      <c r="D231" s="197"/>
      <c r="E231" s="197"/>
      <c r="F231" s="197"/>
      <c r="G231" s="197"/>
      <c r="H231" s="197"/>
      <c r="I231" s="197"/>
      <c r="J231" s="197"/>
      <c r="K231" s="197"/>
      <c r="L231" s="197"/>
      <c r="M231" s="197"/>
      <c r="N231" s="197"/>
      <c r="O231" s="197"/>
      <c r="P231" s="197"/>
      <c r="Q231" s="197"/>
      <c r="R231" s="197"/>
      <c r="S231" s="197"/>
      <c r="T231" s="197"/>
      <c r="U231" s="197"/>
      <c r="V231" s="197"/>
      <c r="W231" s="197"/>
      <c r="X231" s="197"/>
      <c r="Y231" s="197"/>
      <c r="Z231" s="197"/>
      <c r="AA231" s="197"/>
      <c r="AB231" s="197"/>
      <c r="AC231" s="197"/>
      <c r="AD231" s="197"/>
      <c r="AE231" s="197"/>
      <c r="AF231" s="197"/>
      <c r="AG231" s="197"/>
      <c r="AH231" s="197"/>
      <c r="AI231" s="197"/>
      <c r="AJ231" s="201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</row>
    <row r="232" spans="1:63" ht="15" customHeight="1">
      <c r="A232" s="197"/>
      <c r="B232" s="197"/>
      <c r="C232" s="197"/>
      <c r="D232" s="197"/>
      <c r="E232" s="197"/>
      <c r="F232" s="197"/>
      <c r="G232" s="197"/>
      <c r="H232" s="197"/>
      <c r="I232" s="197"/>
      <c r="J232" s="197"/>
      <c r="K232" s="197"/>
      <c r="L232" s="197"/>
      <c r="M232" s="197"/>
      <c r="N232" s="197"/>
      <c r="O232" s="197"/>
      <c r="P232" s="197"/>
      <c r="Q232" s="197"/>
      <c r="R232" s="197"/>
      <c r="S232" s="197"/>
      <c r="T232" s="197"/>
      <c r="U232" s="197"/>
      <c r="V232" s="197"/>
      <c r="W232" s="197"/>
      <c r="X232" s="197"/>
      <c r="Y232" s="197"/>
      <c r="Z232" s="197"/>
      <c r="AA232" s="197"/>
      <c r="AB232" s="197"/>
      <c r="AC232" s="197"/>
      <c r="AD232" s="197"/>
      <c r="AE232" s="197"/>
      <c r="AF232" s="197"/>
      <c r="AG232" s="197"/>
      <c r="AH232" s="197"/>
      <c r="AI232" s="197"/>
      <c r="AJ232" s="201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</row>
    <row r="233" spans="1:63" ht="15" customHeight="1">
      <c r="A233" s="197"/>
      <c r="B233" s="197"/>
      <c r="C233" s="197"/>
      <c r="D233" s="197"/>
      <c r="E233" s="197"/>
      <c r="F233" s="197"/>
      <c r="G233" s="197"/>
      <c r="H233" s="197"/>
      <c r="I233" s="197"/>
      <c r="J233" s="197"/>
      <c r="K233" s="197"/>
      <c r="L233" s="197"/>
      <c r="M233" s="197"/>
      <c r="N233" s="197"/>
      <c r="O233" s="197"/>
      <c r="P233" s="197"/>
      <c r="Q233" s="197"/>
      <c r="R233" s="197"/>
      <c r="S233" s="197"/>
      <c r="T233" s="197"/>
      <c r="U233" s="197"/>
      <c r="V233" s="197"/>
      <c r="W233" s="197"/>
      <c r="X233" s="197"/>
      <c r="Y233" s="197"/>
      <c r="Z233" s="197"/>
      <c r="AA233" s="197"/>
      <c r="AB233" s="197"/>
      <c r="AC233" s="197"/>
      <c r="AD233" s="197"/>
      <c r="AE233" s="197"/>
      <c r="AF233" s="197"/>
      <c r="AG233" s="197"/>
      <c r="AH233" s="197"/>
      <c r="AI233" s="197"/>
      <c r="AJ233" s="201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</row>
    <row r="234" spans="1:63" ht="15" customHeight="1">
      <c r="A234" s="197"/>
      <c r="B234" s="197"/>
      <c r="C234" s="197"/>
      <c r="D234" s="197"/>
      <c r="E234" s="197"/>
      <c r="F234" s="197"/>
      <c r="G234" s="197"/>
      <c r="H234" s="197"/>
      <c r="I234" s="197"/>
      <c r="J234" s="197"/>
      <c r="K234" s="197"/>
      <c r="L234" s="197"/>
      <c r="M234" s="197"/>
      <c r="N234" s="197"/>
      <c r="O234" s="197"/>
      <c r="P234" s="197"/>
      <c r="Q234" s="197"/>
      <c r="R234" s="197"/>
      <c r="S234" s="197"/>
      <c r="T234" s="197"/>
      <c r="U234" s="197"/>
      <c r="V234" s="197"/>
      <c r="W234" s="197"/>
      <c r="X234" s="197"/>
      <c r="Y234" s="197"/>
      <c r="Z234" s="197"/>
      <c r="AA234" s="197"/>
      <c r="AB234" s="197"/>
      <c r="AC234" s="197"/>
      <c r="AD234" s="197"/>
      <c r="AE234" s="197"/>
      <c r="AF234" s="197"/>
      <c r="AG234" s="197"/>
      <c r="AH234" s="197"/>
      <c r="AI234" s="197"/>
      <c r="AJ234" s="201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</row>
    <row r="235" spans="1:63" ht="15" customHeight="1">
      <c r="A235" s="197"/>
      <c r="B235" s="197"/>
      <c r="C235" s="197"/>
      <c r="D235" s="197"/>
      <c r="E235" s="197"/>
      <c r="F235" s="197"/>
      <c r="G235" s="197"/>
      <c r="H235" s="197"/>
      <c r="I235" s="197"/>
      <c r="J235" s="197"/>
      <c r="K235" s="197"/>
      <c r="L235" s="197"/>
      <c r="M235" s="197"/>
      <c r="N235" s="197"/>
      <c r="O235" s="197"/>
      <c r="P235" s="197"/>
      <c r="Q235" s="197"/>
      <c r="R235" s="197"/>
      <c r="S235" s="197"/>
      <c r="T235" s="197"/>
      <c r="U235" s="197"/>
      <c r="V235" s="197"/>
      <c r="W235" s="197"/>
      <c r="X235" s="197"/>
      <c r="Y235" s="197"/>
      <c r="Z235" s="197"/>
      <c r="AA235" s="197"/>
      <c r="AB235" s="197"/>
      <c r="AC235" s="197"/>
      <c r="AD235" s="197"/>
      <c r="AE235" s="197"/>
      <c r="AF235" s="197"/>
      <c r="AG235" s="197"/>
      <c r="AH235" s="197"/>
      <c r="AI235" s="197"/>
      <c r="AJ235" s="201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</row>
    <row r="236" spans="1:63" ht="15" customHeight="1">
      <c r="A236" s="197"/>
      <c r="B236" s="197"/>
      <c r="C236" s="197"/>
      <c r="D236" s="197"/>
      <c r="E236" s="197"/>
      <c r="F236" s="197"/>
      <c r="G236" s="197"/>
      <c r="H236" s="197"/>
      <c r="I236" s="197"/>
      <c r="J236" s="197"/>
      <c r="K236" s="197"/>
      <c r="L236" s="197"/>
      <c r="M236" s="197"/>
      <c r="N236" s="197"/>
      <c r="O236" s="197"/>
      <c r="P236" s="197"/>
      <c r="Q236" s="197"/>
      <c r="R236" s="197"/>
      <c r="S236" s="197"/>
      <c r="T236" s="197"/>
      <c r="U236" s="197"/>
      <c r="V236" s="197"/>
      <c r="W236" s="197"/>
      <c r="X236" s="197"/>
      <c r="Y236" s="197"/>
      <c r="Z236" s="197"/>
      <c r="AA236" s="197"/>
      <c r="AB236" s="197"/>
      <c r="AC236" s="197"/>
      <c r="AD236" s="197"/>
      <c r="AE236" s="197"/>
      <c r="AF236" s="197"/>
      <c r="AG236" s="197"/>
      <c r="AH236" s="197"/>
      <c r="AI236" s="197"/>
      <c r="AJ236" s="201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</row>
    <row r="237" spans="1:63" ht="15" customHeight="1">
      <c r="A237" s="197"/>
      <c r="B237" s="197"/>
      <c r="C237" s="197"/>
      <c r="D237" s="197"/>
      <c r="E237" s="197"/>
      <c r="F237" s="197"/>
      <c r="G237" s="197"/>
      <c r="H237" s="197"/>
      <c r="I237" s="197"/>
      <c r="J237" s="197"/>
      <c r="K237" s="197"/>
      <c r="L237" s="197"/>
      <c r="M237" s="197"/>
      <c r="N237" s="197"/>
      <c r="O237" s="197"/>
      <c r="P237" s="197"/>
      <c r="Q237" s="197"/>
      <c r="R237" s="197"/>
      <c r="S237" s="197"/>
      <c r="T237" s="197"/>
      <c r="U237" s="197"/>
      <c r="V237" s="197"/>
      <c r="W237" s="197"/>
      <c r="X237" s="197"/>
      <c r="Y237" s="197"/>
      <c r="Z237" s="197"/>
      <c r="AA237" s="197"/>
      <c r="AB237" s="197"/>
      <c r="AC237" s="197"/>
      <c r="AD237" s="197"/>
      <c r="AE237" s="197"/>
      <c r="AF237" s="197"/>
      <c r="AG237" s="197"/>
      <c r="AH237" s="197"/>
      <c r="AI237" s="197"/>
      <c r="AJ237" s="201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</row>
    <row r="238" spans="1:63" ht="15" customHeight="1">
      <c r="A238" s="197"/>
      <c r="B238" s="197"/>
      <c r="C238" s="197"/>
      <c r="D238" s="197"/>
      <c r="E238" s="197"/>
      <c r="F238" s="197"/>
      <c r="G238" s="197"/>
      <c r="H238" s="197"/>
      <c r="I238" s="197"/>
      <c r="J238" s="197"/>
      <c r="K238" s="197"/>
      <c r="L238" s="197"/>
      <c r="M238" s="197"/>
      <c r="N238" s="197"/>
      <c r="O238" s="197"/>
      <c r="P238" s="197"/>
      <c r="Q238" s="197"/>
      <c r="R238" s="197"/>
      <c r="S238" s="197"/>
      <c r="T238" s="197"/>
      <c r="U238" s="197"/>
      <c r="V238" s="197"/>
      <c r="W238" s="197"/>
      <c r="X238" s="197"/>
      <c r="Y238" s="197"/>
      <c r="Z238" s="197"/>
      <c r="AA238" s="197"/>
      <c r="AB238" s="197"/>
      <c r="AC238" s="197"/>
      <c r="AD238" s="197"/>
      <c r="AE238" s="197"/>
      <c r="AF238" s="197"/>
      <c r="AG238" s="197"/>
      <c r="AH238" s="197"/>
      <c r="AI238" s="197"/>
      <c r="AJ238" s="201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</row>
    <row r="239" spans="1:63" ht="15" customHeight="1">
      <c r="A239" s="197"/>
      <c r="B239" s="197"/>
      <c r="C239" s="197"/>
      <c r="D239" s="197"/>
      <c r="E239" s="197"/>
      <c r="F239" s="197"/>
      <c r="G239" s="197"/>
      <c r="H239" s="197"/>
      <c r="I239" s="197"/>
      <c r="J239" s="197"/>
      <c r="K239" s="197"/>
      <c r="L239" s="197"/>
      <c r="M239" s="197"/>
      <c r="N239" s="197"/>
      <c r="O239" s="197"/>
      <c r="P239" s="197"/>
      <c r="Q239" s="197"/>
      <c r="R239" s="197"/>
      <c r="S239" s="197"/>
      <c r="T239" s="197"/>
      <c r="U239" s="197"/>
      <c r="V239" s="197"/>
      <c r="W239" s="197"/>
      <c r="X239" s="197"/>
      <c r="Y239" s="197"/>
      <c r="Z239" s="197"/>
      <c r="AA239" s="197"/>
      <c r="AB239" s="197"/>
      <c r="AC239" s="197"/>
      <c r="AD239" s="197"/>
      <c r="AE239" s="197"/>
      <c r="AF239" s="197"/>
      <c r="AG239" s="197"/>
      <c r="AH239" s="197"/>
      <c r="AI239" s="197"/>
      <c r="AJ239" s="201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</row>
    <row r="240" spans="1:63" ht="15" customHeight="1">
      <c r="A240" s="197"/>
      <c r="B240" s="197"/>
      <c r="C240" s="197"/>
      <c r="D240" s="197"/>
      <c r="E240" s="197"/>
      <c r="F240" s="197"/>
      <c r="G240" s="197"/>
      <c r="H240" s="197"/>
      <c r="I240" s="197"/>
      <c r="J240" s="197"/>
      <c r="K240" s="197"/>
      <c r="L240" s="197"/>
      <c r="M240" s="197"/>
      <c r="N240" s="197"/>
      <c r="O240" s="197"/>
      <c r="P240" s="197"/>
      <c r="Q240" s="197"/>
      <c r="R240" s="197"/>
      <c r="S240" s="197"/>
      <c r="T240" s="197"/>
      <c r="U240" s="197"/>
      <c r="V240" s="197"/>
      <c r="W240" s="197"/>
      <c r="X240" s="197"/>
      <c r="Y240" s="197"/>
      <c r="Z240" s="197"/>
      <c r="AA240" s="197"/>
      <c r="AB240" s="197"/>
      <c r="AC240" s="197"/>
      <c r="AD240" s="197"/>
      <c r="AE240" s="197"/>
      <c r="AF240" s="197"/>
      <c r="AG240" s="197"/>
      <c r="AH240" s="197"/>
      <c r="AI240" s="197"/>
      <c r="AJ240" s="201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</row>
    <row r="241" spans="1:63" ht="15" customHeight="1">
      <c r="A241" s="197"/>
      <c r="B241" s="197"/>
      <c r="C241" s="197"/>
      <c r="D241" s="197"/>
      <c r="E241" s="197"/>
      <c r="F241" s="197"/>
      <c r="G241" s="197"/>
      <c r="H241" s="197"/>
      <c r="I241" s="197"/>
      <c r="J241" s="197"/>
      <c r="K241" s="197"/>
      <c r="L241" s="197"/>
      <c r="M241" s="197"/>
      <c r="N241" s="197"/>
      <c r="O241" s="197"/>
      <c r="P241" s="197"/>
      <c r="Q241" s="197"/>
      <c r="R241" s="197"/>
      <c r="S241" s="197"/>
      <c r="T241" s="197"/>
      <c r="U241" s="197"/>
      <c r="V241" s="197"/>
      <c r="W241" s="197"/>
      <c r="X241" s="197"/>
      <c r="Y241" s="197"/>
      <c r="Z241" s="197"/>
      <c r="AA241" s="197"/>
      <c r="AB241" s="197"/>
      <c r="AC241" s="197"/>
      <c r="AD241" s="197"/>
      <c r="AE241" s="197"/>
      <c r="AF241" s="197"/>
      <c r="AG241" s="197"/>
      <c r="AH241" s="197"/>
      <c r="AI241" s="197"/>
      <c r="AJ241" s="201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</row>
    <row r="242" spans="1:63" ht="15" customHeight="1">
      <c r="A242" s="197"/>
      <c r="B242" s="197"/>
      <c r="C242" s="197"/>
      <c r="D242" s="197"/>
      <c r="E242" s="197"/>
      <c r="F242" s="197"/>
      <c r="G242" s="197"/>
      <c r="H242" s="197"/>
      <c r="I242" s="197"/>
      <c r="J242" s="197"/>
      <c r="K242" s="197"/>
      <c r="L242" s="197"/>
      <c r="M242" s="197"/>
      <c r="N242" s="197"/>
      <c r="O242" s="197"/>
      <c r="P242" s="197"/>
      <c r="Q242" s="197"/>
      <c r="R242" s="197"/>
      <c r="S242" s="197"/>
      <c r="T242" s="197"/>
      <c r="U242" s="197"/>
      <c r="V242" s="197"/>
      <c r="W242" s="197"/>
      <c r="X242" s="197"/>
      <c r="Y242" s="197"/>
      <c r="Z242" s="197"/>
      <c r="AA242" s="197"/>
      <c r="AB242" s="197"/>
      <c r="AC242" s="197"/>
      <c r="AD242" s="197"/>
      <c r="AE242" s="197"/>
      <c r="AF242" s="197"/>
      <c r="AG242" s="197"/>
      <c r="AH242" s="197"/>
      <c r="AI242" s="197"/>
      <c r="AJ242" s="201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</row>
    <row r="243" spans="1:63" ht="15" customHeight="1">
      <c r="A243" s="197"/>
      <c r="B243" s="197"/>
      <c r="C243" s="197"/>
      <c r="D243" s="197"/>
      <c r="E243" s="197"/>
      <c r="F243" s="197"/>
      <c r="G243" s="197"/>
      <c r="H243" s="197"/>
      <c r="I243" s="197"/>
      <c r="J243" s="197"/>
      <c r="K243" s="197"/>
      <c r="L243" s="197"/>
      <c r="M243" s="197"/>
      <c r="N243" s="197"/>
      <c r="O243" s="197"/>
      <c r="P243" s="197"/>
      <c r="Q243" s="197"/>
      <c r="R243" s="197"/>
      <c r="S243" s="197"/>
      <c r="T243" s="197"/>
      <c r="U243" s="197"/>
      <c r="V243" s="197"/>
      <c r="W243" s="197"/>
      <c r="X243" s="197"/>
      <c r="Y243" s="197"/>
      <c r="Z243" s="197"/>
      <c r="AA243" s="197"/>
      <c r="AB243" s="197"/>
      <c r="AC243" s="197"/>
      <c r="AD243" s="197"/>
      <c r="AE243" s="197"/>
      <c r="AF243" s="197"/>
      <c r="AG243" s="197"/>
      <c r="AH243" s="197"/>
      <c r="AI243" s="197"/>
      <c r="AJ243" s="201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</row>
    <row r="244" spans="1:63" ht="15" customHeight="1">
      <c r="A244" s="197"/>
      <c r="B244" s="197"/>
      <c r="C244" s="197"/>
      <c r="D244" s="197"/>
      <c r="E244" s="197"/>
      <c r="F244" s="197"/>
      <c r="G244" s="197"/>
      <c r="H244" s="197"/>
      <c r="I244" s="197"/>
      <c r="J244" s="197"/>
      <c r="K244" s="197"/>
      <c r="L244" s="197"/>
      <c r="M244" s="197"/>
      <c r="N244" s="197"/>
      <c r="O244" s="197"/>
      <c r="P244" s="197"/>
      <c r="Q244" s="197"/>
      <c r="R244" s="197"/>
      <c r="S244" s="197"/>
      <c r="T244" s="197"/>
      <c r="U244" s="197"/>
      <c r="V244" s="197"/>
      <c r="W244" s="197"/>
      <c r="X244" s="197"/>
      <c r="Y244" s="197"/>
      <c r="Z244" s="197"/>
      <c r="AA244" s="197"/>
      <c r="AB244" s="197"/>
      <c r="AC244" s="197"/>
      <c r="AD244" s="197"/>
      <c r="AE244" s="197"/>
      <c r="AF244" s="197"/>
      <c r="AG244" s="197"/>
      <c r="AH244" s="197"/>
      <c r="AI244" s="197"/>
      <c r="AJ244" s="201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</row>
    <row r="245" spans="1:63" ht="15" customHeight="1">
      <c r="A245" s="197"/>
      <c r="B245" s="197"/>
      <c r="C245" s="197"/>
      <c r="D245" s="197"/>
      <c r="E245" s="197"/>
      <c r="F245" s="197"/>
      <c r="G245" s="197"/>
      <c r="H245" s="197"/>
      <c r="I245" s="197"/>
      <c r="J245" s="197"/>
      <c r="K245" s="197"/>
      <c r="L245" s="197"/>
      <c r="M245" s="197"/>
      <c r="N245" s="197"/>
      <c r="O245" s="197"/>
      <c r="P245" s="197"/>
      <c r="Q245" s="197"/>
      <c r="R245" s="197"/>
      <c r="S245" s="197"/>
      <c r="T245" s="197"/>
      <c r="U245" s="197"/>
      <c r="V245" s="197"/>
      <c r="W245" s="197"/>
      <c r="X245" s="197"/>
      <c r="Y245" s="197"/>
      <c r="Z245" s="197"/>
      <c r="AA245" s="197"/>
      <c r="AB245" s="197"/>
      <c r="AC245" s="197"/>
      <c r="AD245" s="197"/>
      <c r="AE245" s="197"/>
      <c r="AF245" s="197"/>
      <c r="AG245" s="197"/>
      <c r="AH245" s="197"/>
      <c r="AI245" s="197"/>
      <c r="AJ245" s="201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</row>
    <row r="246" spans="1:63" ht="15" customHeight="1">
      <c r="A246" s="197"/>
      <c r="B246" s="197"/>
      <c r="C246" s="197"/>
      <c r="D246" s="197"/>
      <c r="E246" s="197"/>
      <c r="F246" s="197"/>
      <c r="G246" s="197"/>
      <c r="H246" s="197"/>
      <c r="I246" s="197"/>
      <c r="J246" s="197"/>
      <c r="K246" s="197"/>
      <c r="L246" s="197"/>
      <c r="M246" s="197"/>
      <c r="N246" s="197"/>
      <c r="O246" s="197"/>
      <c r="P246" s="197"/>
      <c r="Q246" s="197"/>
      <c r="R246" s="197"/>
      <c r="S246" s="197"/>
      <c r="T246" s="197"/>
      <c r="U246" s="197"/>
      <c r="V246" s="197"/>
      <c r="W246" s="197"/>
      <c r="X246" s="197"/>
      <c r="Y246" s="197"/>
      <c r="Z246" s="197"/>
      <c r="AA246" s="197"/>
      <c r="AB246" s="197"/>
      <c r="AC246" s="197"/>
      <c r="AD246" s="197"/>
      <c r="AE246" s="197"/>
      <c r="AF246" s="197"/>
      <c r="AG246" s="197"/>
      <c r="AH246" s="197"/>
      <c r="AI246" s="197"/>
      <c r="AJ246" s="201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</row>
    <row r="247" spans="1:63" ht="15" customHeight="1">
      <c r="A247" s="197"/>
      <c r="B247" s="197"/>
      <c r="C247" s="197"/>
      <c r="D247" s="197"/>
      <c r="E247" s="197"/>
      <c r="F247" s="197"/>
      <c r="G247" s="197"/>
      <c r="H247" s="197"/>
      <c r="I247" s="197"/>
      <c r="J247" s="197"/>
      <c r="K247" s="197"/>
      <c r="L247" s="197"/>
      <c r="M247" s="197"/>
      <c r="N247" s="197"/>
      <c r="O247" s="197"/>
      <c r="P247" s="197"/>
      <c r="Q247" s="197"/>
      <c r="R247" s="197"/>
      <c r="S247" s="197"/>
      <c r="T247" s="197"/>
      <c r="U247" s="197"/>
      <c r="V247" s="197"/>
      <c r="W247" s="197"/>
      <c r="X247" s="197"/>
      <c r="Y247" s="197"/>
      <c r="Z247" s="197"/>
      <c r="AA247" s="197"/>
      <c r="AB247" s="197"/>
      <c r="AC247" s="197"/>
      <c r="AD247" s="197"/>
      <c r="AE247" s="197"/>
      <c r="AF247" s="197"/>
      <c r="AG247" s="197"/>
      <c r="AH247" s="197"/>
      <c r="AI247" s="197"/>
      <c r="AJ247" s="201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</row>
    <row r="248" spans="1:63" ht="15" customHeight="1">
      <c r="A248" s="197"/>
      <c r="B248" s="197"/>
      <c r="C248" s="197"/>
      <c r="D248" s="197"/>
      <c r="E248" s="197"/>
      <c r="F248" s="197"/>
      <c r="G248" s="197"/>
      <c r="H248" s="197"/>
      <c r="I248" s="197"/>
      <c r="J248" s="197"/>
      <c r="K248" s="197"/>
      <c r="L248" s="197"/>
      <c r="M248" s="197"/>
      <c r="N248" s="197"/>
      <c r="O248" s="197"/>
      <c r="P248" s="197"/>
      <c r="Q248" s="197"/>
      <c r="R248" s="197"/>
      <c r="S248" s="197"/>
      <c r="T248" s="197"/>
      <c r="U248" s="197"/>
      <c r="V248" s="197"/>
      <c r="W248" s="197"/>
      <c r="X248" s="197"/>
      <c r="Y248" s="197"/>
      <c r="Z248" s="197"/>
      <c r="AA248" s="197"/>
      <c r="AB248" s="197"/>
      <c r="AC248" s="197"/>
      <c r="AD248" s="197"/>
      <c r="AE248" s="197"/>
      <c r="AF248" s="197"/>
      <c r="AG248" s="197"/>
      <c r="AH248" s="197"/>
      <c r="AI248" s="197"/>
      <c r="AJ248" s="201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</row>
    <row r="249" spans="1:63" ht="15" customHeight="1">
      <c r="A249" s="197"/>
      <c r="B249" s="197"/>
      <c r="C249" s="197"/>
      <c r="D249" s="197"/>
      <c r="E249" s="197"/>
      <c r="F249" s="197"/>
      <c r="G249" s="197"/>
      <c r="H249" s="197"/>
      <c r="I249" s="197"/>
      <c r="J249" s="197"/>
      <c r="K249" s="197"/>
      <c r="L249" s="197"/>
      <c r="M249" s="197"/>
      <c r="N249" s="197"/>
      <c r="O249" s="197"/>
      <c r="P249" s="197"/>
      <c r="Q249" s="197"/>
      <c r="R249" s="197"/>
      <c r="S249" s="197"/>
      <c r="T249" s="197"/>
      <c r="U249" s="197"/>
      <c r="V249" s="197"/>
      <c r="W249" s="197"/>
      <c r="X249" s="197"/>
      <c r="Y249" s="197"/>
      <c r="Z249" s="197"/>
      <c r="AA249" s="197"/>
      <c r="AB249" s="197"/>
      <c r="AC249" s="197"/>
      <c r="AD249" s="197"/>
      <c r="AE249" s="197"/>
      <c r="AF249" s="197"/>
      <c r="AG249" s="197"/>
      <c r="AH249" s="197"/>
      <c r="AI249" s="197"/>
      <c r="AJ249" s="201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</row>
    <row r="250" spans="1:63" ht="15" customHeight="1">
      <c r="A250" s="197"/>
      <c r="B250" s="197"/>
      <c r="C250" s="197"/>
      <c r="D250" s="197"/>
      <c r="E250" s="197"/>
      <c r="F250" s="197"/>
      <c r="G250" s="197"/>
      <c r="H250" s="197"/>
      <c r="I250" s="197"/>
      <c r="J250" s="197"/>
      <c r="K250" s="197"/>
      <c r="L250" s="197"/>
      <c r="M250" s="197"/>
      <c r="N250" s="197"/>
      <c r="O250" s="197"/>
      <c r="P250" s="197"/>
      <c r="Q250" s="197"/>
      <c r="R250" s="197"/>
      <c r="S250" s="197"/>
      <c r="T250" s="197"/>
      <c r="U250" s="197"/>
      <c r="V250" s="197"/>
      <c r="W250" s="197"/>
      <c r="X250" s="197"/>
      <c r="Y250" s="197"/>
      <c r="Z250" s="197"/>
      <c r="AA250" s="197"/>
      <c r="AB250" s="197"/>
      <c r="AC250" s="197"/>
      <c r="AD250" s="197"/>
      <c r="AE250" s="197"/>
      <c r="AF250" s="197"/>
      <c r="AG250" s="197"/>
      <c r="AH250" s="197"/>
      <c r="AI250" s="197"/>
      <c r="AJ250" s="201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</row>
    <row r="251" spans="1:63" ht="15" customHeight="1">
      <c r="A251" s="197"/>
      <c r="B251" s="197"/>
      <c r="C251" s="197"/>
      <c r="D251" s="197"/>
      <c r="E251" s="197"/>
      <c r="F251" s="197"/>
      <c r="G251" s="197"/>
      <c r="H251" s="197"/>
      <c r="I251" s="197"/>
      <c r="J251" s="197"/>
      <c r="K251" s="197"/>
      <c r="L251" s="197"/>
      <c r="M251" s="197"/>
      <c r="N251" s="197"/>
      <c r="O251" s="197"/>
      <c r="P251" s="197"/>
      <c r="Q251" s="197"/>
      <c r="R251" s="197"/>
      <c r="S251" s="197"/>
      <c r="T251" s="197"/>
      <c r="U251" s="197"/>
      <c r="V251" s="197"/>
      <c r="W251" s="197"/>
      <c r="X251" s="197"/>
      <c r="Y251" s="197"/>
      <c r="Z251" s="197"/>
      <c r="AA251" s="197"/>
      <c r="AB251" s="197"/>
      <c r="AC251" s="197"/>
      <c r="AD251" s="197"/>
      <c r="AE251" s="197"/>
      <c r="AF251" s="197"/>
      <c r="AG251" s="197"/>
      <c r="AH251" s="197"/>
      <c r="AI251" s="197"/>
      <c r="AJ251" s="201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</row>
    <row r="252" spans="1:63" ht="15" customHeight="1">
      <c r="A252" s="197"/>
      <c r="B252" s="197"/>
      <c r="C252" s="197"/>
      <c r="D252" s="197"/>
      <c r="E252" s="197"/>
      <c r="F252" s="197"/>
      <c r="G252" s="197"/>
      <c r="H252" s="197"/>
      <c r="I252" s="197"/>
      <c r="J252" s="197"/>
      <c r="K252" s="197"/>
      <c r="L252" s="197"/>
      <c r="M252" s="197"/>
      <c r="N252" s="197"/>
      <c r="O252" s="197"/>
      <c r="P252" s="197"/>
      <c r="Q252" s="197"/>
      <c r="R252" s="197"/>
      <c r="S252" s="197"/>
      <c r="T252" s="197"/>
      <c r="U252" s="197"/>
      <c r="V252" s="197"/>
      <c r="W252" s="197"/>
      <c r="X252" s="197"/>
      <c r="Y252" s="197"/>
      <c r="Z252" s="197"/>
      <c r="AA252" s="197"/>
      <c r="AB252" s="197"/>
      <c r="AC252" s="197"/>
      <c r="AD252" s="197"/>
      <c r="AE252" s="197"/>
      <c r="AF252" s="197"/>
      <c r="AG252" s="197"/>
      <c r="AH252" s="197"/>
      <c r="AI252" s="197"/>
      <c r="AJ252" s="201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</row>
    <row r="253" spans="1:63" ht="15" customHeight="1">
      <c r="A253" s="197"/>
      <c r="B253" s="197"/>
      <c r="C253" s="197"/>
      <c r="D253" s="197"/>
      <c r="E253" s="197"/>
      <c r="F253" s="197"/>
      <c r="G253" s="197"/>
      <c r="H253" s="197"/>
      <c r="I253" s="197"/>
      <c r="J253" s="197"/>
      <c r="K253" s="197"/>
      <c r="L253" s="197"/>
      <c r="M253" s="197"/>
      <c r="N253" s="197"/>
      <c r="O253" s="197"/>
      <c r="P253" s="197"/>
      <c r="Q253" s="197"/>
      <c r="R253" s="197"/>
      <c r="S253" s="197"/>
      <c r="T253" s="197"/>
      <c r="U253" s="197"/>
      <c r="V253" s="197"/>
      <c r="W253" s="197"/>
      <c r="X253" s="197"/>
      <c r="Y253" s="197"/>
      <c r="Z253" s="197"/>
      <c r="AA253" s="197"/>
      <c r="AB253" s="197"/>
      <c r="AC253" s="197"/>
      <c r="AD253" s="197"/>
      <c r="AE253" s="197"/>
      <c r="AF253" s="197"/>
      <c r="AG253" s="197"/>
      <c r="AH253" s="197"/>
      <c r="AI253" s="197"/>
      <c r="AJ253" s="201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</row>
    <row r="254" spans="1:63" ht="15" customHeight="1">
      <c r="A254" s="197"/>
      <c r="B254" s="197"/>
      <c r="C254" s="197"/>
      <c r="D254" s="197"/>
      <c r="E254" s="197"/>
      <c r="F254" s="197"/>
      <c r="G254" s="197"/>
      <c r="H254" s="197"/>
      <c r="I254" s="197"/>
      <c r="J254" s="197"/>
      <c r="K254" s="197"/>
      <c r="L254" s="197"/>
      <c r="M254" s="197"/>
      <c r="N254" s="197"/>
      <c r="O254" s="197"/>
      <c r="P254" s="197"/>
      <c r="Q254" s="197"/>
      <c r="R254" s="197"/>
      <c r="S254" s="197"/>
      <c r="T254" s="197"/>
      <c r="U254" s="197"/>
      <c r="V254" s="197"/>
      <c r="W254" s="197"/>
      <c r="X254" s="197"/>
      <c r="Y254" s="197"/>
      <c r="Z254" s="197"/>
      <c r="AA254" s="197"/>
      <c r="AB254" s="197"/>
      <c r="AC254" s="197"/>
      <c r="AD254" s="197"/>
      <c r="AE254" s="197"/>
      <c r="AF254" s="197"/>
      <c r="AG254" s="197"/>
      <c r="AH254" s="197"/>
      <c r="AI254" s="197"/>
      <c r="AJ254" s="201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</row>
    <row r="255" spans="1:63" ht="15" customHeight="1">
      <c r="A255" s="197"/>
      <c r="B255" s="197"/>
      <c r="C255" s="197"/>
      <c r="D255" s="197"/>
      <c r="E255" s="197"/>
      <c r="F255" s="197"/>
      <c r="G255" s="197"/>
      <c r="H255" s="197"/>
      <c r="I255" s="197"/>
      <c r="J255" s="197"/>
      <c r="K255" s="197"/>
      <c r="L255" s="197"/>
      <c r="M255" s="197"/>
      <c r="N255" s="197"/>
      <c r="O255" s="197"/>
      <c r="P255" s="197"/>
      <c r="Q255" s="197"/>
      <c r="R255" s="197"/>
      <c r="S255" s="197"/>
      <c r="T255" s="197"/>
      <c r="U255" s="197"/>
      <c r="V255" s="197"/>
      <c r="W255" s="197"/>
      <c r="X255" s="197"/>
      <c r="Y255" s="197"/>
      <c r="Z255" s="197"/>
      <c r="AA255" s="197"/>
      <c r="AB255" s="197"/>
      <c r="AC255" s="197"/>
      <c r="AD255" s="197"/>
      <c r="AE255" s="197"/>
      <c r="AF255" s="197"/>
      <c r="AG255" s="197"/>
      <c r="AH255" s="197"/>
      <c r="AI255" s="197"/>
      <c r="AJ255" s="201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</row>
    <row r="256" spans="1:63" ht="15" customHeight="1">
      <c r="A256" s="197"/>
      <c r="B256" s="197"/>
      <c r="C256" s="197"/>
      <c r="D256" s="197"/>
      <c r="E256" s="197"/>
      <c r="F256" s="197"/>
      <c r="G256" s="197"/>
      <c r="H256" s="197"/>
      <c r="I256" s="197"/>
      <c r="J256" s="197"/>
      <c r="K256" s="197"/>
      <c r="L256" s="197"/>
      <c r="M256" s="197"/>
      <c r="N256" s="197"/>
      <c r="O256" s="197"/>
      <c r="P256" s="197"/>
      <c r="Q256" s="197"/>
      <c r="R256" s="197"/>
      <c r="S256" s="197"/>
      <c r="T256" s="197"/>
      <c r="U256" s="197"/>
      <c r="V256" s="197"/>
      <c r="W256" s="197"/>
      <c r="X256" s="197"/>
      <c r="Y256" s="197"/>
      <c r="Z256" s="197"/>
      <c r="AA256" s="197"/>
      <c r="AB256" s="197"/>
      <c r="AC256" s="197"/>
      <c r="AD256" s="197"/>
      <c r="AE256" s="197"/>
      <c r="AF256" s="197"/>
      <c r="AG256" s="197"/>
      <c r="AH256" s="197"/>
      <c r="AI256" s="197"/>
      <c r="AJ256" s="201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</row>
    <row r="257" spans="1:63" ht="15" customHeight="1">
      <c r="A257" s="197"/>
      <c r="B257" s="197"/>
      <c r="C257" s="197"/>
      <c r="D257" s="197"/>
      <c r="E257" s="197"/>
      <c r="F257" s="197"/>
      <c r="G257" s="197"/>
      <c r="H257" s="197"/>
      <c r="I257" s="197"/>
      <c r="J257" s="197"/>
      <c r="K257" s="197"/>
      <c r="L257" s="197"/>
      <c r="M257" s="197"/>
      <c r="N257" s="197"/>
      <c r="O257" s="197"/>
      <c r="P257" s="197"/>
      <c r="Q257" s="197"/>
      <c r="R257" s="197"/>
      <c r="S257" s="197"/>
      <c r="T257" s="197"/>
      <c r="U257" s="197"/>
      <c r="V257" s="197"/>
      <c r="W257" s="197"/>
      <c r="X257" s="197"/>
      <c r="Y257" s="197"/>
      <c r="Z257" s="197"/>
      <c r="AA257" s="197"/>
      <c r="AB257" s="197"/>
      <c r="AC257" s="197"/>
      <c r="AD257" s="197"/>
      <c r="AE257" s="197"/>
      <c r="AF257" s="197"/>
      <c r="AG257" s="197"/>
      <c r="AH257" s="197"/>
      <c r="AI257" s="197"/>
      <c r="AJ257" s="201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</row>
    <row r="258" spans="1:63" ht="15" customHeight="1">
      <c r="A258" s="197"/>
      <c r="B258" s="197"/>
      <c r="C258" s="197"/>
      <c r="D258" s="197"/>
      <c r="E258" s="197"/>
      <c r="F258" s="197"/>
      <c r="G258" s="197"/>
      <c r="H258" s="197"/>
      <c r="I258" s="197"/>
      <c r="J258" s="197"/>
      <c r="K258" s="197"/>
      <c r="L258" s="197"/>
      <c r="M258" s="197"/>
      <c r="N258" s="197"/>
      <c r="O258" s="197"/>
      <c r="P258" s="197"/>
      <c r="Q258" s="197"/>
      <c r="R258" s="197"/>
      <c r="S258" s="197"/>
      <c r="T258" s="197"/>
      <c r="U258" s="197"/>
      <c r="V258" s="197"/>
      <c r="W258" s="197"/>
      <c r="X258" s="197"/>
      <c r="Y258" s="197"/>
      <c r="Z258" s="197"/>
      <c r="AA258" s="197"/>
      <c r="AB258" s="197"/>
      <c r="AC258" s="197"/>
      <c r="AD258" s="197"/>
      <c r="AE258" s="197"/>
      <c r="AF258" s="197"/>
      <c r="AG258" s="197"/>
      <c r="AH258" s="197"/>
      <c r="AI258" s="197"/>
      <c r="AJ258" s="201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</row>
    <row r="259" spans="1:63" ht="15" customHeight="1">
      <c r="A259" s="197"/>
      <c r="B259" s="197"/>
      <c r="C259" s="197"/>
      <c r="D259" s="197"/>
      <c r="E259" s="197"/>
      <c r="F259" s="197"/>
      <c r="G259" s="197"/>
      <c r="H259" s="197"/>
      <c r="I259" s="197"/>
      <c r="J259" s="197"/>
      <c r="K259" s="197"/>
      <c r="L259" s="197"/>
      <c r="M259" s="197"/>
      <c r="N259" s="197"/>
      <c r="O259" s="197"/>
      <c r="P259" s="197"/>
      <c r="Q259" s="197"/>
      <c r="R259" s="197"/>
      <c r="S259" s="197"/>
      <c r="T259" s="197"/>
      <c r="U259" s="197"/>
      <c r="V259" s="197"/>
      <c r="W259" s="197"/>
      <c r="X259" s="197"/>
      <c r="Y259" s="197"/>
      <c r="Z259" s="197"/>
      <c r="AA259" s="197"/>
      <c r="AB259" s="197"/>
      <c r="AC259" s="197"/>
      <c r="AD259" s="197"/>
      <c r="AE259" s="197"/>
      <c r="AF259" s="197"/>
      <c r="AG259" s="197"/>
      <c r="AH259" s="197"/>
      <c r="AI259" s="197"/>
      <c r="AJ259" s="201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</row>
    <row r="260" spans="1:63" ht="15" customHeight="1">
      <c r="A260" s="197"/>
      <c r="B260" s="197"/>
      <c r="C260" s="197"/>
      <c r="D260" s="197"/>
      <c r="E260" s="197"/>
      <c r="F260" s="197"/>
      <c r="G260" s="197"/>
      <c r="H260" s="197"/>
      <c r="I260" s="197"/>
      <c r="J260" s="197"/>
      <c r="K260" s="197"/>
      <c r="L260" s="197"/>
      <c r="M260" s="197"/>
      <c r="N260" s="197"/>
      <c r="O260" s="197"/>
      <c r="P260" s="197"/>
      <c r="Q260" s="197"/>
      <c r="R260" s="197"/>
      <c r="S260" s="197"/>
      <c r="T260" s="197"/>
      <c r="U260" s="197"/>
      <c r="V260" s="197"/>
      <c r="W260" s="197"/>
      <c r="X260" s="197"/>
      <c r="Y260" s="197"/>
      <c r="Z260" s="197"/>
      <c r="AA260" s="197"/>
      <c r="AB260" s="197"/>
      <c r="AC260" s="197"/>
      <c r="AD260" s="197"/>
      <c r="AE260" s="197"/>
      <c r="AF260" s="197"/>
      <c r="AG260" s="197"/>
      <c r="AH260" s="197"/>
      <c r="AI260" s="197"/>
      <c r="AJ260" s="201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</row>
    <row r="261" spans="1:63" ht="15" customHeight="1">
      <c r="A261" s="197"/>
      <c r="B261" s="197"/>
      <c r="C261" s="197"/>
      <c r="D261" s="197"/>
      <c r="E261" s="197"/>
      <c r="F261" s="197"/>
      <c r="G261" s="197"/>
      <c r="H261" s="197"/>
      <c r="I261" s="197"/>
      <c r="J261" s="197"/>
      <c r="K261" s="197"/>
      <c r="L261" s="197"/>
      <c r="M261" s="197"/>
      <c r="N261" s="197"/>
      <c r="O261" s="197"/>
      <c r="P261" s="197"/>
      <c r="Q261" s="197"/>
      <c r="R261" s="197"/>
      <c r="S261" s="197"/>
      <c r="T261" s="197"/>
      <c r="U261" s="197"/>
      <c r="V261" s="197"/>
      <c r="W261" s="197"/>
      <c r="X261" s="197"/>
      <c r="Y261" s="197"/>
      <c r="Z261" s="197"/>
      <c r="AA261" s="197"/>
      <c r="AB261" s="197"/>
      <c r="AC261" s="197"/>
      <c r="AD261" s="197"/>
      <c r="AE261" s="197"/>
      <c r="AF261" s="197"/>
      <c r="AG261" s="197"/>
      <c r="AH261" s="197"/>
      <c r="AI261" s="197"/>
      <c r="AJ261" s="201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</row>
    <row r="262" spans="1:63" ht="15" customHeight="1">
      <c r="A262" s="197"/>
      <c r="B262" s="197"/>
      <c r="C262" s="197"/>
      <c r="D262" s="197"/>
      <c r="E262" s="197"/>
      <c r="F262" s="197"/>
      <c r="G262" s="197"/>
      <c r="H262" s="197"/>
      <c r="I262" s="197"/>
      <c r="J262" s="197"/>
      <c r="K262" s="197"/>
      <c r="L262" s="197"/>
      <c r="M262" s="197"/>
      <c r="N262" s="197"/>
      <c r="O262" s="197"/>
      <c r="P262" s="197"/>
      <c r="Q262" s="197"/>
      <c r="R262" s="197"/>
      <c r="S262" s="197"/>
      <c r="T262" s="197"/>
      <c r="U262" s="197"/>
      <c r="V262" s="197"/>
      <c r="W262" s="197"/>
      <c r="X262" s="197"/>
      <c r="Y262" s="197"/>
      <c r="Z262" s="197"/>
      <c r="AA262" s="197"/>
      <c r="AB262" s="197"/>
      <c r="AC262" s="197"/>
      <c r="AD262" s="197"/>
      <c r="AE262" s="197"/>
      <c r="AF262" s="197"/>
      <c r="AG262" s="197"/>
      <c r="AH262" s="197"/>
      <c r="AI262" s="197"/>
      <c r="AJ262" s="201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</row>
    <row r="263" spans="1:63" ht="15" customHeight="1">
      <c r="A263" s="197"/>
      <c r="B263" s="197"/>
      <c r="C263" s="197"/>
      <c r="D263" s="197"/>
      <c r="E263" s="197"/>
      <c r="F263" s="197"/>
      <c r="G263" s="197"/>
      <c r="H263" s="197"/>
      <c r="I263" s="197"/>
      <c r="J263" s="197"/>
      <c r="K263" s="197"/>
      <c r="L263" s="197"/>
      <c r="M263" s="197"/>
      <c r="N263" s="197"/>
      <c r="O263" s="197"/>
      <c r="P263" s="197"/>
      <c r="Q263" s="197"/>
      <c r="R263" s="197"/>
      <c r="S263" s="197"/>
      <c r="T263" s="197"/>
      <c r="U263" s="197"/>
      <c r="V263" s="197"/>
      <c r="W263" s="197"/>
      <c r="X263" s="197"/>
      <c r="Y263" s="197"/>
      <c r="Z263" s="197"/>
      <c r="AA263" s="197"/>
      <c r="AB263" s="197"/>
      <c r="AC263" s="197"/>
      <c r="AD263" s="197"/>
      <c r="AE263" s="197"/>
      <c r="AF263" s="197"/>
      <c r="AG263" s="197"/>
      <c r="AH263" s="197"/>
      <c r="AI263" s="197"/>
      <c r="AJ263" s="201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</row>
    <row r="264" spans="1:63" ht="15" customHeight="1">
      <c r="A264" s="197"/>
      <c r="B264" s="197"/>
      <c r="C264" s="197"/>
      <c r="D264" s="197"/>
      <c r="E264" s="197"/>
      <c r="F264" s="197"/>
      <c r="G264" s="197"/>
      <c r="H264" s="197"/>
      <c r="I264" s="197"/>
      <c r="J264" s="197"/>
      <c r="K264" s="197"/>
      <c r="L264" s="197"/>
      <c r="M264" s="197"/>
      <c r="N264" s="197"/>
      <c r="O264" s="197"/>
      <c r="P264" s="197"/>
      <c r="Q264" s="197"/>
      <c r="R264" s="197"/>
      <c r="S264" s="197"/>
      <c r="T264" s="197"/>
      <c r="U264" s="197"/>
      <c r="V264" s="197"/>
      <c r="W264" s="197"/>
      <c r="X264" s="197"/>
      <c r="Y264" s="197"/>
      <c r="Z264" s="197"/>
      <c r="AA264" s="197"/>
      <c r="AB264" s="197"/>
      <c r="AC264" s="197"/>
      <c r="AD264" s="197"/>
      <c r="AE264" s="197"/>
      <c r="AF264" s="197"/>
      <c r="AG264" s="197"/>
      <c r="AH264" s="197"/>
      <c r="AI264" s="197"/>
      <c r="AJ264" s="201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</row>
    <row r="265" spans="1:63" ht="15" customHeight="1">
      <c r="A265" s="197"/>
      <c r="B265" s="197"/>
      <c r="C265" s="197"/>
      <c r="D265" s="197"/>
      <c r="E265" s="197"/>
      <c r="F265" s="197"/>
      <c r="G265" s="197"/>
      <c r="H265" s="197"/>
      <c r="I265" s="197"/>
      <c r="J265" s="197"/>
      <c r="K265" s="197"/>
      <c r="L265" s="197"/>
      <c r="M265" s="197"/>
      <c r="N265" s="197"/>
      <c r="O265" s="197"/>
      <c r="P265" s="197"/>
      <c r="Q265" s="197"/>
      <c r="R265" s="197"/>
      <c r="S265" s="197"/>
      <c r="T265" s="197"/>
      <c r="U265" s="197"/>
      <c r="V265" s="197"/>
      <c r="W265" s="197"/>
      <c r="X265" s="197"/>
      <c r="Y265" s="197"/>
      <c r="Z265" s="197"/>
      <c r="AA265" s="197"/>
      <c r="AB265" s="197"/>
      <c r="AC265" s="197"/>
      <c r="AD265" s="197"/>
      <c r="AE265" s="197"/>
      <c r="AF265" s="197"/>
      <c r="AG265" s="197"/>
      <c r="AH265" s="197"/>
      <c r="AI265" s="197"/>
      <c r="AJ265" s="201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</row>
    <row r="266" spans="1:63" ht="15" customHeight="1">
      <c r="A266" s="197"/>
      <c r="B266" s="197"/>
      <c r="C266" s="197"/>
      <c r="D266" s="197"/>
      <c r="E266" s="197"/>
      <c r="F266" s="197"/>
      <c r="G266" s="197"/>
      <c r="H266" s="197"/>
      <c r="I266" s="197"/>
      <c r="J266" s="197"/>
      <c r="K266" s="197"/>
      <c r="L266" s="197"/>
      <c r="M266" s="197"/>
      <c r="N266" s="197"/>
      <c r="O266" s="197"/>
      <c r="P266" s="197"/>
      <c r="Q266" s="197"/>
      <c r="R266" s="197"/>
      <c r="S266" s="197"/>
      <c r="T266" s="197"/>
      <c r="U266" s="197"/>
      <c r="V266" s="197"/>
      <c r="W266" s="197"/>
      <c r="X266" s="197"/>
      <c r="Y266" s="197"/>
      <c r="Z266" s="197"/>
      <c r="AA266" s="197"/>
      <c r="AB266" s="197"/>
      <c r="AC266" s="197"/>
      <c r="AD266" s="197"/>
      <c r="AE266" s="197"/>
      <c r="AF266" s="197"/>
      <c r="AG266" s="197"/>
      <c r="AH266" s="197"/>
      <c r="AI266" s="197"/>
      <c r="AJ266" s="201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</row>
    <row r="267" spans="1:63" ht="15" customHeight="1">
      <c r="A267" s="197"/>
      <c r="B267" s="197"/>
      <c r="C267" s="197"/>
      <c r="D267" s="197"/>
      <c r="E267" s="197"/>
      <c r="F267" s="197"/>
      <c r="G267" s="197"/>
      <c r="H267" s="197"/>
      <c r="I267" s="197"/>
      <c r="J267" s="197"/>
      <c r="K267" s="197"/>
      <c r="L267" s="197"/>
      <c r="M267" s="197"/>
      <c r="N267" s="197"/>
      <c r="O267" s="197"/>
      <c r="P267" s="197"/>
      <c r="Q267" s="197"/>
      <c r="R267" s="197"/>
      <c r="S267" s="197"/>
      <c r="T267" s="197"/>
      <c r="U267" s="197"/>
      <c r="V267" s="197"/>
      <c r="W267" s="197"/>
      <c r="X267" s="197"/>
      <c r="Y267" s="197"/>
      <c r="Z267" s="197"/>
      <c r="AA267" s="197"/>
      <c r="AB267" s="197"/>
      <c r="AC267" s="197"/>
      <c r="AD267" s="197"/>
      <c r="AE267" s="197"/>
      <c r="AF267" s="197"/>
      <c r="AG267" s="197"/>
      <c r="AH267" s="197"/>
      <c r="AI267" s="197"/>
      <c r="AJ267" s="201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</row>
    <row r="268" spans="1:63" ht="15" customHeight="1">
      <c r="A268" s="197"/>
      <c r="B268" s="197"/>
      <c r="C268" s="197"/>
      <c r="D268" s="197"/>
      <c r="E268" s="197"/>
      <c r="F268" s="197"/>
      <c r="G268" s="197"/>
      <c r="H268" s="197"/>
      <c r="I268" s="197"/>
      <c r="J268" s="197"/>
      <c r="K268" s="197"/>
      <c r="L268" s="197"/>
      <c r="M268" s="197"/>
      <c r="N268" s="197"/>
      <c r="O268" s="197"/>
      <c r="P268" s="197"/>
      <c r="Q268" s="197"/>
      <c r="R268" s="197"/>
      <c r="S268" s="197"/>
      <c r="T268" s="197"/>
      <c r="U268" s="197"/>
      <c r="V268" s="197"/>
      <c r="W268" s="197"/>
      <c r="X268" s="197"/>
      <c r="Y268" s="197"/>
      <c r="Z268" s="197"/>
      <c r="AA268" s="197"/>
      <c r="AB268" s="197"/>
      <c r="AC268" s="197"/>
      <c r="AD268" s="197"/>
      <c r="AE268" s="197"/>
      <c r="AF268" s="197"/>
      <c r="AG268" s="197"/>
      <c r="AH268" s="197"/>
      <c r="AI268" s="197"/>
      <c r="AJ268" s="201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</row>
    <row r="269" spans="1:63" ht="15" customHeight="1">
      <c r="A269" s="197"/>
      <c r="B269" s="197"/>
      <c r="C269" s="197"/>
      <c r="D269" s="197"/>
      <c r="E269" s="197"/>
      <c r="F269" s="197"/>
      <c r="G269" s="197"/>
      <c r="H269" s="197"/>
      <c r="I269" s="197"/>
      <c r="J269" s="197"/>
      <c r="K269" s="197"/>
      <c r="L269" s="197"/>
      <c r="M269" s="197"/>
      <c r="N269" s="197"/>
      <c r="O269" s="197"/>
      <c r="P269" s="197"/>
      <c r="Q269" s="197"/>
      <c r="R269" s="197"/>
      <c r="S269" s="197"/>
      <c r="T269" s="197"/>
      <c r="U269" s="197"/>
      <c r="V269" s="197"/>
      <c r="W269" s="197"/>
      <c r="X269" s="197"/>
      <c r="Y269" s="197"/>
      <c r="Z269" s="197"/>
      <c r="AA269" s="197"/>
      <c r="AB269" s="197"/>
      <c r="AC269" s="197"/>
      <c r="AD269" s="197"/>
      <c r="AE269" s="197"/>
      <c r="AF269" s="197"/>
      <c r="AG269" s="197"/>
      <c r="AH269" s="197"/>
      <c r="AI269" s="197"/>
      <c r="AJ269" s="201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</row>
    <row r="270" spans="1:63" ht="15" customHeight="1">
      <c r="A270" s="197"/>
      <c r="B270" s="197"/>
      <c r="C270" s="197"/>
      <c r="D270" s="197"/>
      <c r="E270" s="197"/>
      <c r="F270" s="197"/>
      <c r="G270" s="197"/>
      <c r="H270" s="197"/>
      <c r="I270" s="197"/>
      <c r="J270" s="197"/>
      <c r="K270" s="197"/>
      <c r="L270" s="197"/>
      <c r="M270" s="197"/>
      <c r="N270" s="197"/>
      <c r="O270" s="197"/>
      <c r="P270" s="197"/>
      <c r="Q270" s="197"/>
      <c r="R270" s="197"/>
      <c r="S270" s="197"/>
      <c r="T270" s="197"/>
      <c r="U270" s="197"/>
      <c r="V270" s="197"/>
      <c r="W270" s="197"/>
      <c r="X270" s="197"/>
      <c r="Y270" s="197"/>
      <c r="Z270" s="197"/>
      <c r="AA270" s="197"/>
      <c r="AB270" s="197"/>
      <c r="AC270" s="197"/>
      <c r="AD270" s="197"/>
      <c r="AE270" s="197"/>
      <c r="AF270" s="197"/>
      <c r="AG270" s="197"/>
      <c r="AH270" s="197"/>
      <c r="AI270" s="197"/>
      <c r="AJ270" s="201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</row>
    <row r="271" spans="1:63" ht="15" customHeight="1">
      <c r="A271" s="197"/>
      <c r="B271" s="197"/>
      <c r="C271" s="197"/>
      <c r="D271" s="197"/>
      <c r="E271" s="197"/>
      <c r="F271" s="197"/>
      <c r="G271" s="197"/>
      <c r="H271" s="197"/>
      <c r="I271" s="197"/>
      <c r="J271" s="197"/>
      <c r="K271" s="197"/>
      <c r="L271" s="197"/>
      <c r="M271" s="197"/>
      <c r="N271" s="197"/>
      <c r="O271" s="197"/>
      <c r="P271" s="197"/>
      <c r="Q271" s="197"/>
      <c r="R271" s="197"/>
      <c r="S271" s="197"/>
      <c r="T271" s="197"/>
      <c r="U271" s="197"/>
      <c r="V271" s="197"/>
      <c r="W271" s="197"/>
      <c r="X271" s="197"/>
      <c r="Y271" s="197"/>
      <c r="Z271" s="197"/>
      <c r="AA271" s="197"/>
      <c r="AB271" s="197"/>
      <c r="AC271" s="197"/>
      <c r="AD271" s="197"/>
      <c r="AE271" s="197"/>
      <c r="AF271" s="197"/>
      <c r="AG271" s="197"/>
      <c r="AH271" s="197"/>
      <c r="AI271" s="197"/>
      <c r="AJ271" s="201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</row>
    <row r="272" spans="1:63" ht="15" customHeight="1">
      <c r="A272" s="197"/>
      <c r="B272" s="197"/>
      <c r="C272" s="197"/>
      <c r="D272" s="197"/>
      <c r="E272" s="197"/>
      <c r="F272" s="197"/>
      <c r="G272" s="197"/>
      <c r="H272" s="197"/>
      <c r="I272" s="197"/>
      <c r="J272" s="197"/>
      <c r="K272" s="197"/>
      <c r="L272" s="197"/>
      <c r="M272" s="197"/>
      <c r="N272" s="197"/>
      <c r="O272" s="197"/>
      <c r="P272" s="197"/>
      <c r="Q272" s="197"/>
      <c r="R272" s="197"/>
      <c r="S272" s="197"/>
      <c r="T272" s="197"/>
      <c r="U272" s="197"/>
      <c r="V272" s="197"/>
      <c r="W272" s="197"/>
      <c r="X272" s="197"/>
      <c r="Y272" s="197"/>
      <c r="Z272" s="197"/>
      <c r="AA272" s="197"/>
      <c r="AB272" s="197"/>
      <c r="AC272" s="197"/>
      <c r="AD272" s="197"/>
      <c r="AE272" s="197"/>
      <c r="AF272" s="197"/>
      <c r="AG272" s="197"/>
      <c r="AH272" s="197"/>
      <c r="AI272" s="197"/>
      <c r="AJ272" s="201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</row>
    <row r="273" spans="1:63" ht="15" customHeight="1">
      <c r="A273" s="197"/>
      <c r="B273" s="197"/>
      <c r="C273" s="197"/>
      <c r="D273" s="197"/>
      <c r="E273" s="197"/>
      <c r="F273" s="197"/>
      <c r="G273" s="197"/>
      <c r="H273" s="197"/>
      <c r="I273" s="197"/>
      <c r="J273" s="197"/>
      <c r="K273" s="197"/>
      <c r="L273" s="197"/>
      <c r="M273" s="197"/>
      <c r="N273" s="197"/>
      <c r="O273" s="197"/>
      <c r="P273" s="197"/>
      <c r="Q273" s="197"/>
      <c r="R273" s="197"/>
      <c r="S273" s="197"/>
      <c r="T273" s="197"/>
      <c r="U273" s="197"/>
      <c r="V273" s="197"/>
      <c r="W273" s="197"/>
      <c r="X273" s="197"/>
      <c r="Y273" s="197"/>
      <c r="Z273" s="197"/>
      <c r="AA273" s="197"/>
      <c r="AB273" s="197"/>
      <c r="AC273" s="197"/>
      <c r="AD273" s="197"/>
      <c r="AE273" s="197"/>
      <c r="AF273" s="197"/>
      <c r="AG273" s="197"/>
      <c r="AH273" s="197"/>
      <c r="AI273" s="197"/>
      <c r="AJ273" s="201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</row>
    <row r="274" spans="1:63" ht="15" customHeight="1">
      <c r="A274" s="197"/>
      <c r="B274" s="197"/>
      <c r="C274" s="197"/>
      <c r="D274" s="197"/>
      <c r="E274" s="197"/>
      <c r="F274" s="197"/>
      <c r="G274" s="197"/>
      <c r="H274" s="197"/>
      <c r="I274" s="197"/>
      <c r="J274" s="197"/>
      <c r="K274" s="197"/>
      <c r="L274" s="197"/>
      <c r="M274" s="197"/>
      <c r="N274" s="197"/>
      <c r="O274" s="197"/>
      <c r="P274" s="197"/>
      <c r="Q274" s="197"/>
      <c r="R274" s="197"/>
      <c r="S274" s="197"/>
      <c r="T274" s="197"/>
      <c r="U274" s="197"/>
      <c r="V274" s="197"/>
      <c r="W274" s="197"/>
      <c r="X274" s="197"/>
      <c r="Y274" s="197"/>
      <c r="Z274" s="197"/>
      <c r="AA274" s="197"/>
      <c r="AB274" s="197"/>
      <c r="AC274" s="197"/>
      <c r="AD274" s="197"/>
      <c r="AE274" s="197"/>
      <c r="AF274" s="197"/>
      <c r="AG274" s="197"/>
      <c r="AH274" s="197"/>
      <c r="AI274" s="197"/>
      <c r="AJ274" s="201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</row>
    <row r="275" spans="1:63" ht="15" customHeight="1">
      <c r="A275" s="197"/>
      <c r="B275" s="197"/>
      <c r="C275" s="197"/>
      <c r="D275" s="197"/>
      <c r="E275" s="197"/>
      <c r="F275" s="197"/>
      <c r="G275" s="197"/>
      <c r="H275" s="197"/>
      <c r="I275" s="197"/>
      <c r="J275" s="197"/>
      <c r="K275" s="197"/>
      <c r="L275" s="197"/>
      <c r="M275" s="197"/>
      <c r="N275" s="197"/>
      <c r="O275" s="197"/>
      <c r="P275" s="197"/>
      <c r="Q275" s="197"/>
      <c r="R275" s="197"/>
      <c r="S275" s="197"/>
      <c r="T275" s="197"/>
      <c r="U275" s="197"/>
      <c r="V275" s="197"/>
      <c r="W275" s="197"/>
      <c r="X275" s="197"/>
      <c r="Y275" s="197"/>
      <c r="Z275" s="197"/>
      <c r="AA275" s="197"/>
      <c r="AB275" s="197"/>
      <c r="AC275" s="197"/>
      <c r="AD275" s="197"/>
      <c r="AE275" s="197"/>
      <c r="AF275" s="197"/>
      <c r="AG275" s="197"/>
      <c r="AH275" s="197"/>
      <c r="AI275" s="197"/>
      <c r="AJ275" s="201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</row>
    <row r="276" spans="1:63" ht="15" customHeight="1">
      <c r="A276" s="197"/>
      <c r="B276" s="197"/>
      <c r="C276" s="197"/>
      <c r="D276" s="197"/>
      <c r="E276" s="197"/>
      <c r="F276" s="197"/>
      <c r="G276" s="197"/>
      <c r="H276" s="197"/>
      <c r="I276" s="197"/>
      <c r="J276" s="197"/>
      <c r="K276" s="197"/>
      <c r="L276" s="197"/>
      <c r="M276" s="197"/>
      <c r="N276" s="197"/>
      <c r="O276" s="197"/>
      <c r="P276" s="197"/>
      <c r="Q276" s="197"/>
      <c r="R276" s="197"/>
      <c r="S276" s="197"/>
      <c r="T276" s="197"/>
      <c r="U276" s="197"/>
      <c r="V276" s="197"/>
      <c r="W276" s="197"/>
      <c r="X276" s="197"/>
      <c r="Y276" s="197"/>
      <c r="Z276" s="197"/>
      <c r="AA276" s="197"/>
      <c r="AB276" s="197"/>
      <c r="AC276" s="197"/>
      <c r="AD276" s="197"/>
      <c r="AE276" s="197"/>
      <c r="AF276" s="197"/>
      <c r="AG276" s="197"/>
      <c r="AH276" s="197"/>
      <c r="AI276" s="197"/>
      <c r="AJ276" s="201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</row>
    <row r="277" spans="1:63" ht="15" customHeight="1">
      <c r="A277" s="197"/>
      <c r="B277" s="197"/>
      <c r="C277" s="197"/>
      <c r="D277" s="197"/>
      <c r="E277" s="197"/>
      <c r="F277" s="197"/>
      <c r="G277" s="197"/>
      <c r="H277" s="197"/>
      <c r="I277" s="197"/>
      <c r="J277" s="197"/>
      <c r="K277" s="197"/>
      <c r="L277" s="197"/>
      <c r="M277" s="197"/>
      <c r="N277" s="197"/>
      <c r="O277" s="197"/>
      <c r="P277" s="197"/>
      <c r="Q277" s="197"/>
      <c r="R277" s="197"/>
      <c r="S277" s="197"/>
      <c r="T277" s="197"/>
      <c r="U277" s="197"/>
      <c r="V277" s="197"/>
      <c r="W277" s="197"/>
      <c r="X277" s="197"/>
      <c r="Y277" s="197"/>
      <c r="Z277" s="197"/>
      <c r="AA277" s="197"/>
      <c r="AB277" s="197"/>
      <c r="AC277" s="197"/>
      <c r="AD277" s="197"/>
      <c r="AE277" s="197"/>
      <c r="AF277" s="197"/>
      <c r="AG277" s="197"/>
      <c r="AH277" s="197"/>
      <c r="AI277" s="197"/>
      <c r="AJ277" s="201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</row>
    <row r="278" spans="1:63" ht="15" customHeight="1">
      <c r="A278" s="197"/>
      <c r="B278" s="197"/>
      <c r="C278" s="197"/>
      <c r="D278" s="197"/>
      <c r="E278" s="197"/>
      <c r="F278" s="197"/>
      <c r="G278" s="197"/>
      <c r="H278" s="197"/>
      <c r="I278" s="197"/>
      <c r="J278" s="197"/>
      <c r="K278" s="197"/>
      <c r="L278" s="197"/>
      <c r="M278" s="197"/>
      <c r="N278" s="197"/>
      <c r="O278" s="197"/>
      <c r="P278" s="197"/>
      <c r="Q278" s="197"/>
      <c r="R278" s="197"/>
      <c r="S278" s="197"/>
      <c r="T278" s="197"/>
      <c r="U278" s="197"/>
      <c r="V278" s="197"/>
      <c r="W278" s="197"/>
      <c r="X278" s="197"/>
      <c r="Y278" s="197"/>
      <c r="Z278" s="197"/>
      <c r="AA278" s="197"/>
      <c r="AB278" s="197"/>
      <c r="AC278" s="197"/>
      <c r="AD278" s="197"/>
      <c r="AE278" s="197"/>
      <c r="AF278" s="197"/>
      <c r="AG278" s="197"/>
      <c r="AH278" s="197"/>
      <c r="AI278" s="197"/>
      <c r="AJ278" s="201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</row>
    <row r="279" spans="1:63" ht="15" customHeight="1">
      <c r="A279" s="197"/>
      <c r="B279" s="197"/>
      <c r="C279" s="197"/>
      <c r="D279" s="197"/>
      <c r="E279" s="197"/>
      <c r="F279" s="197"/>
      <c r="G279" s="197"/>
      <c r="H279" s="197"/>
      <c r="I279" s="197"/>
      <c r="J279" s="197"/>
      <c r="K279" s="197"/>
      <c r="L279" s="197"/>
      <c r="M279" s="197"/>
      <c r="N279" s="197"/>
      <c r="O279" s="197"/>
      <c r="P279" s="197"/>
      <c r="Q279" s="197"/>
      <c r="R279" s="197"/>
      <c r="S279" s="197"/>
      <c r="T279" s="197"/>
      <c r="U279" s="197"/>
      <c r="V279" s="197"/>
      <c r="W279" s="197"/>
      <c r="X279" s="197"/>
      <c r="Y279" s="197"/>
      <c r="Z279" s="197"/>
      <c r="AA279" s="197"/>
      <c r="AB279" s="197"/>
      <c r="AC279" s="197"/>
      <c r="AD279" s="197"/>
      <c r="AE279" s="197"/>
      <c r="AF279" s="197"/>
      <c r="AG279" s="197"/>
      <c r="AH279" s="197"/>
      <c r="AI279" s="197"/>
      <c r="AJ279" s="201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</row>
    <row r="280" spans="1:63" ht="15" customHeight="1">
      <c r="A280" s="197"/>
      <c r="B280" s="197"/>
      <c r="C280" s="197"/>
      <c r="D280" s="197"/>
      <c r="E280" s="197"/>
      <c r="F280" s="197"/>
      <c r="G280" s="197"/>
      <c r="H280" s="197"/>
      <c r="I280" s="197"/>
      <c r="J280" s="197"/>
      <c r="K280" s="197"/>
      <c r="L280" s="197"/>
      <c r="M280" s="197"/>
      <c r="N280" s="197"/>
      <c r="O280" s="197"/>
      <c r="P280" s="197"/>
      <c r="Q280" s="197"/>
      <c r="R280" s="197"/>
      <c r="S280" s="197"/>
      <c r="T280" s="197"/>
      <c r="U280" s="197"/>
      <c r="V280" s="197"/>
      <c r="W280" s="197"/>
      <c r="X280" s="197"/>
      <c r="Y280" s="197"/>
      <c r="Z280" s="197"/>
      <c r="AA280" s="197"/>
      <c r="AB280" s="197"/>
      <c r="AC280" s="197"/>
      <c r="AD280" s="197"/>
      <c r="AE280" s="197"/>
      <c r="AF280" s="197"/>
      <c r="AG280" s="197"/>
      <c r="AH280" s="197"/>
      <c r="AI280" s="197"/>
      <c r="AJ280" s="201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</row>
    <row r="281" spans="1:63" ht="15" customHeight="1">
      <c r="A281" s="197"/>
      <c r="B281" s="197"/>
      <c r="C281" s="197"/>
      <c r="D281" s="197"/>
      <c r="E281" s="197"/>
      <c r="F281" s="197"/>
      <c r="G281" s="197"/>
      <c r="H281" s="197"/>
      <c r="I281" s="197"/>
      <c r="J281" s="197"/>
      <c r="K281" s="197"/>
      <c r="L281" s="197"/>
      <c r="M281" s="197"/>
      <c r="N281" s="197"/>
      <c r="O281" s="197"/>
      <c r="P281" s="197"/>
      <c r="Q281" s="197"/>
      <c r="R281" s="197"/>
      <c r="S281" s="197"/>
      <c r="T281" s="197"/>
      <c r="U281" s="197"/>
      <c r="V281" s="197"/>
      <c r="W281" s="197"/>
      <c r="X281" s="197"/>
      <c r="Y281" s="197"/>
      <c r="Z281" s="197"/>
      <c r="AA281" s="197"/>
      <c r="AB281" s="197"/>
      <c r="AC281" s="197"/>
      <c r="AD281" s="197"/>
      <c r="AE281" s="197"/>
      <c r="AF281" s="197"/>
      <c r="AG281" s="197"/>
      <c r="AH281" s="197"/>
      <c r="AI281" s="197"/>
      <c r="AJ281" s="201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</row>
    <row r="282" spans="1:63" ht="15" customHeight="1">
      <c r="A282" s="197"/>
      <c r="B282" s="197"/>
      <c r="C282" s="197"/>
      <c r="D282" s="197"/>
      <c r="E282" s="197"/>
      <c r="F282" s="197"/>
      <c r="G282" s="197"/>
      <c r="H282" s="197"/>
      <c r="I282" s="197"/>
      <c r="J282" s="197"/>
      <c r="K282" s="197"/>
      <c r="L282" s="197"/>
      <c r="M282" s="197"/>
      <c r="N282" s="197"/>
      <c r="O282" s="197"/>
      <c r="P282" s="197"/>
      <c r="Q282" s="197"/>
      <c r="R282" s="197"/>
      <c r="S282" s="197"/>
      <c r="T282" s="197"/>
      <c r="U282" s="197"/>
      <c r="V282" s="197"/>
      <c r="W282" s="197"/>
      <c r="X282" s="197"/>
      <c r="Y282" s="197"/>
      <c r="Z282" s="197"/>
      <c r="AA282" s="197"/>
      <c r="AB282" s="197"/>
      <c r="AC282" s="197"/>
      <c r="AD282" s="197"/>
      <c r="AE282" s="197"/>
      <c r="AF282" s="197"/>
      <c r="AG282" s="197"/>
      <c r="AH282" s="197"/>
      <c r="AI282" s="197"/>
      <c r="AJ282" s="201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</row>
    <row r="283" spans="1:63" ht="15" customHeight="1">
      <c r="A283" s="197"/>
      <c r="B283" s="197"/>
      <c r="C283" s="197"/>
      <c r="D283" s="197"/>
      <c r="E283" s="197"/>
      <c r="F283" s="197"/>
      <c r="G283" s="197"/>
      <c r="H283" s="197"/>
      <c r="I283" s="197"/>
      <c r="J283" s="197"/>
      <c r="K283" s="197"/>
      <c r="L283" s="197"/>
      <c r="M283" s="197"/>
      <c r="N283" s="197"/>
      <c r="O283" s="197"/>
      <c r="P283" s="197"/>
      <c r="Q283" s="197"/>
      <c r="R283" s="197"/>
      <c r="S283" s="197"/>
      <c r="T283" s="197"/>
      <c r="U283" s="197"/>
      <c r="V283" s="197"/>
      <c r="W283" s="197"/>
      <c r="X283" s="197"/>
      <c r="Y283" s="197"/>
      <c r="Z283" s="197"/>
      <c r="AA283" s="197"/>
      <c r="AB283" s="197"/>
      <c r="AC283" s="197"/>
      <c r="AD283" s="197"/>
      <c r="AE283" s="197"/>
      <c r="AF283" s="197"/>
      <c r="AG283" s="197"/>
      <c r="AH283" s="197"/>
      <c r="AI283" s="197"/>
      <c r="AJ283" s="201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</row>
    <row r="284" spans="1:63" ht="15" customHeight="1">
      <c r="A284" s="197"/>
      <c r="B284" s="197"/>
      <c r="C284" s="197"/>
      <c r="D284" s="197"/>
      <c r="E284" s="197"/>
      <c r="F284" s="197"/>
      <c r="G284" s="197"/>
      <c r="H284" s="197"/>
      <c r="I284" s="197"/>
      <c r="J284" s="197"/>
      <c r="K284" s="197"/>
      <c r="L284" s="197"/>
      <c r="M284" s="197"/>
      <c r="N284" s="197"/>
      <c r="O284" s="197"/>
      <c r="P284" s="197"/>
      <c r="Q284" s="197"/>
      <c r="R284" s="197"/>
      <c r="S284" s="197"/>
      <c r="T284" s="197"/>
      <c r="U284" s="197"/>
      <c r="V284" s="197"/>
      <c r="W284" s="197"/>
      <c r="X284" s="197"/>
      <c r="Y284" s="197"/>
      <c r="Z284" s="197"/>
      <c r="AA284" s="197"/>
      <c r="AB284" s="197"/>
      <c r="AC284" s="197"/>
      <c r="AD284" s="197"/>
      <c r="AE284" s="197"/>
      <c r="AF284" s="197"/>
      <c r="AG284" s="197"/>
      <c r="AH284" s="197"/>
      <c r="AI284" s="197"/>
      <c r="AJ284" s="201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</row>
    <row r="285" spans="1:63" ht="15" customHeight="1">
      <c r="A285" s="197"/>
      <c r="B285" s="197"/>
      <c r="C285" s="197"/>
      <c r="D285" s="197"/>
      <c r="E285" s="197"/>
      <c r="F285" s="197"/>
      <c r="G285" s="197"/>
      <c r="H285" s="197"/>
      <c r="I285" s="197"/>
      <c r="J285" s="197"/>
      <c r="K285" s="197"/>
      <c r="L285" s="197"/>
      <c r="M285" s="197"/>
      <c r="N285" s="197"/>
      <c r="O285" s="197"/>
      <c r="P285" s="197"/>
      <c r="Q285" s="197"/>
      <c r="R285" s="197"/>
      <c r="S285" s="197"/>
      <c r="T285" s="197"/>
      <c r="U285" s="197"/>
      <c r="V285" s="197"/>
      <c r="W285" s="197"/>
      <c r="X285" s="197"/>
      <c r="Y285" s="197"/>
      <c r="Z285" s="197"/>
      <c r="AA285" s="197"/>
      <c r="AB285" s="197"/>
      <c r="AC285" s="197"/>
      <c r="AD285" s="197"/>
      <c r="AE285" s="197"/>
      <c r="AF285" s="197"/>
      <c r="AG285" s="197"/>
      <c r="AH285" s="197"/>
      <c r="AI285" s="197"/>
      <c r="AJ285" s="201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</row>
    <row r="286" spans="1:63" ht="15" customHeight="1">
      <c r="A286" s="197"/>
      <c r="B286" s="197"/>
      <c r="C286" s="197"/>
      <c r="D286" s="197"/>
      <c r="E286" s="197"/>
      <c r="F286" s="197"/>
      <c r="G286" s="197"/>
      <c r="H286" s="197"/>
      <c r="I286" s="197"/>
      <c r="J286" s="197"/>
      <c r="K286" s="197"/>
      <c r="L286" s="197"/>
      <c r="M286" s="197"/>
      <c r="N286" s="197"/>
      <c r="O286" s="197"/>
      <c r="P286" s="197"/>
      <c r="Q286" s="197"/>
      <c r="R286" s="197"/>
      <c r="S286" s="197"/>
      <c r="T286" s="197"/>
      <c r="U286" s="197"/>
      <c r="V286" s="197"/>
      <c r="W286" s="197"/>
      <c r="X286" s="197"/>
      <c r="Y286" s="197"/>
      <c r="Z286" s="197"/>
      <c r="AA286" s="197"/>
      <c r="AB286" s="197"/>
      <c r="AC286" s="197"/>
      <c r="AD286" s="197"/>
      <c r="AE286" s="197"/>
      <c r="AF286" s="197"/>
      <c r="AG286" s="197"/>
      <c r="AH286" s="197"/>
      <c r="AI286" s="197"/>
      <c r="AJ286" s="201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</row>
    <row r="287" spans="1:63" ht="15" customHeight="1">
      <c r="A287" s="197"/>
      <c r="B287" s="197"/>
      <c r="C287" s="197"/>
      <c r="D287" s="197"/>
      <c r="E287" s="197"/>
      <c r="F287" s="197"/>
      <c r="G287" s="197"/>
      <c r="H287" s="197"/>
      <c r="I287" s="197"/>
      <c r="J287" s="197"/>
      <c r="K287" s="197"/>
      <c r="L287" s="197"/>
      <c r="M287" s="197"/>
      <c r="N287" s="197"/>
      <c r="O287" s="197"/>
      <c r="P287" s="197"/>
      <c r="Q287" s="197"/>
      <c r="R287" s="197"/>
      <c r="S287" s="197"/>
      <c r="T287" s="197"/>
      <c r="U287" s="197"/>
      <c r="V287" s="197"/>
      <c r="W287" s="197"/>
      <c r="X287" s="197"/>
      <c r="Y287" s="197"/>
      <c r="Z287" s="197"/>
      <c r="AA287" s="197"/>
      <c r="AB287" s="197"/>
      <c r="AC287" s="197"/>
      <c r="AD287" s="197"/>
      <c r="AE287" s="197"/>
      <c r="AF287" s="197"/>
      <c r="AG287" s="197"/>
      <c r="AH287" s="197"/>
      <c r="AI287" s="197"/>
      <c r="AJ287" s="201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</row>
    <row r="288" spans="1:63" ht="15" customHeight="1">
      <c r="A288" s="197"/>
      <c r="B288" s="197"/>
      <c r="C288" s="197"/>
      <c r="D288" s="197"/>
      <c r="E288" s="197"/>
      <c r="F288" s="197"/>
      <c r="G288" s="197"/>
      <c r="H288" s="197"/>
      <c r="I288" s="197"/>
      <c r="J288" s="197"/>
      <c r="K288" s="197"/>
      <c r="L288" s="197"/>
      <c r="M288" s="197"/>
      <c r="N288" s="197"/>
      <c r="O288" s="197"/>
      <c r="P288" s="197"/>
      <c r="Q288" s="197"/>
      <c r="R288" s="197"/>
      <c r="S288" s="197"/>
      <c r="T288" s="197"/>
      <c r="U288" s="197"/>
      <c r="V288" s="197"/>
      <c r="W288" s="197"/>
      <c r="X288" s="197"/>
      <c r="Y288" s="197"/>
      <c r="Z288" s="197"/>
      <c r="AA288" s="197"/>
      <c r="AB288" s="197"/>
      <c r="AC288" s="197"/>
      <c r="AD288" s="197"/>
      <c r="AE288" s="197"/>
      <c r="AF288" s="197"/>
      <c r="AG288" s="197"/>
      <c r="AH288" s="197"/>
      <c r="AI288" s="197"/>
      <c r="AJ288" s="201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</row>
    <row r="289" spans="1:63" ht="15" customHeight="1">
      <c r="A289" s="197"/>
      <c r="B289" s="197"/>
      <c r="C289" s="197"/>
      <c r="D289" s="197"/>
      <c r="E289" s="197"/>
      <c r="F289" s="197"/>
      <c r="G289" s="197"/>
      <c r="H289" s="197"/>
      <c r="I289" s="197"/>
      <c r="J289" s="197"/>
      <c r="K289" s="197"/>
      <c r="L289" s="197"/>
      <c r="M289" s="197"/>
      <c r="N289" s="197"/>
      <c r="O289" s="197"/>
      <c r="P289" s="197"/>
      <c r="Q289" s="197"/>
      <c r="R289" s="197"/>
      <c r="S289" s="197"/>
      <c r="T289" s="197"/>
      <c r="U289" s="197"/>
      <c r="V289" s="197"/>
      <c r="W289" s="197"/>
      <c r="X289" s="197"/>
      <c r="Y289" s="197"/>
      <c r="Z289" s="197"/>
      <c r="AA289" s="197"/>
      <c r="AB289" s="197"/>
      <c r="AC289" s="197"/>
      <c r="AD289" s="197"/>
      <c r="AE289" s="197"/>
      <c r="AF289" s="197"/>
      <c r="AG289" s="197"/>
      <c r="AH289" s="197"/>
      <c r="AI289" s="197"/>
      <c r="AJ289" s="201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</row>
    <row r="290" spans="1:63" ht="15" customHeight="1">
      <c r="A290" s="197"/>
      <c r="B290" s="197"/>
      <c r="C290" s="197"/>
      <c r="D290" s="197"/>
      <c r="E290" s="197"/>
      <c r="F290" s="197"/>
      <c r="G290" s="197"/>
      <c r="H290" s="197"/>
      <c r="I290" s="197"/>
      <c r="J290" s="197"/>
      <c r="K290" s="197"/>
      <c r="L290" s="197"/>
      <c r="M290" s="197"/>
      <c r="N290" s="197"/>
      <c r="O290" s="197"/>
      <c r="P290" s="197"/>
      <c r="Q290" s="197"/>
      <c r="R290" s="197"/>
      <c r="S290" s="197"/>
      <c r="T290" s="197"/>
      <c r="U290" s="197"/>
      <c r="V290" s="197"/>
      <c r="W290" s="197"/>
      <c r="X290" s="197"/>
      <c r="Y290" s="197"/>
      <c r="Z290" s="197"/>
      <c r="AA290" s="197"/>
      <c r="AB290" s="197"/>
      <c r="AC290" s="197"/>
      <c r="AD290" s="197"/>
      <c r="AE290" s="197"/>
      <c r="AF290" s="197"/>
      <c r="AG290" s="197"/>
      <c r="AH290" s="197"/>
      <c r="AI290" s="197"/>
      <c r="AJ290" s="201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</row>
    <row r="291" spans="1:63" ht="15" customHeight="1">
      <c r="A291" s="197"/>
      <c r="B291" s="197"/>
      <c r="C291" s="197"/>
      <c r="D291" s="197"/>
      <c r="E291" s="197"/>
      <c r="F291" s="197"/>
      <c r="G291" s="197"/>
      <c r="H291" s="197"/>
      <c r="I291" s="197"/>
      <c r="J291" s="197"/>
      <c r="K291" s="197"/>
      <c r="L291" s="197"/>
      <c r="M291" s="197"/>
      <c r="N291" s="197"/>
      <c r="O291" s="197"/>
      <c r="P291" s="197"/>
      <c r="Q291" s="197"/>
      <c r="R291" s="197"/>
      <c r="S291" s="197"/>
      <c r="T291" s="197"/>
      <c r="U291" s="197"/>
      <c r="V291" s="197"/>
      <c r="W291" s="197"/>
      <c r="X291" s="197"/>
      <c r="Y291" s="197"/>
      <c r="Z291" s="197"/>
      <c r="AA291" s="197"/>
      <c r="AB291" s="197"/>
      <c r="AC291" s="197"/>
      <c r="AD291" s="197"/>
      <c r="AE291" s="197"/>
      <c r="AF291" s="197"/>
      <c r="AG291" s="197"/>
      <c r="AH291" s="197"/>
      <c r="AI291" s="197"/>
      <c r="AJ291" s="201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</row>
    <row r="292" spans="1:63" ht="15" customHeight="1">
      <c r="A292" s="197"/>
      <c r="B292" s="197"/>
      <c r="C292" s="197"/>
      <c r="D292" s="197"/>
      <c r="E292" s="197"/>
      <c r="F292" s="197"/>
      <c r="G292" s="197"/>
      <c r="H292" s="197"/>
      <c r="I292" s="197"/>
      <c r="J292" s="197"/>
      <c r="K292" s="197"/>
      <c r="L292" s="197"/>
      <c r="M292" s="197"/>
      <c r="N292" s="197"/>
      <c r="O292" s="197"/>
      <c r="P292" s="197"/>
      <c r="Q292" s="197"/>
      <c r="R292" s="197"/>
      <c r="S292" s="197"/>
      <c r="T292" s="197"/>
      <c r="U292" s="197"/>
      <c r="V292" s="197"/>
      <c r="W292" s="197"/>
      <c r="X292" s="197"/>
      <c r="Y292" s="197"/>
      <c r="Z292" s="197"/>
      <c r="AA292" s="197"/>
      <c r="AB292" s="197"/>
      <c r="AC292" s="197"/>
      <c r="AD292" s="197"/>
      <c r="AE292" s="197"/>
      <c r="AF292" s="197"/>
      <c r="AG292" s="197"/>
      <c r="AH292" s="197"/>
      <c r="AI292" s="197"/>
      <c r="AJ292" s="201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</row>
    <row r="293" spans="1:63" ht="15" customHeight="1">
      <c r="A293" s="197"/>
      <c r="B293" s="197"/>
      <c r="C293" s="197"/>
      <c r="D293" s="197"/>
      <c r="E293" s="197"/>
      <c r="F293" s="197"/>
      <c r="G293" s="197"/>
      <c r="H293" s="197"/>
      <c r="I293" s="197"/>
      <c r="J293" s="197"/>
      <c r="K293" s="197"/>
      <c r="L293" s="197"/>
      <c r="M293" s="197"/>
      <c r="N293" s="197"/>
      <c r="O293" s="197"/>
      <c r="P293" s="197"/>
      <c r="Q293" s="197"/>
      <c r="R293" s="197"/>
      <c r="S293" s="197"/>
      <c r="T293" s="197"/>
      <c r="U293" s="197"/>
      <c r="V293" s="197"/>
      <c r="W293" s="197"/>
      <c r="X293" s="197"/>
      <c r="Y293" s="197"/>
      <c r="Z293" s="197"/>
      <c r="AA293" s="197"/>
      <c r="AB293" s="197"/>
      <c r="AC293" s="197"/>
      <c r="AD293" s="197"/>
      <c r="AE293" s="197"/>
      <c r="AF293" s="197"/>
      <c r="AG293" s="197"/>
      <c r="AH293" s="197"/>
      <c r="AI293" s="197"/>
      <c r="AJ293" s="201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</row>
    <row r="294" spans="1:63" ht="15" customHeight="1">
      <c r="A294" s="197"/>
      <c r="B294" s="197"/>
      <c r="C294" s="197"/>
      <c r="D294" s="197"/>
      <c r="E294" s="197"/>
      <c r="F294" s="197"/>
      <c r="G294" s="197"/>
      <c r="H294" s="197"/>
      <c r="I294" s="197"/>
      <c r="J294" s="197"/>
      <c r="K294" s="197"/>
      <c r="L294" s="197"/>
      <c r="M294" s="197"/>
      <c r="N294" s="197"/>
      <c r="O294" s="197"/>
      <c r="P294" s="197"/>
      <c r="Q294" s="197"/>
      <c r="R294" s="197"/>
      <c r="S294" s="197"/>
      <c r="T294" s="197"/>
      <c r="U294" s="197"/>
      <c r="V294" s="197"/>
      <c r="W294" s="197"/>
      <c r="X294" s="197"/>
      <c r="Y294" s="197"/>
      <c r="Z294" s="197"/>
      <c r="AA294" s="197"/>
      <c r="AB294" s="197"/>
      <c r="AC294" s="197"/>
      <c r="AD294" s="197"/>
      <c r="AE294" s="197"/>
      <c r="AF294" s="197"/>
      <c r="AG294" s="197"/>
      <c r="AH294" s="197"/>
      <c r="AI294" s="197"/>
      <c r="AJ294" s="201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</row>
    <row r="295" spans="1:63" ht="15" customHeight="1">
      <c r="A295" s="197"/>
      <c r="B295" s="197"/>
      <c r="C295" s="197"/>
      <c r="D295" s="197"/>
      <c r="E295" s="197"/>
      <c r="F295" s="197"/>
      <c r="G295" s="197"/>
      <c r="H295" s="197"/>
      <c r="I295" s="197"/>
      <c r="J295" s="197"/>
      <c r="K295" s="197"/>
      <c r="L295" s="197"/>
      <c r="M295" s="197"/>
      <c r="N295" s="197"/>
      <c r="O295" s="197"/>
      <c r="P295" s="197"/>
      <c r="Q295" s="197"/>
      <c r="R295" s="197"/>
      <c r="S295" s="197"/>
      <c r="T295" s="197"/>
      <c r="U295" s="197"/>
      <c r="V295" s="197"/>
      <c r="W295" s="197"/>
      <c r="X295" s="197"/>
      <c r="Y295" s="197"/>
      <c r="Z295" s="197"/>
      <c r="AA295" s="197"/>
      <c r="AB295" s="197"/>
      <c r="AC295" s="197"/>
      <c r="AD295" s="197"/>
      <c r="AE295" s="197"/>
      <c r="AF295" s="197"/>
      <c r="AG295" s="197"/>
      <c r="AH295" s="197"/>
      <c r="AI295" s="197"/>
      <c r="AJ295" s="201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</row>
    <row r="296" spans="1:63" ht="15" customHeight="1">
      <c r="A296" s="197"/>
      <c r="B296" s="197"/>
      <c r="C296" s="197"/>
      <c r="D296" s="197"/>
      <c r="E296" s="197"/>
      <c r="F296" s="197"/>
      <c r="G296" s="197"/>
      <c r="H296" s="197"/>
      <c r="I296" s="197"/>
      <c r="J296" s="197"/>
      <c r="K296" s="197"/>
      <c r="L296" s="197"/>
      <c r="M296" s="197"/>
      <c r="N296" s="197"/>
      <c r="O296" s="197"/>
      <c r="P296" s="197"/>
      <c r="Q296" s="197"/>
      <c r="R296" s="197"/>
      <c r="S296" s="197"/>
      <c r="T296" s="197"/>
      <c r="U296" s="197"/>
      <c r="V296" s="197"/>
      <c r="W296" s="197"/>
      <c r="X296" s="197"/>
      <c r="Y296" s="197"/>
      <c r="Z296" s="197"/>
      <c r="AA296" s="197"/>
      <c r="AB296" s="197"/>
      <c r="AC296" s="197"/>
      <c r="AD296" s="197"/>
      <c r="AE296" s="197"/>
      <c r="AF296" s="197"/>
      <c r="AG296" s="197"/>
      <c r="AH296" s="197"/>
      <c r="AI296" s="197"/>
      <c r="AJ296" s="201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</row>
    <row r="297" spans="1:63" ht="15" customHeight="1">
      <c r="A297" s="197"/>
      <c r="B297" s="197"/>
      <c r="C297" s="197"/>
      <c r="D297" s="197"/>
      <c r="E297" s="197"/>
      <c r="F297" s="197"/>
      <c r="G297" s="197"/>
      <c r="H297" s="197"/>
      <c r="I297" s="197"/>
      <c r="J297" s="197"/>
      <c r="K297" s="197"/>
      <c r="L297" s="197"/>
      <c r="M297" s="197"/>
      <c r="N297" s="197"/>
      <c r="O297" s="197"/>
      <c r="P297" s="197"/>
      <c r="Q297" s="197"/>
      <c r="R297" s="197"/>
      <c r="S297" s="197"/>
      <c r="T297" s="197"/>
      <c r="U297" s="197"/>
      <c r="V297" s="197"/>
      <c r="W297" s="197"/>
      <c r="X297" s="197"/>
      <c r="Y297" s="197"/>
      <c r="Z297" s="197"/>
      <c r="AA297" s="197"/>
      <c r="AB297" s="197"/>
      <c r="AC297" s="197"/>
      <c r="AD297" s="197"/>
      <c r="AE297" s="197"/>
      <c r="AF297" s="197"/>
      <c r="AG297" s="197"/>
      <c r="AH297" s="197"/>
      <c r="AI297" s="197"/>
      <c r="AJ297" s="201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</row>
    <row r="298" spans="1:63" ht="15" customHeight="1">
      <c r="A298" s="197"/>
      <c r="B298" s="197"/>
      <c r="C298" s="197"/>
      <c r="D298" s="197"/>
      <c r="E298" s="197"/>
      <c r="F298" s="197"/>
      <c r="G298" s="197"/>
      <c r="H298" s="197"/>
      <c r="I298" s="197"/>
      <c r="J298" s="197"/>
      <c r="K298" s="197"/>
      <c r="L298" s="197"/>
      <c r="M298" s="197"/>
      <c r="N298" s="197"/>
      <c r="O298" s="197"/>
      <c r="P298" s="197"/>
      <c r="Q298" s="197"/>
      <c r="R298" s="197"/>
      <c r="S298" s="197"/>
      <c r="T298" s="197"/>
      <c r="U298" s="197"/>
      <c r="V298" s="197"/>
      <c r="W298" s="197"/>
      <c r="X298" s="197"/>
      <c r="Y298" s="197"/>
      <c r="Z298" s="197"/>
      <c r="AA298" s="197"/>
      <c r="AB298" s="197"/>
      <c r="AC298" s="197"/>
      <c r="AD298" s="197"/>
      <c r="AE298" s="197"/>
      <c r="AF298" s="197"/>
      <c r="AG298" s="197"/>
      <c r="AH298" s="197"/>
      <c r="AI298" s="197"/>
      <c r="AJ298" s="201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</row>
    <row r="299" spans="1:63" ht="15" customHeight="1">
      <c r="A299" s="197"/>
      <c r="B299" s="197"/>
      <c r="C299" s="197"/>
      <c r="D299" s="197"/>
      <c r="E299" s="197"/>
      <c r="F299" s="197"/>
      <c r="G299" s="197"/>
      <c r="H299" s="197"/>
      <c r="I299" s="197"/>
      <c r="J299" s="197"/>
      <c r="K299" s="197"/>
      <c r="L299" s="197"/>
      <c r="M299" s="197"/>
      <c r="N299" s="197"/>
      <c r="O299" s="197"/>
      <c r="P299" s="197"/>
      <c r="Q299" s="197"/>
      <c r="R299" s="197"/>
      <c r="S299" s="197"/>
      <c r="T299" s="197"/>
      <c r="U299" s="197"/>
      <c r="V299" s="197"/>
      <c r="W299" s="197"/>
      <c r="X299" s="197"/>
      <c r="Y299" s="197"/>
      <c r="Z299" s="197"/>
      <c r="AA299" s="197"/>
      <c r="AB299" s="197"/>
      <c r="AC299" s="197"/>
      <c r="AD299" s="197"/>
      <c r="AE299" s="197"/>
      <c r="AF299" s="197"/>
      <c r="AG299" s="197"/>
      <c r="AH299" s="197"/>
      <c r="AI299" s="197"/>
      <c r="AJ299" s="201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</row>
    <row r="300" spans="1:63" ht="15" customHeight="1">
      <c r="A300" s="197"/>
      <c r="B300" s="197"/>
      <c r="C300" s="197"/>
      <c r="D300" s="197"/>
      <c r="E300" s="197"/>
      <c r="F300" s="197"/>
      <c r="G300" s="197"/>
      <c r="H300" s="197"/>
      <c r="I300" s="197"/>
      <c r="J300" s="197"/>
      <c r="K300" s="197"/>
      <c r="L300" s="197"/>
      <c r="M300" s="197"/>
      <c r="N300" s="197"/>
      <c r="O300" s="197"/>
      <c r="P300" s="197"/>
      <c r="Q300" s="197"/>
      <c r="R300" s="197"/>
      <c r="S300" s="197"/>
      <c r="T300" s="197"/>
      <c r="U300" s="197"/>
      <c r="V300" s="197"/>
      <c r="W300" s="197"/>
      <c r="X300" s="197"/>
      <c r="Y300" s="197"/>
      <c r="Z300" s="197"/>
      <c r="AA300" s="197"/>
      <c r="AB300" s="197"/>
      <c r="AC300" s="197"/>
      <c r="AD300" s="197"/>
      <c r="AE300" s="197"/>
      <c r="AF300" s="197"/>
      <c r="AG300" s="197"/>
      <c r="AH300" s="197"/>
      <c r="AI300" s="197"/>
      <c r="AJ300" s="201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</row>
    <row r="301" spans="1:63" ht="15" customHeight="1">
      <c r="A301" s="197"/>
      <c r="B301" s="197"/>
      <c r="C301" s="197"/>
      <c r="D301" s="197"/>
      <c r="E301" s="197"/>
      <c r="F301" s="197"/>
      <c r="G301" s="197"/>
      <c r="H301" s="197"/>
      <c r="I301" s="197"/>
      <c r="J301" s="197"/>
      <c r="K301" s="197"/>
      <c r="L301" s="197"/>
      <c r="M301" s="197"/>
      <c r="N301" s="197"/>
      <c r="O301" s="197"/>
      <c r="P301" s="197"/>
      <c r="Q301" s="197"/>
      <c r="R301" s="197"/>
      <c r="S301" s="197"/>
      <c r="T301" s="197"/>
      <c r="U301" s="197"/>
      <c r="V301" s="197"/>
      <c r="W301" s="197"/>
      <c r="X301" s="197"/>
      <c r="Y301" s="197"/>
      <c r="Z301" s="197"/>
      <c r="AA301" s="197"/>
      <c r="AB301" s="197"/>
      <c r="AC301" s="197"/>
      <c r="AD301" s="197"/>
      <c r="AE301" s="197"/>
      <c r="AF301" s="197"/>
      <c r="AG301" s="197"/>
      <c r="AH301" s="197"/>
      <c r="AI301" s="197"/>
      <c r="AJ301" s="201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</row>
    <row r="302" spans="1:63" ht="15" customHeight="1">
      <c r="A302" s="197"/>
      <c r="B302" s="197"/>
      <c r="C302" s="197"/>
      <c r="D302" s="197"/>
      <c r="E302" s="197"/>
      <c r="F302" s="197"/>
      <c r="G302" s="197"/>
      <c r="H302" s="197"/>
      <c r="I302" s="197"/>
      <c r="J302" s="197"/>
      <c r="K302" s="197"/>
      <c r="L302" s="197"/>
      <c r="M302" s="197"/>
      <c r="N302" s="197"/>
      <c r="O302" s="197"/>
      <c r="P302" s="197"/>
      <c r="Q302" s="197"/>
      <c r="R302" s="197"/>
      <c r="S302" s="197"/>
      <c r="T302" s="197"/>
      <c r="U302" s="197"/>
      <c r="V302" s="197"/>
      <c r="W302" s="197"/>
      <c r="X302" s="197"/>
      <c r="Y302" s="197"/>
      <c r="Z302" s="197"/>
      <c r="AA302" s="197"/>
      <c r="AB302" s="197"/>
      <c r="AC302" s="197"/>
      <c r="AD302" s="197"/>
      <c r="AE302" s="197"/>
      <c r="AF302" s="197"/>
      <c r="AG302" s="197"/>
      <c r="AH302" s="197"/>
      <c r="AI302" s="197"/>
      <c r="AJ302" s="201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</row>
    <row r="303" spans="1:63" ht="15" customHeight="1">
      <c r="A303" s="197"/>
      <c r="B303" s="197"/>
      <c r="C303" s="197"/>
      <c r="D303" s="197"/>
      <c r="E303" s="197"/>
      <c r="F303" s="197"/>
      <c r="G303" s="197"/>
      <c r="H303" s="197"/>
      <c r="I303" s="197"/>
      <c r="J303" s="197"/>
      <c r="K303" s="197"/>
      <c r="L303" s="197"/>
      <c r="M303" s="197"/>
      <c r="N303" s="197"/>
      <c r="O303" s="197"/>
      <c r="P303" s="197"/>
      <c r="Q303" s="197"/>
      <c r="R303" s="197"/>
      <c r="S303" s="197"/>
      <c r="T303" s="197"/>
      <c r="U303" s="197"/>
      <c r="V303" s="197"/>
      <c r="W303" s="197"/>
      <c r="X303" s="197"/>
      <c r="Y303" s="197"/>
      <c r="Z303" s="197"/>
      <c r="AA303" s="197"/>
      <c r="AB303" s="197"/>
      <c r="AC303" s="197"/>
      <c r="AD303" s="197"/>
      <c r="AE303" s="197"/>
      <c r="AF303" s="197"/>
      <c r="AG303" s="197"/>
      <c r="AH303" s="197"/>
      <c r="AI303" s="197"/>
      <c r="AJ303" s="201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</row>
    <row r="304" spans="1:63" ht="15" customHeight="1">
      <c r="A304" s="197"/>
      <c r="B304" s="197"/>
      <c r="C304" s="197"/>
      <c r="D304" s="197"/>
      <c r="E304" s="197"/>
      <c r="F304" s="197"/>
      <c r="G304" s="197"/>
      <c r="H304" s="197"/>
      <c r="I304" s="197"/>
      <c r="J304" s="197"/>
      <c r="K304" s="197"/>
      <c r="L304" s="197"/>
      <c r="M304" s="197"/>
      <c r="N304" s="197"/>
      <c r="O304" s="197"/>
      <c r="P304" s="197"/>
      <c r="Q304" s="197"/>
      <c r="R304" s="197"/>
      <c r="S304" s="197"/>
      <c r="T304" s="197"/>
      <c r="U304" s="197"/>
      <c r="V304" s="197"/>
      <c r="W304" s="197"/>
      <c r="X304" s="197"/>
      <c r="Y304" s="197"/>
      <c r="Z304" s="197"/>
      <c r="AA304" s="197"/>
      <c r="AB304" s="197"/>
      <c r="AC304" s="197"/>
      <c r="AD304" s="197"/>
      <c r="AE304" s="197"/>
      <c r="AF304" s="197"/>
      <c r="AG304" s="197"/>
      <c r="AH304" s="197"/>
      <c r="AI304" s="197"/>
      <c r="AJ304" s="201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</row>
    <row r="305" spans="1:63" ht="15" customHeight="1">
      <c r="A305" s="197"/>
      <c r="B305" s="197"/>
      <c r="C305" s="197"/>
      <c r="D305" s="197"/>
      <c r="E305" s="197"/>
      <c r="F305" s="197"/>
      <c r="G305" s="197"/>
      <c r="H305" s="197"/>
      <c r="I305" s="197"/>
      <c r="J305" s="197"/>
      <c r="K305" s="197"/>
      <c r="L305" s="197"/>
      <c r="M305" s="197"/>
      <c r="N305" s="197"/>
      <c r="O305" s="197"/>
      <c r="P305" s="197"/>
      <c r="Q305" s="197"/>
      <c r="R305" s="197"/>
      <c r="S305" s="197"/>
      <c r="T305" s="197"/>
      <c r="U305" s="197"/>
      <c r="V305" s="197"/>
      <c r="W305" s="197"/>
      <c r="X305" s="197"/>
      <c r="Y305" s="197"/>
      <c r="Z305" s="197"/>
      <c r="AA305" s="197"/>
      <c r="AB305" s="197"/>
      <c r="AC305" s="197"/>
      <c r="AD305" s="197"/>
      <c r="AE305" s="197"/>
      <c r="AF305" s="197"/>
      <c r="AG305" s="197"/>
      <c r="AH305" s="197"/>
      <c r="AI305" s="197"/>
      <c r="AJ305" s="201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</row>
    <row r="306" spans="1:63" ht="15" customHeight="1">
      <c r="A306" s="197"/>
      <c r="B306" s="197"/>
      <c r="C306" s="197"/>
      <c r="D306" s="197"/>
      <c r="E306" s="197"/>
      <c r="F306" s="197"/>
      <c r="G306" s="197"/>
      <c r="H306" s="197"/>
      <c r="I306" s="197"/>
      <c r="J306" s="197"/>
      <c r="K306" s="197"/>
      <c r="L306" s="197"/>
      <c r="M306" s="197"/>
      <c r="N306" s="197"/>
      <c r="O306" s="197"/>
      <c r="P306" s="197"/>
      <c r="Q306" s="197"/>
      <c r="R306" s="197"/>
      <c r="S306" s="197"/>
      <c r="T306" s="197"/>
      <c r="U306" s="197"/>
      <c r="V306" s="197"/>
      <c r="W306" s="197"/>
      <c r="X306" s="197"/>
      <c r="Y306" s="197"/>
      <c r="Z306" s="197"/>
      <c r="AA306" s="197"/>
      <c r="AB306" s="197"/>
      <c r="AC306" s="197"/>
      <c r="AD306" s="197"/>
      <c r="AE306" s="197"/>
      <c r="AF306" s="197"/>
      <c r="AG306" s="197"/>
      <c r="AH306" s="197"/>
      <c r="AI306" s="197"/>
      <c r="AJ306" s="201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</row>
    <row r="307" spans="1:63" ht="15" customHeight="1">
      <c r="A307" s="197"/>
      <c r="B307" s="197"/>
      <c r="C307" s="197"/>
      <c r="D307" s="197"/>
      <c r="E307" s="197"/>
      <c r="F307" s="197"/>
      <c r="G307" s="197"/>
      <c r="H307" s="197"/>
      <c r="I307" s="197"/>
      <c r="J307" s="197"/>
      <c r="K307" s="197"/>
      <c r="L307" s="197"/>
      <c r="M307" s="197"/>
      <c r="N307" s="197"/>
      <c r="O307" s="197"/>
      <c r="P307" s="197"/>
      <c r="Q307" s="197"/>
      <c r="R307" s="197"/>
      <c r="S307" s="197"/>
      <c r="T307" s="197"/>
      <c r="U307" s="197"/>
      <c r="V307" s="197"/>
      <c r="W307" s="197"/>
      <c r="X307" s="197"/>
      <c r="Y307" s="197"/>
      <c r="Z307" s="197"/>
      <c r="AA307" s="197"/>
      <c r="AB307" s="197"/>
      <c r="AC307" s="197"/>
      <c r="AD307" s="197"/>
      <c r="AE307" s="197"/>
      <c r="AF307" s="197"/>
      <c r="AG307" s="197"/>
      <c r="AH307" s="197"/>
      <c r="AI307" s="197"/>
      <c r="AJ307" s="201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</row>
    <row r="308" spans="1:63" ht="15" customHeight="1">
      <c r="A308" s="197"/>
      <c r="B308" s="197"/>
      <c r="C308" s="197"/>
      <c r="D308" s="197"/>
      <c r="E308" s="197"/>
      <c r="F308" s="197"/>
      <c r="G308" s="197"/>
      <c r="H308" s="197"/>
      <c r="I308" s="197"/>
      <c r="J308" s="197"/>
      <c r="K308" s="197"/>
      <c r="L308" s="197"/>
      <c r="M308" s="197"/>
      <c r="N308" s="197"/>
      <c r="O308" s="197"/>
      <c r="P308" s="197"/>
      <c r="Q308" s="197"/>
      <c r="R308" s="197"/>
      <c r="S308" s="197"/>
      <c r="T308" s="197"/>
      <c r="U308" s="197"/>
      <c r="V308" s="197"/>
      <c r="W308" s="197"/>
      <c r="X308" s="197"/>
      <c r="Y308" s="197"/>
      <c r="Z308" s="197"/>
      <c r="AA308" s="197"/>
      <c r="AB308" s="197"/>
      <c r="AC308" s="197"/>
      <c r="AD308" s="197"/>
      <c r="AE308" s="197"/>
      <c r="AF308" s="197"/>
      <c r="AG308" s="197"/>
      <c r="AH308" s="197"/>
      <c r="AI308" s="197"/>
      <c r="AJ308" s="201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</row>
    <row r="309" spans="1:63" ht="15" customHeight="1">
      <c r="A309" s="197"/>
      <c r="B309" s="197"/>
      <c r="C309" s="197"/>
      <c r="D309" s="197"/>
      <c r="E309" s="197"/>
      <c r="F309" s="197"/>
      <c r="G309" s="197"/>
      <c r="H309" s="197"/>
      <c r="I309" s="197"/>
      <c r="J309" s="197"/>
      <c r="K309" s="197"/>
      <c r="L309" s="197"/>
      <c r="M309" s="197"/>
      <c r="N309" s="197"/>
      <c r="O309" s="197"/>
      <c r="P309" s="197"/>
      <c r="Q309" s="197"/>
      <c r="R309" s="197"/>
      <c r="S309" s="197"/>
      <c r="T309" s="197"/>
      <c r="U309" s="197"/>
      <c r="V309" s="197"/>
      <c r="W309" s="197"/>
      <c r="X309" s="197"/>
      <c r="Y309" s="197"/>
      <c r="Z309" s="197"/>
      <c r="AA309" s="197"/>
      <c r="AB309" s="197"/>
      <c r="AC309" s="197"/>
      <c r="AD309" s="197"/>
      <c r="AE309" s="197"/>
      <c r="AF309" s="197"/>
      <c r="AG309" s="197"/>
      <c r="AH309" s="197"/>
      <c r="AI309" s="197"/>
      <c r="AJ309" s="201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</row>
    <row r="310" spans="1:63" ht="15" customHeight="1">
      <c r="A310" s="197"/>
      <c r="B310" s="197"/>
      <c r="C310" s="197"/>
      <c r="D310" s="197"/>
      <c r="E310" s="197"/>
      <c r="F310" s="197"/>
      <c r="G310" s="197"/>
      <c r="H310" s="197"/>
      <c r="I310" s="197"/>
      <c r="J310" s="197"/>
      <c r="K310" s="197"/>
      <c r="L310" s="197"/>
      <c r="M310" s="197"/>
      <c r="N310" s="197"/>
      <c r="O310" s="197"/>
      <c r="P310" s="197"/>
      <c r="Q310" s="197"/>
      <c r="R310" s="197"/>
      <c r="S310" s="197"/>
      <c r="T310" s="197"/>
      <c r="U310" s="197"/>
      <c r="V310" s="197"/>
      <c r="W310" s="197"/>
      <c r="X310" s="197"/>
      <c r="Y310" s="197"/>
      <c r="Z310" s="197"/>
      <c r="AA310" s="197"/>
      <c r="AB310" s="197"/>
      <c r="AC310" s="197"/>
      <c r="AD310" s="197"/>
      <c r="AE310" s="197"/>
      <c r="AF310" s="197"/>
      <c r="AG310" s="197"/>
      <c r="AH310" s="197"/>
      <c r="AI310" s="197"/>
      <c r="AJ310" s="201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</row>
    <row r="311" spans="1:63" ht="15" customHeight="1">
      <c r="A311" s="197"/>
      <c r="B311" s="197"/>
      <c r="C311" s="197"/>
      <c r="D311" s="197"/>
      <c r="E311" s="197"/>
      <c r="F311" s="197"/>
      <c r="G311" s="197"/>
      <c r="H311" s="197"/>
      <c r="I311" s="197"/>
      <c r="J311" s="197"/>
      <c r="K311" s="197"/>
      <c r="L311" s="197"/>
      <c r="M311" s="197"/>
      <c r="N311" s="197"/>
      <c r="O311" s="197"/>
      <c r="P311" s="197"/>
      <c r="Q311" s="197"/>
      <c r="R311" s="197"/>
      <c r="S311" s="197"/>
      <c r="T311" s="197"/>
      <c r="U311" s="197"/>
      <c r="V311" s="197"/>
      <c r="W311" s="197"/>
      <c r="X311" s="197"/>
      <c r="Y311" s="197"/>
      <c r="Z311" s="197"/>
      <c r="AA311" s="197"/>
      <c r="AB311" s="197"/>
      <c r="AC311" s="197"/>
      <c r="AD311" s="197"/>
      <c r="AE311" s="197"/>
      <c r="AF311" s="197"/>
      <c r="AG311" s="197"/>
      <c r="AH311" s="197"/>
      <c r="AI311" s="197"/>
      <c r="AJ311" s="201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</row>
    <row r="312" spans="1:63" ht="15" customHeight="1">
      <c r="A312" s="197"/>
      <c r="B312" s="197"/>
      <c r="C312" s="197"/>
      <c r="D312" s="197"/>
      <c r="E312" s="197"/>
      <c r="F312" s="197"/>
      <c r="G312" s="197"/>
      <c r="H312" s="197"/>
      <c r="I312" s="197"/>
      <c r="J312" s="197"/>
      <c r="K312" s="197"/>
      <c r="L312" s="197"/>
      <c r="M312" s="197"/>
      <c r="N312" s="197"/>
      <c r="O312" s="197"/>
      <c r="P312" s="197"/>
      <c r="Q312" s="197"/>
      <c r="R312" s="197"/>
      <c r="S312" s="197"/>
      <c r="T312" s="197"/>
      <c r="U312" s="197"/>
      <c r="V312" s="197"/>
      <c r="W312" s="197"/>
      <c r="X312" s="197"/>
      <c r="Y312" s="197"/>
      <c r="Z312" s="197"/>
      <c r="AA312" s="197"/>
      <c r="AB312" s="197"/>
      <c r="AC312" s="197"/>
      <c r="AD312" s="197"/>
      <c r="AE312" s="197"/>
      <c r="AF312" s="197"/>
      <c r="AG312" s="197"/>
      <c r="AH312" s="197"/>
      <c r="AI312" s="197"/>
      <c r="AJ312" s="201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</row>
    <row r="313" spans="1:63" ht="15" customHeight="1">
      <c r="A313" s="197"/>
      <c r="B313" s="197"/>
      <c r="C313" s="197"/>
      <c r="D313" s="197"/>
      <c r="E313" s="197"/>
      <c r="F313" s="197"/>
      <c r="G313" s="197"/>
      <c r="H313" s="197"/>
      <c r="I313" s="197"/>
      <c r="J313" s="197"/>
      <c r="K313" s="197"/>
      <c r="L313" s="197"/>
      <c r="M313" s="197"/>
      <c r="N313" s="197"/>
      <c r="O313" s="197"/>
      <c r="P313" s="197"/>
      <c r="Q313" s="197"/>
      <c r="R313" s="197"/>
      <c r="S313" s="197"/>
      <c r="T313" s="197"/>
      <c r="U313" s="197"/>
      <c r="V313" s="197"/>
      <c r="W313" s="197"/>
      <c r="X313" s="197"/>
      <c r="Y313" s="197"/>
      <c r="Z313" s="197"/>
      <c r="AA313" s="197"/>
      <c r="AB313" s="197"/>
      <c r="AC313" s="197"/>
      <c r="AD313" s="197"/>
      <c r="AE313" s="197"/>
      <c r="AF313" s="197"/>
      <c r="AG313" s="197"/>
      <c r="AH313" s="197"/>
      <c r="AI313" s="197"/>
      <c r="AJ313" s="201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</row>
    <row r="314" spans="1:63" ht="15" customHeight="1">
      <c r="A314" s="197"/>
      <c r="B314" s="197"/>
      <c r="C314" s="197"/>
      <c r="D314" s="197"/>
      <c r="E314" s="197"/>
      <c r="F314" s="197"/>
      <c r="G314" s="197"/>
      <c r="H314" s="197"/>
      <c r="I314" s="197"/>
      <c r="J314" s="197"/>
      <c r="K314" s="197"/>
      <c r="L314" s="197"/>
      <c r="M314" s="197"/>
      <c r="N314" s="197"/>
      <c r="O314" s="197"/>
      <c r="P314" s="197"/>
      <c r="Q314" s="197"/>
      <c r="R314" s="197"/>
      <c r="S314" s="197"/>
      <c r="T314" s="197"/>
      <c r="U314" s="197"/>
      <c r="V314" s="197"/>
      <c r="W314" s="197"/>
      <c r="X314" s="197"/>
      <c r="Y314" s="197"/>
      <c r="Z314" s="197"/>
      <c r="AA314" s="197"/>
      <c r="AB314" s="197"/>
      <c r="AC314" s="197"/>
      <c r="AD314" s="197"/>
      <c r="AE314" s="197"/>
      <c r="AF314" s="197"/>
      <c r="AG314" s="197"/>
      <c r="AH314" s="197"/>
      <c r="AI314" s="197"/>
      <c r="AJ314" s="201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</row>
    <row r="315" spans="1:63" ht="15" customHeight="1">
      <c r="A315" s="197"/>
      <c r="B315" s="197"/>
      <c r="C315" s="197"/>
      <c r="D315" s="197"/>
      <c r="E315" s="197"/>
      <c r="F315" s="197"/>
      <c r="G315" s="197"/>
      <c r="H315" s="197"/>
      <c r="I315" s="197"/>
      <c r="J315" s="197"/>
      <c r="K315" s="197"/>
      <c r="L315" s="197"/>
      <c r="M315" s="197"/>
      <c r="N315" s="197"/>
      <c r="O315" s="197"/>
      <c r="P315" s="197"/>
      <c r="Q315" s="197"/>
      <c r="R315" s="197"/>
      <c r="S315" s="197"/>
      <c r="T315" s="197"/>
      <c r="U315" s="197"/>
      <c r="V315" s="197"/>
      <c r="W315" s="197"/>
      <c r="X315" s="197"/>
      <c r="Y315" s="197"/>
      <c r="Z315" s="197"/>
      <c r="AA315" s="197"/>
      <c r="AB315" s="197"/>
      <c r="AC315" s="197"/>
      <c r="AD315" s="197"/>
      <c r="AE315" s="197"/>
      <c r="AF315" s="197"/>
      <c r="AG315" s="197"/>
      <c r="AH315" s="197"/>
      <c r="AI315" s="197"/>
      <c r="AJ315" s="201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</row>
    <row r="316" spans="1:63" ht="15" customHeight="1">
      <c r="A316" s="197"/>
      <c r="B316" s="197"/>
      <c r="C316" s="197"/>
      <c r="D316" s="197"/>
      <c r="E316" s="197"/>
      <c r="F316" s="197"/>
      <c r="G316" s="197"/>
      <c r="H316" s="197"/>
      <c r="I316" s="197"/>
      <c r="J316" s="197"/>
      <c r="K316" s="197"/>
      <c r="L316" s="197"/>
      <c r="M316" s="197"/>
      <c r="N316" s="197"/>
      <c r="O316" s="197"/>
      <c r="P316" s="197"/>
      <c r="Q316" s="197"/>
      <c r="R316" s="197"/>
      <c r="S316" s="197"/>
      <c r="T316" s="197"/>
      <c r="U316" s="197"/>
      <c r="V316" s="197"/>
      <c r="W316" s="197"/>
      <c r="X316" s="197"/>
      <c r="Y316" s="197"/>
      <c r="Z316" s="197"/>
      <c r="AA316" s="197"/>
      <c r="AB316" s="197"/>
      <c r="AC316" s="197"/>
      <c r="AD316" s="197"/>
      <c r="AE316" s="197"/>
      <c r="AF316" s="197"/>
      <c r="AG316" s="197"/>
      <c r="AH316" s="197"/>
      <c r="AI316" s="197"/>
      <c r="AJ316" s="201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</row>
    <row r="317" spans="1:63" ht="15" customHeight="1">
      <c r="A317" s="197"/>
      <c r="B317" s="197"/>
      <c r="C317" s="197"/>
      <c r="D317" s="197"/>
      <c r="E317" s="197"/>
      <c r="F317" s="197"/>
      <c r="G317" s="197"/>
      <c r="H317" s="197"/>
      <c r="I317" s="197"/>
      <c r="J317" s="197"/>
      <c r="K317" s="197"/>
      <c r="L317" s="197"/>
      <c r="M317" s="197"/>
      <c r="N317" s="197"/>
      <c r="O317" s="197"/>
      <c r="P317" s="197"/>
      <c r="Q317" s="197"/>
      <c r="R317" s="197"/>
      <c r="S317" s="197"/>
      <c r="T317" s="197"/>
      <c r="U317" s="197"/>
      <c r="V317" s="197"/>
      <c r="W317" s="197"/>
      <c r="X317" s="197"/>
      <c r="Y317" s="197"/>
      <c r="Z317" s="197"/>
      <c r="AA317" s="197"/>
      <c r="AB317" s="197"/>
      <c r="AC317" s="197"/>
      <c r="AD317" s="197"/>
      <c r="AE317" s="197"/>
      <c r="AF317" s="197"/>
      <c r="AG317" s="197"/>
      <c r="AH317" s="197"/>
      <c r="AI317" s="197"/>
      <c r="AJ317" s="201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</row>
    <row r="318" spans="1:63" ht="15" customHeight="1">
      <c r="A318" s="197"/>
      <c r="B318" s="197"/>
      <c r="C318" s="197"/>
      <c r="D318" s="197"/>
      <c r="E318" s="197"/>
      <c r="F318" s="197"/>
      <c r="G318" s="197"/>
      <c r="H318" s="197"/>
      <c r="I318" s="197"/>
      <c r="J318" s="197"/>
      <c r="K318" s="197"/>
      <c r="L318" s="197"/>
      <c r="M318" s="197"/>
      <c r="N318" s="197"/>
      <c r="O318" s="197"/>
      <c r="P318" s="197"/>
      <c r="Q318" s="197"/>
      <c r="R318" s="197"/>
      <c r="S318" s="197"/>
      <c r="T318" s="197"/>
      <c r="U318" s="197"/>
      <c r="V318" s="197"/>
      <c r="W318" s="197"/>
      <c r="X318" s="197"/>
      <c r="Y318" s="197"/>
      <c r="Z318" s="197"/>
      <c r="AA318" s="197"/>
      <c r="AB318" s="197"/>
      <c r="AC318" s="197"/>
      <c r="AD318" s="197"/>
      <c r="AE318" s="197"/>
      <c r="AF318" s="197"/>
      <c r="AG318" s="197"/>
      <c r="AH318" s="197"/>
      <c r="AI318" s="197"/>
      <c r="AJ318" s="201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</row>
    <row r="319" spans="1:63" ht="15" customHeight="1">
      <c r="A319" s="197"/>
      <c r="B319" s="197"/>
      <c r="C319" s="197"/>
      <c r="D319" s="197"/>
      <c r="E319" s="197"/>
      <c r="F319" s="197"/>
      <c r="G319" s="197"/>
      <c r="H319" s="197"/>
      <c r="I319" s="197"/>
      <c r="J319" s="197"/>
      <c r="K319" s="197"/>
      <c r="L319" s="197"/>
      <c r="M319" s="197"/>
      <c r="N319" s="197"/>
      <c r="O319" s="197"/>
      <c r="P319" s="197"/>
      <c r="Q319" s="197"/>
      <c r="R319" s="197"/>
      <c r="S319" s="197"/>
      <c r="T319" s="197"/>
      <c r="U319" s="197"/>
      <c r="V319" s="197"/>
      <c r="W319" s="197"/>
      <c r="X319" s="197"/>
      <c r="Y319" s="197"/>
      <c r="Z319" s="197"/>
      <c r="AA319" s="197"/>
      <c r="AB319" s="197"/>
      <c r="AC319" s="197"/>
      <c r="AD319" s="197"/>
      <c r="AE319" s="197"/>
      <c r="AF319" s="197"/>
      <c r="AG319" s="197"/>
      <c r="AH319" s="197"/>
      <c r="AI319" s="197"/>
      <c r="AJ319" s="201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</row>
    <row r="320" spans="1:63" ht="15" customHeight="1">
      <c r="A320" s="197"/>
      <c r="B320" s="197"/>
      <c r="C320" s="197"/>
      <c r="D320" s="197"/>
      <c r="E320" s="197"/>
      <c r="F320" s="197"/>
      <c r="G320" s="197"/>
      <c r="H320" s="197"/>
      <c r="I320" s="197"/>
      <c r="J320" s="197"/>
      <c r="K320" s="197"/>
      <c r="L320" s="197"/>
      <c r="M320" s="197"/>
      <c r="N320" s="197"/>
      <c r="O320" s="197"/>
      <c r="P320" s="197"/>
      <c r="Q320" s="197"/>
      <c r="R320" s="197"/>
      <c r="S320" s="197"/>
      <c r="T320" s="197"/>
      <c r="U320" s="197"/>
      <c r="V320" s="197"/>
      <c r="W320" s="197"/>
      <c r="X320" s="197"/>
      <c r="Y320" s="197"/>
      <c r="Z320" s="197"/>
      <c r="AA320" s="197"/>
      <c r="AB320" s="197"/>
      <c r="AC320" s="197"/>
      <c r="AD320" s="197"/>
      <c r="AE320" s="197"/>
      <c r="AF320" s="197"/>
      <c r="AG320" s="197"/>
      <c r="AH320" s="197"/>
      <c r="AI320" s="197"/>
      <c r="AJ320" s="201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</row>
    <row r="321" spans="1:63" ht="15" customHeight="1">
      <c r="A321" s="197"/>
      <c r="B321" s="197"/>
      <c r="C321" s="197"/>
      <c r="D321" s="197"/>
      <c r="E321" s="197"/>
      <c r="F321" s="197"/>
      <c r="G321" s="197"/>
      <c r="H321" s="197"/>
      <c r="I321" s="197"/>
      <c r="J321" s="197"/>
      <c r="K321" s="197"/>
      <c r="L321" s="197"/>
      <c r="M321" s="197"/>
      <c r="N321" s="197"/>
      <c r="O321" s="197"/>
      <c r="P321" s="197"/>
      <c r="Q321" s="197"/>
      <c r="R321" s="197"/>
      <c r="S321" s="197"/>
      <c r="T321" s="197"/>
      <c r="U321" s="197"/>
      <c r="V321" s="197"/>
      <c r="W321" s="197"/>
      <c r="X321" s="197"/>
      <c r="Y321" s="197"/>
      <c r="Z321" s="197"/>
      <c r="AA321" s="197"/>
      <c r="AB321" s="197"/>
      <c r="AC321" s="197"/>
      <c r="AD321" s="197"/>
      <c r="AE321" s="197"/>
      <c r="AF321" s="197"/>
      <c r="AG321" s="197"/>
      <c r="AH321" s="197"/>
      <c r="AI321" s="197"/>
      <c r="AJ321" s="201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</row>
    <row r="322" spans="1:63" ht="15" customHeight="1">
      <c r="A322" s="197"/>
      <c r="B322" s="197"/>
      <c r="C322" s="197"/>
      <c r="D322" s="197"/>
      <c r="E322" s="197"/>
      <c r="F322" s="197"/>
      <c r="G322" s="197"/>
      <c r="H322" s="197"/>
      <c r="I322" s="197"/>
      <c r="J322" s="197"/>
      <c r="K322" s="197"/>
      <c r="L322" s="197"/>
      <c r="M322" s="197"/>
      <c r="N322" s="197"/>
      <c r="O322" s="197"/>
      <c r="P322" s="197"/>
      <c r="Q322" s="197"/>
      <c r="R322" s="197"/>
      <c r="S322" s="197"/>
      <c r="T322" s="197"/>
      <c r="U322" s="197"/>
      <c r="V322" s="197"/>
      <c r="W322" s="197"/>
      <c r="X322" s="197"/>
      <c r="Y322" s="197"/>
      <c r="Z322" s="197"/>
      <c r="AA322" s="197"/>
      <c r="AB322" s="197"/>
      <c r="AC322" s="197"/>
      <c r="AD322" s="197"/>
      <c r="AE322" s="197"/>
      <c r="AF322" s="197"/>
      <c r="AG322" s="197"/>
      <c r="AH322" s="197"/>
      <c r="AI322" s="197"/>
      <c r="AJ322" s="201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</row>
    <row r="323" spans="1:63" ht="15" customHeight="1">
      <c r="A323" s="197"/>
      <c r="B323" s="197"/>
      <c r="C323" s="197"/>
      <c r="D323" s="197"/>
      <c r="E323" s="197"/>
      <c r="F323" s="197"/>
      <c r="G323" s="197"/>
      <c r="H323" s="197"/>
      <c r="I323" s="197"/>
      <c r="J323" s="197"/>
      <c r="K323" s="197"/>
      <c r="L323" s="197"/>
      <c r="M323" s="197"/>
      <c r="N323" s="197"/>
      <c r="O323" s="197"/>
      <c r="P323" s="197"/>
      <c r="Q323" s="197"/>
      <c r="R323" s="197"/>
      <c r="S323" s="197"/>
      <c r="T323" s="197"/>
      <c r="U323" s="197"/>
      <c r="V323" s="197"/>
      <c r="W323" s="197"/>
      <c r="X323" s="197"/>
      <c r="Y323" s="197"/>
      <c r="Z323" s="197"/>
      <c r="AA323" s="197"/>
      <c r="AB323" s="197"/>
      <c r="AC323" s="197"/>
      <c r="AD323" s="197"/>
      <c r="AE323" s="197"/>
      <c r="AF323" s="197"/>
      <c r="AG323" s="197"/>
      <c r="AH323" s="197"/>
      <c r="AI323" s="197"/>
      <c r="AJ323" s="201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</row>
    <row r="324" spans="1:63" ht="15" customHeight="1">
      <c r="A324" s="197"/>
      <c r="B324" s="197"/>
      <c r="C324" s="197"/>
      <c r="D324" s="197"/>
      <c r="E324" s="197"/>
      <c r="F324" s="197"/>
      <c r="G324" s="197"/>
      <c r="H324" s="197"/>
      <c r="I324" s="197"/>
      <c r="J324" s="197"/>
      <c r="K324" s="197"/>
      <c r="L324" s="197"/>
      <c r="M324" s="197"/>
      <c r="N324" s="197"/>
      <c r="O324" s="197"/>
      <c r="P324" s="197"/>
      <c r="Q324" s="197"/>
      <c r="R324" s="197"/>
      <c r="S324" s="197"/>
      <c r="T324" s="197"/>
      <c r="U324" s="197"/>
      <c r="V324" s="197"/>
      <c r="W324" s="197"/>
      <c r="X324" s="197"/>
      <c r="Y324" s="197"/>
      <c r="Z324" s="197"/>
      <c r="AA324" s="197"/>
      <c r="AB324" s="197"/>
      <c r="AC324" s="197"/>
      <c r="AD324" s="197"/>
      <c r="AE324" s="197"/>
      <c r="AF324" s="197"/>
      <c r="AG324" s="197"/>
      <c r="AH324" s="197"/>
      <c r="AI324" s="197"/>
      <c r="AJ324" s="201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</row>
    <row r="325" spans="1:63" ht="15" customHeight="1">
      <c r="A325" s="197"/>
      <c r="B325" s="197"/>
      <c r="C325" s="197"/>
      <c r="D325" s="197"/>
      <c r="E325" s="197"/>
      <c r="F325" s="197"/>
      <c r="G325" s="197"/>
      <c r="H325" s="197"/>
      <c r="I325" s="197"/>
      <c r="J325" s="197"/>
      <c r="K325" s="197"/>
      <c r="L325" s="197"/>
      <c r="M325" s="197"/>
      <c r="N325" s="197"/>
      <c r="O325" s="197"/>
      <c r="P325" s="197"/>
      <c r="Q325" s="197"/>
      <c r="R325" s="197"/>
      <c r="S325" s="197"/>
      <c r="T325" s="197"/>
      <c r="U325" s="197"/>
      <c r="V325" s="197"/>
      <c r="W325" s="197"/>
      <c r="X325" s="197"/>
      <c r="Y325" s="197"/>
      <c r="Z325" s="197"/>
      <c r="AA325" s="197"/>
      <c r="AB325" s="197"/>
      <c r="AC325" s="197"/>
      <c r="AD325" s="197"/>
      <c r="AE325" s="197"/>
      <c r="AF325" s="197"/>
      <c r="AG325" s="197"/>
      <c r="AH325" s="197"/>
      <c r="AI325" s="197"/>
      <c r="AJ325" s="201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</row>
    <row r="326" spans="1:63" ht="15" customHeight="1">
      <c r="A326" s="197"/>
      <c r="B326" s="197"/>
      <c r="C326" s="197"/>
      <c r="D326" s="197"/>
      <c r="E326" s="197"/>
      <c r="F326" s="197"/>
      <c r="G326" s="197"/>
      <c r="H326" s="197"/>
      <c r="I326" s="197"/>
      <c r="J326" s="197"/>
      <c r="K326" s="197"/>
      <c r="L326" s="197"/>
      <c r="M326" s="197"/>
      <c r="N326" s="197"/>
      <c r="O326" s="197"/>
      <c r="P326" s="197"/>
      <c r="Q326" s="197"/>
      <c r="R326" s="197"/>
      <c r="S326" s="197"/>
      <c r="T326" s="197"/>
      <c r="U326" s="197"/>
      <c r="V326" s="197"/>
      <c r="W326" s="197"/>
      <c r="X326" s="197"/>
      <c r="Y326" s="197"/>
      <c r="Z326" s="197"/>
      <c r="AA326" s="197"/>
      <c r="AB326" s="197"/>
      <c r="AC326" s="197"/>
      <c r="AD326" s="197"/>
      <c r="AE326" s="197"/>
      <c r="AF326" s="197"/>
      <c r="AG326" s="197"/>
      <c r="AH326" s="197"/>
      <c r="AI326" s="197"/>
      <c r="AJ326" s="201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</row>
    <row r="327" spans="1:63" ht="15" customHeight="1">
      <c r="A327" s="197"/>
      <c r="B327" s="197"/>
      <c r="C327" s="197"/>
      <c r="D327" s="197"/>
      <c r="E327" s="197"/>
      <c r="F327" s="197"/>
      <c r="G327" s="197"/>
      <c r="H327" s="197"/>
      <c r="I327" s="197"/>
      <c r="J327" s="197"/>
      <c r="K327" s="197"/>
      <c r="L327" s="197"/>
      <c r="M327" s="197"/>
      <c r="N327" s="197"/>
      <c r="O327" s="197"/>
      <c r="P327" s="197"/>
      <c r="Q327" s="197"/>
      <c r="R327" s="197"/>
      <c r="S327" s="197"/>
      <c r="T327" s="197"/>
      <c r="U327" s="197"/>
      <c r="V327" s="197"/>
      <c r="W327" s="197"/>
      <c r="X327" s="197"/>
      <c r="Y327" s="197"/>
      <c r="Z327" s="197"/>
      <c r="AA327" s="197"/>
      <c r="AB327" s="197"/>
      <c r="AC327" s="197"/>
      <c r="AD327" s="197"/>
      <c r="AE327" s="197"/>
      <c r="AF327" s="197"/>
      <c r="AG327" s="197"/>
      <c r="AH327" s="197"/>
      <c r="AI327" s="197"/>
      <c r="AJ327" s="201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</row>
    <row r="328" spans="1:63" ht="15" customHeight="1">
      <c r="A328" s="197"/>
      <c r="B328" s="197"/>
      <c r="C328" s="197"/>
      <c r="D328" s="197"/>
      <c r="E328" s="197"/>
      <c r="F328" s="197"/>
      <c r="G328" s="197"/>
      <c r="H328" s="197"/>
      <c r="I328" s="197"/>
      <c r="J328" s="197"/>
      <c r="K328" s="197"/>
      <c r="L328" s="197"/>
      <c r="M328" s="197"/>
      <c r="N328" s="197"/>
      <c r="O328" s="197"/>
      <c r="P328" s="197"/>
      <c r="Q328" s="197"/>
      <c r="R328" s="197"/>
      <c r="S328" s="197"/>
      <c r="T328" s="197"/>
      <c r="U328" s="197"/>
      <c r="V328" s="197"/>
      <c r="W328" s="197"/>
      <c r="X328" s="197"/>
      <c r="Y328" s="197"/>
      <c r="Z328" s="197"/>
      <c r="AA328" s="197"/>
      <c r="AB328" s="197"/>
      <c r="AC328" s="197"/>
      <c r="AD328" s="197"/>
      <c r="AE328" s="197"/>
      <c r="AF328" s="197"/>
      <c r="AG328" s="197"/>
      <c r="AH328" s="197"/>
      <c r="AI328" s="197"/>
      <c r="AJ328" s="201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</row>
    <row r="329" spans="1:63" ht="15" customHeight="1">
      <c r="A329" s="197"/>
      <c r="B329" s="197"/>
      <c r="C329" s="197"/>
      <c r="D329" s="197"/>
      <c r="E329" s="197"/>
      <c r="F329" s="197"/>
      <c r="G329" s="197"/>
      <c r="H329" s="197"/>
      <c r="I329" s="197"/>
      <c r="J329" s="197"/>
      <c r="K329" s="197"/>
      <c r="L329" s="197"/>
      <c r="M329" s="197"/>
      <c r="N329" s="197"/>
      <c r="O329" s="197"/>
      <c r="P329" s="197"/>
      <c r="Q329" s="197"/>
      <c r="R329" s="197"/>
      <c r="S329" s="197"/>
      <c r="T329" s="197"/>
      <c r="U329" s="197"/>
      <c r="V329" s="197"/>
      <c r="W329" s="197"/>
      <c r="X329" s="197"/>
      <c r="Y329" s="197"/>
      <c r="Z329" s="197"/>
      <c r="AA329" s="197"/>
      <c r="AB329" s="197"/>
      <c r="AC329" s="197"/>
      <c r="AD329" s="197"/>
      <c r="AE329" s="197"/>
      <c r="AF329" s="197"/>
      <c r="AG329" s="197"/>
      <c r="AH329" s="197"/>
      <c r="AI329" s="197"/>
      <c r="AJ329" s="201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</row>
    <row r="330" spans="1:63" ht="15" customHeight="1">
      <c r="A330" s="197"/>
      <c r="B330" s="197"/>
      <c r="C330" s="197"/>
      <c r="D330" s="197"/>
      <c r="E330" s="197"/>
      <c r="F330" s="197"/>
      <c r="G330" s="197"/>
      <c r="H330" s="197"/>
      <c r="I330" s="197"/>
      <c r="J330" s="197"/>
      <c r="K330" s="197"/>
      <c r="L330" s="197"/>
      <c r="M330" s="197"/>
      <c r="N330" s="197"/>
      <c r="O330" s="197"/>
      <c r="P330" s="197"/>
      <c r="Q330" s="197"/>
      <c r="R330" s="197"/>
      <c r="S330" s="197"/>
      <c r="T330" s="197"/>
      <c r="U330" s="197"/>
      <c r="V330" s="197"/>
      <c r="W330" s="197"/>
      <c r="X330" s="197"/>
      <c r="Y330" s="197"/>
      <c r="Z330" s="197"/>
      <c r="AA330" s="197"/>
      <c r="AB330" s="197"/>
      <c r="AC330" s="197"/>
      <c r="AD330" s="197"/>
      <c r="AE330" s="197"/>
      <c r="AF330" s="197"/>
      <c r="AG330" s="197"/>
      <c r="AH330" s="197"/>
      <c r="AI330" s="197"/>
      <c r="AJ330" s="201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</row>
    <row r="331" spans="1:63" ht="15" customHeight="1">
      <c r="A331" s="197"/>
      <c r="B331" s="197"/>
      <c r="C331" s="197"/>
      <c r="D331" s="197"/>
      <c r="E331" s="197"/>
      <c r="F331" s="197"/>
      <c r="G331" s="197"/>
      <c r="H331" s="197"/>
      <c r="I331" s="197"/>
      <c r="J331" s="197"/>
      <c r="K331" s="197"/>
      <c r="L331" s="197"/>
      <c r="M331" s="197"/>
      <c r="N331" s="197"/>
      <c r="O331" s="197"/>
      <c r="P331" s="197"/>
      <c r="Q331" s="197"/>
      <c r="R331" s="197"/>
      <c r="S331" s="197"/>
      <c r="T331" s="197"/>
      <c r="U331" s="197"/>
      <c r="V331" s="197"/>
      <c r="W331" s="197"/>
      <c r="X331" s="197"/>
      <c r="Y331" s="197"/>
      <c r="Z331" s="197"/>
      <c r="AA331" s="197"/>
      <c r="AB331" s="197"/>
      <c r="AC331" s="197"/>
      <c r="AD331" s="197"/>
      <c r="AE331" s="197"/>
      <c r="AF331" s="197"/>
      <c r="AG331" s="197"/>
      <c r="AH331" s="197"/>
      <c r="AI331" s="197"/>
      <c r="AJ331" s="201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</row>
    <row r="332" spans="1:63" ht="15" customHeight="1">
      <c r="A332" s="197"/>
      <c r="B332" s="197"/>
      <c r="C332" s="197"/>
      <c r="D332" s="197"/>
      <c r="E332" s="197"/>
      <c r="F332" s="197"/>
      <c r="G332" s="197"/>
      <c r="H332" s="197"/>
      <c r="I332" s="197"/>
      <c r="J332" s="197"/>
      <c r="K332" s="197"/>
      <c r="L332" s="197"/>
      <c r="M332" s="197"/>
      <c r="N332" s="197"/>
      <c r="O332" s="197"/>
      <c r="P332" s="197"/>
      <c r="Q332" s="197"/>
      <c r="R332" s="197"/>
      <c r="S332" s="197"/>
      <c r="T332" s="197"/>
      <c r="U332" s="197"/>
      <c r="V332" s="197"/>
      <c r="W332" s="197"/>
      <c r="X332" s="197"/>
      <c r="Y332" s="197"/>
      <c r="Z332" s="197"/>
      <c r="AA332" s="197"/>
      <c r="AB332" s="197"/>
      <c r="AC332" s="197"/>
      <c r="AD332" s="197"/>
      <c r="AE332" s="197"/>
      <c r="AF332" s="197"/>
      <c r="AG332" s="197"/>
      <c r="AH332" s="197"/>
      <c r="AI332" s="197"/>
      <c r="AJ332" s="201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</row>
    <row r="333" spans="1:63" ht="15" customHeight="1">
      <c r="A333" s="197"/>
      <c r="B333" s="197"/>
      <c r="C333" s="197"/>
      <c r="D333" s="197"/>
      <c r="E333" s="197"/>
      <c r="F333" s="197"/>
      <c r="G333" s="197"/>
      <c r="H333" s="197"/>
      <c r="I333" s="197"/>
      <c r="J333" s="197"/>
      <c r="K333" s="197"/>
      <c r="L333" s="197"/>
      <c r="M333" s="197"/>
      <c r="N333" s="197"/>
      <c r="O333" s="197"/>
      <c r="P333" s="197"/>
      <c r="Q333" s="197"/>
      <c r="R333" s="197"/>
      <c r="S333" s="197"/>
      <c r="T333" s="197"/>
      <c r="U333" s="197"/>
      <c r="V333" s="197"/>
      <c r="W333" s="197"/>
      <c r="X333" s="197"/>
      <c r="Y333" s="197"/>
      <c r="Z333" s="197"/>
      <c r="AA333" s="197"/>
      <c r="AB333" s="197"/>
      <c r="AC333" s="197"/>
      <c r="AD333" s="197"/>
      <c r="AE333" s="197"/>
      <c r="AF333" s="197"/>
      <c r="AG333" s="197"/>
      <c r="AH333" s="197"/>
      <c r="AI333" s="197"/>
      <c r="AJ333" s="201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</row>
    <row r="334" spans="1:63" ht="15" customHeight="1">
      <c r="A334" s="197"/>
      <c r="B334" s="197"/>
      <c r="C334" s="197"/>
      <c r="D334" s="197"/>
      <c r="E334" s="197"/>
      <c r="F334" s="197"/>
      <c r="G334" s="197"/>
      <c r="H334" s="197"/>
      <c r="I334" s="197"/>
      <c r="J334" s="197"/>
      <c r="K334" s="197"/>
      <c r="L334" s="197"/>
      <c r="M334" s="197"/>
      <c r="N334" s="197"/>
      <c r="O334" s="197"/>
      <c r="P334" s="197"/>
      <c r="Q334" s="197"/>
      <c r="R334" s="197"/>
      <c r="S334" s="197"/>
      <c r="T334" s="197"/>
      <c r="U334" s="197"/>
      <c r="V334" s="197"/>
      <c r="W334" s="197"/>
      <c r="X334" s="197"/>
      <c r="Y334" s="197"/>
      <c r="Z334" s="197"/>
      <c r="AA334" s="197"/>
      <c r="AB334" s="197"/>
      <c r="AC334" s="197"/>
      <c r="AD334" s="197"/>
      <c r="AE334" s="197"/>
      <c r="AF334" s="197"/>
      <c r="AG334" s="197"/>
      <c r="AH334" s="197"/>
      <c r="AI334" s="197"/>
      <c r="AJ334" s="201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</row>
    <row r="335" spans="1:63" ht="15" customHeight="1">
      <c r="A335" s="197"/>
      <c r="B335" s="197"/>
      <c r="C335" s="197"/>
      <c r="D335" s="197"/>
      <c r="E335" s="197"/>
      <c r="F335" s="197"/>
      <c r="G335" s="197"/>
      <c r="H335" s="197"/>
      <c r="I335" s="197"/>
      <c r="J335" s="197"/>
      <c r="K335" s="197"/>
      <c r="L335" s="197"/>
      <c r="M335" s="197"/>
      <c r="N335" s="197"/>
      <c r="O335" s="197"/>
      <c r="P335" s="197"/>
      <c r="Q335" s="197"/>
      <c r="R335" s="197"/>
      <c r="S335" s="197"/>
      <c r="T335" s="197"/>
      <c r="U335" s="197"/>
      <c r="V335" s="197"/>
      <c r="W335" s="197"/>
      <c r="X335" s="197"/>
      <c r="Y335" s="197"/>
      <c r="Z335" s="197"/>
      <c r="AA335" s="197"/>
      <c r="AB335" s="197"/>
      <c r="AC335" s="197"/>
      <c r="AD335" s="197"/>
      <c r="AE335" s="197"/>
      <c r="AF335" s="197"/>
      <c r="AG335" s="197"/>
      <c r="AH335" s="197"/>
      <c r="AI335" s="197"/>
      <c r="AJ335" s="201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</row>
    <row r="336" spans="1:63" ht="15" customHeight="1">
      <c r="A336" s="197"/>
      <c r="B336" s="197"/>
      <c r="C336" s="197"/>
      <c r="D336" s="197"/>
      <c r="E336" s="197"/>
      <c r="F336" s="197"/>
      <c r="G336" s="197"/>
      <c r="H336" s="197"/>
      <c r="I336" s="197"/>
      <c r="J336" s="197"/>
      <c r="K336" s="197"/>
      <c r="L336" s="197"/>
      <c r="M336" s="197"/>
      <c r="N336" s="197"/>
      <c r="O336" s="197"/>
      <c r="P336" s="197"/>
      <c r="Q336" s="197"/>
      <c r="R336" s="197"/>
      <c r="S336" s="197"/>
      <c r="T336" s="197"/>
      <c r="U336" s="197"/>
      <c r="V336" s="197"/>
      <c r="W336" s="197"/>
      <c r="X336" s="197"/>
      <c r="Y336" s="197"/>
      <c r="Z336" s="197"/>
      <c r="AA336" s="197"/>
      <c r="AB336" s="197"/>
      <c r="AC336" s="197"/>
      <c r="AD336" s="197"/>
      <c r="AE336" s="197"/>
      <c r="AF336" s="197"/>
      <c r="AG336" s="197"/>
      <c r="AH336" s="197"/>
      <c r="AI336" s="197"/>
      <c r="AJ336" s="201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</row>
    <row r="337" spans="1:63" ht="15" customHeight="1">
      <c r="A337" s="197"/>
      <c r="B337" s="197"/>
      <c r="C337" s="197"/>
      <c r="D337" s="197"/>
      <c r="E337" s="197"/>
      <c r="F337" s="197"/>
      <c r="G337" s="197"/>
      <c r="H337" s="197"/>
      <c r="I337" s="197"/>
      <c r="J337" s="197"/>
      <c r="K337" s="197"/>
      <c r="L337" s="197"/>
      <c r="M337" s="197"/>
      <c r="N337" s="197"/>
      <c r="O337" s="197"/>
      <c r="P337" s="197"/>
      <c r="Q337" s="197"/>
      <c r="R337" s="197"/>
      <c r="S337" s="197"/>
      <c r="T337" s="197"/>
      <c r="U337" s="197"/>
      <c r="V337" s="197"/>
      <c r="W337" s="197"/>
      <c r="X337" s="197"/>
      <c r="Y337" s="197"/>
      <c r="Z337" s="197"/>
      <c r="AA337" s="197"/>
      <c r="AB337" s="197"/>
      <c r="AC337" s="197"/>
      <c r="AD337" s="197"/>
      <c r="AE337" s="197"/>
      <c r="AF337" s="197"/>
      <c r="AG337" s="197"/>
      <c r="AH337" s="197"/>
      <c r="AI337" s="197"/>
      <c r="AJ337" s="201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</row>
    <row r="338" spans="1:63" ht="15" customHeight="1">
      <c r="A338" s="197"/>
      <c r="B338" s="197"/>
      <c r="C338" s="197"/>
      <c r="D338" s="197"/>
      <c r="E338" s="197"/>
      <c r="F338" s="197"/>
      <c r="G338" s="197"/>
      <c r="H338" s="197"/>
      <c r="I338" s="197"/>
      <c r="J338" s="197"/>
      <c r="K338" s="197"/>
      <c r="L338" s="197"/>
      <c r="M338" s="197"/>
      <c r="N338" s="197"/>
      <c r="O338" s="197"/>
      <c r="P338" s="197"/>
      <c r="Q338" s="197"/>
      <c r="R338" s="197"/>
      <c r="S338" s="197"/>
      <c r="T338" s="197"/>
      <c r="U338" s="197"/>
      <c r="V338" s="197"/>
      <c r="W338" s="197"/>
      <c r="X338" s="197"/>
      <c r="Y338" s="197"/>
      <c r="Z338" s="197"/>
      <c r="AA338" s="197"/>
      <c r="AB338" s="197"/>
      <c r="AC338" s="197"/>
      <c r="AD338" s="197"/>
      <c r="AE338" s="197"/>
      <c r="AF338" s="197"/>
      <c r="AG338" s="197"/>
      <c r="AH338" s="197"/>
      <c r="AI338" s="197"/>
      <c r="AJ338" s="201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</row>
    <row r="339" spans="1:63" ht="15" customHeight="1">
      <c r="A339" s="197"/>
      <c r="B339" s="197"/>
      <c r="C339" s="197"/>
      <c r="D339" s="197"/>
      <c r="E339" s="197"/>
      <c r="F339" s="197"/>
      <c r="G339" s="197"/>
      <c r="H339" s="197"/>
      <c r="I339" s="197"/>
      <c r="J339" s="197"/>
      <c r="K339" s="197"/>
      <c r="L339" s="197"/>
      <c r="M339" s="197"/>
      <c r="N339" s="197"/>
      <c r="O339" s="197"/>
      <c r="P339" s="197"/>
      <c r="Q339" s="197"/>
      <c r="R339" s="197"/>
      <c r="S339" s="197"/>
      <c r="T339" s="197"/>
      <c r="U339" s="197"/>
      <c r="V339" s="197"/>
      <c r="W339" s="197"/>
      <c r="X339" s="197"/>
      <c r="Y339" s="197"/>
      <c r="Z339" s="197"/>
      <c r="AA339" s="197"/>
      <c r="AB339" s="197"/>
      <c r="AC339" s="197"/>
      <c r="AD339" s="197"/>
      <c r="AE339" s="197"/>
      <c r="AF339" s="197"/>
      <c r="AG339" s="197"/>
      <c r="AH339" s="197"/>
      <c r="AI339" s="197"/>
      <c r="AJ339" s="201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</row>
    <row r="340" spans="1:63" ht="15" customHeight="1">
      <c r="A340" s="197"/>
      <c r="B340" s="197"/>
      <c r="C340" s="197"/>
      <c r="D340" s="197"/>
      <c r="E340" s="197"/>
      <c r="F340" s="197"/>
      <c r="G340" s="197"/>
      <c r="H340" s="197"/>
      <c r="I340" s="197"/>
      <c r="J340" s="197"/>
      <c r="K340" s="197"/>
      <c r="L340" s="197"/>
      <c r="M340" s="197"/>
      <c r="N340" s="197"/>
      <c r="O340" s="197"/>
      <c r="P340" s="197"/>
      <c r="Q340" s="197"/>
      <c r="R340" s="197"/>
      <c r="S340" s="197"/>
      <c r="T340" s="197"/>
      <c r="U340" s="197"/>
      <c r="V340" s="197"/>
      <c r="W340" s="197"/>
      <c r="X340" s="197"/>
      <c r="Y340" s="197"/>
      <c r="Z340" s="197"/>
      <c r="AA340" s="197"/>
      <c r="AB340" s="197"/>
      <c r="AC340" s="197"/>
      <c r="AD340" s="197"/>
      <c r="AE340" s="197"/>
      <c r="AF340" s="197"/>
      <c r="AG340" s="197"/>
      <c r="AH340" s="197"/>
      <c r="AI340" s="197"/>
      <c r="AJ340" s="201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</row>
    <row r="341" spans="1:63" ht="15" customHeight="1">
      <c r="A341" s="197"/>
      <c r="B341" s="197"/>
      <c r="C341" s="197"/>
      <c r="D341" s="197"/>
      <c r="E341" s="197"/>
      <c r="F341" s="197"/>
      <c r="G341" s="197"/>
      <c r="H341" s="197"/>
      <c r="I341" s="197"/>
      <c r="J341" s="197"/>
      <c r="K341" s="197"/>
      <c r="L341" s="197"/>
      <c r="M341" s="197"/>
      <c r="N341" s="197"/>
      <c r="O341" s="197"/>
      <c r="P341" s="197"/>
      <c r="Q341" s="197"/>
      <c r="R341" s="197"/>
      <c r="S341" s="197"/>
      <c r="T341" s="197"/>
      <c r="U341" s="197"/>
      <c r="V341" s="197"/>
      <c r="W341" s="197"/>
      <c r="X341" s="197"/>
      <c r="Y341" s="197"/>
      <c r="Z341" s="197"/>
      <c r="AA341" s="197"/>
      <c r="AB341" s="197"/>
      <c r="AC341" s="197"/>
      <c r="AD341" s="197"/>
      <c r="AE341" s="197"/>
      <c r="AF341" s="197"/>
      <c r="AG341" s="197"/>
      <c r="AH341" s="197"/>
      <c r="AI341" s="197"/>
      <c r="AJ341" s="201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</row>
    <row r="342" spans="1:63" ht="15" customHeight="1">
      <c r="A342" s="197"/>
      <c r="B342" s="197"/>
      <c r="C342" s="197"/>
      <c r="D342" s="197"/>
      <c r="E342" s="197"/>
      <c r="F342" s="197"/>
      <c r="G342" s="197"/>
      <c r="H342" s="197"/>
      <c r="I342" s="197"/>
      <c r="J342" s="197"/>
      <c r="K342" s="197"/>
      <c r="L342" s="197"/>
      <c r="M342" s="197"/>
      <c r="N342" s="197"/>
      <c r="O342" s="197"/>
      <c r="P342" s="197"/>
      <c r="Q342" s="197"/>
      <c r="R342" s="197"/>
      <c r="S342" s="197"/>
      <c r="T342" s="197"/>
      <c r="U342" s="197"/>
      <c r="V342" s="197"/>
      <c r="W342" s="197"/>
      <c r="X342" s="197"/>
      <c r="Y342" s="197"/>
      <c r="Z342" s="197"/>
      <c r="AA342" s="197"/>
      <c r="AB342" s="197"/>
      <c r="AC342" s="197"/>
      <c r="AD342" s="197"/>
      <c r="AE342" s="197"/>
      <c r="AF342" s="197"/>
      <c r="AG342" s="197"/>
      <c r="AH342" s="197"/>
      <c r="AI342" s="197"/>
      <c r="AJ342" s="201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</row>
    <row r="343" spans="1:63" ht="15" customHeight="1">
      <c r="A343" s="197"/>
      <c r="B343" s="197"/>
      <c r="C343" s="197"/>
      <c r="D343" s="197"/>
      <c r="E343" s="197"/>
      <c r="F343" s="197"/>
      <c r="G343" s="197"/>
      <c r="H343" s="197"/>
      <c r="I343" s="197"/>
      <c r="J343" s="197"/>
      <c r="K343" s="197"/>
      <c r="L343" s="197"/>
      <c r="M343" s="197"/>
      <c r="N343" s="197"/>
      <c r="O343" s="197"/>
      <c r="P343" s="197"/>
      <c r="Q343" s="197"/>
      <c r="R343" s="197"/>
      <c r="S343" s="197"/>
      <c r="T343" s="197"/>
      <c r="U343" s="197"/>
      <c r="V343" s="197"/>
      <c r="W343" s="197"/>
      <c r="X343" s="197"/>
      <c r="Y343" s="197"/>
      <c r="Z343" s="197"/>
      <c r="AA343" s="197"/>
      <c r="AB343" s="197"/>
      <c r="AC343" s="197"/>
      <c r="AD343" s="197"/>
      <c r="AE343" s="197"/>
      <c r="AF343" s="197"/>
      <c r="AG343" s="197"/>
      <c r="AH343" s="197"/>
      <c r="AI343" s="197"/>
      <c r="AJ343" s="201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</row>
    <row r="344" spans="1:63" ht="15" customHeight="1">
      <c r="A344" s="197"/>
      <c r="B344" s="197"/>
      <c r="C344" s="197"/>
      <c r="D344" s="197"/>
      <c r="E344" s="197"/>
      <c r="F344" s="197"/>
      <c r="G344" s="197"/>
      <c r="H344" s="197"/>
      <c r="I344" s="197"/>
      <c r="J344" s="197"/>
      <c r="K344" s="197"/>
      <c r="L344" s="197"/>
      <c r="M344" s="197"/>
      <c r="N344" s="197"/>
      <c r="O344" s="197"/>
      <c r="P344" s="197"/>
      <c r="Q344" s="197"/>
      <c r="R344" s="197"/>
      <c r="S344" s="197"/>
      <c r="T344" s="197"/>
      <c r="U344" s="197"/>
      <c r="V344" s="197"/>
      <c r="W344" s="197"/>
      <c r="X344" s="197"/>
      <c r="Y344" s="197"/>
      <c r="Z344" s="197"/>
      <c r="AA344" s="197"/>
      <c r="AB344" s="197"/>
      <c r="AC344" s="197"/>
      <c r="AD344" s="197"/>
      <c r="AE344" s="197"/>
      <c r="AF344" s="197"/>
      <c r="AG344" s="197"/>
      <c r="AH344" s="197"/>
      <c r="AI344" s="197"/>
      <c r="AJ344" s="201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</row>
    <row r="345" spans="1:63" ht="15" customHeight="1">
      <c r="A345" s="197"/>
      <c r="B345" s="197"/>
      <c r="C345" s="197"/>
      <c r="D345" s="197"/>
      <c r="E345" s="197"/>
      <c r="F345" s="197"/>
      <c r="G345" s="197"/>
      <c r="H345" s="197"/>
      <c r="I345" s="197"/>
      <c r="J345" s="197"/>
      <c r="K345" s="197"/>
      <c r="L345" s="197"/>
      <c r="M345" s="197"/>
      <c r="N345" s="197"/>
      <c r="O345" s="197"/>
      <c r="P345" s="197"/>
      <c r="Q345" s="197"/>
      <c r="R345" s="197"/>
      <c r="S345" s="197"/>
      <c r="T345" s="197"/>
      <c r="U345" s="197"/>
      <c r="V345" s="197"/>
      <c r="W345" s="197"/>
      <c r="X345" s="197"/>
      <c r="Y345" s="197"/>
      <c r="Z345" s="197"/>
      <c r="AA345" s="197"/>
      <c r="AB345" s="197"/>
      <c r="AC345" s="197"/>
      <c r="AD345" s="197"/>
      <c r="AE345" s="197"/>
      <c r="AF345" s="197"/>
      <c r="AG345" s="197"/>
      <c r="AH345" s="197"/>
      <c r="AI345" s="197"/>
      <c r="AJ345" s="201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</row>
    <row r="346" spans="1:63" ht="15" customHeight="1">
      <c r="A346" s="197"/>
      <c r="B346" s="197"/>
      <c r="C346" s="197"/>
      <c r="D346" s="197"/>
      <c r="E346" s="197"/>
      <c r="F346" s="197"/>
      <c r="G346" s="197"/>
      <c r="H346" s="197"/>
      <c r="I346" s="197"/>
      <c r="J346" s="197"/>
      <c r="K346" s="197"/>
      <c r="L346" s="197"/>
      <c r="M346" s="197"/>
      <c r="N346" s="197"/>
      <c r="O346" s="197"/>
      <c r="P346" s="197"/>
      <c r="Q346" s="197"/>
      <c r="R346" s="197"/>
      <c r="S346" s="197"/>
      <c r="T346" s="197"/>
      <c r="U346" s="197"/>
      <c r="V346" s="197"/>
      <c r="W346" s="197"/>
      <c r="X346" s="197"/>
      <c r="Y346" s="197"/>
      <c r="Z346" s="197"/>
      <c r="AA346" s="197"/>
      <c r="AB346" s="197"/>
      <c r="AC346" s="197"/>
      <c r="AD346" s="197"/>
      <c r="AE346" s="197"/>
      <c r="AF346" s="197"/>
      <c r="AG346" s="197"/>
      <c r="AH346" s="197"/>
      <c r="AI346" s="197"/>
      <c r="AJ346" s="201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</row>
    <row r="347" spans="1:63" ht="15" customHeight="1">
      <c r="A347" s="197"/>
      <c r="B347" s="197"/>
      <c r="C347" s="197"/>
      <c r="D347" s="197"/>
      <c r="E347" s="197"/>
      <c r="F347" s="197"/>
      <c r="G347" s="197"/>
      <c r="H347" s="197"/>
      <c r="I347" s="197"/>
      <c r="J347" s="197"/>
      <c r="K347" s="197"/>
      <c r="L347" s="197"/>
      <c r="M347" s="197"/>
      <c r="N347" s="197"/>
      <c r="O347" s="197"/>
      <c r="P347" s="197"/>
      <c r="Q347" s="197"/>
      <c r="R347" s="197"/>
      <c r="S347" s="197"/>
      <c r="T347" s="197"/>
      <c r="U347" s="197"/>
      <c r="V347" s="197"/>
      <c r="W347" s="197"/>
      <c r="X347" s="197"/>
      <c r="Y347" s="197"/>
      <c r="Z347" s="197"/>
      <c r="AA347" s="197"/>
      <c r="AB347" s="197"/>
      <c r="AC347" s="197"/>
      <c r="AD347" s="197"/>
      <c r="AE347" s="197"/>
      <c r="AF347" s="197"/>
      <c r="AG347" s="197"/>
      <c r="AH347" s="197"/>
      <c r="AI347" s="197"/>
      <c r="AJ347" s="201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</row>
    <row r="348" spans="1:63" ht="15" customHeight="1">
      <c r="A348" s="197"/>
      <c r="B348" s="197"/>
      <c r="C348" s="197"/>
      <c r="D348" s="197"/>
      <c r="E348" s="197"/>
      <c r="F348" s="197"/>
      <c r="G348" s="197"/>
      <c r="H348" s="197"/>
      <c r="I348" s="197"/>
      <c r="J348" s="197"/>
      <c r="K348" s="197"/>
      <c r="L348" s="197"/>
      <c r="M348" s="197"/>
      <c r="N348" s="197"/>
      <c r="O348" s="197"/>
      <c r="P348" s="197"/>
      <c r="Q348" s="197"/>
      <c r="R348" s="197"/>
      <c r="S348" s="197"/>
      <c r="T348" s="197"/>
      <c r="U348" s="197"/>
      <c r="V348" s="197"/>
      <c r="W348" s="197"/>
      <c r="X348" s="197"/>
      <c r="Y348" s="197"/>
      <c r="Z348" s="197"/>
      <c r="AA348" s="197"/>
      <c r="AB348" s="197"/>
      <c r="AC348" s="197"/>
      <c r="AD348" s="197"/>
      <c r="AE348" s="197"/>
      <c r="AF348" s="197"/>
      <c r="AG348" s="197"/>
      <c r="AH348" s="197"/>
      <c r="AI348" s="197"/>
      <c r="AJ348" s="201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</row>
    <row r="349" spans="1:63" ht="15" customHeight="1">
      <c r="A349" s="197"/>
      <c r="B349" s="197"/>
      <c r="C349" s="197"/>
      <c r="D349" s="197"/>
      <c r="E349" s="197"/>
      <c r="F349" s="197"/>
      <c r="G349" s="197"/>
      <c r="H349" s="197"/>
      <c r="I349" s="197"/>
      <c r="J349" s="197"/>
      <c r="K349" s="197"/>
      <c r="L349" s="197"/>
      <c r="M349" s="197"/>
      <c r="N349" s="197"/>
      <c r="O349" s="197"/>
      <c r="P349" s="197"/>
      <c r="Q349" s="197"/>
      <c r="R349" s="197"/>
      <c r="S349" s="197"/>
      <c r="T349" s="197"/>
      <c r="U349" s="197"/>
      <c r="V349" s="197"/>
      <c r="W349" s="197"/>
      <c r="X349" s="197"/>
      <c r="Y349" s="197"/>
      <c r="Z349" s="197"/>
      <c r="AA349" s="197"/>
      <c r="AB349" s="197"/>
      <c r="AC349" s="197"/>
      <c r="AD349" s="197"/>
      <c r="AE349" s="197"/>
      <c r="AF349" s="197"/>
      <c r="AG349" s="197"/>
      <c r="AH349" s="197"/>
      <c r="AI349" s="197"/>
      <c r="AJ349" s="201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</row>
    <row r="350" spans="1:63" ht="15" customHeight="1">
      <c r="A350" s="197"/>
      <c r="B350" s="197"/>
      <c r="C350" s="197"/>
      <c r="D350" s="197"/>
      <c r="E350" s="197"/>
      <c r="F350" s="197"/>
      <c r="G350" s="197"/>
      <c r="H350" s="197"/>
      <c r="I350" s="197"/>
      <c r="J350" s="197"/>
      <c r="K350" s="197"/>
      <c r="L350" s="197"/>
      <c r="M350" s="197"/>
      <c r="N350" s="197"/>
      <c r="O350" s="197"/>
      <c r="P350" s="197"/>
      <c r="Q350" s="197"/>
      <c r="R350" s="197"/>
      <c r="S350" s="197"/>
      <c r="T350" s="197"/>
      <c r="U350" s="197"/>
      <c r="V350" s="197"/>
      <c r="W350" s="197"/>
      <c r="X350" s="197"/>
      <c r="Y350" s="197"/>
      <c r="Z350" s="197"/>
      <c r="AA350" s="197"/>
      <c r="AB350" s="197"/>
      <c r="AC350" s="197"/>
      <c r="AD350" s="197"/>
      <c r="AE350" s="197"/>
      <c r="AF350" s="197"/>
      <c r="AG350" s="197"/>
      <c r="AH350" s="197"/>
      <c r="AI350" s="197"/>
      <c r="AJ350" s="201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</row>
    <row r="351" spans="1:63" ht="15" customHeight="1">
      <c r="A351" s="197"/>
      <c r="B351" s="197"/>
      <c r="C351" s="197"/>
      <c r="D351" s="197"/>
      <c r="E351" s="197"/>
      <c r="F351" s="197"/>
      <c r="G351" s="197"/>
      <c r="H351" s="197"/>
      <c r="I351" s="197"/>
      <c r="J351" s="197"/>
      <c r="K351" s="197"/>
      <c r="L351" s="197"/>
      <c r="M351" s="197"/>
      <c r="N351" s="197"/>
      <c r="O351" s="197"/>
      <c r="P351" s="197"/>
      <c r="Q351" s="197"/>
      <c r="R351" s="197"/>
      <c r="S351" s="197"/>
      <c r="T351" s="197"/>
      <c r="U351" s="197"/>
      <c r="V351" s="197"/>
      <c r="W351" s="197"/>
      <c r="X351" s="197"/>
      <c r="Y351" s="197"/>
      <c r="Z351" s="197"/>
      <c r="AA351" s="197"/>
      <c r="AB351" s="197"/>
      <c r="AC351" s="197"/>
      <c r="AD351" s="197"/>
      <c r="AE351" s="197"/>
      <c r="AF351" s="197"/>
      <c r="AG351" s="197"/>
      <c r="AH351" s="197"/>
      <c r="AI351" s="197"/>
      <c r="AJ351" s="201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</row>
    <row r="352" spans="1:63" ht="15" customHeight="1">
      <c r="A352" s="197"/>
      <c r="B352" s="197"/>
      <c r="C352" s="197"/>
      <c r="D352" s="197"/>
      <c r="E352" s="197"/>
      <c r="F352" s="197"/>
      <c r="G352" s="197"/>
      <c r="H352" s="197"/>
      <c r="I352" s="197"/>
      <c r="J352" s="197"/>
      <c r="K352" s="197"/>
      <c r="L352" s="197"/>
      <c r="M352" s="197"/>
      <c r="N352" s="197"/>
      <c r="O352" s="197"/>
      <c r="P352" s="197"/>
      <c r="Q352" s="197"/>
      <c r="R352" s="197"/>
      <c r="S352" s="197"/>
      <c r="T352" s="197"/>
      <c r="U352" s="197"/>
      <c r="V352" s="197"/>
      <c r="W352" s="197"/>
      <c r="X352" s="197"/>
      <c r="Y352" s="197"/>
      <c r="Z352" s="197"/>
      <c r="AA352" s="197"/>
      <c r="AB352" s="197"/>
      <c r="AC352" s="197"/>
      <c r="AD352" s="197"/>
      <c r="AE352" s="197"/>
      <c r="AF352" s="197"/>
      <c r="AG352" s="197"/>
      <c r="AH352" s="197"/>
      <c r="AI352" s="197"/>
      <c r="AJ352" s="201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</row>
    <row r="353" spans="1:63" ht="15" customHeight="1">
      <c r="A353" s="197"/>
      <c r="B353" s="197"/>
      <c r="C353" s="197"/>
      <c r="D353" s="197"/>
      <c r="E353" s="197"/>
      <c r="F353" s="197"/>
      <c r="G353" s="197"/>
      <c r="H353" s="197"/>
      <c r="I353" s="197"/>
      <c r="J353" s="197"/>
      <c r="K353" s="197"/>
      <c r="L353" s="197"/>
      <c r="M353" s="197"/>
      <c r="N353" s="197"/>
      <c r="O353" s="197"/>
      <c r="P353" s="197"/>
      <c r="Q353" s="197"/>
      <c r="R353" s="197"/>
      <c r="S353" s="197"/>
      <c r="T353" s="197"/>
      <c r="U353" s="197"/>
      <c r="V353" s="197"/>
      <c r="W353" s="197"/>
      <c r="X353" s="197"/>
      <c r="Y353" s="197"/>
      <c r="Z353" s="197"/>
      <c r="AA353" s="197"/>
      <c r="AB353" s="197"/>
      <c r="AC353" s="197"/>
      <c r="AD353" s="197"/>
      <c r="AE353" s="197"/>
      <c r="AF353" s="197"/>
      <c r="AG353" s="197"/>
      <c r="AH353" s="197"/>
      <c r="AI353" s="197"/>
      <c r="AJ353" s="201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</row>
    <row r="354" spans="1:63" ht="15" customHeight="1">
      <c r="A354" s="197"/>
      <c r="B354" s="197"/>
      <c r="C354" s="197"/>
      <c r="D354" s="197"/>
      <c r="E354" s="197"/>
      <c r="F354" s="197"/>
      <c r="G354" s="197"/>
      <c r="H354" s="197"/>
      <c r="I354" s="197"/>
      <c r="J354" s="197"/>
      <c r="K354" s="197"/>
      <c r="L354" s="197"/>
      <c r="M354" s="197"/>
      <c r="N354" s="197"/>
      <c r="O354" s="197"/>
      <c r="P354" s="197"/>
      <c r="Q354" s="197"/>
      <c r="R354" s="197"/>
      <c r="S354" s="197"/>
      <c r="T354" s="197"/>
      <c r="U354" s="197"/>
      <c r="V354" s="197"/>
      <c r="W354" s="197"/>
      <c r="X354" s="197"/>
      <c r="Y354" s="197"/>
      <c r="Z354" s="197"/>
      <c r="AA354" s="197"/>
      <c r="AB354" s="197"/>
      <c r="AC354" s="197"/>
      <c r="AD354" s="197"/>
      <c r="AE354" s="197"/>
      <c r="AF354" s="197"/>
      <c r="AG354" s="197"/>
      <c r="AH354" s="197"/>
      <c r="AI354" s="197"/>
      <c r="AJ354" s="201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</row>
    <row r="355" spans="1:63" ht="15" customHeight="1">
      <c r="A355" s="197"/>
      <c r="B355" s="197"/>
      <c r="C355" s="197"/>
      <c r="D355" s="197"/>
      <c r="E355" s="197"/>
      <c r="F355" s="197"/>
      <c r="G355" s="197"/>
      <c r="H355" s="197"/>
      <c r="I355" s="197"/>
      <c r="J355" s="197"/>
      <c r="K355" s="197"/>
      <c r="L355" s="197"/>
      <c r="M355" s="197"/>
      <c r="N355" s="197"/>
      <c r="O355" s="197"/>
      <c r="P355" s="197"/>
      <c r="Q355" s="197"/>
      <c r="R355" s="197"/>
      <c r="S355" s="197"/>
      <c r="T355" s="197"/>
      <c r="U355" s="197"/>
      <c r="V355" s="197"/>
      <c r="W355" s="197"/>
      <c r="X355" s="197"/>
      <c r="Y355" s="197"/>
      <c r="Z355" s="197"/>
      <c r="AA355" s="197"/>
      <c r="AB355" s="197"/>
      <c r="AC355" s="197"/>
      <c r="AD355" s="197"/>
      <c r="AE355" s="197"/>
      <c r="AF355" s="197"/>
      <c r="AG355" s="197"/>
      <c r="AH355" s="197"/>
      <c r="AI355" s="197"/>
      <c r="AJ355" s="201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</row>
    <row r="356" spans="1:63" ht="15" customHeight="1">
      <c r="A356" s="197"/>
      <c r="B356" s="197"/>
      <c r="C356" s="197"/>
      <c r="D356" s="197"/>
      <c r="E356" s="197"/>
      <c r="F356" s="197"/>
      <c r="G356" s="197"/>
      <c r="H356" s="197"/>
      <c r="I356" s="197"/>
      <c r="J356" s="197"/>
      <c r="K356" s="197"/>
      <c r="L356" s="197"/>
      <c r="M356" s="197"/>
      <c r="N356" s="197"/>
      <c r="O356" s="197"/>
      <c r="P356" s="197"/>
      <c r="Q356" s="197"/>
      <c r="R356" s="197"/>
      <c r="S356" s="197"/>
      <c r="T356" s="197"/>
      <c r="U356" s="197"/>
      <c r="V356" s="197"/>
      <c r="W356" s="197"/>
      <c r="X356" s="197"/>
      <c r="Y356" s="197"/>
      <c r="Z356" s="197"/>
      <c r="AA356" s="197"/>
      <c r="AB356" s="197"/>
      <c r="AC356" s="197"/>
      <c r="AD356" s="197"/>
      <c r="AE356" s="197"/>
      <c r="AF356" s="197"/>
      <c r="AG356" s="197"/>
      <c r="AH356" s="197"/>
      <c r="AI356" s="197"/>
      <c r="AJ356" s="201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</row>
    <row r="357" spans="1:63" ht="15" customHeight="1">
      <c r="A357" s="197"/>
      <c r="B357" s="197"/>
      <c r="C357" s="197"/>
      <c r="D357" s="197"/>
      <c r="E357" s="197"/>
      <c r="F357" s="197"/>
      <c r="G357" s="197"/>
      <c r="H357" s="197"/>
      <c r="I357" s="197"/>
      <c r="J357" s="197"/>
      <c r="K357" s="197"/>
      <c r="L357" s="197"/>
      <c r="M357" s="197"/>
      <c r="N357" s="197"/>
      <c r="O357" s="197"/>
      <c r="P357" s="197"/>
      <c r="Q357" s="197"/>
      <c r="R357" s="197"/>
      <c r="S357" s="197"/>
      <c r="T357" s="197"/>
      <c r="U357" s="197"/>
      <c r="V357" s="197"/>
      <c r="W357" s="197"/>
      <c r="X357" s="197"/>
      <c r="Y357" s="197"/>
      <c r="Z357" s="197"/>
      <c r="AA357" s="197"/>
      <c r="AB357" s="197"/>
      <c r="AC357" s="197"/>
      <c r="AD357" s="197"/>
      <c r="AE357" s="197"/>
      <c r="AF357" s="197"/>
      <c r="AG357" s="197"/>
      <c r="AH357" s="197"/>
      <c r="AI357" s="197"/>
      <c r="AJ357" s="201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</row>
    <row r="358" spans="1:63" ht="15" customHeight="1">
      <c r="A358" s="197"/>
      <c r="B358" s="197"/>
      <c r="C358" s="197"/>
      <c r="D358" s="197"/>
      <c r="E358" s="197"/>
      <c r="F358" s="197"/>
      <c r="G358" s="197"/>
      <c r="H358" s="197"/>
      <c r="I358" s="197"/>
      <c r="J358" s="197"/>
      <c r="K358" s="197"/>
      <c r="L358" s="197"/>
      <c r="M358" s="197"/>
      <c r="N358" s="197"/>
      <c r="O358" s="197"/>
      <c r="P358" s="197"/>
      <c r="Q358" s="197"/>
      <c r="R358" s="197"/>
      <c r="S358" s="197"/>
      <c r="T358" s="197"/>
      <c r="U358" s="197"/>
      <c r="V358" s="197"/>
      <c r="W358" s="197"/>
      <c r="X358" s="197"/>
      <c r="Y358" s="197"/>
      <c r="Z358" s="197"/>
      <c r="AA358" s="197"/>
      <c r="AB358" s="197"/>
      <c r="AC358" s="197"/>
      <c r="AD358" s="197"/>
      <c r="AE358" s="197"/>
      <c r="AF358" s="197"/>
      <c r="AG358" s="197"/>
      <c r="AH358" s="197"/>
      <c r="AI358" s="197"/>
      <c r="AJ358" s="201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</row>
    <row r="359" spans="1:63" ht="15" customHeight="1">
      <c r="A359" s="197"/>
      <c r="B359" s="197"/>
      <c r="C359" s="197"/>
      <c r="D359" s="197"/>
      <c r="E359" s="197"/>
      <c r="F359" s="197"/>
      <c r="G359" s="197"/>
      <c r="H359" s="197"/>
      <c r="I359" s="197"/>
      <c r="J359" s="197"/>
      <c r="K359" s="197"/>
      <c r="L359" s="197"/>
      <c r="M359" s="197"/>
      <c r="N359" s="197"/>
      <c r="O359" s="197"/>
      <c r="P359" s="197"/>
      <c r="Q359" s="197"/>
      <c r="R359" s="197"/>
      <c r="S359" s="197"/>
      <c r="T359" s="197"/>
      <c r="U359" s="197"/>
      <c r="V359" s="197"/>
      <c r="W359" s="197"/>
      <c r="X359" s="197"/>
      <c r="Y359" s="197"/>
      <c r="Z359" s="197"/>
      <c r="AA359" s="197"/>
      <c r="AB359" s="197"/>
      <c r="AC359" s="197"/>
      <c r="AD359" s="197"/>
      <c r="AE359" s="197"/>
      <c r="AF359" s="197"/>
      <c r="AG359" s="197"/>
      <c r="AH359" s="197"/>
      <c r="AI359" s="197"/>
      <c r="AJ359" s="201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</row>
    <row r="360" spans="1:63" ht="15" customHeight="1">
      <c r="A360" s="197"/>
      <c r="B360" s="197"/>
      <c r="C360" s="197"/>
      <c r="D360" s="197"/>
      <c r="E360" s="197"/>
      <c r="F360" s="197"/>
      <c r="G360" s="197"/>
      <c r="H360" s="197"/>
      <c r="I360" s="197"/>
      <c r="J360" s="197"/>
      <c r="K360" s="197"/>
      <c r="L360" s="197"/>
      <c r="M360" s="197"/>
      <c r="N360" s="197"/>
      <c r="O360" s="197"/>
      <c r="P360" s="197"/>
      <c r="Q360" s="197"/>
      <c r="R360" s="197"/>
      <c r="S360" s="197"/>
      <c r="T360" s="197"/>
      <c r="U360" s="197"/>
      <c r="V360" s="197"/>
      <c r="W360" s="197"/>
      <c r="X360" s="197"/>
      <c r="Y360" s="197"/>
      <c r="Z360" s="197"/>
      <c r="AA360" s="197"/>
      <c r="AB360" s="197"/>
      <c r="AC360" s="197"/>
      <c r="AD360" s="197"/>
      <c r="AE360" s="197"/>
      <c r="AF360" s="197"/>
      <c r="AG360" s="197"/>
      <c r="AH360" s="197"/>
      <c r="AI360" s="197"/>
      <c r="AJ360" s="201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</row>
    <row r="361" spans="1:63" ht="15" customHeight="1">
      <c r="A361" s="197"/>
      <c r="B361" s="197"/>
      <c r="C361" s="197"/>
      <c r="D361" s="197"/>
      <c r="E361" s="197"/>
      <c r="F361" s="197"/>
      <c r="G361" s="197"/>
      <c r="H361" s="197"/>
      <c r="I361" s="197"/>
      <c r="J361" s="197"/>
      <c r="K361" s="197"/>
      <c r="L361" s="197"/>
      <c r="M361" s="197"/>
      <c r="N361" s="197"/>
      <c r="O361" s="197"/>
      <c r="P361" s="197"/>
      <c r="Q361" s="197"/>
      <c r="R361" s="197"/>
      <c r="S361" s="197"/>
      <c r="T361" s="197"/>
      <c r="U361" s="197"/>
      <c r="V361" s="197"/>
      <c r="W361" s="197"/>
      <c r="X361" s="197"/>
      <c r="Y361" s="197"/>
      <c r="Z361" s="197"/>
      <c r="AA361" s="197"/>
      <c r="AB361" s="197"/>
      <c r="AC361" s="197"/>
      <c r="AD361" s="197"/>
      <c r="AE361" s="197"/>
      <c r="AF361" s="197"/>
      <c r="AG361" s="197"/>
      <c r="AH361" s="197"/>
      <c r="AI361" s="197"/>
      <c r="AJ361" s="201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</row>
    <row r="362" spans="1:63" ht="15" customHeight="1">
      <c r="A362" s="197"/>
      <c r="B362" s="197"/>
      <c r="C362" s="197"/>
      <c r="D362" s="197"/>
      <c r="E362" s="197"/>
      <c r="F362" s="197"/>
      <c r="G362" s="197"/>
      <c r="H362" s="197"/>
      <c r="I362" s="197"/>
      <c r="J362" s="197"/>
      <c r="K362" s="197"/>
      <c r="L362" s="197"/>
      <c r="M362" s="197"/>
      <c r="N362" s="197"/>
      <c r="O362" s="197"/>
      <c r="P362" s="197"/>
      <c r="Q362" s="197"/>
      <c r="R362" s="197"/>
      <c r="S362" s="197"/>
      <c r="T362" s="197"/>
      <c r="U362" s="197"/>
      <c r="V362" s="197"/>
      <c r="W362" s="197"/>
      <c r="X362" s="197"/>
      <c r="Y362" s="197"/>
      <c r="Z362" s="197"/>
      <c r="AA362" s="197"/>
      <c r="AB362" s="197"/>
      <c r="AC362" s="197"/>
      <c r="AD362" s="197"/>
      <c r="AE362" s="197"/>
      <c r="AF362" s="197"/>
      <c r="AG362" s="197"/>
      <c r="AH362" s="197"/>
      <c r="AI362" s="197"/>
      <c r="AJ362" s="201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</row>
    <row r="363" spans="1:63" ht="15" customHeight="1">
      <c r="A363" s="197"/>
      <c r="B363" s="197"/>
      <c r="C363" s="197"/>
      <c r="D363" s="197"/>
      <c r="E363" s="197"/>
      <c r="F363" s="197"/>
      <c r="G363" s="197"/>
      <c r="H363" s="197"/>
      <c r="I363" s="197"/>
      <c r="J363" s="197"/>
      <c r="K363" s="197"/>
      <c r="L363" s="197"/>
      <c r="M363" s="197"/>
      <c r="N363" s="197"/>
      <c r="O363" s="197"/>
      <c r="P363" s="197"/>
      <c r="Q363" s="197"/>
      <c r="R363" s="197"/>
      <c r="S363" s="197"/>
      <c r="T363" s="197"/>
      <c r="U363" s="197"/>
      <c r="V363" s="197"/>
      <c r="W363" s="197"/>
      <c r="X363" s="197"/>
      <c r="Y363" s="197"/>
      <c r="Z363" s="197"/>
      <c r="AA363" s="197"/>
      <c r="AB363" s="197"/>
      <c r="AC363" s="197"/>
      <c r="AD363" s="197"/>
      <c r="AE363" s="197"/>
      <c r="AF363" s="197"/>
      <c r="AG363" s="197"/>
      <c r="AH363" s="197"/>
      <c r="AI363" s="197"/>
      <c r="AJ363" s="201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</row>
    <row r="364" spans="1:63" ht="15" customHeight="1">
      <c r="A364" s="197"/>
      <c r="B364" s="197"/>
      <c r="C364" s="197"/>
      <c r="D364" s="197"/>
      <c r="E364" s="197"/>
      <c r="F364" s="197"/>
      <c r="G364" s="197"/>
      <c r="H364" s="197"/>
      <c r="I364" s="197"/>
      <c r="J364" s="197"/>
      <c r="K364" s="197"/>
      <c r="L364" s="197"/>
      <c r="M364" s="197"/>
      <c r="N364" s="197"/>
      <c r="O364" s="197"/>
      <c r="P364" s="197"/>
      <c r="Q364" s="197"/>
      <c r="R364" s="197"/>
      <c r="S364" s="197"/>
      <c r="T364" s="197"/>
      <c r="U364" s="197"/>
      <c r="V364" s="197"/>
      <c r="W364" s="197"/>
      <c r="X364" s="197"/>
      <c r="Y364" s="197"/>
      <c r="Z364" s="197"/>
      <c r="AA364" s="197"/>
      <c r="AB364" s="197"/>
      <c r="AC364" s="197"/>
      <c r="AD364" s="197"/>
      <c r="AE364" s="197"/>
      <c r="AF364" s="197"/>
      <c r="AG364" s="197"/>
      <c r="AH364" s="197"/>
      <c r="AI364" s="197"/>
      <c r="AJ364" s="201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</row>
    <row r="365" spans="1:63" ht="15" customHeight="1">
      <c r="A365" s="197"/>
      <c r="B365" s="197"/>
      <c r="C365" s="197"/>
      <c r="D365" s="197"/>
      <c r="E365" s="197"/>
      <c r="F365" s="197"/>
      <c r="G365" s="197"/>
      <c r="H365" s="197"/>
      <c r="I365" s="197"/>
      <c r="J365" s="197"/>
      <c r="K365" s="197"/>
      <c r="L365" s="197"/>
      <c r="M365" s="197"/>
      <c r="N365" s="197"/>
      <c r="O365" s="197"/>
      <c r="P365" s="197"/>
      <c r="Q365" s="197"/>
      <c r="R365" s="197"/>
      <c r="S365" s="197"/>
      <c r="T365" s="197"/>
      <c r="U365" s="197"/>
      <c r="V365" s="197"/>
      <c r="W365" s="197"/>
      <c r="X365" s="197"/>
      <c r="Y365" s="197"/>
      <c r="Z365" s="197"/>
      <c r="AA365" s="197"/>
      <c r="AB365" s="197"/>
      <c r="AC365" s="197"/>
      <c r="AD365" s="197"/>
      <c r="AE365" s="197"/>
      <c r="AF365" s="197"/>
      <c r="AG365" s="197"/>
      <c r="AH365" s="197"/>
      <c r="AI365" s="197"/>
      <c r="AJ365" s="201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</row>
    <row r="366" spans="1:63" ht="15" customHeight="1">
      <c r="A366" s="197"/>
      <c r="B366" s="197"/>
      <c r="C366" s="197"/>
      <c r="D366" s="197"/>
      <c r="E366" s="197"/>
      <c r="F366" s="197"/>
      <c r="G366" s="197"/>
      <c r="H366" s="197"/>
      <c r="I366" s="197"/>
      <c r="J366" s="197"/>
      <c r="K366" s="197"/>
      <c r="L366" s="197"/>
      <c r="M366" s="197"/>
      <c r="N366" s="197"/>
      <c r="O366" s="197"/>
      <c r="P366" s="197"/>
      <c r="Q366" s="197"/>
      <c r="R366" s="197"/>
      <c r="S366" s="197"/>
      <c r="T366" s="197"/>
      <c r="U366" s="197"/>
      <c r="V366" s="197"/>
      <c r="W366" s="197"/>
      <c r="X366" s="197"/>
      <c r="Y366" s="197"/>
      <c r="Z366" s="197"/>
      <c r="AA366" s="197"/>
      <c r="AB366" s="197"/>
      <c r="AC366" s="197"/>
      <c r="AD366" s="197"/>
      <c r="AE366" s="197"/>
      <c r="AF366" s="197"/>
      <c r="AG366" s="197"/>
      <c r="AH366" s="197"/>
      <c r="AI366" s="197"/>
      <c r="AJ366" s="201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</row>
    <row r="367" spans="1:63" ht="15" customHeight="1">
      <c r="A367" s="197"/>
      <c r="B367" s="197"/>
      <c r="C367" s="197"/>
      <c r="D367" s="197"/>
      <c r="E367" s="197"/>
      <c r="F367" s="197"/>
      <c r="G367" s="197"/>
      <c r="H367" s="197"/>
      <c r="I367" s="197"/>
      <c r="J367" s="197"/>
      <c r="K367" s="197"/>
      <c r="L367" s="197"/>
      <c r="M367" s="197"/>
      <c r="N367" s="197"/>
      <c r="O367" s="197"/>
      <c r="P367" s="197"/>
      <c r="Q367" s="197"/>
      <c r="R367" s="197"/>
      <c r="S367" s="197"/>
      <c r="T367" s="197"/>
      <c r="U367" s="197"/>
      <c r="V367" s="197"/>
      <c r="W367" s="197"/>
      <c r="X367" s="197"/>
      <c r="Y367" s="197"/>
      <c r="Z367" s="197"/>
      <c r="AA367" s="197"/>
      <c r="AB367" s="197"/>
      <c r="AC367" s="197"/>
      <c r="AD367" s="197"/>
      <c r="AE367" s="197"/>
      <c r="AF367" s="197"/>
      <c r="AG367" s="197"/>
      <c r="AH367" s="197"/>
      <c r="AI367" s="197"/>
      <c r="AJ367" s="201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</row>
    <row r="368" spans="1:63" ht="15" customHeight="1">
      <c r="A368" s="197"/>
      <c r="B368" s="197"/>
      <c r="C368" s="197"/>
      <c r="D368" s="197"/>
      <c r="E368" s="197"/>
      <c r="F368" s="197"/>
      <c r="G368" s="197"/>
      <c r="H368" s="197"/>
      <c r="I368" s="197"/>
      <c r="J368" s="197"/>
      <c r="K368" s="197"/>
      <c r="L368" s="197"/>
      <c r="M368" s="197"/>
      <c r="N368" s="197"/>
      <c r="O368" s="197"/>
      <c r="P368" s="197"/>
      <c r="Q368" s="197"/>
      <c r="R368" s="197"/>
      <c r="S368" s="197"/>
      <c r="T368" s="197"/>
      <c r="U368" s="197"/>
      <c r="V368" s="197"/>
      <c r="W368" s="197"/>
      <c r="X368" s="197"/>
      <c r="Y368" s="197"/>
      <c r="Z368" s="197"/>
      <c r="AA368" s="197"/>
      <c r="AB368" s="197"/>
      <c r="AC368" s="197"/>
      <c r="AD368" s="197"/>
      <c r="AE368" s="197"/>
      <c r="AF368" s="197"/>
      <c r="AG368" s="197"/>
      <c r="AH368" s="197"/>
      <c r="AI368" s="197"/>
      <c r="AJ368" s="201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</row>
    <row r="369" spans="1:63" ht="15" customHeight="1">
      <c r="A369" s="197"/>
      <c r="B369" s="197"/>
      <c r="C369" s="197"/>
      <c r="D369" s="197"/>
      <c r="E369" s="197"/>
      <c r="F369" s="197"/>
      <c r="G369" s="197"/>
      <c r="H369" s="197"/>
      <c r="I369" s="197"/>
      <c r="J369" s="197"/>
      <c r="K369" s="197"/>
      <c r="L369" s="197"/>
      <c r="M369" s="197"/>
      <c r="N369" s="197"/>
      <c r="O369" s="197"/>
      <c r="P369" s="197"/>
      <c r="Q369" s="197"/>
      <c r="R369" s="197"/>
      <c r="S369" s="197"/>
      <c r="T369" s="197"/>
      <c r="U369" s="197"/>
      <c r="V369" s="197"/>
      <c r="W369" s="197"/>
      <c r="X369" s="197"/>
      <c r="Y369" s="197"/>
      <c r="Z369" s="197"/>
      <c r="AA369" s="197"/>
      <c r="AB369" s="197"/>
      <c r="AC369" s="197"/>
      <c r="AD369" s="197"/>
      <c r="AE369" s="197"/>
      <c r="AF369" s="197"/>
      <c r="AG369" s="197"/>
      <c r="AH369" s="197"/>
      <c r="AI369" s="197"/>
      <c r="AJ369" s="201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</row>
    <row r="370" spans="1:63" ht="15" customHeight="1">
      <c r="A370" s="197"/>
      <c r="B370" s="197"/>
      <c r="C370" s="197"/>
      <c r="D370" s="197"/>
      <c r="E370" s="197"/>
      <c r="F370" s="197"/>
      <c r="G370" s="197"/>
      <c r="H370" s="197"/>
      <c r="I370" s="197"/>
      <c r="J370" s="197"/>
      <c r="K370" s="197"/>
      <c r="L370" s="197"/>
      <c r="M370" s="197"/>
      <c r="N370" s="197"/>
      <c r="O370" s="197"/>
      <c r="P370" s="197"/>
      <c r="Q370" s="197"/>
      <c r="R370" s="197"/>
      <c r="S370" s="197"/>
      <c r="T370" s="197"/>
      <c r="U370" s="197"/>
      <c r="V370" s="197"/>
      <c r="W370" s="197"/>
      <c r="X370" s="197"/>
      <c r="Y370" s="197"/>
      <c r="Z370" s="197"/>
      <c r="AA370" s="197"/>
      <c r="AB370" s="197"/>
      <c r="AC370" s="197"/>
      <c r="AD370" s="197"/>
      <c r="AE370" s="197"/>
      <c r="AF370" s="197"/>
      <c r="AG370" s="197"/>
      <c r="AH370" s="197"/>
      <c r="AI370" s="197"/>
      <c r="AJ370" s="201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</row>
    <row r="371" spans="1:63" ht="15" customHeight="1">
      <c r="A371" s="197"/>
      <c r="B371" s="197"/>
      <c r="C371" s="197"/>
      <c r="D371" s="197"/>
      <c r="E371" s="197"/>
      <c r="F371" s="197"/>
      <c r="G371" s="197"/>
      <c r="H371" s="197"/>
      <c r="I371" s="197"/>
      <c r="J371" s="197"/>
      <c r="K371" s="197"/>
      <c r="L371" s="197"/>
      <c r="M371" s="197"/>
      <c r="N371" s="197"/>
      <c r="O371" s="197"/>
      <c r="P371" s="197"/>
      <c r="Q371" s="197"/>
      <c r="R371" s="197"/>
      <c r="S371" s="197"/>
      <c r="T371" s="197"/>
      <c r="U371" s="197"/>
      <c r="V371" s="197"/>
      <c r="W371" s="197"/>
      <c r="X371" s="197"/>
      <c r="Y371" s="197"/>
      <c r="Z371" s="197"/>
      <c r="AA371" s="197"/>
      <c r="AB371" s="197"/>
      <c r="AC371" s="197"/>
      <c r="AD371" s="197"/>
      <c r="AE371" s="197"/>
      <c r="AF371" s="197"/>
      <c r="AG371" s="197"/>
      <c r="AH371" s="197"/>
      <c r="AI371" s="197"/>
      <c r="AJ371" s="201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</row>
    <row r="372" spans="1:63" ht="15" customHeight="1">
      <c r="A372" s="197"/>
      <c r="B372" s="197"/>
      <c r="C372" s="197"/>
      <c r="D372" s="197"/>
      <c r="E372" s="197"/>
      <c r="F372" s="197"/>
      <c r="G372" s="197"/>
      <c r="H372" s="197"/>
      <c r="I372" s="197"/>
      <c r="J372" s="197"/>
      <c r="K372" s="197"/>
      <c r="L372" s="197"/>
      <c r="M372" s="197"/>
      <c r="N372" s="197"/>
      <c r="O372" s="197"/>
      <c r="P372" s="197"/>
      <c r="Q372" s="197"/>
      <c r="R372" s="197"/>
      <c r="S372" s="197"/>
      <c r="T372" s="197"/>
      <c r="U372" s="197"/>
      <c r="V372" s="197"/>
      <c r="W372" s="197"/>
      <c r="X372" s="197"/>
      <c r="Y372" s="197"/>
      <c r="Z372" s="197"/>
      <c r="AA372" s="197"/>
      <c r="AB372" s="197"/>
      <c r="AC372" s="197"/>
      <c r="AD372" s="197"/>
      <c r="AE372" s="197"/>
      <c r="AF372" s="197"/>
      <c r="AG372" s="197"/>
      <c r="AH372" s="197"/>
      <c r="AI372" s="197"/>
      <c r="AJ372" s="201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</row>
    <row r="373" spans="1:63" ht="15" customHeight="1">
      <c r="A373" s="197"/>
      <c r="B373" s="197"/>
      <c r="C373" s="197"/>
      <c r="D373" s="197"/>
      <c r="E373" s="197"/>
      <c r="F373" s="197"/>
      <c r="G373" s="197"/>
      <c r="H373" s="197"/>
      <c r="I373" s="197"/>
      <c r="J373" s="197"/>
      <c r="K373" s="197"/>
      <c r="L373" s="197"/>
      <c r="M373" s="197"/>
      <c r="N373" s="197"/>
      <c r="O373" s="197"/>
      <c r="P373" s="197"/>
      <c r="Q373" s="197"/>
      <c r="R373" s="197"/>
      <c r="S373" s="197"/>
      <c r="T373" s="197"/>
      <c r="U373" s="197"/>
      <c r="V373" s="197"/>
      <c r="W373" s="197"/>
      <c r="X373" s="197"/>
      <c r="Y373" s="197"/>
      <c r="Z373" s="197"/>
      <c r="AA373" s="197"/>
      <c r="AB373" s="197"/>
      <c r="AC373" s="197"/>
      <c r="AD373" s="197"/>
      <c r="AE373" s="197"/>
      <c r="AF373" s="197"/>
      <c r="AG373" s="197"/>
      <c r="AH373" s="197"/>
      <c r="AI373" s="197"/>
      <c r="AJ373" s="201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</row>
    <row r="374" spans="1:63" ht="15" customHeight="1">
      <c r="A374" s="197"/>
      <c r="B374" s="197"/>
      <c r="C374" s="197"/>
      <c r="D374" s="197"/>
      <c r="E374" s="197"/>
      <c r="F374" s="197"/>
      <c r="G374" s="197"/>
      <c r="H374" s="197"/>
      <c r="I374" s="197"/>
      <c r="J374" s="197"/>
      <c r="K374" s="197"/>
      <c r="L374" s="197"/>
      <c r="M374" s="197"/>
      <c r="N374" s="197"/>
      <c r="O374" s="197"/>
      <c r="P374" s="197"/>
      <c r="Q374" s="197"/>
      <c r="R374" s="197"/>
      <c r="S374" s="197"/>
      <c r="T374" s="197"/>
      <c r="U374" s="197"/>
      <c r="V374" s="197"/>
      <c r="W374" s="197"/>
      <c r="X374" s="197"/>
      <c r="Y374" s="197"/>
      <c r="Z374" s="197"/>
      <c r="AA374" s="197"/>
      <c r="AB374" s="197"/>
      <c r="AC374" s="197"/>
      <c r="AD374" s="197"/>
      <c r="AE374" s="197"/>
      <c r="AF374" s="197"/>
      <c r="AG374" s="197"/>
      <c r="AH374" s="197"/>
      <c r="AI374" s="197"/>
      <c r="AJ374" s="201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</row>
    <row r="375" spans="1:63" ht="15" customHeight="1">
      <c r="A375" s="197"/>
      <c r="B375" s="197"/>
      <c r="C375" s="197"/>
      <c r="D375" s="197"/>
      <c r="E375" s="197"/>
      <c r="F375" s="197"/>
      <c r="G375" s="197"/>
      <c r="H375" s="197"/>
      <c r="I375" s="197"/>
      <c r="J375" s="197"/>
      <c r="K375" s="197"/>
      <c r="L375" s="197"/>
      <c r="M375" s="197"/>
      <c r="N375" s="197"/>
      <c r="O375" s="197"/>
      <c r="P375" s="197"/>
      <c r="Q375" s="197"/>
      <c r="R375" s="197"/>
      <c r="S375" s="197"/>
      <c r="T375" s="197"/>
      <c r="U375" s="197"/>
      <c r="V375" s="197"/>
      <c r="W375" s="197"/>
      <c r="X375" s="197"/>
      <c r="Y375" s="197"/>
      <c r="Z375" s="197"/>
      <c r="AA375" s="197"/>
      <c r="AB375" s="197"/>
      <c r="AC375" s="197"/>
      <c r="AD375" s="197"/>
      <c r="AE375" s="197"/>
      <c r="AF375" s="197"/>
      <c r="AG375" s="197"/>
      <c r="AH375" s="197"/>
      <c r="AI375" s="197"/>
      <c r="AJ375" s="201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</row>
    <row r="376" spans="1:63" ht="15" customHeight="1">
      <c r="A376" s="197"/>
      <c r="B376" s="197"/>
      <c r="C376" s="197"/>
      <c r="D376" s="197"/>
      <c r="E376" s="197"/>
      <c r="F376" s="197"/>
      <c r="G376" s="197"/>
      <c r="H376" s="197"/>
      <c r="I376" s="197"/>
      <c r="J376" s="197"/>
      <c r="K376" s="197"/>
      <c r="L376" s="197"/>
      <c r="M376" s="197"/>
      <c r="N376" s="197"/>
      <c r="O376" s="197"/>
      <c r="P376" s="197"/>
      <c r="Q376" s="197"/>
      <c r="R376" s="197"/>
      <c r="S376" s="197"/>
      <c r="T376" s="197"/>
      <c r="U376" s="197"/>
      <c r="V376" s="197"/>
      <c r="W376" s="197"/>
      <c r="X376" s="197"/>
      <c r="Y376" s="197"/>
      <c r="Z376" s="197"/>
      <c r="AA376" s="197"/>
      <c r="AB376" s="197"/>
      <c r="AC376" s="197"/>
      <c r="AD376" s="197"/>
      <c r="AE376" s="197"/>
      <c r="AF376" s="197"/>
      <c r="AG376" s="197"/>
      <c r="AH376" s="197"/>
      <c r="AI376" s="197"/>
      <c r="AJ376" s="201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</row>
    <row r="377" spans="1:63" ht="15" customHeight="1">
      <c r="A377" s="197"/>
      <c r="B377" s="197"/>
      <c r="C377" s="197"/>
      <c r="D377" s="197"/>
      <c r="E377" s="197"/>
      <c r="F377" s="197"/>
      <c r="G377" s="197"/>
      <c r="H377" s="197"/>
      <c r="I377" s="197"/>
      <c r="J377" s="197"/>
      <c r="K377" s="197"/>
      <c r="L377" s="197"/>
      <c r="M377" s="197"/>
      <c r="N377" s="197"/>
      <c r="O377" s="197"/>
      <c r="P377" s="197"/>
      <c r="Q377" s="197"/>
      <c r="R377" s="197"/>
      <c r="S377" s="197"/>
      <c r="T377" s="197"/>
      <c r="U377" s="197"/>
      <c r="V377" s="197"/>
      <c r="W377" s="197"/>
      <c r="X377" s="197"/>
      <c r="Y377" s="197"/>
      <c r="Z377" s="197"/>
      <c r="AA377" s="197"/>
      <c r="AB377" s="197"/>
      <c r="AC377" s="197"/>
      <c r="AD377" s="197"/>
      <c r="AE377" s="197"/>
      <c r="AF377" s="197"/>
      <c r="AG377" s="197"/>
      <c r="AH377" s="197"/>
      <c r="AI377" s="197"/>
      <c r="AJ377" s="201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</row>
    <row r="378" spans="1:63" ht="15" customHeight="1">
      <c r="A378" s="197"/>
      <c r="B378" s="197"/>
      <c r="C378" s="197"/>
      <c r="D378" s="197"/>
      <c r="E378" s="197"/>
      <c r="F378" s="197"/>
      <c r="G378" s="197"/>
      <c r="H378" s="197"/>
      <c r="I378" s="197"/>
      <c r="J378" s="197"/>
      <c r="K378" s="197"/>
      <c r="L378" s="197"/>
      <c r="M378" s="197"/>
      <c r="N378" s="197"/>
      <c r="O378" s="197"/>
      <c r="P378" s="197"/>
      <c r="Q378" s="197"/>
      <c r="R378" s="197"/>
      <c r="S378" s="197"/>
      <c r="T378" s="197"/>
      <c r="U378" s="197"/>
      <c r="V378" s="197"/>
      <c r="W378" s="197"/>
      <c r="X378" s="197"/>
      <c r="Y378" s="197"/>
      <c r="Z378" s="197"/>
      <c r="AA378" s="197"/>
      <c r="AB378" s="197"/>
      <c r="AC378" s="197"/>
      <c r="AD378" s="197"/>
      <c r="AE378" s="197"/>
      <c r="AF378" s="197"/>
      <c r="AG378" s="197"/>
      <c r="AH378" s="197"/>
      <c r="AI378" s="197"/>
      <c r="AJ378" s="201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</row>
    <row r="379" spans="1:63" ht="15" customHeight="1">
      <c r="A379" s="197"/>
      <c r="B379" s="197"/>
      <c r="C379" s="197"/>
      <c r="D379" s="197"/>
      <c r="E379" s="197"/>
      <c r="F379" s="197"/>
      <c r="G379" s="197"/>
      <c r="H379" s="197"/>
      <c r="I379" s="197"/>
      <c r="J379" s="197"/>
      <c r="K379" s="197"/>
      <c r="L379" s="197"/>
      <c r="M379" s="197"/>
      <c r="N379" s="197"/>
      <c r="O379" s="197"/>
      <c r="P379" s="197"/>
      <c r="Q379" s="197"/>
      <c r="R379" s="197"/>
      <c r="S379" s="197"/>
      <c r="T379" s="197"/>
      <c r="U379" s="197"/>
      <c r="V379" s="197"/>
      <c r="W379" s="197"/>
      <c r="X379" s="197"/>
      <c r="Y379" s="197"/>
      <c r="Z379" s="197"/>
      <c r="AA379" s="197"/>
      <c r="AB379" s="197"/>
      <c r="AC379" s="197"/>
      <c r="AD379" s="197"/>
      <c r="AE379" s="197"/>
      <c r="AF379" s="197"/>
      <c r="AG379" s="197"/>
      <c r="AH379" s="197"/>
      <c r="AI379" s="197"/>
      <c r="AJ379" s="201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</row>
    <row r="380" spans="1:63" ht="15" customHeight="1">
      <c r="A380" s="197"/>
      <c r="B380" s="197"/>
      <c r="C380" s="197"/>
      <c r="D380" s="197"/>
      <c r="E380" s="197"/>
      <c r="F380" s="197"/>
      <c r="G380" s="197"/>
      <c r="H380" s="197"/>
      <c r="I380" s="197"/>
      <c r="J380" s="197"/>
      <c r="K380" s="197"/>
      <c r="L380" s="197"/>
      <c r="M380" s="197"/>
      <c r="N380" s="197"/>
      <c r="O380" s="197"/>
      <c r="P380" s="197"/>
      <c r="Q380" s="197"/>
      <c r="R380" s="197"/>
      <c r="S380" s="197"/>
      <c r="T380" s="197"/>
      <c r="U380" s="197"/>
      <c r="V380" s="197"/>
      <c r="W380" s="197"/>
      <c r="X380" s="197"/>
      <c r="Y380" s="197"/>
      <c r="Z380" s="197"/>
      <c r="AA380" s="197"/>
      <c r="AB380" s="197"/>
      <c r="AC380" s="197"/>
      <c r="AD380" s="197"/>
      <c r="AE380" s="197"/>
      <c r="AF380" s="197"/>
      <c r="AG380" s="197"/>
      <c r="AH380" s="197"/>
      <c r="AI380" s="197"/>
      <c r="AJ380" s="201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</row>
    <row r="381" spans="1:63" ht="15" customHeight="1">
      <c r="A381" s="197"/>
      <c r="B381" s="197"/>
      <c r="C381" s="197"/>
      <c r="D381" s="197"/>
      <c r="E381" s="197"/>
      <c r="F381" s="197"/>
      <c r="G381" s="197"/>
      <c r="H381" s="197"/>
      <c r="I381" s="197"/>
      <c r="J381" s="197"/>
      <c r="K381" s="197"/>
      <c r="L381" s="197"/>
      <c r="M381" s="197"/>
      <c r="N381" s="197"/>
      <c r="O381" s="197"/>
      <c r="P381" s="197"/>
      <c r="Q381" s="197"/>
      <c r="R381" s="197"/>
      <c r="S381" s="197"/>
      <c r="T381" s="197"/>
      <c r="U381" s="197"/>
      <c r="V381" s="197"/>
      <c r="W381" s="197"/>
      <c r="X381" s="197"/>
      <c r="Y381" s="197"/>
      <c r="Z381" s="197"/>
      <c r="AA381" s="197"/>
      <c r="AB381" s="197"/>
      <c r="AC381" s="197"/>
      <c r="AD381" s="197"/>
      <c r="AE381" s="197"/>
      <c r="AF381" s="197"/>
      <c r="AG381" s="197"/>
      <c r="AH381" s="197"/>
      <c r="AI381" s="197"/>
      <c r="AJ381" s="201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</row>
    <row r="382" spans="1:63" ht="15" customHeight="1">
      <c r="A382" s="197"/>
      <c r="B382" s="197"/>
      <c r="C382" s="197"/>
      <c r="D382" s="197"/>
      <c r="E382" s="197"/>
      <c r="F382" s="197"/>
      <c r="G382" s="197"/>
      <c r="H382" s="197"/>
      <c r="I382" s="197"/>
      <c r="J382" s="197"/>
      <c r="K382" s="197"/>
      <c r="L382" s="197"/>
      <c r="M382" s="197"/>
      <c r="N382" s="197"/>
      <c r="O382" s="197"/>
      <c r="P382" s="197"/>
      <c r="Q382" s="197"/>
      <c r="R382" s="197"/>
      <c r="S382" s="197"/>
      <c r="T382" s="197"/>
      <c r="U382" s="197"/>
      <c r="V382" s="197"/>
      <c r="W382" s="197"/>
      <c r="X382" s="197"/>
      <c r="Y382" s="197"/>
      <c r="Z382" s="197"/>
      <c r="AA382" s="197"/>
      <c r="AB382" s="197"/>
      <c r="AC382" s="197"/>
      <c r="AD382" s="197"/>
      <c r="AE382" s="197"/>
      <c r="AF382" s="197"/>
      <c r="AG382" s="197"/>
      <c r="AH382" s="197"/>
      <c r="AI382" s="197"/>
      <c r="AJ382" s="201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</row>
    <row r="383" spans="1:63" ht="15" customHeight="1">
      <c r="A383" s="197"/>
      <c r="B383" s="197"/>
      <c r="C383" s="197"/>
      <c r="D383" s="197"/>
      <c r="E383" s="197"/>
      <c r="F383" s="197"/>
      <c r="G383" s="197"/>
      <c r="H383" s="197"/>
      <c r="I383" s="197"/>
      <c r="J383" s="197"/>
      <c r="K383" s="197"/>
      <c r="L383" s="197"/>
      <c r="M383" s="197"/>
      <c r="N383" s="197"/>
      <c r="O383" s="197"/>
      <c r="P383" s="197"/>
      <c r="Q383" s="197"/>
      <c r="R383" s="197"/>
      <c r="S383" s="197"/>
      <c r="T383" s="197"/>
      <c r="U383" s="197"/>
      <c r="V383" s="197"/>
      <c r="W383" s="197"/>
      <c r="X383" s="197"/>
      <c r="Y383" s="197"/>
      <c r="Z383" s="197"/>
      <c r="AA383" s="197"/>
      <c r="AB383" s="197"/>
      <c r="AC383" s="197"/>
      <c r="AD383" s="197"/>
      <c r="AE383" s="197"/>
      <c r="AF383" s="197"/>
      <c r="AG383" s="197"/>
      <c r="AH383" s="197"/>
      <c r="AI383" s="197"/>
      <c r="AJ383" s="201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</row>
    <row r="384" spans="1:63" ht="15" customHeight="1">
      <c r="A384" s="197"/>
      <c r="B384" s="197"/>
      <c r="C384" s="197"/>
      <c r="D384" s="197"/>
      <c r="E384" s="197"/>
      <c r="F384" s="197"/>
      <c r="G384" s="197"/>
      <c r="H384" s="197"/>
      <c r="I384" s="197"/>
      <c r="J384" s="197"/>
      <c r="K384" s="197"/>
      <c r="L384" s="197"/>
      <c r="M384" s="197"/>
      <c r="N384" s="197"/>
      <c r="O384" s="197"/>
      <c r="P384" s="197"/>
      <c r="Q384" s="197"/>
      <c r="R384" s="197"/>
      <c r="S384" s="197"/>
      <c r="T384" s="197"/>
      <c r="U384" s="197"/>
      <c r="V384" s="197"/>
      <c r="W384" s="197"/>
      <c r="X384" s="197"/>
      <c r="Y384" s="197"/>
      <c r="Z384" s="197"/>
      <c r="AA384" s="197"/>
      <c r="AB384" s="197"/>
      <c r="AC384" s="197"/>
      <c r="AD384" s="197"/>
      <c r="AE384" s="197"/>
      <c r="AF384" s="197"/>
      <c r="AG384" s="197"/>
      <c r="AH384" s="197"/>
      <c r="AI384" s="197"/>
      <c r="AJ384" s="201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</row>
    <row r="385" spans="1:63" ht="15" customHeight="1">
      <c r="A385" s="197"/>
      <c r="B385" s="197"/>
      <c r="C385" s="197"/>
      <c r="D385" s="197"/>
      <c r="E385" s="197"/>
      <c r="F385" s="197"/>
      <c r="G385" s="197"/>
      <c r="H385" s="197"/>
      <c r="I385" s="197"/>
      <c r="J385" s="197"/>
      <c r="K385" s="197"/>
      <c r="L385" s="197"/>
      <c r="M385" s="197"/>
      <c r="N385" s="197"/>
      <c r="O385" s="197"/>
      <c r="P385" s="197"/>
      <c r="Q385" s="197"/>
      <c r="R385" s="197"/>
      <c r="S385" s="197"/>
      <c r="T385" s="197"/>
      <c r="U385" s="197"/>
      <c r="V385" s="197"/>
      <c r="W385" s="197"/>
      <c r="X385" s="197"/>
      <c r="Y385" s="197"/>
      <c r="Z385" s="197"/>
      <c r="AA385" s="197"/>
      <c r="AB385" s="197"/>
      <c r="AC385" s="197"/>
      <c r="AD385" s="197"/>
      <c r="AE385" s="197"/>
      <c r="AF385" s="197"/>
      <c r="AG385" s="197"/>
      <c r="AH385" s="197"/>
      <c r="AI385" s="197"/>
      <c r="AJ385" s="201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</row>
    <row r="386" spans="1:63" ht="15" customHeight="1">
      <c r="A386" s="197"/>
      <c r="B386" s="197"/>
      <c r="C386" s="197"/>
      <c r="D386" s="197"/>
      <c r="E386" s="197"/>
      <c r="F386" s="197"/>
      <c r="G386" s="197"/>
      <c r="H386" s="197"/>
      <c r="I386" s="197"/>
      <c r="J386" s="197"/>
      <c r="K386" s="197"/>
      <c r="L386" s="197"/>
      <c r="M386" s="197"/>
      <c r="N386" s="197"/>
      <c r="O386" s="197"/>
      <c r="P386" s="197"/>
      <c r="Q386" s="197"/>
      <c r="R386" s="197"/>
      <c r="S386" s="197"/>
      <c r="T386" s="197"/>
      <c r="U386" s="197"/>
      <c r="V386" s="197"/>
      <c r="W386" s="197"/>
      <c r="X386" s="197"/>
      <c r="Y386" s="197"/>
      <c r="Z386" s="197"/>
      <c r="AA386" s="197"/>
      <c r="AB386" s="197"/>
      <c r="AC386" s="197"/>
      <c r="AD386" s="197"/>
      <c r="AE386" s="197"/>
      <c r="AF386" s="197"/>
      <c r="AG386" s="197"/>
      <c r="AH386" s="197"/>
      <c r="AI386" s="197"/>
      <c r="AJ386" s="201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</row>
    <row r="387" spans="1:63" ht="15" customHeight="1">
      <c r="A387" s="197"/>
      <c r="B387" s="197"/>
      <c r="C387" s="197"/>
      <c r="D387" s="197"/>
      <c r="E387" s="197"/>
      <c r="F387" s="197"/>
      <c r="G387" s="197"/>
      <c r="H387" s="197"/>
      <c r="I387" s="197"/>
      <c r="J387" s="197"/>
      <c r="K387" s="197"/>
      <c r="L387" s="197"/>
      <c r="M387" s="197"/>
      <c r="N387" s="197"/>
      <c r="O387" s="197"/>
      <c r="P387" s="197"/>
      <c r="Q387" s="197"/>
      <c r="R387" s="197"/>
      <c r="S387" s="197"/>
      <c r="T387" s="197"/>
      <c r="U387" s="197"/>
      <c r="V387" s="197"/>
      <c r="W387" s="197"/>
      <c r="X387" s="197"/>
      <c r="Y387" s="197"/>
      <c r="Z387" s="197"/>
      <c r="AA387" s="197"/>
      <c r="AB387" s="197"/>
      <c r="AC387" s="197"/>
      <c r="AD387" s="197"/>
      <c r="AE387" s="197"/>
      <c r="AF387" s="197"/>
      <c r="AG387" s="197"/>
      <c r="AH387" s="197"/>
      <c r="AI387" s="197"/>
      <c r="AJ387" s="201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</row>
    <row r="388" spans="1:63" ht="15" customHeight="1">
      <c r="A388" s="197"/>
      <c r="B388" s="197"/>
      <c r="C388" s="197"/>
      <c r="D388" s="197"/>
      <c r="E388" s="197"/>
      <c r="F388" s="197"/>
      <c r="G388" s="197"/>
      <c r="H388" s="197"/>
      <c r="I388" s="197"/>
      <c r="J388" s="197"/>
      <c r="K388" s="197"/>
      <c r="L388" s="197"/>
      <c r="M388" s="197"/>
      <c r="N388" s="197"/>
      <c r="O388" s="197"/>
      <c r="P388" s="197"/>
      <c r="Q388" s="197"/>
      <c r="R388" s="197"/>
      <c r="S388" s="197"/>
      <c r="T388" s="197"/>
      <c r="U388" s="197"/>
      <c r="V388" s="197"/>
      <c r="W388" s="197"/>
      <c r="X388" s="197"/>
      <c r="Y388" s="197"/>
      <c r="Z388" s="197"/>
      <c r="AA388" s="197"/>
      <c r="AB388" s="197"/>
      <c r="AC388" s="197"/>
      <c r="AD388" s="197"/>
      <c r="AE388" s="197"/>
      <c r="AF388" s="197"/>
      <c r="AG388" s="197"/>
      <c r="AH388" s="197"/>
      <c r="AI388" s="197"/>
      <c r="AJ388" s="201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</row>
    <row r="389" spans="1:63" ht="15" customHeight="1">
      <c r="A389" s="197"/>
      <c r="B389" s="197"/>
      <c r="C389" s="197"/>
      <c r="D389" s="197"/>
      <c r="E389" s="197"/>
      <c r="F389" s="197"/>
      <c r="G389" s="197"/>
      <c r="H389" s="197"/>
      <c r="I389" s="197"/>
      <c r="J389" s="197"/>
      <c r="K389" s="197"/>
      <c r="L389" s="197"/>
      <c r="M389" s="197"/>
      <c r="N389" s="197"/>
      <c r="O389" s="197"/>
      <c r="P389" s="197"/>
      <c r="Q389" s="197"/>
      <c r="R389" s="197"/>
      <c r="S389" s="197"/>
      <c r="T389" s="197"/>
      <c r="U389" s="197"/>
      <c r="V389" s="197"/>
      <c r="W389" s="197"/>
      <c r="X389" s="197"/>
      <c r="Y389" s="197"/>
      <c r="Z389" s="197"/>
      <c r="AA389" s="197"/>
      <c r="AB389" s="197"/>
      <c r="AC389" s="197"/>
      <c r="AD389" s="197"/>
      <c r="AE389" s="197"/>
      <c r="AF389" s="197"/>
      <c r="AG389" s="197"/>
      <c r="AH389" s="197"/>
      <c r="AI389" s="197"/>
      <c r="AJ389" s="201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</row>
    <row r="390" spans="1:63" ht="15" customHeight="1">
      <c r="A390" s="197"/>
      <c r="B390" s="197"/>
      <c r="C390" s="197"/>
      <c r="D390" s="197"/>
      <c r="E390" s="197"/>
      <c r="F390" s="197"/>
      <c r="G390" s="197"/>
      <c r="H390" s="197"/>
      <c r="I390" s="197"/>
      <c r="J390" s="197"/>
      <c r="K390" s="197"/>
      <c r="L390" s="197"/>
      <c r="M390" s="197"/>
      <c r="N390" s="197"/>
      <c r="O390" s="197"/>
      <c r="P390" s="197"/>
      <c r="Q390" s="197"/>
      <c r="R390" s="197"/>
      <c r="S390" s="197"/>
      <c r="T390" s="197"/>
      <c r="U390" s="197"/>
      <c r="V390" s="197"/>
      <c r="W390" s="197"/>
      <c r="X390" s="197"/>
      <c r="Y390" s="197"/>
      <c r="Z390" s="197"/>
      <c r="AA390" s="197"/>
      <c r="AB390" s="197"/>
      <c r="AC390" s="197"/>
      <c r="AD390" s="197"/>
      <c r="AE390" s="197"/>
      <c r="AF390" s="197"/>
      <c r="AG390" s="197"/>
      <c r="AH390" s="197"/>
      <c r="AI390" s="197"/>
      <c r="AJ390" s="201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</row>
    <row r="391" spans="1:63" ht="15" customHeight="1">
      <c r="A391" s="197"/>
      <c r="B391" s="197"/>
      <c r="C391" s="197"/>
      <c r="D391" s="197"/>
      <c r="E391" s="197"/>
      <c r="F391" s="197"/>
      <c r="G391" s="197"/>
      <c r="H391" s="197"/>
      <c r="I391" s="197"/>
      <c r="J391" s="197"/>
      <c r="K391" s="197"/>
      <c r="L391" s="197"/>
      <c r="M391" s="197"/>
      <c r="N391" s="197"/>
      <c r="O391" s="197"/>
      <c r="P391" s="197"/>
      <c r="Q391" s="197"/>
      <c r="R391" s="197"/>
      <c r="S391" s="197"/>
      <c r="T391" s="197"/>
      <c r="U391" s="197"/>
      <c r="V391" s="197"/>
      <c r="W391" s="197"/>
      <c r="X391" s="197"/>
      <c r="Y391" s="197"/>
      <c r="Z391" s="197"/>
      <c r="AA391" s="197"/>
      <c r="AB391" s="197"/>
      <c r="AC391" s="197"/>
      <c r="AD391" s="197"/>
      <c r="AE391" s="197"/>
      <c r="AF391" s="197"/>
      <c r="AG391" s="197"/>
      <c r="AH391" s="197"/>
      <c r="AI391" s="197"/>
      <c r="AJ391" s="201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</row>
    <row r="392" spans="1:63" ht="15" customHeight="1">
      <c r="A392" s="197"/>
      <c r="B392" s="197"/>
      <c r="C392" s="197"/>
      <c r="D392" s="197"/>
      <c r="E392" s="197"/>
      <c r="F392" s="197"/>
      <c r="G392" s="197"/>
      <c r="H392" s="197"/>
      <c r="I392" s="197"/>
      <c r="J392" s="197"/>
      <c r="K392" s="197"/>
      <c r="L392" s="197"/>
      <c r="M392" s="197"/>
      <c r="N392" s="197"/>
      <c r="O392" s="197"/>
      <c r="P392" s="197"/>
      <c r="Q392" s="197"/>
      <c r="R392" s="197"/>
      <c r="S392" s="197"/>
      <c r="T392" s="197"/>
      <c r="U392" s="197"/>
      <c r="V392" s="197"/>
      <c r="W392" s="197"/>
      <c r="X392" s="197"/>
      <c r="Y392" s="197"/>
      <c r="Z392" s="197"/>
      <c r="AA392" s="197"/>
      <c r="AB392" s="197"/>
      <c r="AC392" s="197"/>
      <c r="AD392" s="197"/>
      <c r="AE392" s="197"/>
      <c r="AF392" s="197"/>
      <c r="AG392" s="197"/>
      <c r="AH392" s="197"/>
      <c r="AI392" s="197"/>
      <c r="AJ392" s="201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</row>
    <row r="393" spans="1:63" ht="15" customHeight="1">
      <c r="A393" s="197"/>
      <c r="B393" s="197"/>
      <c r="C393" s="197"/>
      <c r="D393" s="197"/>
      <c r="E393" s="197"/>
      <c r="F393" s="197"/>
      <c r="G393" s="197"/>
      <c r="H393" s="197"/>
      <c r="I393" s="197"/>
      <c r="J393" s="197"/>
      <c r="K393" s="197"/>
      <c r="L393" s="197"/>
      <c r="M393" s="197"/>
      <c r="N393" s="197"/>
      <c r="O393" s="197"/>
      <c r="P393" s="197"/>
      <c r="Q393" s="197"/>
      <c r="R393" s="197"/>
      <c r="S393" s="197"/>
      <c r="T393" s="197"/>
      <c r="U393" s="197"/>
      <c r="V393" s="197"/>
      <c r="W393" s="197"/>
      <c r="X393" s="197"/>
      <c r="Y393" s="197"/>
      <c r="Z393" s="197"/>
      <c r="AA393" s="197"/>
      <c r="AB393" s="197"/>
      <c r="AC393" s="197"/>
      <c r="AD393" s="197"/>
      <c r="AE393" s="197"/>
      <c r="AF393" s="197"/>
      <c r="AG393" s="197"/>
      <c r="AH393" s="197"/>
      <c r="AI393" s="197"/>
      <c r="AJ393" s="201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</row>
    <row r="394" spans="1:63" ht="15" customHeight="1">
      <c r="A394" s="197"/>
      <c r="B394" s="197"/>
      <c r="C394" s="197"/>
      <c r="D394" s="197"/>
      <c r="E394" s="197"/>
      <c r="F394" s="197"/>
      <c r="G394" s="197"/>
      <c r="H394" s="197"/>
      <c r="I394" s="197"/>
      <c r="J394" s="197"/>
      <c r="K394" s="197"/>
      <c r="L394" s="197"/>
      <c r="M394" s="197"/>
      <c r="N394" s="197"/>
      <c r="O394" s="197"/>
      <c r="P394" s="197"/>
      <c r="Q394" s="197"/>
      <c r="R394" s="197"/>
      <c r="S394" s="197"/>
      <c r="T394" s="197"/>
      <c r="U394" s="197"/>
      <c r="V394" s="197"/>
      <c r="W394" s="197"/>
      <c r="X394" s="197"/>
      <c r="Y394" s="197"/>
      <c r="Z394" s="197"/>
      <c r="AA394" s="197"/>
      <c r="AB394" s="197"/>
      <c r="AC394" s="197"/>
      <c r="AD394" s="197"/>
      <c r="AE394" s="197"/>
      <c r="AF394" s="197"/>
      <c r="AG394" s="197"/>
      <c r="AH394" s="197"/>
      <c r="AI394" s="197"/>
      <c r="AJ394" s="201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</row>
    <row r="395" spans="1:63" ht="15" customHeight="1">
      <c r="A395" s="197"/>
      <c r="B395" s="197"/>
      <c r="C395" s="197"/>
      <c r="D395" s="197"/>
      <c r="E395" s="197"/>
      <c r="F395" s="197"/>
      <c r="G395" s="197"/>
      <c r="H395" s="197"/>
      <c r="I395" s="197"/>
      <c r="J395" s="197"/>
      <c r="K395" s="197"/>
      <c r="L395" s="197"/>
      <c r="M395" s="197"/>
      <c r="N395" s="197"/>
      <c r="O395" s="197"/>
      <c r="P395" s="197"/>
      <c r="Q395" s="197"/>
      <c r="R395" s="197"/>
      <c r="S395" s="197"/>
      <c r="T395" s="197"/>
      <c r="U395" s="197"/>
      <c r="V395" s="197"/>
      <c r="W395" s="197"/>
      <c r="X395" s="197"/>
      <c r="Y395" s="197"/>
      <c r="Z395" s="197"/>
      <c r="AA395" s="197"/>
      <c r="AB395" s="197"/>
      <c r="AC395" s="197"/>
      <c r="AD395" s="197"/>
      <c r="AE395" s="197"/>
      <c r="AF395" s="197"/>
      <c r="AG395" s="197"/>
      <c r="AH395" s="197"/>
      <c r="AI395" s="197"/>
      <c r="AJ395" s="201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</row>
    <row r="396" spans="1:63" ht="15" customHeight="1">
      <c r="A396" s="197"/>
      <c r="B396" s="197"/>
      <c r="C396" s="197"/>
      <c r="D396" s="197"/>
      <c r="E396" s="197"/>
      <c r="F396" s="197"/>
      <c r="G396" s="197"/>
      <c r="H396" s="197"/>
      <c r="I396" s="197"/>
      <c r="J396" s="197"/>
      <c r="K396" s="197"/>
      <c r="L396" s="197"/>
      <c r="M396" s="197"/>
      <c r="N396" s="197"/>
      <c r="O396" s="197"/>
      <c r="P396" s="197"/>
      <c r="Q396" s="197"/>
      <c r="R396" s="197"/>
      <c r="S396" s="197"/>
      <c r="T396" s="197"/>
      <c r="U396" s="197"/>
      <c r="V396" s="197"/>
      <c r="W396" s="197"/>
      <c r="X396" s="197"/>
      <c r="Y396" s="197"/>
      <c r="Z396" s="197"/>
      <c r="AA396" s="197"/>
      <c r="AB396" s="197"/>
      <c r="AC396" s="197"/>
      <c r="AD396" s="197"/>
      <c r="AE396" s="197"/>
      <c r="AF396" s="197"/>
      <c r="AG396" s="197"/>
      <c r="AH396" s="197"/>
      <c r="AI396" s="197"/>
      <c r="AJ396" s="201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</row>
    <row r="397" spans="1:63" ht="15" customHeight="1">
      <c r="A397" s="197"/>
      <c r="B397" s="197"/>
      <c r="C397" s="197"/>
      <c r="D397" s="197"/>
      <c r="E397" s="197"/>
      <c r="F397" s="197"/>
      <c r="G397" s="197"/>
      <c r="H397" s="197"/>
      <c r="I397" s="197"/>
      <c r="J397" s="197"/>
      <c r="K397" s="197"/>
      <c r="L397" s="197"/>
      <c r="M397" s="197"/>
      <c r="N397" s="197"/>
      <c r="O397" s="197"/>
      <c r="P397" s="197"/>
      <c r="Q397" s="197"/>
      <c r="R397" s="197"/>
      <c r="S397" s="197"/>
      <c r="T397" s="197"/>
      <c r="U397" s="197"/>
      <c r="V397" s="197"/>
      <c r="W397" s="197"/>
      <c r="X397" s="197"/>
      <c r="Y397" s="197"/>
      <c r="Z397" s="197"/>
      <c r="AA397" s="197"/>
      <c r="AB397" s="197"/>
      <c r="AC397" s="197"/>
      <c r="AD397" s="197"/>
      <c r="AE397" s="197"/>
      <c r="AF397" s="197"/>
      <c r="AG397" s="197"/>
      <c r="AH397" s="197"/>
      <c r="AI397" s="197"/>
      <c r="AJ397" s="201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</row>
    <row r="398" spans="1:63" ht="15" customHeight="1">
      <c r="A398" s="197"/>
      <c r="B398" s="197"/>
      <c r="C398" s="197"/>
      <c r="D398" s="197"/>
      <c r="E398" s="197"/>
      <c r="F398" s="197"/>
      <c r="G398" s="197"/>
      <c r="H398" s="197"/>
      <c r="I398" s="197"/>
      <c r="J398" s="197"/>
      <c r="K398" s="197"/>
      <c r="L398" s="197"/>
      <c r="M398" s="197"/>
      <c r="N398" s="197"/>
      <c r="O398" s="197"/>
      <c r="P398" s="197"/>
      <c r="Q398" s="197"/>
      <c r="R398" s="197"/>
      <c r="S398" s="197"/>
      <c r="T398" s="197"/>
      <c r="U398" s="197"/>
      <c r="V398" s="197"/>
      <c r="W398" s="197"/>
      <c r="X398" s="197"/>
      <c r="Y398" s="197"/>
      <c r="Z398" s="197"/>
      <c r="AA398" s="197"/>
      <c r="AB398" s="197"/>
      <c r="AC398" s="197"/>
      <c r="AD398" s="197"/>
      <c r="AE398" s="197"/>
      <c r="AF398" s="197"/>
      <c r="AG398" s="197"/>
      <c r="AH398" s="197"/>
      <c r="AI398" s="197"/>
      <c r="AJ398" s="201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</row>
    <row r="399" spans="1:63" ht="15" customHeight="1">
      <c r="A399" s="197"/>
      <c r="B399" s="197"/>
      <c r="C399" s="197"/>
      <c r="D399" s="197"/>
      <c r="E399" s="197"/>
      <c r="F399" s="197"/>
      <c r="G399" s="197"/>
      <c r="H399" s="197"/>
      <c r="I399" s="197"/>
      <c r="J399" s="197"/>
      <c r="K399" s="197"/>
      <c r="L399" s="197"/>
      <c r="M399" s="197"/>
      <c r="N399" s="197"/>
      <c r="O399" s="197"/>
      <c r="P399" s="197"/>
      <c r="Q399" s="197"/>
      <c r="R399" s="197"/>
      <c r="S399" s="197"/>
      <c r="T399" s="197"/>
      <c r="U399" s="197"/>
      <c r="V399" s="197"/>
      <c r="W399" s="197"/>
      <c r="X399" s="197"/>
      <c r="Y399" s="197"/>
      <c r="Z399" s="197"/>
      <c r="AA399" s="197"/>
      <c r="AB399" s="197"/>
      <c r="AC399" s="197"/>
      <c r="AD399" s="197"/>
      <c r="AE399" s="197"/>
      <c r="AF399" s="197"/>
      <c r="AG399" s="197"/>
      <c r="AH399" s="197"/>
      <c r="AI399" s="197"/>
      <c r="AJ399" s="201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</row>
    <row r="400" spans="1:63" ht="15" customHeight="1">
      <c r="A400" s="197"/>
      <c r="B400" s="197"/>
      <c r="C400" s="197"/>
      <c r="D400" s="197"/>
      <c r="E400" s="197"/>
      <c r="F400" s="197"/>
      <c r="G400" s="197"/>
      <c r="H400" s="197"/>
      <c r="I400" s="197"/>
      <c r="J400" s="197"/>
      <c r="K400" s="197"/>
      <c r="L400" s="197"/>
      <c r="M400" s="197"/>
      <c r="N400" s="197"/>
      <c r="O400" s="197"/>
      <c r="P400" s="197"/>
      <c r="Q400" s="197"/>
      <c r="R400" s="197"/>
      <c r="S400" s="197"/>
      <c r="T400" s="197"/>
      <c r="U400" s="197"/>
      <c r="V400" s="197"/>
      <c r="W400" s="197"/>
      <c r="X400" s="197"/>
      <c r="Y400" s="197"/>
      <c r="Z400" s="197"/>
      <c r="AA400" s="197"/>
      <c r="AB400" s="197"/>
      <c r="AC400" s="197"/>
      <c r="AD400" s="197"/>
      <c r="AE400" s="197"/>
      <c r="AF400" s="197"/>
      <c r="AG400" s="197"/>
      <c r="AH400" s="197"/>
      <c r="AI400" s="197"/>
      <c r="AJ400" s="201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</row>
    <row r="401" spans="1:63" ht="15" customHeight="1">
      <c r="A401" s="197"/>
      <c r="B401" s="197"/>
      <c r="C401" s="197"/>
      <c r="D401" s="197"/>
      <c r="E401" s="197"/>
      <c r="F401" s="197"/>
      <c r="G401" s="197"/>
      <c r="H401" s="197"/>
      <c r="I401" s="197"/>
      <c r="J401" s="197"/>
      <c r="K401" s="197"/>
      <c r="L401" s="197"/>
      <c r="M401" s="197"/>
      <c r="N401" s="197"/>
      <c r="O401" s="197"/>
      <c r="P401" s="197"/>
      <c r="Q401" s="197"/>
      <c r="R401" s="197"/>
      <c r="S401" s="197"/>
      <c r="T401" s="197"/>
      <c r="U401" s="197"/>
      <c r="V401" s="197"/>
      <c r="W401" s="197"/>
      <c r="X401" s="197"/>
      <c r="Y401" s="197"/>
      <c r="Z401" s="197"/>
      <c r="AA401" s="197"/>
      <c r="AB401" s="197"/>
      <c r="AC401" s="197"/>
      <c r="AD401" s="197"/>
      <c r="AE401" s="197"/>
      <c r="AF401" s="197"/>
      <c r="AG401" s="197"/>
      <c r="AH401" s="197"/>
      <c r="AI401" s="197"/>
      <c r="AJ401" s="201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</row>
    <row r="402" spans="1:63" ht="15" customHeight="1">
      <c r="A402" s="197"/>
      <c r="B402" s="197"/>
      <c r="C402" s="197"/>
      <c r="D402" s="197"/>
      <c r="E402" s="197"/>
      <c r="F402" s="197"/>
      <c r="G402" s="197"/>
      <c r="H402" s="197"/>
      <c r="I402" s="197"/>
      <c r="J402" s="197"/>
      <c r="K402" s="197"/>
      <c r="L402" s="197"/>
      <c r="M402" s="197"/>
      <c r="N402" s="197"/>
      <c r="O402" s="197"/>
      <c r="P402" s="197"/>
      <c r="Q402" s="197"/>
      <c r="R402" s="197"/>
      <c r="S402" s="197"/>
      <c r="T402" s="197"/>
      <c r="U402" s="197"/>
      <c r="V402" s="197"/>
      <c r="W402" s="197"/>
      <c r="X402" s="197"/>
      <c r="Y402" s="197"/>
      <c r="Z402" s="197"/>
      <c r="AA402" s="197"/>
      <c r="AB402" s="197"/>
      <c r="AC402" s="197"/>
      <c r="AD402" s="197"/>
      <c r="AE402" s="197"/>
      <c r="AF402" s="197"/>
      <c r="AG402" s="197"/>
      <c r="AH402" s="197"/>
      <c r="AI402" s="197"/>
      <c r="AJ402" s="201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</row>
    <row r="403" spans="1:63" ht="15" customHeight="1">
      <c r="A403" s="197"/>
      <c r="B403" s="197"/>
      <c r="C403" s="197"/>
      <c r="D403" s="197"/>
      <c r="E403" s="197"/>
      <c r="F403" s="197"/>
      <c r="G403" s="197"/>
      <c r="H403" s="197"/>
      <c r="I403" s="197"/>
      <c r="J403" s="197"/>
      <c r="K403" s="197"/>
      <c r="L403" s="197"/>
      <c r="M403" s="197"/>
      <c r="N403" s="197"/>
      <c r="O403" s="197"/>
      <c r="P403" s="197"/>
      <c r="Q403" s="197"/>
      <c r="R403" s="197"/>
      <c r="S403" s="197"/>
      <c r="T403" s="197"/>
      <c r="U403" s="197"/>
      <c r="V403" s="197"/>
      <c r="W403" s="197"/>
      <c r="X403" s="197"/>
      <c r="Y403" s="197"/>
      <c r="Z403" s="197"/>
      <c r="AA403" s="197"/>
      <c r="AB403" s="197"/>
      <c r="AC403" s="197"/>
      <c r="AD403" s="197"/>
      <c r="AE403" s="197"/>
      <c r="AF403" s="197"/>
      <c r="AG403" s="197"/>
      <c r="AH403" s="197"/>
      <c r="AI403" s="197"/>
      <c r="AJ403" s="201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</row>
    <row r="404" spans="1:63" ht="15" customHeight="1">
      <c r="A404" s="197"/>
      <c r="B404" s="197"/>
      <c r="C404" s="197"/>
      <c r="D404" s="197"/>
      <c r="E404" s="197"/>
      <c r="F404" s="197"/>
      <c r="G404" s="197"/>
      <c r="H404" s="197"/>
      <c r="I404" s="197"/>
      <c r="J404" s="197"/>
      <c r="K404" s="197"/>
      <c r="L404" s="197"/>
      <c r="M404" s="197"/>
      <c r="N404" s="197"/>
      <c r="O404" s="197"/>
      <c r="P404" s="197"/>
      <c r="Q404" s="197"/>
      <c r="R404" s="197"/>
      <c r="S404" s="197"/>
      <c r="T404" s="197"/>
      <c r="U404" s="197"/>
      <c r="V404" s="197"/>
      <c r="W404" s="197"/>
      <c r="X404" s="197"/>
      <c r="Y404" s="197"/>
      <c r="Z404" s="197"/>
      <c r="AA404" s="197"/>
      <c r="AB404" s="197"/>
      <c r="AC404" s="197"/>
      <c r="AD404" s="197"/>
      <c r="AE404" s="197"/>
      <c r="AF404" s="197"/>
      <c r="AG404" s="197"/>
      <c r="AH404" s="197"/>
      <c r="AI404" s="197"/>
      <c r="AJ404" s="201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</row>
    <row r="405" spans="1:63" ht="15" customHeight="1">
      <c r="A405" s="197"/>
      <c r="B405" s="197"/>
      <c r="C405" s="197"/>
      <c r="D405" s="197"/>
      <c r="E405" s="197"/>
      <c r="F405" s="197"/>
      <c r="G405" s="197"/>
      <c r="H405" s="197"/>
      <c r="I405" s="197"/>
      <c r="J405" s="197"/>
      <c r="K405" s="197"/>
      <c r="L405" s="197"/>
      <c r="M405" s="197"/>
      <c r="N405" s="197"/>
      <c r="O405" s="197"/>
      <c r="P405" s="197"/>
      <c r="Q405" s="197"/>
      <c r="R405" s="197"/>
      <c r="S405" s="197"/>
      <c r="T405" s="197"/>
      <c r="U405" s="197"/>
      <c r="V405" s="197"/>
      <c r="W405" s="197"/>
      <c r="X405" s="197"/>
      <c r="Y405" s="197"/>
      <c r="Z405" s="197"/>
      <c r="AA405" s="197"/>
      <c r="AB405" s="197"/>
      <c r="AC405" s="197"/>
      <c r="AD405" s="197"/>
      <c r="AE405" s="197"/>
      <c r="AF405" s="197"/>
      <c r="AG405" s="197"/>
      <c r="AH405" s="197"/>
      <c r="AI405" s="197"/>
      <c r="AJ405" s="201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</row>
    <row r="406" spans="1:63" ht="15" customHeight="1">
      <c r="A406" s="197"/>
      <c r="B406" s="197"/>
      <c r="C406" s="197"/>
      <c r="D406" s="197"/>
      <c r="E406" s="197"/>
      <c r="F406" s="197"/>
      <c r="G406" s="197"/>
      <c r="H406" s="197"/>
      <c r="I406" s="197"/>
      <c r="J406" s="197"/>
      <c r="K406" s="197"/>
      <c r="L406" s="197"/>
      <c r="M406" s="197"/>
      <c r="N406" s="197"/>
      <c r="O406" s="197"/>
      <c r="P406" s="197"/>
      <c r="Q406" s="197"/>
      <c r="R406" s="197"/>
      <c r="S406" s="197"/>
      <c r="T406" s="197"/>
      <c r="U406" s="197"/>
      <c r="V406" s="197"/>
      <c r="W406" s="197"/>
      <c r="X406" s="197"/>
      <c r="Y406" s="197"/>
      <c r="Z406" s="197"/>
      <c r="AA406" s="197"/>
      <c r="AB406" s="197"/>
      <c r="AC406" s="197"/>
      <c r="AD406" s="197"/>
      <c r="AE406" s="197"/>
      <c r="AF406" s="197"/>
      <c r="AG406" s="197"/>
      <c r="AH406" s="197"/>
      <c r="AI406" s="197"/>
      <c r="AJ406" s="201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</row>
    <row r="407" spans="1:63" ht="15" customHeight="1">
      <c r="A407" s="197"/>
      <c r="B407" s="197"/>
      <c r="C407" s="197"/>
      <c r="D407" s="197"/>
      <c r="E407" s="197"/>
      <c r="F407" s="197"/>
      <c r="G407" s="197"/>
      <c r="H407" s="197"/>
      <c r="I407" s="197"/>
      <c r="J407" s="197"/>
      <c r="K407" s="197"/>
      <c r="L407" s="197"/>
      <c r="M407" s="197"/>
      <c r="N407" s="197"/>
      <c r="O407" s="197"/>
      <c r="P407" s="197"/>
      <c r="Q407" s="197"/>
      <c r="R407" s="197"/>
      <c r="S407" s="197"/>
      <c r="T407" s="197"/>
      <c r="U407" s="197"/>
      <c r="V407" s="197"/>
      <c r="W407" s="197"/>
      <c r="X407" s="197"/>
      <c r="Y407" s="197"/>
      <c r="Z407" s="197"/>
      <c r="AA407" s="197"/>
      <c r="AB407" s="197"/>
      <c r="AC407" s="197"/>
      <c r="AD407" s="197"/>
      <c r="AE407" s="197"/>
      <c r="AF407" s="197"/>
      <c r="AG407" s="197"/>
      <c r="AH407" s="197"/>
      <c r="AI407" s="197"/>
      <c r="AJ407" s="201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</row>
    <row r="408" spans="1:63" ht="15" customHeight="1">
      <c r="A408" s="197"/>
      <c r="B408" s="197"/>
      <c r="C408" s="197"/>
      <c r="D408" s="197"/>
      <c r="E408" s="197"/>
      <c r="F408" s="197"/>
      <c r="G408" s="197"/>
      <c r="H408" s="197"/>
      <c r="I408" s="197"/>
      <c r="J408" s="197"/>
      <c r="K408" s="197"/>
      <c r="L408" s="197"/>
      <c r="M408" s="197"/>
      <c r="N408" s="197"/>
      <c r="O408" s="197"/>
      <c r="P408" s="197"/>
      <c r="Q408" s="197"/>
      <c r="R408" s="197"/>
      <c r="S408" s="197"/>
      <c r="T408" s="197"/>
      <c r="U408" s="197"/>
      <c r="V408" s="197"/>
      <c r="W408" s="197"/>
      <c r="X408" s="197"/>
      <c r="Y408" s="197"/>
      <c r="Z408" s="197"/>
      <c r="AA408" s="197"/>
      <c r="AB408" s="197"/>
      <c r="AC408" s="197"/>
      <c r="AD408" s="197"/>
      <c r="AE408" s="197"/>
      <c r="AF408" s="197"/>
      <c r="AG408" s="197"/>
      <c r="AH408" s="197"/>
      <c r="AI408" s="197"/>
      <c r="AJ408" s="201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</row>
    <row r="409" spans="1:63" ht="15" customHeight="1">
      <c r="A409" s="197"/>
      <c r="B409" s="197"/>
      <c r="C409" s="197"/>
      <c r="D409" s="197"/>
      <c r="E409" s="197"/>
      <c r="F409" s="197"/>
      <c r="G409" s="197"/>
      <c r="H409" s="197"/>
      <c r="I409" s="197"/>
      <c r="J409" s="197"/>
      <c r="K409" s="197"/>
      <c r="L409" s="197"/>
      <c r="M409" s="197"/>
      <c r="N409" s="197"/>
      <c r="O409" s="197"/>
      <c r="P409" s="197"/>
      <c r="Q409" s="197"/>
      <c r="R409" s="197"/>
      <c r="S409" s="197"/>
      <c r="T409" s="197"/>
      <c r="U409" s="197"/>
      <c r="V409" s="197"/>
      <c r="W409" s="197"/>
      <c r="X409" s="197"/>
      <c r="Y409" s="197"/>
      <c r="Z409" s="197"/>
      <c r="AA409" s="197"/>
      <c r="AB409" s="197"/>
      <c r="AC409" s="197"/>
      <c r="AD409" s="197"/>
      <c r="AE409" s="197"/>
      <c r="AF409" s="197"/>
      <c r="AG409" s="197"/>
      <c r="AH409" s="197"/>
      <c r="AI409" s="197"/>
      <c r="AJ409" s="201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</row>
    <row r="410" spans="1:63" ht="15" customHeight="1">
      <c r="A410" s="197"/>
      <c r="B410" s="197"/>
      <c r="C410" s="197"/>
      <c r="D410" s="197"/>
      <c r="E410" s="197"/>
      <c r="F410" s="197"/>
      <c r="G410" s="197"/>
      <c r="H410" s="197"/>
      <c r="I410" s="197"/>
      <c r="J410" s="197"/>
      <c r="K410" s="197"/>
      <c r="L410" s="197"/>
      <c r="M410" s="197"/>
      <c r="N410" s="197"/>
      <c r="O410" s="197"/>
      <c r="P410" s="197"/>
      <c r="Q410" s="197"/>
      <c r="R410" s="197"/>
      <c r="S410" s="197"/>
      <c r="T410" s="197"/>
      <c r="U410" s="197"/>
      <c r="V410" s="197"/>
      <c r="W410" s="197"/>
      <c r="X410" s="197"/>
      <c r="Y410" s="197"/>
      <c r="Z410" s="197"/>
      <c r="AA410" s="197"/>
      <c r="AB410" s="197"/>
      <c r="AC410" s="197"/>
      <c r="AD410" s="197"/>
      <c r="AE410" s="197"/>
      <c r="AF410" s="197"/>
      <c r="AG410" s="197"/>
      <c r="AH410" s="197"/>
      <c r="AI410" s="197"/>
      <c r="AJ410" s="201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</row>
    <row r="411" spans="1:63" ht="15" customHeight="1">
      <c r="A411" s="197"/>
      <c r="B411" s="197"/>
      <c r="C411" s="197"/>
      <c r="D411" s="197"/>
      <c r="E411" s="197"/>
      <c r="F411" s="197"/>
      <c r="G411" s="197"/>
      <c r="H411" s="197"/>
      <c r="I411" s="197"/>
      <c r="J411" s="197"/>
      <c r="K411" s="197"/>
      <c r="L411" s="197"/>
      <c r="M411" s="197"/>
      <c r="N411" s="197"/>
      <c r="O411" s="197"/>
      <c r="P411" s="197"/>
      <c r="Q411" s="197"/>
      <c r="R411" s="197"/>
      <c r="S411" s="197"/>
      <c r="T411" s="197"/>
      <c r="U411" s="197"/>
      <c r="V411" s="197"/>
      <c r="W411" s="197"/>
      <c r="X411" s="197"/>
      <c r="Y411" s="197"/>
      <c r="Z411" s="197"/>
      <c r="AA411" s="197"/>
      <c r="AB411" s="197"/>
      <c r="AC411" s="197"/>
      <c r="AD411" s="197"/>
      <c r="AE411" s="197"/>
      <c r="AF411" s="197"/>
      <c r="AG411" s="197"/>
      <c r="AH411" s="197"/>
      <c r="AI411" s="197"/>
      <c r="AJ411" s="201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</row>
    <row r="412" spans="1:63" ht="15" customHeight="1">
      <c r="A412" s="197"/>
      <c r="B412" s="197"/>
      <c r="C412" s="197"/>
      <c r="D412" s="197"/>
      <c r="E412" s="197"/>
      <c r="F412" s="197"/>
      <c r="G412" s="197"/>
      <c r="H412" s="197"/>
      <c r="I412" s="197"/>
      <c r="J412" s="197"/>
      <c r="K412" s="197"/>
      <c r="L412" s="197"/>
      <c r="M412" s="197"/>
      <c r="N412" s="197"/>
      <c r="O412" s="197"/>
      <c r="P412" s="197"/>
      <c r="Q412" s="197"/>
      <c r="R412" s="197"/>
      <c r="S412" s="197"/>
      <c r="T412" s="197"/>
      <c r="U412" s="197"/>
      <c r="V412" s="197"/>
      <c r="W412" s="197"/>
      <c r="X412" s="197"/>
      <c r="Y412" s="197"/>
      <c r="Z412" s="197"/>
      <c r="AA412" s="197"/>
      <c r="AB412" s="197"/>
      <c r="AC412" s="197"/>
      <c r="AD412" s="197"/>
      <c r="AE412" s="197"/>
      <c r="AF412" s="197"/>
      <c r="AG412" s="197"/>
      <c r="AH412" s="197"/>
      <c r="AI412" s="197"/>
      <c r="AJ412" s="201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</row>
    <row r="413" spans="1:63" ht="15" customHeight="1">
      <c r="A413" s="197"/>
      <c r="B413" s="197"/>
      <c r="C413" s="197"/>
      <c r="D413" s="197"/>
      <c r="E413" s="197"/>
      <c r="F413" s="197"/>
      <c r="G413" s="197"/>
      <c r="H413" s="197"/>
      <c r="I413" s="197"/>
      <c r="J413" s="197"/>
      <c r="K413" s="197"/>
      <c r="L413" s="197"/>
      <c r="M413" s="197"/>
      <c r="N413" s="197"/>
      <c r="O413" s="197"/>
      <c r="P413" s="197"/>
      <c r="Q413" s="197"/>
      <c r="R413" s="197"/>
      <c r="S413" s="197"/>
      <c r="T413" s="197"/>
      <c r="U413" s="197"/>
      <c r="V413" s="197"/>
      <c r="W413" s="197"/>
      <c r="X413" s="197"/>
      <c r="Y413" s="197"/>
      <c r="Z413" s="197"/>
      <c r="AA413" s="197"/>
      <c r="AB413" s="197"/>
      <c r="AC413" s="197"/>
      <c r="AD413" s="197"/>
      <c r="AE413" s="197"/>
      <c r="AF413" s="197"/>
      <c r="AG413" s="197"/>
      <c r="AH413" s="197"/>
      <c r="AI413" s="197"/>
      <c r="AJ413" s="201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</row>
    <row r="414" spans="1:63" ht="15" customHeight="1">
      <c r="A414" s="197"/>
      <c r="B414" s="197"/>
      <c r="C414" s="197"/>
      <c r="D414" s="197"/>
      <c r="E414" s="197"/>
      <c r="F414" s="197"/>
      <c r="G414" s="197"/>
      <c r="H414" s="197"/>
      <c r="I414" s="197"/>
      <c r="J414" s="197"/>
      <c r="K414" s="197"/>
      <c r="L414" s="197"/>
      <c r="M414" s="197"/>
      <c r="N414" s="197"/>
      <c r="O414" s="197"/>
      <c r="P414" s="197"/>
      <c r="Q414" s="197"/>
      <c r="R414" s="197"/>
      <c r="S414" s="197"/>
      <c r="T414" s="197"/>
      <c r="U414" s="197"/>
      <c r="V414" s="197"/>
      <c r="W414" s="197"/>
      <c r="X414" s="197"/>
      <c r="Y414" s="197"/>
      <c r="Z414" s="197"/>
      <c r="AA414" s="197"/>
      <c r="AB414" s="197"/>
      <c r="AC414" s="197"/>
      <c r="AD414" s="197"/>
      <c r="AE414" s="197"/>
      <c r="AF414" s="197"/>
      <c r="AG414" s="197"/>
      <c r="AH414" s="197"/>
      <c r="AI414" s="197"/>
      <c r="AJ414" s="201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</row>
    <row r="415" spans="1:63" ht="15" customHeight="1">
      <c r="A415" s="197"/>
      <c r="B415" s="197"/>
      <c r="C415" s="197"/>
      <c r="D415" s="197"/>
      <c r="E415" s="197"/>
      <c r="F415" s="197"/>
      <c r="G415" s="197"/>
      <c r="H415" s="197"/>
      <c r="I415" s="197"/>
      <c r="J415" s="197"/>
      <c r="K415" s="197"/>
      <c r="L415" s="197"/>
      <c r="M415" s="197"/>
      <c r="N415" s="197"/>
      <c r="O415" s="197"/>
      <c r="P415" s="197"/>
      <c r="Q415" s="197"/>
      <c r="R415" s="197"/>
      <c r="S415" s="197"/>
      <c r="T415" s="197"/>
      <c r="U415" s="197"/>
      <c r="V415" s="197"/>
      <c r="W415" s="197"/>
      <c r="X415" s="197"/>
      <c r="Y415" s="197"/>
      <c r="Z415" s="197"/>
      <c r="AA415" s="197"/>
      <c r="AB415" s="197"/>
      <c r="AC415" s="197"/>
      <c r="AD415" s="197"/>
      <c r="AE415" s="197"/>
      <c r="AF415" s="197"/>
      <c r="AG415" s="197"/>
      <c r="AH415" s="197"/>
      <c r="AI415" s="197"/>
      <c r="AJ415" s="201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</row>
    <row r="416" spans="1:63" ht="15" customHeight="1">
      <c r="A416" s="197"/>
      <c r="B416" s="197"/>
      <c r="C416" s="197"/>
      <c r="D416" s="197"/>
      <c r="E416" s="197"/>
      <c r="F416" s="197"/>
      <c r="G416" s="197"/>
      <c r="H416" s="197"/>
      <c r="I416" s="197"/>
      <c r="J416" s="197"/>
      <c r="K416" s="197"/>
      <c r="L416" s="197"/>
      <c r="M416" s="197"/>
      <c r="N416" s="197"/>
      <c r="O416" s="197"/>
      <c r="P416" s="197"/>
      <c r="Q416" s="197"/>
      <c r="R416" s="197"/>
      <c r="S416" s="197"/>
      <c r="T416" s="197"/>
      <c r="U416" s="197"/>
      <c r="V416" s="197"/>
      <c r="W416" s="197"/>
      <c r="X416" s="197"/>
      <c r="Y416" s="197"/>
      <c r="Z416" s="197"/>
      <c r="AA416" s="197"/>
      <c r="AB416" s="197"/>
      <c r="AC416" s="197"/>
      <c r="AD416" s="197"/>
      <c r="AE416" s="197"/>
      <c r="AF416" s="197"/>
      <c r="AG416" s="197"/>
      <c r="AH416" s="197"/>
      <c r="AI416" s="197"/>
      <c r="AJ416" s="201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</row>
    <row r="417" spans="1:63" ht="15" customHeight="1">
      <c r="A417" s="197"/>
      <c r="B417" s="197"/>
      <c r="C417" s="197"/>
      <c r="D417" s="197"/>
      <c r="E417" s="197"/>
      <c r="F417" s="197"/>
      <c r="G417" s="197"/>
      <c r="H417" s="197"/>
      <c r="I417" s="197"/>
      <c r="J417" s="197"/>
      <c r="K417" s="197"/>
      <c r="L417" s="197"/>
      <c r="M417" s="197"/>
      <c r="N417" s="197"/>
      <c r="O417" s="197"/>
      <c r="P417" s="197"/>
      <c r="Q417" s="197"/>
      <c r="R417" s="197"/>
      <c r="S417" s="197"/>
      <c r="T417" s="197"/>
      <c r="U417" s="197"/>
      <c r="V417" s="197"/>
      <c r="W417" s="197"/>
      <c r="X417" s="197"/>
      <c r="Y417" s="197"/>
      <c r="Z417" s="197"/>
      <c r="AA417" s="197"/>
      <c r="AB417" s="197"/>
      <c r="AC417" s="197"/>
      <c r="AD417" s="197"/>
      <c r="AE417" s="197"/>
      <c r="AF417" s="197"/>
      <c r="AG417" s="197"/>
      <c r="AH417" s="197"/>
      <c r="AI417" s="197"/>
      <c r="AJ417" s="201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</row>
    <row r="418" spans="1:63" ht="15" customHeight="1">
      <c r="A418" s="197"/>
      <c r="B418" s="197"/>
      <c r="C418" s="197"/>
      <c r="D418" s="197"/>
      <c r="E418" s="197"/>
      <c r="F418" s="197"/>
      <c r="G418" s="197"/>
      <c r="H418" s="197"/>
      <c r="I418" s="197"/>
      <c r="J418" s="197"/>
      <c r="K418" s="197"/>
      <c r="L418" s="197"/>
      <c r="M418" s="197"/>
      <c r="N418" s="197"/>
      <c r="O418" s="197"/>
      <c r="P418" s="197"/>
      <c r="Q418" s="197"/>
      <c r="R418" s="197"/>
      <c r="S418" s="197"/>
      <c r="T418" s="197"/>
      <c r="U418" s="197"/>
      <c r="V418" s="197"/>
      <c r="W418" s="197"/>
      <c r="X418" s="197"/>
      <c r="Y418" s="197"/>
      <c r="Z418" s="197"/>
      <c r="AA418" s="197"/>
      <c r="AB418" s="197"/>
      <c r="AC418" s="197"/>
      <c r="AD418" s="197"/>
      <c r="AE418" s="197"/>
      <c r="AF418" s="197"/>
      <c r="AG418" s="197"/>
      <c r="AH418" s="197"/>
      <c r="AI418" s="197"/>
      <c r="AJ418" s="201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</row>
    <row r="419" spans="1:63" ht="15" customHeight="1">
      <c r="A419" s="197"/>
      <c r="B419" s="197"/>
      <c r="C419" s="197"/>
      <c r="D419" s="197"/>
      <c r="E419" s="197"/>
      <c r="F419" s="197"/>
      <c r="G419" s="197"/>
      <c r="H419" s="197"/>
      <c r="I419" s="197"/>
      <c r="J419" s="197"/>
      <c r="K419" s="197"/>
      <c r="L419" s="197"/>
      <c r="M419" s="197"/>
      <c r="N419" s="197"/>
      <c r="O419" s="197"/>
      <c r="P419" s="197"/>
      <c r="Q419" s="197"/>
      <c r="R419" s="197"/>
      <c r="S419" s="197"/>
      <c r="T419" s="197"/>
      <c r="U419" s="197"/>
      <c r="V419" s="197"/>
      <c r="W419" s="197"/>
      <c r="X419" s="197"/>
      <c r="Y419" s="197"/>
      <c r="Z419" s="197"/>
      <c r="AA419" s="197"/>
      <c r="AB419" s="197"/>
      <c r="AC419" s="197"/>
      <c r="AD419" s="197"/>
      <c r="AE419" s="197"/>
      <c r="AF419" s="197"/>
      <c r="AG419" s="197"/>
      <c r="AH419" s="197"/>
      <c r="AI419" s="197"/>
      <c r="AJ419" s="201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</row>
    <row r="420" spans="1:63" ht="15" customHeight="1">
      <c r="A420" s="197"/>
      <c r="B420" s="197"/>
      <c r="C420" s="197"/>
      <c r="D420" s="197"/>
      <c r="E420" s="197"/>
      <c r="F420" s="197"/>
      <c r="G420" s="197"/>
      <c r="H420" s="197"/>
      <c r="I420" s="197"/>
      <c r="J420" s="197"/>
      <c r="K420" s="197"/>
      <c r="L420" s="197"/>
      <c r="M420" s="197"/>
      <c r="N420" s="197"/>
      <c r="O420" s="197"/>
      <c r="P420" s="197"/>
      <c r="Q420" s="197"/>
      <c r="R420" s="197"/>
      <c r="S420" s="197"/>
      <c r="T420" s="197"/>
      <c r="U420" s="197"/>
      <c r="V420" s="197"/>
      <c r="W420" s="197"/>
      <c r="X420" s="197"/>
      <c r="Y420" s="197"/>
      <c r="Z420" s="197"/>
      <c r="AA420" s="197"/>
      <c r="AB420" s="197"/>
      <c r="AC420" s="197"/>
      <c r="AD420" s="197"/>
      <c r="AE420" s="197"/>
      <c r="AF420" s="197"/>
      <c r="AG420" s="197"/>
      <c r="AH420" s="197"/>
      <c r="AI420" s="197"/>
      <c r="AJ420" s="201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</row>
    <row r="421" spans="1:63" ht="15" customHeight="1">
      <c r="A421" s="197"/>
      <c r="B421" s="197"/>
      <c r="C421" s="197"/>
      <c r="D421" s="197"/>
      <c r="E421" s="197"/>
      <c r="F421" s="197"/>
      <c r="G421" s="197"/>
      <c r="H421" s="197"/>
      <c r="I421" s="197"/>
      <c r="J421" s="197"/>
      <c r="K421" s="197"/>
      <c r="L421" s="197"/>
      <c r="M421" s="197"/>
      <c r="N421" s="197"/>
      <c r="O421" s="197"/>
      <c r="P421" s="197"/>
      <c r="Q421" s="197"/>
      <c r="R421" s="197"/>
      <c r="S421" s="197"/>
      <c r="T421" s="197"/>
      <c r="U421" s="197"/>
      <c r="V421" s="197"/>
      <c r="W421" s="197"/>
      <c r="X421" s="197"/>
      <c r="Y421" s="197"/>
      <c r="Z421" s="197"/>
      <c r="AA421" s="197"/>
      <c r="AB421" s="197"/>
      <c r="AC421" s="197"/>
      <c r="AD421" s="197"/>
      <c r="AE421" s="197"/>
      <c r="AF421" s="197"/>
      <c r="AG421" s="197"/>
      <c r="AH421" s="197"/>
      <c r="AI421" s="197"/>
      <c r="AJ421" s="201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</row>
    <row r="422" spans="1:63" ht="15" customHeight="1">
      <c r="A422" s="197"/>
      <c r="B422" s="197"/>
      <c r="C422" s="197"/>
      <c r="D422" s="197"/>
      <c r="E422" s="197"/>
      <c r="F422" s="197"/>
      <c r="G422" s="197"/>
      <c r="H422" s="197"/>
      <c r="I422" s="197"/>
      <c r="J422" s="197"/>
      <c r="K422" s="197"/>
      <c r="L422" s="197"/>
      <c r="M422" s="197"/>
      <c r="N422" s="197"/>
      <c r="O422" s="197"/>
      <c r="P422" s="197"/>
      <c r="Q422" s="197"/>
      <c r="R422" s="197"/>
      <c r="S422" s="197"/>
      <c r="T422" s="197"/>
      <c r="U422" s="197"/>
      <c r="V422" s="197"/>
      <c r="W422" s="197"/>
      <c r="X422" s="197"/>
      <c r="Y422" s="197"/>
      <c r="Z422" s="197"/>
      <c r="AA422" s="197"/>
      <c r="AB422" s="197"/>
      <c r="AC422" s="197"/>
      <c r="AD422" s="197"/>
      <c r="AE422" s="197"/>
      <c r="AF422" s="197"/>
      <c r="AG422" s="197"/>
      <c r="AH422" s="197"/>
      <c r="AI422" s="197"/>
      <c r="AJ422" s="201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</row>
    <row r="423" spans="1:63" ht="15" customHeight="1">
      <c r="A423" s="197"/>
      <c r="B423" s="197"/>
      <c r="C423" s="197"/>
      <c r="D423" s="197"/>
      <c r="E423" s="197"/>
      <c r="F423" s="197"/>
      <c r="G423" s="197"/>
      <c r="H423" s="197"/>
      <c r="I423" s="197"/>
      <c r="J423" s="197"/>
      <c r="K423" s="197"/>
      <c r="L423" s="197"/>
      <c r="M423" s="197"/>
      <c r="N423" s="197"/>
      <c r="O423" s="197"/>
      <c r="P423" s="197"/>
      <c r="Q423" s="197"/>
      <c r="R423" s="197"/>
      <c r="S423" s="197"/>
      <c r="T423" s="197"/>
      <c r="U423" s="197"/>
      <c r="V423" s="197"/>
      <c r="W423" s="197"/>
      <c r="X423" s="197"/>
      <c r="Y423" s="197"/>
      <c r="Z423" s="197"/>
      <c r="AA423" s="197"/>
      <c r="AB423" s="197"/>
      <c r="AC423" s="197"/>
      <c r="AD423" s="197"/>
      <c r="AE423" s="197"/>
      <c r="AF423" s="197"/>
      <c r="AG423" s="197"/>
      <c r="AH423" s="197"/>
      <c r="AI423" s="197"/>
      <c r="AJ423" s="201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</row>
    <row r="424" spans="1:63" ht="15" customHeight="1">
      <c r="A424" s="197"/>
      <c r="B424" s="197"/>
      <c r="C424" s="197"/>
      <c r="D424" s="197"/>
      <c r="E424" s="197"/>
      <c r="F424" s="197"/>
      <c r="G424" s="197"/>
      <c r="H424" s="197"/>
      <c r="I424" s="197"/>
      <c r="J424" s="197"/>
      <c r="K424" s="197"/>
      <c r="L424" s="197"/>
      <c r="M424" s="197"/>
      <c r="N424" s="197"/>
      <c r="O424" s="197"/>
      <c r="P424" s="197"/>
      <c r="Q424" s="197"/>
      <c r="R424" s="197"/>
      <c r="S424" s="197"/>
      <c r="T424" s="197"/>
      <c r="U424" s="197"/>
      <c r="V424" s="197"/>
      <c r="W424" s="197"/>
      <c r="X424" s="197"/>
      <c r="Y424" s="197"/>
      <c r="Z424" s="197"/>
      <c r="AA424" s="197"/>
      <c r="AB424" s="197"/>
      <c r="AC424" s="197"/>
      <c r="AD424" s="197"/>
      <c r="AE424" s="197"/>
      <c r="AF424" s="197"/>
      <c r="AG424" s="197"/>
      <c r="AH424" s="197"/>
      <c r="AI424" s="197"/>
      <c r="AJ424" s="201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</row>
    <row r="425" spans="1:63" ht="15" customHeight="1">
      <c r="A425" s="197"/>
      <c r="B425" s="197"/>
      <c r="C425" s="197"/>
      <c r="D425" s="197"/>
      <c r="E425" s="197"/>
      <c r="F425" s="197"/>
      <c r="G425" s="197"/>
      <c r="H425" s="197"/>
      <c r="I425" s="197"/>
      <c r="J425" s="197"/>
      <c r="K425" s="197"/>
      <c r="L425" s="197"/>
      <c r="M425" s="197"/>
      <c r="N425" s="197"/>
      <c r="O425" s="197"/>
      <c r="P425" s="197"/>
      <c r="Q425" s="197"/>
      <c r="R425" s="197"/>
      <c r="S425" s="197"/>
      <c r="T425" s="197"/>
      <c r="U425" s="197"/>
      <c r="V425" s="197"/>
      <c r="W425" s="197"/>
      <c r="X425" s="197"/>
      <c r="Y425" s="197"/>
      <c r="Z425" s="197"/>
      <c r="AA425" s="197"/>
      <c r="AB425" s="197"/>
      <c r="AC425" s="197"/>
      <c r="AD425" s="197"/>
      <c r="AE425" s="197"/>
      <c r="AF425" s="197"/>
      <c r="AG425" s="197"/>
      <c r="AH425" s="197"/>
      <c r="AI425" s="197"/>
      <c r="AJ425" s="201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</row>
    <row r="426" spans="1:63" ht="15" customHeight="1">
      <c r="A426" s="197"/>
      <c r="B426" s="197"/>
      <c r="C426" s="197"/>
      <c r="D426" s="197"/>
      <c r="E426" s="197"/>
      <c r="F426" s="197"/>
      <c r="G426" s="197"/>
      <c r="H426" s="197"/>
      <c r="I426" s="197"/>
      <c r="J426" s="197"/>
      <c r="K426" s="197"/>
      <c r="L426" s="197"/>
      <c r="M426" s="197"/>
      <c r="N426" s="197"/>
      <c r="O426" s="197"/>
      <c r="P426" s="197"/>
      <c r="Q426" s="197"/>
      <c r="R426" s="197"/>
      <c r="S426" s="197"/>
      <c r="T426" s="197"/>
      <c r="U426" s="197"/>
      <c r="V426" s="197"/>
      <c r="W426" s="197"/>
      <c r="X426" s="197"/>
      <c r="Y426" s="197"/>
      <c r="Z426" s="197"/>
      <c r="AA426" s="197"/>
      <c r="AB426" s="197"/>
      <c r="AC426" s="197"/>
      <c r="AD426" s="197"/>
      <c r="AE426" s="197"/>
      <c r="AF426" s="197"/>
      <c r="AG426" s="197"/>
      <c r="AH426" s="197"/>
      <c r="AI426" s="197"/>
      <c r="AJ426" s="201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</row>
    <row r="427" spans="1:63" ht="15" customHeight="1">
      <c r="A427" s="197"/>
      <c r="B427" s="197"/>
      <c r="C427" s="197"/>
      <c r="D427" s="197"/>
      <c r="E427" s="197"/>
      <c r="F427" s="197"/>
      <c r="G427" s="197"/>
      <c r="H427" s="197"/>
      <c r="I427" s="197"/>
      <c r="J427" s="197"/>
      <c r="K427" s="197"/>
      <c r="L427" s="197"/>
      <c r="M427" s="197"/>
      <c r="N427" s="197"/>
      <c r="O427" s="197"/>
      <c r="P427" s="197"/>
      <c r="Q427" s="197"/>
      <c r="R427" s="197"/>
      <c r="S427" s="197"/>
      <c r="T427" s="197"/>
      <c r="U427" s="197"/>
      <c r="V427" s="197"/>
      <c r="W427" s="197"/>
      <c r="X427" s="197"/>
      <c r="Y427" s="197"/>
      <c r="Z427" s="197"/>
      <c r="AA427" s="197"/>
      <c r="AB427" s="197"/>
      <c r="AC427" s="197"/>
      <c r="AD427" s="197"/>
      <c r="AE427" s="197"/>
      <c r="AF427" s="197"/>
      <c r="AG427" s="197"/>
      <c r="AH427" s="197"/>
      <c r="AI427" s="197"/>
      <c r="AJ427" s="201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</row>
    <row r="428" spans="1:63" ht="15" customHeight="1">
      <c r="A428" s="197"/>
      <c r="B428" s="197"/>
      <c r="C428" s="197"/>
      <c r="D428" s="197"/>
      <c r="E428" s="197"/>
      <c r="F428" s="197"/>
      <c r="G428" s="197"/>
      <c r="H428" s="197"/>
      <c r="I428" s="197"/>
      <c r="J428" s="197"/>
      <c r="K428" s="197"/>
      <c r="L428" s="197"/>
      <c r="M428" s="197"/>
      <c r="N428" s="197"/>
      <c r="O428" s="197"/>
      <c r="P428" s="197"/>
      <c r="Q428" s="197"/>
      <c r="R428" s="197"/>
      <c r="S428" s="197"/>
      <c r="T428" s="197"/>
      <c r="U428" s="197"/>
      <c r="V428" s="197"/>
      <c r="W428" s="197"/>
      <c r="X428" s="197"/>
      <c r="Y428" s="197"/>
      <c r="Z428" s="197"/>
      <c r="AA428" s="197"/>
      <c r="AB428" s="197"/>
      <c r="AC428" s="197"/>
      <c r="AD428" s="197"/>
      <c r="AE428" s="197"/>
      <c r="AF428" s="197"/>
      <c r="AG428" s="197"/>
      <c r="AH428" s="197"/>
      <c r="AI428" s="197"/>
      <c r="AJ428" s="201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</row>
    <row r="429" spans="1:63" ht="15" customHeight="1">
      <c r="A429" s="197"/>
      <c r="B429" s="197"/>
      <c r="C429" s="197"/>
      <c r="D429" s="197"/>
      <c r="E429" s="197"/>
      <c r="F429" s="197"/>
      <c r="G429" s="197"/>
      <c r="H429" s="197"/>
      <c r="I429" s="197"/>
      <c r="J429" s="197"/>
      <c r="K429" s="197"/>
      <c r="L429" s="197"/>
      <c r="M429" s="197"/>
      <c r="N429" s="197"/>
      <c r="O429" s="197"/>
      <c r="P429" s="197"/>
      <c r="Q429" s="197"/>
      <c r="R429" s="197"/>
      <c r="S429" s="197"/>
      <c r="T429" s="197"/>
      <c r="U429" s="197"/>
      <c r="V429" s="197"/>
      <c r="W429" s="197"/>
      <c r="X429" s="197"/>
      <c r="Y429" s="197"/>
      <c r="Z429" s="197"/>
      <c r="AA429" s="197"/>
      <c r="AB429" s="197"/>
      <c r="AC429" s="197"/>
      <c r="AD429" s="197"/>
      <c r="AE429" s="197"/>
      <c r="AF429" s="197"/>
      <c r="AG429" s="197"/>
      <c r="AH429" s="197"/>
      <c r="AI429" s="197"/>
      <c r="AJ429" s="201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</row>
    <row r="430" spans="1:63" ht="15" customHeight="1">
      <c r="A430" s="197"/>
      <c r="B430" s="197"/>
      <c r="C430" s="197"/>
      <c r="D430" s="197"/>
      <c r="E430" s="197"/>
      <c r="F430" s="197"/>
      <c r="G430" s="197"/>
      <c r="H430" s="197"/>
      <c r="I430" s="197"/>
      <c r="J430" s="197"/>
      <c r="K430" s="197"/>
      <c r="L430" s="197"/>
      <c r="M430" s="197"/>
      <c r="N430" s="197"/>
      <c r="O430" s="197"/>
      <c r="P430" s="197"/>
      <c r="Q430" s="197"/>
      <c r="R430" s="197"/>
      <c r="S430" s="197"/>
      <c r="T430" s="197"/>
      <c r="U430" s="197"/>
      <c r="V430" s="197"/>
      <c r="W430" s="197"/>
      <c r="X430" s="197"/>
      <c r="Y430" s="197"/>
      <c r="Z430" s="197"/>
      <c r="AA430" s="197"/>
      <c r="AB430" s="197"/>
      <c r="AC430" s="197"/>
      <c r="AD430" s="197"/>
      <c r="AE430" s="197"/>
      <c r="AF430" s="197"/>
      <c r="AG430" s="197"/>
      <c r="AH430" s="197"/>
      <c r="AI430" s="197"/>
      <c r="AJ430" s="201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</row>
    <row r="431" spans="1:63" ht="15" customHeight="1">
      <c r="A431" s="197"/>
      <c r="B431" s="197"/>
      <c r="C431" s="197"/>
      <c r="D431" s="197"/>
      <c r="E431" s="197"/>
      <c r="F431" s="197"/>
      <c r="G431" s="197"/>
      <c r="H431" s="197"/>
      <c r="I431" s="197"/>
      <c r="J431" s="197"/>
      <c r="K431" s="197"/>
      <c r="L431" s="197"/>
      <c r="M431" s="197"/>
      <c r="N431" s="197"/>
      <c r="O431" s="197"/>
      <c r="P431" s="197"/>
      <c r="Q431" s="197"/>
      <c r="R431" s="197"/>
      <c r="S431" s="197"/>
      <c r="T431" s="197"/>
      <c r="U431" s="197"/>
      <c r="V431" s="197"/>
      <c r="W431" s="197"/>
      <c r="X431" s="197"/>
      <c r="Y431" s="197"/>
      <c r="Z431" s="197"/>
      <c r="AA431" s="197"/>
      <c r="AB431" s="197"/>
      <c r="AC431" s="197"/>
      <c r="AD431" s="197"/>
      <c r="AE431" s="197"/>
      <c r="AF431" s="197"/>
      <c r="AG431" s="197"/>
      <c r="AH431" s="197"/>
      <c r="AI431" s="197"/>
      <c r="AJ431" s="201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</row>
    <row r="432" spans="1:63" ht="15" customHeight="1">
      <c r="A432" s="197"/>
      <c r="B432" s="197"/>
      <c r="C432" s="197"/>
      <c r="D432" s="197"/>
      <c r="E432" s="197"/>
      <c r="F432" s="197"/>
      <c r="G432" s="197"/>
      <c r="H432" s="197"/>
      <c r="I432" s="197"/>
      <c r="J432" s="197"/>
      <c r="K432" s="197"/>
      <c r="L432" s="197"/>
      <c r="M432" s="197"/>
      <c r="N432" s="197"/>
      <c r="O432" s="197"/>
      <c r="P432" s="197"/>
      <c r="Q432" s="197"/>
      <c r="R432" s="197"/>
      <c r="S432" s="197"/>
      <c r="T432" s="197"/>
      <c r="U432" s="197"/>
      <c r="V432" s="197"/>
      <c r="W432" s="197"/>
      <c r="X432" s="197"/>
      <c r="Y432" s="197"/>
      <c r="Z432" s="197"/>
      <c r="AA432" s="197"/>
      <c r="AB432" s="197"/>
      <c r="AC432" s="197"/>
      <c r="AD432" s="197"/>
      <c r="AE432" s="197"/>
      <c r="AF432" s="197"/>
      <c r="AG432" s="197"/>
      <c r="AH432" s="197"/>
      <c r="AI432" s="197"/>
      <c r="AJ432" s="201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</row>
    <row r="433" spans="1:63" ht="15" customHeight="1">
      <c r="A433" s="197"/>
      <c r="B433" s="197"/>
      <c r="C433" s="197"/>
      <c r="D433" s="197"/>
      <c r="E433" s="197"/>
      <c r="F433" s="197"/>
      <c r="G433" s="197"/>
      <c r="H433" s="197"/>
      <c r="I433" s="197"/>
      <c r="J433" s="197"/>
      <c r="K433" s="197"/>
      <c r="L433" s="197"/>
      <c r="M433" s="197"/>
      <c r="N433" s="197"/>
      <c r="O433" s="197"/>
      <c r="P433" s="197"/>
      <c r="Q433" s="197"/>
      <c r="R433" s="197"/>
      <c r="S433" s="197"/>
      <c r="T433" s="197"/>
      <c r="U433" s="197"/>
      <c r="V433" s="197"/>
      <c r="W433" s="197"/>
      <c r="X433" s="197"/>
      <c r="Y433" s="197"/>
      <c r="Z433" s="197"/>
      <c r="AA433" s="197"/>
      <c r="AB433" s="197"/>
      <c r="AC433" s="197"/>
      <c r="AD433" s="197"/>
      <c r="AE433" s="197"/>
      <c r="AF433" s="197"/>
      <c r="AG433" s="197"/>
      <c r="AH433" s="197"/>
      <c r="AI433" s="197"/>
      <c r="AJ433" s="201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</row>
    <row r="434" spans="1:63" ht="15" customHeight="1">
      <c r="A434" s="197"/>
      <c r="B434" s="197"/>
      <c r="C434" s="197"/>
      <c r="D434" s="197"/>
      <c r="E434" s="197"/>
      <c r="F434" s="197"/>
      <c r="G434" s="197"/>
      <c r="H434" s="197"/>
      <c r="I434" s="197"/>
      <c r="J434" s="197"/>
      <c r="K434" s="197"/>
      <c r="L434" s="197"/>
      <c r="M434" s="197"/>
      <c r="N434" s="197"/>
      <c r="O434" s="197"/>
      <c r="P434" s="197"/>
      <c r="Q434" s="197"/>
      <c r="R434" s="197"/>
      <c r="S434" s="197"/>
      <c r="T434" s="197"/>
      <c r="U434" s="197"/>
      <c r="V434" s="197"/>
      <c r="W434" s="197"/>
      <c r="X434" s="197"/>
      <c r="Y434" s="197"/>
      <c r="Z434" s="197"/>
      <c r="AA434" s="197"/>
      <c r="AB434" s="197"/>
      <c r="AC434" s="197"/>
      <c r="AD434" s="197"/>
      <c r="AE434" s="197"/>
      <c r="AF434" s="197"/>
      <c r="AG434" s="197"/>
      <c r="AH434" s="197"/>
      <c r="AI434" s="197"/>
      <c r="AJ434" s="201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</row>
    <row r="435" spans="1:63" ht="15" customHeight="1">
      <c r="A435" s="197"/>
      <c r="B435" s="197"/>
      <c r="C435" s="197"/>
      <c r="D435" s="197"/>
      <c r="E435" s="197"/>
      <c r="F435" s="197"/>
      <c r="G435" s="197"/>
      <c r="H435" s="197"/>
      <c r="I435" s="197"/>
      <c r="J435" s="197"/>
      <c r="K435" s="197"/>
      <c r="L435" s="197"/>
      <c r="M435" s="197"/>
      <c r="N435" s="197"/>
      <c r="O435" s="197"/>
      <c r="P435" s="197"/>
      <c r="Q435" s="197"/>
      <c r="R435" s="197"/>
      <c r="S435" s="197"/>
      <c r="T435" s="197"/>
      <c r="U435" s="197"/>
      <c r="V435" s="197"/>
      <c r="W435" s="197"/>
      <c r="X435" s="197"/>
      <c r="Y435" s="197"/>
      <c r="Z435" s="197"/>
      <c r="AA435" s="197"/>
      <c r="AB435" s="197"/>
      <c r="AC435" s="197"/>
      <c r="AD435" s="197"/>
      <c r="AE435" s="197"/>
      <c r="AF435" s="197"/>
      <c r="AG435" s="197"/>
      <c r="AH435" s="197"/>
      <c r="AI435" s="197"/>
      <c r="AJ435" s="201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</row>
    <row r="436" spans="1:63" ht="15" customHeight="1">
      <c r="A436" s="197"/>
      <c r="B436" s="197"/>
      <c r="C436" s="197"/>
      <c r="D436" s="197"/>
      <c r="E436" s="197"/>
      <c r="F436" s="197"/>
      <c r="G436" s="197"/>
      <c r="H436" s="197"/>
      <c r="I436" s="197"/>
      <c r="J436" s="197"/>
      <c r="K436" s="197"/>
      <c r="L436" s="197"/>
      <c r="M436" s="197"/>
      <c r="N436" s="197"/>
      <c r="O436" s="197"/>
      <c r="P436" s="197"/>
      <c r="Q436" s="197"/>
      <c r="R436" s="197"/>
      <c r="S436" s="197"/>
      <c r="T436" s="197"/>
      <c r="U436" s="197"/>
      <c r="V436" s="197"/>
      <c r="W436" s="197"/>
      <c r="X436" s="197"/>
      <c r="Y436" s="197"/>
      <c r="Z436" s="197"/>
      <c r="AA436" s="197"/>
      <c r="AB436" s="197"/>
      <c r="AC436" s="197"/>
      <c r="AD436" s="197"/>
      <c r="AE436" s="197"/>
      <c r="AF436" s="197"/>
      <c r="AG436" s="197"/>
      <c r="AH436" s="197"/>
      <c r="AI436" s="197"/>
      <c r="AJ436" s="201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</row>
    <row r="437" spans="1:63" ht="15" customHeight="1">
      <c r="A437" s="197"/>
      <c r="B437" s="197"/>
      <c r="C437" s="197"/>
      <c r="D437" s="197"/>
      <c r="E437" s="197"/>
      <c r="F437" s="197"/>
      <c r="G437" s="197"/>
      <c r="H437" s="197"/>
      <c r="I437" s="197"/>
      <c r="J437" s="197"/>
      <c r="K437" s="197"/>
      <c r="L437" s="197"/>
      <c r="M437" s="197"/>
      <c r="N437" s="197"/>
      <c r="O437" s="197"/>
      <c r="P437" s="197"/>
      <c r="Q437" s="197"/>
      <c r="R437" s="197"/>
      <c r="S437" s="197"/>
      <c r="T437" s="197"/>
      <c r="U437" s="197"/>
      <c r="V437" s="197"/>
      <c r="W437" s="197"/>
      <c r="X437" s="197"/>
      <c r="Y437" s="197"/>
      <c r="Z437" s="197"/>
      <c r="AA437" s="197"/>
      <c r="AB437" s="197"/>
      <c r="AC437" s="197"/>
      <c r="AD437" s="197"/>
      <c r="AE437" s="197"/>
      <c r="AF437" s="197"/>
      <c r="AG437" s="197"/>
      <c r="AH437" s="197"/>
      <c r="AI437" s="197"/>
      <c r="AJ437" s="201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</row>
    <row r="438" spans="1:63" ht="15" customHeight="1">
      <c r="A438" s="197"/>
      <c r="B438" s="197"/>
      <c r="C438" s="197"/>
      <c r="D438" s="197"/>
      <c r="E438" s="197"/>
      <c r="F438" s="197"/>
      <c r="G438" s="197"/>
      <c r="H438" s="197"/>
      <c r="I438" s="197"/>
      <c r="J438" s="197"/>
      <c r="K438" s="197"/>
      <c r="L438" s="197"/>
      <c r="M438" s="197"/>
      <c r="N438" s="197"/>
      <c r="O438" s="197"/>
      <c r="P438" s="197"/>
      <c r="Q438" s="197"/>
      <c r="R438" s="197"/>
      <c r="S438" s="197"/>
      <c r="T438" s="197"/>
      <c r="U438" s="197"/>
      <c r="V438" s="197"/>
      <c r="W438" s="197"/>
      <c r="X438" s="197"/>
      <c r="Y438" s="197"/>
      <c r="Z438" s="197"/>
      <c r="AA438" s="197"/>
      <c r="AB438" s="197"/>
      <c r="AC438" s="197"/>
      <c r="AD438" s="197"/>
      <c r="AE438" s="197"/>
      <c r="AF438" s="197"/>
      <c r="AG438" s="197"/>
      <c r="AH438" s="197"/>
      <c r="AI438" s="197"/>
      <c r="AJ438" s="201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</row>
    <row r="439" spans="1:63" ht="15" customHeight="1">
      <c r="A439" s="197"/>
      <c r="B439" s="197"/>
      <c r="C439" s="197"/>
      <c r="D439" s="197"/>
      <c r="E439" s="197"/>
      <c r="F439" s="197"/>
      <c r="G439" s="197"/>
      <c r="H439" s="197"/>
      <c r="I439" s="197"/>
      <c r="J439" s="197"/>
      <c r="K439" s="197"/>
      <c r="L439" s="197"/>
      <c r="M439" s="197"/>
      <c r="N439" s="197"/>
      <c r="O439" s="197"/>
      <c r="P439" s="197"/>
      <c r="Q439" s="197"/>
      <c r="R439" s="197"/>
      <c r="S439" s="197"/>
      <c r="T439" s="197"/>
      <c r="U439" s="197"/>
      <c r="V439" s="197"/>
      <c r="W439" s="197"/>
      <c r="X439" s="197"/>
      <c r="Y439" s="197"/>
      <c r="Z439" s="197"/>
      <c r="AA439" s="197"/>
      <c r="AB439" s="197"/>
      <c r="AC439" s="197"/>
      <c r="AD439" s="197"/>
      <c r="AE439" s="197"/>
      <c r="AF439" s="197"/>
      <c r="AG439" s="197"/>
      <c r="AH439" s="197"/>
      <c r="AI439" s="197"/>
      <c r="AJ439" s="201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</row>
    <row r="440" spans="1:63" ht="15" customHeight="1">
      <c r="A440" s="197"/>
      <c r="B440" s="197"/>
      <c r="C440" s="197"/>
      <c r="D440" s="197"/>
      <c r="E440" s="197"/>
      <c r="F440" s="197"/>
      <c r="G440" s="197"/>
      <c r="H440" s="197"/>
      <c r="I440" s="197"/>
      <c r="J440" s="197"/>
      <c r="K440" s="197"/>
      <c r="L440" s="197"/>
      <c r="M440" s="197"/>
      <c r="N440" s="197"/>
      <c r="O440" s="197"/>
      <c r="P440" s="197"/>
      <c r="Q440" s="197"/>
      <c r="R440" s="197"/>
      <c r="S440" s="197"/>
      <c r="T440" s="197"/>
      <c r="U440" s="197"/>
      <c r="V440" s="197"/>
      <c r="W440" s="197"/>
      <c r="X440" s="197"/>
      <c r="Y440" s="197"/>
      <c r="Z440" s="197"/>
      <c r="AA440" s="197"/>
      <c r="AB440" s="197"/>
      <c r="AC440" s="197"/>
      <c r="AD440" s="197"/>
      <c r="AE440" s="197"/>
      <c r="AF440" s="197"/>
      <c r="AG440" s="197"/>
      <c r="AH440" s="197"/>
      <c r="AI440" s="197"/>
      <c r="AJ440" s="201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</row>
    <row r="441" spans="1:63" ht="15" customHeight="1">
      <c r="A441" s="197"/>
      <c r="B441" s="197"/>
      <c r="C441" s="197"/>
      <c r="D441" s="197"/>
      <c r="E441" s="197"/>
      <c r="F441" s="197"/>
      <c r="G441" s="197"/>
      <c r="H441" s="197"/>
      <c r="I441" s="197"/>
      <c r="J441" s="197"/>
      <c r="K441" s="197"/>
      <c r="L441" s="197"/>
      <c r="M441" s="197"/>
      <c r="N441" s="197"/>
      <c r="O441" s="197"/>
      <c r="P441" s="197"/>
      <c r="Q441" s="197"/>
      <c r="R441" s="197"/>
      <c r="S441" s="197"/>
      <c r="T441" s="197"/>
      <c r="U441" s="197"/>
      <c r="V441" s="197"/>
      <c r="W441" s="197"/>
      <c r="X441" s="197"/>
      <c r="Y441" s="197"/>
      <c r="Z441" s="197"/>
      <c r="AA441" s="197"/>
      <c r="AB441" s="197"/>
      <c r="AC441" s="197"/>
      <c r="AD441" s="197"/>
      <c r="AE441" s="197"/>
      <c r="AF441" s="197"/>
      <c r="AG441" s="197"/>
      <c r="AH441" s="197"/>
      <c r="AI441" s="197"/>
      <c r="AJ441" s="201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</row>
    <row r="442" spans="1:63" ht="15" customHeight="1">
      <c r="A442" s="197"/>
      <c r="B442" s="197"/>
      <c r="C442" s="197"/>
      <c r="D442" s="197"/>
      <c r="E442" s="197"/>
      <c r="F442" s="197"/>
      <c r="G442" s="197"/>
      <c r="H442" s="197"/>
      <c r="I442" s="197"/>
      <c r="J442" s="197"/>
      <c r="K442" s="197"/>
      <c r="L442" s="197"/>
      <c r="M442" s="197"/>
      <c r="N442" s="197"/>
      <c r="O442" s="197"/>
      <c r="P442" s="197"/>
      <c r="Q442" s="197"/>
      <c r="R442" s="197"/>
      <c r="S442" s="197"/>
      <c r="T442" s="197"/>
      <c r="U442" s="197"/>
      <c r="V442" s="197"/>
      <c r="W442" s="197"/>
      <c r="X442" s="197"/>
      <c r="Y442" s="197"/>
      <c r="Z442" s="197"/>
      <c r="AA442" s="197"/>
      <c r="AB442" s="197"/>
      <c r="AC442" s="197"/>
      <c r="AD442" s="197"/>
      <c r="AE442" s="197"/>
      <c r="AF442" s="197"/>
      <c r="AG442" s="197"/>
      <c r="AH442" s="197"/>
      <c r="AI442" s="197"/>
      <c r="AJ442" s="201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</row>
    <row r="443" spans="1:63" ht="15" customHeight="1">
      <c r="A443" s="197"/>
      <c r="B443" s="197"/>
      <c r="C443" s="197"/>
      <c r="D443" s="197"/>
      <c r="E443" s="197"/>
      <c r="F443" s="197"/>
      <c r="G443" s="197"/>
      <c r="H443" s="197"/>
      <c r="I443" s="197"/>
      <c r="J443" s="197"/>
      <c r="K443" s="197"/>
      <c r="L443" s="197"/>
      <c r="M443" s="197"/>
      <c r="N443" s="197"/>
      <c r="O443" s="197"/>
      <c r="P443" s="197"/>
      <c r="Q443" s="197"/>
      <c r="R443" s="197"/>
      <c r="S443" s="197"/>
      <c r="T443" s="197"/>
      <c r="U443" s="197"/>
      <c r="V443" s="197"/>
      <c r="W443" s="197"/>
      <c r="X443" s="197"/>
      <c r="Y443" s="197"/>
      <c r="Z443" s="197"/>
      <c r="AA443" s="197"/>
      <c r="AB443" s="197"/>
      <c r="AC443" s="197"/>
      <c r="AD443" s="197"/>
      <c r="AE443" s="197"/>
      <c r="AF443" s="197"/>
      <c r="AG443" s="197"/>
      <c r="AH443" s="197"/>
      <c r="AI443" s="197"/>
      <c r="AJ443" s="201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</row>
    <row r="444" spans="1:63" ht="15" customHeight="1">
      <c r="A444" s="197"/>
      <c r="B444" s="197"/>
      <c r="C444" s="197"/>
      <c r="D444" s="197"/>
      <c r="E444" s="197"/>
      <c r="F444" s="197"/>
      <c r="G444" s="197"/>
      <c r="H444" s="197"/>
      <c r="I444" s="197"/>
      <c r="J444" s="197"/>
      <c r="K444" s="197"/>
      <c r="L444" s="197"/>
      <c r="M444" s="197"/>
      <c r="N444" s="197"/>
      <c r="O444" s="197"/>
      <c r="P444" s="197"/>
      <c r="Q444" s="197"/>
      <c r="R444" s="197"/>
      <c r="S444" s="197"/>
      <c r="T444" s="197"/>
      <c r="U444" s="197"/>
      <c r="V444" s="197"/>
      <c r="W444" s="197"/>
      <c r="X444" s="197"/>
      <c r="Y444" s="197"/>
      <c r="Z444" s="197"/>
      <c r="AA444" s="197"/>
      <c r="AB444" s="197"/>
      <c r="AC444" s="197"/>
      <c r="AD444" s="197"/>
      <c r="AE444" s="197"/>
      <c r="AF444" s="197"/>
      <c r="AG444" s="197"/>
      <c r="AH444" s="197"/>
      <c r="AI444" s="197"/>
      <c r="AJ444" s="201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</row>
    <row r="445" spans="1:63" ht="15" customHeight="1">
      <c r="A445" s="197"/>
      <c r="B445" s="197"/>
      <c r="C445" s="197"/>
      <c r="D445" s="197"/>
      <c r="E445" s="197"/>
      <c r="F445" s="197"/>
      <c r="G445" s="197"/>
      <c r="H445" s="197"/>
      <c r="I445" s="197"/>
      <c r="J445" s="197"/>
      <c r="K445" s="197"/>
      <c r="L445" s="197"/>
      <c r="M445" s="197"/>
      <c r="N445" s="197"/>
      <c r="O445" s="197"/>
      <c r="P445" s="197"/>
      <c r="Q445" s="197"/>
      <c r="R445" s="197"/>
      <c r="S445" s="197"/>
      <c r="T445" s="197"/>
      <c r="U445" s="197"/>
      <c r="V445" s="197"/>
      <c r="W445" s="197"/>
      <c r="X445" s="197"/>
      <c r="Y445" s="197"/>
      <c r="Z445" s="197"/>
      <c r="AA445" s="197"/>
      <c r="AB445" s="197"/>
      <c r="AC445" s="197"/>
      <c r="AD445" s="197"/>
      <c r="AE445" s="197"/>
      <c r="AF445" s="197"/>
      <c r="AG445" s="197"/>
      <c r="AH445" s="197"/>
      <c r="AI445" s="197"/>
      <c r="AJ445" s="201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  <c r="BK445" s="33"/>
    </row>
    <row r="446" spans="1:63" ht="15" customHeight="1">
      <c r="A446" s="197"/>
      <c r="B446" s="197"/>
      <c r="C446" s="197"/>
      <c r="D446" s="197"/>
      <c r="E446" s="197"/>
      <c r="F446" s="197"/>
      <c r="G446" s="197"/>
      <c r="H446" s="197"/>
      <c r="I446" s="197"/>
      <c r="J446" s="197"/>
      <c r="K446" s="197"/>
      <c r="L446" s="197"/>
      <c r="M446" s="197"/>
      <c r="N446" s="197"/>
      <c r="O446" s="197"/>
      <c r="P446" s="197"/>
      <c r="Q446" s="197"/>
      <c r="R446" s="197"/>
      <c r="S446" s="197"/>
      <c r="T446" s="197"/>
      <c r="U446" s="197"/>
      <c r="V446" s="197"/>
      <c r="W446" s="197"/>
      <c r="X446" s="197"/>
      <c r="Y446" s="197"/>
      <c r="Z446" s="197"/>
      <c r="AA446" s="197"/>
      <c r="AB446" s="197"/>
      <c r="AC446" s="197"/>
      <c r="AD446" s="197"/>
      <c r="AE446" s="197"/>
      <c r="AF446" s="197"/>
      <c r="AG446" s="197"/>
      <c r="AH446" s="197"/>
      <c r="AI446" s="197"/>
      <c r="AJ446" s="201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</row>
    <row r="447" spans="1:63" ht="15" customHeight="1">
      <c r="A447" s="197"/>
      <c r="B447" s="197"/>
      <c r="C447" s="197"/>
      <c r="D447" s="197"/>
      <c r="E447" s="197"/>
      <c r="F447" s="197"/>
      <c r="G447" s="197"/>
      <c r="H447" s="197"/>
      <c r="I447" s="197"/>
      <c r="J447" s="197"/>
      <c r="K447" s="197"/>
      <c r="L447" s="197"/>
      <c r="M447" s="197"/>
      <c r="N447" s="197"/>
      <c r="O447" s="197"/>
      <c r="P447" s="197"/>
      <c r="Q447" s="197"/>
      <c r="R447" s="197"/>
      <c r="S447" s="197"/>
      <c r="T447" s="197"/>
      <c r="U447" s="197"/>
      <c r="V447" s="197"/>
      <c r="W447" s="197"/>
      <c r="X447" s="197"/>
      <c r="Y447" s="197"/>
      <c r="Z447" s="197"/>
      <c r="AA447" s="197"/>
      <c r="AB447" s="197"/>
      <c r="AC447" s="197"/>
      <c r="AD447" s="197"/>
      <c r="AE447" s="197"/>
      <c r="AF447" s="197"/>
      <c r="AG447" s="197"/>
      <c r="AH447" s="197"/>
      <c r="AI447" s="197"/>
      <c r="AJ447" s="201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  <c r="BK447" s="33"/>
    </row>
    <row r="448" spans="1:63" ht="15" customHeight="1">
      <c r="A448" s="197"/>
      <c r="B448" s="197"/>
      <c r="C448" s="197"/>
      <c r="D448" s="197"/>
      <c r="E448" s="197"/>
      <c r="F448" s="197"/>
      <c r="G448" s="197"/>
      <c r="H448" s="197"/>
      <c r="I448" s="197"/>
      <c r="J448" s="197"/>
      <c r="K448" s="197"/>
      <c r="L448" s="197"/>
      <c r="M448" s="197"/>
      <c r="N448" s="197"/>
      <c r="O448" s="197"/>
      <c r="P448" s="197"/>
      <c r="Q448" s="197"/>
      <c r="R448" s="197"/>
      <c r="S448" s="197"/>
      <c r="T448" s="197"/>
      <c r="U448" s="197"/>
      <c r="V448" s="197"/>
      <c r="W448" s="197"/>
      <c r="X448" s="197"/>
      <c r="Y448" s="197"/>
      <c r="Z448" s="197"/>
      <c r="AA448" s="197"/>
      <c r="AB448" s="197"/>
      <c r="AC448" s="197"/>
      <c r="AD448" s="197"/>
      <c r="AE448" s="197"/>
      <c r="AF448" s="197"/>
      <c r="AG448" s="197"/>
      <c r="AH448" s="197"/>
      <c r="AI448" s="197"/>
      <c r="AJ448" s="201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</row>
    <row r="449" spans="1:63" ht="15" customHeight="1">
      <c r="A449" s="197"/>
      <c r="B449" s="197"/>
      <c r="C449" s="197"/>
      <c r="D449" s="197"/>
      <c r="E449" s="197"/>
      <c r="F449" s="197"/>
      <c r="G449" s="197"/>
      <c r="H449" s="197"/>
      <c r="I449" s="197"/>
      <c r="J449" s="197"/>
      <c r="K449" s="197"/>
      <c r="L449" s="197"/>
      <c r="M449" s="197"/>
      <c r="N449" s="197"/>
      <c r="O449" s="197"/>
      <c r="P449" s="197"/>
      <c r="Q449" s="197"/>
      <c r="R449" s="197"/>
      <c r="S449" s="197"/>
      <c r="T449" s="197"/>
      <c r="U449" s="197"/>
      <c r="V449" s="197"/>
      <c r="W449" s="197"/>
      <c r="X449" s="197"/>
      <c r="Y449" s="197"/>
      <c r="Z449" s="197"/>
      <c r="AA449" s="197"/>
      <c r="AB449" s="197"/>
      <c r="AC449" s="197"/>
      <c r="AD449" s="197"/>
      <c r="AE449" s="197"/>
      <c r="AF449" s="197"/>
      <c r="AG449" s="197"/>
      <c r="AH449" s="197"/>
      <c r="AI449" s="197"/>
      <c r="AJ449" s="201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</row>
    <row r="450" spans="1:63" ht="15" customHeight="1">
      <c r="A450" s="197"/>
      <c r="B450" s="197"/>
      <c r="C450" s="197"/>
      <c r="D450" s="197"/>
      <c r="E450" s="197"/>
      <c r="F450" s="197"/>
      <c r="G450" s="197"/>
      <c r="H450" s="197"/>
      <c r="I450" s="197"/>
      <c r="J450" s="197"/>
      <c r="K450" s="197"/>
      <c r="L450" s="197"/>
      <c r="M450" s="197"/>
      <c r="N450" s="197"/>
      <c r="O450" s="197"/>
      <c r="P450" s="197"/>
      <c r="Q450" s="197"/>
      <c r="R450" s="197"/>
      <c r="S450" s="197"/>
      <c r="T450" s="197"/>
      <c r="U450" s="197"/>
      <c r="V450" s="197"/>
      <c r="W450" s="197"/>
      <c r="X450" s="197"/>
      <c r="Y450" s="197"/>
      <c r="Z450" s="197"/>
      <c r="AA450" s="197"/>
      <c r="AB450" s="197"/>
      <c r="AC450" s="197"/>
      <c r="AD450" s="197"/>
      <c r="AE450" s="197"/>
      <c r="AF450" s="197"/>
      <c r="AG450" s="197"/>
      <c r="AH450" s="197"/>
      <c r="AI450" s="197"/>
      <c r="AJ450" s="201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</row>
    <row r="451" spans="1:63" ht="15" customHeight="1">
      <c r="A451" s="197"/>
      <c r="B451" s="197"/>
      <c r="C451" s="197"/>
      <c r="D451" s="197"/>
      <c r="E451" s="197"/>
      <c r="F451" s="197"/>
      <c r="G451" s="197"/>
      <c r="H451" s="197"/>
      <c r="I451" s="197"/>
      <c r="J451" s="197"/>
      <c r="K451" s="197"/>
      <c r="L451" s="197"/>
      <c r="M451" s="197"/>
      <c r="N451" s="197"/>
      <c r="O451" s="197"/>
      <c r="P451" s="197"/>
      <c r="Q451" s="197"/>
      <c r="R451" s="197"/>
      <c r="S451" s="197"/>
      <c r="T451" s="197"/>
      <c r="U451" s="197"/>
      <c r="V451" s="197"/>
      <c r="W451" s="197"/>
      <c r="X451" s="197"/>
      <c r="Y451" s="197"/>
      <c r="Z451" s="197"/>
      <c r="AA451" s="197"/>
      <c r="AB451" s="197"/>
      <c r="AC451" s="197"/>
      <c r="AD451" s="197"/>
      <c r="AE451" s="197"/>
      <c r="AF451" s="197"/>
      <c r="AG451" s="197"/>
      <c r="AH451" s="197"/>
      <c r="AI451" s="197"/>
      <c r="AJ451" s="201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</row>
    <row r="452" spans="1:63" ht="15" customHeight="1">
      <c r="A452" s="197"/>
      <c r="B452" s="197"/>
      <c r="C452" s="197"/>
      <c r="D452" s="197"/>
      <c r="E452" s="197"/>
      <c r="F452" s="197"/>
      <c r="G452" s="197"/>
      <c r="H452" s="197"/>
      <c r="I452" s="197"/>
      <c r="J452" s="197"/>
      <c r="K452" s="197"/>
      <c r="L452" s="197"/>
      <c r="M452" s="197"/>
      <c r="N452" s="197"/>
      <c r="O452" s="197"/>
      <c r="P452" s="197"/>
      <c r="Q452" s="197"/>
      <c r="R452" s="197"/>
      <c r="S452" s="197"/>
      <c r="T452" s="197"/>
      <c r="U452" s="197"/>
      <c r="V452" s="197"/>
      <c r="W452" s="197"/>
      <c r="X452" s="197"/>
      <c r="Y452" s="197"/>
      <c r="Z452" s="197"/>
      <c r="AA452" s="197"/>
      <c r="AB452" s="197"/>
      <c r="AC452" s="197"/>
      <c r="AD452" s="197"/>
      <c r="AE452" s="197"/>
      <c r="AF452" s="197"/>
      <c r="AG452" s="197"/>
      <c r="AH452" s="197"/>
      <c r="AI452" s="197"/>
      <c r="AJ452" s="201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</row>
    <row r="453" spans="1:63" ht="15" customHeight="1">
      <c r="A453" s="197"/>
      <c r="B453" s="197"/>
      <c r="C453" s="197"/>
      <c r="D453" s="197"/>
      <c r="E453" s="197"/>
      <c r="F453" s="197"/>
      <c r="G453" s="197"/>
      <c r="H453" s="197"/>
      <c r="I453" s="197"/>
      <c r="J453" s="197"/>
      <c r="K453" s="197"/>
      <c r="L453" s="197"/>
      <c r="M453" s="197"/>
      <c r="N453" s="197"/>
      <c r="O453" s="197"/>
      <c r="P453" s="197"/>
      <c r="Q453" s="197"/>
      <c r="R453" s="197"/>
      <c r="S453" s="197"/>
      <c r="T453" s="197"/>
      <c r="U453" s="197"/>
      <c r="V453" s="197"/>
      <c r="W453" s="197"/>
      <c r="X453" s="197"/>
      <c r="Y453" s="197"/>
      <c r="Z453" s="197"/>
      <c r="AA453" s="197"/>
      <c r="AB453" s="197"/>
      <c r="AC453" s="197"/>
      <c r="AD453" s="197"/>
      <c r="AE453" s="197"/>
      <c r="AF453" s="197"/>
      <c r="AG453" s="197"/>
      <c r="AH453" s="197"/>
      <c r="AI453" s="197"/>
      <c r="AJ453" s="201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</row>
    <row r="454" spans="1:63" ht="15" customHeight="1">
      <c r="A454" s="197"/>
      <c r="B454" s="197"/>
      <c r="C454" s="197"/>
      <c r="D454" s="197"/>
      <c r="E454" s="197"/>
      <c r="F454" s="197"/>
      <c r="G454" s="197"/>
      <c r="H454" s="197"/>
      <c r="I454" s="197"/>
      <c r="J454" s="197"/>
      <c r="K454" s="197"/>
      <c r="L454" s="197"/>
      <c r="M454" s="197"/>
      <c r="N454" s="197"/>
      <c r="O454" s="197"/>
      <c r="P454" s="197"/>
      <c r="Q454" s="197"/>
      <c r="R454" s="197"/>
      <c r="S454" s="197"/>
      <c r="T454" s="197"/>
      <c r="U454" s="197"/>
      <c r="V454" s="197"/>
      <c r="W454" s="197"/>
      <c r="X454" s="197"/>
      <c r="Y454" s="197"/>
      <c r="Z454" s="197"/>
      <c r="AA454" s="197"/>
      <c r="AB454" s="197"/>
      <c r="AC454" s="197"/>
      <c r="AD454" s="197"/>
      <c r="AE454" s="197"/>
      <c r="AF454" s="197"/>
      <c r="AG454" s="197"/>
      <c r="AH454" s="197"/>
      <c r="AI454" s="197"/>
      <c r="AJ454" s="201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</row>
    <row r="455" spans="1:63" ht="15" customHeight="1">
      <c r="A455" s="197"/>
      <c r="B455" s="197"/>
      <c r="C455" s="197"/>
      <c r="D455" s="197"/>
      <c r="E455" s="197"/>
      <c r="F455" s="197"/>
      <c r="G455" s="197"/>
      <c r="H455" s="197"/>
      <c r="I455" s="197"/>
      <c r="J455" s="197"/>
      <c r="K455" s="197"/>
      <c r="L455" s="197"/>
      <c r="M455" s="197"/>
      <c r="N455" s="197"/>
      <c r="O455" s="197"/>
      <c r="P455" s="197"/>
      <c r="Q455" s="197"/>
      <c r="R455" s="197"/>
      <c r="S455" s="197"/>
      <c r="T455" s="197"/>
      <c r="U455" s="197"/>
      <c r="V455" s="197"/>
      <c r="W455" s="197"/>
      <c r="X455" s="197"/>
      <c r="Y455" s="197"/>
      <c r="Z455" s="197"/>
      <c r="AA455" s="197"/>
      <c r="AB455" s="197"/>
      <c r="AC455" s="197"/>
      <c r="AD455" s="197"/>
      <c r="AE455" s="197"/>
      <c r="AF455" s="197"/>
      <c r="AG455" s="197"/>
      <c r="AH455" s="197"/>
      <c r="AI455" s="197"/>
      <c r="AJ455" s="201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</row>
    <row r="456" spans="1:63" ht="15" customHeight="1">
      <c r="A456" s="197"/>
      <c r="B456" s="197"/>
      <c r="C456" s="197"/>
      <c r="D456" s="197"/>
      <c r="E456" s="197"/>
      <c r="F456" s="197"/>
      <c r="G456" s="197"/>
      <c r="H456" s="197"/>
      <c r="I456" s="197"/>
      <c r="J456" s="197"/>
      <c r="K456" s="197"/>
      <c r="L456" s="197"/>
      <c r="M456" s="197"/>
      <c r="N456" s="197"/>
      <c r="O456" s="197"/>
      <c r="P456" s="197"/>
      <c r="Q456" s="197"/>
      <c r="R456" s="197"/>
      <c r="S456" s="197"/>
      <c r="T456" s="197"/>
      <c r="U456" s="197"/>
      <c r="V456" s="197"/>
      <c r="W456" s="197"/>
      <c r="X456" s="197"/>
      <c r="Y456" s="197"/>
      <c r="Z456" s="197"/>
      <c r="AA456" s="197"/>
      <c r="AB456" s="197"/>
      <c r="AC456" s="197"/>
      <c r="AD456" s="197"/>
      <c r="AE456" s="197"/>
      <c r="AF456" s="197"/>
      <c r="AG456" s="197"/>
      <c r="AH456" s="197"/>
      <c r="AI456" s="197"/>
      <c r="AJ456" s="201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</row>
    <row r="457" spans="1:63" ht="15" customHeight="1">
      <c r="A457" s="197"/>
      <c r="B457" s="197"/>
      <c r="C457" s="197"/>
      <c r="D457" s="197"/>
      <c r="E457" s="197"/>
      <c r="F457" s="197"/>
      <c r="G457" s="197"/>
      <c r="H457" s="197"/>
      <c r="I457" s="197"/>
      <c r="J457" s="197"/>
      <c r="K457" s="197"/>
      <c r="L457" s="197"/>
      <c r="M457" s="197"/>
      <c r="N457" s="197"/>
      <c r="O457" s="197"/>
      <c r="P457" s="197"/>
      <c r="Q457" s="197"/>
      <c r="R457" s="197"/>
      <c r="S457" s="197"/>
      <c r="T457" s="197"/>
      <c r="U457" s="197"/>
      <c r="V457" s="197"/>
      <c r="W457" s="197"/>
      <c r="X457" s="197"/>
      <c r="Y457" s="197"/>
      <c r="Z457" s="197"/>
      <c r="AA457" s="197"/>
      <c r="AB457" s="197"/>
      <c r="AC457" s="197"/>
      <c r="AD457" s="197"/>
      <c r="AE457" s="197"/>
      <c r="AF457" s="197"/>
      <c r="AG457" s="197"/>
      <c r="AH457" s="197"/>
      <c r="AI457" s="197"/>
      <c r="AJ457" s="201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</row>
    <row r="458" spans="1:63" ht="15" customHeight="1">
      <c r="A458" s="197"/>
      <c r="B458" s="197"/>
      <c r="C458" s="197"/>
      <c r="D458" s="197"/>
      <c r="E458" s="197"/>
      <c r="F458" s="197"/>
      <c r="G458" s="197"/>
      <c r="H458" s="197"/>
      <c r="I458" s="197"/>
      <c r="J458" s="197"/>
      <c r="K458" s="197"/>
      <c r="L458" s="197"/>
      <c r="M458" s="197"/>
      <c r="N458" s="197"/>
      <c r="O458" s="197"/>
      <c r="P458" s="197"/>
      <c r="Q458" s="197"/>
      <c r="R458" s="197"/>
      <c r="S458" s="197"/>
      <c r="T458" s="197"/>
      <c r="U458" s="197"/>
      <c r="V458" s="197"/>
      <c r="W458" s="197"/>
      <c r="X458" s="197"/>
      <c r="Y458" s="197"/>
      <c r="Z458" s="197"/>
      <c r="AA458" s="197"/>
      <c r="AB458" s="197"/>
      <c r="AC458" s="197"/>
      <c r="AD458" s="197"/>
      <c r="AE458" s="197"/>
      <c r="AF458" s="197"/>
      <c r="AG458" s="197"/>
      <c r="AH458" s="197"/>
      <c r="AI458" s="197"/>
      <c r="AJ458" s="201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</row>
    <row r="459" spans="1:63" ht="15" customHeight="1">
      <c r="A459" s="197"/>
      <c r="B459" s="197"/>
      <c r="C459" s="197"/>
      <c r="D459" s="197"/>
      <c r="E459" s="197"/>
      <c r="F459" s="197"/>
      <c r="G459" s="197"/>
      <c r="H459" s="197"/>
      <c r="I459" s="197"/>
      <c r="J459" s="197"/>
      <c r="K459" s="197"/>
      <c r="L459" s="197"/>
      <c r="M459" s="197"/>
      <c r="N459" s="197"/>
      <c r="O459" s="197"/>
      <c r="P459" s="197"/>
      <c r="Q459" s="197"/>
      <c r="R459" s="197"/>
      <c r="S459" s="197"/>
      <c r="T459" s="197"/>
      <c r="U459" s="197"/>
      <c r="V459" s="197"/>
      <c r="W459" s="197"/>
      <c r="X459" s="197"/>
      <c r="Y459" s="197"/>
      <c r="Z459" s="197"/>
      <c r="AA459" s="197"/>
      <c r="AB459" s="197"/>
      <c r="AC459" s="197"/>
      <c r="AD459" s="197"/>
      <c r="AE459" s="197"/>
      <c r="AF459" s="197"/>
      <c r="AG459" s="197"/>
      <c r="AH459" s="197"/>
      <c r="AI459" s="197"/>
      <c r="AJ459" s="201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</row>
    <row r="460" spans="1:63" ht="15" customHeight="1">
      <c r="A460" s="197"/>
      <c r="B460" s="197"/>
      <c r="C460" s="197"/>
      <c r="D460" s="197"/>
      <c r="E460" s="197"/>
      <c r="F460" s="197"/>
      <c r="G460" s="197"/>
      <c r="H460" s="197"/>
      <c r="I460" s="197"/>
      <c r="J460" s="197"/>
      <c r="K460" s="197"/>
      <c r="L460" s="197"/>
      <c r="M460" s="197"/>
      <c r="N460" s="197"/>
      <c r="O460" s="197"/>
      <c r="P460" s="197"/>
      <c r="Q460" s="197"/>
      <c r="R460" s="197"/>
      <c r="S460" s="197"/>
      <c r="T460" s="197"/>
      <c r="U460" s="197"/>
      <c r="V460" s="197"/>
      <c r="W460" s="197"/>
      <c r="X460" s="197"/>
      <c r="Y460" s="197"/>
      <c r="Z460" s="197"/>
      <c r="AA460" s="197"/>
      <c r="AB460" s="197"/>
      <c r="AC460" s="197"/>
      <c r="AD460" s="197"/>
      <c r="AE460" s="197"/>
      <c r="AF460" s="197"/>
      <c r="AG460" s="197"/>
      <c r="AH460" s="197"/>
      <c r="AI460" s="197"/>
      <c r="AJ460" s="201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</row>
    <row r="461" spans="1:63" ht="15" customHeight="1">
      <c r="A461" s="197"/>
      <c r="B461" s="197"/>
      <c r="C461" s="197"/>
      <c r="D461" s="197"/>
      <c r="E461" s="197"/>
      <c r="F461" s="197"/>
      <c r="G461" s="197"/>
      <c r="H461" s="197"/>
      <c r="I461" s="197"/>
      <c r="J461" s="197"/>
      <c r="K461" s="197"/>
      <c r="L461" s="197"/>
      <c r="M461" s="197"/>
      <c r="N461" s="197"/>
      <c r="O461" s="197"/>
      <c r="P461" s="197"/>
      <c r="Q461" s="197"/>
      <c r="R461" s="197"/>
      <c r="S461" s="197"/>
      <c r="T461" s="197"/>
      <c r="U461" s="197"/>
      <c r="V461" s="197"/>
      <c r="W461" s="197"/>
      <c r="X461" s="197"/>
      <c r="Y461" s="197"/>
      <c r="Z461" s="197"/>
      <c r="AA461" s="197"/>
      <c r="AB461" s="197"/>
      <c r="AC461" s="197"/>
      <c r="AD461" s="197"/>
      <c r="AE461" s="197"/>
      <c r="AF461" s="197"/>
      <c r="AG461" s="197"/>
      <c r="AH461" s="197"/>
      <c r="AI461" s="197"/>
      <c r="AJ461" s="201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</row>
    <row r="462" spans="1:63" ht="15" customHeight="1">
      <c r="A462" s="197"/>
      <c r="B462" s="197"/>
      <c r="C462" s="197"/>
      <c r="D462" s="197"/>
      <c r="E462" s="197"/>
      <c r="F462" s="197"/>
      <c r="G462" s="197"/>
      <c r="H462" s="197"/>
      <c r="I462" s="197"/>
      <c r="J462" s="197"/>
      <c r="K462" s="197"/>
      <c r="L462" s="197"/>
      <c r="M462" s="197"/>
      <c r="N462" s="197"/>
      <c r="O462" s="197"/>
      <c r="P462" s="197"/>
      <c r="Q462" s="197"/>
      <c r="R462" s="197"/>
      <c r="S462" s="197"/>
      <c r="T462" s="197"/>
      <c r="U462" s="197"/>
      <c r="V462" s="197"/>
      <c r="W462" s="197"/>
      <c r="X462" s="197"/>
      <c r="Y462" s="197"/>
      <c r="Z462" s="197"/>
      <c r="AA462" s="197"/>
      <c r="AB462" s="197"/>
      <c r="AC462" s="197"/>
      <c r="AD462" s="197"/>
      <c r="AE462" s="197"/>
      <c r="AF462" s="197"/>
      <c r="AG462" s="197"/>
      <c r="AH462" s="197"/>
      <c r="AI462" s="197"/>
      <c r="AJ462" s="201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</row>
    <row r="463" spans="1:63" ht="15" customHeight="1">
      <c r="A463" s="197"/>
      <c r="B463" s="197"/>
      <c r="C463" s="197"/>
      <c r="D463" s="197"/>
      <c r="E463" s="197"/>
      <c r="F463" s="197"/>
      <c r="G463" s="197"/>
      <c r="H463" s="197"/>
      <c r="I463" s="197"/>
      <c r="J463" s="197"/>
      <c r="K463" s="197"/>
      <c r="L463" s="197"/>
      <c r="M463" s="197"/>
      <c r="N463" s="197"/>
      <c r="O463" s="197"/>
      <c r="P463" s="197"/>
      <c r="Q463" s="197"/>
      <c r="R463" s="197"/>
      <c r="S463" s="197"/>
      <c r="T463" s="197"/>
      <c r="U463" s="197"/>
      <c r="V463" s="197"/>
      <c r="W463" s="197"/>
      <c r="X463" s="197"/>
      <c r="Y463" s="197"/>
      <c r="Z463" s="197"/>
      <c r="AA463" s="197"/>
      <c r="AB463" s="197"/>
      <c r="AC463" s="197"/>
      <c r="AD463" s="197"/>
      <c r="AE463" s="197"/>
      <c r="AF463" s="197"/>
      <c r="AG463" s="197"/>
      <c r="AH463" s="197"/>
      <c r="AI463" s="197"/>
      <c r="AJ463" s="201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</row>
    <row r="464" spans="1:63" ht="15" customHeight="1">
      <c r="A464" s="197"/>
      <c r="B464" s="197"/>
      <c r="C464" s="197"/>
      <c r="D464" s="197"/>
      <c r="E464" s="197"/>
      <c r="F464" s="197"/>
      <c r="G464" s="197"/>
      <c r="H464" s="197"/>
      <c r="I464" s="197"/>
      <c r="J464" s="197"/>
      <c r="K464" s="197"/>
      <c r="L464" s="197"/>
      <c r="M464" s="197"/>
      <c r="N464" s="197"/>
      <c r="O464" s="197"/>
      <c r="P464" s="197"/>
      <c r="Q464" s="197"/>
      <c r="R464" s="197"/>
      <c r="S464" s="197"/>
      <c r="T464" s="197"/>
      <c r="U464" s="197"/>
      <c r="V464" s="197"/>
      <c r="W464" s="197"/>
      <c r="X464" s="197"/>
      <c r="Y464" s="197"/>
      <c r="Z464" s="197"/>
      <c r="AA464" s="197"/>
      <c r="AB464" s="197"/>
      <c r="AC464" s="197"/>
      <c r="AD464" s="197"/>
      <c r="AE464" s="197"/>
      <c r="AF464" s="197"/>
      <c r="AG464" s="197"/>
      <c r="AH464" s="197"/>
      <c r="AI464" s="197"/>
      <c r="AJ464" s="201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</row>
    <row r="465" spans="1:63" ht="15" customHeight="1">
      <c r="A465" s="197"/>
      <c r="B465" s="197"/>
      <c r="C465" s="197"/>
      <c r="D465" s="197"/>
      <c r="E465" s="197"/>
      <c r="F465" s="197"/>
      <c r="G465" s="197"/>
      <c r="H465" s="197"/>
      <c r="I465" s="197"/>
      <c r="J465" s="197"/>
      <c r="K465" s="197"/>
      <c r="L465" s="197"/>
      <c r="M465" s="197"/>
      <c r="N465" s="197"/>
      <c r="O465" s="197"/>
      <c r="P465" s="197"/>
      <c r="Q465" s="197"/>
      <c r="R465" s="197"/>
      <c r="S465" s="197"/>
      <c r="T465" s="197"/>
      <c r="U465" s="197"/>
      <c r="V465" s="197"/>
      <c r="W465" s="197"/>
      <c r="X465" s="197"/>
      <c r="Y465" s="197"/>
      <c r="Z465" s="197"/>
      <c r="AA465" s="197"/>
      <c r="AB465" s="197"/>
      <c r="AC465" s="197"/>
      <c r="AD465" s="197"/>
      <c r="AE465" s="197"/>
      <c r="AF465" s="197"/>
      <c r="AG465" s="197"/>
      <c r="AH465" s="197"/>
      <c r="AI465" s="197"/>
      <c r="AJ465" s="201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</row>
    <row r="466" spans="1:63" ht="15" customHeight="1">
      <c r="A466" s="197"/>
      <c r="B466" s="197"/>
      <c r="C466" s="197"/>
      <c r="D466" s="197"/>
      <c r="E466" s="197"/>
      <c r="F466" s="197"/>
      <c r="G466" s="197"/>
      <c r="H466" s="197"/>
      <c r="I466" s="197"/>
      <c r="J466" s="197"/>
      <c r="K466" s="197"/>
      <c r="L466" s="197"/>
      <c r="M466" s="197"/>
      <c r="N466" s="197"/>
      <c r="O466" s="197"/>
      <c r="P466" s="197"/>
      <c r="Q466" s="197"/>
      <c r="R466" s="197"/>
      <c r="S466" s="197"/>
      <c r="T466" s="197"/>
      <c r="U466" s="197"/>
      <c r="V466" s="197"/>
      <c r="W466" s="197"/>
      <c r="X466" s="197"/>
      <c r="Y466" s="197"/>
      <c r="Z466" s="197"/>
      <c r="AA466" s="197"/>
      <c r="AB466" s="197"/>
      <c r="AC466" s="197"/>
      <c r="AD466" s="197"/>
      <c r="AE466" s="197"/>
      <c r="AF466" s="197"/>
      <c r="AG466" s="197"/>
      <c r="AH466" s="197"/>
      <c r="AI466" s="197"/>
      <c r="AJ466" s="201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</row>
    <row r="467" spans="1:63" ht="15" customHeight="1">
      <c r="A467" s="197"/>
      <c r="B467" s="197"/>
      <c r="C467" s="197"/>
      <c r="D467" s="197"/>
      <c r="E467" s="197"/>
      <c r="F467" s="197"/>
      <c r="G467" s="197"/>
      <c r="H467" s="197"/>
      <c r="I467" s="197"/>
      <c r="J467" s="197"/>
      <c r="K467" s="197"/>
      <c r="L467" s="197"/>
      <c r="M467" s="197"/>
      <c r="N467" s="197"/>
      <c r="O467" s="197"/>
      <c r="P467" s="197"/>
      <c r="Q467" s="197"/>
      <c r="R467" s="197"/>
      <c r="S467" s="197"/>
      <c r="T467" s="197"/>
      <c r="U467" s="197"/>
      <c r="V467" s="197"/>
      <c r="W467" s="197"/>
      <c r="X467" s="197"/>
      <c r="Y467" s="197"/>
      <c r="Z467" s="197"/>
      <c r="AA467" s="197"/>
      <c r="AB467" s="197"/>
      <c r="AC467" s="197"/>
      <c r="AD467" s="197"/>
      <c r="AE467" s="197"/>
      <c r="AF467" s="197"/>
      <c r="AG467" s="197"/>
      <c r="AH467" s="197"/>
      <c r="AI467" s="197"/>
      <c r="AJ467" s="201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</row>
    <row r="468" spans="1:63" ht="15" customHeight="1">
      <c r="A468" s="197"/>
      <c r="B468" s="197"/>
      <c r="C468" s="197"/>
      <c r="D468" s="197"/>
      <c r="E468" s="197"/>
      <c r="F468" s="197"/>
      <c r="G468" s="197"/>
      <c r="H468" s="197"/>
      <c r="I468" s="197"/>
      <c r="J468" s="197"/>
      <c r="K468" s="197"/>
      <c r="L468" s="197"/>
      <c r="M468" s="197"/>
      <c r="N468" s="197"/>
      <c r="O468" s="197"/>
      <c r="P468" s="197"/>
      <c r="Q468" s="197"/>
      <c r="R468" s="197"/>
      <c r="S468" s="197"/>
      <c r="T468" s="197"/>
      <c r="U468" s="197"/>
      <c r="V468" s="197"/>
      <c r="W468" s="197"/>
      <c r="X468" s="197"/>
      <c r="Y468" s="197"/>
      <c r="Z468" s="197"/>
      <c r="AA468" s="197"/>
      <c r="AB468" s="197"/>
      <c r="AC468" s="197"/>
      <c r="AD468" s="197"/>
      <c r="AE468" s="197"/>
      <c r="AF468" s="197"/>
      <c r="AG468" s="197"/>
      <c r="AH468" s="197"/>
      <c r="AI468" s="197"/>
      <c r="AJ468" s="201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</row>
    <row r="469" spans="1:63" ht="15" customHeight="1">
      <c r="A469" s="197"/>
      <c r="B469" s="197"/>
      <c r="C469" s="197"/>
      <c r="D469" s="197"/>
      <c r="E469" s="197"/>
      <c r="F469" s="197"/>
      <c r="G469" s="197"/>
      <c r="H469" s="197"/>
      <c r="I469" s="197"/>
      <c r="J469" s="197"/>
      <c r="K469" s="197"/>
      <c r="L469" s="197"/>
      <c r="M469" s="197"/>
      <c r="N469" s="197"/>
      <c r="O469" s="197"/>
      <c r="P469" s="197"/>
      <c r="Q469" s="197"/>
      <c r="R469" s="197"/>
      <c r="S469" s="197"/>
      <c r="T469" s="197"/>
      <c r="U469" s="197"/>
      <c r="V469" s="197"/>
      <c r="W469" s="197"/>
      <c r="X469" s="197"/>
      <c r="Y469" s="197"/>
      <c r="Z469" s="197"/>
      <c r="AA469" s="197"/>
      <c r="AB469" s="197"/>
      <c r="AC469" s="197"/>
      <c r="AD469" s="197"/>
      <c r="AE469" s="197"/>
      <c r="AF469" s="197"/>
      <c r="AG469" s="197"/>
      <c r="AH469" s="197"/>
      <c r="AI469" s="197"/>
      <c r="AJ469" s="201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</row>
    <row r="470" spans="1:63" ht="15" customHeight="1">
      <c r="A470" s="197"/>
      <c r="B470" s="197"/>
      <c r="C470" s="197"/>
      <c r="D470" s="197"/>
      <c r="E470" s="197"/>
      <c r="F470" s="197"/>
      <c r="G470" s="197"/>
      <c r="H470" s="197"/>
      <c r="I470" s="197"/>
      <c r="J470" s="197"/>
      <c r="K470" s="197"/>
      <c r="L470" s="197"/>
      <c r="M470" s="197"/>
      <c r="N470" s="197"/>
      <c r="O470" s="197"/>
      <c r="P470" s="197"/>
      <c r="Q470" s="197"/>
      <c r="R470" s="197"/>
      <c r="S470" s="197"/>
      <c r="T470" s="197"/>
      <c r="U470" s="197"/>
      <c r="V470" s="197"/>
      <c r="W470" s="197"/>
      <c r="X470" s="197"/>
      <c r="Y470" s="197"/>
      <c r="Z470" s="197"/>
      <c r="AA470" s="197"/>
      <c r="AB470" s="197"/>
      <c r="AC470" s="197"/>
      <c r="AD470" s="197"/>
      <c r="AE470" s="197"/>
      <c r="AF470" s="197"/>
      <c r="AG470" s="197"/>
      <c r="AH470" s="197"/>
      <c r="AI470" s="197"/>
      <c r="AJ470" s="201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</row>
    <row r="471" spans="1:63" ht="15" customHeight="1">
      <c r="A471" s="197"/>
      <c r="B471" s="197"/>
      <c r="C471" s="197"/>
      <c r="D471" s="197"/>
      <c r="E471" s="197"/>
      <c r="F471" s="197"/>
      <c r="G471" s="197"/>
      <c r="H471" s="197"/>
      <c r="I471" s="197"/>
      <c r="J471" s="197"/>
      <c r="K471" s="197"/>
      <c r="L471" s="197"/>
      <c r="M471" s="197"/>
      <c r="N471" s="197"/>
      <c r="O471" s="197"/>
      <c r="P471" s="197"/>
      <c r="Q471" s="197"/>
      <c r="R471" s="197"/>
      <c r="S471" s="197"/>
      <c r="T471" s="197"/>
      <c r="U471" s="197"/>
      <c r="V471" s="197"/>
      <c r="W471" s="197"/>
      <c r="X471" s="197"/>
      <c r="Y471" s="197"/>
      <c r="Z471" s="197"/>
      <c r="AA471" s="197"/>
      <c r="AB471" s="197"/>
      <c r="AC471" s="197"/>
      <c r="AD471" s="197"/>
      <c r="AE471" s="197"/>
      <c r="AF471" s="197"/>
      <c r="AG471" s="197"/>
      <c r="AH471" s="197"/>
      <c r="AI471" s="197"/>
      <c r="AJ471" s="201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</row>
    <row r="472" spans="1:63" ht="15" customHeight="1">
      <c r="A472" s="197"/>
      <c r="B472" s="197"/>
      <c r="C472" s="197"/>
      <c r="D472" s="197"/>
      <c r="E472" s="197"/>
      <c r="F472" s="197"/>
      <c r="G472" s="197"/>
      <c r="H472" s="197"/>
      <c r="I472" s="197"/>
      <c r="J472" s="197"/>
      <c r="K472" s="197"/>
      <c r="L472" s="197"/>
      <c r="M472" s="197"/>
      <c r="N472" s="197"/>
      <c r="O472" s="197"/>
      <c r="P472" s="197"/>
      <c r="Q472" s="197"/>
      <c r="R472" s="197"/>
      <c r="S472" s="197"/>
      <c r="T472" s="197"/>
      <c r="U472" s="197"/>
      <c r="V472" s="197"/>
      <c r="W472" s="197"/>
      <c r="X472" s="197"/>
      <c r="Y472" s="197"/>
      <c r="Z472" s="197"/>
      <c r="AA472" s="197"/>
      <c r="AB472" s="197"/>
      <c r="AC472" s="197"/>
      <c r="AD472" s="197"/>
      <c r="AE472" s="197"/>
      <c r="AF472" s="197"/>
      <c r="AG472" s="197"/>
      <c r="AH472" s="197"/>
      <c r="AI472" s="197"/>
      <c r="AJ472" s="201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</row>
    <row r="473" spans="1:63" ht="15" customHeight="1">
      <c r="A473" s="197"/>
      <c r="B473" s="197"/>
      <c r="C473" s="197"/>
      <c r="D473" s="197"/>
      <c r="E473" s="197"/>
      <c r="F473" s="197"/>
      <c r="G473" s="197"/>
      <c r="H473" s="197"/>
      <c r="I473" s="197"/>
      <c r="J473" s="197"/>
      <c r="K473" s="197"/>
      <c r="L473" s="197"/>
      <c r="M473" s="197"/>
      <c r="N473" s="197"/>
      <c r="O473" s="197"/>
      <c r="P473" s="197"/>
      <c r="Q473" s="197"/>
      <c r="R473" s="197"/>
      <c r="S473" s="197"/>
      <c r="T473" s="197"/>
      <c r="U473" s="197"/>
      <c r="V473" s="197"/>
      <c r="W473" s="197"/>
      <c r="X473" s="197"/>
      <c r="Y473" s="197"/>
      <c r="Z473" s="197"/>
      <c r="AA473" s="197"/>
      <c r="AB473" s="197"/>
      <c r="AC473" s="197"/>
      <c r="AD473" s="197"/>
      <c r="AE473" s="197"/>
      <c r="AF473" s="197"/>
      <c r="AG473" s="197"/>
      <c r="AH473" s="197"/>
      <c r="AI473" s="197"/>
      <c r="AJ473" s="201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</row>
    <row r="474" spans="1:63" ht="15" customHeight="1">
      <c r="A474" s="197"/>
      <c r="B474" s="197"/>
      <c r="C474" s="197"/>
      <c r="D474" s="197"/>
      <c r="E474" s="197"/>
      <c r="F474" s="197"/>
      <c r="G474" s="197"/>
      <c r="H474" s="197"/>
      <c r="I474" s="197"/>
      <c r="J474" s="197"/>
      <c r="K474" s="197"/>
      <c r="L474" s="197"/>
      <c r="M474" s="197"/>
      <c r="N474" s="197"/>
      <c r="O474" s="197"/>
      <c r="P474" s="197"/>
      <c r="Q474" s="197"/>
      <c r="R474" s="197"/>
      <c r="S474" s="197"/>
      <c r="T474" s="197"/>
      <c r="U474" s="197"/>
      <c r="V474" s="197"/>
      <c r="W474" s="197"/>
      <c r="X474" s="197"/>
      <c r="Y474" s="197"/>
      <c r="Z474" s="197"/>
      <c r="AA474" s="197"/>
      <c r="AB474" s="197"/>
      <c r="AC474" s="197"/>
      <c r="AD474" s="197"/>
      <c r="AE474" s="197"/>
      <c r="AF474" s="197"/>
      <c r="AG474" s="197"/>
      <c r="AH474" s="197"/>
      <c r="AI474" s="197"/>
      <c r="AJ474" s="201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</row>
    <row r="475" spans="1:63" ht="15" customHeight="1">
      <c r="A475" s="197"/>
      <c r="B475" s="197"/>
      <c r="C475" s="197"/>
      <c r="D475" s="197"/>
      <c r="E475" s="197"/>
      <c r="F475" s="197"/>
      <c r="G475" s="197"/>
      <c r="H475" s="197"/>
      <c r="I475" s="197"/>
      <c r="J475" s="197"/>
      <c r="K475" s="197"/>
      <c r="L475" s="197"/>
      <c r="M475" s="197"/>
      <c r="N475" s="197"/>
      <c r="O475" s="197"/>
      <c r="P475" s="197"/>
      <c r="Q475" s="197"/>
      <c r="R475" s="197"/>
      <c r="S475" s="197"/>
      <c r="T475" s="197"/>
      <c r="U475" s="197"/>
      <c r="V475" s="197"/>
      <c r="W475" s="197"/>
      <c r="X475" s="197"/>
      <c r="Y475" s="197"/>
      <c r="Z475" s="197"/>
      <c r="AA475" s="197"/>
      <c r="AB475" s="197"/>
      <c r="AC475" s="197"/>
      <c r="AD475" s="197"/>
      <c r="AE475" s="197"/>
      <c r="AF475" s="197"/>
      <c r="AG475" s="197"/>
      <c r="AH475" s="197"/>
      <c r="AI475" s="197"/>
      <c r="AJ475" s="201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  <c r="BK475" s="33"/>
    </row>
    <row r="476" spans="1:63" ht="15" customHeight="1">
      <c r="A476" s="197"/>
      <c r="B476" s="197"/>
      <c r="C476" s="197"/>
      <c r="D476" s="197"/>
      <c r="E476" s="197"/>
      <c r="F476" s="197"/>
      <c r="G476" s="197"/>
      <c r="H476" s="197"/>
      <c r="I476" s="197"/>
      <c r="J476" s="197"/>
      <c r="K476" s="197"/>
      <c r="L476" s="197"/>
      <c r="M476" s="197"/>
      <c r="N476" s="197"/>
      <c r="O476" s="197"/>
      <c r="P476" s="197"/>
      <c r="Q476" s="197"/>
      <c r="R476" s="197"/>
      <c r="S476" s="197"/>
      <c r="T476" s="197"/>
      <c r="U476" s="197"/>
      <c r="V476" s="197"/>
      <c r="W476" s="197"/>
      <c r="X476" s="197"/>
      <c r="Y476" s="197"/>
      <c r="Z476" s="197"/>
      <c r="AA476" s="197"/>
      <c r="AB476" s="197"/>
      <c r="AC476" s="197"/>
      <c r="AD476" s="197"/>
      <c r="AE476" s="197"/>
      <c r="AF476" s="197"/>
      <c r="AG476" s="197"/>
      <c r="AH476" s="197"/>
      <c r="AI476" s="197"/>
      <c r="AJ476" s="201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</row>
    <row r="477" spans="1:63" ht="15" customHeight="1">
      <c r="A477" s="197"/>
      <c r="B477" s="197"/>
      <c r="C477" s="197"/>
      <c r="D477" s="197"/>
      <c r="E477" s="197"/>
      <c r="F477" s="197"/>
      <c r="G477" s="197"/>
      <c r="H477" s="197"/>
      <c r="I477" s="197"/>
      <c r="J477" s="197"/>
      <c r="K477" s="197"/>
      <c r="L477" s="197"/>
      <c r="M477" s="197"/>
      <c r="N477" s="197"/>
      <c r="O477" s="197"/>
      <c r="P477" s="197"/>
      <c r="Q477" s="197"/>
      <c r="R477" s="197"/>
      <c r="S477" s="197"/>
      <c r="T477" s="197"/>
      <c r="U477" s="197"/>
      <c r="V477" s="197"/>
      <c r="W477" s="197"/>
      <c r="X477" s="197"/>
      <c r="Y477" s="197"/>
      <c r="Z477" s="197"/>
      <c r="AA477" s="197"/>
      <c r="AB477" s="197"/>
      <c r="AC477" s="197"/>
      <c r="AD477" s="197"/>
      <c r="AE477" s="197"/>
      <c r="AF477" s="197"/>
      <c r="AG477" s="197"/>
      <c r="AH477" s="197"/>
      <c r="AI477" s="197"/>
      <c r="AJ477" s="201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  <c r="BK477" s="33"/>
    </row>
    <row r="478" spans="1:63" ht="15" customHeight="1">
      <c r="A478" s="197"/>
      <c r="B478" s="197"/>
      <c r="C478" s="197"/>
      <c r="D478" s="197"/>
      <c r="E478" s="197"/>
      <c r="F478" s="197"/>
      <c r="G478" s="197"/>
      <c r="H478" s="197"/>
      <c r="I478" s="197"/>
      <c r="J478" s="197"/>
      <c r="K478" s="197"/>
      <c r="L478" s="197"/>
      <c r="M478" s="197"/>
      <c r="N478" s="197"/>
      <c r="O478" s="197"/>
      <c r="P478" s="197"/>
      <c r="Q478" s="197"/>
      <c r="R478" s="197"/>
      <c r="S478" s="197"/>
      <c r="T478" s="197"/>
      <c r="U478" s="197"/>
      <c r="V478" s="197"/>
      <c r="W478" s="197"/>
      <c r="X478" s="197"/>
      <c r="Y478" s="197"/>
      <c r="Z478" s="197"/>
      <c r="AA478" s="197"/>
      <c r="AB478" s="197"/>
      <c r="AC478" s="197"/>
      <c r="AD478" s="197"/>
      <c r="AE478" s="197"/>
      <c r="AF478" s="197"/>
      <c r="AG478" s="197"/>
      <c r="AH478" s="197"/>
      <c r="AI478" s="197"/>
      <c r="AJ478" s="201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</row>
    <row r="479" spans="1:63" ht="15" customHeight="1">
      <c r="A479" s="197"/>
      <c r="B479" s="197"/>
      <c r="C479" s="197"/>
      <c r="D479" s="197"/>
      <c r="E479" s="197"/>
      <c r="F479" s="197"/>
      <c r="G479" s="197"/>
      <c r="H479" s="197"/>
      <c r="I479" s="197"/>
      <c r="J479" s="197"/>
      <c r="K479" s="197"/>
      <c r="L479" s="197"/>
      <c r="M479" s="197"/>
      <c r="N479" s="197"/>
      <c r="O479" s="197"/>
      <c r="P479" s="197"/>
      <c r="Q479" s="197"/>
      <c r="R479" s="197"/>
      <c r="S479" s="197"/>
      <c r="T479" s="197"/>
      <c r="U479" s="197"/>
      <c r="V479" s="197"/>
      <c r="W479" s="197"/>
      <c r="X479" s="197"/>
      <c r="Y479" s="197"/>
      <c r="Z479" s="197"/>
      <c r="AA479" s="197"/>
      <c r="AB479" s="197"/>
      <c r="AC479" s="197"/>
      <c r="AD479" s="197"/>
      <c r="AE479" s="197"/>
      <c r="AF479" s="197"/>
      <c r="AG479" s="197"/>
      <c r="AH479" s="197"/>
      <c r="AI479" s="197"/>
      <c r="AJ479" s="201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  <c r="BK479" s="33"/>
    </row>
    <row r="480" spans="1:63" ht="15" customHeight="1">
      <c r="A480" s="197"/>
      <c r="B480" s="197"/>
      <c r="C480" s="197"/>
      <c r="D480" s="197"/>
      <c r="E480" s="197"/>
      <c r="F480" s="197"/>
      <c r="G480" s="197"/>
      <c r="H480" s="197"/>
      <c r="I480" s="197"/>
      <c r="J480" s="197"/>
      <c r="K480" s="197"/>
      <c r="L480" s="197"/>
      <c r="M480" s="197"/>
      <c r="N480" s="197"/>
      <c r="O480" s="197"/>
      <c r="P480" s="197"/>
      <c r="Q480" s="197"/>
      <c r="R480" s="197"/>
      <c r="S480" s="197"/>
      <c r="T480" s="197"/>
      <c r="U480" s="197"/>
      <c r="V480" s="197"/>
      <c r="W480" s="197"/>
      <c r="X480" s="197"/>
      <c r="Y480" s="197"/>
      <c r="Z480" s="197"/>
      <c r="AA480" s="197"/>
      <c r="AB480" s="197"/>
      <c r="AC480" s="197"/>
      <c r="AD480" s="197"/>
      <c r="AE480" s="197"/>
      <c r="AF480" s="197"/>
      <c r="AG480" s="197"/>
      <c r="AH480" s="197"/>
      <c r="AI480" s="197"/>
      <c r="AJ480" s="201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</row>
    <row r="481" spans="1:63" ht="15" customHeight="1">
      <c r="A481" s="197"/>
      <c r="B481" s="197"/>
      <c r="C481" s="197"/>
      <c r="D481" s="197"/>
      <c r="E481" s="197"/>
      <c r="F481" s="197"/>
      <c r="G481" s="197"/>
      <c r="H481" s="197"/>
      <c r="I481" s="197"/>
      <c r="J481" s="197"/>
      <c r="K481" s="197"/>
      <c r="L481" s="197"/>
      <c r="M481" s="197"/>
      <c r="N481" s="197"/>
      <c r="O481" s="197"/>
      <c r="P481" s="197"/>
      <c r="Q481" s="197"/>
      <c r="R481" s="197"/>
      <c r="S481" s="197"/>
      <c r="T481" s="197"/>
      <c r="U481" s="197"/>
      <c r="V481" s="197"/>
      <c r="W481" s="197"/>
      <c r="X481" s="197"/>
      <c r="Y481" s="197"/>
      <c r="Z481" s="197"/>
      <c r="AA481" s="197"/>
      <c r="AB481" s="197"/>
      <c r="AC481" s="197"/>
      <c r="AD481" s="197"/>
      <c r="AE481" s="197"/>
      <c r="AF481" s="197"/>
      <c r="AG481" s="197"/>
      <c r="AH481" s="197"/>
      <c r="AI481" s="197"/>
      <c r="AJ481" s="201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  <c r="BK481" s="33"/>
    </row>
    <row r="482" spans="1:63" ht="15" customHeight="1">
      <c r="A482" s="197"/>
      <c r="B482" s="197"/>
      <c r="C482" s="197"/>
      <c r="D482" s="197"/>
      <c r="E482" s="197"/>
      <c r="F482" s="197"/>
      <c r="G482" s="197"/>
      <c r="H482" s="197"/>
      <c r="I482" s="197"/>
      <c r="J482" s="197"/>
      <c r="K482" s="197"/>
      <c r="L482" s="197"/>
      <c r="M482" s="197"/>
      <c r="N482" s="197"/>
      <c r="O482" s="197"/>
      <c r="P482" s="197"/>
      <c r="Q482" s="197"/>
      <c r="R482" s="197"/>
      <c r="S482" s="197"/>
      <c r="T482" s="197"/>
      <c r="U482" s="197"/>
      <c r="V482" s="197"/>
      <c r="W482" s="197"/>
      <c r="X482" s="197"/>
      <c r="Y482" s="197"/>
      <c r="Z482" s="197"/>
      <c r="AA482" s="197"/>
      <c r="AB482" s="197"/>
      <c r="AC482" s="197"/>
      <c r="AD482" s="197"/>
      <c r="AE482" s="197"/>
      <c r="AF482" s="197"/>
      <c r="AG482" s="197"/>
      <c r="AH482" s="197"/>
      <c r="AI482" s="197"/>
      <c r="AJ482" s="201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</row>
    <row r="483" spans="1:63" ht="15" customHeight="1">
      <c r="A483" s="197"/>
      <c r="B483" s="197"/>
      <c r="C483" s="197"/>
      <c r="D483" s="197"/>
      <c r="E483" s="197"/>
      <c r="F483" s="197"/>
      <c r="G483" s="197"/>
      <c r="H483" s="197"/>
      <c r="I483" s="197"/>
      <c r="J483" s="197"/>
      <c r="K483" s="197"/>
      <c r="L483" s="197"/>
      <c r="M483" s="197"/>
      <c r="N483" s="197"/>
      <c r="O483" s="197"/>
      <c r="P483" s="197"/>
      <c r="Q483" s="197"/>
      <c r="R483" s="197"/>
      <c r="S483" s="197"/>
      <c r="T483" s="197"/>
      <c r="U483" s="197"/>
      <c r="V483" s="197"/>
      <c r="W483" s="197"/>
      <c r="X483" s="197"/>
      <c r="Y483" s="197"/>
      <c r="Z483" s="197"/>
      <c r="AA483" s="197"/>
      <c r="AB483" s="197"/>
      <c r="AC483" s="197"/>
      <c r="AD483" s="197"/>
      <c r="AE483" s="197"/>
      <c r="AF483" s="197"/>
      <c r="AG483" s="197"/>
      <c r="AH483" s="197"/>
      <c r="AI483" s="197"/>
      <c r="AJ483" s="201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  <c r="BK483" s="33"/>
    </row>
    <row r="484" spans="1:63" ht="15" customHeight="1">
      <c r="A484" s="197"/>
      <c r="B484" s="197"/>
      <c r="C484" s="197"/>
      <c r="D484" s="197"/>
      <c r="E484" s="197"/>
      <c r="F484" s="197"/>
      <c r="G484" s="197"/>
      <c r="H484" s="197"/>
      <c r="I484" s="197"/>
      <c r="J484" s="197"/>
      <c r="K484" s="197"/>
      <c r="L484" s="197"/>
      <c r="M484" s="197"/>
      <c r="N484" s="197"/>
      <c r="O484" s="197"/>
      <c r="P484" s="197"/>
      <c r="Q484" s="197"/>
      <c r="R484" s="197"/>
      <c r="S484" s="197"/>
      <c r="T484" s="197"/>
      <c r="U484" s="197"/>
      <c r="V484" s="197"/>
      <c r="W484" s="197"/>
      <c r="X484" s="197"/>
      <c r="Y484" s="197"/>
      <c r="Z484" s="197"/>
      <c r="AA484" s="197"/>
      <c r="AB484" s="197"/>
      <c r="AC484" s="197"/>
      <c r="AD484" s="197"/>
      <c r="AE484" s="197"/>
      <c r="AF484" s="197"/>
      <c r="AG484" s="197"/>
      <c r="AH484" s="197"/>
      <c r="AI484" s="197"/>
      <c r="AJ484" s="201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</row>
    <row r="485" spans="1:63" ht="15" customHeight="1">
      <c r="A485" s="197"/>
      <c r="B485" s="197"/>
      <c r="C485" s="197"/>
      <c r="D485" s="197"/>
      <c r="E485" s="197"/>
      <c r="F485" s="197"/>
      <c r="G485" s="197"/>
      <c r="H485" s="197"/>
      <c r="I485" s="197"/>
      <c r="J485" s="197"/>
      <c r="K485" s="197"/>
      <c r="L485" s="197"/>
      <c r="M485" s="197"/>
      <c r="N485" s="197"/>
      <c r="O485" s="197"/>
      <c r="P485" s="197"/>
      <c r="Q485" s="197"/>
      <c r="R485" s="197"/>
      <c r="S485" s="197"/>
      <c r="T485" s="197"/>
      <c r="U485" s="197"/>
      <c r="V485" s="197"/>
      <c r="W485" s="197"/>
      <c r="X485" s="197"/>
      <c r="Y485" s="197"/>
      <c r="Z485" s="197"/>
      <c r="AA485" s="197"/>
      <c r="AB485" s="197"/>
      <c r="AC485" s="197"/>
      <c r="AD485" s="197"/>
      <c r="AE485" s="197"/>
      <c r="AF485" s="197"/>
      <c r="AG485" s="197"/>
      <c r="AH485" s="197"/>
      <c r="AI485" s="197"/>
      <c r="AJ485" s="201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  <c r="BK485" s="33"/>
    </row>
    <row r="486" spans="1:63" ht="15" customHeight="1">
      <c r="A486" s="197"/>
      <c r="B486" s="197"/>
      <c r="C486" s="197"/>
      <c r="D486" s="197"/>
      <c r="E486" s="197"/>
      <c r="F486" s="197"/>
      <c r="G486" s="197"/>
      <c r="H486" s="197"/>
      <c r="I486" s="197"/>
      <c r="J486" s="197"/>
      <c r="K486" s="197"/>
      <c r="L486" s="197"/>
      <c r="M486" s="197"/>
      <c r="N486" s="197"/>
      <c r="O486" s="197"/>
      <c r="P486" s="197"/>
      <c r="Q486" s="197"/>
      <c r="R486" s="197"/>
      <c r="S486" s="197"/>
      <c r="T486" s="197"/>
      <c r="U486" s="197"/>
      <c r="V486" s="197"/>
      <c r="W486" s="197"/>
      <c r="X486" s="197"/>
      <c r="Y486" s="197"/>
      <c r="Z486" s="197"/>
      <c r="AA486" s="197"/>
      <c r="AB486" s="197"/>
      <c r="AC486" s="197"/>
      <c r="AD486" s="197"/>
      <c r="AE486" s="197"/>
      <c r="AF486" s="197"/>
      <c r="AG486" s="197"/>
      <c r="AH486" s="197"/>
      <c r="AI486" s="197"/>
      <c r="AJ486" s="201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  <c r="BK486" s="33"/>
    </row>
    <row r="487" spans="1:63" ht="15" customHeight="1">
      <c r="A487" s="197"/>
      <c r="B487" s="197"/>
      <c r="C487" s="197"/>
      <c r="D487" s="197"/>
      <c r="E487" s="197"/>
      <c r="F487" s="197"/>
      <c r="G487" s="197"/>
      <c r="H487" s="197"/>
      <c r="I487" s="197"/>
      <c r="J487" s="197"/>
      <c r="K487" s="197"/>
      <c r="L487" s="197"/>
      <c r="M487" s="197"/>
      <c r="N487" s="197"/>
      <c r="O487" s="197"/>
      <c r="P487" s="197"/>
      <c r="Q487" s="197"/>
      <c r="R487" s="197"/>
      <c r="S487" s="197"/>
      <c r="T487" s="197"/>
      <c r="U487" s="197"/>
      <c r="V487" s="197"/>
      <c r="W487" s="197"/>
      <c r="X487" s="197"/>
      <c r="Y487" s="197"/>
      <c r="Z487" s="197"/>
      <c r="AA487" s="197"/>
      <c r="AB487" s="197"/>
      <c r="AC487" s="197"/>
      <c r="AD487" s="197"/>
      <c r="AE487" s="197"/>
      <c r="AF487" s="197"/>
      <c r="AG487" s="197"/>
      <c r="AH487" s="197"/>
      <c r="AI487" s="197"/>
      <c r="AJ487" s="201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  <c r="BK487" s="33"/>
    </row>
    <row r="488" spans="1:63" ht="15" customHeight="1">
      <c r="A488" s="197"/>
      <c r="B488" s="197"/>
      <c r="C488" s="197"/>
      <c r="D488" s="197"/>
      <c r="E488" s="197"/>
      <c r="F488" s="197"/>
      <c r="G488" s="197"/>
      <c r="H488" s="197"/>
      <c r="I488" s="197"/>
      <c r="J488" s="197"/>
      <c r="K488" s="197"/>
      <c r="L488" s="197"/>
      <c r="M488" s="197"/>
      <c r="N488" s="197"/>
      <c r="O488" s="197"/>
      <c r="P488" s="197"/>
      <c r="Q488" s="197"/>
      <c r="R488" s="197"/>
      <c r="S488" s="197"/>
      <c r="T488" s="197"/>
      <c r="U488" s="197"/>
      <c r="V488" s="197"/>
      <c r="W488" s="197"/>
      <c r="X488" s="197"/>
      <c r="Y488" s="197"/>
      <c r="Z488" s="197"/>
      <c r="AA488" s="197"/>
      <c r="AB488" s="197"/>
      <c r="AC488" s="197"/>
      <c r="AD488" s="197"/>
      <c r="AE488" s="197"/>
      <c r="AF488" s="197"/>
      <c r="AG488" s="197"/>
      <c r="AH488" s="197"/>
      <c r="AI488" s="197"/>
      <c r="AJ488" s="201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</row>
    <row r="489" spans="1:63" ht="15" customHeight="1">
      <c r="A489" s="197"/>
      <c r="B489" s="197"/>
      <c r="C489" s="197"/>
      <c r="D489" s="197"/>
      <c r="E489" s="197"/>
      <c r="F489" s="197"/>
      <c r="G489" s="197"/>
      <c r="H489" s="197"/>
      <c r="I489" s="197"/>
      <c r="J489" s="197"/>
      <c r="K489" s="197"/>
      <c r="L489" s="197"/>
      <c r="M489" s="197"/>
      <c r="N489" s="197"/>
      <c r="O489" s="197"/>
      <c r="P489" s="197"/>
      <c r="Q489" s="197"/>
      <c r="R489" s="197"/>
      <c r="S489" s="197"/>
      <c r="T489" s="197"/>
      <c r="U489" s="197"/>
      <c r="V489" s="197"/>
      <c r="W489" s="197"/>
      <c r="X489" s="197"/>
      <c r="Y489" s="197"/>
      <c r="Z489" s="197"/>
      <c r="AA489" s="197"/>
      <c r="AB489" s="197"/>
      <c r="AC489" s="197"/>
      <c r="AD489" s="197"/>
      <c r="AE489" s="197"/>
      <c r="AF489" s="197"/>
      <c r="AG489" s="197"/>
      <c r="AH489" s="197"/>
      <c r="AI489" s="197"/>
      <c r="AJ489" s="201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  <c r="BK489" s="33"/>
    </row>
    <row r="490" spans="1:63" ht="15" customHeight="1">
      <c r="A490" s="197"/>
      <c r="B490" s="197"/>
      <c r="C490" s="197"/>
      <c r="D490" s="197"/>
      <c r="E490" s="197"/>
      <c r="F490" s="197"/>
      <c r="G490" s="197"/>
      <c r="H490" s="197"/>
      <c r="I490" s="197"/>
      <c r="J490" s="197"/>
      <c r="K490" s="197"/>
      <c r="L490" s="197"/>
      <c r="M490" s="197"/>
      <c r="N490" s="197"/>
      <c r="O490" s="197"/>
      <c r="P490" s="197"/>
      <c r="Q490" s="197"/>
      <c r="R490" s="197"/>
      <c r="S490" s="197"/>
      <c r="T490" s="197"/>
      <c r="U490" s="197"/>
      <c r="V490" s="197"/>
      <c r="W490" s="197"/>
      <c r="X490" s="197"/>
      <c r="Y490" s="197"/>
      <c r="Z490" s="197"/>
      <c r="AA490" s="197"/>
      <c r="AB490" s="197"/>
      <c r="AC490" s="197"/>
      <c r="AD490" s="197"/>
      <c r="AE490" s="197"/>
      <c r="AF490" s="197"/>
      <c r="AG490" s="197"/>
      <c r="AH490" s="197"/>
      <c r="AI490" s="197"/>
      <c r="AJ490" s="201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</row>
    <row r="491" spans="1:63" ht="15" customHeight="1">
      <c r="A491" s="197"/>
      <c r="B491" s="197"/>
      <c r="C491" s="197"/>
      <c r="D491" s="197"/>
      <c r="E491" s="197"/>
      <c r="F491" s="197"/>
      <c r="G491" s="197"/>
      <c r="H491" s="197"/>
      <c r="I491" s="197"/>
      <c r="J491" s="197"/>
      <c r="K491" s="197"/>
      <c r="L491" s="197"/>
      <c r="M491" s="197"/>
      <c r="N491" s="197"/>
      <c r="O491" s="197"/>
      <c r="P491" s="197"/>
      <c r="Q491" s="197"/>
      <c r="R491" s="197"/>
      <c r="S491" s="197"/>
      <c r="T491" s="197"/>
      <c r="U491" s="197"/>
      <c r="V491" s="197"/>
      <c r="W491" s="197"/>
      <c r="X491" s="197"/>
      <c r="Y491" s="197"/>
      <c r="Z491" s="197"/>
      <c r="AA491" s="197"/>
      <c r="AB491" s="197"/>
      <c r="AC491" s="197"/>
      <c r="AD491" s="197"/>
      <c r="AE491" s="197"/>
      <c r="AF491" s="197"/>
      <c r="AG491" s="197"/>
      <c r="AH491" s="197"/>
      <c r="AI491" s="197"/>
      <c r="AJ491" s="201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  <c r="BK491" s="33"/>
    </row>
    <row r="492" spans="1:63" ht="15" customHeight="1">
      <c r="A492" s="197"/>
      <c r="B492" s="197"/>
      <c r="C492" s="197"/>
      <c r="D492" s="197"/>
      <c r="E492" s="197"/>
      <c r="F492" s="197"/>
      <c r="G492" s="197"/>
      <c r="H492" s="197"/>
      <c r="I492" s="197"/>
      <c r="J492" s="197"/>
      <c r="K492" s="197"/>
      <c r="L492" s="197"/>
      <c r="M492" s="197"/>
      <c r="N492" s="197"/>
      <c r="O492" s="197"/>
      <c r="P492" s="197"/>
      <c r="Q492" s="197"/>
      <c r="R492" s="197"/>
      <c r="S492" s="197"/>
      <c r="T492" s="197"/>
      <c r="U492" s="197"/>
      <c r="V492" s="197"/>
      <c r="W492" s="197"/>
      <c r="X492" s="197"/>
      <c r="Y492" s="197"/>
      <c r="Z492" s="197"/>
      <c r="AA492" s="197"/>
      <c r="AB492" s="197"/>
      <c r="AC492" s="197"/>
      <c r="AD492" s="197"/>
      <c r="AE492" s="197"/>
      <c r="AF492" s="197"/>
      <c r="AG492" s="197"/>
      <c r="AH492" s="197"/>
      <c r="AI492" s="197"/>
      <c r="AJ492" s="201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</row>
    <row r="493" spans="1:63" ht="15" customHeight="1">
      <c r="A493" s="197"/>
      <c r="B493" s="197"/>
      <c r="C493" s="197"/>
      <c r="D493" s="197"/>
      <c r="E493" s="197"/>
      <c r="F493" s="197"/>
      <c r="G493" s="197"/>
      <c r="H493" s="197"/>
      <c r="I493" s="197"/>
      <c r="J493" s="197"/>
      <c r="K493" s="197"/>
      <c r="L493" s="197"/>
      <c r="M493" s="197"/>
      <c r="N493" s="197"/>
      <c r="O493" s="197"/>
      <c r="P493" s="197"/>
      <c r="Q493" s="197"/>
      <c r="R493" s="197"/>
      <c r="S493" s="197"/>
      <c r="T493" s="197"/>
      <c r="U493" s="197"/>
      <c r="V493" s="197"/>
      <c r="W493" s="197"/>
      <c r="X493" s="197"/>
      <c r="Y493" s="197"/>
      <c r="Z493" s="197"/>
      <c r="AA493" s="197"/>
      <c r="AB493" s="197"/>
      <c r="AC493" s="197"/>
      <c r="AD493" s="197"/>
      <c r="AE493" s="197"/>
      <c r="AF493" s="197"/>
      <c r="AG493" s="197"/>
      <c r="AH493" s="197"/>
      <c r="AI493" s="197"/>
      <c r="AJ493" s="201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</row>
    <row r="494" spans="1:63" ht="15" customHeight="1">
      <c r="A494" s="197"/>
      <c r="B494" s="197"/>
      <c r="C494" s="197"/>
      <c r="D494" s="197"/>
      <c r="E494" s="197"/>
      <c r="F494" s="197"/>
      <c r="G494" s="197"/>
      <c r="H494" s="197"/>
      <c r="I494" s="197"/>
      <c r="J494" s="197"/>
      <c r="K494" s="197"/>
      <c r="L494" s="197"/>
      <c r="M494" s="197"/>
      <c r="N494" s="197"/>
      <c r="O494" s="197"/>
      <c r="P494" s="197"/>
      <c r="Q494" s="197"/>
      <c r="R494" s="197"/>
      <c r="S494" s="197"/>
      <c r="T494" s="197"/>
      <c r="U494" s="197"/>
      <c r="V494" s="197"/>
      <c r="W494" s="197"/>
      <c r="X494" s="197"/>
      <c r="Y494" s="197"/>
      <c r="Z494" s="197"/>
      <c r="AA494" s="197"/>
      <c r="AB494" s="197"/>
      <c r="AC494" s="197"/>
      <c r="AD494" s="197"/>
      <c r="AE494" s="197"/>
      <c r="AF494" s="197"/>
      <c r="AG494" s="197"/>
      <c r="AH494" s="197"/>
      <c r="AI494" s="197"/>
      <c r="AJ494" s="201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</row>
    <row r="495" spans="1:63" ht="15" customHeight="1">
      <c r="A495" s="197"/>
      <c r="B495" s="197"/>
      <c r="C495" s="197"/>
      <c r="D495" s="197"/>
      <c r="E495" s="197"/>
      <c r="F495" s="197"/>
      <c r="G495" s="197"/>
      <c r="H495" s="197"/>
      <c r="I495" s="197"/>
      <c r="J495" s="197"/>
      <c r="K495" s="197"/>
      <c r="L495" s="197"/>
      <c r="M495" s="197"/>
      <c r="N495" s="197"/>
      <c r="O495" s="197"/>
      <c r="P495" s="197"/>
      <c r="Q495" s="197"/>
      <c r="R495" s="197"/>
      <c r="S495" s="197"/>
      <c r="T495" s="197"/>
      <c r="U495" s="197"/>
      <c r="V495" s="197"/>
      <c r="W495" s="197"/>
      <c r="X495" s="197"/>
      <c r="Y495" s="197"/>
      <c r="Z495" s="197"/>
      <c r="AA495" s="197"/>
      <c r="AB495" s="197"/>
      <c r="AC495" s="197"/>
      <c r="AD495" s="197"/>
      <c r="AE495" s="197"/>
      <c r="AF495" s="197"/>
      <c r="AG495" s="197"/>
      <c r="AH495" s="197"/>
      <c r="AI495" s="197"/>
      <c r="AJ495" s="201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  <c r="BK495" s="33"/>
    </row>
    <row r="496" spans="1:63" ht="15" customHeight="1">
      <c r="A496" s="197"/>
      <c r="B496" s="197"/>
      <c r="C496" s="197"/>
      <c r="D496" s="197"/>
      <c r="E496" s="197"/>
      <c r="F496" s="197"/>
      <c r="G496" s="197"/>
      <c r="H496" s="197"/>
      <c r="I496" s="197"/>
      <c r="J496" s="197"/>
      <c r="K496" s="197"/>
      <c r="L496" s="197"/>
      <c r="M496" s="197"/>
      <c r="N496" s="197"/>
      <c r="O496" s="197"/>
      <c r="P496" s="197"/>
      <c r="Q496" s="197"/>
      <c r="R496" s="197"/>
      <c r="S496" s="197"/>
      <c r="T496" s="197"/>
      <c r="U496" s="197"/>
      <c r="V496" s="197"/>
      <c r="W496" s="197"/>
      <c r="X496" s="197"/>
      <c r="Y496" s="197"/>
      <c r="Z496" s="197"/>
      <c r="AA496" s="197"/>
      <c r="AB496" s="197"/>
      <c r="AC496" s="197"/>
      <c r="AD496" s="197"/>
      <c r="AE496" s="197"/>
      <c r="AF496" s="197"/>
      <c r="AG496" s="197"/>
      <c r="AH496" s="197"/>
      <c r="AI496" s="197"/>
      <c r="AJ496" s="201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</row>
    <row r="497" spans="1:63" ht="15" customHeight="1">
      <c r="A497" s="197"/>
      <c r="B497" s="197"/>
      <c r="C497" s="197"/>
      <c r="D497" s="197"/>
      <c r="E497" s="197"/>
      <c r="F497" s="197"/>
      <c r="G497" s="197"/>
      <c r="H497" s="197"/>
      <c r="I497" s="197"/>
      <c r="J497" s="197"/>
      <c r="K497" s="197"/>
      <c r="L497" s="197"/>
      <c r="M497" s="197"/>
      <c r="N497" s="197"/>
      <c r="O497" s="197"/>
      <c r="P497" s="197"/>
      <c r="Q497" s="197"/>
      <c r="R497" s="197"/>
      <c r="S497" s="197"/>
      <c r="T497" s="197"/>
      <c r="U497" s="197"/>
      <c r="V497" s="197"/>
      <c r="W497" s="197"/>
      <c r="X497" s="197"/>
      <c r="Y497" s="197"/>
      <c r="Z497" s="197"/>
      <c r="AA497" s="197"/>
      <c r="AB497" s="197"/>
      <c r="AC497" s="197"/>
      <c r="AD497" s="197"/>
      <c r="AE497" s="197"/>
      <c r="AF497" s="197"/>
      <c r="AG497" s="197"/>
      <c r="AH497" s="197"/>
      <c r="AI497" s="197"/>
      <c r="AJ497" s="201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  <c r="BK497" s="33"/>
    </row>
    <row r="498" spans="1:63" ht="15" customHeight="1">
      <c r="A498" s="197"/>
      <c r="B498" s="197"/>
      <c r="C498" s="197"/>
      <c r="D498" s="197"/>
      <c r="E498" s="197"/>
      <c r="F498" s="197"/>
      <c r="G498" s="197"/>
      <c r="H498" s="197"/>
      <c r="I498" s="197"/>
      <c r="J498" s="197"/>
      <c r="K498" s="197"/>
      <c r="L498" s="197"/>
      <c r="M498" s="197"/>
      <c r="N498" s="197"/>
      <c r="O498" s="197"/>
      <c r="P498" s="197"/>
      <c r="Q498" s="197"/>
      <c r="R498" s="197"/>
      <c r="S498" s="197"/>
      <c r="T498" s="197"/>
      <c r="U498" s="197"/>
      <c r="V498" s="197"/>
      <c r="W498" s="197"/>
      <c r="X498" s="197"/>
      <c r="Y498" s="197"/>
      <c r="Z498" s="197"/>
      <c r="AA498" s="197"/>
      <c r="AB498" s="197"/>
      <c r="AC498" s="197"/>
      <c r="AD498" s="197"/>
      <c r="AE498" s="197"/>
      <c r="AF498" s="197"/>
      <c r="AG498" s="197"/>
      <c r="AH498" s="197"/>
      <c r="AI498" s="197"/>
      <c r="AJ498" s="201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</row>
    <row r="499" spans="1:63" ht="15" customHeight="1">
      <c r="A499" s="197"/>
      <c r="B499" s="197"/>
      <c r="C499" s="197"/>
      <c r="D499" s="197"/>
      <c r="E499" s="197"/>
      <c r="F499" s="197"/>
      <c r="G499" s="197"/>
      <c r="H499" s="197"/>
      <c r="I499" s="197"/>
      <c r="J499" s="197"/>
      <c r="K499" s="197"/>
      <c r="L499" s="197"/>
      <c r="M499" s="197"/>
      <c r="N499" s="197"/>
      <c r="O499" s="197"/>
      <c r="P499" s="197"/>
      <c r="Q499" s="197"/>
      <c r="R499" s="197"/>
      <c r="S499" s="197"/>
      <c r="T499" s="197"/>
      <c r="U499" s="197"/>
      <c r="V499" s="197"/>
      <c r="W499" s="197"/>
      <c r="X499" s="197"/>
      <c r="Y499" s="197"/>
      <c r="Z499" s="197"/>
      <c r="AA499" s="197"/>
      <c r="AB499" s="197"/>
      <c r="AC499" s="197"/>
      <c r="AD499" s="197"/>
      <c r="AE499" s="197"/>
      <c r="AF499" s="197"/>
      <c r="AG499" s="197"/>
      <c r="AH499" s="197"/>
      <c r="AI499" s="197"/>
      <c r="AJ499" s="201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  <c r="BK499" s="33"/>
    </row>
    <row r="500" spans="1:63" ht="15" customHeight="1">
      <c r="A500" s="197"/>
      <c r="B500" s="197"/>
      <c r="C500" s="197"/>
      <c r="D500" s="197"/>
      <c r="E500" s="197"/>
      <c r="F500" s="197"/>
      <c r="G500" s="197"/>
      <c r="H500" s="197"/>
      <c r="I500" s="197"/>
      <c r="J500" s="197"/>
      <c r="K500" s="197"/>
      <c r="L500" s="197"/>
      <c r="M500" s="197"/>
      <c r="N500" s="197"/>
      <c r="O500" s="197"/>
      <c r="P500" s="197"/>
      <c r="Q500" s="197"/>
      <c r="R500" s="197"/>
      <c r="S500" s="197"/>
      <c r="T500" s="197"/>
      <c r="U500" s="197"/>
      <c r="V500" s="197"/>
      <c r="W500" s="197"/>
      <c r="X500" s="197"/>
      <c r="Y500" s="197"/>
      <c r="Z500" s="197"/>
      <c r="AA500" s="197"/>
      <c r="AB500" s="197"/>
      <c r="AC500" s="197"/>
      <c r="AD500" s="197"/>
      <c r="AE500" s="197"/>
      <c r="AF500" s="197"/>
      <c r="AG500" s="197"/>
      <c r="AH500" s="197"/>
      <c r="AI500" s="197"/>
      <c r="AJ500" s="201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</row>
    <row r="501" spans="1:63" ht="15" customHeight="1">
      <c r="A501" s="197"/>
      <c r="B501" s="197"/>
      <c r="C501" s="197"/>
      <c r="D501" s="197"/>
      <c r="E501" s="197"/>
      <c r="F501" s="197"/>
      <c r="G501" s="197"/>
      <c r="H501" s="197"/>
      <c r="I501" s="197"/>
      <c r="J501" s="197"/>
      <c r="K501" s="197"/>
      <c r="L501" s="197"/>
      <c r="M501" s="197"/>
      <c r="N501" s="197"/>
      <c r="O501" s="197"/>
      <c r="P501" s="197"/>
      <c r="Q501" s="197"/>
      <c r="R501" s="197"/>
      <c r="S501" s="197"/>
      <c r="T501" s="197"/>
      <c r="U501" s="197"/>
      <c r="V501" s="197"/>
      <c r="W501" s="197"/>
      <c r="X501" s="197"/>
      <c r="Y501" s="197"/>
      <c r="Z501" s="197"/>
      <c r="AA501" s="197"/>
      <c r="AB501" s="197"/>
      <c r="AC501" s="197"/>
      <c r="AD501" s="197"/>
      <c r="AE501" s="197"/>
      <c r="AF501" s="197"/>
      <c r="AG501" s="197"/>
      <c r="AH501" s="197"/>
      <c r="AI501" s="197"/>
      <c r="AJ501" s="201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</row>
    <row r="502" spans="1:63" ht="15" customHeight="1">
      <c r="A502" s="197"/>
      <c r="B502" s="197"/>
      <c r="C502" s="197"/>
      <c r="D502" s="197"/>
      <c r="E502" s="197"/>
      <c r="F502" s="197"/>
      <c r="G502" s="197"/>
      <c r="H502" s="197"/>
      <c r="I502" s="197"/>
      <c r="J502" s="197"/>
      <c r="K502" s="197"/>
      <c r="L502" s="197"/>
      <c r="M502" s="197"/>
      <c r="N502" s="197"/>
      <c r="O502" s="197"/>
      <c r="P502" s="197"/>
      <c r="Q502" s="197"/>
      <c r="R502" s="197"/>
      <c r="S502" s="197"/>
      <c r="T502" s="197"/>
      <c r="U502" s="197"/>
      <c r="V502" s="197"/>
      <c r="W502" s="197"/>
      <c r="X502" s="197"/>
      <c r="Y502" s="197"/>
      <c r="Z502" s="197"/>
      <c r="AA502" s="197"/>
      <c r="AB502" s="197"/>
      <c r="AC502" s="197"/>
      <c r="AD502" s="197"/>
      <c r="AE502" s="197"/>
      <c r="AF502" s="197"/>
      <c r="AG502" s="197"/>
      <c r="AH502" s="197"/>
      <c r="AI502" s="197"/>
      <c r="AJ502" s="201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</row>
    <row r="503" spans="1:63" ht="15" customHeight="1">
      <c r="A503" s="197"/>
      <c r="B503" s="197"/>
      <c r="C503" s="197"/>
      <c r="D503" s="197"/>
      <c r="E503" s="197"/>
      <c r="F503" s="197"/>
      <c r="G503" s="197"/>
      <c r="H503" s="197"/>
      <c r="I503" s="197"/>
      <c r="J503" s="197"/>
      <c r="K503" s="197"/>
      <c r="L503" s="197"/>
      <c r="M503" s="197"/>
      <c r="N503" s="197"/>
      <c r="O503" s="197"/>
      <c r="P503" s="197"/>
      <c r="Q503" s="197"/>
      <c r="R503" s="197"/>
      <c r="S503" s="197"/>
      <c r="T503" s="197"/>
      <c r="U503" s="197"/>
      <c r="V503" s="197"/>
      <c r="W503" s="197"/>
      <c r="X503" s="197"/>
      <c r="Y503" s="197"/>
      <c r="Z503" s="197"/>
      <c r="AA503" s="197"/>
      <c r="AB503" s="197"/>
      <c r="AC503" s="197"/>
      <c r="AD503" s="197"/>
      <c r="AE503" s="197"/>
      <c r="AF503" s="197"/>
      <c r="AG503" s="197"/>
      <c r="AH503" s="197"/>
      <c r="AI503" s="197"/>
      <c r="AJ503" s="201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</row>
    <row r="504" spans="1:63" ht="15" customHeight="1">
      <c r="A504" s="197"/>
      <c r="B504" s="197"/>
      <c r="C504" s="197"/>
      <c r="D504" s="197"/>
      <c r="E504" s="197"/>
      <c r="F504" s="197"/>
      <c r="G504" s="197"/>
      <c r="H504" s="197"/>
      <c r="I504" s="197"/>
      <c r="J504" s="197"/>
      <c r="K504" s="197"/>
      <c r="L504" s="197"/>
      <c r="M504" s="197"/>
      <c r="N504" s="197"/>
      <c r="O504" s="197"/>
      <c r="P504" s="197"/>
      <c r="Q504" s="197"/>
      <c r="R504" s="197"/>
      <c r="S504" s="197"/>
      <c r="T504" s="197"/>
      <c r="U504" s="197"/>
      <c r="V504" s="197"/>
      <c r="W504" s="197"/>
      <c r="X504" s="197"/>
      <c r="Y504" s="197"/>
      <c r="Z504" s="197"/>
      <c r="AA504" s="197"/>
      <c r="AB504" s="197"/>
      <c r="AC504" s="197"/>
      <c r="AD504" s="197"/>
      <c r="AE504" s="197"/>
      <c r="AF504" s="197"/>
      <c r="AG504" s="197"/>
      <c r="AH504" s="197"/>
      <c r="AI504" s="197"/>
      <c r="AJ504" s="201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</row>
    <row r="505" spans="1:63" ht="15" customHeight="1">
      <c r="A505" s="197"/>
      <c r="B505" s="197"/>
      <c r="C505" s="197"/>
      <c r="D505" s="197"/>
      <c r="E505" s="197"/>
      <c r="F505" s="197"/>
      <c r="G505" s="197"/>
      <c r="H505" s="197"/>
      <c r="I505" s="197"/>
      <c r="J505" s="197"/>
      <c r="K505" s="197"/>
      <c r="L505" s="197"/>
      <c r="M505" s="197"/>
      <c r="N505" s="197"/>
      <c r="O505" s="197"/>
      <c r="P505" s="197"/>
      <c r="Q505" s="197"/>
      <c r="R505" s="197"/>
      <c r="S505" s="197"/>
      <c r="T505" s="197"/>
      <c r="U505" s="197"/>
      <c r="V505" s="197"/>
      <c r="W505" s="197"/>
      <c r="X505" s="197"/>
      <c r="Y505" s="197"/>
      <c r="Z505" s="197"/>
      <c r="AA505" s="197"/>
      <c r="AB505" s="197"/>
      <c r="AC505" s="197"/>
      <c r="AD505" s="197"/>
      <c r="AE505" s="197"/>
      <c r="AF505" s="197"/>
      <c r="AG505" s="197"/>
      <c r="AH505" s="197"/>
      <c r="AI505" s="197"/>
      <c r="AJ505" s="201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</row>
    <row r="506" spans="1:63" ht="15" customHeight="1">
      <c r="A506" s="197"/>
      <c r="B506" s="197"/>
      <c r="C506" s="197"/>
      <c r="D506" s="197"/>
      <c r="E506" s="197"/>
      <c r="F506" s="197"/>
      <c r="G506" s="197"/>
      <c r="H506" s="197"/>
      <c r="I506" s="197"/>
      <c r="J506" s="197"/>
      <c r="K506" s="197"/>
      <c r="L506" s="197"/>
      <c r="M506" s="197"/>
      <c r="N506" s="197"/>
      <c r="O506" s="197"/>
      <c r="P506" s="197"/>
      <c r="Q506" s="197"/>
      <c r="R506" s="197"/>
      <c r="S506" s="197"/>
      <c r="T506" s="197"/>
      <c r="U506" s="197"/>
      <c r="V506" s="197"/>
      <c r="W506" s="197"/>
      <c r="X506" s="197"/>
      <c r="Y506" s="197"/>
      <c r="Z506" s="197"/>
      <c r="AA506" s="197"/>
      <c r="AB506" s="197"/>
      <c r="AC506" s="197"/>
      <c r="AD506" s="197"/>
      <c r="AE506" s="197"/>
      <c r="AF506" s="197"/>
      <c r="AG506" s="197"/>
      <c r="AH506" s="197"/>
      <c r="AI506" s="197"/>
      <c r="AJ506" s="201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</row>
    <row r="507" spans="1:63" ht="15" customHeight="1">
      <c r="A507" s="197"/>
      <c r="B507" s="197"/>
      <c r="C507" s="197"/>
      <c r="D507" s="197"/>
      <c r="E507" s="197"/>
      <c r="F507" s="197"/>
      <c r="G507" s="197"/>
      <c r="H507" s="197"/>
      <c r="I507" s="197"/>
      <c r="J507" s="197"/>
      <c r="K507" s="197"/>
      <c r="L507" s="197"/>
      <c r="M507" s="197"/>
      <c r="N507" s="197"/>
      <c r="O507" s="197"/>
      <c r="P507" s="197"/>
      <c r="Q507" s="197"/>
      <c r="R507" s="197"/>
      <c r="S507" s="197"/>
      <c r="T507" s="197"/>
      <c r="U507" s="197"/>
      <c r="V507" s="197"/>
      <c r="W507" s="197"/>
      <c r="X507" s="197"/>
      <c r="Y507" s="197"/>
      <c r="Z507" s="197"/>
      <c r="AA507" s="197"/>
      <c r="AB507" s="197"/>
      <c r="AC507" s="197"/>
      <c r="AD507" s="197"/>
      <c r="AE507" s="197"/>
      <c r="AF507" s="197"/>
      <c r="AG507" s="197"/>
      <c r="AH507" s="197"/>
      <c r="AI507" s="197"/>
      <c r="AJ507" s="201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</row>
    <row r="508" spans="1:63" ht="15" customHeight="1">
      <c r="A508" s="197"/>
      <c r="B508" s="197"/>
      <c r="C508" s="197"/>
      <c r="D508" s="197"/>
      <c r="E508" s="197"/>
      <c r="F508" s="197"/>
      <c r="G508" s="197"/>
      <c r="H508" s="197"/>
      <c r="I508" s="197"/>
      <c r="J508" s="197"/>
      <c r="K508" s="197"/>
      <c r="L508" s="197"/>
      <c r="M508" s="197"/>
      <c r="N508" s="197"/>
      <c r="O508" s="197"/>
      <c r="P508" s="197"/>
      <c r="Q508" s="197"/>
      <c r="R508" s="197"/>
      <c r="S508" s="197"/>
      <c r="T508" s="197"/>
      <c r="U508" s="197"/>
      <c r="V508" s="197"/>
      <c r="W508" s="197"/>
      <c r="X508" s="197"/>
      <c r="Y508" s="197"/>
      <c r="Z508" s="197"/>
      <c r="AA508" s="197"/>
      <c r="AB508" s="197"/>
      <c r="AC508" s="197"/>
      <c r="AD508" s="197"/>
      <c r="AE508" s="197"/>
      <c r="AF508" s="197"/>
      <c r="AG508" s="197"/>
      <c r="AH508" s="197"/>
      <c r="AI508" s="197"/>
      <c r="AJ508" s="201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</row>
    <row r="509" spans="1:63" ht="15" customHeight="1">
      <c r="A509" s="197"/>
      <c r="B509" s="197"/>
      <c r="C509" s="197"/>
      <c r="D509" s="197"/>
      <c r="E509" s="197"/>
      <c r="F509" s="197"/>
      <c r="G509" s="197"/>
      <c r="H509" s="197"/>
      <c r="I509" s="197"/>
      <c r="J509" s="197"/>
      <c r="K509" s="197"/>
      <c r="L509" s="197"/>
      <c r="M509" s="197"/>
      <c r="N509" s="197"/>
      <c r="O509" s="197"/>
      <c r="P509" s="197"/>
      <c r="Q509" s="197"/>
      <c r="R509" s="197"/>
      <c r="S509" s="197"/>
      <c r="T509" s="197"/>
      <c r="U509" s="197"/>
      <c r="V509" s="197"/>
      <c r="W509" s="197"/>
      <c r="X509" s="197"/>
      <c r="Y509" s="197"/>
      <c r="Z509" s="197"/>
      <c r="AA509" s="197"/>
      <c r="AB509" s="197"/>
      <c r="AC509" s="197"/>
      <c r="AD509" s="197"/>
      <c r="AE509" s="197"/>
      <c r="AF509" s="197"/>
      <c r="AG509" s="197"/>
      <c r="AH509" s="197"/>
      <c r="AI509" s="197"/>
      <c r="AJ509" s="201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</row>
    <row r="510" spans="1:63" ht="15" customHeight="1">
      <c r="A510" s="197"/>
      <c r="B510" s="197"/>
      <c r="C510" s="197"/>
      <c r="D510" s="197"/>
      <c r="E510" s="197"/>
      <c r="F510" s="197"/>
      <c r="G510" s="197"/>
      <c r="H510" s="197"/>
      <c r="I510" s="197"/>
      <c r="J510" s="197"/>
      <c r="K510" s="197"/>
      <c r="L510" s="197"/>
      <c r="M510" s="197"/>
      <c r="N510" s="197"/>
      <c r="O510" s="197"/>
      <c r="P510" s="197"/>
      <c r="Q510" s="197"/>
      <c r="R510" s="197"/>
      <c r="S510" s="197"/>
      <c r="T510" s="197"/>
      <c r="U510" s="197"/>
      <c r="V510" s="197"/>
      <c r="W510" s="197"/>
      <c r="X510" s="197"/>
      <c r="Y510" s="197"/>
      <c r="Z510" s="197"/>
      <c r="AA510" s="197"/>
      <c r="AB510" s="197"/>
      <c r="AC510" s="197"/>
      <c r="AD510" s="197"/>
      <c r="AE510" s="197"/>
      <c r="AF510" s="197"/>
      <c r="AG510" s="197"/>
      <c r="AH510" s="197"/>
      <c r="AI510" s="197"/>
      <c r="AJ510" s="201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</row>
    <row r="511" spans="1:63" ht="15" customHeight="1">
      <c r="A511" s="197"/>
      <c r="B511" s="197"/>
      <c r="C511" s="197"/>
      <c r="D511" s="197"/>
      <c r="E511" s="197"/>
      <c r="F511" s="197"/>
      <c r="G511" s="197"/>
      <c r="H511" s="197"/>
      <c r="I511" s="197"/>
      <c r="J511" s="197"/>
      <c r="K511" s="197"/>
      <c r="L511" s="197"/>
      <c r="M511" s="197"/>
      <c r="N511" s="197"/>
      <c r="O511" s="197"/>
      <c r="P511" s="197"/>
      <c r="Q511" s="197"/>
      <c r="R511" s="197"/>
      <c r="S511" s="197"/>
      <c r="T511" s="197"/>
      <c r="U511" s="197"/>
      <c r="V511" s="197"/>
      <c r="W511" s="197"/>
      <c r="X511" s="197"/>
      <c r="Y511" s="197"/>
      <c r="Z511" s="197"/>
      <c r="AA511" s="197"/>
      <c r="AB511" s="197"/>
      <c r="AC511" s="197"/>
      <c r="AD511" s="197"/>
      <c r="AE511" s="197"/>
      <c r="AF511" s="197"/>
      <c r="AG511" s="197"/>
      <c r="AH511" s="197"/>
      <c r="AI511" s="197"/>
      <c r="AJ511" s="201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</row>
    <row r="512" spans="1:63" ht="15" customHeight="1">
      <c r="A512" s="197"/>
      <c r="B512" s="197"/>
      <c r="C512" s="197"/>
      <c r="D512" s="197"/>
      <c r="E512" s="197"/>
      <c r="F512" s="197"/>
      <c r="G512" s="197"/>
      <c r="H512" s="197"/>
      <c r="I512" s="197"/>
      <c r="J512" s="197"/>
      <c r="K512" s="197"/>
      <c r="L512" s="197"/>
      <c r="M512" s="197"/>
      <c r="N512" s="197"/>
      <c r="O512" s="197"/>
      <c r="P512" s="197"/>
      <c r="Q512" s="197"/>
      <c r="R512" s="197"/>
      <c r="S512" s="197"/>
      <c r="T512" s="197"/>
      <c r="U512" s="197"/>
      <c r="V512" s="197"/>
      <c r="W512" s="197"/>
      <c r="X512" s="197"/>
      <c r="Y512" s="197"/>
      <c r="Z512" s="197"/>
      <c r="AA512" s="197"/>
      <c r="AB512" s="197"/>
      <c r="AC512" s="197"/>
      <c r="AD512" s="197"/>
      <c r="AE512" s="197"/>
      <c r="AF512" s="197"/>
      <c r="AG512" s="197"/>
      <c r="AH512" s="197"/>
      <c r="AI512" s="197"/>
      <c r="AJ512" s="201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  <c r="BK512" s="33"/>
    </row>
    <row r="513" spans="1:63" ht="15" customHeight="1">
      <c r="A513" s="197"/>
      <c r="B513" s="197"/>
      <c r="C513" s="197"/>
      <c r="D513" s="197"/>
      <c r="E513" s="197"/>
      <c r="F513" s="197"/>
      <c r="G513" s="197"/>
      <c r="H513" s="197"/>
      <c r="I513" s="197"/>
      <c r="J513" s="197"/>
      <c r="K513" s="197"/>
      <c r="L513" s="197"/>
      <c r="M513" s="197"/>
      <c r="N513" s="197"/>
      <c r="O513" s="197"/>
      <c r="P513" s="197"/>
      <c r="Q513" s="197"/>
      <c r="R513" s="197"/>
      <c r="S513" s="197"/>
      <c r="T513" s="197"/>
      <c r="U513" s="197"/>
      <c r="V513" s="197"/>
      <c r="W513" s="197"/>
      <c r="X513" s="197"/>
      <c r="Y513" s="197"/>
      <c r="Z513" s="197"/>
      <c r="AA513" s="197"/>
      <c r="AB513" s="197"/>
      <c r="AC513" s="197"/>
      <c r="AD513" s="197"/>
      <c r="AE513" s="197"/>
      <c r="AF513" s="197"/>
      <c r="AG513" s="197"/>
      <c r="AH513" s="197"/>
      <c r="AI513" s="197"/>
      <c r="AJ513" s="201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</row>
    <row r="514" spans="1:63" ht="15" customHeight="1">
      <c r="A514" s="197"/>
      <c r="B514" s="197"/>
      <c r="C514" s="197"/>
      <c r="D514" s="197"/>
      <c r="E514" s="197"/>
      <c r="F514" s="197"/>
      <c r="G514" s="197"/>
      <c r="H514" s="197"/>
      <c r="I514" s="197"/>
      <c r="J514" s="197"/>
      <c r="K514" s="197"/>
      <c r="L514" s="197"/>
      <c r="M514" s="197"/>
      <c r="N514" s="197"/>
      <c r="O514" s="197"/>
      <c r="P514" s="197"/>
      <c r="Q514" s="197"/>
      <c r="R514" s="197"/>
      <c r="S514" s="197"/>
      <c r="T514" s="197"/>
      <c r="U514" s="197"/>
      <c r="V514" s="197"/>
      <c r="W514" s="197"/>
      <c r="X514" s="197"/>
      <c r="Y514" s="197"/>
      <c r="Z514" s="197"/>
      <c r="AA514" s="197"/>
      <c r="AB514" s="197"/>
      <c r="AC514" s="197"/>
      <c r="AD514" s="197"/>
      <c r="AE514" s="197"/>
      <c r="AF514" s="197"/>
      <c r="AG514" s="197"/>
      <c r="AH514" s="197"/>
      <c r="AI514" s="197"/>
      <c r="AJ514" s="201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</row>
    <row r="515" spans="1:63" ht="15" customHeight="1">
      <c r="A515" s="197"/>
      <c r="B515" s="197"/>
      <c r="C515" s="197"/>
      <c r="D515" s="197"/>
      <c r="E515" s="197"/>
      <c r="F515" s="197"/>
      <c r="G515" s="197"/>
      <c r="H515" s="197"/>
      <c r="I515" s="197"/>
      <c r="J515" s="197"/>
      <c r="K515" s="197"/>
      <c r="L515" s="197"/>
      <c r="M515" s="197"/>
      <c r="N515" s="197"/>
      <c r="O515" s="197"/>
      <c r="P515" s="197"/>
      <c r="Q515" s="197"/>
      <c r="R515" s="197"/>
      <c r="S515" s="197"/>
      <c r="T515" s="197"/>
      <c r="U515" s="197"/>
      <c r="V515" s="197"/>
      <c r="W515" s="197"/>
      <c r="X515" s="197"/>
      <c r="Y515" s="197"/>
      <c r="Z515" s="197"/>
      <c r="AA515" s="197"/>
      <c r="AB515" s="197"/>
      <c r="AC515" s="197"/>
      <c r="AD515" s="197"/>
      <c r="AE515" s="197"/>
      <c r="AF515" s="197"/>
      <c r="AG515" s="197"/>
      <c r="AH515" s="197"/>
      <c r="AI515" s="197"/>
      <c r="AJ515" s="201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</row>
    <row r="516" spans="1:63" ht="15" customHeight="1">
      <c r="A516" s="197"/>
      <c r="B516" s="197"/>
      <c r="C516" s="197"/>
      <c r="D516" s="197"/>
      <c r="E516" s="197"/>
      <c r="F516" s="197"/>
      <c r="G516" s="197"/>
      <c r="H516" s="197"/>
      <c r="I516" s="197"/>
      <c r="J516" s="197"/>
      <c r="K516" s="197"/>
      <c r="L516" s="197"/>
      <c r="M516" s="197"/>
      <c r="N516" s="197"/>
      <c r="O516" s="197"/>
      <c r="P516" s="197"/>
      <c r="Q516" s="197"/>
      <c r="R516" s="197"/>
      <c r="S516" s="197"/>
      <c r="T516" s="197"/>
      <c r="U516" s="197"/>
      <c r="V516" s="197"/>
      <c r="W516" s="197"/>
      <c r="X516" s="197"/>
      <c r="Y516" s="197"/>
      <c r="Z516" s="197"/>
      <c r="AA516" s="197"/>
      <c r="AB516" s="197"/>
      <c r="AC516" s="197"/>
      <c r="AD516" s="197"/>
      <c r="AE516" s="197"/>
      <c r="AF516" s="197"/>
      <c r="AG516" s="197"/>
      <c r="AH516" s="197"/>
      <c r="AI516" s="197"/>
      <c r="AJ516" s="201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</row>
    <row r="517" spans="1:63" ht="15" customHeight="1">
      <c r="A517" s="197"/>
      <c r="B517" s="197"/>
      <c r="C517" s="197"/>
      <c r="D517" s="197"/>
      <c r="E517" s="197"/>
      <c r="F517" s="197"/>
      <c r="G517" s="197"/>
      <c r="H517" s="197"/>
      <c r="I517" s="197"/>
      <c r="J517" s="197"/>
      <c r="K517" s="197"/>
      <c r="L517" s="197"/>
      <c r="M517" s="197"/>
      <c r="N517" s="197"/>
      <c r="O517" s="197"/>
      <c r="P517" s="197"/>
      <c r="Q517" s="197"/>
      <c r="R517" s="197"/>
      <c r="S517" s="197"/>
      <c r="T517" s="197"/>
      <c r="U517" s="197"/>
      <c r="V517" s="197"/>
      <c r="W517" s="197"/>
      <c r="X517" s="197"/>
      <c r="Y517" s="197"/>
      <c r="Z517" s="197"/>
      <c r="AA517" s="197"/>
      <c r="AB517" s="197"/>
      <c r="AC517" s="197"/>
      <c r="AD517" s="197"/>
      <c r="AE517" s="197"/>
      <c r="AF517" s="197"/>
      <c r="AG517" s="197"/>
      <c r="AH517" s="197"/>
      <c r="AI517" s="197"/>
      <c r="AJ517" s="201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  <c r="BK517" s="33"/>
    </row>
    <row r="518" spans="1:63" ht="15" customHeight="1">
      <c r="A518" s="197"/>
      <c r="B518" s="197"/>
      <c r="C518" s="197"/>
      <c r="D518" s="197"/>
      <c r="E518" s="197"/>
      <c r="F518" s="197"/>
      <c r="G518" s="197"/>
      <c r="H518" s="197"/>
      <c r="I518" s="197"/>
      <c r="J518" s="197"/>
      <c r="K518" s="197"/>
      <c r="L518" s="197"/>
      <c r="M518" s="197"/>
      <c r="N518" s="197"/>
      <c r="O518" s="197"/>
      <c r="P518" s="197"/>
      <c r="Q518" s="197"/>
      <c r="R518" s="197"/>
      <c r="S518" s="197"/>
      <c r="T518" s="197"/>
      <c r="U518" s="197"/>
      <c r="V518" s="197"/>
      <c r="W518" s="197"/>
      <c r="X518" s="197"/>
      <c r="Y518" s="197"/>
      <c r="Z518" s="197"/>
      <c r="AA518" s="197"/>
      <c r="AB518" s="197"/>
      <c r="AC518" s="197"/>
      <c r="AD518" s="197"/>
      <c r="AE518" s="197"/>
      <c r="AF518" s="197"/>
      <c r="AG518" s="197"/>
      <c r="AH518" s="197"/>
      <c r="AI518" s="197"/>
      <c r="AJ518" s="201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  <c r="BK518" s="33"/>
    </row>
    <row r="519" spans="1:63" ht="15" customHeight="1">
      <c r="A519" s="197"/>
      <c r="B519" s="197"/>
      <c r="C519" s="197"/>
      <c r="D519" s="197"/>
      <c r="E519" s="197"/>
      <c r="F519" s="197"/>
      <c r="G519" s="197"/>
      <c r="H519" s="197"/>
      <c r="I519" s="197"/>
      <c r="J519" s="197"/>
      <c r="K519" s="197"/>
      <c r="L519" s="197"/>
      <c r="M519" s="197"/>
      <c r="N519" s="197"/>
      <c r="O519" s="197"/>
      <c r="P519" s="197"/>
      <c r="Q519" s="197"/>
      <c r="R519" s="197"/>
      <c r="S519" s="197"/>
      <c r="T519" s="197"/>
      <c r="U519" s="197"/>
      <c r="V519" s="197"/>
      <c r="W519" s="197"/>
      <c r="X519" s="197"/>
      <c r="Y519" s="197"/>
      <c r="Z519" s="197"/>
      <c r="AA519" s="197"/>
      <c r="AB519" s="197"/>
      <c r="AC519" s="197"/>
      <c r="AD519" s="197"/>
      <c r="AE519" s="197"/>
      <c r="AF519" s="197"/>
      <c r="AG519" s="197"/>
      <c r="AH519" s="197"/>
      <c r="AI519" s="197"/>
      <c r="AJ519" s="201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</row>
    <row r="520" spans="1:63" ht="15" customHeight="1">
      <c r="A520" s="197"/>
      <c r="B520" s="197"/>
      <c r="C520" s="197"/>
      <c r="D520" s="197"/>
      <c r="E520" s="197"/>
      <c r="F520" s="197"/>
      <c r="G520" s="197"/>
      <c r="H520" s="197"/>
      <c r="I520" s="197"/>
      <c r="J520" s="197"/>
      <c r="K520" s="197"/>
      <c r="L520" s="197"/>
      <c r="M520" s="197"/>
      <c r="N520" s="197"/>
      <c r="O520" s="197"/>
      <c r="P520" s="197"/>
      <c r="Q520" s="197"/>
      <c r="R520" s="197"/>
      <c r="S520" s="197"/>
      <c r="T520" s="197"/>
      <c r="U520" s="197"/>
      <c r="V520" s="197"/>
      <c r="W520" s="197"/>
      <c r="X520" s="197"/>
      <c r="Y520" s="197"/>
      <c r="Z520" s="197"/>
      <c r="AA520" s="197"/>
      <c r="AB520" s="197"/>
      <c r="AC520" s="197"/>
      <c r="AD520" s="197"/>
      <c r="AE520" s="197"/>
      <c r="AF520" s="197"/>
      <c r="AG520" s="197"/>
      <c r="AH520" s="197"/>
      <c r="AI520" s="197"/>
      <c r="AJ520" s="201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</row>
    <row r="521" spans="1:63" ht="15" customHeight="1">
      <c r="A521" s="197"/>
      <c r="B521" s="197"/>
      <c r="C521" s="197"/>
      <c r="D521" s="197"/>
      <c r="E521" s="197"/>
      <c r="F521" s="197"/>
      <c r="G521" s="197"/>
      <c r="H521" s="197"/>
      <c r="I521" s="197"/>
      <c r="J521" s="197"/>
      <c r="K521" s="197"/>
      <c r="L521" s="197"/>
      <c r="M521" s="197"/>
      <c r="N521" s="197"/>
      <c r="O521" s="197"/>
      <c r="P521" s="197"/>
      <c r="Q521" s="197"/>
      <c r="R521" s="197"/>
      <c r="S521" s="197"/>
      <c r="T521" s="197"/>
      <c r="U521" s="197"/>
      <c r="V521" s="197"/>
      <c r="W521" s="197"/>
      <c r="X521" s="197"/>
      <c r="Y521" s="197"/>
      <c r="Z521" s="197"/>
      <c r="AA521" s="197"/>
      <c r="AB521" s="197"/>
      <c r="AC521" s="197"/>
      <c r="AD521" s="197"/>
      <c r="AE521" s="197"/>
      <c r="AF521" s="197"/>
      <c r="AG521" s="197"/>
      <c r="AH521" s="197"/>
      <c r="AI521" s="197"/>
      <c r="AJ521" s="201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</row>
    <row r="522" spans="1:63" ht="15" customHeight="1">
      <c r="A522" s="197"/>
      <c r="B522" s="197"/>
      <c r="C522" s="197"/>
      <c r="D522" s="197"/>
      <c r="E522" s="197"/>
      <c r="F522" s="197"/>
      <c r="G522" s="197"/>
      <c r="H522" s="197"/>
      <c r="I522" s="197"/>
      <c r="J522" s="197"/>
      <c r="K522" s="197"/>
      <c r="L522" s="197"/>
      <c r="M522" s="197"/>
      <c r="N522" s="197"/>
      <c r="O522" s="197"/>
      <c r="P522" s="197"/>
      <c r="Q522" s="197"/>
      <c r="R522" s="197"/>
      <c r="S522" s="197"/>
      <c r="T522" s="197"/>
      <c r="U522" s="197"/>
      <c r="V522" s="197"/>
      <c r="W522" s="197"/>
      <c r="X522" s="197"/>
      <c r="Y522" s="197"/>
      <c r="Z522" s="197"/>
      <c r="AA522" s="197"/>
      <c r="AB522" s="197"/>
      <c r="AC522" s="197"/>
      <c r="AD522" s="197"/>
      <c r="AE522" s="197"/>
      <c r="AF522" s="197"/>
      <c r="AG522" s="197"/>
      <c r="AH522" s="197"/>
      <c r="AI522" s="197"/>
      <c r="AJ522" s="201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</row>
    <row r="523" spans="1:63" ht="15" customHeight="1">
      <c r="A523" s="197"/>
      <c r="B523" s="197"/>
      <c r="C523" s="197"/>
      <c r="D523" s="197"/>
      <c r="E523" s="197"/>
      <c r="F523" s="197"/>
      <c r="G523" s="197"/>
      <c r="H523" s="197"/>
      <c r="I523" s="197"/>
      <c r="J523" s="197"/>
      <c r="K523" s="197"/>
      <c r="L523" s="197"/>
      <c r="M523" s="197"/>
      <c r="N523" s="197"/>
      <c r="O523" s="197"/>
      <c r="P523" s="197"/>
      <c r="Q523" s="197"/>
      <c r="R523" s="197"/>
      <c r="S523" s="197"/>
      <c r="T523" s="197"/>
      <c r="U523" s="197"/>
      <c r="V523" s="197"/>
      <c r="W523" s="197"/>
      <c r="X523" s="197"/>
      <c r="Y523" s="197"/>
      <c r="Z523" s="197"/>
      <c r="AA523" s="197"/>
      <c r="AB523" s="197"/>
      <c r="AC523" s="197"/>
      <c r="AD523" s="197"/>
      <c r="AE523" s="197"/>
      <c r="AF523" s="197"/>
      <c r="AG523" s="197"/>
      <c r="AH523" s="197"/>
      <c r="AI523" s="197"/>
      <c r="AJ523" s="201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</row>
    <row r="524" spans="1:63" ht="15" customHeight="1">
      <c r="A524" s="197"/>
      <c r="B524" s="197"/>
      <c r="C524" s="197"/>
      <c r="D524" s="197"/>
      <c r="E524" s="197"/>
      <c r="F524" s="197"/>
      <c r="G524" s="197"/>
      <c r="H524" s="197"/>
      <c r="I524" s="197"/>
      <c r="J524" s="197"/>
      <c r="K524" s="197"/>
      <c r="L524" s="197"/>
      <c r="M524" s="197"/>
      <c r="N524" s="197"/>
      <c r="O524" s="197"/>
      <c r="P524" s="197"/>
      <c r="Q524" s="197"/>
      <c r="R524" s="197"/>
      <c r="S524" s="197"/>
      <c r="T524" s="197"/>
      <c r="U524" s="197"/>
      <c r="V524" s="197"/>
      <c r="W524" s="197"/>
      <c r="X524" s="197"/>
      <c r="Y524" s="197"/>
      <c r="Z524" s="197"/>
      <c r="AA524" s="197"/>
      <c r="AB524" s="197"/>
      <c r="AC524" s="197"/>
      <c r="AD524" s="197"/>
      <c r="AE524" s="197"/>
      <c r="AF524" s="197"/>
      <c r="AG524" s="197"/>
      <c r="AH524" s="197"/>
      <c r="AI524" s="197"/>
      <c r="AJ524" s="201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</row>
    <row r="525" spans="1:63" ht="15" customHeight="1">
      <c r="A525" s="197"/>
      <c r="B525" s="197"/>
      <c r="C525" s="197"/>
      <c r="D525" s="197"/>
      <c r="E525" s="197"/>
      <c r="F525" s="197"/>
      <c r="G525" s="197"/>
      <c r="H525" s="197"/>
      <c r="I525" s="197"/>
      <c r="J525" s="197"/>
      <c r="K525" s="197"/>
      <c r="L525" s="197"/>
      <c r="M525" s="197"/>
      <c r="N525" s="197"/>
      <c r="O525" s="197"/>
      <c r="P525" s="197"/>
      <c r="Q525" s="197"/>
      <c r="R525" s="197"/>
      <c r="S525" s="197"/>
      <c r="T525" s="197"/>
      <c r="U525" s="197"/>
      <c r="V525" s="197"/>
      <c r="W525" s="197"/>
      <c r="X525" s="197"/>
      <c r="Y525" s="197"/>
      <c r="Z525" s="197"/>
      <c r="AA525" s="197"/>
      <c r="AB525" s="197"/>
      <c r="AC525" s="197"/>
      <c r="AD525" s="197"/>
      <c r="AE525" s="197"/>
      <c r="AF525" s="197"/>
      <c r="AG525" s="197"/>
      <c r="AH525" s="197"/>
      <c r="AI525" s="197"/>
      <c r="AJ525" s="201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</row>
    <row r="526" spans="1:63" ht="15" customHeight="1">
      <c r="A526" s="197"/>
      <c r="B526" s="197"/>
      <c r="C526" s="197"/>
      <c r="D526" s="197"/>
      <c r="E526" s="197"/>
      <c r="F526" s="197"/>
      <c r="G526" s="197"/>
      <c r="H526" s="197"/>
      <c r="I526" s="197"/>
      <c r="J526" s="197"/>
      <c r="K526" s="197"/>
      <c r="L526" s="197"/>
      <c r="M526" s="197"/>
      <c r="N526" s="197"/>
      <c r="O526" s="197"/>
      <c r="P526" s="197"/>
      <c r="Q526" s="197"/>
      <c r="R526" s="197"/>
      <c r="S526" s="197"/>
      <c r="T526" s="197"/>
      <c r="U526" s="197"/>
      <c r="V526" s="197"/>
      <c r="W526" s="197"/>
      <c r="X526" s="197"/>
      <c r="Y526" s="197"/>
      <c r="Z526" s="197"/>
      <c r="AA526" s="197"/>
      <c r="AB526" s="197"/>
      <c r="AC526" s="197"/>
      <c r="AD526" s="197"/>
      <c r="AE526" s="197"/>
      <c r="AF526" s="197"/>
      <c r="AG526" s="197"/>
      <c r="AH526" s="197"/>
      <c r="AI526" s="197"/>
      <c r="AJ526" s="201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</row>
    <row r="527" spans="1:63" ht="15" customHeight="1">
      <c r="A527" s="197"/>
      <c r="B527" s="197"/>
      <c r="C527" s="197"/>
      <c r="D527" s="197"/>
      <c r="E527" s="197"/>
      <c r="F527" s="197"/>
      <c r="G527" s="197"/>
      <c r="H527" s="197"/>
      <c r="I527" s="197"/>
      <c r="J527" s="197"/>
      <c r="K527" s="197"/>
      <c r="L527" s="197"/>
      <c r="M527" s="197"/>
      <c r="N527" s="197"/>
      <c r="O527" s="197"/>
      <c r="P527" s="197"/>
      <c r="Q527" s="197"/>
      <c r="R527" s="197"/>
      <c r="S527" s="197"/>
      <c r="T527" s="197"/>
      <c r="U527" s="197"/>
      <c r="V527" s="197"/>
      <c r="W527" s="197"/>
      <c r="X527" s="197"/>
      <c r="Y527" s="197"/>
      <c r="Z527" s="197"/>
      <c r="AA527" s="197"/>
      <c r="AB527" s="197"/>
      <c r="AC527" s="197"/>
      <c r="AD527" s="197"/>
      <c r="AE527" s="197"/>
      <c r="AF527" s="197"/>
      <c r="AG527" s="197"/>
      <c r="AH527" s="197"/>
      <c r="AI527" s="197"/>
      <c r="AJ527" s="201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</row>
    <row r="528" spans="1:63" ht="15" customHeight="1">
      <c r="A528" s="197"/>
      <c r="B528" s="197"/>
      <c r="C528" s="197"/>
      <c r="D528" s="197"/>
      <c r="E528" s="197"/>
      <c r="F528" s="197"/>
      <c r="G528" s="197"/>
      <c r="H528" s="197"/>
      <c r="I528" s="197"/>
      <c r="J528" s="197"/>
      <c r="K528" s="197"/>
      <c r="L528" s="197"/>
      <c r="M528" s="197"/>
      <c r="N528" s="197"/>
      <c r="O528" s="197"/>
      <c r="P528" s="197"/>
      <c r="Q528" s="197"/>
      <c r="R528" s="197"/>
      <c r="S528" s="197"/>
      <c r="T528" s="197"/>
      <c r="U528" s="197"/>
      <c r="V528" s="197"/>
      <c r="W528" s="197"/>
      <c r="X528" s="197"/>
      <c r="Y528" s="197"/>
      <c r="Z528" s="197"/>
      <c r="AA528" s="197"/>
      <c r="AB528" s="197"/>
      <c r="AC528" s="197"/>
      <c r="AD528" s="197"/>
      <c r="AE528" s="197"/>
      <c r="AF528" s="197"/>
      <c r="AG528" s="197"/>
      <c r="AH528" s="197"/>
      <c r="AI528" s="197"/>
      <c r="AJ528" s="201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</row>
    <row r="529" spans="1:63" ht="15" customHeight="1">
      <c r="A529" s="197"/>
      <c r="B529" s="197"/>
      <c r="C529" s="197"/>
      <c r="D529" s="197"/>
      <c r="E529" s="197"/>
      <c r="F529" s="197"/>
      <c r="G529" s="197"/>
      <c r="H529" s="197"/>
      <c r="I529" s="197"/>
      <c r="J529" s="197"/>
      <c r="K529" s="197"/>
      <c r="L529" s="197"/>
      <c r="M529" s="197"/>
      <c r="N529" s="197"/>
      <c r="O529" s="197"/>
      <c r="P529" s="197"/>
      <c r="Q529" s="197"/>
      <c r="R529" s="197"/>
      <c r="S529" s="197"/>
      <c r="T529" s="197"/>
      <c r="U529" s="197"/>
      <c r="V529" s="197"/>
      <c r="W529" s="197"/>
      <c r="X529" s="197"/>
      <c r="Y529" s="197"/>
      <c r="Z529" s="197"/>
      <c r="AA529" s="197"/>
      <c r="AB529" s="197"/>
      <c r="AC529" s="197"/>
      <c r="AD529" s="197"/>
      <c r="AE529" s="197"/>
      <c r="AF529" s="197"/>
      <c r="AG529" s="197"/>
      <c r="AH529" s="197"/>
      <c r="AI529" s="197"/>
      <c r="AJ529" s="201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</row>
    <row r="530" spans="1:63" ht="15" customHeight="1">
      <c r="A530" s="197"/>
      <c r="B530" s="197"/>
      <c r="C530" s="197"/>
      <c r="D530" s="197"/>
      <c r="E530" s="197"/>
      <c r="F530" s="197"/>
      <c r="G530" s="197"/>
      <c r="H530" s="197"/>
      <c r="I530" s="197"/>
      <c r="J530" s="197"/>
      <c r="K530" s="197"/>
      <c r="L530" s="197"/>
      <c r="M530" s="197"/>
      <c r="N530" s="197"/>
      <c r="O530" s="197"/>
      <c r="P530" s="197"/>
      <c r="Q530" s="197"/>
      <c r="R530" s="197"/>
      <c r="S530" s="197"/>
      <c r="T530" s="197"/>
      <c r="U530" s="197"/>
      <c r="V530" s="197"/>
      <c r="W530" s="197"/>
      <c r="X530" s="197"/>
      <c r="Y530" s="197"/>
      <c r="Z530" s="197"/>
      <c r="AA530" s="197"/>
      <c r="AB530" s="197"/>
      <c r="AC530" s="197"/>
      <c r="AD530" s="197"/>
      <c r="AE530" s="197"/>
      <c r="AF530" s="197"/>
      <c r="AG530" s="197"/>
      <c r="AH530" s="197"/>
      <c r="AI530" s="197"/>
      <c r="AJ530" s="201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</row>
    <row r="531" spans="1:63" ht="15" customHeight="1">
      <c r="A531" s="197"/>
      <c r="B531" s="197"/>
      <c r="C531" s="197"/>
      <c r="D531" s="197"/>
      <c r="E531" s="197"/>
      <c r="F531" s="197"/>
      <c r="G531" s="197"/>
      <c r="H531" s="197"/>
      <c r="I531" s="197"/>
      <c r="J531" s="197"/>
      <c r="K531" s="197"/>
      <c r="L531" s="197"/>
      <c r="M531" s="197"/>
      <c r="N531" s="197"/>
      <c r="O531" s="197"/>
      <c r="P531" s="197"/>
      <c r="Q531" s="197"/>
      <c r="R531" s="197"/>
      <c r="S531" s="197"/>
      <c r="T531" s="197"/>
      <c r="U531" s="197"/>
      <c r="V531" s="197"/>
      <c r="W531" s="197"/>
      <c r="X531" s="197"/>
      <c r="Y531" s="197"/>
      <c r="Z531" s="197"/>
      <c r="AA531" s="197"/>
      <c r="AB531" s="197"/>
      <c r="AC531" s="197"/>
      <c r="AD531" s="197"/>
      <c r="AE531" s="197"/>
      <c r="AF531" s="197"/>
      <c r="AG531" s="197"/>
      <c r="AH531" s="197"/>
      <c r="AI531" s="197"/>
      <c r="AJ531" s="201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</row>
    <row r="532" spans="1:63" ht="15" customHeight="1">
      <c r="A532" s="197"/>
      <c r="B532" s="197"/>
      <c r="C532" s="197"/>
      <c r="D532" s="197"/>
      <c r="E532" s="197"/>
      <c r="F532" s="197"/>
      <c r="G532" s="197"/>
      <c r="H532" s="197"/>
      <c r="I532" s="197"/>
      <c r="J532" s="197"/>
      <c r="K532" s="197"/>
      <c r="L532" s="197"/>
      <c r="M532" s="197"/>
      <c r="N532" s="197"/>
      <c r="O532" s="197"/>
      <c r="P532" s="197"/>
      <c r="Q532" s="197"/>
      <c r="R532" s="197"/>
      <c r="S532" s="197"/>
      <c r="T532" s="197"/>
      <c r="U532" s="197"/>
      <c r="V532" s="197"/>
      <c r="W532" s="197"/>
      <c r="X532" s="197"/>
      <c r="Y532" s="197"/>
      <c r="Z532" s="197"/>
      <c r="AA532" s="197"/>
      <c r="AB532" s="197"/>
      <c r="AC532" s="197"/>
      <c r="AD532" s="197"/>
      <c r="AE532" s="197"/>
      <c r="AF532" s="197"/>
      <c r="AG532" s="197"/>
      <c r="AH532" s="197"/>
      <c r="AI532" s="197"/>
      <c r="AJ532" s="201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  <c r="BK532" s="33"/>
    </row>
    <row r="533" spans="1:63" ht="15" customHeight="1">
      <c r="A533" s="197"/>
      <c r="B533" s="197"/>
      <c r="C533" s="197"/>
      <c r="D533" s="197"/>
      <c r="E533" s="197"/>
      <c r="F533" s="197"/>
      <c r="G533" s="197"/>
      <c r="H533" s="197"/>
      <c r="I533" s="197"/>
      <c r="J533" s="197"/>
      <c r="K533" s="197"/>
      <c r="L533" s="197"/>
      <c r="M533" s="197"/>
      <c r="N533" s="197"/>
      <c r="O533" s="197"/>
      <c r="P533" s="197"/>
      <c r="Q533" s="197"/>
      <c r="R533" s="197"/>
      <c r="S533" s="197"/>
      <c r="T533" s="197"/>
      <c r="U533" s="197"/>
      <c r="V533" s="197"/>
      <c r="W533" s="197"/>
      <c r="X533" s="197"/>
      <c r="Y533" s="197"/>
      <c r="Z533" s="197"/>
      <c r="AA533" s="197"/>
      <c r="AB533" s="197"/>
      <c r="AC533" s="197"/>
      <c r="AD533" s="197"/>
      <c r="AE533" s="197"/>
      <c r="AF533" s="197"/>
      <c r="AG533" s="197"/>
      <c r="AH533" s="197"/>
      <c r="AI533" s="197"/>
      <c r="AJ533" s="201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</row>
    <row r="534" spans="1:63" ht="15" customHeight="1">
      <c r="A534" s="197"/>
      <c r="B534" s="197"/>
      <c r="C534" s="197"/>
      <c r="D534" s="197"/>
      <c r="E534" s="197"/>
      <c r="F534" s="197"/>
      <c r="G534" s="197"/>
      <c r="H534" s="197"/>
      <c r="I534" s="197"/>
      <c r="J534" s="197"/>
      <c r="K534" s="197"/>
      <c r="L534" s="197"/>
      <c r="M534" s="197"/>
      <c r="N534" s="197"/>
      <c r="O534" s="197"/>
      <c r="P534" s="197"/>
      <c r="Q534" s="197"/>
      <c r="R534" s="197"/>
      <c r="S534" s="197"/>
      <c r="T534" s="197"/>
      <c r="U534" s="197"/>
      <c r="V534" s="197"/>
      <c r="W534" s="197"/>
      <c r="X534" s="197"/>
      <c r="Y534" s="197"/>
      <c r="Z534" s="197"/>
      <c r="AA534" s="197"/>
      <c r="AB534" s="197"/>
      <c r="AC534" s="197"/>
      <c r="AD534" s="197"/>
      <c r="AE534" s="197"/>
      <c r="AF534" s="197"/>
      <c r="AG534" s="197"/>
      <c r="AH534" s="197"/>
      <c r="AI534" s="197"/>
      <c r="AJ534" s="201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  <c r="BK534" s="33"/>
    </row>
    <row r="535" spans="1:63" ht="15" customHeight="1">
      <c r="A535" s="197"/>
      <c r="B535" s="197"/>
      <c r="C535" s="197"/>
      <c r="D535" s="197"/>
      <c r="E535" s="197"/>
      <c r="F535" s="197"/>
      <c r="G535" s="197"/>
      <c r="H535" s="197"/>
      <c r="I535" s="197"/>
      <c r="J535" s="197"/>
      <c r="K535" s="197"/>
      <c r="L535" s="197"/>
      <c r="M535" s="197"/>
      <c r="N535" s="197"/>
      <c r="O535" s="197"/>
      <c r="P535" s="197"/>
      <c r="Q535" s="197"/>
      <c r="R535" s="197"/>
      <c r="S535" s="197"/>
      <c r="T535" s="197"/>
      <c r="U535" s="197"/>
      <c r="V535" s="197"/>
      <c r="W535" s="197"/>
      <c r="X535" s="197"/>
      <c r="Y535" s="197"/>
      <c r="Z535" s="197"/>
      <c r="AA535" s="197"/>
      <c r="AB535" s="197"/>
      <c r="AC535" s="197"/>
      <c r="AD535" s="197"/>
      <c r="AE535" s="197"/>
      <c r="AF535" s="197"/>
      <c r="AG535" s="197"/>
      <c r="AH535" s="197"/>
      <c r="AI535" s="197"/>
      <c r="AJ535" s="201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</row>
    <row r="536" spans="1:63" ht="15" customHeight="1">
      <c r="A536" s="197"/>
      <c r="B536" s="197"/>
      <c r="C536" s="197"/>
      <c r="D536" s="197"/>
      <c r="E536" s="197"/>
      <c r="F536" s="197"/>
      <c r="G536" s="197"/>
      <c r="H536" s="197"/>
      <c r="I536" s="197"/>
      <c r="J536" s="197"/>
      <c r="K536" s="197"/>
      <c r="L536" s="197"/>
      <c r="M536" s="197"/>
      <c r="N536" s="197"/>
      <c r="O536" s="197"/>
      <c r="P536" s="197"/>
      <c r="Q536" s="197"/>
      <c r="R536" s="197"/>
      <c r="S536" s="197"/>
      <c r="T536" s="197"/>
      <c r="U536" s="197"/>
      <c r="V536" s="197"/>
      <c r="W536" s="197"/>
      <c r="X536" s="197"/>
      <c r="Y536" s="197"/>
      <c r="Z536" s="197"/>
      <c r="AA536" s="197"/>
      <c r="AB536" s="197"/>
      <c r="AC536" s="197"/>
      <c r="AD536" s="197"/>
      <c r="AE536" s="197"/>
      <c r="AF536" s="197"/>
      <c r="AG536" s="197"/>
      <c r="AH536" s="197"/>
      <c r="AI536" s="197"/>
      <c r="AJ536" s="201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</row>
    <row r="537" spans="1:63" ht="15" customHeight="1">
      <c r="A537" s="197"/>
      <c r="B537" s="197"/>
      <c r="C537" s="197"/>
      <c r="D537" s="197"/>
      <c r="E537" s="197"/>
      <c r="F537" s="197"/>
      <c r="G537" s="197"/>
      <c r="H537" s="197"/>
      <c r="I537" s="197"/>
      <c r="J537" s="197"/>
      <c r="K537" s="197"/>
      <c r="L537" s="197"/>
      <c r="M537" s="197"/>
      <c r="N537" s="197"/>
      <c r="O537" s="197"/>
      <c r="P537" s="197"/>
      <c r="Q537" s="197"/>
      <c r="R537" s="197"/>
      <c r="S537" s="197"/>
      <c r="T537" s="197"/>
      <c r="U537" s="197"/>
      <c r="V537" s="197"/>
      <c r="W537" s="197"/>
      <c r="X537" s="197"/>
      <c r="Y537" s="197"/>
      <c r="Z537" s="197"/>
      <c r="AA537" s="197"/>
      <c r="AB537" s="197"/>
      <c r="AC537" s="197"/>
      <c r="AD537" s="197"/>
      <c r="AE537" s="197"/>
      <c r="AF537" s="197"/>
      <c r="AG537" s="197"/>
      <c r="AH537" s="197"/>
      <c r="AI537" s="197"/>
      <c r="AJ537" s="201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</row>
    <row r="538" spans="1:63" ht="15" customHeight="1">
      <c r="A538" s="197"/>
      <c r="B538" s="197"/>
      <c r="C538" s="197"/>
      <c r="D538" s="197"/>
      <c r="E538" s="197"/>
      <c r="F538" s="197"/>
      <c r="G538" s="197"/>
      <c r="H538" s="197"/>
      <c r="I538" s="197"/>
      <c r="J538" s="197"/>
      <c r="K538" s="197"/>
      <c r="L538" s="197"/>
      <c r="M538" s="197"/>
      <c r="N538" s="197"/>
      <c r="O538" s="197"/>
      <c r="P538" s="197"/>
      <c r="Q538" s="197"/>
      <c r="R538" s="197"/>
      <c r="S538" s="197"/>
      <c r="T538" s="197"/>
      <c r="U538" s="197"/>
      <c r="V538" s="197"/>
      <c r="W538" s="197"/>
      <c r="X538" s="197"/>
      <c r="Y538" s="197"/>
      <c r="Z538" s="197"/>
      <c r="AA538" s="197"/>
      <c r="AB538" s="197"/>
      <c r="AC538" s="197"/>
      <c r="AD538" s="197"/>
      <c r="AE538" s="197"/>
      <c r="AF538" s="197"/>
      <c r="AG538" s="197"/>
      <c r="AH538" s="197"/>
      <c r="AI538" s="197"/>
      <c r="AJ538" s="201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</row>
    <row r="539" spans="1:63" ht="15" customHeight="1">
      <c r="A539" s="197"/>
      <c r="B539" s="197"/>
      <c r="C539" s="197"/>
      <c r="D539" s="197"/>
      <c r="E539" s="197"/>
      <c r="F539" s="197"/>
      <c r="G539" s="197"/>
      <c r="H539" s="197"/>
      <c r="I539" s="197"/>
      <c r="J539" s="197"/>
      <c r="K539" s="197"/>
      <c r="L539" s="197"/>
      <c r="M539" s="197"/>
      <c r="N539" s="197"/>
      <c r="O539" s="197"/>
      <c r="P539" s="197"/>
      <c r="Q539" s="197"/>
      <c r="R539" s="197"/>
      <c r="S539" s="197"/>
      <c r="T539" s="197"/>
      <c r="U539" s="197"/>
      <c r="V539" s="197"/>
      <c r="W539" s="197"/>
      <c r="X539" s="197"/>
      <c r="Y539" s="197"/>
      <c r="Z539" s="197"/>
      <c r="AA539" s="197"/>
      <c r="AB539" s="197"/>
      <c r="AC539" s="197"/>
      <c r="AD539" s="197"/>
      <c r="AE539" s="197"/>
      <c r="AF539" s="197"/>
      <c r="AG539" s="197"/>
      <c r="AH539" s="197"/>
      <c r="AI539" s="197"/>
      <c r="AJ539" s="201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  <c r="BK539" s="33"/>
    </row>
    <row r="540" spans="1:63" ht="15" customHeight="1">
      <c r="A540" s="197"/>
      <c r="B540" s="197"/>
      <c r="C540" s="197"/>
      <c r="D540" s="197"/>
      <c r="E540" s="197"/>
      <c r="F540" s="197"/>
      <c r="G540" s="197"/>
      <c r="H540" s="197"/>
      <c r="I540" s="197"/>
      <c r="J540" s="197"/>
      <c r="K540" s="197"/>
      <c r="L540" s="197"/>
      <c r="M540" s="197"/>
      <c r="N540" s="197"/>
      <c r="O540" s="197"/>
      <c r="P540" s="197"/>
      <c r="Q540" s="197"/>
      <c r="R540" s="197"/>
      <c r="S540" s="197"/>
      <c r="T540" s="197"/>
      <c r="U540" s="197"/>
      <c r="V540" s="197"/>
      <c r="W540" s="197"/>
      <c r="X540" s="197"/>
      <c r="Y540" s="197"/>
      <c r="Z540" s="197"/>
      <c r="AA540" s="197"/>
      <c r="AB540" s="197"/>
      <c r="AC540" s="197"/>
      <c r="AD540" s="197"/>
      <c r="AE540" s="197"/>
      <c r="AF540" s="197"/>
      <c r="AG540" s="197"/>
      <c r="AH540" s="197"/>
      <c r="AI540" s="197"/>
      <c r="AJ540" s="201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</row>
    <row r="541" spans="1:63" ht="15" customHeight="1">
      <c r="A541" s="197"/>
      <c r="B541" s="197"/>
      <c r="C541" s="197"/>
      <c r="D541" s="197"/>
      <c r="E541" s="197"/>
      <c r="F541" s="197"/>
      <c r="G541" s="197"/>
      <c r="H541" s="197"/>
      <c r="I541" s="197"/>
      <c r="J541" s="197"/>
      <c r="K541" s="197"/>
      <c r="L541" s="197"/>
      <c r="M541" s="197"/>
      <c r="N541" s="197"/>
      <c r="O541" s="197"/>
      <c r="P541" s="197"/>
      <c r="Q541" s="197"/>
      <c r="R541" s="197"/>
      <c r="S541" s="197"/>
      <c r="T541" s="197"/>
      <c r="U541" s="197"/>
      <c r="V541" s="197"/>
      <c r="W541" s="197"/>
      <c r="X541" s="197"/>
      <c r="Y541" s="197"/>
      <c r="Z541" s="197"/>
      <c r="AA541" s="197"/>
      <c r="AB541" s="197"/>
      <c r="AC541" s="197"/>
      <c r="AD541" s="197"/>
      <c r="AE541" s="197"/>
      <c r="AF541" s="197"/>
      <c r="AG541" s="197"/>
      <c r="AH541" s="197"/>
      <c r="AI541" s="197"/>
      <c r="AJ541" s="201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  <c r="BK541" s="33"/>
    </row>
    <row r="542" spans="1:63" ht="15" customHeight="1">
      <c r="A542" s="197"/>
      <c r="B542" s="197"/>
      <c r="C542" s="197"/>
      <c r="D542" s="197"/>
      <c r="E542" s="197"/>
      <c r="F542" s="197"/>
      <c r="G542" s="197"/>
      <c r="H542" s="197"/>
      <c r="I542" s="197"/>
      <c r="J542" s="197"/>
      <c r="K542" s="197"/>
      <c r="L542" s="197"/>
      <c r="M542" s="197"/>
      <c r="N542" s="197"/>
      <c r="O542" s="197"/>
      <c r="P542" s="197"/>
      <c r="Q542" s="197"/>
      <c r="R542" s="197"/>
      <c r="S542" s="197"/>
      <c r="T542" s="197"/>
      <c r="U542" s="197"/>
      <c r="V542" s="197"/>
      <c r="W542" s="197"/>
      <c r="X542" s="197"/>
      <c r="Y542" s="197"/>
      <c r="Z542" s="197"/>
      <c r="AA542" s="197"/>
      <c r="AB542" s="197"/>
      <c r="AC542" s="197"/>
      <c r="AD542" s="197"/>
      <c r="AE542" s="197"/>
      <c r="AF542" s="197"/>
      <c r="AG542" s="197"/>
      <c r="AH542" s="197"/>
      <c r="AI542" s="197"/>
      <c r="AJ542" s="201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</row>
    <row r="543" spans="1:63" ht="15" customHeight="1">
      <c r="A543" s="197"/>
      <c r="B543" s="197"/>
      <c r="C543" s="197"/>
      <c r="D543" s="197"/>
      <c r="E543" s="197"/>
      <c r="F543" s="197"/>
      <c r="G543" s="197"/>
      <c r="H543" s="197"/>
      <c r="I543" s="197"/>
      <c r="J543" s="197"/>
      <c r="K543" s="197"/>
      <c r="L543" s="197"/>
      <c r="M543" s="197"/>
      <c r="N543" s="197"/>
      <c r="O543" s="197"/>
      <c r="P543" s="197"/>
      <c r="Q543" s="197"/>
      <c r="R543" s="197"/>
      <c r="S543" s="197"/>
      <c r="T543" s="197"/>
      <c r="U543" s="197"/>
      <c r="V543" s="197"/>
      <c r="W543" s="197"/>
      <c r="X543" s="197"/>
      <c r="Y543" s="197"/>
      <c r="Z543" s="197"/>
      <c r="AA543" s="197"/>
      <c r="AB543" s="197"/>
      <c r="AC543" s="197"/>
      <c r="AD543" s="197"/>
      <c r="AE543" s="197"/>
      <c r="AF543" s="197"/>
      <c r="AG543" s="197"/>
      <c r="AH543" s="197"/>
      <c r="AI543" s="197"/>
      <c r="AJ543" s="201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  <c r="BK543" s="33"/>
    </row>
    <row r="544" spans="1:63" ht="15" customHeight="1">
      <c r="A544" s="197"/>
      <c r="B544" s="197"/>
      <c r="C544" s="197"/>
      <c r="D544" s="197"/>
      <c r="E544" s="197"/>
      <c r="F544" s="197"/>
      <c r="G544" s="197"/>
      <c r="H544" s="197"/>
      <c r="I544" s="197"/>
      <c r="J544" s="197"/>
      <c r="K544" s="197"/>
      <c r="L544" s="197"/>
      <c r="M544" s="197"/>
      <c r="N544" s="197"/>
      <c r="O544" s="197"/>
      <c r="P544" s="197"/>
      <c r="Q544" s="197"/>
      <c r="R544" s="197"/>
      <c r="S544" s="197"/>
      <c r="T544" s="197"/>
      <c r="U544" s="197"/>
      <c r="V544" s="197"/>
      <c r="W544" s="197"/>
      <c r="X544" s="197"/>
      <c r="Y544" s="197"/>
      <c r="Z544" s="197"/>
      <c r="AA544" s="197"/>
      <c r="AB544" s="197"/>
      <c r="AC544" s="197"/>
      <c r="AD544" s="197"/>
      <c r="AE544" s="197"/>
      <c r="AF544" s="197"/>
      <c r="AG544" s="197"/>
      <c r="AH544" s="197"/>
      <c r="AI544" s="197"/>
      <c r="AJ544" s="201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</row>
    <row r="545" spans="1:63" ht="15" customHeight="1">
      <c r="A545" s="197"/>
      <c r="B545" s="197"/>
      <c r="C545" s="197"/>
      <c r="D545" s="197"/>
      <c r="E545" s="197"/>
      <c r="F545" s="197"/>
      <c r="G545" s="197"/>
      <c r="H545" s="197"/>
      <c r="I545" s="197"/>
      <c r="J545" s="197"/>
      <c r="K545" s="197"/>
      <c r="L545" s="197"/>
      <c r="M545" s="197"/>
      <c r="N545" s="197"/>
      <c r="O545" s="197"/>
      <c r="P545" s="197"/>
      <c r="Q545" s="197"/>
      <c r="R545" s="197"/>
      <c r="S545" s="197"/>
      <c r="T545" s="197"/>
      <c r="U545" s="197"/>
      <c r="V545" s="197"/>
      <c r="W545" s="197"/>
      <c r="X545" s="197"/>
      <c r="Y545" s="197"/>
      <c r="Z545" s="197"/>
      <c r="AA545" s="197"/>
      <c r="AB545" s="197"/>
      <c r="AC545" s="197"/>
      <c r="AD545" s="197"/>
      <c r="AE545" s="197"/>
      <c r="AF545" s="197"/>
      <c r="AG545" s="197"/>
      <c r="AH545" s="197"/>
      <c r="AI545" s="197"/>
      <c r="AJ545" s="201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</row>
    <row r="546" spans="1:63" ht="15" customHeight="1">
      <c r="A546" s="197"/>
      <c r="B546" s="197"/>
      <c r="C546" s="197"/>
      <c r="D546" s="197"/>
      <c r="E546" s="197"/>
      <c r="F546" s="197"/>
      <c r="G546" s="197"/>
      <c r="H546" s="197"/>
      <c r="I546" s="197"/>
      <c r="J546" s="197"/>
      <c r="K546" s="197"/>
      <c r="L546" s="197"/>
      <c r="M546" s="197"/>
      <c r="N546" s="197"/>
      <c r="O546" s="197"/>
      <c r="P546" s="197"/>
      <c r="Q546" s="197"/>
      <c r="R546" s="197"/>
      <c r="S546" s="197"/>
      <c r="T546" s="197"/>
      <c r="U546" s="197"/>
      <c r="V546" s="197"/>
      <c r="W546" s="197"/>
      <c r="X546" s="197"/>
      <c r="Y546" s="197"/>
      <c r="Z546" s="197"/>
      <c r="AA546" s="197"/>
      <c r="AB546" s="197"/>
      <c r="AC546" s="197"/>
      <c r="AD546" s="197"/>
      <c r="AE546" s="197"/>
      <c r="AF546" s="197"/>
      <c r="AG546" s="197"/>
      <c r="AH546" s="197"/>
      <c r="AI546" s="197"/>
      <c r="AJ546" s="201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  <c r="BK546" s="33"/>
    </row>
    <row r="547" spans="1:63" ht="15" customHeight="1">
      <c r="A547" s="197"/>
      <c r="B547" s="197"/>
      <c r="C547" s="197"/>
      <c r="D547" s="197"/>
      <c r="E547" s="197"/>
      <c r="F547" s="197"/>
      <c r="G547" s="197"/>
      <c r="H547" s="197"/>
      <c r="I547" s="197"/>
      <c r="J547" s="197"/>
      <c r="K547" s="197"/>
      <c r="L547" s="197"/>
      <c r="M547" s="197"/>
      <c r="N547" s="197"/>
      <c r="O547" s="197"/>
      <c r="P547" s="197"/>
      <c r="Q547" s="197"/>
      <c r="R547" s="197"/>
      <c r="S547" s="197"/>
      <c r="T547" s="197"/>
      <c r="U547" s="197"/>
      <c r="V547" s="197"/>
      <c r="W547" s="197"/>
      <c r="X547" s="197"/>
      <c r="Y547" s="197"/>
      <c r="Z547" s="197"/>
      <c r="AA547" s="197"/>
      <c r="AB547" s="197"/>
      <c r="AC547" s="197"/>
      <c r="AD547" s="197"/>
      <c r="AE547" s="197"/>
      <c r="AF547" s="197"/>
      <c r="AG547" s="197"/>
      <c r="AH547" s="197"/>
      <c r="AI547" s="197"/>
      <c r="AJ547" s="201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</row>
    <row r="548" spans="1:63" ht="15" customHeight="1">
      <c r="A548" s="197"/>
      <c r="B548" s="197"/>
      <c r="C548" s="197"/>
      <c r="D548" s="197"/>
      <c r="E548" s="197"/>
      <c r="F548" s="197"/>
      <c r="G548" s="197"/>
      <c r="H548" s="197"/>
      <c r="I548" s="197"/>
      <c r="J548" s="197"/>
      <c r="K548" s="197"/>
      <c r="L548" s="197"/>
      <c r="M548" s="197"/>
      <c r="N548" s="197"/>
      <c r="O548" s="197"/>
      <c r="P548" s="197"/>
      <c r="Q548" s="197"/>
      <c r="R548" s="197"/>
      <c r="S548" s="197"/>
      <c r="T548" s="197"/>
      <c r="U548" s="197"/>
      <c r="V548" s="197"/>
      <c r="W548" s="197"/>
      <c r="X548" s="197"/>
      <c r="Y548" s="197"/>
      <c r="Z548" s="197"/>
      <c r="AA548" s="197"/>
      <c r="AB548" s="197"/>
      <c r="AC548" s="197"/>
      <c r="AD548" s="197"/>
      <c r="AE548" s="197"/>
      <c r="AF548" s="197"/>
      <c r="AG548" s="197"/>
      <c r="AH548" s="197"/>
      <c r="AI548" s="197"/>
      <c r="AJ548" s="201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  <c r="BK548" s="33"/>
    </row>
    <row r="549" spans="1:63" ht="15" customHeight="1">
      <c r="A549" s="197"/>
      <c r="B549" s="197"/>
      <c r="C549" s="197"/>
      <c r="D549" s="197"/>
      <c r="E549" s="197"/>
      <c r="F549" s="197"/>
      <c r="G549" s="197"/>
      <c r="H549" s="197"/>
      <c r="I549" s="197"/>
      <c r="J549" s="197"/>
      <c r="K549" s="197"/>
      <c r="L549" s="197"/>
      <c r="M549" s="197"/>
      <c r="N549" s="197"/>
      <c r="O549" s="197"/>
      <c r="P549" s="197"/>
      <c r="Q549" s="197"/>
      <c r="R549" s="197"/>
      <c r="S549" s="197"/>
      <c r="T549" s="197"/>
      <c r="U549" s="197"/>
      <c r="V549" s="197"/>
      <c r="W549" s="197"/>
      <c r="X549" s="197"/>
      <c r="Y549" s="197"/>
      <c r="Z549" s="197"/>
      <c r="AA549" s="197"/>
      <c r="AB549" s="197"/>
      <c r="AC549" s="197"/>
      <c r="AD549" s="197"/>
      <c r="AE549" s="197"/>
      <c r="AF549" s="197"/>
      <c r="AG549" s="197"/>
      <c r="AH549" s="197"/>
      <c r="AI549" s="197"/>
      <c r="AJ549" s="201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</row>
    <row r="550" spans="1:63" ht="15" customHeight="1">
      <c r="A550" s="197"/>
      <c r="B550" s="197"/>
      <c r="C550" s="197"/>
      <c r="D550" s="197"/>
      <c r="E550" s="197"/>
      <c r="F550" s="197"/>
      <c r="G550" s="197"/>
      <c r="H550" s="197"/>
      <c r="I550" s="197"/>
      <c r="J550" s="197"/>
      <c r="K550" s="197"/>
      <c r="L550" s="197"/>
      <c r="M550" s="197"/>
      <c r="N550" s="197"/>
      <c r="O550" s="197"/>
      <c r="P550" s="197"/>
      <c r="Q550" s="197"/>
      <c r="R550" s="197"/>
      <c r="S550" s="197"/>
      <c r="T550" s="197"/>
      <c r="U550" s="197"/>
      <c r="V550" s="197"/>
      <c r="W550" s="197"/>
      <c r="X550" s="197"/>
      <c r="Y550" s="197"/>
      <c r="Z550" s="197"/>
      <c r="AA550" s="197"/>
      <c r="AB550" s="197"/>
      <c r="AC550" s="197"/>
      <c r="AD550" s="197"/>
      <c r="AE550" s="197"/>
      <c r="AF550" s="197"/>
      <c r="AG550" s="197"/>
      <c r="AH550" s="197"/>
      <c r="AI550" s="197"/>
      <c r="AJ550" s="201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  <c r="BK550" s="33"/>
    </row>
    <row r="551" spans="1:63" ht="15" customHeight="1">
      <c r="A551" s="197"/>
      <c r="B551" s="197"/>
      <c r="C551" s="197"/>
      <c r="D551" s="197"/>
      <c r="E551" s="197"/>
      <c r="F551" s="197"/>
      <c r="G551" s="197"/>
      <c r="H551" s="197"/>
      <c r="I551" s="197"/>
      <c r="J551" s="197"/>
      <c r="K551" s="197"/>
      <c r="L551" s="197"/>
      <c r="M551" s="197"/>
      <c r="N551" s="197"/>
      <c r="O551" s="197"/>
      <c r="P551" s="197"/>
      <c r="Q551" s="197"/>
      <c r="R551" s="197"/>
      <c r="S551" s="197"/>
      <c r="T551" s="197"/>
      <c r="U551" s="197"/>
      <c r="V551" s="197"/>
      <c r="W551" s="197"/>
      <c r="X551" s="197"/>
      <c r="Y551" s="197"/>
      <c r="Z551" s="197"/>
      <c r="AA551" s="197"/>
      <c r="AB551" s="197"/>
      <c r="AC551" s="197"/>
      <c r="AD551" s="197"/>
      <c r="AE551" s="197"/>
      <c r="AF551" s="197"/>
      <c r="AG551" s="197"/>
      <c r="AH551" s="197"/>
      <c r="AI551" s="197"/>
      <c r="AJ551" s="201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</row>
    <row r="552" spans="1:63" ht="15" customHeight="1">
      <c r="A552" s="197"/>
      <c r="B552" s="197"/>
      <c r="C552" s="197"/>
      <c r="D552" s="197"/>
      <c r="E552" s="197"/>
      <c r="F552" s="197"/>
      <c r="G552" s="197"/>
      <c r="H552" s="197"/>
      <c r="I552" s="197"/>
      <c r="J552" s="197"/>
      <c r="K552" s="197"/>
      <c r="L552" s="197"/>
      <c r="M552" s="197"/>
      <c r="N552" s="197"/>
      <c r="O552" s="197"/>
      <c r="P552" s="197"/>
      <c r="Q552" s="197"/>
      <c r="R552" s="197"/>
      <c r="S552" s="197"/>
      <c r="T552" s="197"/>
      <c r="U552" s="197"/>
      <c r="V552" s="197"/>
      <c r="W552" s="197"/>
      <c r="X552" s="197"/>
      <c r="Y552" s="197"/>
      <c r="Z552" s="197"/>
      <c r="AA552" s="197"/>
      <c r="AB552" s="197"/>
      <c r="AC552" s="197"/>
      <c r="AD552" s="197"/>
      <c r="AE552" s="197"/>
      <c r="AF552" s="197"/>
      <c r="AG552" s="197"/>
      <c r="AH552" s="197"/>
      <c r="AI552" s="197"/>
      <c r="AJ552" s="201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  <c r="BK552" s="33"/>
    </row>
    <row r="553" spans="1:63" ht="15" customHeight="1">
      <c r="A553" s="197"/>
      <c r="B553" s="197"/>
      <c r="C553" s="197"/>
      <c r="D553" s="197"/>
      <c r="E553" s="197"/>
      <c r="F553" s="197"/>
      <c r="G553" s="197"/>
      <c r="H553" s="197"/>
      <c r="I553" s="197"/>
      <c r="J553" s="197"/>
      <c r="K553" s="197"/>
      <c r="L553" s="197"/>
      <c r="M553" s="197"/>
      <c r="N553" s="197"/>
      <c r="O553" s="197"/>
      <c r="P553" s="197"/>
      <c r="Q553" s="197"/>
      <c r="R553" s="197"/>
      <c r="S553" s="197"/>
      <c r="T553" s="197"/>
      <c r="U553" s="197"/>
      <c r="V553" s="197"/>
      <c r="W553" s="197"/>
      <c r="X553" s="197"/>
      <c r="Y553" s="197"/>
      <c r="Z553" s="197"/>
      <c r="AA553" s="197"/>
      <c r="AB553" s="197"/>
      <c r="AC553" s="197"/>
      <c r="AD553" s="197"/>
      <c r="AE553" s="197"/>
      <c r="AF553" s="197"/>
      <c r="AG553" s="197"/>
      <c r="AH553" s="197"/>
      <c r="AI553" s="197"/>
      <c r="AJ553" s="201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</row>
    <row r="554" spans="1:63" ht="15" customHeight="1">
      <c r="A554" s="197"/>
      <c r="B554" s="197"/>
      <c r="C554" s="197"/>
      <c r="D554" s="197"/>
      <c r="E554" s="197"/>
      <c r="F554" s="197"/>
      <c r="G554" s="197"/>
      <c r="H554" s="197"/>
      <c r="I554" s="197"/>
      <c r="J554" s="197"/>
      <c r="K554" s="197"/>
      <c r="L554" s="197"/>
      <c r="M554" s="197"/>
      <c r="N554" s="197"/>
      <c r="O554" s="197"/>
      <c r="P554" s="197"/>
      <c r="Q554" s="197"/>
      <c r="R554" s="197"/>
      <c r="S554" s="197"/>
      <c r="T554" s="197"/>
      <c r="U554" s="197"/>
      <c r="V554" s="197"/>
      <c r="W554" s="197"/>
      <c r="X554" s="197"/>
      <c r="Y554" s="197"/>
      <c r="Z554" s="197"/>
      <c r="AA554" s="197"/>
      <c r="AB554" s="197"/>
      <c r="AC554" s="197"/>
      <c r="AD554" s="197"/>
      <c r="AE554" s="197"/>
      <c r="AF554" s="197"/>
      <c r="AG554" s="197"/>
      <c r="AH554" s="197"/>
      <c r="AI554" s="197"/>
      <c r="AJ554" s="201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  <c r="BK554" s="33"/>
    </row>
    <row r="555" spans="1:63" ht="15" customHeight="1">
      <c r="A555" s="197"/>
      <c r="B555" s="197"/>
      <c r="C555" s="197"/>
      <c r="D555" s="197"/>
      <c r="E555" s="197"/>
      <c r="F555" s="197"/>
      <c r="G555" s="197"/>
      <c r="H555" s="197"/>
      <c r="I555" s="197"/>
      <c r="J555" s="197"/>
      <c r="K555" s="197"/>
      <c r="L555" s="197"/>
      <c r="M555" s="197"/>
      <c r="N555" s="197"/>
      <c r="O555" s="197"/>
      <c r="P555" s="197"/>
      <c r="Q555" s="197"/>
      <c r="R555" s="197"/>
      <c r="S555" s="197"/>
      <c r="T555" s="197"/>
      <c r="U555" s="197"/>
      <c r="V555" s="197"/>
      <c r="W555" s="197"/>
      <c r="X555" s="197"/>
      <c r="Y555" s="197"/>
      <c r="Z555" s="197"/>
      <c r="AA555" s="197"/>
      <c r="AB555" s="197"/>
      <c r="AC555" s="197"/>
      <c r="AD555" s="197"/>
      <c r="AE555" s="197"/>
      <c r="AF555" s="197"/>
      <c r="AG555" s="197"/>
      <c r="AH555" s="197"/>
      <c r="AI555" s="197"/>
      <c r="AJ555" s="201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</row>
    <row r="556" spans="1:63" ht="15" customHeight="1">
      <c r="A556" s="197"/>
      <c r="B556" s="197"/>
      <c r="C556" s="197"/>
      <c r="D556" s="197"/>
      <c r="E556" s="197"/>
      <c r="F556" s="197"/>
      <c r="G556" s="197"/>
      <c r="H556" s="197"/>
      <c r="I556" s="197"/>
      <c r="J556" s="197"/>
      <c r="K556" s="197"/>
      <c r="L556" s="197"/>
      <c r="M556" s="197"/>
      <c r="N556" s="197"/>
      <c r="O556" s="197"/>
      <c r="P556" s="197"/>
      <c r="Q556" s="197"/>
      <c r="R556" s="197"/>
      <c r="S556" s="197"/>
      <c r="T556" s="197"/>
      <c r="U556" s="197"/>
      <c r="V556" s="197"/>
      <c r="W556" s="197"/>
      <c r="X556" s="197"/>
      <c r="Y556" s="197"/>
      <c r="Z556" s="197"/>
      <c r="AA556" s="197"/>
      <c r="AB556" s="197"/>
      <c r="AC556" s="197"/>
      <c r="AD556" s="197"/>
      <c r="AE556" s="197"/>
      <c r="AF556" s="197"/>
      <c r="AG556" s="197"/>
      <c r="AH556" s="197"/>
      <c r="AI556" s="197"/>
      <c r="AJ556" s="201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  <c r="BK556" s="33"/>
    </row>
    <row r="557" spans="1:63" ht="15" customHeight="1">
      <c r="A557" s="197"/>
      <c r="B557" s="197"/>
      <c r="C557" s="197"/>
      <c r="D557" s="197"/>
      <c r="E557" s="197"/>
      <c r="F557" s="197"/>
      <c r="G557" s="197"/>
      <c r="H557" s="197"/>
      <c r="I557" s="197"/>
      <c r="J557" s="197"/>
      <c r="K557" s="197"/>
      <c r="L557" s="197"/>
      <c r="M557" s="197"/>
      <c r="N557" s="197"/>
      <c r="O557" s="197"/>
      <c r="P557" s="197"/>
      <c r="Q557" s="197"/>
      <c r="R557" s="197"/>
      <c r="S557" s="197"/>
      <c r="T557" s="197"/>
      <c r="U557" s="197"/>
      <c r="V557" s="197"/>
      <c r="W557" s="197"/>
      <c r="X557" s="197"/>
      <c r="Y557" s="197"/>
      <c r="Z557" s="197"/>
      <c r="AA557" s="197"/>
      <c r="AB557" s="197"/>
      <c r="AC557" s="197"/>
      <c r="AD557" s="197"/>
      <c r="AE557" s="197"/>
      <c r="AF557" s="197"/>
      <c r="AG557" s="197"/>
      <c r="AH557" s="197"/>
      <c r="AI557" s="197"/>
      <c r="AJ557" s="201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</row>
    <row r="558" spans="1:63" ht="15" customHeight="1">
      <c r="A558" s="197"/>
      <c r="B558" s="197"/>
      <c r="C558" s="197"/>
      <c r="D558" s="197"/>
      <c r="E558" s="197"/>
      <c r="F558" s="197"/>
      <c r="G558" s="197"/>
      <c r="H558" s="197"/>
      <c r="I558" s="197"/>
      <c r="J558" s="197"/>
      <c r="K558" s="197"/>
      <c r="L558" s="197"/>
      <c r="M558" s="197"/>
      <c r="N558" s="197"/>
      <c r="O558" s="197"/>
      <c r="P558" s="197"/>
      <c r="Q558" s="197"/>
      <c r="R558" s="197"/>
      <c r="S558" s="197"/>
      <c r="T558" s="197"/>
      <c r="U558" s="197"/>
      <c r="V558" s="197"/>
      <c r="W558" s="197"/>
      <c r="X558" s="197"/>
      <c r="Y558" s="197"/>
      <c r="Z558" s="197"/>
      <c r="AA558" s="197"/>
      <c r="AB558" s="197"/>
      <c r="AC558" s="197"/>
      <c r="AD558" s="197"/>
      <c r="AE558" s="197"/>
      <c r="AF558" s="197"/>
      <c r="AG558" s="197"/>
      <c r="AH558" s="197"/>
      <c r="AI558" s="197"/>
      <c r="AJ558" s="201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  <c r="BK558" s="33"/>
    </row>
    <row r="559" spans="1:63" ht="15" customHeight="1">
      <c r="A559" s="197"/>
      <c r="B559" s="197"/>
      <c r="C559" s="197"/>
      <c r="D559" s="197"/>
      <c r="E559" s="197"/>
      <c r="F559" s="197"/>
      <c r="G559" s="197"/>
      <c r="H559" s="197"/>
      <c r="I559" s="197"/>
      <c r="J559" s="197"/>
      <c r="K559" s="197"/>
      <c r="L559" s="197"/>
      <c r="M559" s="197"/>
      <c r="N559" s="197"/>
      <c r="O559" s="197"/>
      <c r="P559" s="197"/>
      <c r="Q559" s="197"/>
      <c r="R559" s="197"/>
      <c r="S559" s="197"/>
      <c r="T559" s="197"/>
      <c r="U559" s="197"/>
      <c r="V559" s="197"/>
      <c r="W559" s="197"/>
      <c r="X559" s="197"/>
      <c r="Y559" s="197"/>
      <c r="Z559" s="197"/>
      <c r="AA559" s="197"/>
      <c r="AB559" s="197"/>
      <c r="AC559" s="197"/>
      <c r="AD559" s="197"/>
      <c r="AE559" s="197"/>
      <c r="AF559" s="197"/>
      <c r="AG559" s="197"/>
      <c r="AH559" s="197"/>
      <c r="AI559" s="197"/>
      <c r="AJ559" s="201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</row>
    <row r="560" spans="1:63" ht="15" customHeight="1">
      <c r="A560" s="197"/>
      <c r="B560" s="197"/>
      <c r="C560" s="197"/>
      <c r="D560" s="197"/>
      <c r="E560" s="197"/>
      <c r="F560" s="197"/>
      <c r="G560" s="197"/>
      <c r="H560" s="197"/>
      <c r="I560" s="197"/>
      <c r="J560" s="197"/>
      <c r="K560" s="197"/>
      <c r="L560" s="197"/>
      <c r="M560" s="197"/>
      <c r="N560" s="197"/>
      <c r="O560" s="197"/>
      <c r="P560" s="197"/>
      <c r="Q560" s="197"/>
      <c r="R560" s="197"/>
      <c r="S560" s="197"/>
      <c r="T560" s="197"/>
      <c r="U560" s="197"/>
      <c r="V560" s="197"/>
      <c r="W560" s="197"/>
      <c r="X560" s="197"/>
      <c r="Y560" s="197"/>
      <c r="Z560" s="197"/>
      <c r="AA560" s="197"/>
      <c r="AB560" s="197"/>
      <c r="AC560" s="197"/>
      <c r="AD560" s="197"/>
      <c r="AE560" s="197"/>
      <c r="AF560" s="197"/>
      <c r="AG560" s="197"/>
      <c r="AH560" s="197"/>
      <c r="AI560" s="197"/>
      <c r="AJ560" s="201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  <c r="BK560" s="33"/>
    </row>
    <row r="561" spans="1:63" ht="15" customHeight="1">
      <c r="A561" s="197"/>
      <c r="B561" s="197"/>
      <c r="C561" s="197"/>
      <c r="D561" s="197"/>
      <c r="E561" s="197"/>
      <c r="F561" s="197"/>
      <c r="G561" s="197"/>
      <c r="H561" s="197"/>
      <c r="I561" s="197"/>
      <c r="J561" s="197"/>
      <c r="K561" s="197"/>
      <c r="L561" s="197"/>
      <c r="M561" s="197"/>
      <c r="N561" s="197"/>
      <c r="O561" s="197"/>
      <c r="P561" s="197"/>
      <c r="Q561" s="197"/>
      <c r="R561" s="197"/>
      <c r="S561" s="197"/>
      <c r="T561" s="197"/>
      <c r="U561" s="197"/>
      <c r="V561" s="197"/>
      <c r="W561" s="197"/>
      <c r="X561" s="197"/>
      <c r="Y561" s="197"/>
      <c r="Z561" s="197"/>
      <c r="AA561" s="197"/>
      <c r="AB561" s="197"/>
      <c r="AC561" s="197"/>
      <c r="AD561" s="197"/>
      <c r="AE561" s="197"/>
      <c r="AF561" s="197"/>
      <c r="AG561" s="197"/>
      <c r="AH561" s="197"/>
      <c r="AI561" s="197"/>
      <c r="AJ561" s="201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</row>
    <row r="562" spans="1:63" ht="15" customHeight="1">
      <c r="A562" s="197"/>
      <c r="B562" s="197"/>
      <c r="C562" s="197"/>
      <c r="D562" s="197"/>
      <c r="E562" s="197"/>
      <c r="F562" s="197"/>
      <c r="G562" s="197"/>
      <c r="H562" s="197"/>
      <c r="I562" s="197"/>
      <c r="J562" s="197"/>
      <c r="K562" s="197"/>
      <c r="L562" s="197"/>
      <c r="M562" s="197"/>
      <c r="N562" s="197"/>
      <c r="O562" s="197"/>
      <c r="P562" s="197"/>
      <c r="Q562" s="197"/>
      <c r="R562" s="197"/>
      <c r="S562" s="197"/>
      <c r="T562" s="197"/>
      <c r="U562" s="197"/>
      <c r="V562" s="197"/>
      <c r="W562" s="197"/>
      <c r="X562" s="197"/>
      <c r="Y562" s="197"/>
      <c r="Z562" s="197"/>
      <c r="AA562" s="197"/>
      <c r="AB562" s="197"/>
      <c r="AC562" s="197"/>
      <c r="AD562" s="197"/>
      <c r="AE562" s="197"/>
      <c r="AF562" s="197"/>
      <c r="AG562" s="197"/>
      <c r="AH562" s="197"/>
      <c r="AI562" s="197"/>
      <c r="AJ562" s="201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  <c r="BK562" s="33"/>
    </row>
    <row r="563" spans="1:63" ht="15" customHeight="1">
      <c r="A563" s="197"/>
      <c r="B563" s="197"/>
      <c r="C563" s="197"/>
      <c r="D563" s="197"/>
      <c r="E563" s="197"/>
      <c r="F563" s="197"/>
      <c r="G563" s="197"/>
      <c r="H563" s="197"/>
      <c r="I563" s="197"/>
      <c r="J563" s="197"/>
      <c r="K563" s="197"/>
      <c r="L563" s="197"/>
      <c r="M563" s="197"/>
      <c r="N563" s="197"/>
      <c r="O563" s="197"/>
      <c r="P563" s="197"/>
      <c r="Q563" s="197"/>
      <c r="R563" s="197"/>
      <c r="S563" s="197"/>
      <c r="T563" s="197"/>
      <c r="U563" s="197"/>
      <c r="V563" s="197"/>
      <c r="W563" s="197"/>
      <c r="X563" s="197"/>
      <c r="Y563" s="197"/>
      <c r="Z563" s="197"/>
      <c r="AA563" s="197"/>
      <c r="AB563" s="197"/>
      <c r="AC563" s="197"/>
      <c r="AD563" s="197"/>
      <c r="AE563" s="197"/>
      <c r="AF563" s="197"/>
      <c r="AG563" s="197"/>
      <c r="AH563" s="197"/>
      <c r="AI563" s="197"/>
      <c r="AJ563" s="201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</row>
    <row r="564" spans="1:63" ht="15" customHeight="1">
      <c r="A564" s="197"/>
      <c r="B564" s="197"/>
      <c r="C564" s="197"/>
      <c r="D564" s="197"/>
      <c r="E564" s="197"/>
      <c r="F564" s="197"/>
      <c r="G564" s="197"/>
      <c r="H564" s="197"/>
      <c r="I564" s="197"/>
      <c r="J564" s="197"/>
      <c r="K564" s="197"/>
      <c r="L564" s="197"/>
      <c r="M564" s="197"/>
      <c r="N564" s="197"/>
      <c r="O564" s="197"/>
      <c r="P564" s="197"/>
      <c r="Q564" s="197"/>
      <c r="R564" s="197"/>
      <c r="S564" s="197"/>
      <c r="T564" s="197"/>
      <c r="U564" s="197"/>
      <c r="V564" s="197"/>
      <c r="W564" s="197"/>
      <c r="X564" s="197"/>
      <c r="Y564" s="197"/>
      <c r="Z564" s="197"/>
      <c r="AA564" s="197"/>
      <c r="AB564" s="197"/>
      <c r="AC564" s="197"/>
      <c r="AD564" s="197"/>
      <c r="AE564" s="197"/>
      <c r="AF564" s="197"/>
      <c r="AG564" s="197"/>
      <c r="AH564" s="197"/>
      <c r="AI564" s="197"/>
      <c r="AJ564" s="201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  <c r="BK564" s="33"/>
    </row>
    <row r="565" spans="1:63" ht="15" customHeight="1">
      <c r="A565" s="197"/>
      <c r="B565" s="197"/>
      <c r="C565" s="197"/>
      <c r="D565" s="197"/>
      <c r="E565" s="197"/>
      <c r="F565" s="197"/>
      <c r="G565" s="197"/>
      <c r="H565" s="197"/>
      <c r="I565" s="197"/>
      <c r="J565" s="197"/>
      <c r="K565" s="197"/>
      <c r="L565" s="197"/>
      <c r="M565" s="197"/>
      <c r="N565" s="197"/>
      <c r="O565" s="197"/>
      <c r="P565" s="197"/>
      <c r="Q565" s="197"/>
      <c r="R565" s="197"/>
      <c r="S565" s="197"/>
      <c r="T565" s="197"/>
      <c r="U565" s="197"/>
      <c r="V565" s="197"/>
      <c r="W565" s="197"/>
      <c r="X565" s="197"/>
      <c r="Y565" s="197"/>
      <c r="Z565" s="197"/>
      <c r="AA565" s="197"/>
      <c r="AB565" s="197"/>
      <c r="AC565" s="197"/>
      <c r="AD565" s="197"/>
      <c r="AE565" s="197"/>
      <c r="AF565" s="197"/>
      <c r="AG565" s="197"/>
      <c r="AH565" s="197"/>
      <c r="AI565" s="197"/>
      <c r="AJ565" s="201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</row>
    <row r="566" spans="1:63" ht="15" customHeight="1">
      <c r="A566" s="197"/>
      <c r="B566" s="197"/>
      <c r="C566" s="197"/>
      <c r="D566" s="197"/>
      <c r="E566" s="197"/>
      <c r="F566" s="197"/>
      <c r="G566" s="197"/>
      <c r="H566" s="197"/>
      <c r="I566" s="197"/>
      <c r="J566" s="197"/>
      <c r="K566" s="197"/>
      <c r="L566" s="197"/>
      <c r="M566" s="197"/>
      <c r="N566" s="197"/>
      <c r="O566" s="197"/>
      <c r="P566" s="197"/>
      <c r="Q566" s="197"/>
      <c r="R566" s="197"/>
      <c r="S566" s="197"/>
      <c r="T566" s="197"/>
      <c r="U566" s="197"/>
      <c r="V566" s="197"/>
      <c r="W566" s="197"/>
      <c r="X566" s="197"/>
      <c r="Y566" s="197"/>
      <c r="Z566" s="197"/>
      <c r="AA566" s="197"/>
      <c r="AB566" s="197"/>
      <c r="AC566" s="197"/>
      <c r="AD566" s="197"/>
      <c r="AE566" s="197"/>
      <c r="AF566" s="197"/>
      <c r="AG566" s="197"/>
      <c r="AH566" s="197"/>
      <c r="AI566" s="197"/>
      <c r="AJ566" s="201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  <c r="BK566" s="33"/>
    </row>
    <row r="567" spans="1:63" ht="15" customHeight="1">
      <c r="A567" s="197"/>
      <c r="B567" s="197"/>
      <c r="C567" s="197"/>
      <c r="D567" s="197"/>
      <c r="E567" s="197"/>
      <c r="F567" s="197"/>
      <c r="G567" s="197"/>
      <c r="H567" s="197"/>
      <c r="I567" s="197"/>
      <c r="J567" s="197"/>
      <c r="K567" s="197"/>
      <c r="L567" s="197"/>
      <c r="M567" s="197"/>
      <c r="N567" s="197"/>
      <c r="O567" s="197"/>
      <c r="P567" s="197"/>
      <c r="Q567" s="197"/>
      <c r="R567" s="197"/>
      <c r="S567" s="197"/>
      <c r="T567" s="197"/>
      <c r="U567" s="197"/>
      <c r="V567" s="197"/>
      <c r="W567" s="197"/>
      <c r="X567" s="197"/>
      <c r="Y567" s="197"/>
      <c r="Z567" s="197"/>
      <c r="AA567" s="197"/>
      <c r="AB567" s="197"/>
      <c r="AC567" s="197"/>
      <c r="AD567" s="197"/>
      <c r="AE567" s="197"/>
      <c r="AF567" s="197"/>
      <c r="AG567" s="197"/>
      <c r="AH567" s="197"/>
      <c r="AI567" s="197"/>
      <c r="AJ567" s="201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</row>
    <row r="568" spans="1:63" ht="15" customHeight="1">
      <c r="A568" s="197"/>
      <c r="B568" s="197"/>
      <c r="C568" s="197"/>
      <c r="D568" s="197"/>
      <c r="E568" s="197"/>
      <c r="F568" s="197"/>
      <c r="G568" s="197"/>
      <c r="H568" s="197"/>
      <c r="I568" s="197"/>
      <c r="J568" s="197"/>
      <c r="K568" s="197"/>
      <c r="L568" s="197"/>
      <c r="M568" s="197"/>
      <c r="N568" s="197"/>
      <c r="O568" s="197"/>
      <c r="P568" s="197"/>
      <c r="Q568" s="197"/>
      <c r="R568" s="197"/>
      <c r="S568" s="197"/>
      <c r="T568" s="197"/>
      <c r="U568" s="197"/>
      <c r="V568" s="197"/>
      <c r="W568" s="197"/>
      <c r="X568" s="197"/>
      <c r="Y568" s="197"/>
      <c r="Z568" s="197"/>
      <c r="AA568" s="197"/>
      <c r="AB568" s="197"/>
      <c r="AC568" s="197"/>
      <c r="AD568" s="197"/>
      <c r="AE568" s="197"/>
      <c r="AF568" s="197"/>
      <c r="AG568" s="197"/>
      <c r="AH568" s="197"/>
      <c r="AI568" s="197"/>
      <c r="AJ568" s="201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</row>
    <row r="569" spans="1:63" ht="15" customHeight="1">
      <c r="A569" s="197"/>
      <c r="B569" s="197"/>
      <c r="C569" s="197"/>
      <c r="D569" s="197"/>
      <c r="E569" s="197"/>
      <c r="F569" s="197"/>
      <c r="G569" s="197"/>
      <c r="H569" s="197"/>
      <c r="I569" s="197"/>
      <c r="J569" s="197"/>
      <c r="K569" s="197"/>
      <c r="L569" s="197"/>
      <c r="M569" s="197"/>
      <c r="N569" s="197"/>
      <c r="O569" s="197"/>
      <c r="P569" s="197"/>
      <c r="Q569" s="197"/>
      <c r="R569" s="197"/>
      <c r="S569" s="197"/>
      <c r="T569" s="197"/>
      <c r="U569" s="197"/>
      <c r="V569" s="197"/>
      <c r="W569" s="197"/>
      <c r="X569" s="197"/>
      <c r="Y569" s="197"/>
      <c r="Z569" s="197"/>
      <c r="AA569" s="197"/>
      <c r="AB569" s="197"/>
      <c r="AC569" s="197"/>
      <c r="AD569" s="197"/>
      <c r="AE569" s="197"/>
      <c r="AF569" s="197"/>
      <c r="AG569" s="197"/>
      <c r="AH569" s="197"/>
      <c r="AI569" s="197"/>
      <c r="AJ569" s="201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</row>
    <row r="570" spans="1:63" ht="15" customHeight="1">
      <c r="A570" s="197"/>
      <c r="B570" s="197"/>
      <c r="C570" s="197"/>
      <c r="D570" s="197"/>
      <c r="E570" s="197"/>
      <c r="F570" s="197"/>
      <c r="G570" s="197"/>
      <c r="H570" s="197"/>
      <c r="I570" s="197"/>
      <c r="J570" s="197"/>
      <c r="K570" s="197"/>
      <c r="L570" s="197"/>
      <c r="M570" s="197"/>
      <c r="N570" s="197"/>
      <c r="O570" s="197"/>
      <c r="P570" s="197"/>
      <c r="Q570" s="197"/>
      <c r="R570" s="197"/>
      <c r="S570" s="197"/>
      <c r="T570" s="197"/>
      <c r="U570" s="197"/>
      <c r="V570" s="197"/>
      <c r="W570" s="197"/>
      <c r="X570" s="197"/>
      <c r="Y570" s="197"/>
      <c r="Z570" s="197"/>
      <c r="AA570" s="197"/>
      <c r="AB570" s="197"/>
      <c r="AC570" s="197"/>
      <c r="AD570" s="197"/>
      <c r="AE570" s="197"/>
      <c r="AF570" s="197"/>
      <c r="AG570" s="197"/>
      <c r="AH570" s="197"/>
      <c r="AI570" s="197"/>
      <c r="AJ570" s="201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</row>
    <row r="571" spans="1:63" ht="15" customHeight="1">
      <c r="A571" s="197"/>
      <c r="B571" s="197"/>
      <c r="C571" s="197"/>
      <c r="D571" s="197"/>
      <c r="E571" s="197"/>
      <c r="F571" s="197"/>
      <c r="G571" s="197"/>
      <c r="H571" s="197"/>
      <c r="I571" s="197"/>
      <c r="J571" s="197"/>
      <c r="K571" s="197"/>
      <c r="L571" s="197"/>
      <c r="M571" s="197"/>
      <c r="N571" s="197"/>
      <c r="O571" s="197"/>
      <c r="P571" s="197"/>
      <c r="Q571" s="197"/>
      <c r="R571" s="197"/>
      <c r="S571" s="197"/>
      <c r="T571" s="197"/>
      <c r="U571" s="197"/>
      <c r="V571" s="197"/>
      <c r="W571" s="197"/>
      <c r="X571" s="197"/>
      <c r="Y571" s="197"/>
      <c r="Z571" s="197"/>
      <c r="AA571" s="197"/>
      <c r="AB571" s="197"/>
      <c r="AC571" s="197"/>
      <c r="AD571" s="197"/>
      <c r="AE571" s="197"/>
      <c r="AF571" s="197"/>
      <c r="AG571" s="197"/>
      <c r="AH571" s="197"/>
      <c r="AI571" s="197"/>
      <c r="AJ571" s="201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</row>
    <row r="572" spans="1:63" ht="15" customHeight="1">
      <c r="A572" s="197"/>
      <c r="B572" s="197"/>
      <c r="C572" s="197"/>
      <c r="D572" s="197"/>
      <c r="E572" s="197"/>
      <c r="F572" s="197"/>
      <c r="G572" s="197"/>
      <c r="H572" s="197"/>
      <c r="I572" s="197"/>
      <c r="J572" s="197"/>
      <c r="K572" s="197"/>
      <c r="L572" s="197"/>
      <c r="M572" s="197"/>
      <c r="N572" s="197"/>
      <c r="O572" s="197"/>
      <c r="P572" s="197"/>
      <c r="Q572" s="197"/>
      <c r="R572" s="197"/>
      <c r="S572" s="197"/>
      <c r="T572" s="197"/>
      <c r="U572" s="197"/>
      <c r="V572" s="197"/>
      <c r="W572" s="197"/>
      <c r="X572" s="197"/>
      <c r="Y572" s="197"/>
      <c r="Z572" s="197"/>
      <c r="AA572" s="197"/>
      <c r="AB572" s="197"/>
      <c r="AC572" s="197"/>
      <c r="AD572" s="197"/>
      <c r="AE572" s="197"/>
      <c r="AF572" s="197"/>
      <c r="AG572" s="197"/>
      <c r="AH572" s="197"/>
      <c r="AI572" s="197"/>
      <c r="AJ572" s="201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</row>
    <row r="573" spans="1:63" ht="15" customHeight="1">
      <c r="A573" s="197"/>
      <c r="B573" s="197"/>
      <c r="C573" s="197"/>
      <c r="D573" s="197"/>
      <c r="E573" s="197"/>
      <c r="F573" s="197"/>
      <c r="G573" s="197"/>
      <c r="H573" s="197"/>
      <c r="I573" s="197"/>
      <c r="J573" s="197"/>
      <c r="K573" s="197"/>
      <c r="L573" s="197"/>
      <c r="M573" s="197"/>
      <c r="N573" s="197"/>
      <c r="O573" s="197"/>
      <c r="P573" s="197"/>
      <c r="Q573" s="197"/>
      <c r="R573" s="197"/>
      <c r="S573" s="197"/>
      <c r="T573" s="197"/>
      <c r="U573" s="197"/>
      <c r="V573" s="197"/>
      <c r="W573" s="197"/>
      <c r="X573" s="197"/>
      <c r="Y573" s="197"/>
      <c r="Z573" s="197"/>
      <c r="AA573" s="197"/>
      <c r="AB573" s="197"/>
      <c r="AC573" s="197"/>
      <c r="AD573" s="197"/>
      <c r="AE573" s="197"/>
      <c r="AF573" s="197"/>
      <c r="AG573" s="197"/>
      <c r="AH573" s="197"/>
      <c r="AI573" s="197"/>
      <c r="AJ573" s="201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</row>
    <row r="574" spans="1:63" ht="15" customHeight="1">
      <c r="A574" s="197"/>
      <c r="B574" s="197"/>
      <c r="C574" s="197"/>
      <c r="D574" s="197"/>
      <c r="E574" s="197"/>
      <c r="F574" s="197"/>
      <c r="G574" s="197"/>
      <c r="H574" s="197"/>
      <c r="I574" s="197"/>
      <c r="J574" s="197"/>
      <c r="K574" s="197"/>
      <c r="L574" s="197"/>
      <c r="M574" s="197"/>
      <c r="N574" s="197"/>
      <c r="O574" s="197"/>
      <c r="P574" s="197"/>
      <c r="Q574" s="197"/>
      <c r="R574" s="197"/>
      <c r="S574" s="197"/>
      <c r="T574" s="197"/>
      <c r="U574" s="197"/>
      <c r="V574" s="197"/>
      <c r="W574" s="197"/>
      <c r="X574" s="197"/>
      <c r="Y574" s="197"/>
      <c r="Z574" s="197"/>
      <c r="AA574" s="197"/>
      <c r="AB574" s="197"/>
      <c r="AC574" s="197"/>
      <c r="AD574" s="197"/>
      <c r="AE574" s="197"/>
      <c r="AF574" s="197"/>
      <c r="AG574" s="197"/>
      <c r="AH574" s="197"/>
      <c r="AI574" s="197"/>
      <c r="AJ574" s="201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</row>
    <row r="575" spans="1:63" ht="15" customHeight="1">
      <c r="A575" s="197"/>
      <c r="B575" s="197"/>
      <c r="C575" s="197"/>
      <c r="D575" s="197"/>
      <c r="E575" s="197"/>
      <c r="F575" s="197"/>
      <c r="G575" s="197"/>
      <c r="H575" s="197"/>
      <c r="I575" s="197"/>
      <c r="J575" s="197"/>
      <c r="K575" s="197"/>
      <c r="L575" s="197"/>
      <c r="M575" s="197"/>
      <c r="N575" s="197"/>
      <c r="O575" s="197"/>
      <c r="P575" s="197"/>
      <c r="Q575" s="197"/>
      <c r="R575" s="197"/>
      <c r="S575" s="197"/>
      <c r="T575" s="197"/>
      <c r="U575" s="197"/>
      <c r="V575" s="197"/>
      <c r="W575" s="197"/>
      <c r="X575" s="197"/>
      <c r="Y575" s="197"/>
      <c r="Z575" s="197"/>
      <c r="AA575" s="197"/>
      <c r="AB575" s="197"/>
      <c r="AC575" s="197"/>
      <c r="AD575" s="197"/>
      <c r="AE575" s="197"/>
      <c r="AF575" s="197"/>
      <c r="AG575" s="197"/>
      <c r="AH575" s="197"/>
      <c r="AI575" s="197"/>
      <c r="AJ575" s="201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</row>
    <row r="576" spans="1:63" ht="15" customHeight="1">
      <c r="A576" s="197"/>
      <c r="B576" s="197"/>
      <c r="C576" s="197"/>
      <c r="D576" s="197"/>
      <c r="E576" s="197"/>
      <c r="F576" s="197"/>
      <c r="G576" s="197"/>
      <c r="H576" s="197"/>
      <c r="I576" s="197"/>
      <c r="J576" s="197"/>
      <c r="K576" s="197"/>
      <c r="L576" s="197"/>
      <c r="M576" s="197"/>
      <c r="N576" s="197"/>
      <c r="O576" s="197"/>
      <c r="P576" s="197"/>
      <c r="Q576" s="197"/>
      <c r="R576" s="197"/>
      <c r="S576" s="197"/>
      <c r="T576" s="197"/>
      <c r="U576" s="197"/>
      <c r="V576" s="197"/>
      <c r="W576" s="197"/>
      <c r="X576" s="197"/>
      <c r="Y576" s="197"/>
      <c r="Z576" s="197"/>
      <c r="AA576" s="197"/>
      <c r="AB576" s="197"/>
      <c r="AC576" s="197"/>
      <c r="AD576" s="197"/>
      <c r="AE576" s="197"/>
      <c r="AF576" s="197"/>
      <c r="AG576" s="197"/>
      <c r="AH576" s="197"/>
      <c r="AI576" s="197"/>
      <c r="AJ576" s="201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</row>
    <row r="577" spans="1:63" ht="15" customHeight="1">
      <c r="A577" s="197"/>
      <c r="B577" s="197"/>
      <c r="C577" s="197"/>
      <c r="D577" s="197"/>
      <c r="E577" s="197"/>
      <c r="F577" s="197"/>
      <c r="G577" s="197"/>
      <c r="H577" s="197"/>
      <c r="I577" s="197"/>
      <c r="J577" s="197"/>
      <c r="K577" s="197"/>
      <c r="L577" s="197"/>
      <c r="M577" s="197"/>
      <c r="N577" s="197"/>
      <c r="O577" s="197"/>
      <c r="P577" s="197"/>
      <c r="Q577" s="197"/>
      <c r="R577" s="197"/>
      <c r="S577" s="197"/>
      <c r="T577" s="197"/>
      <c r="U577" s="197"/>
      <c r="V577" s="197"/>
      <c r="W577" s="197"/>
      <c r="X577" s="197"/>
      <c r="Y577" s="197"/>
      <c r="Z577" s="197"/>
      <c r="AA577" s="197"/>
      <c r="AB577" s="197"/>
      <c r="AC577" s="197"/>
      <c r="AD577" s="197"/>
      <c r="AE577" s="197"/>
      <c r="AF577" s="197"/>
      <c r="AG577" s="197"/>
      <c r="AH577" s="197"/>
      <c r="AI577" s="197"/>
      <c r="AJ577" s="201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</row>
    <row r="578" spans="1:63" ht="15" customHeight="1">
      <c r="A578" s="197"/>
      <c r="B578" s="197"/>
      <c r="C578" s="197"/>
      <c r="D578" s="197"/>
      <c r="E578" s="197"/>
      <c r="F578" s="197"/>
      <c r="G578" s="197"/>
      <c r="H578" s="197"/>
      <c r="I578" s="197"/>
      <c r="J578" s="197"/>
      <c r="K578" s="197"/>
      <c r="L578" s="197"/>
      <c r="M578" s="197"/>
      <c r="N578" s="197"/>
      <c r="O578" s="197"/>
      <c r="P578" s="197"/>
      <c r="Q578" s="197"/>
      <c r="R578" s="197"/>
      <c r="S578" s="197"/>
      <c r="T578" s="197"/>
      <c r="U578" s="197"/>
      <c r="V578" s="197"/>
      <c r="W578" s="197"/>
      <c r="X578" s="197"/>
      <c r="Y578" s="197"/>
      <c r="Z578" s="197"/>
      <c r="AA578" s="197"/>
      <c r="AB578" s="197"/>
      <c r="AC578" s="197"/>
      <c r="AD578" s="197"/>
      <c r="AE578" s="197"/>
      <c r="AF578" s="197"/>
      <c r="AG578" s="197"/>
      <c r="AH578" s="197"/>
      <c r="AI578" s="197"/>
      <c r="AJ578" s="201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</row>
    <row r="579" spans="1:63" ht="15" customHeight="1">
      <c r="A579" s="197"/>
      <c r="B579" s="197"/>
      <c r="C579" s="197"/>
      <c r="D579" s="197"/>
      <c r="E579" s="197"/>
      <c r="F579" s="197"/>
      <c r="G579" s="197"/>
      <c r="H579" s="197"/>
      <c r="I579" s="197"/>
      <c r="J579" s="197"/>
      <c r="K579" s="197"/>
      <c r="L579" s="197"/>
      <c r="M579" s="197"/>
      <c r="N579" s="197"/>
      <c r="O579" s="197"/>
      <c r="P579" s="197"/>
      <c r="Q579" s="197"/>
      <c r="R579" s="197"/>
      <c r="S579" s="197"/>
      <c r="T579" s="197"/>
      <c r="U579" s="197"/>
      <c r="V579" s="197"/>
      <c r="W579" s="197"/>
      <c r="X579" s="197"/>
      <c r="Y579" s="197"/>
      <c r="Z579" s="197"/>
      <c r="AA579" s="197"/>
      <c r="AB579" s="197"/>
      <c r="AC579" s="197"/>
      <c r="AD579" s="197"/>
      <c r="AE579" s="197"/>
      <c r="AF579" s="197"/>
      <c r="AG579" s="197"/>
      <c r="AH579" s="197"/>
      <c r="AI579" s="197"/>
      <c r="AJ579" s="201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</row>
    <row r="580" spans="1:63" ht="15" customHeight="1">
      <c r="A580" s="197"/>
      <c r="B580" s="197"/>
      <c r="C580" s="197"/>
      <c r="D580" s="197"/>
      <c r="E580" s="197"/>
      <c r="F580" s="197"/>
      <c r="G580" s="197"/>
      <c r="H580" s="197"/>
      <c r="I580" s="197"/>
      <c r="J580" s="197"/>
      <c r="K580" s="197"/>
      <c r="L580" s="197"/>
      <c r="M580" s="197"/>
      <c r="N580" s="197"/>
      <c r="O580" s="197"/>
      <c r="P580" s="197"/>
      <c r="Q580" s="197"/>
      <c r="R580" s="197"/>
      <c r="S580" s="197"/>
      <c r="T580" s="197"/>
      <c r="U580" s="197"/>
      <c r="V580" s="197"/>
      <c r="W580" s="197"/>
      <c r="X580" s="197"/>
      <c r="Y580" s="197"/>
      <c r="Z580" s="197"/>
      <c r="AA580" s="197"/>
      <c r="AB580" s="197"/>
      <c r="AC580" s="197"/>
      <c r="AD580" s="197"/>
      <c r="AE580" s="197"/>
      <c r="AF580" s="197"/>
      <c r="AG580" s="197"/>
      <c r="AH580" s="197"/>
      <c r="AI580" s="197"/>
      <c r="AJ580" s="201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</row>
    <row r="581" spans="1:63" ht="15" customHeight="1">
      <c r="A581" s="197"/>
      <c r="B581" s="197"/>
      <c r="C581" s="197"/>
      <c r="D581" s="197"/>
      <c r="E581" s="197"/>
      <c r="F581" s="197"/>
      <c r="G581" s="197"/>
      <c r="H581" s="197"/>
      <c r="I581" s="197"/>
      <c r="J581" s="197"/>
      <c r="K581" s="197"/>
      <c r="L581" s="197"/>
      <c r="M581" s="197"/>
      <c r="N581" s="197"/>
      <c r="O581" s="197"/>
      <c r="P581" s="197"/>
      <c r="Q581" s="197"/>
      <c r="R581" s="197"/>
      <c r="S581" s="197"/>
      <c r="T581" s="197"/>
      <c r="U581" s="197"/>
      <c r="V581" s="197"/>
      <c r="W581" s="197"/>
      <c r="X581" s="197"/>
      <c r="Y581" s="197"/>
      <c r="Z581" s="197"/>
      <c r="AA581" s="197"/>
      <c r="AB581" s="197"/>
      <c r="AC581" s="197"/>
      <c r="AD581" s="197"/>
      <c r="AE581" s="197"/>
      <c r="AF581" s="197"/>
      <c r="AG581" s="197"/>
      <c r="AH581" s="197"/>
      <c r="AI581" s="197"/>
      <c r="AJ581" s="201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</row>
    <row r="582" spans="1:63" ht="15" customHeight="1">
      <c r="A582" s="197"/>
      <c r="B582" s="197"/>
      <c r="C582" s="197"/>
      <c r="D582" s="197"/>
      <c r="E582" s="197"/>
      <c r="F582" s="197"/>
      <c r="G582" s="197"/>
      <c r="H582" s="197"/>
      <c r="I582" s="197"/>
      <c r="J582" s="197"/>
      <c r="K582" s="197"/>
      <c r="L582" s="197"/>
      <c r="M582" s="197"/>
      <c r="N582" s="197"/>
      <c r="O582" s="197"/>
      <c r="P582" s="197"/>
      <c r="Q582" s="197"/>
      <c r="R582" s="197"/>
      <c r="S582" s="197"/>
      <c r="T582" s="197"/>
      <c r="U582" s="197"/>
      <c r="V582" s="197"/>
      <c r="W582" s="197"/>
      <c r="X582" s="197"/>
      <c r="Y582" s="197"/>
      <c r="Z582" s="197"/>
      <c r="AA582" s="197"/>
      <c r="AB582" s="197"/>
      <c r="AC582" s="197"/>
      <c r="AD582" s="197"/>
      <c r="AE582" s="197"/>
      <c r="AF582" s="197"/>
      <c r="AG582" s="197"/>
      <c r="AH582" s="197"/>
      <c r="AI582" s="197"/>
      <c r="AJ582" s="201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</row>
    <row r="583" spans="1:63" ht="15" customHeight="1">
      <c r="A583" s="197"/>
      <c r="B583" s="197"/>
      <c r="C583" s="197"/>
      <c r="D583" s="197"/>
      <c r="E583" s="197"/>
      <c r="F583" s="197"/>
      <c r="G583" s="197"/>
      <c r="H583" s="197"/>
      <c r="I583" s="197"/>
      <c r="J583" s="197"/>
      <c r="K583" s="197"/>
      <c r="L583" s="197"/>
      <c r="M583" s="197"/>
      <c r="N583" s="197"/>
      <c r="O583" s="197"/>
      <c r="P583" s="197"/>
      <c r="Q583" s="197"/>
      <c r="R583" s="197"/>
      <c r="S583" s="197"/>
      <c r="T583" s="197"/>
      <c r="U583" s="197"/>
      <c r="V583" s="197"/>
      <c r="W583" s="197"/>
      <c r="X583" s="197"/>
      <c r="Y583" s="197"/>
      <c r="Z583" s="197"/>
      <c r="AA583" s="197"/>
      <c r="AB583" s="197"/>
      <c r="AC583" s="197"/>
      <c r="AD583" s="197"/>
      <c r="AE583" s="197"/>
      <c r="AF583" s="197"/>
      <c r="AG583" s="197"/>
      <c r="AH583" s="197"/>
      <c r="AI583" s="197"/>
      <c r="AJ583" s="201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</row>
    <row r="584" spans="1:63" ht="15" customHeight="1">
      <c r="A584" s="197"/>
      <c r="B584" s="197"/>
      <c r="C584" s="197"/>
      <c r="D584" s="197"/>
      <c r="E584" s="197"/>
      <c r="F584" s="197"/>
      <c r="G584" s="197"/>
      <c r="H584" s="197"/>
      <c r="I584" s="197"/>
      <c r="J584" s="197"/>
      <c r="K584" s="197"/>
      <c r="L584" s="197"/>
      <c r="M584" s="197"/>
      <c r="N584" s="197"/>
      <c r="O584" s="197"/>
      <c r="P584" s="197"/>
      <c r="Q584" s="197"/>
      <c r="R584" s="197"/>
      <c r="S584" s="197"/>
      <c r="T584" s="197"/>
      <c r="U584" s="197"/>
      <c r="V584" s="197"/>
      <c r="W584" s="197"/>
      <c r="X584" s="197"/>
      <c r="Y584" s="197"/>
      <c r="Z584" s="197"/>
      <c r="AA584" s="197"/>
      <c r="AB584" s="197"/>
      <c r="AC584" s="197"/>
      <c r="AD584" s="197"/>
      <c r="AE584" s="197"/>
      <c r="AF584" s="197"/>
      <c r="AG584" s="197"/>
      <c r="AH584" s="197"/>
      <c r="AI584" s="197"/>
      <c r="AJ584" s="201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</row>
    <row r="585" spans="1:63" ht="15" customHeight="1">
      <c r="A585" s="197"/>
      <c r="B585" s="197"/>
      <c r="C585" s="197"/>
      <c r="D585" s="197"/>
      <c r="E585" s="197"/>
      <c r="F585" s="197"/>
      <c r="G585" s="197"/>
      <c r="H585" s="197"/>
      <c r="I585" s="197"/>
      <c r="J585" s="197"/>
      <c r="K585" s="197"/>
      <c r="L585" s="197"/>
      <c r="M585" s="197"/>
      <c r="N585" s="197"/>
      <c r="O585" s="197"/>
      <c r="P585" s="197"/>
      <c r="Q585" s="197"/>
      <c r="R585" s="197"/>
      <c r="S585" s="197"/>
      <c r="T585" s="197"/>
      <c r="U585" s="197"/>
      <c r="V585" s="197"/>
      <c r="W585" s="197"/>
      <c r="X585" s="197"/>
      <c r="Y585" s="197"/>
      <c r="Z585" s="197"/>
      <c r="AA585" s="197"/>
      <c r="AB585" s="197"/>
      <c r="AC585" s="197"/>
      <c r="AD585" s="197"/>
      <c r="AE585" s="197"/>
      <c r="AF585" s="197"/>
      <c r="AG585" s="197"/>
      <c r="AH585" s="197"/>
      <c r="AI585" s="197"/>
      <c r="AJ585" s="201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</row>
    <row r="586" spans="1:63" ht="15" customHeight="1">
      <c r="A586" s="197"/>
      <c r="B586" s="197"/>
      <c r="C586" s="197"/>
      <c r="D586" s="197"/>
      <c r="E586" s="197"/>
      <c r="F586" s="197"/>
      <c r="G586" s="197"/>
      <c r="H586" s="197"/>
      <c r="I586" s="197"/>
      <c r="J586" s="197"/>
      <c r="K586" s="197"/>
      <c r="L586" s="197"/>
      <c r="M586" s="197"/>
      <c r="N586" s="197"/>
      <c r="O586" s="197"/>
      <c r="P586" s="197"/>
      <c r="Q586" s="197"/>
      <c r="R586" s="197"/>
      <c r="S586" s="197"/>
      <c r="T586" s="197"/>
      <c r="U586" s="197"/>
      <c r="V586" s="197"/>
      <c r="W586" s="197"/>
      <c r="X586" s="197"/>
      <c r="Y586" s="197"/>
      <c r="Z586" s="197"/>
      <c r="AA586" s="197"/>
      <c r="AB586" s="197"/>
      <c r="AC586" s="197"/>
      <c r="AD586" s="197"/>
      <c r="AE586" s="197"/>
      <c r="AF586" s="197"/>
      <c r="AG586" s="197"/>
      <c r="AH586" s="197"/>
      <c r="AI586" s="197"/>
      <c r="AJ586" s="201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</row>
    <row r="587" spans="1:63" ht="15" customHeight="1">
      <c r="A587" s="197"/>
      <c r="B587" s="197"/>
      <c r="C587" s="197"/>
      <c r="D587" s="197"/>
      <c r="E587" s="197"/>
      <c r="F587" s="197"/>
      <c r="G587" s="197"/>
      <c r="H587" s="197"/>
      <c r="I587" s="197"/>
      <c r="J587" s="197"/>
      <c r="K587" s="197"/>
      <c r="L587" s="197"/>
      <c r="M587" s="197"/>
      <c r="N587" s="197"/>
      <c r="O587" s="197"/>
      <c r="P587" s="197"/>
      <c r="Q587" s="197"/>
      <c r="R587" s="197"/>
      <c r="S587" s="197"/>
      <c r="T587" s="197"/>
      <c r="U587" s="197"/>
      <c r="V587" s="197"/>
      <c r="W587" s="197"/>
      <c r="X587" s="197"/>
      <c r="Y587" s="197"/>
      <c r="Z587" s="197"/>
      <c r="AA587" s="197"/>
      <c r="AB587" s="197"/>
      <c r="AC587" s="197"/>
      <c r="AD587" s="197"/>
      <c r="AE587" s="197"/>
      <c r="AF587" s="197"/>
      <c r="AG587" s="197"/>
      <c r="AH587" s="197"/>
      <c r="AI587" s="197"/>
      <c r="AJ587" s="201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</row>
    <row r="588" spans="1:63" ht="15" customHeight="1">
      <c r="A588" s="197"/>
      <c r="B588" s="197"/>
      <c r="C588" s="197"/>
      <c r="D588" s="197"/>
      <c r="E588" s="197"/>
      <c r="F588" s="197"/>
      <c r="G588" s="197"/>
      <c r="H588" s="197"/>
      <c r="I588" s="197"/>
      <c r="J588" s="197"/>
      <c r="K588" s="197"/>
      <c r="L588" s="197"/>
      <c r="M588" s="197"/>
      <c r="N588" s="197"/>
      <c r="O588" s="197"/>
      <c r="P588" s="197"/>
      <c r="Q588" s="197"/>
      <c r="R588" s="197"/>
      <c r="S588" s="197"/>
      <c r="T588" s="197"/>
      <c r="U588" s="197"/>
      <c r="V588" s="197"/>
      <c r="W588" s="197"/>
      <c r="X588" s="197"/>
      <c r="Y588" s="197"/>
      <c r="Z588" s="197"/>
      <c r="AA588" s="197"/>
      <c r="AB588" s="197"/>
      <c r="AC588" s="197"/>
      <c r="AD588" s="197"/>
      <c r="AE588" s="197"/>
      <c r="AF588" s="197"/>
      <c r="AG588" s="197"/>
      <c r="AH588" s="197"/>
      <c r="AI588" s="197"/>
      <c r="AJ588" s="201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</row>
    <row r="589" spans="1:63" ht="15" customHeight="1">
      <c r="A589" s="197"/>
      <c r="B589" s="197"/>
      <c r="C589" s="197"/>
      <c r="D589" s="197"/>
      <c r="E589" s="197"/>
      <c r="F589" s="197"/>
      <c r="G589" s="197"/>
      <c r="H589" s="197"/>
      <c r="I589" s="197"/>
      <c r="J589" s="197"/>
      <c r="K589" s="197"/>
      <c r="L589" s="197"/>
      <c r="M589" s="197"/>
      <c r="N589" s="197"/>
      <c r="O589" s="197"/>
      <c r="P589" s="197"/>
      <c r="Q589" s="197"/>
      <c r="R589" s="197"/>
      <c r="S589" s="197"/>
      <c r="T589" s="197"/>
      <c r="U589" s="197"/>
      <c r="V589" s="197"/>
      <c r="W589" s="197"/>
      <c r="X589" s="197"/>
      <c r="Y589" s="197"/>
      <c r="Z589" s="197"/>
      <c r="AA589" s="197"/>
      <c r="AB589" s="197"/>
      <c r="AC589" s="197"/>
      <c r="AD589" s="197"/>
      <c r="AE589" s="197"/>
      <c r="AF589" s="197"/>
      <c r="AG589" s="197"/>
      <c r="AH589" s="197"/>
      <c r="AI589" s="197"/>
      <c r="AJ589" s="201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</row>
    <row r="590" spans="1:63" ht="15" customHeight="1">
      <c r="A590" s="197"/>
      <c r="B590" s="197"/>
      <c r="C590" s="197"/>
      <c r="D590" s="197"/>
      <c r="E590" s="197"/>
      <c r="F590" s="197"/>
      <c r="G590" s="197"/>
      <c r="H590" s="197"/>
      <c r="I590" s="197"/>
      <c r="J590" s="197"/>
      <c r="K590" s="197"/>
      <c r="L590" s="197"/>
      <c r="M590" s="197"/>
      <c r="N590" s="197"/>
      <c r="O590" s="197"/>
      <c r="P590" s="197"/>
      <c r="Q590" s="197"/>
      <c r="R590" s="197"/>
      <c r="S590" s="197"/>
      <c r="T590" s="197"/>
      <c r="U590" s="197"/>
      <c r="V590" s="197"/>
      <c r="W590" s="197"/>
      <c r="X590" s="197"/>
      <c r="Y590" s="197"/>
      <c r="Z590" s="197"/>
      <c r="AA590" s="197"/>
      <c r="AB590" s="197"/>
      <c r="AC590" s="197"/>
      <c r="AD590" s="197"/>
      <c r="AE590" s="197"/>
      <c r="AF590" s="197"/>
      <c r="AG590" s="197"/>
      <c r="AH590" s="197"/>
      <c r="AI590" s="197"/>
      <c r="AJ590" s="201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</row>
    <row r="591" spans="1:63" ht="15" customHeight="1">
      <c r="A591" s="197"/>
      <c r="B591" s="197"/>
      <c r="C591" s="197"/>
      <c r="D591" s="197"/>
      <c r="E591" s="197"/>
      <c r="F591" s="197"/>
      <c r="G591" s="197"/>
      <c r="H591" s="197"/>
      <c r="I591" s="197"/>
      <c r="J591" s="197"/>
      <c r="K591" s="197"/>
      <c r="L591" s="197"/>
      <c r="M591" s="197"/>
      <c r="N591" s="197"/>
      <c r="O591" s="197"/>
      <c r="P591" s="197"/>
      <c r="Q591" s="197"/>
      <c r="R591" s="197"/>
      <c r="S591" s="197"/>
      <c r="T591" s="197"/>
      <c r="U591" s="197"/>
      <c r="V591" s="197"/>
      <c r="W591" s="197"/>
      <c r="X591" s="197"/>
      <c r="Y591" s="197"/>
      <c r="Z591" s="197"/>
      <c r="AA591" s="197"/>
      <c r="AB591" s="197"/>
      <c r="AC591" s="197"/>
      <c r="AD591" s="197"/>
      <c r="AE591" s="197"/>
      <c r="AF591" s="197"/>
      <c r="AG591" s="197"/>
      <c r="AH591" s="197"/>
      <c r="AI591" s="197"/>
      <c r="AJ591" s="201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</row>
    <row r="592" spans="1:63" ht="15" customHeight="1">
      <c r="A592" s="197"/>
      <c r="B592" s="197"/>
      <c r="C592" s="197"/>
      <c r="D592" s="197"/>
      <c r="E592" s="197"/>
      <c r="F592" s="197"/>
      <c r="G592" s="197"/>
      <c r="H592" s="197"/>
      <c r="I592" s="197"/>
      <c r="J592" s="197"/>
      <c r="K592" s="197"/>
      <c r="L592" s="197"/>
      <c r="M592" s="197"/>
      <c r="N592" s="197"/>
      <c r="O592" s="197"/>
      <c r="P592" s="197"/>
      <c r="Q592" s="197"/>
      <c r="R592" s="197"/>
      <c r="S592" s="197"/>
      <c r="T592" s="197"/>
      <c r="U592" s="197"/>
      <c r="V592" s="197"/>
      <c r="W592" s="197"/>
      <c r="X592" s="197"/>
      <c r="Y592" s="197"/>
      <c r="Z592" s="197"/>
      <c r="AA592" s="197"/>
      <c r="AB592" s="197"/>
      <c r="AC592" s="197"/>
      <c r="AD592" s="197"/>
      <c r="AE592" s="197"/>
      <c r="AF592" s="197"/>
      <c r="AG592" s="197"/>
      <c r="AH592" s="197"/>
      <c r="AI592" s="197"/>
      <c r="AJ592" s="201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</row>
    <row r="593" spans="1:63" ht="15" customHeight="1">
      <c r="A593" s="197"/>
      <c r="B593" s="197"/>
      <c r="C593" s="197"/>
      <c r="D593" s="197"/>
      <c r="E593" s="197"/>
      <c r="F593" s="197"/>
      <c r="G593" s="197"/>
      <c r="H593" s="197"/>
      <c r="I593" s="197"/>
      <c r="J593" s="197"/>
      <c r="K593" s="197"/>
      <c r="L593" s="197"/>
      <c r="M593" s="197"/>
      <c r="N593" s="197"/>
      <c r="O593" s="197"/>
      <c r="P593" s="197"/>
      <c r="Q593" s="197"/>
      <c r="R593" s="197"/>
      <c r="S593" s="197"/>
      <c r="T593" s="197"/>
      <c r="U593" s="197"/>
      <c r="V593" s="197"/>
      <c r="W593" s="197"/>
      <c r="X593" s="197"/>
      <c r="Y593" s="197"/>
      <c r="Z593" s="197"/>
      <c r="AA593" s="197"/>
      <c r="AB593" s="197"/>
      <c r="AC593" s="197"/>
      <c r="AD593" s="197"/>
      <c r="AE593" s="197"/>
      <c r="AF593" s="197"/>
      <c r="AG593" s="197"/>
      <c r="AH593" s="197"/>
      <c r="AI593" s="197"/>
      <c r="AJ593" s="201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</row>
    <row r="594" spans="1:63" ht="15" customHeight="1">
      <c r="A594" s="197"/>
      <c r="B594" s="197"/>
      <c r="C594" s="197"/>
      <c r="D594" s="197"/>
      <c r="E594" s="197"/>
      <c r="F594" s="197"/>
      <c r="G594" s="197"/>
      <c r="H594" s="197"/>
      <c r="I594" s="197"/>
      <c r="J594" s="197"/>
      <c r="K594" s="197"/>
      <c r="L594" s="197"/>
      <c r="M594" s="197"/>
      <c r="N594" s="197"/>
      <c r="O594" s="197"/>
      <c r="P594" s="197"/>
      <c r="Q594" s="197"/>
      <c r="R594" s="197"/>
      <c r="S594" s="197"/>
      <c r="T594" s="197"/>
      <c r="U594" s="197"/>
      <c r="V594" s="197"/>
      <c r="W594" s="197"/>
      <c r="X594" s="197"/>
      <c r="Y594" s="197"/>
      <c r="Z594" s="197"/>
      <c r="AA594" s="197"/>
      <c r="AB594" s="197"/>
      <c r="AC594" s="197"/>
      <c r="AD594" s="197"/>
      <c r="AE594" s="197"/>
      <c r="AF594" s="197"/>
      <c r="AG594" s="197"/>
      <c r="AH594" s="197"/>
      <c r="AI594" s="197"/>
      <c r="AJ594" s="201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</row>
    <row r="595" spans="1:63" ht="15" customHeight="1">
      <c r="A595" s="197"/>
      <c r="B595" s="197"/>
      <c r="C595" s="197"/>
      <c r="D595" s="197"/>
      <c r="E595" s="197"/>
      <c r="F595" s="197"/>
      <c r="G595" s="197"/>
      <c r="H595" s="197"/>
      <c r="I595" s="197"/>
      <c r="J595" s="197"/>
      <c r="K595" s="197"/>
      <c r="L595" s="197"/>
      <c r="M595" s="197"/>
      <c r="N595" s="197"/>
      <c r="O595" s="197"/>
      <c r="P595" s="197"/>
      <c r="Q595" s="197"/>
      <c r="R595" s="197"/>
      <c r="S595" s="197"/>
      <c r="T595" s="197"/>
      <c r="U595" s="197"/>
      <c r="V595" s="197"/>
      <c r="W595" s="197"/>
      <c r="X595" s="197"/>
      <c r="Y595" s="197"/>
      <c r="Z595" s="197"/>
      <c r="AA595" s="197"/>
      <c r="AB595" s="197"/>
      <c r="AC595" s="197"/>
      <c r="AD595" s="197"/>
      <c r="AE595" s="197"/>
      <c r="AF595" s="197"/>
      <c r="AG595" s="197"/>
      <c r="AH595" s="197"/>
      <c r="AI595" s="197"/>
      <c r="AJ595" s="201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</row>
    <row r="596" spans="1:63" ht="15" customHeight="1">
      <c r="A596" s="197"/>
      <c r="B596" s="197"/>
      <c r="C596" s="197"/>
      <c r="D596" s="197"/>
      <c r="E596" s="197"/>
      <c r="F596" s="197"/>
      <c r="G596" s="197"/>
      <c r="H596" s="197"/>
      <c r="I596" s="197"/>
      <c r="J596" s="197"/>
      <c r="K596" s="197"/>
      <c r="L596" s="197"/>
      <c r="M596" s="197"/>
      <c r="N596" s="197"/>
      <c r="O596" s="197"/>
      <c r="P596" s="197"/>
      <c r="Q596" s="197"/>
      <c r="R596" s="197"/>
      <c r="S596" s="197"/>
      <c r="T596" s="197"/>
      <c r="U596" s="197"/>
      <c r="V596" s="197"/>
      <c r="W596" s="197"/>
      <c r="X596" s="197"/>
      <c r="Y596" s="197"/>
      <c r="Z596" s="197"/>
      <c r="AA596" s="197"/>
      <c r="AB596" s="197"/>
      <c r="AC596" s="197"/>
      <c r="AD596" s="197"/>
      <c r="AE596" s="197"/>
      <c r="AF596" s="197"/>
      <c r="AG596" s="197"/>
      <c r="AH596" s="197"/>
      <c r="AI596" s="197"/>
      <c r="AJ596" s="201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</row>
    <row r="597" spans="1:63" ht="15" customHeight="1">
      <c r="A597" s="197"/>
      <c r="B597" s="197"/>
      <c r="C597" s="197"/>
      <c r="D597" s="197"/>
      <c r="E597" s="197"/>
      <c r="F597" s="197"/>
      <c r="G597" s="197"/>
      <c r="H597" s="197"/>
      <c r="I597" s="197"/>
      <c r="J597" s="197"/>
      <c r="K597" s="197"/>
      <c r="L597" s="197"/>
      <c r="M597" s="197"/>
      <c r="N597" s="197"/>
      <c r="O597" s="197"/>
      <c r="P597" s="197"/>
      <c r="Q597" s="197"/>
      <c r="R597" s="197"/>
      <c r="S597" s="197"/>
      <c r="T597" s="197"/>
      <c r="U597" s="197"/>
      <c r="V597" s="197"/>
      <c r="W597" s="197"/>
      <c r="X597" s="197"/>
      <c r="Y597" s="197"/>
      <c r="Z597" s="197"/>
      <c r="AA597" s="197"/>
      <c r="AB597" s="197"/>
      <c r="AC597" s="197"/>
      <c r="AD597" s="197"/>
      <c r="AE597" s="197"/>
      <c r="AF597" s="197"/>
      <c r="AG597" s="197"/>
      <c r="AH597" s="197"/>
      <c r="AI597" s="197"/>
      <c r="AJ597" s="201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</row>
    <row r="598" spans="1:63" ht="15" customHeight="1">
      <c r="A598" s="197"/>
      <c r="B598" s="197"/>
      <c r="C598" s="197"/>
      <c r="D598" s="197"/>
      <c r="E598" s="197"/>
      <c r="F598" s="197"/>
      <c r="G598" s="197"/>
      <c r="H598" s="197"/>
      <c r="I598" s="197"/>
      <c r="J598" s="197"/>
      <c r="K598" s="197"/>
      <c r="L598" s="197"/>
      <c r="M598" s="197"/>
      <c r="N598" s="197"/>
      <c r="O598" s="197"/>
      <c r="P598" s="197"/>
      <c r="Q598" s="197"/>
      <c r="R598" s="197"/>
      <c r="S598" s="197"/>
      <c r="T598" s="197"/>
      <c r="U598" s="197"/>
      <c r="V598" s="197"/>
      <c r="W598" s="197"/>
      <c r="X598" s="197"/>
      <c r="Y598" s="197"/>
      <c r="Z598" s="197"/>
      <c r="AA598" s="197"/>
      <c r="AB598" s="197"/>
      <c r="AC598" s="197"/>
      <c r="AD598" s="197"/>
      <c r="AE598" s="197"/>
      <c r="AF598" s="197"/>
      <c r="AG598" s="197"/>
      <c r="AH598" s="197"/>
      <c r="AI598" s="197"/>
      <c r="AJ598" s="201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</row>
    <row r="599" spans="1:63" ht="15" customHeight="1">
      <c r="A599" s="197"/>
      <c r="B599" s="197"/>
      <c r="C599" s="197"/>
      <c r="D599" s="197"/>
      <c r="E599" s="197"/>
      <c r="F599" s="197"/>
      <c r="G599" s="197"/>
      <c r="H599" s="197"/>
      <c r="I599" s="197"/>
      <c r="J599" s="197"/>
      <c r="K599" s="197"/>
      <c r="L599" s="197"/>
      <c r="M599" s="197"/>
      <c r="N599" s="197"/>
      <c r="O599" s="197"/>
      <c r="P599" s="197"/>
      <c r="Q599" s="197"/>
      <c r="R599" s="197"/>
      <c r="S599" s="197"/>
      <c r="T599" s="197"/>
      <c r="U599" s="197"/>
      <c r="V599" s="197"/>
      <c r="W599" s="197"/>
      <c r="X599" s="197"/>
      <c r="Y599" s="197"/>
      <c r="Z599" s="197"/>
      <c r="AA599" s="197"/>
      <c r="AB599" s="197"/>
      <c r="AC599" s="197"/>
      <c r="AD599" s="197"/>
      <c r="AE599" s="197"/>
      <c r="AF599" s="197"/>
      <c r="AG599" s="197"/>
      <c r="AH599" s="197"/>
      <c r="AI599" s="197"/>
      <c r="AJ599" s="201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</row>
    <row r="600" spans="1:63" ht="15" customHeight="1">
      <c r="A600" s="197"/>
      <c r="B600" s="197"/>
      <c r="C600" s="197"/>
      <c r="D600" s="197"/>
      <c r="E600" s="197"/>
      <c r="F600" s="197"/>
      <c r="G600" s="197"/>
      <c r="H600" s="197"/>
      <c r="I600" s="197"/>
      <c r="J600" s="197"/>
      <c r="K600" s="197"/>
      <c r="L600" s="197"/>
      <c r="M600" s="197"/>
      <c r="N600" s="197"/>
      <c r="O600" s="197"/>
      <c r="P600" s="197"/>
      <c r="Q600" s="197"/>
      <c r="R600" s="197"/>
      <c r="S600" s="197"/>
      <c r="T600" s="197"/>
      <c r="U600" s="197"/>
      <c r="V600" s="197"/>
      <c r="W600" s="197"/>
      <c r="X600" s="197"/>
      <c r="Y600" s="197"/>
      <c r="Z600" s="197"/>
      <c r="AA600" s="197"/>
      <c r="AB600" s="197"/>
      <c r="AC600" s="197"/>
      <c r="AD600" s="197"/>
      <c r="AE600" s="197"/>
      <c r="AF600" s="197"/>
      <c r="AG600" s="197"/>
      <c r="AH600" s="197"/>
      <c r="AI600" s="197"/>
      <c r="AJ600" s="201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</row>
    <row r="601" spans="1:63" ht="15" customHeight="1">
      <c r="A601" s="197"/>
      <c r="B601" s="197"/>
      <c r="C601" s="197"/>
      <c r="D601" s="197"/>
      <c r="E601" s="197"/>
      <c r="F601" s="197"/>
      <c r="G601" s="197"/>
      <c r="H601" s="197"/>
      <c r="I601" s="197"/>
      <c r="J601" s="197"/>
      <c r="K601" s="197"/>
      <c r="L601" s="197"/>
      <c r="M601" s="197"/>
      <c r="N601" s="197"/>
      <c r="O601" s="197"/>
      <c r="P601" s="197"/>
      <c r="Q601" s="197"/>
      <c r="R601" s="197"/>
      <c r="S601" s="197"/>
      <c r="T601" s="197"/>
      <c r="U601" s="197"/>
      <c r="V601" s="197"/>
      <c r="W601" s="197"/>
      <c r="X601" s="197"/>
      <c r="Y601" s="197"/>
      <c r="Z601" s="197"/>
      <c r="AA601" s="197"/>
      <c r="AB601" s="197"/>
      <c r="AC601" s="197"/>
      <c r="AD601" s="197"/>
      <c r="AE601" s="197"/>
      <c r="AF601" s="197"/>
      <c r="AG601" s="197"/>
      <c r="AH601" s="197"/>
      <c r="AI601" s="197"/>
      <c r="AJ601" s="201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</row>
    <row r="602" spans="1:63" ht="15" customHeight="1">
      <c r="A602" s="197"/>
      <c r="B602" s="197"/>
      <c r="C602" s="197"/>
      <c r="D602" s="197"/>
      <c r="E602" s="197"/>
      <c r="F602" s="197"/>
      <c r="G602" s="197"/>
      <c r="H602" s="197"/>
      <c r="I602" s="197"/>
      <c r="J602" s="197"/>
      <c r="K602" s="197"/>
      <c r="L602" s="197"/>
      <c r="M602" s="197"/>
      <c r="N602" s="197"/>
      <c r="O602" s="197"/>
      <c r="P602" s="197"/>
      <c r="Q602" s="197"/>
      <c r="R602" s="197"/>
      <c r="S602" s="197"/>
      <c r="T602" s="197"/>
      <c r="U602" s="197"/>
      <c r="V602" s="197"/>
      <c r="W602" s="197"/>
      <c r="X602" s="197"/>
      <c r="Y602" s="197"/>
      <c r="Z602" s="197"/>
      <c r="AA602" s="197"/>
      <c r="AB602" s="197"/>
      <c r="AC602" s="197"/>
      <c r="AD602" s="197"/>
      <c r="AE602" s="197"/>
      <c r="AF602" s="197"/>
      <c r="AG602" s="197"/>
      <c r="AH602" s="197"/>
      <c r="AI602" s="197"/>
      <c r="AJ602" s="201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</row>
    <row r="603" spans="1:63" ht="15" customHeight="1">
      <c r="A603" s="197"/>
      <c r="B603" s="197"/>
      <c r="C603" s="197"/>
      <c r="D603" s="197"/>
      <c r="E603" s="197"/>
      <c r="F603" s="197"/>
      <c r="G603" s="197"/>
      <c r="H603" s="197"/>
      <c r="I603" s="197"/>
      <c r="J603" s="197"/>
      <c r="K603" s="197"/>
      <c r="L603" s="197"/>
      <c r="M603" s="197"/>
      <c r="N603" s="197"/>
      <c r="O603" s="197"/>
      <c r="P603" s="197"/>
      <c r="Q603" s="197"/>
      <c r="R603" s="197"/>
      <c r="S603" s="197"/>
      <c r="T603" s="197"/>
      <c r="U603" s="197"/>
      <c r="V603" s="197"/>
      <c r="W603" s="197"/>
      <c r="X603" s="197"/>
      <c r="Y603" s="197"/>
      <c r="Z603" s="197"/>
      <c r="AA603" s="197"/>
      <c r="AB603" s="197"/>
      <c r="AC603" s="197"/>
      <c r="AD603" s="197"/>
      <c r="AE603" s="197"/>
      <c r="AF603" s="197"/>
      <c r="AG603" s="197"/>
      <c r="AH603" s="197"/>
      <c r="AI603" s="197"/>
      <c r="AJ603" s="201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</row>
    <row r="604" spans="1:63" ht="15" customHeight="1">
      <c r="A604" s="197"/>
      <c r="B604" s="197"/>
      <c r="C604" s="197"/>
      <c r="D604" s="197"/>
      <c r="E604" s="197"/>
      <c r="F604" s="197"/>
      <c r="G604" s="197"/>
      <c r="H604" s="197"/>
      <c r="I604" s="197"/>
      <c r="J604" s="197"/>
      <c r="K604" s="197"/>
      <c r="L604" s="197"/>
      <c r="M604" s="197"/>
      <c r="N604" s="197"/>
      <c r="O604" s="197"/>
      <c r="P604" s="197"/>
      <c r="Q604" s="197"/>
      <c r="R604" s="197"/>
      <c r="S604" s="197"/>
      <c r="T604" s="197"/>
      <c r="U604" s="197"/>
      <c r="V604" s="197"/>
      <c r="W604" s="197"/>
      <c r="X604" s="197"/>
      <c r="Y604" s="197"/>
      <c r="Z604" s="197"/>
      <c r="AA604" s="197"/>
      <c r="AB604" s="197"/>
      <c r="AC604" s="197"/>
      <c r="AD604" s="197"/>
      <c r="AE604" s="197"/>
      <c r="AF604" s="197"/>
      <c r="AG604" s="197"/>
      <c r="AH604" s="197"/>
      <c r="AI604" s="197"/>
      <c r="AJ604" s="201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</row>
    <row r="605" spans="1:63" ht="15" customHeight="1">
      <c r="A605" s="197"/>
      <c r="B605" s="197"/>
      <c r="C605" s="197"/>
      <c r="D605" s="197"/>
      <c r="E605" s="197"/>
      <c r="F605" s="197"/>
      <c r="G605" s="197"/>
      <c r="H605" s="197"/>
      <c r="I605" s="197"/>
      <c r="J605" s="197"/>
      <c r="K605" s="197"/>
      <c r="L605" s="197"/>
      <c r="M605" s="197"/>
      <c r="N605" s="197"/>
      <c r="O605" s="197"/>
      <c r="P605" s="197"/>
      <c r="Q605" s="197"/>
      <c r="R605" s="197"/>
      <c r="S605" s="197"/>
      <c r="T605" s="197"/>
      <c r="U605" s="197"/>
      <c r="V605" s="197"/>
      <c r="W605" s="197"/>
      <c r="X605" s="197"/>
      <c r="Y605" s="197"/>
      <c r="Z605" s="197"/>
      <c r="AA605" s="197"/>
      <c r="AB605" s="197"/>
      <c r="AC605" s="197"/>
      <c r="AD605" s="197"/>
      <c r="AE605" s="197"/>
      <c r="AF605" s="197"/>
      <c r="AG605" s="197"/>
      <c r="AH605" s="197"/>
      <c r="AI605" s="197"/>
      <c r="AJ605" s="201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</row>
    <row r="606" spans="1:63" ht="15" customHeight="1">
      <c r="A606" s="197"/>
      <c r="B606" s="197"/>
      <c r="C606" s="197"/>
      <c r="D606" s="197"/>
      <c r="E606" s="197"/>
      <c r="F606" s="197"/>
      <c r="G606" s="197"/>
      <c r="H606" s="197"/>
      <c r="I606" s="197"/>
      <c r="J606" s="197"/>
      <c r="K606" s="197"/>
      <c r="L606" s="197"/>
      <c r="M606" s="197"/>
      <c r="N606" s="197"/>
      <c r="O606" s="197"/>
      <c r="P606" s="197"/>
      <c r="Q606" s="197"/>
      <c r="R606" s="197"/>
      <c r="S606" s="197"/>
      <c r="T606" s="197"/>
      <c r="U606" s="197"/>
      <c r="V606" s="197"/>
      <c r="W606" s="197"/>
      <c r="X606" s="197"/>
      <c r="Y606" s="197"/>
      <c r="Z606" s="197"/>
      <c r="AA606" s="197"/>
      <c r="AB606" s="197"/>
      <c r="AC606" s="197"/>
      <c r="AD606" s="197"/>
      <c r="AE606" s="197"/>
      <c r="AF606" s="197"/>
      <c r="AG606" s="197"/>
      <c r="AH606" s="197"/>
      <c r="AI606" s="197"/>
      <c r="AJ606" s="201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</row>
    <row r="607" spans="1:63" ht="15" customHeight="1">
      <c r="A607" s="197"/>
      <c r="B607" s="197"/>
      <c r="C607" s="197"/>
      <c r="D607" s="197"/>
      <c r="E607" s="197"/>
      <c r="F607" s="197"/>
      <c r="G607" s="197"/>
      <c r="H607" s="197"/>
      <c r="I607" s="197"/>
      <c r="J607" s="197"/>
      <c r="K607" s="197"/>
      <c r="L607" s="197"/>
      <c r="M607" s="197"/>
      <c r="N607" s="197"/>
      <c r="O607" s="197"/>
      <c r="P607" s="197"/>
      <c r="Q607" s="197"/>
      <c r="R607" s="197"/>
      <c r="S607" s="197"/>
      <c r="T607" s="197"/>
      <c r="U607" s="197"/>
      <c r="V607" s="197"/>
      <c r="W607" s="197"/>
      <c r="X607" s="197"/>
      <c r="Y607" s="197"/>
      <c r="Z607" s="197"/>
      <c r="AA607" s="197"/>
      <c r="AB607" s="197"/>
      <c r="AC607" s="197"/>
      <c r="AD607" s="197"/>
      <c r="AE607" s="197"/>
      <c r="AF607" s="197"/>
      <c r="AG607" s="197"/>
      <c r="AH607" s="197"/>
      <c r="AI607" s="197"/>
      <c r="AJ607" s="201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</row>
    <row r="608" spans="1:63" ht="15" customHeight="1">
      <c r="A608" s="197"/>
      <c r="B608" s="197"/>
      <c r="C608" s="197"/>
      <c r="D608" s="197"/>
      <c r="E608" s="197"/>
      <c r="F608" s="197"/>
      <c r="G608" s="197"/>
      <c r="H608" s="197"/>
      <c r="I608" s="197"/>
      <c r="J608" s="197"/>
      <c r="K608" s="197"/>
      <c r="L608" s="197"/>
      <c r="M608" s="197"/>
      <c r="N608" s="197"/>
      <c r="O608" s="197"/>
      <c r="P608" s="197"/>
      <c r="Q608" s="197"/>
      <c r="R608" s="197"/>
      <c r="S608" s="197"/>
      <c r="T608" s="197"/>
      <c r="U608" s="197"/>
      <c r="V608" s="197"/>
      <c r="W608" s="197"/>
      <c r="X608" s="197"/>
      <c r="Y608" s="197"/>
      <c r="Z608" s="197"/>
      <c r="AA608" s="197"/>
      <c r="AB608" s="197"/>
      <c r="AC608" s="197"/>
      <c r="AD608" s="197"/>
      <c r="AE608" s="197"/>
      <c r="AF608" s="197"/>
      <c r="AG608" s="197"/>
      <c r="AH608" s="197"/>
      <c r="AI608" s="197"/>
      <c r="AJ608" s="201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</row>
    <row r="609" spans="1:63" ht="15" customHeight="1">
      <c r="A609" s="197"/>
      <c r="B609" s="197"/>
      <c r="C609" s="197"/>
      <c r="D609" s="197"/>
      <c r="E609" s="197"/>
      <c r="F609" s="197"/>
      <c r="G609" s="197"/>
      <c r="H609" s="197"/>
      <c r="I609" s="197"/>
      <c r="J609" s="197"/>
      <c r="K609" s="197"/>
      <c r="L609" s="197"/>
      <c r="M609" s="197"/>
      <c r="N609" s="197"/>
      <c r="O609" s="197"/>
      <c r="P609" s="197"/>
      <c r="Q609" s="197"/>
      <c r="R609" s="197"/>
      <c r="S609" s="197"/>
      <c r="T609" s="197"/>
      <c r="U609" s="197"/>
      <c r="V609" s="197"/>
      <c r="W609" s="197"/>
      <c r="X609" s="197"/>
      <c r="Y609" s="197"/>
      <c r="Z609" s="197"/>
      <c r="AA609" s="197"/>
      <c r="AB609" s="197"/>
      <c r="AC609" s="197"/>
      <c r="AD609" s="197"/>
      <c r="AE609" s="197"/>
      <c r="AF609" s="197"/>
      <c r="AG609" s="197"/>
      <c r="AH609" s="197"/>
      <c r="AI609" s="197"/>
      <c r="AJ609" s="201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</row>
    <row r="610" spans="1:63" ht="15" customHeight="1">
      <c r="A610" s="197"/>
      <c r="B610" s="197"/>
      <c r="C610" s="197"/>
      <c r="D610" s="197"/>
      <c r="E610" s="197"/>
      <c r="F610" s="197"/>
      <c r="G610" s="197"/>
      <c r="H610" s="197"/>
      <c r="I610" s="197"/>
      <c r="J610" s="197"/>
      <c r="K610" s="197"/>
      <c r="L610" s="197"/>
      <c r="M610" s="197"/>
      <c r="N610" s="197"/>
      <c r="O610" s="197"/>
      <c r="P610" s="197"/>
      <c r="Q610" s="197"/>
      <c r="R610" s="197"/>
      <c r="S610" s="197"/>
      <c r="T610" s="197"/>
      <c r="U610" s="197"/>
      <c r="V610" s="197"/>
      <c r="W610" s="197"/>
      <c r="X610" s="197"/>
      <c r="Y610" s="197"/>
      <c r="Z610" s="197"/>
      <c r="AA610" s="197"/>
      <c r="AB610" s="197"/>
      <c r="AC610" s="197"/>
      <c r="AD610" s="197"/>
      <c r="AE610" s="197"/>
      <c r="AF610" s="197"/>
      <c r="AG610" s="197"/>
      <c r="AH610" s="197"/>
      <c r="AI610" s="197"/>
      <c r="AJ610" s="201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  <c r="BK610" s="33"/>
    </row>
    <row r="611" spans="1:63" ht="15" customHeight="1">
      <c r="A611" s="197"/>
      <c r="B611" s="197"/>
      <c r="C611" s="197"/>
      <c r="D611" s="197"/>
      <c r="E611" s="197"/>
      <c r="F611" s="197"/>
      <c r="G611" s="197"/>
      <c r="H611" s="197"/>
      <c r="I611" s="197"/>
      <c r="J611" s="197"/>
      <c r="K611" s="197"/>
      <c r="L611" s="197"/>
      <c r="M611" s="197"/>
      <c r="N611" s="197"/>
      <c r="O611" s="197"/>
      <c r="P611" s="197"/>
      <c r="Q611" s="197"/>
      <c r="R611" s="197"/>
      <c r="S611" s="197"/>
      <c r="T611" s="197"/>
      <c r="U611" s="197"/>
      <c r="V611" s="197"/>
      <c r="W611" s="197"/>
      <c r="X611" s="197"/>
      <c r="Y611" s="197"/>
      <c r="Z611" s="197"/>
      <c r="AA611" s="197"/>
      <c r="AB611" s="197"/>
      <c r="AC611" s="197"/>
      <c r="AD611" s="197"/>
      <c r="AE611" s="197"/>
      <c r="AF611" s="197"/>
      <c r="AG611" s="197"/>
      <c r="AH611" s="197"/>
      <c r="AI611" s="197"/>
      <c r="AJ611" s="201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  <c r="BK611" s="33"/>
    </row>
    <row r="612" spans="1:63" ht="15" customHeight="1">
      <c r="A612" s="197"/>
      <c r="B612" s="197"/>
      <c r="C612" s="197"/>
      <c r="D612" s="197"/>
      <c r="E612" s="197"/>
      <c r="F612" s="197"/>
      <c r="G612" s="197"/>
      <c r="H612" s="197"/>
      <c r="I612" s="197"/>
      <c r="J612" s="197"/>
      <c r="K612" s="197"/>
      <c r="L612" s="197"/>
      <c r="M612" s="197"/>
      <c r="N612" s="197"/>
      <c r="O612" s="197"/>
      <c r="P612" s="197"/>
      <c r="Q612" s="197"/>
      <c r="R612" s="197"/>
      <c r="S612" s="197"/>
      <c r="T612" s="197"/>
      <c r="U612" s="197"/>
      <c r="V612" s="197"/>
      <c r="W612" s="197"/>
      <c r="X612" s="197"/>
      <c r="Y612" s="197"/>
      <c r="Z612" s="197"/>
      <c r="AA612" s="197"/>
      <c r="AB612" s="197"/>
      <c r="AC612" s="197"/>
      <c r="AD612" s="197"/>
      <c r="AE612" s="197"/>
      <c r="AF612" s="197"/>
      <c r="AG612" s="197"/>
      <c r="AH612" s="197"/>
      <c r="AI612" s="197"/>
      <c r="AJ612" s="201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</row>
    <row r="613" spans="1:63" ht="15" customHeight="1">
      <c r="A613" s="197"/>
      <c r="B613" s="197"/>
      <c r="C613" s="197"/>
      <c r="D613" s="197"/>
      <c r="E613" s="197"/>
      <c r="F613" s="197"/>
      <c r="G613" s="197"/>
      <c r="H613" s="197"/>
      <c r="I613" s="197"/>
      <c r="J613" s="197"/>
      <c r="K613" s="197"/>
      <c r="L613" s="197"/>
      <c r="M613" s="197"/>
      <c r="N613" s="197"/>
      <c r="O613" s="197"/>
      <c r="P613" s="197"/>
      <c r="Q613" s="197"/>
      <c r="R613" s="197"/>
      <c r="S613" s="197"/>
      <c r="T613" s="197"/>
      <c r="U613" s="197"/>
      <c r="V613" s="197"/>
      <c r="W613" s="197"/>
      <c r="X613" s="197"/>
      <c r="Y613" s="197"/>
      <c r="Z613" s="197"/>
      <c r="AA613" s="197"/>
      <c r="AB613" s="197"/>
      <c r="AC613" s="197"/>
      <c r="AD613" s="197"/>
      <c r="AE613" s="197"/>
      <c r="AF613" s="197"/>
      <c r="AG613" s="197"/>
      <c r="AH613" s="197"/>
      <c r="AI613" s="197"/>
      <c r="AJ613" s="201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</row>
    <row r="614" spans="1:63" ht="15" customHeight="1">
      <c r="A614" s="197"/>
      <c r="B614" s="197"/>
      <c r="C614" s="197"/>
      <c r="D614" s="197"/>
      <c r="E614" s="197"/>
      <c r="F614" s="197"/>
      <c r="G614" s="197"/>
      <c r="H614" s="197"/>
      <c r="I614" s="197"/>
      <c r="J614" s="197"/>
      <c r="K614" s="197"/>
      <c r="L614" s="197"/>
      <c r="M614" s="197"/>
      <c r="N614" s="197"/>
      <c r="O614" s="197"/>
      <c r="P614" s="197"/>
      <c r="Q614" s="197"/>
      <c r="R614" s="197"/>
      <c r="S614" s="197"/>
      <c r="T614" s="197"/>
      <c r="U614" s="197"/>
      <c r="V614" s="197"/>
      <c r="W614" s="197"/>
      <c r="X614" s="197"/>
      <c r="Y614" s="197"/>
      <c r="Z614" s="197"/>
      <c r="AA614" s="197"/>
      <c r="AB614" s="197"/>
      <c r="AC614" s="197"/>
      <c r="AD614" s="197"/>
      <c r="AE614" s="197"/>
      <c r="AF614" s="197"/>
      <c r="AG614" s="197"/>
      <c r="AH614" s="197"/>
      <c r="AI614" s="197"/>
      <c r="AJ614" s="201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  <c r="BK614" s="33"/>
    </row>
    <row r="615" spans="1:63" ht="15" customHeight="1">
      <c r="A615" s="197"/>
      <c r="B615" s="197"/>
      <c r="C615" s="197"/>
      <c r="D615" s="197"/>
      <c r="E615" s="197"/>
      <c r="F615" s="197"/>
      <c r="G615" s="197"/>
      <c r="H615" s="197"/>
      <c r="I615" s="197"/>
      <c r="J615" s="197"/>
      <c r="K615" s="197"/>
      <c r="L615" s="197"/>
      <c r="M615" s="197"/>
      <c r="N615" s="197"/>
      <c r="O615" s="197"/>
      <c r="P615" s="197"/>
      <c r="Q615" s="197"/>
      <c r="R615" s="197"/>
      <c r="S615" s="197"/>
      <c r="T615" s="197"/>
      <c r="U615" s="197"/>
      <c r="V615" s="197"/>
      <c r="W615" s="197"/>
      <c r="X615" s="197"/>
      <c r="Y615" s="197"/>
      <c r="Z615" s="197"/>
      <c r="AA615" s="197"/>
      <c r="AB615" s="197"/>
      <c r="AC615" s="197"/>
      <c r="AD615" s="197"/>
      <c r="AE615" s="197"/>
      <c r="AF615" s="197"/>
      <c r="AG615" s="197"/>
      <c r="AH615" s="197"/>
      <c r="AI615" s="197"/>
      <c r="AJ615" s="201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  <c r="BK615" s="33"/>
    </row>
    <row r="616" spans="1:63" ht="15" customHeight="1">
      <c r="A616" s="197"/>
      <c r="B616" s="197"/>
      <c r="C616" s="197"/>
      <c r="D616" s="197"/>
      <c r="E616" s="197"/>
      <c r="F616" s="197"/>
      <c r="G616" s="197"/>
      <c r="H616" s="197"/>
      <c r="I616" s="197"/>
      <c r="J616" s="197"/>
      <c r="K616" s="197"/>
      <c r="L616" s="197"/>
      <c r="M616" s="197"/>
      <c r="N616" s="197"/>
      <c r="O616" s="197"/>
      <c r="P616" s="197"/>
      <c r="Q616" s="197"/>
      <c r="R616" s="197"/>
      <c r="S616" s="197"/>
      <c r="T616" s="197"/>
      <c r="U616" s="197"/>
      <c r="V616" s="197"/>
      <c r="W616" s="197"/>
      <c r="X616" s="197"/>
      <c r="Y616" s="197"/>
      <c r="Z616" s="197"/>
      <c r="AA616" s="197"/>
      <c r="AB616" s="197"/>
      <c r="AC616" s="197"/>
      <c r="AD616" s="197"/>
      <c r="AE616" s="197"/>
      <c r="AF616" s="197"/>
      <c r="AG616" s="197"/>
      <c r="AH616" s="197"/>
      <c r="AI616" s="197"/>
      <c r="AJ616" s="201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  <c r="BK616" s="33"/>
    </row>
    <row r="617" spans="1:63" ht="15" customHeight="1">
      <c r="A617" s="197"/>
      <c r="B617" s="197"/>
      <c r="C617" s="197"/>
      <c r="D617" s="197"/>
      <c r="E617" s="197"/>
      <c r="F617" s="197"/>
      <c r="G617" s="197"/>
      <c r="H617" s="197"/>
      <c r="I617" s="197"/>
      <c r="J617" s="197"/>
      <c r="K617" s="197"/>
      <c r="L617" s="197"/>
      <c r="M617" s="197"/>
      <c r="N617" s="197"/>
      <c r="O617" s="197"/>
      <c r="P617" s="197"/>
      <c r="Q617" s="197"/>
      <c r="R617" s="197"/>
      <c r="S617" s="197"/>
      <c r="T617" s="197"/>
      <c r="U617" s="197"/>
      <c r="V617" s="197"/>
      <c r="W617" s="197"/>
      <c r="X617" s="197"/>
      <c r="Y617" s="197"/>
      <c r="Z617" s="197"/>
      <c r="AA617" s="197"/>
      <c r="AB617" s="197"/>
      <c r="AC617" s="197"/>
      <c r="AD617" s="197"/>
      <c r="AE617" s="197"/>
      <c r="AF617" s="197"/>
      <c r="AG617" s="197"/>
      <c r="AH617" s="197"/>
      <c r="AI617" s="197"/>
      <c r="AJ617" s="201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  <c r="BK617" s="33"/>
    </row>
    <row r="618" spans="1:63" ht="15" customHeight="1">
      <c r="A618" s="197"/>
      <c r="B618" s="197"/>
      <c r="C618" s="197"/>
      <c r="D618" s="197"/>
      <c r="E618" s="197"/>
      <c r="F618" s="197"/>
      <c r="G618" s="197"/>
      <c r="H618" s="197"/>
      <c r="I618" s="197"/>
      <c r="J618" s="197"/>
      <c r="K618" s="197"/>
      <c r="L618" s="197"/>
      <c r="M618" s="197"/>
      <c r="N618" s="197"/>
      <c r="O618" s="197"/>
      <c r="P618" s="197"/>
      <c r="Q618" s="197"/>
      <c r="R618" s="197"/>
      <c r="S618" s="197"/>
      <c r="T618" s="197"/>
      <c r="U618" s="197"/>
      <c r="V618" s="197"/>
      <c r="W618" s="197"/>
      <c r="X618" s="197"/>
      <c r="Y618" s="197"/>
      <c r="Z618" s="197"/>
      <c r="AA618" s="197"/>
      <c r="AB618" s="197"/>
      <c r="AC618" s="197"/>
      <c r="AD618" s="197"/>
      <c r="AE618" s="197"/>
      <c r="AF618" s="197"/>
      <c r="AG618" s="197"/>
      <c r="AH618" s="197"/>
      <c r="AI618" s="197"/>
      <c r="AJ618" s="201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  <c r="BK618" s="33"/>
    </row>
    <row r="619" spans="1:63" ht="15" customHeight="1">
      <c r="A619" s="197"/>
      <c r="B619" s="197"/>
      <c r="C619" s="197"/>
      <c r="D619" s="197"/>
      <c r="E619" s="197"/>
      <c r="F619" s="197"/>
      <c r="G619" s="197"/>
      <c r="H619" s="197"/>
      <c r="I619" s="197"/>
      <c r="J619" s="197"/>
      <c r="K619" s="197"/>
      <c r="L619" s="197"/>
      <c r="M619" s="197"/>
      <c r="N619" s="197"/>
      <c r="O619" s="197"/>
      <c r="P619" s="197"/>
      <c r="Q619" s="197"/>
      <c r="R619" s="197"/>
      <c r="S619" s="197"/>
      <c r="T619" s="197"/>
      <c r="U619" s="197"/>
      <c r="V619" s="197"/>
      <c r="W619" s="197"/>
      <c r="X619" s="197"/>
      <c r="Y619" s="197"/>
      <c r="Z619" s="197"/>
      <c r="AA619" s="197"/>
      <c r="AB619" s="197"/>
      <c r="AC619" s="197"/>
      <c r="AD619" s="197"/>
      <c r="AE619" s="197"/>
      <c r="AF619" s="197"/>
      <c r="AG619" s="197"/>
      <c r="AH619" s="197"/>
      <c r="AI619" s="197"/>
      <c r="AJ619" s="201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  <c r="BK619" s="33"/>
    </row>
    <row r="620" spans="1:63" ht="15" customHeight="1">
      <c r="A620" s="197"/>
      <c r="B620" s="197"/>
      <c r="C620" s="197"/>
      <c r="D620" s="197"/>
      <c r="E620" s="197"/>
      <c r="F620" s="197"/>
      <c r="G620" s="197"/>
      <c r="H620" s="197"/>
      <c r="I620" s="197"/>
      <c r="J620" s="197"/>
      <c r="K620" s="197"/>
      <c r="L620" s="197"/>
      <c r="M620" s="197"/>
      <c r="N620" s="197"/>
      <c r="O620" s="197"/>
      <c r="P620" s="197"/>
      <c r="Q620" s="197"/>
      <c r="R620" s="197"/>
      <c r="S620" s="197"/>
      <c r="T620" s="197"/>
      <c r="U620" s="197"/>
      <c r="V620" s="197"/>
      <c r="W620" s="197"/>
      <c r="X620" s="197"/>
      <c r="Y620" s="197"/>
      <c r="Z620" s="197"/>
      <c r="AA620" s="197"/>
      <c r="AB620" s="197"/>
      <c r="AC620" s="197"/>
      <c r="AD620" s="197"/>
      <c r="AE620" s="197"/>
      <c r="AF620" s="197"/>
      <c r="AG620" s="197"/>
      <c r="AH620" s="197"/>
      <c r="AI620" s="197"/>
      <c r="AJ620" s="201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  <c r="BK620" s="33"/>
    </row>
    <row r="621" spans="1:63" ht="15" customHeight="1">
      <c r="A621" s="197"/>
      <c r="B621" s="197"/>
      <c r="C621" s="197"/>
      <c r="D621" s="197"/>
      <c r="E621" s="197"/>
      <c r="F621" s="197"/>
      <c r="G621" s="197"/>
      <c r="H621" s="197"/>
      <c r="I621" s="197"/>
      <c r="J621" s="197"/>
      <c r="K621" s="197"/>
      <c r="L621" s="197"/>
      <c r="M621" s="197"/>
      <c r="N621" s="197"/>
      <c r="O621" s="197"/>
      <c r="P621" s="197"/>
      <c r="Q621" s="197"/>
      <c r="R621" s="197"/>
      <c r="S621" s="197"/>
      <c r="T621" s="197"/>
      <c r="U621" s="197"/>
      <c r="V621" s="197"/>
      <c r="W621" s="197"/>
      <c r="X621" s="197"/>
      <c r="Y621" s="197"/>
      <c r="Z621" s="197"/>
      <c r="AA621" s="197"/>
      <c r="AB621" s="197"/>
      <c r="AC621" s="197"/>
      <c r="AD621" s="197"/>
      <c r="AE621" s="197"/>
      <c r="AF621" s="197"/>
      <c r="AG621" s="197"/>
      <c r="AH621" s="197"/>
      <c r="AI621" s="197"/>
      <c r="AJ621" s="201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  <c r="BK621" s="33"/>
    </row>
    <row r="622" spans="1:63" ht="15" customHeight="1">
      <c r="A622" s="197"/>
      <c r="B622" s="197"/>
      <c r="C622" s="197"/>
      <c r="D622" s="197"/>
      <c r="E622" s="197"/>
      <c r="F622" s="197"/>
      <c r="G622" s="197"/>
      <c r="H622" s="197"/>
      <c r="I622" s="197"/>
      <c r="J622" s="197"/>
      <c r="K622" s="197"/>
      <c r="L622" s="197"/>
      <c r="M622" s="197"/>
      <c r="N622" s="197"/>
      <c r="O622" s="197"/>
      <c r="P622" s="197"/>
      <c r="Q622" s="197"/>
      <c r="R622" s="197"/>
      <c r="S622" s="197"/>
      <c r="T622" s="197"/>
      <c r="U622" s="197"/>
      <c r="V622" s="197"/>
      <c r="W622" s="197"/>
      <c r="X622" s="197"/>
      <c r="Y622" s="197"/>
      <c r="Z622" s="197"/>
      <c r="AA622" s="197"/>
      <c r="AB622" s="197"/>
      <c r="AC622" s="197"/>
      <c r="AD622" s="197"/>
      <c r="AE622" s="197"/>
      <c r="AF622" s="197"/>
      <c r="AG622" s="197"/>
      <c r="AH622" s="197"/>
      <c r="AI622" s="197"/>
      <c r="AJ622" s="201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  <c r="BK622" s="33"/>
    </row>
    <row r="623" spans="1:63" ht="15" customHeight="1">
      <c r="A623" s="197"/>
      <c r="B623" s="197"/>
      <c r="C623" s="197"/>
      <c r="D623" s="197"/>
      <c r="E623" s="197"/>
      <c r="F623" s="197"/>
      <c r="G623" s="197"/>
      <c r="H623" s="197"/>
      <c r="I623" s="197"/>
      <c r="J623" s="197"/>
      <c r="K623" s="197"/>
      <c r="L623" s="197"/>
      <c r="M623" s="197"/>
      <c r="N623" s="197"/>
      <c r="O623" s="197"/>
      <c r="P623" s="197"/>
      <c r="Q623" s="197"/>
      <c r="R623" s="197"/>
      <c r="S623" s="197"/>
      <c r="T623" s="197"/>
      <c r="U623" s="197"/>
      <c r="V623" s="197"/>
      <c r="W623" s="197"/>
      <c r="X623" s="197"/>
      <c r="Y623" s="197"/>
      <c r="Z623" s="197"/>
      <c r="AA623" s="197"/>
      <c r="AB623" s="197"/>
      <c r="AC623" s="197"/>
      <c r="AD623" s="197"/>
      <c r="AE623" s="197"/>
      <c r="AF623" s="197"/>
      <c r="AG623" s="197"/>
      <c r="AH623" s="197"/>
      <c r="AI623" s="197"/>
      <c r="AJ623" s="201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</row>
    <row r="624" spans="1:63" ht="15" customHeight="1">
      <c r="A624" s="197"/>
      <c r="B624" s="197"/>
      <c r="C624" s="197"/>
      <c r="D624" s="197"/>
      <c r="E624" s="197"/>
      <c r="F624" s="197"/>
      <c r="G624" s="197"/>
      <c r="H624" s="197"/>
      <c r="I624" s="197"/>
      <c r="J624" s="197"/>
      <c r="K624" s="197"/>
      <c r="L624" s="197"/>
      <c r="M624" s="197"/>
      <c r="N624" s="197"/>
      <c r="O624" s="197"/>
      <c r="P624" s="197"/>
      <c r="Q624" s="197"/>
      <c r="R624" s="197"/>
      <c r="S624" s="197"/>
      <c r="T624" s="197"/>
      <c r="U624" s="197"/>
      <c r="V624" s="197"/>
      <c r="W624" s="197"/>
      <c r="X624" s="197"/>
      <c r="Y624" s="197"/>
      <c r="Z624" s="197"/>
      <c r="AA624" s="197"/>
      <c r="AB624" s="197"/>
      <c r="AC624" s="197"/>
      <c r="AD624" s="197"/>
      <c r="AE624" s="197"/>
      <c r="AF624" s="197"/>
      <c r="AG624" s="197"/>
      <c r="AH624" s="197"/>
      <c r="AI624" s="197"/>
      <c r="AJ624" s="201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</row>
    <row r="625" spans="1:63" ht="15" customHeight="1">
      <c r="A625" s="197"/>
      <c r="B625" s="197"/>
      <c r="C625" s="197"/>
      <c r="D625" s="197"/>
      <c r="E625" s="197"/>
      <c r="F625" s="197"/>
      <c r="G625" s="197"/>
      <c r="H625" s="197"/>
      <c r="I625" s="197"/>
      <c r="J625" s="197"/>
      <c r="K625" s="197"/>
      <c r="L625" s="197"/>
      <c r="M625" s="197"/>
      <c r="N625" s="197"/>
      <c r="O625" s="197"/>
      <c r="P625" s="197"/>
      <c r="Q625" s="197"/>
      <c r="R625" s="197"/>
      <c r="S625" s="197"/>
      <c r="T625" s="197"/>
      <c r="U625" s="197"/>
      <c r="V625" s="197"/>
      <c r="W625" s="197"/>
      <c r="X625" s="197"/>
      <c r="Y625" s="197"/>
      <c r="Z625" s="197"/>
      <c r="AA625" s="197"/>
      <c r="AB625" s="197"/>
      <c r="AC625" s="197"/>
      <c r="AD625" s="197"/>
      <c r="AE625" s="197"/>
      <c r="AF625" s="197"/>
      <c r="AG625" s="197"/>
      <c r="AH625" s="197"/>
      <c r="AI625" s="197"/>
      <c r="AJ625" s="201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</row>
    <row r="626" spans="1:63" ht="15" customHeight="1">
      <c r="A626" s="197"/>
      <c r="B626" s="197"/>
      <c r="C626" s="197"/>
      <c r="D626" s="197"/>
      <c r="E626" s="197"/>
      <c r="F626" s="197"/>
      <c r="G626" s="197"/>
      <c r="H626" s="197"/>
      <c r="I626" s="197"/>
      <c r="J626" s="197"/>
      <c r="K626" s="197"/>
      <c r="L626" s="197"/>
      <c r="M626" s="197"/>
      <c r="N626" s="197"/>
      <c r="O626" s="197"/>
      <c r="P626" s="197"/>
      <c r="Q626" s="197"/>
      <c r="R626" s="197"/>
      <c r="S626" s="197"/>
      <c r="T626" s="197"/>
      <c r="U626" s="197"/>
      <c r="V626" s="197"/>
      <c r="W626" s="197"/>
      <c r="X626" s="197"/>
      <c r="Y626" s="197"/>
      <c r="Z626" s="197"/>
      <c r="AA626" s="197"/>
      <c r="AB626" s="197"/>
      <c r="AC626" s="197"/>
      <c r="AD626" s="197"/>
      <c r="AE626" s="197"/>
      <c r="AF626" s="197"/>
      <c r="AG626" s="197"/>
      <c r="AH626" s="197"/>
      <c r="AI626" s="197"/>
      <c r="AJ626" s="201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</row>
    <row r="627" spans="1:63" ht="15" customHeight="1">
      <c r="A627" s="197"/>
      <c r="B627" s="197"/>
      <c r="C627" s="197"/>
      <c r="D627" s="197"/>
      <c r="E627" s="197"/>
      <c r="F627" s="197"/>
      <c r="G627" s="197"/>
      <c r="H627" s="197"/>
      <c r="I627" s="197"/>
      <c r="J627" s="197"/>
      <c r="K627" s="197"/>
      <c r="L627" s="197"/>
      <c r="M627" s="197"/>
      <c r="N627" s="197"/>
      <c r="O627" s="197"/>
      <c r="P627" s="197"/>
      <c r="Q627" s="197"/>
      <c r="R627" s="197"/>
      <c r="S627" s="197"/>
      <c r="T627" s="197"/>
      <c r="U627" s="197"/>
      <c r="V627" s="197"/>
      <c r="W627" s="197"/>
      <c r="X627" s="197"/>
      <c r="Y627" s="197"/>
      <c r="Z627" s="197"/>
      <c r="AA627" s="197"/>
      <c r="AB627" s="197"/>
      <c r="AC627" s="197"/>
      <c r="AD627" s="197"/>
      <c r="AE627" s="197"/>
      <c r="AF627" s="197"/>
      <c r="AG627" s="197"/>
      <c r="AH627" s="197"/>
      <c r="AI627" s="197"/>
      <c r="AJ627" s="201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</row>
    <row r="628" spans="1:63" ht="15" customHeight="1">
      <c r="A628" s="197"/>
      <c r="B628" s="197"/>
      <c r="C628" s="197"/>
      <c r="D628" s="197"/>
      <c r="E628" s="197"/>
      <c r="F628" s="197"/>
      <c r="G628" s="197"/>
      <c r="H628" s="197"/>
      <c r="I628" s="197"/>
      <c r="J628" s="197"/>
      <c r="K628" s="197"/>
      <c r="L628" s="197"/>
      <c r="M628" s="197"/>
      <c r="N628" s="197"/>
      <c r="O628" s="197"/>
      <c r="P628" s="197"/>
      <c r="Q628" s="197"/>
      <c r="R628" s="197"/>
      <c r="S628" s="197"/>
      <c r="T628" s="197"/>
      <c r="U628" s="197"/>
      <c r="V628" s="197"/>
      <c r="W628" s="197"/>
      <c r="X628" s="197"/>
      <c r="Y628" s="197"/>
      <c r="Z628" s="197"/>
      <c r="AA628" s="197"/>
      <c r="AB628" s="197"/>
      <c r="AC628" s="197"/>
      <c r="AD628" s="197"/>
      <c r="AE628" s="197"/>
      <c r="AF628" s="197"/>
      <c r="AG628" s="197"/>
      <c r="AH628" s="197"/>
      <c r="AI628" s="197"/>
      <c r="AJ628" s="201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</row>
    <row r="629" spans="1:63" ht="15" customHeight="1">
      <c r="A629" s="197"/>
      <c r="B629" s="197"/>
      <c r="C629" s="197"/>
      <c r="D629" s="197"/>
      <c r="E629" s="197"/>
      <c r="F629" s="197"/>
      <c r="G629" s="197"/>
      <c r="H629" s="197"/>
      <c r="I629" s="197"/>
      <c r="J629" s="197"/>
      <c r="K629" s="197"/>
      <c r="L629" s="197"/>
      <c r="M629" s="197"/>
      <c r="N629" s="197"/>
      <c r="O629" s="197"/>
      <c r="P629" s="197"/>
      <c r="Q629" s="197"/>
      <c r="R629" s="197"/>
      <c r="S629" s="197"/>
      <c r="T629" s="197"/>
      <c r="U629" s="197"/>
      <c r="V629" s="197"/>
      <c r="W629" s="197"/>
      <c r="X629" s="197"/>
      <c r="Y629" s="197"/>
      <c r="Z629" s="197"/>
      <c r="AA629" s="197"/>
      <c r="AB629" s="197"/>
      <c r="AC629" s="197"/>
      <c r="AD629" s="197"/>
      <c r="AE629" s="197"/>
      <c r="AF629" s="197"/>
      <c r="AG629" s="197"/>
      <c r="AH629" s="197"/>
      <c r="AI629" s="197"/>
      <c r="AJ629" s="201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  <c r="BK629" s="33"/>
    </row>
    <row r="630" spans="1:63" ht="15" customHeight="1">
      <c r="A630" s="197"/>
      <c r="B630" s="197"/>
      <c r="C630" s="197"/>
      <c r="D630" s="197"/>
      <c r="E630" s="197"/>
      <c r="F630" s="197"/>
      <c r="G630" s="197"/>
      <c r="H630" s="197"/>
      <c r="I630" s="197"/>
      <c r="J630" s="197"/>
      <c r="K630" s="197"/>
      <c r="L630" s="197"/>
      <c r="M630" s="197"/>
      <c r="N630" s="197"/>
      <c r="O630" s="197"/>
      <c r="P630" s="197"/>
      <c r="Q630" s="197"/>
      <c r="R630" s="197"/>
      <c r="S630" s="197"/>
      <c r="T630" s="197"/>
      <c r="U630" s="197"/>
      <c r="V630" s="197"/>
      <c r="W630" s="197"/>
      <c r="X630" s="197"/>
      <c r="Y630" s="197"/>
      <c r="Z630" s="197"/>
      <c r="AA630" s="197"/>
      <c r="AB630" s="197"/>
      <c r="AC630" s="197"/>
      <c r="AD630" s="197"/>
      <c r="AE630" s="197"/>
      <c r="AF630" s="197"/>
      <c r="AG630" s="197"/>
      <c r="AH630" s="197"/>
      <c r="AI630" s="197"/>
      <c r="AJ630" s="201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  <c r="BK630" s="33"/>
    </row>
    <row r="631" spans="1:63" ht="15" customHeight="1">
      <c r="A631" s="197"/>
      <c r="B631" s="197"/>
      <c r="C631" s="197"/>
      <c r="D631" s="197"/>
      <c r="E631" s="197"/>
      <c r="F631" s="197"/>
      <c r="G631" s="197"/>
      <c r="H631" s="197"/>
      <c r="I631" s="197"/>
      <c r="J631" s="197"/>
      <c r="K631" s="197"/>
      <c r="L631" s="197"/>
      <c r="M631" s="197"/>
      <c r="N631" s="197"/>
      <c r="O631" s="197"/>
      <c r="P631" s="197"/>
      <c r="Q631" s="197"/>
      <c r="R631" s="197"/>
      <c r="S631" s="197"/>
      <c r="T631" s="197"/>
      <c r="U631" s="197"/>
      <c r="V631" s="197"/>
      <c r="W631" s="197"/>
      <c r="X631" s="197"/>
      <c r="Y631" s="197"/>
      <c r="Z631" s="197"/>
      <c r="AA631" s="197"/>
      <c r="AB631" s="197"/>
      <c r="AC631" s="197"/>
      <c r="AD631" s="197"/>
      <c r="AE631" s="197"/>
      <c r="AF631" s="197"/>
      <c r="AG631" s="197"/>
      <c r="AH631" s="197"/>
      <c r="AI631" s="197"/>
      <c r="AJ631" s="201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  <c r="BK631" s="33"/>
    </row>
    <row r="632" spans="1:63" ht="15" customHeight="1">
      <c r="A632" s="197"/>
      <c r="B632" s="197"/>
      <c r="C632" s="197"/>
      <c r="D632" s="197"/>
      <c r="E632" s="197"/>
      <c r="F632" s="197"/>
      <c r="G632" s="197"/>
      <c r="H632" s="197"/>
      <c r="I632" s="197"/>
      <c r="J632" s="197"/>
      <c r="K632" s="197"/>
      <c r="L632" s="197"/>
      <c r="M632" s="197"/>
      <c r="N632" s="197"/>
      <c r="O632" s="197"/>
      <c r="P632" s="197"/>
      <c r="Q632" s="197"/>
      <c r="R632" s="197"/>
      <c r="S632" s="197"/>
      <c r="T632" s="197"/>
      <c r="U632" s="197"/>
      <c r="V632" s="197"/>
      <c r="W632" s="197"/>
      <c r="X632" s="197"/>
      <c r="Y632" s="197"/>
      <c r="Z632" s="197"/>
      <c r="AA632" s="197"/>
      <c r="AB632" s="197"/>
      <c r="AC632" s="197"/>
      <c r="AD632" s="197"/>
      <c r="AE632" s="197"/>
      <c r="AF632" s="197"/>
      <c r="AG632" s="197"/>
      <c r="AH632" s="197"/>
      <c r="AI632" s="197"/>
      <c r="AJ632" s="201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</row>
    <row r="633" spans="1:63" ht="15" customHeight="1">
      <c r="A633" s="197"/>
      <c r="B633" s="197"/>
      <c r="C633" s="197"/>
      <c r="D633" s="197"/>
      <c r="E633" s="197"/>
      <c r="F633" s="197"/>
      <c r="G633" s="197"/>
      <c r="H633" s="197"/>
      <c r="I633" s="197"/>
      <c r="J633" s="197"/>
      <c r="K633" s="197"/>
      <c r="L633" s="197"/>
      <c r="M633" s="197"/>
      <c r="N633" s="197"/>
      <c r="O633" s="197"/>
      <c r="P633" s="197"/>
      <c r="Q633" s="197"/>
      <c r="R633" s="197"/>
      <c r="S633" s="197"/>
      <c r="T633" s="197"/>
      <c r="U633" s="197"/>
      <c r="V633" s="197"/>
      <c r="W633" s="197"/>
      <c r="X633" s="197"/>
      <c r="Y633" s="197"/>
      <c r="Z633" s="197"/>
      <c r="AA633" s="197"/>
      <c r="AB633" s="197"/>
      <c r="AC633" s="197"/>
      <c r="AD633" s="197"/>
      <c r="AE633" s="197"/>
      <c r="AF633" s="197"/>
      <c r="AG633" s="197"/>
      <c r="AH633" s="197"/>
      <c r="AI633" s="197"/>
      <c r="AJ633" s="201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</row>
    <row r="634" spans="1:63" ht="15" customHeight="1">
      <c r="A634" s="197"/>
      <c r="B634" s="197"/>
      <c r="C634" s="197"/>
      <c r="D634" s="197"/>
      <c r="E634" s="197"/>
      <c r="F634" s="197"/>
      <c r="G634" s="197"/>
      <c r="H634" s="197"/>
      <c r="I634" s="197"/>
      <c r="J634" s="197"/>
      <c r="K634" s="197"/>
      <c r="L634" s="197"/>
      <c r="M634" s="197"/>
      <c r="N634" s="197"/>
      <c r="O634" s="197"/>
      <c r="P634" s="197"/>
      <c r="Q634" s="197"/>
      <c r="R634" s="197"/>
      <c r="S634" s="197"/>
      <c r="T634" s="197"/>
      <c r="U634" s="197"/>
      <c r="V634" s="197"/>
      <c r="W634" s="197"/>
      <c r="X634" s="197"/>
      <c r="Y634" s="197"/>
      <c r="Z634" s="197"/>
      <c r="AA634" s="197"/>
      <c r="AB634" s="197"/>
      <c r="AC634" s="197"/>
      <c r="AD634" s="197"/>
      <c r="AE634" s="197"/>
      <c r="AF634" s="197"/>
      <c r="AG634" s="197"/>
      <c r="AH634" s="197"/>
      <c r="AI634" s="197"/>
      <c r="AJ634" s="201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  <c r="BK634" s="33"/>
    </row>
    <row r="635" spans="1:63" ht="15" customHeight="1">
      <c r="A635" s="197"/>
      <c r="B635" s="197"/>
      <c r="C635" s="197"/>
      <c r="D635" s="197"/>
      <c r="E635" s="197"/>
      <c r="F635" s="197"/>
      <c r="G635" s="197"/>
      <c r="H635" s="197"/>
      <c r="I635" s="197"/>
      <c r="J635" s="197"/>
      <c r="K635" s="197"/>
      <c r="L635" s="197"/>
      <c r="M635" s="197"/>
      <c r="N635" s="197"/>
      <c r="O635" s="197"/>
      <c r="P635" s="197"/>
      <c r="Q635" s="197"/>
      <c r="R635" s="197"/>
      <c r="S635" s="197"/>
      <c r="T635" s="197"/>
      <c r="U635" s="197"/>
      <c r="V635" s="197"/>
      <c r="W635" s="197"/>
      <c r="X635" s="197"/>
      <c r="Y635" s="197"/>
      <c r="Z635" s="197"/>
      <c r="AA635" s="197"/>
      <c r="AB635" s="197"/>
      <c r="AC635" s="197"/>
      <c r="AD635" s="197"/>
      <c r="AE635" s="197"/>
      <c r="AF635" s="197"/>
      <c r="AG635" s="197"/>
      <c r="AH635" s="197"/>
      <c r="AI635" s="197"/>
      <c r="AJ635" s="201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</row>
    <row r="636" spans="1:63" ht="15" customHeight="1">
      <c r="A636" s="197"/>
      <c r="B636" s="197"/>
      <c r="C636" s="197"/>
      <c r="D636" s="197"/>
      <c r="E636" s="197"/>
      <c r="F636" s="197"/>
      <c r="G636" s="197"/>
      <c r="H636" s="197"/>
      <c r="I636" s="197"/>
      <c r="J636" s="197"/>
      <c r="K636" s="197"/>
      <c r="L636" s="197"/>
      <c r="M636" s="197"/>
      <c r="N636" s="197"/>
      <c r="O636" s="197"/>
      <c r="P636" s="197"/>
      <c r="Q636" s="197"/>
      <c r="R636" s="197"/>
      <c r="S636" s="197"/>
      <c r="T636" s="197"/>
      <c r="U636" s="197"/>
      <c r="V636" s="197"/>
      <c r="W636" s="197"/>
      <c r="X636" s="197"/>
      <c r="Y636" s="197"/>
      <c r="Z636" s="197"/>
      <c r="AA636" s="197"/>
      <c r="AB636" s="197"/>
      <c r="AC636" s="197"/>
      <c r="AD636" s="197"/>
      <c r="AE636" s="197"/>
      <c r="AF636" s="197"/>
      <c r="AG636" s="197"/>
      <c r="AH636" s="197"/>
      <c r="AI636" s="197"/>
      <c r="AJ636" s="201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</row>
    <row r="637" spans="1:63" ht="15" customHeight="1">
      <c r="A637" s="197"/>
      <c r="B637" s="197"/>
      <c r="C637" s="197"/>
      <c r="D637" s="197"/>
      <c r="E637" s="197"/>
      <c r="F637" s="197"/>
      <c r="G637" s="197"/>
      <c r="H637" s="197"/>
      <c r="I637" s="197"/>
      <c r="J637" s="197"/>
      <c r="K637" s="197"/>
      <c r="L637" s="197"/>
      <c r="M637" s="197"/>
      <c r="N637" s="197"/>
      <c r="O637" s="197"/>
      <c r="P637" s="197"/>
      <c r="Q637" s="197"/>
      <c r="R637" s="197"/>
      <c r="S637" s="197"/>
      <c r="T637" s="197"/>
      <c r="U637" s="197"/>
      <c r="V637" s="197"/>
      <c r="W637" s="197"/>
      <c r="X637" s="197"/>
      <c r="Y637" s="197"/>
      <c r="Z637" s="197"/>
      <c r="AA637" s="197"/>
      <c r="AB637" s="197"/>
      <c r="AC637" s="197"/>
      <c r="AD637" s="197"/>
      <c r="AE637" s="197"/>
      <c r="AF637" s="197"/>
      <c r="AG637" s="197"/>
      <c r="AH637" s="197"/>
      <c r="AI637" s="197"/>
      <c r="AJ637" s="201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</row>
    <row r="638" spans="1:63" ht="15" customHeight="1">
      <c r="A638" s="197"/>
      <c r="B638" s="197"/>
      <c r="C638" s="197"/>
      <c r="D638" s="197"/>
      <c r="E638" s="197"/>
      <c r="F638" s="197"/>
      <c r="G638" s="197"/>
      <c r="H638" s="197"/>
      <c r="I638" s="197"/>
      <c r="J638" s="197"/>
      <c r="K638" s="197"/>
      <c r="L638" s="197"/>
      <c r="M638" s="197"/>
      <c r="N638" s="197"/>
      <c r="O638" s="197"/>
      <c r="P638" s="197"/>
      <c r="Q638" s="197"/>
      <c r="R638" s="197"/>
      <c r="S638" s="197"/>
      <c r="T638" s="197"/>
      <c r="U638" s="197"/>
      <c r="V638" s="197"/>
      <c r="W638" s="197"/>
      <c r="X638" s="197"/>
      <c r="Y638" s="197"/>
      <c r="Z638" s="197"/>
      <c r="AA638" s="197"/>
      <c r="AB638" s="197"/>
      <c r="AC638" s="197"/>
      <c r="AD638" s="197"/>
      <c r="AE638" s="197"/>
      <c r="AF638" s="197"/>
      <c r="AG638" s="197"/>
      <c r="AH638" s="197"/>
      <c r="AI638" s="197"/>
      <c r="AJ638" s="201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  <c r="BK638" s="33"/>
    </row>
    <row r="639" spans="1:63" ht="15" customHeight="1">
      <c r="A639" s="197"/>
      <c r="B639" s="197"/>
      <c r="C639" s="197"/>
      <c r="D639" s="197"/>
      <c r="E639" s="197"/>
      <c r="F639" s="197"/>
      <c r="G639" s="197"/>
      <c r="H639" s="197"/>
      <c r="I639" s="197"/>
      <c r="J639" s="197"/>
      <c r="K639" s="197"/>
      <c r="L639" s="197"/>
      <c r="M639" s="197"/>
      <c r="N639" s="197"/>
      <c r="O639" s="197"/>
      <c r="P639" s="197"/>
      <c r="Q639" s="197"/>
      <c r="R639" s="197"/>
      <c r="S639" s="197"/>
      <c r="T639" s="197"/>
      <c r="U639" s="197"/>
      <c r="V639" s="197"/>
      <c r="W639" s="197"/>
      <c r="X639" s="197"/>
      <c r="Y639" s="197"/>
      <c r="Z639" s="197"/>
      <c r="AA639" s="197"/>
      <c r="AB639" s="197"/>
      <c r="AC639" s="197"/>
      <c r="AD639" s="197"/>
      <c r="AE639" s="197"/>
      <c r="AF639" s="197"/>
      <c r="AG639" s="197"/>
      <c r="AH639" s="197"/>
      <c r="AI639" s="197"/>
      <c r="AJ639" s="201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</row>
    <row r="640" spans="1:63" ht="15" customHeight="1">
      <c r="A640" s="197"/>
      <c r="B640" s="197"/>
      <c r="C640" s="197"/>
      <c r="D640" s="197"/>
      <c r="E640" s="197"/>
      <c r="F640" s="197"/>
      <c r="G640" s="197"/>
      <c r="H640" s="197"/>
      <c r="I640" s="197"/>
      <c r="J640" s="197"/>
      <c r="K640" s="197"/>
      <c r="L640" s="197"/>
      <c r="M640" s="197"/>
      <c r="N640" s="197"/>
      <c r="O640" s="197"/>
      <c r="P640" s="197"/>
      <c r="Q640" s="197"/>
      <c r="R640" s="197"/>
      <c r="S640" s="197"/>
      <c r="T640" s="197"/>
      <c r="U640" s="197"/>
      <c r="V640" s="197"/>
      <c r="W640" s="197"/>
      <c r="X640" s="197"/>
      <c r="Y640" s="197"/>
      <c r="Z640" s="197"/>
      <c r="AA640" s="197"/>
      <c r="AB640" s="197"/>
      <c r="AC640" s="197"/>
      <c r="AD640" s="197"/>
      <c r="AE640" s="197"/>
      <c r="AF640" s="197"/>
      <c r="AG640" s="197"/>
      <c r="AH640" s="197"/>
      <c r="AI640" s="197"/>
      <c r="AJ640" s="201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  <c r="BK640" s="33"/>
    </row>
    <row r="641" spans="1:63" ht="15" customHeight="1">
      <c r="A641" s="197"/>
      <c r="B641" s="197"/>
      <c r="C641" s="197"/>
      <c r="D641" s="197"/>
      <c r="E641" s="197"/>
      <c r="F641" s="197"/>
      <c r="G641" s="197"/>
      <c r="H641" s="197"/>
      <c r="I641" s="197"/>
      <c r="J641" s="197"/>
      <c r="K641" s="197"/>
      <c r="L641" s="197"/>
      <c r="M641" s="197"/>
      <c r="N641" s="197"/>
      <c r="O641" s="197"/>
      <c r="P641" s="197"/>
      <c r="Q641" s="197"/>
      <c r="R641" s="197"/>
      <c r="S641" s="197"/>
      <c r="T641" s="197"/>
      <c r="U641" s="197"/>
      <c r="V641" s="197"/>
      <c r="W641" s="197"/>
      <c r="X641" s="197"/>
      <c r="Y641" s="197"/>
      <c r="Z641" s="197"/>
      <c r="AA641" s="197"/>
      <c r="AB641" s="197"/>
      <c r="AC641" s="197"/>
      <c r="AD641" s="197"/>
      <c r="AE641" s="197"/>
      <c r="AF641" s="197"/>
      <c r="AG641" s="197"/>
      <c r="AH641" s="197"/>
      <c r="AI641" s="197"/>
      <c r="AJ641" s="201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</row>
    <row r="642" spans="1:63" ht="15" customHeight="1">
      <c r="A642" s="197"/>
      <c r="B642" s="197"/>
      <c r="C642" s="197"/>
      <c r="D642" s="197"/>
      <c r="E642" s="197"/>
      <c r="F642" s="197"/>
      <c r="G642" s="197"/>
      <c r="H642" s="197"/>
      <c r="I642" s="197"/>
      <c r="J642" s="197"/>
      <c r="K642" s="197"/>
      <c r="L642" s="197"/>
      <c r="M642" s="197"/>
      <c r="N642" s="197"/>
      <c r="O642" s="197"/>
      <c r="P642" s="197"/>
      <c r="Q642" s="197"/>
      <c r="R642" s="197"/>
      <c r="S642" s="197"/>
      <c r="T642" s="197"/>
      <c r="U642" s="197"/>
      <c r="V642" s="197"/>
      <c r="W642" s="197"/>
      <c r="X642" s="197"/>
      <c r="Y642" s="197"/>
      <c r="Z642" s="197"/>
      <c r="AA642" s="197"/>
      <c r="AB642" s="197"/>
      <c r="AC642" s="197"/>
      <c r="AD642" s="197"/>
      <c r="AE642" s="197"/>
      <c r="AF642" s="197"/>
      <c r="AG642" s="197"/>
      <c r="AH642" s="197"/>
      <c r="AI642" s="197"/>
      <c r="AJ642" s="201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  <c r="BK642" s="33"/>
    </row>
    <row r="643" spans="1:63" ht="15" customHeight="1">
      <c r="A643" s="197"/>
      <c r="B643" s="197"/>
      <c r="C643" s="197"/>
      <c r="D643" s="197"/>
      <c r="E643" s="197"/>
      <c r="F643" s="197"/>
      <c r="G643" s="197"/>
      <c r="H643" s="197"/>
      <c r="I643" s="197"/>
      <c r="J643" s="197"/>
      <c r="K643" s="197"/>
      <c r="L643" s="197"/>
      <c r="M643" s="197"/>
      <c r="N643" s="197"/>
      <c r="O643" s="197"/>
      <c r="P643" s="197"/>
      <c r="Q643" s="197"/>
      <c r="R643" s="197"/>
      <c r="S643" s="197"/>
      <c r="T643" s="197"/>
      <c r="U643" s="197"/>
      <c r="V643" s="197"/>
      <c r="W643" s="197"/>
      <c r="X643" s="197"/>
      <c r="Y643" s="197"/>
      <c r="Z643" s="197"/>
      <c r="AA643" s="197"/>
      <c r="AB643" s="197"/>
      <c r="AC643" s="197"/>
      <c r="AD643" s="197"/>
      <c r="AE643" s="197"/>
      <c r="AF643" s="197"/>
      <c r="AG643" s="197"/>
      <c r="AH643" s="197"/>
      <c r="AI643" s="197"/>
      <c r="AJ643" s="201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</row>
    <row r="644" spans="1:63" ht="15" customHeight="1">
      <c r="A644" s="197"/>
      <c r="B644" s="197"/>
      <c r="C644" s="197"/>
      <c r="D644" s="197"/>
      <c r="E644" s="197"/>
      <c r="F644" s="197"/>
      <c r="G644" s="197"/>
      <c r="H644" s="197"/>
      <c r="I644" s="197"/>
      <c r="J644" s="197"/>
      <c r="K644" s="197"/>
      <c r="L644" s="197"/>
      <c r="M644" s="197"/>
      <c r="N644" s="197"/>
      <c r="O644" s="197"/>
      <c r="P644" s="197"/>
      <c r="Q644" s="197"/>
      <c r="R644" s="197"/>
      <c r="S644" s="197"/>
      <c r="T644" s="197"/>
      <c r="U644" s="197"/>
      <c r="V644" s="197"/>
      <c r="W644" s="197"/>
      <c r="X644" s="197"/>
      <c r="Y644" s="197"/>
      <c r="Z644" s="197"/>
      <c r="AA644" s="197"/>
      <c r="AB644" s="197"/>
      <c r="AC644" s="197"/>
      <c r="AD644" s="197"/>
      <c r="AE644" s="197"/>
      <c r="AF644" s="197"/>
      <c r="AG644" s="197"/>
      <c r="AH644" s="197"/>
      <c r="AI644" s="197"/>
      <c r="AJ644" s="201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  <c r="BK644" s="33"/>
    </row>
    <row r="645" spans="1:63" ht="15" customHeight="1">
      <c r="A645" s="197"/>
      <c r="B645" s="197"/>
      <c r="C645" s="197"/>
      <c r="D645" s="197"/>
      <c r="E645" s="197"/>
      <c r="F645" s="197"/>
      <c r="G645" s="197"/>
      <c r="H645" s="197"/>
      <c r="I645" s="197"/>
      <c r="J645" s="197"/>
      <c r="K645" s="197"/>
      <c r="L645" s="197"/>
      <c r="M645" s="197"/>
      <c r="N645" s="197"/>
      <c r="O645" s="197"/>
      <c r="P645" s="197"/>
      <c r="Q645" s="197"/>
      <c r="R645" s="197"/>
      <c r="S645" s="197"/>
      <c r="T645" s="197"/>
      <c r="U645" s="197"/>
      <c r="V645" s="197"/>
      <c r="W645" s="197"/>
      <c r="X645" s="197"/>
      <c r="Y645" s="197"/>
      <c r="Z645" s="197"/>
      <c r="AA645" s="197"/>
      <c r="AB645" s="197"/>
      <c r="AC645" s="197"/>
      <c r="AD645" s="197"/>
      <c r="AE645" s="197"/>
      <c r="AF645" s="197"/>
      <c r="AG645" s="197"/>
      <c r="AH645" s="197"/>
      <c r="AI645" s="197"/>
      <c r="AJ645" s="201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</row>
    <row r="646" spans="1:63" ht="15" customHeight="1">
      <c r="A646" s="197"/>
      <c r="B646" s="197"/>
      <c r="C646" s="197"/>
      <c r="D646" s="197"/>
      <c r="E646" s="197"/>
      <c r="F646" s="197"/>
      <c r="G646" s="197"/>
      <c r="H646" s="197"/>
      <c r="I646" s="197"/>
      <c r="J646" s="197"/>
      <c r="K646" s="197"/>
      <c r="L646" s="197"/>
      <c r="M646" s="197"/>
      <c r="N646" s="197"/>
      <c r="O646" s="197"/>
      <c r="P646" s="197"/>
      <c r="Q646" s="197"/>
      <c r="R646" s="197"/>
      <c r="S646" s="197"/>
      <c r="T646" s="197"/>
      <c r="U646" s="197"/>
      <c r="V646" s="197"/>
      <c r="W646" s="197"/>
      <c r="X646" s="197"/>
      <c r="Y646" s="197"/>
      <c r="Z646" s="197"/>
      <c r="AA646" s="197"/>
      <c r="AB646" s="197"/>
      <c r="AC646" s="197"/>
      <c r="AD646" s="197"/>
      <c r="AE646" s="197"/>
      <c r="AF646" s="197"/>
      <c r="AG646" s="197"/>
      <c r="AH646" s="197"/>
      <c r="AI646" s="197"/>
      <c r="AJ646" s="201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  <c r="BK646" s="33"/>
    </row>
    <row r="647" spans="1:63" ht="15" customHeight="1">
      <c r="A647" s="197"/>
      <c r="B647" s="197"/>
      <c r="C647" s="197"/>
      <c r="D647" s="197"/>
      <c r="E647" s="197"/>
      <c r="F647" s="197"/>
      <c r="G647" s="197"/>
      <c r="H647" s="197"/>
      <c r="I647" s="197"/>
      <c r="J647" s="197"/>
      <c r="K647" s="197"/>
      <c r="L647" s="197"/>
      <c r="M647" s="197"/>
      <c r="N647" s="197"/>
      <c r="O647" s="197"/>
      <c r="P647" s="197"/>
      <c r="Q647" s="197"/>
      <c r="R647" s="197"/>
      <c r="S647" s="197"/>
      <c r="T647" s="197"/>
      <c r="U647" s="197"/>
      <c r="V647" s="197"/>
      <c r="W647" s="197"/>
      <c r="X647" s="197"/>
      <c r="Y647" s="197"/>
      <c r="Z647" s="197"/>
      <c r="AA647" s="197"/>
      <c r="AB647" s="197"/>
      <c r="AC647" s="197"/>
      <c r="AD647" s="197"/>
      <c r="AE647" s="197"/>
      <c r="AF647" s="197"/>
      <c r="AG647" s="197"/>
      <c r="AH647" s="197"/>
      <c r="AI647" s="197"/>
      <c r="AJ647" s="201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</row>
    <row r="648" spans="1:63" ht="15" customHeight="1">
      <c r="A648" s="197"/>
      <c r="B648" s="197"/>
      <c r="C648" s="197"/>
      <c r="D648" s="197"/>
      <c r="E648" s="197"/>
      <c r="F648" s="197"/>
      <c r="G648" s="197"/>
      <c r="H648" s="197"/>
      <c r="I648" s="197"/>
      <c r="J648" s="197"/>
      <c r="K648" s="197"/>
      <c r="L648" s="197"/>
      <c r="M648" s="197"/>
      <c r="N648" s="197"/>
      <c r="O648" s="197"/>
      <c r="P648" s="197"/>
      <c r="Q648" s="197"/>
      <c r="R648" s="197"/>
      <c r="S648" s="197"/>
      <c r="T648" s="197"/>
      <c r="U648" s="197"/>
      <c r="V648" s="197"/>
      <c r="W648" s="197"/>
      <c r="X648" s="197"/>
      <c r="Y648" s="197"/>
      <c r="Z648" s="197"/>
      <c r="AA648" s="197"/>
      <c r="AB648" s="197"/>
      <c r="AC648" s="197"/>
      <c r="AD648" s="197"/>
      <c r="AE648" s="197"/>
      <c r="AF648" s="197"/>
      <c r="AG648" s="197"/>
      <c r="AH648" s="197"/>
      <c r="AI648" s="197"/>
      <c r="AJ648" s="201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</row>
    <row r="649" spans="1:63" ht="15" customHeight="1">
      <c r="A649" s="197"/>
      <c r="B649" s="197"/>
      <c r="C649" s="197"/>
      <c r="D649" s="197"/>
      <c r="E649" s="197"/>
      <c r="F649" s="197"/>
      <c r="G649" s="197"/>
      <c r="H649" s="197"/>
      <c r="I649" s="197"/>
      <c r="J649" s="197"/>
      <c r="K649" s="197"/>
      <c r="L649" s="197"/>
      <c r="M649" s="197"/>
      <c r="N649" s="197"/>
      <c r="O649" s="197"/>
      <c r="P649" s="197"/>
      <c r="Q649" s="197"/>
      <c r="R649" s="197"/>
      <c r="S649" s="197"/>
      <c r="T649" s="197"/>
      <c r="U649" s="197"/>
      <c r="V649" s="197"/>
      <c r="W649" s="197"/>
      <c r="X649" s="197"/>
      <c r="Y649" s="197"/>
      <c r="Z649" s="197"/>
      <c r="AA649" s="197"/>
      <c r="AB649" s="197"/>
      <c r="AC649" s="197"/>
      <c r="AD649" s="197"/>
      <c r="AE649" s="197"/>
      <c r="AF649" s="197"/>
      <c r="AG649" s="197"/>
      <c r="AH649" s="197"/>
      <c r="AI649" s="197"/>
      <c r="AJ649" s="201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</row>
    <row r="650" spans="1:63" ht="15" customHeight="1">
      <c r="A650" s="197"/>
      <c r="B650" s="197"/>
      <c r="C650" s="197"/>
      <c r="D650" s="197"/>
      <c r="E650" s="197"/>
      <c r="F650" s="197"/>
      <c r="G650" s="197"/>
      <c r="H650" s="197"/>
      <c r="I650" s="197"/>
      <c r="J650" s="197"/>
      <c r="K650" s="197"/>
      <c r="L650" s="197"/>
      <c r="M650" s="197"/>
      <c r="N650" s="197"/>
      <c r="O650" s="197"/>
      <c r="P650" s="197"/>
      <c r="Q650" s="197"/>
      <c r="R650" s="197"/>
      <c r="S650" s="197"/>
      <c r="T650" s="197"/>
      <c r="U650" s="197"/>
      <c r="V650" s="197"/>
      <c r="W650" s="197"/>
      <c r="X650" s="197"/>
      <c r="Y650" s="197"/>
      <c r="Z650" s="197"/>
      <c r="AA650" s="197"/>
      <c r="AB650" s="197"/>
      <c r="AC650" s="197"/>
      <c r="AD650" s="197"/>
      <c r="AE650" s="197"/>
      <c r="AF650" s="197"/>
      <c r="AG650" s="197"/>
      <c r="AH650" s="197"/>
      <c r="AI650" s="197"/>
      <c r="AJ650" s="201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  <c r="BK650" s="33"/>
    </row>
    <row r="651" spans="1:63" ht="15" customHeight="1">
      <c r="A651" s="197"/>
      <c r="B651" s="197"/>
      <c r="C651" s="197"/>
      <c r="D651" s="197"/>
      <c r="E651" s="197"/>
      <c r="F651" s="197"/>
      <c r="G651" s="197"/>
      <c r="H651" s="197"/>
      <c r="I651" s="197"/>
      <c r="J651" s="197"/>
      <c r="K651" s="197"/>
      <c r="L651" s="197"/>
      <c r="M651" s="197"/>
      <c r="N651" s="197"/>
      <c r="O651" s="197"/>
      <c r="P651" s="197"/>
      <c r="Q651" s="197"/>
      <c r="R651" s="197"/>
      <c r="S651" s="197"/>
      <c r="T651" s="197"/>
      <c r="U651" s="197"/>
      <c r="V651" s="197"/>
      <c r="W651" s="197"/>
      <c r="X651" s="197"/>
      <c r="Y651" s="197"/>
      <c r="Z651" s="197"/>
      <c r="AA651" s="197"/>
      <c r="AB651" s="197"/>
      <c r="AC651" s="197"/>
      <c r="AD651" s="197"/>
      <c r="AE651" s="197"/>
      <c r="AF651" s="197"/>
      <c r="AG651" s="197"/>
      <c r="AH651" s="197"/>
      <c r="AI651" s="197"/>
      <c r="AJ651" s="201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</row>
    <row r="652" spans="1:63" ht="15" customHeight="1">
      <c r="A652" s="197"/>
      <c r="B652" s="197"/>
      <c r="C652" s="197"/>
      <c r="D652" s="197"/>
      <c r="E652" s="197"/>
      <c r="F652" s="197"/>
      <c r="G652" s="197"/>
      <c r="H652" s="197"/>
      <c r="I652" s="197"/>
      <c r="J652" s="197"/>
      <c r="K652" s="197"/>
      <c r="L652" s="197"/>
      <c r="M652" s="197"/>
      <c r="N652" s="197"/>
      <c r="O652" s="197"/>
      <c r="P652" s="197"/>
      <c r="Q652" s="197"/>
      <c r="R652" s="197"/>
      <c r="S652" s="197"/>
      <c r="T652" s="197"/>
      <c r="U652" s="197"/>
      <c r="V652" s="197"/>
      <c r="W652" s="197"/>
      <c r="X652" s="197"/>
      <c r="Y652" s="197"/>
      <c r="Z652" s="197"/>
      <c r="AA652" s="197"/>
      <c r="AB652" s="197"/>
      <c r="AC652" s="197"/>
      <c r="AD652" s="197"/>
      <c r="AE652" s="197"/>
      <c r="AF652" s="197"/>
      <c r="AG652" s="197"/>
      <c r="AH652" s="197"/>
      <c r="AI652" s="197"/>
      <c r="AJ652" s="201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  <c r="BK652" s="33"/>
    </row>
    <row r="653" spans="1:63" ht="15" customHeight="1">
      <c r="A653" s="197"/>
      <c r="B653" s="197"/>
      <c r="C653" s="197"/>
      <c r="D653" s="197"/>
      <c r="E653" s="197"/>
      <c r="F653" s="197"/>
      <c r="G653" s="197"/>
      <c r="H653" s="197"/>
      <c r="I653" s="197"/>
      <c r="J653" s="197"/>
      <c r="K653" s="197"/>
      <c r="L653" s="197"/>
      <c r="M653" s="197"/>
      <c r="N653" s="197"/>
      <c r="O653" s="197"/>
      <c r="P653" s="197"/>
      <c r="Q653" s="197"/>
      <c r="R653" s="197"/>
      <c r="S653" s="197"/>
      <c r="T653" s="197"/>
      <c r="U653" s="197"/>
      <c r="V653" s="197"/>
      <c r="W653" s="197"/>
      <c r="X653" s="197"/>
      <c r="Y653" s="197"/>
      <c r="Z653" s="197"/>
      <c r="AA653" s="197"/>
      <c r="AB653" s="197"/>
      <c r="AC653" s="197"/>
      <c r="AD653" s="197"/>
      <c r="AE653" s="197"/>
      <c r="AF653" s="197"/>
      <c r="AG653" s="197"/>
      <c r="AH653" s="197"/>
      <c r="AI653" s="197"/>
      <c r="AJ653" s="201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</row>
    <row r="654" spans="1:63" ht="15" customHeight="1">
      <c r="A654" s="197"/>
      <c r="B654" s="197"/>
      <c r="C654" s="197"/>
      <c r="D654" s="197"/>
      <c r="E654" s="197"/>
      <c r="F654" s="197"/>
      <c r="G654" s="197"/>
      <c r="H654" s="197"/>
      <c r="I654" s="197"/>
      <c r="J654" s="197"/>
      <c r="K654" s="197"/>
      <c r="L654" s="197"/>
      <c r="M654" s="197"/>
      <c r="N654" s="197"/>
      <c r="O654" s="197"/>
      <c r="P654" s="197"/>
      <c r="Q654" s="197"/>
      <c r="R654" s="197"/>
      <c r="S654" s="197"/>
      <c r="T654" s="197"/>
      <c r="U654" s="197"/>
      <c r="V654" s="197"/>
      <c r="W654" s="197"/>
      <c r="X654" s="197"/>
      <c r="Y654" s="197"/>
      <c r="Z654" s="197"/>
      <c r="AA654" s="197"/>
      <c r="AB654" s="197"/>
      <c r="AC654" s="197"/>
      <c r="AD654" s="197"/>
      <c r="AE654" s="197"/>
      <c r="AF654" s="197"/>
      <c r="AG654" s="197"/>
      <c r="AH654" s="197"/>
      <c r="AI654" s="197"/>
      <c r="AJ654" s="201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</row>
    <row r="655" spans="1:63" ht="15" customHeight="1">
      <c r="A655" s="197"/>
      <c r="B655" s="197"/>
      <c r="C655" s="197"/>
      <c r="D655" s="197"/>
      <c r="E655" s="197"/>
      <c r="F655" s="197"/>
      <c r="G655" s="197"/>
      <c r="H655" s="197"/>
      <c r="I655" s="197"/>
      <c r="J655" s="197"/>
      <c r="K655" s="197"/>
      <c r="L655" s="197"/>
      <c r="M655" s="197"/>
      <c r="N655" s="197"/>
      <c r="O655" s="197"/>
      <c r="P655" s="197"/>
      <c r="Q655" s="197"/>
      <c r="R655" s="197"/>
      <c r="S655" s="197"/>
      <c r="T655" s="197"/>
      <c r="U655" s="197"/>
      <c r="V655" s="197"/>
      <c r="W655" s="197"/>
      <c r="X655" s="197"/>
      <c r="Y655" s="197"/>
      <c r="Z655" s="197"/>
      <c r="AA655" s="197"/>
      <c r="AB655" s="197"/>
      <c r="AC655" s="197"/>
      <c r="AD655" s="197"/>
      <c r="AE655" s="197"/>
      <c r="AF655" s="197"/>
      <c r="AG655" s="197"/>
      <c r="AH655" s="197"/>
      <c r="AI655" s="197"/>
      <c r="AJ655" s="201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</row>
    <row r="656" spans="1:63" ht="15" customHeight="1">
      <c r="A656" s="197"/>
      <c r="B656" s="197"/>
      <c r="C656" s="197"/>
      <c r="D656" s="197"/>
      <c r="E656" s="197"/>
      <c r="F656" s="197"/>
      <c r="G656" s="197"/>
      <c r="H656" s="197"/>
      <c r="I656" s="197"/>
      <c r="J656" s="197"/>
      <c r="K656" s="197"/>
      <c r="L656" s="197"/>
      <c r="M656" s="197"/>
      <c r="N656" s="197"/>
      <c r="O656" s="197"/>
      <c r="P656" s="197"/>
      <c r="Q656" s="197"/>
      <c r="R656" s="197"/>
      <c r="S656" s="197"/>
      <c r="T656" s="197"/>
      <c r="U656" s="197"/>
      <c r="V656" s="197"/>
      <c r="W656" s="197"/>
      <c r="X656" s="197"/>
      <c r="Y656" s="197"/>
      <c r="Z656" s="197"/>
      <c r="AA656" s="197"/>
      <c r="AB656" s="197"/>
      <c r="AC656" s="197"/>
      <c r="AD656" s="197"/>
      <c r="AE656" s="197"/>
      <c r="AF656" s="197"/>
      <c r="AG656" s="197"/>
      <c r="AH656" s="197"/>
      <c r="AI656" s="197"/>
      <c r="AJ656" s="201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</row>
    <row r="657" spans="1:63" ht="15" customHeight="1">
      <c r="A657" s="197"/>
      <c r="B657" s="197"/>
      <c r="C657" s="197"/>
      <c r="D657" s="197"/>
      <c r="E657" s="197"/>
      <c r="F657" s="197"/>
      <c r="G657" s="197"/>
      <c r="H657" s="197"/>
      <c r="I657" s="197"/>
      <c r="J657" s="197"/>
      <c r="K657" s="197"/>
      <c r="L657" s="197"/>
      <c r="M657" s="197"/>
      <c r="N657" s="197"/>
      <c r="O657" s="197"/>
      <c r="P657" s="197"/>
      <c r="Q657" s="197"/>
      <c r="R657" s="197"/>
      <c r="S657" s="197"/>
      <c r="T657" s="197"/>
      <c r="U657" s="197"/>
      <c r="V657" s="197"/>
      <c r="W657" s="197"/>
      <c r="X657" s="197"/>
      <c r="Y657" s="197"/>
      <c r="Z657" s="197"/>
      <c r="AA657" s="197"/>
      <c r="AB657" s="197"/>
      <c r="AC657" s="197"/>
      <c r="AD657" s="197"/>
      <c r="AE657" s="197"/>
      <c r="AF657" s="197"/>
      <c r="AG657" s="197"/>
      <c r="AH657" s="197"/>
      <c r="AI657" s="197"/>
      <c r="AJ657" s="201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</row>
    <row r="658" spans="1:63" ht="15" customHeight="1">
      <c r="A658" s="197"/>
      <c r="B658" s="197"/>
      <c r="C658" s="197"/>
      <c r="D658" s="197"/>
      <c r="E658" s="197"/>
      <c r="F658" s="197"/>
      <c r="G658" s="197"/>
      <c r="H658" s="197"/>
      <c r="I658" s="197"/>
      <c r="J658" s="197"/>
      <c r="K658" s="197"/>
      <c r="L658" s="197"/>
      <c r="M658" s="197"/>
      <c r="N658" s="197"/>
      <c r="O658" s="197"/>
      <c r="P658" s="197"/>
      <c r="Q658" s="197"/>
      <c r="R658" s="197"/>
      <c r="S658" s="197"/>
      <c r="T658" s="197"/>
      <c r="U658" s="197"/>
      <c r="V658" s="197"/>
      <c r="W658" s="197"/>
      <c r="X658" s="197"/>
      <c r="Y658" s="197"/>
      <c r="Z658" s="197"/>
      <c r="AA658" s="197"/>
      <c r="AB658" s="197"/>
      <c r="AC658" s="197"/>
      <c r="AD658" s="197"/>
      <c r="AE658" s="197"/>
      <c r="AF658" s="197"/>
      <c r="AG658" s="197"/>
      <c r="AH658" s="197"/>
      <c r="AI658" s="197"/>
      <c r="AJ658" s="201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  <c r="BK658" s="33"/>
    </row>
    <row r="659" spans="1:63" ht="15" customHeight="1">
      <c r="A659" s="197"/>
      <c r="B659" s="197"/>
      <c r="C659" s="197"/>
      <c r="D659" s="197"/>
      <c r="E659" s="197"/>
      <c r="F659" s="197"/>
      <c r="G659" s="197"/>
      <c r="H659" s="197"/>
      <c r="I659" s="197"/>
      <c r="J659" s="197"/>
      <c r="K659" s="197"/>
      <c r="L659" s="197"/>
      <c r="M659" s="197"/>
      <c r="N659" s="197"/>
      <c r="O659" s="197"/>
      <c r="P659" s="197"/>
      <c r="Q659" s="197"/>
      <c r="R659" s="197"/>
      <c r="S659" s="197"/>
      <c r="T659" s="197"/>
      <c r="U659" s="197"/>
      <c r="V659" s="197"/>
      <c r="W659" s="197"/>
      <c r="X659" s="197"/>
      <c r="Y659" s="197"/>
      <c r="Z659" s="197"/>
      <c r="AA659" s="197"/>
      <c r="AB659" s="197"/>
      <c r="AC659" s="197"/>
      <c r="AD659" s="197"/>
      <c r="AE659" s="197"/>
      <c r="AF659" s="197"/>
      <c r="AG659" s="197"/>
      <c r="AH659" s="197"/>
      <c r="AI659" s="197"/>
      <c r="AJ659" s="201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</row>
    <row r="660" spans="1:63" ht="15" customHeight="1">
      <c r="A660" s="197"/>
      <c r="B660" s="197"/>
      <c r="C660" s="197"/>
      <c r="D660" s="197"/>
      <c r="E660" s="197"/>
      <c r="F660" s="197"/>
      <c r="G660" s="197"/>
      <c r="H660" s="197"/>
      <c r="I660" s="197"/>
      <c r="J660" s="197"/>
      <c r="K660" s="197"/>
      <c r="L660" s="197"/>
      <c r="M660" s="197"/>
      <c r="N660" s="197"/>
      <c r="O660" s="197"/>
      <c r="P660" s="197"/>
      <c r="Q660" s="197"/>
      <c r="R660" s="197"/>
      <c r="S660" s="197"/>
      <c r="T660" s="197"/>
      <c r="U660" s="197"/>
      <c r="V660" s="197"/>
      <c r="W660" s="197"/>
      <c r="X660" s="197"/>
      <c r="Y660" s="197"/>
      <c r="Z660" s="197"/>
      <c r="AA660" s="197"/>
      <c r="AB660" s="197"/>
      <c r="AC660" s="197"/>
      <c r="AD660" s="197"/>
      <c r="AE660" s="197"/>
      <c r="AF660" s="197"/>
      <c r="AG660" s="197"/>
      <c r="AH660" s="197"/>
      <c r="AI660" s="197"/>
      <c r="AJ660" s="201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</row>
    <row r="661" spans="1:63" ht="15" customHeight="1">
      <c r="A661" s="197"/>
      <c r="B661" s="197"/>
      <c r="C661" s="197"/>
      <c r="D661" s="197"/>
      <c r="E661" s="197"/>
      <c r="F661" s="197"/>
      <c r="G661" s="197"/>
      <c r="H661" s="197"/>
      <c r="I661" s="197"/>
      <c r="J661" s="197"/>
      <c r="K661" s="197"/>
      <c r="L661" s="197"/>
      <c r="M661" s="197"/>
      <c r="N661" s="197"/>
      <c r="O661" s="197"/>
      <c r="P661" s="197"/>
      <c r="Q661" s="197"/>
      <c r="R661" s="197"/>
      <c r="S661" s="197"/>
      <c r="T661" s="197"/>
      <c r="U661" s="197"/>
      <c r="V661" s="197"/>
      <c r="W661" s="197"/>
      <c r="X661" s="197"/>
      <c r="Y661" s="197"/>
      <c r="Z661" s="197"/>
      <c r="AA661" s="197"/>
      <c r="AB661" s="197"/>
      <c r="AC661" s="197"/>
      <c r="AD661" s="197"/>
      <c r="AE661" s="197"/>
      <c r="AF661" s="197"/>
      <c r="AG661" s="197"/>
      <c r="AH661" s="197"/>
      <c r="AI661" s="197"/>
      <c r="AJ661" s="201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  <c r="BK661" s="33"/>
    </row>
    <row r="662" spans="1:63" ht="15" customHeight="1">
      <c r="A662" s="197"/>
      <c r="B662" s="197"/>
      <c r="C662" s="197"/>
      <c r="D662" s="197"/>
      <c r="E662" s="197"/>
      <c r="F662" s="197"/>
      <c r="G662" s="197"/>
      <c r="H662" s="197"/>
      <c r="I662" s="197"/>
      <c r="J662" s="197"/>
      <c r="K662" s="197"/>
      <c r="L662" s="197"/>
      <c r="M662" s="197"/>
      <c r="N662" s="197"/>
      <c r="O662" s="197"/>
      <c r="P662" s="197"/>
      <c r="Q662" s="197"/>
      <c r="R662" s="197"/>
      <c r="S662" s="197"/>
      <c r="T662" s="197"/>
      <c r="U662" s="197"/>
      <c r="V662" s="197"/>
      <c r="W662" s="197"/>
      <c r="X662" s="197"/>
      <c r="Y662" s="197"/>
      <c r="Z662" s="197"/>
      <c r="AA662" s="197"/>
      <c r="AB662" s="197"/>
      <c r="AC662" s="197"/>
      <c r="AD662" s="197"/>
      <c r="AE662" s="197"/>
      <c r="AF662" s="197"/>
      <c r="AG662" s="197"/>
      <c r="AH662" s="197"/>
      <c r="AI662" s="197"/>
      <c r="AJ662" s="201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</row>
    <row r="663" spans="1:63" ht="15" customHeight="1">
      <c r="A663" s="197"/>
      <c r="B663" s="197"/>
      <c r="C663" s="197"/>
      <c r="D663" s="197"/>
      <c r="E663" s="197"/>
      <c r="F663" s="197"/>
      <c r="G663" s="197"/>
      <c r="H663" s="197"/>
      <c r="I663" s="197"/>
      <c r="J663" s="197"/>
      <c r="K663" s="197"/>
      <c r="L663" s="197"/>
      <c r="M663" s="197"/>
      <c r="N663" s="197"/>
      <c r="O663" s="197"/>
      <c r="P663" s="197"/>
      <c r="Q663" s="197"/>
      <c r="R663" s="197"/>
      <c r="S663" s="197"/>
      <c r="T663" s="197"/>
      <c r="U663" s="197"/>
      <c r="V663" s="197"/>
      <c r="W663" s="197"/>
      <c r="X663" s="197"/>
      <c r="Y663" s="197"/>
      <c r="Z663" s="197"/>
      <c r="AA663" s="197"/>
      <c r="AB663" s="197"/>
      <c r="AC663" s="197"/>
      <c r="AD663" s="197"/>
      <c r="AE663" s="197"/>
      <c r="AF663" s="197"/>
      <c r="AG663" s="197"/>
      <c r="AH663" s="197"/>
      <c r="AI663" s="197"/>
      <c r="AJ663" s="201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</row>
    <row r="664" spans="1:63" ht="15" customHeight="1">
      <c r="A664" s="197"/>
      <c r="B664" s="197"/>
      <c r="C664" s="197"/>
      <c r="D664" s="197"/>
      <c r="E664" s="197"/>
      <c r="F664" s="197"/>
      <c r="G664" s="197"/>
      <c r="H664" s="197"/>
      <c r="I664" s="197"/>
      <c r="J664" s="197"/>
      <c r="K664" s="197"/>
      <c r="L664" s="197"/>
      <c r="M664" s="197"/>
      <c r="N664" s="197"/>
      <c r="O664" s="197"/>
      <c r="P664" s="197"/>
      <c r="Q664" s="197"/>
      <c r="R664" s="197"/>
      <c r="S664" s="197"/>
      <c r="T664" s="197"/>
      <c r="U664" s="197"/>
      <c r="V664" s="197"/>
      <c r="W664" s="197"/>
      <c r="X664" s="197"/>
      <c r="Y664" s="197"/>
      <c r="Z664" s="197"/>
      <c r="AA664" s="197"/>
      <c r="AB664" s="197"/>
      <c r="AC664" s="197"/>
      <c r="AD664" s="197"/>
      <c r="AE664" s="197"/>
      <c r="AF664" s="197"/>
      <c r="AG664" s="197"/>
      <c r="AH664" s="197"/>
      <c r="AI664" s="197"/>
      <c r="AJ664" s="201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</row>
    <row r="665" spans="1:63" ht="15" customHeight="1">
      <c r="A665" s="197"/>
      <c r="B665" s="197"/>
      <c r="C665" s="197"/>
      <c r="D665" s="197"/>
      <c r="E665" s="197"/>
      <c r="F665" s="197"/>
      <c r="G665" s="197"/>
      <c r="H665" s="197"/>
      <c r="I665" s="197"/>
      <c r="J665" s="197"/>
      <c r="K665" s="197"/>
      <c r="L665" s="197"/>
      <c r="M665" s="197"/>
      <c r="N665" s="197"/>
      <c r="O665" s="197"/>
      <c r="P665" s="197"/>
      <c r="Q665" s="197"/>
      <c r="R665" s="197"/>
      <c r="S665" s="197"/>
      <c r="T665" s="197"/>
      <c r="U665" s="197"/>
      <c r="V665" s="197"/>
      <c r="W665" s="197"/>
      <c r="X665" s="197"/>
      <c r="Y665" s="197"/>
      <c r="Z665" s="197"/>
      <c r="AA665" s="197"/>
      <c r="AB665" s="197"/>
      <c r="AC665" s="197"/>
      <c r="AD665" s="197"/>
      <c r="AE665" s="197"/>
      <c r="AF665" s="197"/>
      <c r="AG665" s="197"/>
      <c r="AH665" s="197"/>
      <c r="AI665" s="197"/>
      <c r="AJ665" s="201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</row>
    <row r="666" spans="1:63" ht="15" customHeight="1">
      <c r="A666" s="197"/>
      <c r="B666" s="197"/>
      <c r="C666" s="197"/>
      <c r="D666" s="197"/>
      <c r="E666" s="197"/>
      <c r="F666" s="197"/>
      <c r="G666" s="197"/>
      <c r="H666" s="197"/>
      <c r="I666" s="197"/>
      <c r="J666" s="197"/>
      <c r="K666" s="197"/>
      <c r="L666" s="197"/>
      <c r="M666" s="197"/>
      <c r="N666" s="197"/>
      <c r="O666" s="197"/>
      <c r="P666" s="197"/>
      <c r="Q666" s="197"/>
      <c r="R666" s="197"/>
      <c r="S666" s="197"/>
      <c r="T666" s="197"/>
      <c r="U666" s="197"/>
      <c r="V666" s="197"/>
      <c r="W666" s="197"/>
      <c r="X666" s="197"/>
      <c r="Y666" s="197"/>
      <c r="Z666" s="197"/>
      <c r="AA666" s="197"/>
      <c r="AB666" s="197"/>
      <c r="AC666" s="197"/>
      <c r="AD666" s="197"/>
      <c r="AE666" s="197"/>
      <c r="AF666" s="197"/>
      <c r="AG666" s="197"/>
      <c r="AH666" s="197"/>
      <c r="AI666" s="197"/>
      <c r="AJ666" s="201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</row>
    <row r="667" spans="1:63" ht="15" customHeight="1">
      <c r="A667" s="197"/>
      <c r="B667" s="197"/>
      <c r="C667" s="197"/>
      <c r="D667" s="197"/>
      <c r="E667" s="197"/>
      <c r="F667" s="197"/>
      <c r="G667" s="197"/>
      <c r="H667" s="197"/>
      <c r="I667" s="197"/>
      <c r="J667" s="197"/>
      <c r="K667" s="197"/>
      <c r="L667" s="197"/>
      <c r="M667" s="197"/>
      <c r="N667" s="197"/>
      <c r="O667" s="197"/>
      <c r="P667" s="197"/>
      <c r="Q667" s="197"/>
      <c r="R667" s="197"/>
      <c r="S667" s="197"/>
      <c r="T667" s="197"/>
      <c r="U667" s="197"/>
      <c r="V667" s="197"/>
      <c r="W667" s="197"/>
      <c r="X667" s="197"/>
      <c r="Y667" s="197"/>
      <c r="Z667" s="197"/>
      <c r="AA667" s="197"/>
      <c r="AB667" s="197"/>
      <c r="AC667" s="197"/>
      <c r="AD667" s="197"/>
      <c r="AE667" s="197"/>
      <c r="AF667" s="197"/>
      <c r="AG667" s="197"/>
      <c r="AH667" s="197"/>
      <c r="AI667" s="197"/>
      <c r="AJ667" s="201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</row>
    <row r="668" spans="1:63" ht="15" customHeight="1">
      <c r="A668" s="197"/>
      <c r="B668" s="197"/>
      <c r="C668" s="197"/>
      <c r="D668" s="197"/>
      <c r="E668" s="197"/>
      <c r="F668" s="197"/>
      <c r="G668" s="197"/>
      <c r="H668" s="197"/>
      <c r="I668" s="197"/>
      <c r="J668" s="197"/>
      <c r="K668" s="197"/>
      <c r="L668" s="197"/>
      <c r="M668" s="197"/>
      <c r="N668" s="197"/>
      <c r="O668" s="197"/>
      <c r="P668" s="197"/>
      <c r="Q668" s="197"/>
      <c r="R668" s="197"/>
      <c r="S668" s="197"/>
      <c r="T668" s="197"/>
      <c r="U668" s="197"/>
      <c r="V668" s="197"/>
      <c r="W668" s="197"/>
      <c r="X668" s="197"/>
      <c r="Y668" s="197"/>
      <c r="Z668" s="197"/>
      <c r="AA668" s="197"/>
      <c r="AB668" s="197"/>
      <c r="AC668" s="197"/>
      <c r="AD668" s="197"/>
      <c r="AE668" s="197"/>
      <c r="AF668" s="197"/>
      <c r="AG668" s="197"/>
      <c r="AH668" s="197"/>
      <c r="AI668" s="197"/>
      <c r="AJ668" s="201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</row>
    <row r="669" spans="1:63" ht="15" customHeight="1">
      <c r="A669" s="197"/>
      <c r="B669" s="197"/>
      <c r="C669" s="197"/>
      <c r="D669" s="197"/>
      <c r="E669" s="197"/>
      <c r="F669" s="197"/>
      <c r="G669" s="197"/>
      <c r="H669" s="197"/>
      <c r="I669" s="197"/>
      <c r="J669" s="197"/>
      <c r="K669" s="197"/>
      <c r="L669" s="197"/>
      <c r="M669" s="197"/>
      <c r="N669" s="197"/>
      <c r="O669" s="197"/>
      <c r="P669" s="197"/>
      <c r="Q669" s="197"/>
      <c r="R669" s="197"/>
      <c r="S669" s="197"/>
      <c r="T669" s="197"/>
      <c r="U669" s="197"/>
      <c r="V669" s="197"/>
      <c r="W669" s="197"/>
      <c r="X669" s="197"/>
      <c r="Y669" s="197"/>
      <c r="Z669" s="197"/>
      <c r="AA669" s="197"/>
      <c r="AB669" s="197"/>
      <c r="AC669" s="197"/>
      <c r="AD669" s="197"/>
      <c r="AE669" s="197"/>
      <c r="AF669" s="197"/>
      <c r="AG669" s="197"/>
      <c r="AH669" s="197"/>
      <c r="AI669" s="197"/>
      <c r="AJ669" s="201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</row>
    <row r="670" spans="1:63" ht="15" customHeight="1">
      <c r="A670" s="197"/>
      <c r="B670" s="197"/>
      <c r="C670" s="197"/>
      <c r="D670" s="197"/>
      <c r="E670" s="197"/>
      <c r="F670" s="197"/>
      <c r="G670" s="197"/>
      <c r="H670" s="197"/>
      <c r="I670" s="197"/>
      <c r="J670" s="197"/>
      <c r="K670" s="197"/>
      <c r="L670" s="197"/>
      <c r="M670" s="197"/>
      <c r="N670" s="197"/>
      <c r="O670" s="197"/>
      <c r="P670" s="197"/>
      <c r="Q670" s="197"/>
      <c r="R670" s="197"/>
      <c r="S670" s="197"/>
      <c r="T670" s="197"/>
      <c r="U670" s="197"/>
      <c r="V670" s="197"/>
      <c r="W670" s="197"/>
      <c r="X670" s="197"/>
      <c r="Y670" s="197"/>
      <c r="Z670" s="197"/>
      <c r="AA670" s="197"/>
      <c r="AB670" s="197"/>
      <c r="AC670" s="197"/>
      <c r="AD670" s="197"/>
      <c r="AE670" s="197"/>
      <c r="AF670" s="197"/>
      <c r="AG670" s="197"/>
      <c r="AH670" s="197"/>
      <c r="AI670" s="197"/>
      <c r="AJ670" s="201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</row>
    <row r="671" spans="1:63" ht="15" customHeight="1">
      <c r="A671" s="197"/>
      <c r="B671" s="197"/>
      <c r="C671" s="197"/>
      <c r="D671" s="197"/>
      <c r="E671" s="197"/>
      <c r="F671" s="197"/>
      <c r="G671" s="197"/>
      <c r="H671" s="197"/>
      <c r="I671" s="197"/>
      <c r="J671" s="197"/>
      <c r="K671" s="197"/>
      <c r="L671" s="197"/>
      <c r="M671" s="197"/>
      <c r="N671" s="197"/>
      <c r="O671" s="197"/>
      <c r="P671" s="197"/>
      <c r="Q671" s="197"/>
      <c r="R671" s="197"/>
      <c r="S671" s="197"/>
      <c r="T671" s="197"/>
      <c r="U671" s="197"/>
      <c r="V671" s="197"/>
      <c r="W671" s="197"/>
      <c r="X671" s="197"/>
      <c r="Y671" s="197"/>
      <c r="Z671" s="197"/>
      <c r="AA671" s="197"/>
      <c r="AB671" s="197"/>
      <c r="AC671" s="197"/>
      <c r="AD671" s="197"/>
      <c r="AE671" s="197"/>
      <c r="AF671" s="197"/>
      <c r="AG671" s="197"/>
      <c r="AH671" s="197"/>
      <c r="AI671" s="197"/>
      <c r="AJ671" s="201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</row>
    <row r="672" spans="1:63" ht="15" customHeight="1">
      <c r="A672" s="197"/>
      <c r="B672" s="197"/>
      <c r="C672" s="197"/>
      <c r="D672" s="197"/>
      <c r="E672" s="197"/>
      <c r="F672" s="197"/>
      <c r="G672" s="197"/>
      <c r="H672" s="197"/>
      <c r="I672" s="197"/>
      <c r="J672" s="197"/>
      <c r="K672" s="197"/>
      <c r="L672" s="197"/>
      <c r="M672" s="197"/>
      <c r="N672" s="197"/>
      <c r="O672" s="197"/>
      <c r="P672" s="197"/>
      <c r="Q672" s="197"/>
      <c r="R672" s="197"/>
      <c r="S672" s="197"/>
      <c r="T672" s="197"/>
      <c r="U672" s="197"/>
      <c r="V672" s="197"/>
      <c r="W672" s="197"/>
      <c r="X672" s="197"/>
      <c r="Y672" s="197"/>
      <c r="Z672" s="197"/>
      <c r="AA672" s="197"/>
      <c r="AB672" s="197"/>
      <c r="AC672" s="197"/>
      <c r="AD672" s="197"/>
      <c r="AE672" s="197"/>
      <c r="AF672" s="197"/>
      <c r="AG672" s="197"/>
      <c r="AH672" s="197"/>
      <c r="AI672" s="197"/>
      <c r="AJ672" s="201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</row>
    <row r="673" spans="1:63" ht="15" customHeight="1">
      <c r="A673" s="197"/>
      <c r="B673" s="197"/>
      <c r="C673" s="197"/>
      <c r="D673" s="197"/>
      <c r="E673" s="197"/>
      <c r="F673" s="197"/>
      <c r="G673" s="197"/>
      <c r="H673" s="197"/>
      <c r="I673" s="197"/>
      <c r="J673" s="197"/>
      <c r="K673" s="197"/>
      <c r="L673" s="197"/>
      <c r="M673" s="197"/>
      <c r="N673" s="197"/>
      <c r="O673" s="197"/>
      <c r="P673" s="197"/>
      <c r="Q673" s="197"/>
      <c r="R673" s="197"/>
      <c r="S673" s="197"/>
      <c r="T673" s="197"/>
      <c r="U673" s="197"/>
      <c r="V673" s="197"/>
      <c r="W673" s="197"/>
      <c r="X673" s="197"/>
      <c r="Y673" s="197"/>
      <c r="Z673" s="197"/>
      <c r="AA673" s="197"/>
      <c r="AB673" s="197"/>
      <c r="AC673" s="197"/>
      <c r="AD673" s="197"/>
      <c r="AE673" s="197"/>
      <c r="AF673" s="197"/>
      <c r="AG673" s="197"/>
      <c r="AH673" s="197"/>
      <c r="AI673" s="197"/>
      <c r="AJ673" s="201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</row>
    <row r="674" spans="1:63" ht="15" customHeight="1">
      <c r="A674" s="197"/>
      <c r="B674" s="197"/>
      <c r="C674" s="197"/>
      <c r="D674" s="197"/>
      <c r="E674" s="197"/>
      <c r="F674" s="197"/>
      <c r="G674" s="197"/>
      <c r="H674" s="197"/>
      <c r="I674" s="197"/>
      <c r="J674" s="197"/>
      <c r="K674" s="197"/>
      <c r="L674" s="197"/>
      <c r="M674" s="197"/>
      <c r="N674" s="197"/>
      <c r="O674" s="197"/>
      <c r="P674" s="197"/>
      <c r="Q674" s="197"/>
      <c r="R674" s="197"/>
      <c r="S674" s="197"/>
      <c r="T674" s="197"/>
      <c r="U674" s="197"/>
      <c r="V674" s="197"/>
      <c r="W674" s="197"/>
      <c r="X674" s="197"/>
      <c r="Y674" s="197"/>
      <c r="Z674" s="197"/>
      <c r="AA674" s="197"/>
      <c r="AB674" s="197"/>
      <c r="AC674" s="197"/>
      <c r="AD674" s="197"/>
      <c r="AE674" s="197"/>
      <c r="AF674" s="197"/>
      <c r="AG674" s="197"/>
      <c r="AH674" s="197"/>
      <c r="AI674" s="197"/>
      <c r="AJ674" s="201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</row>
    <row r="675" spans="1:63" ht="15" customHeight="1">
      <c r="A675" s="197"/>
      <c r="B675" s="197"/>
      <c r="C675" s="197"/>
      <c r="D675" s="197"/>
      <c r="E675" s="197"/>
      <c r="F675" s="197"/>
      <c r="G675" s="197"/>
      <c r="H675" s="197"/>
      <c r="I675" s="197"/>
      <c r="J675" s="197"/>
      <c r="K675" s="197"/>
      <c r="L675" s="197"/>
      <c r="M675" s="197"/>
      <c r="N675" s="197"/>
      <c r="O675" s="197"/>
      <c r="P675" s="197"/>
      <c r="Q675" s="197"/>
      <c r="R675" s="197"/>
      <c r="S675" s="197"/>
      <c r="T675" s="197"/>
      <c r="U675" s="197"/>
      <c r="V675" s="197"/>
      <c r="W675" s="197"/>
      <c r="X675" s="197"/>
      <c r="Y675" s="197"/>
      <c r="Z675" s="197"/>
      <c r="AA675" s="197"/>
      <c r="AB675" s="197"/>
      <c r="AC675" s="197"/>
      <c r="AD675" s="197"/>
      <c r="AE675" s="197"/>
      <c r="AF675" s="197"/>
      <c r="AG675" s="197"/>
      <c r="AH675" s="197"/>
      <c r="AI675" s="197"/>
      <c r="AJ675" s="201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</row>
    <row r="676" spans="1:63" ht="15" customHeight="1">
      <c r="A676" s="197"/>
      <c r="B676" s="197"/>
      <c r="C676" s="197"/>
      <c r="D676" s="197"/>
      <c r="E676" s="197"/>
      <c r="F676" s="197"/>
      <c r="G676" s="197"/>
      <c r="H676" s="197"/>
      <c r="I676" s="197"/>
      <c r="J676" s="197"/>
      <c r="K676" s="197"/>
      <c r="L676" s="197"/>
      <c r="M676" s="197"/>
      <c r="N676" s="197"/>
      <c r="O676" s="197"/>
      <c r="P676" s="197"/>
      <c r="Q676" s="197"/>
      <c r="R676" s="197"/>
      <c r="S676" s="197"/>
      <c r="T676" s="197"/>
      <c r="U676" s="197"/>
      <c r="V676" s="197"/>
      <c r="W676" s="197"/>
      <c r="X676" s="197"/>
      <c r="Y676" s="197"/>
      <c r="Z676" s="197"/>
      <c r="AA676" s="197"/>
      <c r="AB676" s="197"/>
      <c r="AC676" s="197"/>
      <c r="AD676" s="197"/>
      <c r="AE676" s="197"/>
      <c r="AF676" s="197"/>
      <c r="AG676" s="197"/>
      <c r="AH676" s="197"/>
      <c r="AI676" s="197"/>
      <c r="AJ676" s="201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</row>
    <row r="677" spans="1:63" ht="15" customHeight="1">
      <c r="A677" s="197"/>
      <c r="B677" s="197"/>
      <c r="C677" s="197"/>
      <c r="D677" s="197"/>
      <c r="E677" s="197"/>
      <c r="F677" s="197"/>
      <c r="G677" s="197"/>
      <c r="H677" s="197"/>
      <c r="I677" s="197"/>
      <c r="J677" s="197"/>
      <c r="K677" s="197"/>
      <c r="L677" s="197"/>
      <c r="M677" s="197"/>
      <c r="N677" s="197"/>
      <c r="O677" s="197"/>
      <c r="P677" s="197"/>
      <c r="Q677" s="197"/>
      <c r="R677" s="197"/>
      <c r="S677" s="197"/>
      <c r="T677" s="197"/>
      <c r="U677" s="197"/>
      <c r="V677" s="197"/>
      <c r="W677" s="197"/>
      <c r="X677" s="197"/>
      <c r="Y677" s="197"/>
      <c r="Z677" s="197"/>
      <c r="AA677" s="197"/>
      <c r="AB677" s="197"/>
      <c r="AC677" s="197"/>
      <c r="AD677" s="197"/>
      <c r="AE677" s="197"/>
      <c r="AF677" s="197"/>
      <c r="AG677" s="197"/>
      <c r="AH677" s="197"/>
      <c r="AI677" s="197"/>
      <c r="AJ677" s="201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</row>
    <row r="678" spans="1:63" ht="15" customHeight="1">
      <c r="A678" s="197"/>
      <c r="B678" s="197"/>
      <c r="C678" s="197"/>
      <c r="D678" s="197"/>
      <c r="E678" s="197"/>
      <c r="F678" s="197"/>
      <c r="G678" s="197"/>
      <c r="H678" s="197"/>
      <c r="I678" s="197"/>
      <c r="J678" s="197"/>
      <c r="K678" s="197"/>
      <c r="L678" s="197"/>
      <c r="M678" s="197"/>
      <c r="N678" s="197"/>
      <c r="O678" s="197"/>
      <c r="P678" s="197"/>
      <c r="Q678" s="197"/>
      <c r="R678" s="197"/>
      <c r="S678" s="197"/>
      <c r="T678" s="197"/>
      <c r="U678" s="197"/>
      <c r="V678" s="197"/>
      <c r="W678" s="197"/>
      <c r="X678" s="197"/>
      <c r="Y678" s="197"/>
      <c r="Z678" s="197"/>
      <c r="AA678" s="197"/>
      <c r="AB678" s="197"/>
      <c r="AC678" s="197"/>
      <c r="AD678" s="197"/>
      <c r="AE678" s="197"/>
      <c r="AF678" s="197"/>
      <c r="AG678" s="197"/>
      <c r="AH678" s="197"/>
      <c r="AI678" s="197"/>
      <c r="AJ678" s="201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</row>
    <row r="679" spans="1:63" ht="15" customHeight="1">
      <c r="A679" s="197"/>
      <c r="B679" s="197"/>
      <c r="C679" s="197"/>
      <c r="D679" s="197"/>
      <c r="E679" s="197"/>
      <c r="F679" s="197"/>
      <c r="G679" s="197"/>
      <c r="H679" s="197"/>
      <c r="I679" s="197"/>
      <c r="J679" s="197"/>
      <c r="K679" s="197"/>
      <c r="L679" s="197"/>
      <c r="M679" s="197"/>
      <c r="N679" s="197"/>
      <c r="O679" s="197"/>
      <c r="P679" s="197"/>
      <c r="Q679" s="197"/>
      <c r="R679" s="197"/>
      <c r="S679" s="197"/>
      <c r="T679" s="197"/>
      <c r="U679" s="197"/>
      <c r="V679" s="197"/>
      <c r="W679" s="197"/>
      <c r="X679" s="197"/>
      <c r="Y679" s="197"/>
      <c r="Z679" s="197"/>
      <c r="AA679" s="197"/>
      <c r="AB679" s="197"/>
      <c r="AC679" s="197"/>
      <c r="AD679" s="197"/>
      <c r="AE679" s="197"/>
      <c r="AF679" s="197"/>
      <c r="AG679" s="197"/>
      <c r="AH679" s="197"/>
      <c r="AI679" s="197"/>
      <c r="AJ679" s="201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</row>
    <row r="680" spans="1:63" ht="15" customHeight="1">
      <c r="A680" s="197"/>
      <c r="B680" s="197"/>
      <c r="C680" s="197"/>
      <c r="D680" s="197"/>
      <c r="E680" s="197"/>
      <c r="F680" s="197"/>
      <c r="G680" s="197"/>
      <c r="H680" s="197"/>
      <c r="I680" s="197"/>
      <c r="J680" s="197"/>
      <c r="K680" s="197"/>
      <c r="L680" s="197"/>
      <c r="M680" s="197"/>
      <c r="N680" s="197"/>
      <c r="O680" s="197"/>
      <c r="P680" s="197"/>
      <c r="Q680" s="197"/>
      <c r="R680" s="197"/>
      <c r="S680" s="197"/>
      <c r="T680" s="197"/>
      <c r="U680" s="197"/>
      <c r="V680" s="197"/>
      <c r="W680" s="197"/>
      <c r="X680" s="197"/>
      <c r="Y680" s="197"/>
      <c r="Z680" s="197"/>
      <c r="AA680" s="197"/>
      <c r="AB680" s="197"/>
      <c r="AC680" s="197"/>
      <c r="AD680" s="197"/>
      <c r="AE680" s="197"/>
      <c r="AF680" s="197"/>
      <c r="AG680" s="197"/>
      <c r="AH680" s="197"/>
      <c r="AI680" s="197"/>
      <c r="AJ680" s="201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</row>
    <row r="681" spans="1:63" ht="15" customHeight="1">
      <c r="A681" s="197"/>
      <c r="B681" s="197"/>
      <c r="C681" s="197"/>
      <c r="D681" s="197"/>
      <c r="E681" s="197"/>
      <c r="F681" s="197"/>
      <c r="G681" s="197"/>
      <c r="H681" s="197"/>
      <c r="I681" s="197"/>
      <c r="J681" s="197"/>
      <c r="K681" s="197"/>
      <c r="L681" s="197"/>
      <c r="M681" s="197"/>
      <c r="N681" s="197"/>
      <c r="O681" s="197"/>
      <c r="P681" s="197"/>
      <c r="Q681" s="197"/>
      <c r="R681" s="197"/>
      <c r="S681" s="197"/>
      <c r="T681" s="197"/>
      <c r="U681" s="197"/>
      <c r="V681" s="197"/>
      <c r="W681" s="197"/>
      <c r="X681" s="197"/>
      <c r="Y681" s="197"/>
      <c r="Z681" s="197"/>
      <c r="AA681" s="197"/>
      <c r="AB681" s="197"/>
      <c r="AC681" s="197"/>
      <c r="AD681" s="197"/>
      <c r="AE681" s="197"/>
      <c r="AF681" s="197"/>
      <c r="AG681" s="197"/>
      <c r="AH681" s="197"/>
      <c r="AI681" s="197"/>
      <c r="AJ681" s="201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</row>
    <row r="682" spans="1:63" ht="15" customHeight="1">
      <c r="A682" s="197"/>
      <c r="B682" s="197"/>
      <c r="C682" s="197"/>
      <c r="D682" s="197"/>
      <c r="E682" s="197"/>
      <c r="F682" s="197"/>
      <c r="G682" s="197"/>
      <c r="H682" s="197"/>
      <c r="I682" s="197"/>
      <c r="J682" s="197"/>
      <c r="K682" s="197"/>
      <c r="L682" s="197"/>
      <c r="M682" s="197"/>
      <c r="N682" s="197"/>
      <c r="O682" s="197"/>
      <c r="P682" s="197"/>
      <c r="Q682" s="197"/>
      <c r="R682" s="197"/>
      <c r="S682" s="197"/>
      <c r="T682" s="197"/>
      <c r="U682" s="197"/>
      <c r="V682" s="197"/>
      <c r="W682" s="197"/>
      <c r="X682" s="197"/>
      <c r="Y682" s="197"/>
      <c r="Z682" s="197"/>
      <c r="AA682" s="197"/>
      <c r="AB682" s="197"/>
      <c r="AC682" s="197"/>
      <c r="AD682" s="197"/>
      <c r="AE682" s="197"/>
      <c r="AF682" s="197"/>
      <c r="AG682" s="197"/>
      <c r="AH682" s="197"/>
      <c r="AI682" s="197"/>
      <c r="AJ682" s="201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</row>
    <row r="683" spans="1:63" ht="15" customHeight="1">
      <c r="A683" s="197"/>
      <c r="B683" s="197"/>
      <c r="C683" s="197"/>
      <c r="D683" s="197"/>
      <c r="E683" s="197"/>
      <c r="F683" s="197"/>
      <c r="G683" s="197"/>
      <c r="H683" s="197"/>
      <c r="I683" s="197"/>
      <c r="J683" s="197"/>
      <c r="K683" s="197"/>
      <c r="L683" s="197"/>
      <c r="M683" s="197"/>
      <c r="N683" s="197"/>
      <c r="O683" s="197"/>
      <c r="P683" s="197"/>
      <c r="Q683" s="197"/>
      <c r="R683" s="197"/>
      <c r="S683" s="197"/>
      <c r="T683" s="197"/>
      <c r="U683" s="197"/>
      <c r="V683" s="197"/>
      <c r="W683" s="197"/>
      <c r="X683" s="197"/>
      <c r="Y683" s="197"/>
      <c r="Z683" s="197"/>
      <c r="AA683" s="197"/>
      <c r="AB683" s="197"/>
      <c r="AC683" s="197"/>
      <c r="AD683" s="197"/>
      <c r="AE683" s="197"/>
      <c r="AF683" s="197"/>
      <c r="AG683" s="197"/>
      <c r="AH683" s="197"/>
      <c r="AI683" s="197"/>
      <c r="AJ683" s="201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  <c r="BK683" s="33"/>
    </row>
    <row r="684" spans="1:63" ht="15" customHeight="1">
      <c r="A684" s="197"/>
      <c r="B684" s="197"/>
      <c r="C684" s="197"/>
      <c r="D684" s="197"/>
      <c r="E684" s="197"/>
      <c r="F684" s="197"/>
      <c r="G684" s="197"/>
      <c r="H684" s="197"/>
      <c r="I684" s="197"/>
      <c r="J684" s="197"/>
      <c r="K684" s="197"/>
      <c r="L684" s="197"/>
      <c r="M684" s="197"/>
      <c r="N684" s="197"/>
      <c r="O684" s="197"/>
      <c r="P684" s="197"/>
      <c r="Q684" s="197"/>
      <c r="R684" s="197"/>
      <c r="S684" s="197"/>
      <c r="T684" s="197"/>
      <c r="U684" s="197"/>
      <c r="V684" s="197"/>
      <c r="W684" s="197"/>
      <c r="X684" s="197"/>
      <c r="Y684" s="197"/>
      <c r="Z684" s="197"/>
      <c r="AA684" s="197"/>
      <c r="AB684" s="197"/>
      <c r="AC684" s="197"/>
      <c r="AD684" s="197"/>
      <c r="AE684" s="197"/>
      <c r="AF684" s="197"/>
      <c r="AG684" s="197"/>
      <c r="AH684" s="197"/>
      <c r="AI684" s="197"/>
      <c r="AJ684" s="201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</row>
    <row r="685" spans="1:63" ht="15" customHeight="1">
      <c r="A685" s="197"/>
      <c r="B685" s="197"/>
      <c r="C685" s="197"/>
      <c r="D685" s="197"/>
      <c r="E685" s="197"/>
      <c r="F685" s="197"/>
      <c r="G685" s="197"/>
      <c r="H685" s="197"/>
      <c r="I685" s="197"/>
      <c r="J685" s="197"/>
      <c r="K685" s="197"/>
      <c r="L685" s="197"/>
      <c r="M685" s="197"/>
      <c r="N685" s="197"/>
      <c r="O685" s="197"/>
      <c r="P685" s="197"/>
      <c r="Q685" s="197"/>
      <c r="R685" s="197"/>
      <c r="S685" s="197"/>
      <c r="T685" s="197"/>
      <c r="U685" s="197"/>
      <c r="V685" s="197"/>
      <c r="W685" s="197"/>
      <c r="X685" s="197"/>
      <c r="Y685" s="197"/>
      <c r="Z685" s="197"/>
      <c r="AA685" s="197"/>
      <c r="AB685" s="197"/>
      <c r="AC685" s="197"/>
      <c r="AD685" s="197"/>
      <c r="AE685" s="197"/>
      <c r="AF685" s="197"/>
      <c r="AG685" s="197"/>
      <c r="AH685" s="197"/>
      <c r="AI685" s="197"/>
      <c r="AJ685" s="201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  <c r="BK685" s="33"/>
    </row>
    <row r="686" spans="1:63" ht="15" customHeight="1">
      <c r="A686" s="197"/>
      <c r="B686" s="197"/>
      <c r="C686" s="197"/>
      <c r="D686" s="197"/>
      <c r="E686" s="197"/>
      <c r="F686" s="197"/>
      <c r="G686" s="197"/>
      <c r="H686" s="197"/>
      <c r="I686" s="197"/>
      <c r="J686" s="197"/>
      <c r="K686" s="197"/>
      <c r="L686" s="197"/>
      <c r="M686" s="197"/>
      <c r="N686" s="197"/>
      <c r="O686" s="197"/>
      <c r="P686" s="197"/>
      <c r="Q686" s="197"/>
      <c r="R686" s="197"/>
      <c r="S686" s="197"/>
      <c r="T686" s="197"/>
      <c r="U686" s="197"/>
      <c r="V686" s="197"/>
      <c r="W686" s="197"/>
      <c r="X686" s="197"/>
      <c r="Y686" s="197"/>
      <c r="Z686" s="197"/>
      <c r="AA686" s="197"/>
      <c r="AB686" s="197"/>
      <c r="AC686" s="197"/>
      <c r="AD686" s="197"/>
      <c r="AE686" s="197"/>
      <c r="AF686" s="197"/>
      <c r="AG686" s="197"/>
      <c r="AH686" s="197"/>
      <c r="AI686" s="197"/>
      <c r="AJ686" s="201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</row>
    <row r="687" spans="1:63" ht="15" customHeight="1">
      <c r="A687" s="197"/>
      <c r="B687" s="197"/>
      <c r="C687" s="197"/>
      <c r="D687" s="197"/>
      <c r="E687" s="197"/>
      <c r="F687" s="197"/>
      <c r="G687" s="197"/>
      <c r="H687" s="197"/>
      <c r="I687" s="197"/>
      <c r="J687" s="197"/>
      <c r="K687" s="197"/>
      <c r="L687" s="197"/>
      <c r="M687" s="197"/>
      <c r="N687" s="197"/>
      <c r="O687" s="197"/>
      <c r="P687" s="197"/>
      <c r="Q687" s="197"/>
      <c r="R687" s="197"/>
      <c r="S687" s="197"/>
      <c r="T687" s="197"/>
      <c r="U687" s="197"/>
      <c r="V687" s="197"/>
      <c r="W687" s="197"/>
      <c r="X687" s="197"/>
      <c r="Y687" s="197"/>
      <c r="Z687" s="197"/>
      <c r="AA687" s="197"/>
      <c r="AB687" s="197"/>
      <c r="AC687" s="197"/>
      <c r="AD687" s="197"/>
      <c r="AE687" s="197"/>
      <c r="AF687" s="197"/>
      <c r="AG687" s="197"/>
      <c r="AH687" s="197"/>
      <c r="AI687" s="197"/>
      <c r="AJ687" s="201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</row>
    <row r="688" spans="1:63" ht="15" customHeight="1">
      <c r="A688" s="197"/>
      <c r="B688" s="197"/>
      <c r="C688" s="197"/>
      <c r="D688" s="197"/>
      <c r="E688" s="197"/>
      <c r="F688" s="197"/>
      <c r="G688" s="197"/>
      <c r="H688" s="197"/>
      <c r="I688" s="197"/>
      <c r="J688" s="197"/>
      <c r="K688" s="197"/>
      <c r="L688" s="197"/>
      <c r="M688" s="197"/>
      <c r="N688" s="197"/>
      <c r="O688" s="197"/>
      <c r="P688" s="197"/>
      <c r="Q688" s="197"/>
      <c r="R688" s="197"/>
      <c r="S688" s="197"/>
      <c r="T688" s="197"/>
      <c r="U688" s="197"/>
      <c r="V688" s="197"/>
      <c r="W688" s="197"/>
      <c r="X688" s="197"/>
      <c r="Y688" s="197"/>
      <c r="Z688" s="197"/>
      <c r="AA688" s="197"/>
      <c r="AB688" s="197"/>
      <c r="AC688" s="197"/>
      <c r="AD688" s="197"/>
      <c r="AE688" s="197"/>
      <c r="AF688" s="197"/>
      <c r="AG688" s="197"/>
      <c r="AH688" s="197"/>
      <c r="AI688" s="197"/>
      <c r="AJ688" s="201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</row>
    <row r="689" spans="1:63" ht="15" customHeight="1">
      <c r="A689" s="197"/>
      <c r="B689" s="197"/>
      <c r="C689" s="197"/>
      <c r="D689" s="197"/>
      <c r="E689" s="197"/>
      <c r="F689" s="197"/>
      <c r="G689" s="197"/>
      <c r="H689" s="197"/>
      <c r="I689" s="197"/>
      <c r="J689" s="197"/>
      <c r="K689" s="197"/>
      <c r="L689" s="197"/>
      <c r="M689" s="197"/>
      <c r="N689" s="197"/>
      <c r="O689" s="197"/>
      <c r="P689" s="197"/>
      <c r="Q689" s="197"/>
      <c r="R689" s="197"/>
      <c r="S689" s="197"/>
      <c r="T689" s="197"/>
      <c r="U689" s="197"/>
      <c r="V689" s="197"/>
      <c r="W689" s="197"/>
      <c r="X689" s="197"/>
      <c r="Y689" s="197"/>
      <c r="Z689" s="197"/>
      <c r="AA689" s="197"/>
      <c r="AB689" s="197"/>
      <c r="AC689" s="197"/>
      <c r="AD689" s="197"/>
      <c r="AE689" s="197"/>
      <c r="AF689" s="197"/>
      <c r="AG689" s="197"/>
      <c r="AH689" s="197"/>
      <c r="AI689" s="197"/>
      <c r="AJ689" s="201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  <c r="BK689" s="33"/>
    </row>
    <row r="690" spans="1:63" ht="15" customHeight="1">
      <c r="A690" s="197"/>
      <c r="B690" s="197"/>
      <c r="C690" s="197"/>
      <c r="D690" s="197"/>
      <c r="E690" s="197"/>
      <c r="F690" s="197"/>
      <c r="G690" s="197"/>
      <c r="H690" s="197"/>
      <c r="I690" s="197"/>
      <c r="J690" s="197"/>
      <c r="K690" s="197"/>
      <c r="L690" s="197"/>
      <c r="M690" s="197"/>
      <c r="N690" s="197"/>
      <c r="O690" s="197"/>
      <c r="P690" s="197"/>
      <c r="Q690" s="197"/>
      <c r="R690" s="197"/>
      <c r="S690" s="197"/>
      <c r="T690" s="197"/>
      <c r="U690" s="197"/>
      <c r="V690" s="197"/>
      <c r="W690" s="197"/>
      <c r="X690" s="197"/>
      <c r="Y690" s="197"/>
      <c r="Z690" s="197"/>
      <c r="AA690" s="197"/>
      <c r="AB690" s="197"/>
      <c r="AC690" s="197"/>
      <c r="AD690" s="197"/>
      <c r="AE690" s="197"/>
      <c r="AF690" s="197"/>
      <c r="AG690" s="197"/>
      <c r="AH690" s="197"/>
      <c r="AI690" s="197"/>
      <c r="AJ690" s="201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</row>
    <row r="691" spans="1:63" ht="15" customHeight="1">
      <c r="A691" s="197"/>
      <c r="B691" s="197"/>
      <c r="C691" s="197"/>
      <c r="D691" s="197"/>
      <c r="E691" s="197"/>
      <c r="F691" s="197"/>
      <c r="G691" s="197"/>
      <c r="H691" s="197"/>
      <c r="I691" s="197"/>
      <c r="J691" s="197"/>
      <c r="K691" s="197"/>
      <c r="L691" s="197"/>
      <c r="M691" s="197"/>
      <c r="N691" s="197"/>
      <c r="O691" s="197"/>
      <c r="P691" s="197"/>
      <c r="Q691" s="197"/>
      <c r="R691" s="197"/>
      <c r="S691" s="197"/>
      <c r="T691" s="197"/>
      <c r="U691" s="197"/>
      <c r="V691" s="197"/>
      <c r="W691" s="197"/>
      <c r="X691" s="197"/>
      <c r="Y691" s="197"/>
      <c r="Z691" s="197"/>
      <c r="AA691" s="197"/>
      <c r="AB691" s="197"/>
      <c r="AC691" s="197"/>
      <c r="AD691" s="197"/>
      <c r="AE691" s="197"/>
      <c r="AF691" s="197"/>
      <c r="AG691" s="197"/>
      <c r="AH691" s="197"/>
      <c r="AI691" s="197"/>
      <c r="AJ691" s="201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</row>
    <row r="692" spans="1:63" ht="15" customHeight="1">
      <c r="A692" s="197"/>
      <c r="B692" s="197"/>
      <c r="C692" s="197"/>
      <c r="D692" s="197"/>
      <c r="E692" s="197"/>
      <c r="F692" s="197"/>
      <c r="G692" s="197"/>
      <c r="H692" s="197"/>
      <c r="I692" s="197"/>
      <c r="J692" s="197"/>
      <c r="K692" s="197"/>
      <c r="L692" s="197"/>
      <c r="M692" s="197"/>
      <c r="N692" s="197"/>
      <c r="O692" s="197"/>
      <c r="P692" s="197"/>
      <c r="Q692" s="197"/>
      <c r="R692" s="197"/>
      <c r="S692" s="197"/>
      <c r="T692" s="197"/>
      <c r="U692" s="197"/>
      <c r="V692" s="197"/>
      <c r="W692" s="197"/>
      <c r="X692" s="197"/>
      <c r="Y692" s="197"/>
      <c r="Z692" s="197"/>
      <c r="AA692" s="197"/>
      <c r="AB692" s="197"/>
      <c r="AC692" s="197"/>
      <c r="AD692" s="197"/>
      <c r="AE692" s="197"/>
      <c r="AF692" s="197"/>
      <c r="AG692" s="197"/>
      <c r="AH692" s="197"/>
      <c r="AI692" s="197"/>
      <c r="AJ692" s="201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  <c r="BK692" s="33"/>
    </row>
    <row r="693" spans="1:63" ht="15" customHeight="1">
      <c r="A693" s="197"/>
      <c r="B693" s="197"/>
      <c r="C693" s="197"/>
      <c r="D693" s="197"/>
      <c r="E693" s="197"/>
      <c r="F693" s="197"/>
      <c r="G693" s="197"/>
      <c r="H693" s="197"/>
      <c r="I693" s="197"/>
      <c r="J693" s="197"/>
      <c r="K693" s="197"/>
      <c r="L693" s="197"/>
      <c r="M693" s="197"/>
      <c r="N693" s="197"/>
      <c r="O693" s="197"/>
      <c r="P693" s="197"/>
      <c r="Q693" s="197"/>
      <c r="R693" s="197"/>
      <c r="S693" s="197"/>
      <c r="T693" s="197"/>
      <c r="U693" s="197"/>
      <c r="V693" s="197"/>
      <c r="W693" s="197"/>
      <c r="X693" s="197"/>
      <c r="Y693" s="197"/>
      <c r="Z693" s="197"/>
      <c r="AA693" s="197"/>
      <c r="AB693" s="197"/>
      <c r="AC693" s="197"/>
      <c r="AD693" s="197"/>
      <c r="AE693" s="197"/>
      <c r="AF693" s="197"/>
      <c r="AG693" s="197"/>
      <c r="AH693" s="197"/>
      <c r="AI693" s="197"/>
      <c r="AJ693" s="201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</row>
    <row r="694" spans="1:63" ht="15" customHeight="1">
      <c r="A694" s="197"/>
      <c r="B694" s="197"/>
      <c r="C694" s="197"/>
      <c r="D694" s="197"/>
      <c r="E694" s="197"/>
      <c r="F694" s="197"/>
      <c r="G694" s="197"/>
      <c r="H694" s="197"/>
      <c r="I694" s="197"/>
      <c r="J694" s="197"/>
      <c r="K694" s="197"/>
      <c r="L694" s="197"/>
      <c r="M694" s="197"/>
      <c r="N694" s="197"/>
      <c r="O694" s="197"/>
      <c r="P694" s="197"/>
      <c r="Q694" s="197"/>
      <c r="R694" s="197"/>
      <c r="S694" s="197"/>
      <c r="T694" s="197"/>
      <c r="U694" s="197"/>
      <c r="V694" s="197"/>
      <c r="W694" s="197"/>
      <c r="X694" s="197"/>
      <c r="Y694" s="197"/>
      <c r="Z694" s="197"/>
      <c r="AA694" s="197"/>
      <c r="AB694" s="197"/>
      <c r="AC694" s="197"/>
      <c r="AD694" s="197"/>
      <c r="AE694" s="197"/>
      <c r="AF694" s="197"/>
      <c r="AG694" s="197"/>
      <c r="AH694" s="197"/>
      <c r="AI694" s="197"/>
      <c r="AJ694" s="201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  <c r="BK694" s="33"/>
    </row>
    <row r="695" spans="1:63" ht="15" customHeight="1">
      <c r="A695" s="197"/>
      <c r="B695" s="197"/>
      <c r="C695" s="197"/>
      <c r="D695" s="197"/>
      <c r="E695" s="197"/>
      <c r="F695" s="197"/>
      <c r="G695" s="197"/>
      <c r="H695" s="197"/>
      <c r="I695" s="197"/>
      <c r="J695" s="197"/>
      <c r="K695" s="197"/>
      <c r="L695" s="197"/>
      <c r="M695" s="197"/>
      <c r="N695" s="197"/>
      <c r="O695" s="197"/>
      <c r="P695" s="197"/>
      <c r="Q695" s="197"/>
      <c r="R695" s="197"/>
      <c r="S695" s="197"/>
      <c r="T695" s="197"/>
      <c r="U695" s="197"/>
      <c r="V695" s="197"/>
      <c r="W695" s="197"/>
      <c r="X695" s="197"/>
      <c r="Y695" s="197"/>
      <c r="Z695" s="197"/>
      <c r="AA695" s="197"/>
      <c r="AB695" s="197"/>
      <c r="AC695" s="197"/>
      <c r="AD695" s="197"/>
      <c r="AE695" s="197"/>
      <c r="AF695" s="197"/>
      <c r="AG695" s="197"/>
      <c r="AH695" s="197"/>
      <c r="AI695" s="197"/>
      <c r="AJ695" s="201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</row>
    <row r="696" spans="1:63" ht="15" customHeight="1">
      <c r="A696" s="197"/>
      <c r="B696" s="197"/>
      <c r="C696" s="197"/>
      <c r="D696" s="197"/>
      <c r="E696" s="197"/>
      <c r="F696" s="197"/>
      <c r="G696" s="197"/>
      <c r="H696" s="197"/>
      <c r="I696" s="197"/>
      <c r="J696" s="197"/>
      <c r="K696" s="197"/>
      <c r="L696" s="197"/>
      <c r="M696" s="197"/>
      <c r="N696" s="197"/>
      <c r="O696" s="197"/>
      <c r="P696" s="197"/>
      <c r="Q696" s="197"/>
      <c r="R696" s="197"/>
      <c r="S696" s="197"/>
      <c r="T696" s="197"/>
      <c r="U696" s="197"/>
      <c r="V696" s="197"/>
      <c r="W696" s="197"/>
      <c r="X696" s="197"/>
      <c r="Y696" s="197"/>
      <c r="Z696" s="197"/>
      <c r="AA696" s="197"/>
      <c r="AB696" s="197"/>
      <c r="AC696" s="197"/>
      <c r="AD696" s="197"/>
      <c r="AE696" s="197"/>
      <c r="AF696" s="197"/>
      <c r="AG696" s="197"/>
      <c r="AH696" s="197"/>
      <c r="AI696" s="197"/>
      <c r="AJ696" s="201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</row>
    <row r="697" spans="1:63" ht="15" customHeight="1">
      <c r="A697" s="197"/>
      <c r="B697" s="197"/>
      <c r="C697" s="197"/>
      <c r="D697" s="197"/>
      <c r="E697" s="197"/>
      <c r="F697" s="197"/>
      <c r="G697" s="197"/>
      <c r="H697" s="197"/>
      <c r="I697" s="197"/>
      <c r="J697" s="197"/>
      <c r="K697" s="197"/>
      <c r="L697" s="197"/>
      <c r="M697" s="197"/>
      <c r="N697" s="197"/>
      <c r="O697" s="197"/>
      <c r="P697" s="197"/>
      <c r="Q697" s="197"/>
      <c r="R697" s="197"/>
      <c r="S697" s="197"/>
      <c r="T697" s="197"/>
      <c r="U697" s="197"/>
      <c r="V697" s="197"/>
      <c r="W697" s="197"/>
      <c r="X697" s="197"/>
      <c r="Y697" s="197"/>
      <c r="Z697" s="197"/>
      <c r="AA697" s="197"/>
      <c r="AB697" s="197"/>
      <c r="AC697" s="197"/>
      <c r="AD697" s="197"/>
      <c r="AE697" s="197"/>
      <c r="AF697" s="197"/>
      <c r="AG697" s="197"/>
      <c r="AH697" s="197"/>
      <c r="AI697" s="197"/>
      <c r="AJ697" s="201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  <c r="BK697" s="33"/>
    </row>
    <row r="698" spans="1:63" ht="15" customHeight="1">
      <c r="A698" s="197"/>
      <c r="B698" s="197"/>
      <c r="C698" s="197"/>
      <c r="D698" s="197"/>
      <c r="E698" s="197"/>
      <c r="F698" s="197"/>
      <c r="G698" s="197"/>
      <c r="H698" s="197"/>
      <c r="I698" s="197"/>
      <c r="J698" s="197"/>
      <c r="K698" s="197"/>
      <c r="L698" s="197"/>
      <c r="M698" s="197"/>
      <c r="N698" s="197"/>
      <c r="O698" s="197"/>
      <c r="P698" s="197"/>
      <c r="Q698" s="197"/>
      <c r="R698" s="197"/>
      <c r="S698" s="197"/>
      <c r="T698" s="197"/>
      <c r="U698" s="197"/>
      <c r="V698" s="197"/>
      <c r="W698" s="197"/>
      <c r="X698" s="197"/>
      <c r="Y698" s="197"/>
      <c r="Z698" s="197"/>
      <c r="AA698" s="197"/>
      <c r="AB698" s="197"/>
      <c r="AC698" s="197"/>
      <c r="AD698" s="197"/>
      <c r="AE698" s="197"/>
      <c r="AF698" s="197"/>
      <c r="AG698" s="197"/>
      <c r="AH698" s="197"/>
      <c r="AI698" s="197"/>
      <c r="AJ698" s="201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</row>
    <row r="699" spans="1:63" ht="15" customHeight="1">
      <c r="A699" s="197"/>
      <c r="B699" s="197"/>
      <c r="C699" s="197"/>
      <c r="D699" s="197"/>
      <c r="E699" s="197"/>
      <c r="F699" s="197"/>
      <c r="G699" s="197"/>
      <c r="H699" s="197"/>
      <c r="I699" s="197"/>
      <c r="J699" s="197"/>
      <c r="K699" s="197"/>
      <c r="L699" s="197"/>
      <c r="M699" s="197"/>
      <c r="N699" s="197"/>
      <c r="O699" s="197"/>
      <c r="P699" s="197"/>
      <c r="Q699" s="197"/>
      <c r="R699" s="197"/>
      <c r="S699" s="197"/>
      <c r="T699" s="197"/>
      <c r="U699" s="197"/>
      <c r="V699" s="197"/>
      <c r="W699" s="197"/>
      <c r="X699" s="197"/>
      <c r="Y699" s="197"/>
      <c r="Z699" s="197"/>
      <c r="AA699" s="197"/>
      <c r="AB699" s="197"/>
      <c r="AC699" s="197"/>
      <c r="AD699" s="197"/>
      <c r="AE699" s="197"/>
      <c r="AF699" s="197"/>
      <c r="AG699" s="197"/>
      <c r="AH699" s="197"/>
      <c r="AI699" s="197"/>
      <c r="AJ699" s="201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</row>
    <row r="700" spans="1:63" ht="15" customHeight="1">
      <c r="A700" s="197"/>
      <c r="B700" s="197"/>
      <c r="C700" s="197"/>
      <c r="D700" s="197"/>
      <c r="E700" s="197"/>
      <c r="F700" s="197"/>
      <c r="G700" s="197"/>
      <c r="H700" s="197"/>
      <c r="I700" s="197"/>
      <c r="J700" s="197"/>
      <c r="K700" s="197"/>
      <c r="L700" s="197"/>
      <c r="M700" s="197"/>
      <c r="N700" s="197"/>
      <c r="O700" s="197"/>
      <c r="P700" s="197"/>
      <c r="Q700" s="197"/>
      <c r="R700" s="197"/>
      <c r="S700" s="197"/>
      <c r="T700" s="197"/>
      <c r="U700" s="197"/>
      <c r="V700" s="197"/>
      <c r="W700" s="197"/>
      <c r="X700" s="197"/>
      <c r="Y700" s="197"/>
      <c r="Z700" s="197"/>
      <c r="AA700" s="197"/>
      <c r="AB700" s="197"/>
      <c r="AC700" s="197"/>
      <c r="AD700" s="197"/>
      <c r="AE700" s="197"/>
      <c r="AF700" s="197"/>
      <c r="AG700" s="197"/>
      <c r="AH700" s="197"/>
      <c r="AI700" s="197"/>
      <c r="AJ700" s="201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</row>
    <row r="701" spans="1:63" ht="15" customHeight="1">
      <c r="A701" s="197"/>
      <c r="B701" s="197"/>
      <c r="C701" s="197"/>
      <c r="D701" s="197"/>
      <c r="E701" s="197"/>
      <c r="F701" s="197"/>
      <c r="G701" s="197"/>
      <c r="H701" s="197"/>
      <c r="I701" s="197"/>
      <c r="J701" s="197"/>
      <c r="K701" s="197"/>
      <c r="L701" s="197"/>
      <c r="M701" s="197"/>
      <c r="N701" s="197"/>
      <c r="O701" s="197"/>
      <c r="P701" s="197"/>
      <c r="Q701" s="197"/>
      <c r="R701" s="197"/>
      <c r="S701" s="197"/>
      <c r="T701" s="197"/>
      <c r="U701" s="197"/>
      <c r="V701" s="197"/>
      <c r="W701" s="197"/>
      <c r="X701" s="197"/>
      <c r="Y701" s="197"/>
      <c r="Z701" s="197"/>
      <c r="AA701" s="197"/>
      <c r="AB701" s="197"/>
      <c r="AC701" s="197"/>
      <c r="AD701" s="197"/>
      <c r="AE701" s="197"/>
      <c r="AF701" s="197"/>
      <c r="AG701" s="197"/>
      <c r="AH701" s="197"/>
      <c r="AI701" s="197"/>
      <c r="AJ701" s="201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</row>
    <row r="702" spans="1:63" ht="15" customHeight="1">
      <c r="A702" s="197"/>
      <c r="B702" s="197"/>
      <c r="C702" s="197"/>
      <c r="D702" s="197"/>
      <c r="E702" s="197"/>
      <c r="F702" s="197"/>
      <c r="G702" s="197"/>
      <c r="H702" s="197"/>
      <c r="I702" s="197"/>
      <c r="J702" s="197"/>
      <c r="K702" s="197"/>
      <c r="L702" s="197"/>
      <c r="M702" s="197"/>
      <c r="N702" s="197"/>
      <c r="O702" s="197"/>
      <c r="P702" s="197"/>
      <c r="Q702" s="197"/>
      <c r="R702" s="197"/>
      <c r="S702" s="197"/>
      <c r="T702" s="197"/>
      <c r="U702" s="197"/>
      <c r="V702" s="197"/>
      <c r="W702" s="197"/>
      <c r="X702" s="197"/>
      <c r="Y702" s="197"/>
      <c r="Z702" s="197"/>
      <c r="AA702" s="197"/>
      <c r="AB702" s="197"/>
      <c r="AC702" s="197"/>
      <c r="AD702" s="197"/>
      <c r="AE702" s="197"/>
      <c r="AF702" s="197"/>
      <c r="AG702" s="197"/>
      <c r="AH702" s="197"/>
      <c r="AI702" s="197"/>
      <c r="AJ702" s="201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</row>
    <row r="703" spans="1:63" ht="15" customHeight="1">
      <c r="A703" s="197"/>
      <c r="B703" s="197"/>
      <c r="C703" s="197"/>
      <c r="D703" s="197"/>
      <c r="E703" s="197"/>
      <c r="F703" s="197"/>
      <c r="G703" s="197"/>
      <c r="H703" s="197"/>
      <c r="I703" s="197"/>
      <c r="J703" s="197"/>
      <c r="K703" s="197"/>
      <c r="L703" s="197"/>
      <c r="M703" s="197"/>
      <c r="N703" s="197"/>
      <c r="O703" s="197"/>
      <c r="P703" s="197"/>
      <c r="Q703" s="197"/>
      <c r="R703" s="197"/>
      <c r="S703" s="197"/>
      <c r="T703" s="197"/>
      <c r="U703" s="197"/>
      <c r="V703" s="197"/>
      <c r="W703" s="197"/>
      <c r="X703" s="197"/>
      <c r="Y703" s="197"/>
      <c r="Z703" s="197"/>
      <c r="AA703" s="197"/>
      <c r="AB703" s="197"/>
      <c r="AC703" s="197"/>
      <c r="AD703" s="197"/>
      <c r="AE703" s="197"/>
      <c r="AF703" s="197"/>
      <c r="AG703" s="197"/>
      <c r="AH703" s="197"/>
      <c r="AI703" s="197"/>
      <c r="AJ703" s="201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  <c r="BK703" s="33"/>
    </row>
    <row r="704" spans="1:63" ht="15" customHeight="1">
      <c r="A704" s="197"/>
      <c r="B704" s="197"/>
      <c r="C704" s="197"/>
      <c r="D704" s="197"/>
      <c r="E704" s="197"/>
      <c r="F704" s="197"/>
      <c r="G704" s="197"/>
      <c r="H704" s="197"/>
      <c r="I704" s="197"/>
      <c r="J704" s="197"/>
      <c r="K704" s="197"/>
      <c r="L704" s="197"/>
      <c r="M704" s="197"/>
      <c r="N704" s="197"/>
      <c r="O704" s="197"/>
      <c r="P704" s="197"/>
      <c r="Q704" s="197"/>
      <c r="R704" s="197"/>
      <c r="S704" s="197"/>
      <c r="T704" s="197"/>
      <c r="U704" s="197"/>
      <c r="V704" s="197"/>
      <c r="W704" s="197"/>
      <c r="X704" s="197"/>
      <c r="Y704" s="197"/>
      <c r="Z704" s="197"/>
      <c r="AA704" s="197"/>
      <c r="AB704" s="197"/>
      <c r="AC704" s="197"/>
      <c r="AD704" s="197"/>
      <c r="AE704" s="197"/>
      <c r="AF704" s="197"/>
      <c r="AG704" s="197"/>
      <c r="AH704" s="197"/>
      <c r="AI704" s="197"/>
      <c r="AJ704" s="201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</row>
    <row r="705" spans="1:63" ht="15" customHeight="1">
      <c r="A705" s="197"/>
      <c r="B705" s="197"/>
      <c r="C705" s="197"/>
      <c r="D705" s="197"/>
      <c r="E705" s="197"/>
      <c r="F705" s="197"/>
      <c r="G705" s="197"/>
      <c r="H705" s="197"/>
      <c r="I705" s="197"/>
      <c r="J705" s="197"/>
      <c r="K705" s="197"/>
      <c r="L705" s="197"/>
      <c r="M705" s="197"/>
      <c r="N705" s="197"/>
      <c r="O705" s="197"/>
      <c r="P705" s="197"/>
      <c r="Q705" s="197"/>
      <c r="R705" s="197"/>
      <c r="S705" s="197"/>
      <c r="T705" s="197"/>
      <c r="U705" s="197"/>
      <c r="V705" s="197"/>
      <c r="W705" s="197"/>
      <c r="X705" s="197"/>
      <c r="Y705" s="197"/>
      <c r="Z705" s="197"/>
      <c r="AA705" s="197"/>
      <c r="AB705" s="197"/>
      <c r="AC705" s="197"/>
      <c r="AD705" s="197"/>
      <c r="AE705" s="197"/>
      <c r="AF705" s="197"/>
      <c r="AG705" s="197"/>
      <c r="AH705" s="197"/>
      <c r="AI705" s="197"/>
      <c r="AJ705" s="201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</row>
    <row r="706" spans="1:63" ht="15" customHeight="1">
      <c r="A706" s="197"/>
      <c r="B706" s="197"/>
      <c r="C706" s="197"/>
      <c r="D706" s="197"/>
      <c r="E706" s="197"/>
      <c r="F706" s="197"/>
      <c r="G706" s="197"/>
      <c r="H706" s="197"/>
      <c r="I706" s="197"/>
      <c r="J706" s="197"/>
      <c r="K706" s="197"/>
      <c r="L706" s="197"/>
      <c r="M706" s="197"/>
      <c r="N706" s="197"/>
      <c r="O706" s="197"/>
      <c r="P706" s="197"/>
      <c r="Q706" s="197"/>
      <c r="R706" s="197"/>
      <c r="S706" s="197"/>
      <c r="T706" s="197"/>
      <c r="U706" s="197"/>
      <c r="V706" s="197"/>
      <c r="W706" s="197"/>
      <c r="X706" s="197"/>
      <c r="Y706" s="197"/>
      <c r="Z706" s="197"/>
      <c r="AA706" s="197"/>
      <c r="AB706" s="197"/>
      <c r="AC706" s="197"/>
      <c r="AD706" s="197"/>
      <c r="AE706" s="197"/>
      <c r="AF706" s="197"/>
      <c r="AG706" s="197"/>
      <c r="AH706" s="197"/>
      <c r="AI706" s="197"/>
      <c r="AJ706" s="201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  <c r="BK706" s="33"/>
    </row>
    <row r="707" spans="1:63" ht="15" customHeight="1">
      <c r="A707" s="197"/>
      <c r="B707" s="197"/>
      <c r="C707" s="197"/>
      <c r="D707" s="197"/>
      <c r="E707" s="197"/>
      <c r="F707" s="197"/>
      <c r="G707" s="197"/>
      <c r="H707" s="197"/>
      <c r="I707" s="197"/>
      <c r="J707" s="197"/>
      <c r="K707" s="197"/>
      <c r="L707" s="197"/>
      <c r="M707" s="197"/>
      <c r="N707" s="197"/>
      <c r="O707" s="197"/>
      <c r="P707" s="197"/>
      <c r="Q707" s="197"/>
      <c r="R707" s="197"/>
      <c r="S707" s="197"/>
      <c r="T707" s="197"/>
      <c r="U707" s="197"/>
      <c r="V707" s="197"/>
      <c r="W707" s="197"/>
      <c r="X707" s="197"/>
      <c r="Y707" s="197"/>
      <c r="Z707" s="197"/>
      <c r="AA707" s="197"/>
      <c r="AB707" s="197"/>
      <c r="AC707" s="197"/>
      <c r="AD707" s="197"/>
      <c r="AE707" s="197"/>
      <c r="AF707" s="197"/>
      <c r="AG707" s="197"/>
      <c r="AH707" s="197"/>
      <c r="AI707" s="197"/>
      <c r="AJ707" s="201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</row>
    <row r="708" spans="1:63" ht="15" customHeight="1">
      <c r="A708" s="197"/>
      <c r="B708" s="197"/>
      <c r="C708" s="197"/>
      <c r="D708" s="197"/>
      <c r="E708" s="197"/>
      <c r="F708" s="197"/>
      <c r="G708" s="197"/>
      <c r="H708" s="197"/>
      <c r="I708" s="197"/>
      <c r="J708" s="197"/>
      <c r="K708" s="197"/>
      <c r="L708" s="197"/>
      <c r="M708" s="197"/>
      <c r="N708" s="197"/>
      <c r="O708" s="197"/>
      <c r="P708" s="197"/>
      <c r="Q708" s="197"/>
      <c r="R708" s="197"/>
      <c r="S708" s="197"/>
      <c r="T708" s="197"/>
      <c r="U708" s="197"/>
      <c r="V708" s="197"/>
      <c r="W708" s="197"/>
      <c r="X708" s="197"/>
      <c r="Y708" s="197"/>
      <c r="Z708" s="197"/>
      <c r="AA708" s="197"/>
      <c r="AB708" s="197"/>
      <c r="AC708" s="197"/>
      <c r="AD708" s="197"/>
      <c r="AE708" s="197"/>
      <c r="AF708" s="197"/>
      <c r="AG708" s="197"/>
      <c r="AH708" s="197"/>
      <c r="AI708" s="197"/>
      <c r="AJ708" s="201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</row>
    <row r="709" spans="1:63" ht="15" customHeight="1">
      <c r="A709" s="197"/>
      <c r="B709" s="197"/>
      <c r="C709" s="197"/>
      <c r="D709" s="197"/>
      <c r="E709" s="197"/>
      <c r="F709" s="197"/>
      <c r="G709" s="197"/>
      <c r="H709" s="197"/>
      <c r="I709" s="197"/>
      <c r="J709" s="197"/>
      <c r="K709" s="197"/>
      <c r="L709" s="197"/>
      <c r="M709" s="197"/>
      <c r="N709" s="197"/>
      <c r="O709" s="197"/>
      <c r="P709" s="197"/>
      <c r="Q709" s="197"/>
      <c r="R709" s="197"/>
      <c r="S709" s="197"/>
      <c r="T709" s="197"/>
      <c r="U709" s="197"/>
      <c r="V709" s="197"/>
      <c r="W709" s="197"/>
      <c r="X709" s="197"/>
      <c r="Y709" s="197"/>
      <c r="Z709" s="197"/>
      <c r="AA709" s="197"/>
      <c r="AB709" s="197"/>
      <c r="AC709" s="197"/>
      <c r="AD709" s="197"/>
      <c r="AE709" s="197"/>
      <c r="AF709" s="197"/>
      <c r="AG709" s="197"/>
      <c r="AH709" s="197"/>
      <c r="AI709" s="197"/>
      <c r="AJ709" s="201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  <c r="BK709" s="33"/>
    </row>
    <row r="710" spans="1:63" ht="15" customHeight="1">
      <c r="A710" s="197"/>
      <c r="B710" s="197"/>
      <c r="C710" s="197"/>
      <c r="D710" s="197"/>
      <c r="E710" s="197"/>
      <c r="F710" s="197"/>
      <c r="G710" s="197"/>
      <c r="H710" s="197"/>
      <c r="I710" s="197"/>
      <c r="J710" s="197"/>
      <c r="K710" s="197"/>
      <c r="L710" s="197"/>
      <c r="M710" s="197"/>
      <c r="N710" s="197"/>
      <c r="O710" s="197"/>
      <c r="P710" s="197"/>
      <c r="Q710" s="197"/>
      <c r="R710" s="197"/>
      <c r="S710" s="197"/>
      <c r="T710" s="197"/>
      <c r="U710" s="197"/>
      <c r="V710" s="197"/>
      <c r="W710" s="197"/>
      <c r="X710" s="197"/>
      <c r="Y710" s="197"/>
      <c r="Z710" s="197"/>
      <c r="AA710" s="197"/>
      <c r="AB710" s="197"/>
      <c r="AC710" s="197"/>
      <c r="AD710" s="197"/>
      <c r="AE710" s="197"/>
      <c r="AF710" s="197"/>
      <c r="AG710" s="197"/>
      <c r="AH710" s="197"/>
      <c r="AI710" s="197"/>
      <c r="AJ710" s="201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</row>
    <row r="711" spans="1:63" ht="15" customHeight="1">
      <c r="A711" s="197"/>
      <c r="B711" s="197"/>
      <c r="C711" s="197"/>
      <c r="D711" s="197"/>
      <c r="E711" s="197"/>
      <c r="F711" s="197"/>
      <c r="G711" s="197"/>
      <c r="H711" s="197"/>
      <c r="I711" s="197"/>
      <c r="J711" s="197"/>
      <c r="K711" s="197"/>
      <c r="L711" s="197"/>
      <c r="M711" s="197"/>
      <c r="N711" s="197"/>
      <c r="O711" s="197"/>
      <c r="P711" s="197"/>
      <c r="Q711" s="197"/>
      <c r="R711" s="197"/>
      <c r="S711" s="197"/>
      <c r="T711" s="197"/>
      <c r="U711" s="197"/>
      <c r="V711" s="197"/>
      <c r="W711" s="197"/>
      <c r="X711" s="197"/>
      <c r="Y711" s="197"/>
      <c r="Z711" s="197"/>
      <c r="AA711" s="197"/>
      <c r="AB711" s="197"/>
      <c r="AC711" s="197"/>
      <c r="AD711" s="197"/>
      <c r="AE711" s="197"/>
      <c r="AF711" s="197"/>
      <c r="AG711" s="197"/>
      <c r="AH711" s="197"/>
      <c r="AI711" s="197"/>
      <c r="AJ711" s="201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</row>
    <row r="712" spans="1:63" ht="15" customHeight="1">
      <c r="A712" s="197"/>
      <c r="B712" s="197"/>
      <c r="C712" s="197"/>
      <c r="D712" s="197"/>
      <c r="E712" s="197"/>
      <c r="F712" s="197"/>
      <c r="G712" s="197"/>
      <c r="H712" s="197"/>
      <c r="I712" s="197"/>
      <c r="J712" s="197"/>
      <c r="K712" s="197"/>
      <c r="L712" s="197"/>
      <c r="M712" s="197"/>
      <c r="N712" s="197"/>
      <c r="O712" s="197"/>
      <c r="P712" s="197"/>
      <c r="Q712" s="197"/>
      <c r="R712" s="197"/>
      <c r="S712" s="197"/>
      <c r="T712" s="197"/>
      <c r="U712" s="197"/>
      <c r="V712" s="197"/>
      <c r="W712" s="197"/>
      <c r="X712" s="197"/>
      <c r="Y712" s="197"/>
      <c r="Z712" s="197"/>
      <c r="AA712" s="197"/>
      <c r="AB712" s="197"/>
      <c r="AC712" s="197"/>
      <c r="AD712" s="197"/>
      <c r="AE712" s="197"/>
      <c r="AF712" s="197"/>
      <c r="AG712" s="197"/>
      <c r="AH712" s="197"/>
      <c r="AI712" s="197"/>
      <c r="AJ712" s="201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</row>
    <row r="713" spans="1:63" ht="15" customHeight="1">
      <c r="A713" s="197"/>
      <c r="B713" s="197"/>
      <c r="C713" s="197"/>
      <c r="D713" s="197"/>
      <c r="E713" s="197"/>
      <c r="F713" s="197"/>
      <c r="G713" s="197"/>
      <c r="H713" s="197"/>
      <c r="I713" s="197"/>
      <c r="J713" s="197"/>
      <c r="K713" s="197"/>
      <c r="L713" s="197"/>
      <c r="M713" s="197"/>
      <c r="N713" s="197"/>
      <c r="O713" s="197"/>
      <c r="P713" s="197"/>
      <c r="Q713" s="197"/>
      <c r="R713" s="197"/>
      <c r="S713" s="197"/>
      <c r="T713" s="197"/>
      <c r="U713" s="197"/>
      <c r="V713" s="197"/>
      <c r="W713" s="197"/>
      <c r="X713" s="197"/>
      <c r="Y713" s="197"/>
      <c r="Z713" s="197"/>
      <c r="AA713" s="197"/>
      <c r="AB713" s="197"/>
      <c r="AC713" s="197"/>
      <c r="AD713" s="197"/>
      <c r="AE713" s="197"/>
      <c r="AF713" s="197"/>
      <c r="AG713" s="197"/>
      <c r="AH713" s="197"/>
      <c r="AI713" s="197"/>
      <c r="AJ713" s="201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</row>
    <row r="714" spans="1:63" ht="15" customHeight="1">
      <c r="A714" s="197"/>
      <c r="B714" s="197"/>
      <c r="C714" s="197"/>
      <c r="D714" s="197"/>
      <c r="E714" s="197"/>
      <c r="F714" s="197"/>
      <c r="G714" s="197"/>
      <c r="H714" s="197"/>
      <c r="I714" s="197"/>
      <c r="J714" s="197"/>
      <c r="K714" s="197"/>
      <c r="L714" s="197"/>
      <c r="M714" s="197"/>
      <c r="N714" s="197"/>
      <c r="O714" s="197"/>
      <c r="P714" s="197"/>
      <c r="Q714" s="197"/>
      <c r="R714" s="197"/>
      <c r="S714" s="197"/>
      <c r="T714" s="197"/>
      <c r="U714" s="197"/>
      <c r="V714" s="197"/>
      <c r="W714" s="197"/>
      <c r="X714" s="197"/>
      <c r="Y714" s="197"/>
      <c r="Z714" s="197"/>
      <c r="AA714" s="197"/>
      <c r="AB714" s="197"/>
      <c r="AC714" s="197"/>
      <c r="AD714" s="197"/>
      <c r="AE714" s="197"/>
      <c r="AF714" s="197"/>
      <c r="AG714" s="197"/>
      <c r="AH714" s="197"/>
      <c r="AI714" s="197"/>
      <c r="AJ714" s="201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</row>
    <row r="715" spans="1:63" ht="15" customHeight="1">
      <c r="A715" s="197"/>
      <c r="B715" s="197"/>
      <c r="C715" s="197"/>
      <c r="D715" s="197"/>
      <c r="E715" s="197"/>
      <c r="F715" s="197"/>
      <c r="G715" s="197"/>
      <c r="H715" s="197"/>
      <c r="I715" s="197"/>
      <c r="J715" s="197"/>
      <c r="K715" s="197"/>
      <c r="L715" s="197"/>
      <c r="M715" s="197"/>
      <c r="N715" s="197"/>
      <c r="O715" s="197"/>
      <c r="P715" s="197"/>
      <c r="Q715" s="197"/>
      <c r="R715" s="197"/>
      <c r="S715" s="197"/>
      <c r="T715" s="197"/>
      <c r="U715" s="197"/>
      <c r="V715" s="197"/>
      <c r="W715" s="197"/>
      <c r="X715" s="197"/>
      <c r="Y715" s="197"/>
      <c r="Z715" s="197"/>
      <c r="AA715" s="197"/>
      <c r="AB715" s="197"/>
      <c r="AC715" s="197"/>
      <c r="AD715" s="197"/>
      <c r="AE715" s="197"/>
      <c r="AF715" s="197"/>
      <c r="AG715" s="197"/>
      <c r="AH715" s="197"/>
      <c r="AI715" s="197"/>
      <c r="AJ715" s="201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</row>
    <row r="716" spans="1:63" ht="15" customHeight="1">
      <c r="A716" s="197"/>
      <c r="B716" s="197"/>
      <c r="C716" s="197"/>
      <c r="D716" s="197"/>
      <c r="E716" s="197"/>
      <c r="F716" s="197"/>
      <c r="G716" s="197"/>
      <c r="H716" s="197"/>
      <c r="I716" s="197"/>
      <c r="J716" s="197"/>
      <c r="K716" s="197"/>
      <c r="L716" s="197"/>
      <c r="M716" s="197"/>
      <c r="N716" s="197"/>
      <c r="O716" s="197"/>
      <c r="P716" s="197"/>
      <c r="Q716" s="197"/>
      <c r="R716" s="197"/>
      <c r="S716" s="197"/>
      <c r="T716" s="197"/>
      <c r="U716" s="197"/>
      <c r="V716" s="197"/>
      <c r="W716" s="197"/>
      <c r="X716" s="197"/>
      <c r="Y716" s="197"/>
      <c r="Z716" s="197"/>
      <c r="AA716" s="197"/>
      <c r="AB716" s="197"/>
      <c r="AC716" s="197"/>
      <c r="AD716" s="197"/>
      <c r="AE716" s="197"/>
      <c r="AF716" s="197"/>
      <c r="AG716" s="197"/>
      <c r="AH716" s="197"/>
      <c r="AI716" s="197"/>
      <c r="AJ716" s="201"/>
      <c r="AK716" s="33"/>
      <c r="AL716" s="33"/>
      <c r="AM716" s="33"/>
      <c r="AN716" s="33"/>
      <c r="AO716" s="33"/>
      <c r="AP716" s="33"/>
      <c r="AQ716" s="33"/>
      <c r="AR716" s="33"/>
      <c r="AS716" s="33"/>
      <c r="AT716" s="33"/>
      <c r="AU716" s="33"/>
      <c r="AV716" s="33"/>
      <c r="AW716" s="33"/>
      <c r="AX716" s="33"/>
      <c r="AY716" s="33"/>
      <c r="AZ716" s="33"/>
      <c r="BA716" s="33"/>
      <c r="BB716" s="33"/>
      <c r="BC716" s="33"/>
      <c r="BD716" s="33"/>
      <c r="BE716" s="33"/>
      <c r="BF716" s="33"/>
      <c r="BG716" s="33"/>
      <c r="BH716" s="33"/>
      <c r="BI716" s="33"/>
      <c r="BJ716" s="33"/>
      <c r="BK716" s="33"/>
    </row>
    <row r="717" spans="1:63" ht="15" customHeight="1">
      <c r="A717" s="197"/>
      <c r="B717" s="197"/>
      <c r="C717" s="197"/>
      <c r="D717" s="197"/>
      <c r="E717" s="197"/>
      <c r="F717" s="197"/>
      <c r="G717" s="197"/>
      <c r="H717" s="197"/>
      <c r="I717" s="197"/>
      <c r="J717" s="197"/>
      <c r="K717" s="197"/>
      <c r="L717" s="197"/>
      <c r="M717" s="197"/>
      <c r="N717" s="197"/>
      <c r="O717" s="197"/>
      <c r="P717" s="197"/>
      <c r="Q717" s="197"/>
      <c r="R717" s="197"/>
      <c r="S717" s="197"/>
      <c r="T717" s="197"/>
      <c r="U717" s="197"/>
      <c r="V717" s="197"/>
      <c r="W717" s="197"/>
      <c r="X717" s="197"/>
      <c r="Y717" s="197"/>
      <c r="Z717" s="197"/>
      <c r="AA717" s="197"/>
      <c r="AB717" s="197"/>
      <c r="AC717" s="197"/>
      <c r="AD717" s="197"/>
      <c r="AE717" s="197"/>
      <c r="AF717" s="197"/>
      <c r="AG717" s="197"/>
      <c r="AH717" s="197"/>
      <c r="AI717" s="197"/>
      <c r="AJ717" s="201"/>
      <c r="AK717" s="33"/>
      <c r="AL717" s="33"/>
      <c r="AM717" s="33"/>
      <c r="AN717" s="33"/>
      <c r="AO717" s="33"/>
      <c r="AP717" s="33"/>
      <c r="AQ717" s="33"/>
      <c r="AR717" s="33"/>
      <c r="AS717" s="33"/>
      <c r="AT717" s="33"/>
      <c r="AU717" s="33"/>
      <c r="AV717" s="33"/>
      <c r="AW717" s="33"/>
      <c r="AX717" s="33"/>
      <c r="AY717" s="33"/>
      <c r="AZ717" s="33"/>
      <c r="BA717" s="33"/>
      <c r="BB717" s="33"/>
      <c r="BC717" s="33"/>
      <c r="BD717" s="33"/>
      <c r="BE717" s="33"/>
      <c r="BF717" s="33"/>
      <c r="BG717" s="33"/>
      <c r="BH717" s="33"/>
      <c r="BI717" s="33"/>
      <c r="BJ717" s="33"/>
      <c r="BK717" s="33"/>
    </row>
    <row r="718" spans="1:63" ht="15" customHeight="1">
      <c r="A718" s="197"/>
      <c r="B718" s="197"/>
      <c r="C718" s="197"/>
      <c r="D718" s="197"/>
      <c r="E718" s="197"/>
      <c r="F718" s="197"/>
      <c r="G718" s="197"/>
      <c r="H718" s="197"/>
      <c r="I718" s="197"/>
      <c r="J718" s="197"/>
      <c r="K718" s="197"/>
      <c r="L718" s="197"/>
      <c r="M718" s="197"/>
      <c r="N718" s="197"/>
      <c r="O718" s="197"/>
      <c r="P718" s="197"/>
      <c r="Q718" s="197"/>
      <c r="R718" s="197"/>
      <c r="S718" s="197"/>
      <c r="T718" s="197"/>
      <c r="U718" s="197"/>
      <c r="V718" s="197"/>
      <c r="W718" s="197"/>
      <c r="X718" s="197"/>
      <c r="Y718" s="197"/>
      <c r="Z718" s="197"/>
      <c r="AA718" s="197"/>
      <c r="AB718" s="197"/>
      <c r="AC718" s="197"/>
      <c r="AD718" s="197"/>
      <c r="AE718" s="197"/>
      <c r="AF718" s="197"/>
      <c r="AG718" s="197"/>
      <c r="AH718" s="197"/>
      <c r="AI718" s="197"/>
      <c r="AJ718" s="201"/>
      <c r="AK718" s="33"/>
      <c r="AL718" s="33"/>
      <c r="AM718" s="33"/>
      <c r="AN718" s="33"/>
      <c r="AO718" s="33"/>
      <c r="AP718" s="33"/>
      <c r="AQ718" s="33"/>
      <c r="AR718" s="33"/>
      <c r="AS718" s="33"/>
      <c r="AT718" s="33"/>
      <c r="AU718" s="33"/>
      <c r="AV718" s="33"/>
      <c r="AW718" s="33"/>
      <c r="AX718" s="33"/>
      <c r="AY718" s="33"/>
      <c r="AZ718" s="33"/>
      <c r="BA718" s="33"/>
      <c r="BB718" s="33"/>
      <c r="BC718" s="33"/>
      <c r="BD718" s="33"/>
      <c r="BE718" s="33"/>
      <c r="BF718" s="33"/>
      <c r="BG718" s="33"/>
      <c r="BH718" s="33"/>
      <c r="BI718" s="33"/>
      <c r="BJ718" s="33"/>
      <c r="BK718" s="33"/>
    </row>
    <row r="719" spans="1:63" ht="15" customHeight="1">
      <c r="A719" s="197"/>
      <c r="B719" s="197"/>
      <c r="C719" s="197"/>
      <c r="D719" s="197"/>
      <c r="E719" s="197"/>
      <c r="F719" s="197"/>
      <c r="G719" s="197"/>
      <c r="H719" s="197"/>
      <c r="I719" s="197"/>
      <c r="J719" s="197"/>
      <c r="K719" s="197"/>
      <c r="L719" s="197"/>
      <c r="M719" s="197"/>
      <c r="N719" s="197"/>
      <c r="O719" s="197"/>
      <c r="P719" s="197"/>
      <c r="Q719" s="197"/>
      <c r="R719" s="197"/>
      <c r="S719" s="197"/>
      <c r="T719" s="197"/>
      <c r="U719" s="197"/>
      <c r="V719" s="197"/>
      <c r="W719" s="197"/>
      <c r="X719" s="197"/>
      <c r="Y719" s="197"/>
      <c r="Z719" s="197"/>
      <c r="AA719" s="197"/>
      <c r="AB719" s="197"/>
      <c r="AC719" s="197"/>
      <c r="AD719" s="197"/>
      <c r="AE719" s="197"/>
      <c r="AF719" s="197"/>
      <c r="AG719" s="197"/>
      <c r="AH719" s="197"/>
      <c r="AI719" s="197"/>
      <c r="AJ719" s="201"/>
      <c r="AK719" s="33"/>
      <c r="AL719" s="33"/>
      <c r="AM719" s="33"/>
      <c r="AN719" s="33"/>
      <c r="AO719" s="33"/>
      <c r="AP719" s="33"/>
      <c r="AQ719" s="33"/>
      <c r="AR719" s="33"/>
      <c r="AS719" s="33"/>
      <c r="AT719" s="33"/>
      <c r="AU719" s="33"/>
      <c r="AV719" s="33"/>
      <c r="AW719" s="33"/>
      <c r="AX719" s="33"/>
      <c r="AY719" s="33"/>
      <c r="AZ719" s="33"/>
      <c r="BA719" s="33"/>
      <c r="BB719" s="33"/>
      <c r="BC719" s="33"/>
      <c r="BD719" s="33"/>
      <c r="BE719" s="33"/>
      <c r="BF719" s="33"/>
      <c r="BG719" s="33"/>
      <c r="BH719" s="33"/>
      <c r="BI719" s="33"/>
      <c r="BJ719" s="33"/>
      <c r="BK719" s="33"/>
    </row>
    <row r="720" spans="1:63" ht="15" customHeight="1">
      <c r="A720" s="197"/>
      <c r="B720" s="197"/>
      <c r="C720" s="197"/>
      <c r="D720" s="197"/>
      <c r="E720" s="197"/>
      <c r="F720" s="197"/>
      <c r="G720" s="197"/>
      <c r="H720" s="197"/>
      <c r="I720" s="197"/>
      <c r="J720" s="197"/>
      <c r="K720" s="197"/>
      <c r="L720" s="197"/>
      <c r="M720" s="197"/>
      <c r="N720" s="197"/>
      <c r="O720" s="197"/>
      <c r="P720" s="197"/>
      <c r="Q720" s="197"/>
      <c r="R720" s="197"/>
      <c r="S720" s="197"/>
      <c r="T720" s="197"/>
      <c r="U720" s="197"/>
      <c r="V720" s="197"/>
      <c r="W720" s="197"/>
      <c r="X720" s="197"/>
      <c r="Y720" s="197"/>
      <c r="Z720" s="197"/>
      <c r="AA720" s="197"/>
      <c r="AB720" s="197"/>
      <c r="AC720" s="197"/>
      <c r="AD720" s="197"/>
      <c r="AE720" s="197"/>
      <c r="AF720" s="197"/>
      <c r="AG720" s="197"/>
      <c r="AH720" s="197"/>
      <c r="AI720" s="197"/>
      <c r="AJ720" s="201"/>
      <c r="AK720" s="33"/>
      <c r="AL720" s="33"/>
      <c r="AM720" s="33"/>
      <c r="AN720" s="33"/>
      <c r="AO720" s="33"/>
      <c r="AP720" s="33"/>
      <c r="AQ720" s="33"/>
      <c r="AR720" s="33"/>
      <c r="AS720" s="33"/>
      <c r="AT720" s="33"/>
      <c r="AU720" s="33"/>
      <c r="AV720" s="33"/>
      <c r="AW720" s="33"/>
      <c r="AX720" s="33"/>
      <c r="AY720" s="33"/>
      <c r="AZ720" s="33"/>
      <c r="BA720" s="33"/>
      <c r="BB720" s="33"/>
      <c r="BC720" s="33"/>
      <c r="BD720" s="33"/>
      <c r="BE720" s="33"/>
      <c r="BF720" s="33"/>
      <c r="BG720" s="33"/>
      <c r="BH720" s="33"/>
      <c r="BI720" s="33"/>
      <c r="BJ720" s="33"/>
      <c r="BK720" s="33"/>
    </row>
    <row r="721" spans="1:63" ht="15" customHeight="1">
      <c r="A721" s="197"/>
      <c r="B721" s="197"/>
      <c r="C721" s="197"/>
      <c r="D721" s="197"/>
      <c r="E721" s="197"/>
      <c r="F721" s="197"/>
      <c r="G721" s="197"/>
      <c r="H721" s="197"/>
      <c r="I721" s="197"/>
      <c r="J721" s="197"/>
      <c r="K721" s="197"/>
      <c r="L721" s="197"/>
      <c r="M721" s="197"/>
      <c r="N721" s="197"/>
      <c r="O721" s="197"/>
      <c r="P721" s="197"/>
      <c r="Q721" s="197"/>
      <c r="R721" s="197"/>
      <c r="S721" s="197"/>
      <c r="T721" s="197"/>
      <c r="U721" s="197"/>
      <c r="V721" s="197"/>
      <c r="W721" s="197"/>
      <c r="X721" s="197"/>
      <c r="Y721" s="197"/>
      <c r="Z721" s="197"/>
      <c r="AA721" s="197"/>
      <c r="AB721" s="197"/>
      <c r="AC721" s="197"/>
      <c r="AD721" s="197"/>
      <c r="AE721" s="197"/>
      <c r="AF721" s="197"/>
      <c r="AG721" s="197"/>
      <c r="AH721" s="197"/>
      <c r="AI721" s="197"/>
      <c r="AJ721" s="201"/>
      <c r="AK721" s="33"/>
      <c r="AL721" s="33"/>
      <c r="AM721" s="33"/>
      <c r="AN721" s="33"/>
      <c r="AO721" s="33"/>
      <c r="AP721" s="33"/>
      <c r="AQ721" s="33"/>
      <c r="AR721" s="33"/>
      <c r="AS721" s="33"/>
      <c r="AT721" s="33"/>
      <c r="AU721" s="33"/>
      <c r="AV721" s="33"/>
      <c r="AW721" s="33"/>
      <c r="AX721" s="33"/>
      <c r="AY721" s="33"/>
      <c r="AZ721" s="33"/>
      <c r="BA721" s="33"/>
      <c r="BB721" s="33"/>
      <c r="BC721" s="33"/>
      <c r="BD721" s="33"/>
      <c r="BE721" s="33"/>
      <c r="BF721" s="33"/>
      <c r="BG721" s="33"/>
      <c r="BH721" s="33"/>
      <c r="BI721" s="33"/>
      <c r="BJ721" s="33"/>
      <c r="BK721" s="33"/>
    </row>
    <row r="722" spans="1:63" ht="15" customHeight="1">
      <c r="A722" s="197"/>
      <c r="B722" s="197"/>
      <c r="C722" s="197"/>
      <c r="D722" s="197"/>
      <c r="E722" s="197"/>
      <c r="F722" s="197"/>
      <c r="G722" s="197"/>
      <c r="H722" s="197"/>
      <c r="I722" s="197"/>
      <c r="J722" s="197"/>
      <c r="K722" s="197"/>
      <c r="L722" s="197"/>
      <c r="M722" s="197"/>
      <c r="N722" s="197"/>
      <c r="O722" s="197"/>
      <c r="P722" s="197"/>
      <c r="Q722" s="197"/>
      <c r="R722" s="197"/>
      <c r="S722" s="197"/>
      <c r="T722" s="197"/>
      <c r="U722" s="197"/>
      <c r="V722" s="197"/>
      <c r="W722" s="197"/>
      <c r="X722" s="197"/>
      <c r="Y722" s="197"/>
      <c r="Z722" s="197"/>
      <c r="AA722" s="197"/>
      <c r="AB722" s="197"/>
      <c r="AC722" s="197"/>
      <c r="AD722" s="197"/>
      <c r="AE722" s="197"/>
      <c r="AF722" s="197"/>
      <c r="AG722" s="197"/>
      <c r="AH722" s="197"/>
      <c r="AI722" s="197"/>
      <c r="AJ722" s="201"/>
      <c r="AK722" s="33"/>
      <c r="AL722" s="33"/>
      <c r="AM722" s="33"/>
      <c r="AN722" s="33"/>
      <c r="AO722" s="33"/>
      <c r="AP722" s="33"/>
      <c r="AQ722" s="33"/>
      <c r="AR722" s="33"/>
      <c r="AS722" s="33"/>
      <c r="AT722" s="33"/>
      <c r="AU722" s="33"/>
      <c r="AV722" s="33"/>
      <c r="AW722" s="33"/>
      <c r="AX722" s="33"/>
      <c r="AY722" s="33"/>
      <c r="AZ722" s="33"/>
      <c r="BA722" s="33"/>
      <c r="BB722" s="33"/>
      <c r="BC722" s="33"/>
      <c r="BD722" s="33"/>
      <c r="BE722" s="33"/>
      <c r="BF722" s="33"/>
      <c r="BG722" s="33"/>
      <c r="BH722" s="33"/>
      <c r="BI722" s="33"/>
      <c r="BJ722" s="33"/>
      <c r="BK722" s="33"/>
    </row>
    <row r="723" spans="1:63" ht="15" customHeight="1">
      <c r="A723" s="197"/>
      <c r="B723" s="197"/>
      <c r="C723" s="197"/>
      <c r="D723" s="197"/>
      <c r="E723" s="197"/>
      <c r="F723" s="197"/>
      <c r="G723" s="197"/>
      <c r="H723" s="197"/>
      <c r="I723" s="197"/>
      <c r="J723" s="197"/>
      <c r="K723" s="197"/>
      <c r="L723" s="197"/>
      <c r="M723" s="197"/>
      <c r="N723" s="197"/>
      <c r="O723" s="197"/>
      <c r="P723" s="197"/>
      <c r="Q723" s="197"/>
      <c r="R723" s="197"/>
      <c r="S723" s="197"/>
      <c r="T723" s="197"/>
      <c r="U723" s="197"/>
      <c r="V723" s="197"/>
      <c r="W723" s="197"/>
      <c r="X723" s="197"/>
      <c r="Y723" s="197"/>
      <c r="Z723" s="197"/>
      <c r="AA723" s="197"/>
      <c r="AB723" s="197"/>
      <c r="AC723" s="197"/>
      <c r="AD723" s="197"/>
      <c r="AE723" s="197"/>
      <c r="AF723" s="197"/>
      <c r="AG723" s="197"/>
      <c r="AH723" s="197"/>
      <c r="AI723" s="197"/>
      <c r="AJ723" s="201"/>
      <c r="AK723" s="33"/>
      <c r="AL723" s="33"/>
      <c r="AM723" s="33"/>
      <c r="AN723" s="33"/>
      <c r="AO723" s="33"/>
      <c r="AP723" s="33"/>
      <c r="AQ723" s="33"/>
      <c r="AR723" s="33"/>
      <c r="AS723" s="33"/>
      <c r="AT723" s="33"/>
      <c r="AU723" s="33"/>
      <c r="AV723" s="33"/>
      <c r="AW723" s="33"/>
      <c r="AX723" s="33"/>
      <c r="AY723" s="33"/>
      <c r="AZ723" s="33"/>
      <c r="BA723" s="33"/>
      <c r="BB723" s="33"/>
      <c r="BC723" s="33"/>
      <c r="BD723" s="33"/>
      <c r="BE723" s="33"/>
      <c r="BF723" s="33"/>
      <c r="BG723" s="33"/>
      <c r="BH723" s="33"/>
      <c r="BI723" s="33"/>
      <c r="BJ723" s="33"/>
      <c r="BK723" s="33"/>
    </row>
    <row r="724" spans="1:63" ht="15" customHeight="1">
      <c r="A724" s="197"/>
      <c r="B724" s="197"/>
      <c r="C724" s="197"/>
      <c r="D724" s="197"/>
      <c r="E724" s="197"/>
      <c r="F724" s="197"/>
      <c r="G724" s="197"/>
      <c r="H724" s="197"/>
      <c r="I724" s="197"/>
      <c r="J724" s="197"/>
      <c r="K724" s="197"/>
      <c r="L724" s="197"/>
      <c r="M724" s="197"/>
      <c r="N724" s="197"/>
      <c r="O724" s="197"/>
      <c r="P724" s="197"/>
      <c r="Q724" s="197"/>
      <c r="R724" s="197"/>
      <c r="S724" s="197"/>
      <c r="T724" s="197"/>
      <c r="U724" s="197"/>
      <c r="V724" s="197"/>
      <c r="W724" s="197"/>
      <c r="X724" s="197"/>
      <c r="Y724" s="197"/>
      <c r="Z724" s="197"/>
      <c r="AA724" s="197"/>
      <c r="AB724" s="197"/>
      <c r="AC724" s="197"/>
      <c r="AD724" s="197"/>
      <c r="AE724" s="197"/>
      <c r="AF724" s="197"/>
      <c r="AG724" s="197"/>
      <c r="AH724" s="197"/>
      <c r="AI724" s="197"/>
      <c r="AJ724" s="201"/>
      <c r="AK724" s="33"/>
      <c r="AL724" s="33"/>
      <c r="AM724" s="33"/>
      <c r="AN724" s="33"/>
      <c r="AO724" s="33"/>
      <c r="AP724" s="33"/>
      <c r="AQ724" s="33"/>
      <c r="AR724" s="33"/>
      <c r="AS724" s="33"/>
      <c r="AT724" s="33"/>
      <c r="AU724" s="33"/>
      <c r="AV724" s="33"/>
      <c r="AW724" s="33"/>
      <c r="AX724" s="33"/>
      <c r="AY724" s="33"/>
      <c r="AZ724" s="33"/>
      <c r="BA724" s="33"/>
      <c r="BB724" s="33"/>
      <c r="BC724" s="33"/>
      <c r="BD724" s="33"/>
      <c r="BE724" s="33"/>
      <c r="BF724" s="33"/>
      <c r="BG724" s="33"/>
      <c r="BH724" s="33"/>
      <c r="BI724" s="33"/>
      <c r="BJ724" s="33"/>
      <c r="BK724" s="33"/>
    </row>
    <row r="725" spans="1:63" ht="15" customHeight="1">
      <c r="A725" s="197"/>
      <c r="B725" s="197"/>
      <c r="C725" s="197"/>
      <c r="D725" s="197"/>
      <c r="E725" s="197"/>
      <c r="F725" s="197"/>
      <c r="G725" s="197"/>
      <c r="H725" s="197"/>
      <c r="I725" s="197"/>
      <c r="J725" s="197"/>
      <c r="K725" s="197"/>
      <c r="L725" s="197"/>
      <c r="M725" s="197"/>
      <c r="N725" s="197"/>
      <c r="O725" s="197"/>
      <c r="P725" s="197"/>
      <c r="Q725" s="197"/>
      <c r="R725" s="197"/>
      <c r="S725" s="197"/>
      <c r="T725" s="197"/>
      <c r="U725" s="197"/>
      <c r="V725" s="197"/>
      <c r="W725" s="197"/>
      <c r="X725" s="197"/>
      <c r="Y725" s="197"/>
      <c r="Z725" s="197"/>
      <c r="AA725" s="197"/>
      <c r="AB725" s="197"/>
      <c r="AC725" s="197"/>
      <c r="AD725" s="197"/>
      <c r="AE725" s="197"/>
      <c r="AF725" s="197"/>
      <c r="AG725" s="197"/>
      <c r="AH725" s="197"/>
      <c r="AI725" s="197"/>
      <c r="AJ725" s="201"/>
      <c r="AK725" s="33"/>
      <c r="AL725" s="33"/>
      <c r="AM725" s="33"/>
      <c r="AN725" s="33"/>
      <c r="AO725" s="33"/>
      <c r="AP725" s="33"/>
      <c r="AQ725" s="33"/>
      <c r="AR725" s="33"/>
      <c r="AS725" s="33"/>
      <c r="AT725" s="33"/>
      <c r="AU725" s="33"/>
      <c r="AV725" s="33"/>
      <c r="AW725" s="33"/>
      <c r="AX725" s="33"/>
      <c r="AY725" s="33"/>
      <c r="AZ725" s="33"/>
      <c r="BA725" s="33"/>
      <c r="BB725" s="33"/>
      <c r="BC725" s="33"/>
      <c r="BD725" s="33"/>
      <c r="BE725" s="33"/>
      <c r="BF725" s="33"/>
      <c r="BG725" s="33"/>
      <c r="BH725" s="33"/>
      <c r="BI725" s="33"/>
      <c r="BJ725" s="33"/>
      <c r="BK725" s="33"/>
    </row>
    <row r="726" spans="1:63" ht="15" customHeight="1">
      <c r="A726" s="197"/>
      <c r="B726" s="197"/>
      <c r="C726" s="197"/>
      <c r="D726" s="197"/>
      <c r="E726" s="197"/>
      <c r="F726" s="197"/>
      <c r="G726" s="197"/>
      <c r="H726" s="197"/>
      <c r="I726" s="197"/>
      <c r="J726" s="197"/>
      <c r="K726" s="197"/>
      <c r="L726" s="197"/>
      <c r="M726" s="197"/>
      <c r="N726" s="197"/>
      <c r="O726" s="197"/>
      <c r="P726" s="197"/>
      <c r="Q726" s="197"/>
      <c r="R726" s="197"/>
      <c r="S726" s="197"/>
      <c r="T726" s="197"/>
      <c r="U726" s="197"/>
      <c r="V726" s="197"/>
      <c r="W726" s="197"/>
      <c r="X726" s="197"/>
      <c r="Y726" s="197"/>
      <c r="Z726" s="197"/>
      <c r="AA726" s="197"/>
      <c r="AB726" s="197"/>
      <c r="AC726" s="197"/>
      <c r="AD726" s="197"/>
      <c r="AE726" s="197"/>
      <c r="AF726" s="197"/>
      <c r="AG726" s="197"/>
      <c r="AH726" s="197"/>
      <c r="AI726" s="197"/>
      <c r="AJ726" s="201"/>
      <c r="AK726" s="33"/>
      <c r="AL726" s="33"/>
      <c r="AM726" s="33"/>
      <c r="AN726" s="33"/>
      <c r="AO726" s="33"/>
      <c r="AP726" s="33"/>
      <c r="AQ726" s="33"/>
      <c r="AR726" s="33"/>
      <c r="AS726" s="33"/>
      <c r="AT726" s="33"/>
      <c r="AU726" s="33"/>
      <c r="AV726" s="33"/>
      <c r="AW726" s="33"/>
      <c r="AX726" s="33"/>
      <c r="AY726" s="33"/>
      <c r="AZ726" s="33"/>
      <c r="BA726" s="33"/>
      <c r="BB726" s="33"/>
      <c r="BC726" s="33"/>
      <c r="BD726" s="33"/>
      <c r="BE726" s="33"/>
      <c r="BF726" s="33"/>
      <c r="BG726" s="33"/>
      <c r="BH726" s="33"/>
      <c r="BI726" s="33"/>
      <c r="BJ726" s="33"/>
      <c r="BK726" s="33"/>
    </row>
    <row r="727" spans="1:63" ht="15" customHeight="1">
      <c r="A727" s="197"/>
      <c r="B727" s="197"/>
      <c r="C727" s="197"/>
      <c r="D727" s="197"/>
      <c r="E727" s="197"/>
      <c r="F727" s="197"/>
      <c r="G727" s="197"/>
      <c r="H727" s="197"/>
      <c r="I727" s="197"/>
      <c r="J727" s="197"/>
      <c r="K727" s="197"/>
      <c r="L727" s="197"/>
      <c r="M727" s="197"/>
      <c r="N727" s="197"/>
      <c r="O727" s="197"/>
      <c r="P727" s="197"/>
      <c r="Q727" s="197"/>
      <c r="R727" s="197"/>
      <c r="S727" s="197"/>
      <c r="T727" s="197"/>
      <c r="U727" s="197"/>
      <c r="V727" s="197"/>
      <c r="W727" s="197"/>
      <c r="X727" s="197"/>
      <c r="Y727" s="197"/>
      <c r="Z727" s="197"/>
      <c r="AA727" s="197"/>
      <c r="AB727" s="197"/>
      <c r="AC727" s="197"/>
      <c r="AD727" s="197"/>
      <c r="AE727" s="197"/>
      <c r="AF727" s="197"/>
      <c r="AG727" s="197"/>
      <c r="AH727" s="197"/>
      <c r="AI727" s="197"/>
      <c r="AJ727" s="201"/>
      <c r="AK727" s="33"/>
      <c r="AL727" s="33"/>
      <c r="AM727" s="33"/>
      <c r="AN727" s="33"/>
      <c r="AO727" s="33"/>
      <c r="AP727" s="33"/>
      <c r="AQ727" s="33"/>
      <c r="AR727" s="33"/>
      <c r="AS727" s="33"/>
      <c r="AT727" s="33"/>
      <c r="AU727" s="33"/>
      <c r="AV727" s="33"/>
      <c r="AW727" s="33"/>
      <c r="AX727" s="33"/>
      <c r="AY727" s="33"/>
      <c r="AZ727" s="33"/>
      <c r="BA727" s="33"/>
      <c r="BB727" s="33"/>
      <c r="BC727" s="33"/>
      <c r="BD727" s="33"/>
      <c r="BE727" s="33"/>
      <c r="BF727" s="33"/>
      <c r="BG727" s="33"/>
      <c r="BH727" s="33"/>
      <c r="BI727" s="33"/>
      <c r="BJ727" s="33"/>
      <c r="BK727" s="33"/>
    </row>
    <row r="728" spans="1:63" ht="15" customHeight="1">
      <c r="A728" s="197"/>
      <c r="B728" s="197"/>
      <c r="C728" s="197"/>
      <c r="D728" s="197"/>
      <c r="E728" s="197"/>
      <c r="F728" s="197"/>
      <c r="G728" s="197"/>
      <c r="H728" s="197"/>
      <c r="I728" s="197"/>
      <c r="J728" s="197"/>
      <c r="K728" s="197"/>
      <c r="L728" s="197"/>
      <c r="M728" s="197"/>
      <c r="N728" s="197"/>
      <c r="O728" s="197"/>
      <c r="P728" s="197"/>
      <c r="Q728" s="197"/>
      <c r="R728" s="197"/>
      <c r="S728" s="197"/>
      <c r="T728" s="197"/>
      <c r="U728" s="197"/>
      <c r="V728" s="197"/>
      <c r="W728" s="197"/>
      <c r="X728" s="197"/>
      <c r="Y728" s="197"/>
      <c r="Z728" s="197"/>
      <c r="AA728" s="197"/>
      <c r="AB728" s="197"/>
      <c r="AC728" s="197"/>
      <c r="AD728" s="197"/>
      <c r="AE728" s="197"/>
      <c r="AF728" s="197"/>
      <c r="AG728" s="197"/>
      <c r="AH728" s="197"/>
      <c r="AI728" s="197"/>
      <c r="AJ728" s="201"/>
      <c r="AK728" s="33"/>
      <c r="AL728" s="33"/>
      <c r="AM728" s="33"/>
      <c r="AN728" s="33"/>
      <c r="AO728" s="33"/>
      <c r="AP728" s="33"/>
      <c r="AQ728" s="33"/>
      <c r="AR728" s="33"/>
      <c r="AS728" s="33"/>
      <c r="AT728" s="33"/>
      <c r="AU728" s="33"/>
      <c r="AV728" s="33"/>
      <c r="AW728" s="33"/>
      <c r="AX728" s="33"/>
      <c r="AY728" s="33"/>
      <c r="AZ728" s="33"/>
      <c r="BA728" s="33"/>
      <c r="BB728" s="33"/>
      <c r="BC728" s="33"/>
      <c r="BD728" s="33"/>
      <c r="BE728" s="33"/>
      <c r="BF728" s="33"/>
      <c r="BG728" s="33"/>
      <c r="BH728" s="33"/>
      <c r="BI728" s="33"/>
      <c r="BJ728" s="33"/>
      <c r="BK728" s="33"/>
    </row>
    <row r="729" spans="1:63" ht="15" customHeight="1">
      <c r="A729" s="197"/>
      <c r="B729" s="197"/>
      <c r="C729" s="197"/>
      <c r="D729" s="197"/>
      <c r="E729" s="197"/>
      <c r="F729" s="197"/>
      <c r="G729" s="197"/>
      <c r="H729" s="197"/>
      <c r="I729" s="197"/>
      <c r="J729" s="197"/>
      <c r="K729" s="197"/>
      <c r="L729" s="197"/>
      <c r="M729" s="197"/>
      <c r="N729" s="197"/>
      <c r="O729" s="197"/>
      <c r="P729" s="197"/>
      <c r="Q729" s="197"/>
      <c r="R729" s="197"/>
      <c r="S729" s="197"/>
      <c r="T729" s="197"/>
      <c r="U729" s="197"/>
      <c r="V729" s="197"/>
      <c r="W729" s="197"/>
      <c r="X729" s="197"/>
      <c r="Y729" s="197"/>
      <c r="Z729" s="197"/>
      <c r="AA729" s="197"/>
      <c r="AB729" s="197"/>
      <c r="AC729" s="197"/>
      <c r="AD729" s="197"/>
      <c r="AE729" s="197"/>
      <c r="AF729" s="197"/>
      <c r="AG729" s="197"/>
      <c r="AH729" s="197"/>
      <c r="AI729" s="197"/>
      <c r="AJ729" s="201"/>
      <c r="AK729" s="33"/>
      <c r="AL729" s="33"/>
      <c r="AM729" s="33"/>
      <c r="AN729" s="33"/>
      <c r="AO729" s="33"/>
      <c r="AP729" s="33"/>
      <c r="AQ729" s="33"/>
      <c r="AR729" s="33"/>
      <c r="AS729" s="33"/>
      <c r="AT729" s="33"/>
      <c r="AU729" s="33"/>
      <c r="AV729" s="33"/>
      <c r="AW729" s="33"/>
      <c r="AX729" s="33"/>
      <c r="AY729" s="33"/>
      <c r="AZ729" s="33"/>
      <c r="BA729" s="33"/>
      <c r="BB729" s="33"/>
      <c r="BC729" s="33"/>
      <c r="BD729" s="33"/>
      <c r="BE729" s="33"/>
      <c r="BF729" s="33"/>
      <c r="BG729" s="33"/>
      <c r="BH729" s="33"/>
      <c r="BI729" s="33"/>
      <c r="BJ729" s="33"/>
      <c r="BK729" s="33"/>
    </row>
    <row r="730" spans="1:63" ht="15" customHeight="1">
      <c r="A730" s="197"/>
      <c r="B730" s="197"/>
      <c r="C730" s="197"/>
      <c r="D730" s="197"/>
      <c r="E730" s="197"/>
      <c r="F730" s="197"/>
      <c r="G730" s="197"/>
      <c r="H730" s="197"/>
      <c r="I730" s="197"/>
      <c r="J730" s="197"/>
      <c r="K730" s="197"/>
      <c r="L730" s="197"/>
      <c r="M730" s="197"/>
      <c r="N730" s="197"/>
      <c r="O730" s="197"/>
      <c r="P730" s="197"/>
      <c r="Q730" s="197"/>
      <c r="R730" s="197"/>
      <c r="S730" s="197"/>
      <c r="T730" s="197"/>
      <c r="U730" s="197"/>
      <c r="V730" s="197"/>
      <c r="W730" s="197"/>
      <c r="X730" s="197"/>
      <c r="Y730" s="197"/>
      <c r="Z730" s="197"/>
      <c r="AA730" s="197"/>
      <c r="AB730" s="197"/>
      <c r="AC730" s="197"/>
      <c r="AD730" s="197"/>
      <c r="AE730" s="197"/>
      <c r="AF730" s="197"/>
      <c r="AG730" s="197"/>
      <c r="AH730" s="197"/>
      <c r="AI730" s="197"/>
      <c r="AJ730" s="201"/>
      <c r="AK730" s="33"/>
      <c r="AL730" s="33"/>
      <c r="AM730" s="33"/>
      <c r="AN730" s="33"/>
      <c r="AO730" s="33"/>
      <c r="AP730" s="33"/>
      <c r="AQ730" s="33"/>
      <c r="AR730" s="33"/>
      <c r="AS730" s="33"/>
      <c r="AT730" s="33"/>
      <c r="AU730" s="33"/>
      <c r="AV730" s="33"/>
      <c r="AW730" s="33"/>
      <c r="AX730" s="33"/>
      <c r="AY730" s="33"/>
      <c r="AZ730" s="33"/>
      <c r="BA730" s="33"/>
      <c r="BB730" s="33"/>
      <c r="BC730" s="33"/>
      <c r="BD730" s="33"/>
      <c r="BE730" s="33"/>
      <c r="BF730" s="33"/>
      <c r="BG730" s="33"/>
      <c r="BH730" s="33"/>
      <c r="BI730" s="33"/>
      <c r="BJ730" s="33"/>
      <c r="BK730" s="33"/>
    </row>
    <row r="731" spans="1:63" ht="15" customHeight="1">
      <c r="A731" s="197"/>
      <c r="B731" s="197"/>
      <c r="C731" s="197"/>
      <c r="D731" s="197"/>
      <c r="E731" s="197"/>
      <c r="F731" s="197"/>
      <c r="G731" s="197"/>
      <c r="H731" s="197"/>
      <c r="I731" s="197"/>
      <c r="J731" s="197"/>
      <c r="K731" s="197"/>
      <c r="L731" s="197"/>
      <c r="M731" s="197"/>
      <c r="N731" s="197"/>
      <c r="O731" s="197"/>
      <c r="P731" s="197"/>
      <c r="Q731" s="197"/>
      <c r="R731" s="197"/>
      <c r="S731" s="197"/>
      <c r="T731" s="197"/>
      <c r="U731" s="197"/>
      <c r="V731" s="197"/>
      <c r="W731" s="197"/>
      <c r="X731" s="197"/>
      <c r="Y731" s="197"/>
      <c r="Z731" s="197"/>
      <c r="AA731" s="197"/>
      <c r="AB731" s="197"/>
      <c r="AC731" s="197"/>
      <c r="AD731" s="197"/>
      <c r="AE731" s="197"/>
      <c r="AF731" s="197"/>
      <c r="AG731" s="197"/>
      <c r="AH731" s="197"/>
      <c r="AI731" s="197"/>
      <c r="AJ731" s="201"/>
      <c r="AK731" s="33"/>
      <c r="AL731" s="33"/>
      <c r="AM731" s="33"/>
      <c r="AN731" s="33"/>
      <c r="AO731" s="33"/>
      <c r="AP731" s="33"/>
      <c r="AQ731" s="33"/>
      <c r="AR731" s="33"/>
      <c r="AS731" s="33"/>
      <c r="AT731" s="33"/>
      <c r="AU731" s="33"/>
      <c r="AV731" s="33"/>
      <c r="AW731" s="33"/>
      <c r="AX731" s="33"/>
      <c r="AY731" s="33"/>
      <c r="AZ731" s="33"/>
      <c r="BA731" s="33"/>
      <c r="BB731" s="33"/>
      <c r="BC731" s="33"/>
      <c r="BD731" s="33"/>
      <c r="BE731" s="33"/>
      <c r="BF731" s="33"/>
      <c r="BG731" s="33"/>
      <c r="BH731" s="33"/>
      <c r="BI731" s="33"/>
      <c r="BJ731" s="33"/>
      <c r="BK731" s="33"/>
    </row>
    <row r="732" spans="1:63" ht="15" customHeight="1">
      <c r="A732" s="197"/>
      <c r="B732" s="197"/>
      <c r="C732" s="197"/>
      <c r="D732" s="197"/>
      <c r="E732" s="197"/>
      <c r="F732" s="197"/>
      <c r="G732" s="197"/>
      <c r="H732" s="197"/>
      <c r="I732" s="197"/>
      <c r="J732" s="197"/>
      <c r="K732" s="197"/>
      <c r="L732" s="197"/>
      <c r="M732" s="197"/>
      <c r="N732" s="197"/>
      <c r="O732" s="197"/>
      <c r="P732" s="197"/>
      <c r="Q732" s="197"/>
      <c r="R732" s="197"/>
      <c r="S732" s="197"/>
      <c r="T732" s="197"/>
      <c r="U732" s="197"/>
      <c r="V732" s="197"/>
      <c r="W732" s="197"/>
      <c r="X732" s="197"/>
      <c r="Y732" s="197"/>
      <c r="Z732" s="197"/>
      <c r="AA732" s="197"/>
      <c r="AB732" s="197"/>
      <c r="AC732" s="197"/>
      <c r="AD732" s="197"/>
      <c r="AE732" s="197"/>
      <c r="AF732" s="197"/>
      <c r="AG732" s="197"/>
      <c r="AH732" s="197"/>
      <c r="AI732" s="197"/>
      <c r="AJ732" s="201"/>
      <c r="AK732" s="33"/>
      <c r="AL732" s="33"/>
      <c r="AM732" s="33"/>
      <c r="AN732" s="33"/>
      <c r="AO732" s="33"/>
      <c r="AP732" s="33"/>
      <c r="AQ732" s="33"/>
      <c r="AR732" s="33"/>
      <c r="AS732" s="33"/>
      <c r="AT732" s="33"/>
      <c r="AU732" s="33"/>
      <c r="AV732" s="33"/>
      <c r="AW732" s="33"/>
      <c r="AX732" s="33"/>
      <c r="AY732" s="33"/>
      <c r="AZ732" s="33"/>
      <c r="BA732" s="33"/>
      <c r="BB732" s="33"/>
      <c r="BC732" s="33"/>
      <c r="BD732" s="33"/>
      <c r="BE732" s="33"/>
      <c r="BF732" s="33"/>
      <c r="BG732" s="33"/>
      <c r="BH732" s="33"/>
      <c r="BI732" s="33"/>
      <c r="BJ732" s="33"/>
      <c r="BK732" s="33"/>
    </row>
    <row r="733" spans="1:63" ht="15" customHeight="1">
      <c r="A733" s="197"/>
      <c r="B733" s="197"/>
      <c r="C733" s="197"/>
      <c r="D733" s="197"/>
      <c r="E733" s="197"/>
      <c r="F733" s="197"/>
      <c r="G733" s="197"/>
      <c r="H733" s="197"/>
      <c r="I733" s="197"/>
      <c r="J733" s="197"/>
      <c r="K733" s="197"/>
      <c r="L733" s="197"/>
      <c r="M733" s="197"/>
      <c r="N733" s="197"/>
      <c r="O733" s="197"/>
      <c r="P733" s="197"/>
      <c r="Q733" s="197"/>
      <c r="R733" s="197"/>
      <c r="S733" s="197"/>
      <c r="T733" s="197"/>
      <c r="U733" s="197"/>
      <c r="V733" s="197"/>
      <c r="W733" s="197"/>
      <c r="X733" s="197"/>
      <c r="Y733" s="197"/>
      <c r="Z733" s="197"/>
      <c r="AA733" s="197"/>
      <c r="AB733" s="197"/>
      <c r="AC733" s="197"/>
      <c r="AD733" s="197"/>
      <c r="AE733" s="197"/>
      <c r="AF733" s="197"/>
      <c r="AG733" s="197"/>
      <c r="AH733" s="197"/>
      <c r="AI733" s="197"/>
      <c r="AJ733" s="201"/>
      <c r="AK733" s="33"/>
      <c r="AL733" s="33"/>
      <c r="AM733" s="33"/>
      <c r="AN733" s="33"/>
      <c r="AO733" s="33"/>
      <c r="AP733" s="33"/>
      <c r="AQ733" s="33"/>
      <c r="AR733" s="33"/>
      <c r="AS733" s="33"/>
      <c r="AT733" s="33"/>
      <c r="AU733" s="33"/>
      <c r="AV733" s="33"/>
      <c r="AW733" s="33"/>
      <c r="AX733" s="33"/>
      <c r="AY733" s="33"/>
      <c r="AZ733" s="33"/>
      <c r="BA733" s="33"/>
      <c r="BB733" s="33"/>
      <c r="BC733" s="33"/>
      <c r="BD733" s="33"/>
      <c r="BE733" s="33"/>
      <c r="BF733" s="33"/>
      <c r="BG733" s="33"/>
      <c r="BH733" s="33"/>
      <c r="BI733" s="33"/>
      <c r="BJ733" s="33"/>
      <c r="BK733" s="33"/>
    </row>
    <row r="734" spans="1:63" ht="15" customHeight="1">
      <c r="A734" s="197"/>
      <c r="B734" s="197"/>
      <c r="C734" s="197"/>
      <c r="D734" s="197"/>
      <c r="E734" s="197"/>
      <c r="F734" s="197"/>
      <c r="G734" s="197"/>
      <c r="H734" s="197"/>
      <c r="I734" s="197"/>
      <c r="J734" s="197"/>
      <c r="K734" s="197"/>
      <c r="L734" s="197"/>
      <c r="M734" s="197"/>
      <c r="N734" s="197"/>
      <c r="O734" s="197"/>
      <c r="P734" s="197"/>
      <c r="Q734" s="197"/>
      <c r="R734" s="197"/>
      <c r="S734" s="197"/>
      <c r="T734" s="197"/>
      <c r="U734" s="197"/>
      <c r="V734" s="197"/>
      <c r="W734" s="197"/>
      <c r="X734" s="197"/>
      <c r="Y734" s="197"/>
      <c r="Z734" s="197"/>
      <c r="AA734" s="197"/>
      <c r="AB734" s="197"/>
      <c r="AC734" s="197"/>
      <c r="AD734" s="197"/>
      <c r="AE734" s="197"/>
      <c r="AF734" s="197"/>
      <c r="AG734" s="197"/>
      <c r="AH734" s="197"/>
      <c r="AI734" s="197"/>
      <c r="AJ734" s="201"/>
      <c r="AK734" s="33"/>
      <c r="AL734" s="33"/>
      <c r="AM734" s="33"/>
      <c r="AN734" s="33"/>
      <c r="AO734" s="33"/>
      <c r="AP734" s="33"/>
      <c r="AQ734" s="33"/>
      <c r="AR734" s="33"/>
      <c r="AS734" s="33"/>
      <c r="AT734" s="33"/>
      <c r="AU734" s="33"/>
      <c r="AV734" s="33"/>
      <c r="AW734" s="33"/>
      <c r="AX734" s="33"/>
      <c r="AY734" s="33"/>
      <c r="AZ734" s="33"/>
      <c r="BA734" s="33"/>
      <c r="BB734" s="33"/>
      <c r="BC734" s="33"/>
      <c r="BD734" s="33"/>
      <c r="BE734" s="33"/>
      <c r="BF734" s="33"/>
      <c r="BG734" s="33"/>
      <c r="BH734" s="33"/>
      <c r="BI734" s="33"/>
      <c r="BJ734" s="33"/>
      <c r="BK734" s="33"/>
    </row>
    <row r="735" spans="1:63" ht="15" customHeight="1">
      <c r="A735" s="197"/>
      <c r="B735" s="197"/>
      <c r="C735" s="197"/>
      <c r="D735" s="197"/>
      <c r="E735" s="197"/>
      <c r="F735" s="197"/>
      <c r="G735" s="197"/>
      <c r="H735" s="197"/>
      <c r="I735" s="197"/>
      <c r="J735" s="197"/>
      <c r="K735" s="197"/>
      <c r="L735" s="197"/>
      <c r="M735" s="197"/>
      <c r="N735" s="197"/>
      <c r="O735" s="197"/>
      <c r="P735" s="197"/>
      <c r="Q735" s="197"/>
      <c r="R735" s="197"/>
      <c r="S735" s="197"/>
      <c r="T735" s="197"/>
      <c r="U735" s="197"/>
      <c r="V735" s="197"/>
      <c r="W735" s="197"/>
      <c r="X735" s="197"/>
      <c r="Y735" s="197"/>
      <c r="Z735" s="197"/>
      <c r="AA735" s="197"/>
      <c r="AB735" s="197"/>
      <c r="AC735" s="197"/>
      <c r="AD735" s="197"/>
      <c r="AE735" s="197"/>
      <c r="AF735" s="197"/>
      <c r="AG735" s="197"/>
      <c r="AH735" s="197"/>
      <c r="AI735" s="197"/>
      <c r="AJ735" s="201"/>
      <c r="AK735" s="33"/>
      <c r="AL735" s="33"/>
      <c r="AM735" s="33"/>
      <c r="AN735" s="33"/>
      <c r="AO735" s="33"/>
      <c r="AP735" s="33"/>
      <c r="AQ735" s="33"/>
      <c r="AR735" s="33"/>
      <c r="AS735" s="33"/>
      <c r="AT735" s="33"/>
      <c r="AU735" s="33"/>
      <c r="AV735" s="33"/>
      <c r="AW735" s="33"/>
      <c r="AX735" s="33"/>
      <c r="AY735" s="33"/>
      <c r="AZ735" s="33"/>
      <c r="BA735" s="33"/>
      <c r="BB735" s="33"/>
      <c r="BC735" s="33"/>
      <c r="BD735" s="33"/>
      <c r="BE735" s="33"/>
      <c r="BF735" s="33"/>
      <c r="BG735" s="33"/>
      <c r="BH735" s="33"/>
      <c r="BI735" s="33"/>
      <c r="BJ735" s="33"/>
      <c r="BK735" s="33"/>
    </row>
    <row r="736" spans="1:63" ht="15" customHeight="1">
      <c r="A736" s="197"/>
      <c r="B736" s="197"/>
      <c r="C736" s="197"/>
      <c r="D736" s="197"/>
      <c r="E736" s="197"/>
      <c r="F736" s="197"/>
      <c r="G736" s="197"/>
      <c r="H736" s="197"/>
      <c r="I736" s="197"/>
      <c r="J736" s="197"/>
      <c r="K736" s="197"/>
      <c r="L736" s="197"/>
      <c r="M736" s="197"/>
      <c r="N736" s="197"/>
      <c r="O736" s="197"/>
      <c r="P736" s="197"/>
      <c r="Q736" s="197"/>
      <c r="R736" s="197"/>
      <c r="S736" s="197"/>
      <c r="T736" s="197"/>
      <c r="U736" s="197"/>
      <c r="V736" s="197"/>
      <c r="W736" s="197"/>
      <c r="X736" s="197"/>
      <c r="Y736" s="197"/>
      <c r="Z736" s="197"/>
      <c r="AA736" s="197"/>
      <c r="AB736" s="197"/>
      <c r="AC736" s="197"/>
      <c r="AD736" s="197"/>
      <c r="AE736" s="197"/>
      <c r="AF736" s="197"/>
      <c r="AG736" s="197"/>
      <c r="AH736" s="197"/>
      <c r="AI736" s="197"/>
      <c r="AJ736" s="201"/>
      <c r="AK736" s="33"/>
      <c r="AL736" s="33"/>
      <c r="AM736" s="33"/>
      <c r="AN736" s="33"/>
      <c r="AO736" s="33"/>
      <c r="AP736" s="33"/>
      <c r="AQ736" s="33"/>
      <c r="AR736" s="33"/>
      <c r="AS736" s="33"/>
      <c r="AT736" s="33"/>
      <c r="AU736" s="33"/>
      <c r="AV736" s="33"/>
      <c r="AW736" s="33"/>
      <c r="AX736" s="33"/>
      <c r="AY736" s="33"/>
      <c r="AZ736" s="33"/>
      <c r="BA736" s="33"/>
      <c r="BB736" s="33"/>
      <c r="BC736" s="33"/>
      <c r="BD736" s="33"/>
      <c r="BE736" s="33"/>
      <c r="BF736" s="33"/>
      <c r="BG736" s="33"/>
      <c r="BH736" s="33"/>
      <c r="BI736" s="33"/>
      <c r="BJ736" s="33"/>
      <c r="BK736" s="33"/>
    </row>
    <row r="737" spans="1:63" ht="15" customHeight="1">
      <c r="A737" s="197"/>
      <c r="B737" s="197"/>
      <c r="C737" s="197"/>
      <c r="D737" s="197"/>
      <c r="E737" s="197"/>
      <c r="F737" s="197"/>
      <c r="G737" s="197"/>
      <c r="H737" s="197"/>
      <c r="I737" s="197"/>
      <c r="J737" s="197"/>
      <c r="K737" s="197"/>
      <c r="L737" s="197"/>
      <c r="M737" s="197"/>
      <c r="N737" s="197"/>
      <c r="O737" s="197"/>
      <c r="P737" s="197"/>
      <c r="Q737" s="197"/>
      <c r="R737" s="197"/>
      <c r="S737" s="197"/>
      <c r="T737" s="197"/>
      <c r="U737" s="197"/>
      <c r="V737" s="197"/>
      <c r="W737" s="197"/>
      <c r="X737" s="197"/>
      <c r="Y737" s="197"/>
      <c r="Z737" s="197"/>
      <c r="AA737" s="197"/>
      <c r="AB737" s="197"/>
      <c r="AC737" s="197"/>
      <c r="AD737" s="197"/>
      <c r="AE737" s="197"/>
      <c r="AF737" s="197"/>
      <c r="AG737" s="197"/>
      <c r="AH737" s="197"/>
      <c r="AI737" s="197"/>
      <c r="AJ737" s="201"/>
      <c r="AK737" s="33"/>
      <c r="AL737" s="33"/>
      <c r="AM737" s="33"/>
      <c r="AN737" s="33"/>
      <c r="AO737" s="33"/>
      <c r="AP737" s="33"/>
      <c r="AQ737" s="33"/>
      <c r="AR737" s="33"/>
      <c r="AS737" s="33"/>
      <c r="AT737" s="33"/>
      <c r="AU737" s="33"/>
      <c r="AV737" s="33"/>
      <c r="AW737" s="33"/>
      <c r="AX737" s="33"/>
      <c r="AY737" s="33"/>
      <c r="AZ737" s="33"/>
      <c r="BA737" s="33"/>
      <c r="BB737" s="33"/>
      <c r="BC737" s="33"/>
      <c r="BD737" s="33"/>
      <c r="BE737" s="33"/>
      <c r="BF737" s="33"/>
      <c r="BG737" s="33"/>
      <c r="BH737" s="33"/>
      <c r="BI737" s="33"/>
      <c r="BJ737" s="33"/>
      <c r="BK737" s="33"/>
    </row>
    <row r="738" spans="1:63" ht="15" customHeight="1">
      <c r="A738" s="197"/>
      <c r="B738" s="197"/>
      <c r="C738" s="197"/>
      <c r="D738" s="197"/>
      <c r="E738" s="197"/>
      <c r="F738" s="197"/>
      <c r="G738" s="197"/>
      <c r="H738" s="197"/>
      <c r="I738" s="197"/>
      <c r="J738" s="197"/>
      <c r="K738" s="197"/>
      <c r="L738" s="197"/>
      <c r="M738" s="197"/>
      <c r="N738" s="197"/>
      <c r="O738" s="197"/>
      <c r="P738" s="197"/>
      <c r="Q738" s="197"/>
      <c r="R738" s="197"/>
      <c r="S738" s="197"/>
      <c r="T738" s="197"/>
      <c r="U738" s="197"/>
      <c r="V738" s="197"/>
      <c r="W738" s="197"/>
      <c r="X738" s="197"/>
      <c r="Y738" s="197"/>
      <c r="Z738" s="197"/>
      <c r="AA738" s="197"/>
      <c r="AB738" s="197"/>
      <c r="AC738" s="197"/>
      <c r="AD738" s="197"/>
      <c r="AE738" s="197"/>
      <c r="AF738" s="197"/>
      <c r="AG738" s="197"/>
      <c r="AH738" s="197"/>
      <c r="AI738" s="197"/>
      <c r="AJ738" s="201"/>
      <c r="AK738" s="33"/>
      <c r="AL738" s="33"/>
      <c r="AM738" s="33"/>
      <c r="AN738" s="33"/>
      <c r="AO738" s="33"/>
      <c r="AP738" s="33"/>
      <c r="AQ738" s="33"/>
      <c r="AR738" s="33"/>
      <c r="AS738" s="33"/>
      <c r="AT738" s="33"/>
      <c r="AU738" s="33"/>
      <c r="AV738" s="33"/>
      <c r="AW738" s="33"/>
      <c r="AX738" s="33"/>
      <c r="AY738" s="33"/>
      <c r="AZ738" s="33"/>
      <c r="BA738" s="33"/>
      <c r="BB738" s="33"/>
      <c r="BC738" s="33"/>
      <c r="BD738" s="33"/>
      <c r="BE738" s="33"/>
      <c r="BF738" s="33"/>
      <c r="BG738" s="33"/>
      <c r="BH738" s="33"/>
      <c r="BI738" s="33"/>
      <c r="BJ738" s="33"/>
      <c r="BK738" s="33"/>
    </row>
    <row r="739" spans="1:63" ht="15" customHeight="1">
      <c r="A739" s="197"/>
      <c r="B739" s="197"/>
      <c r="C739" s="197"/>
      <c r="D739" s="197"/>
      <c r="E739" s="197"/>
      <c r="F739" s="197"/>
      <c r="G739" s="197"/>
      <c r="H739" s="197"/>
      <c r="I739" s="197"/>
      <c r="J739" s="197"/>
      <c r="K739" s="197"/>
      <c r="L739" s="197"/>
      <c r="M739" s="197"/>
      <c r="N739" s="197"/>
      <c r="O739" s="197"/>
      <c r="P739" s="197"/>
      <c r="Q739" s="197"/>
      <c r="R739" s="197"/>
      <c r="S739" s="197"/>
      <c r="T739" s="197"/>
      <c r="U739" s="197"/>
      <c r="V739" s="197"/>
      <c r="W739" s="197"/>
      <c r="X739" s="197"/>
      <c r="Y739" s="197"/>
      <c r="Z739" s="197"/>
      <c r="AA739" s="197"/>
      <c r="AB739" s="197"/>
      <c r="AC739" s="197"/>
      <c r="AD739" s="197"/>
      <c r="AE739" s="197"/>
      <c r="AF739" s="197"/>
      <c r="AG739" s="197"/>
      <c r="AH739" s="197"/>
      <c r="AI739" s="197"/>
      <c r="AJ739" s="201"/>
      <c r="AK739" s="33"/>
      <c r="AL739" s="33"/>
      <c r="AM739" s="33"/>
      <c r="AN739" s="33"/>
      <c r="AO739" s="33"/>
      <c r="AP739" s="33"/>
      <c r="AQ739" s="33"/>
      <c r="AR739" s="33"/>
      <c r="AS739" s="33"/>
      <c r="AT739" s="33"/>
      <c r="AU739" s="33"/>
      <c r="AV739" s="33"/>
      <c r="AW739" s="33"/>
      <c r="AX739" s="33"/>
      <c r="AY739" s="33"/>
      <c r="AZ739" s="33"/>
      <c r="BA739" s="33"/>
      <c r="BB739" s="33"/>
      <c r="BC739" s="33"/>
      <c r="BD739" s="33"/>
      <c r="BE739" s="33"/>
      <c r="BF739" s="33"/>
      <c r="BG739" s="33"/>
      <c r="BH739" s="33"/>
      <c r="BI739" s="33"/>
      <c r="BJ739" s="33"/>
      <c r="BK739" s="33"/>
    </row>
    <row r="740" spans="1:63" ht="15" customHeight="1">
      <c r="A740" s="197"/>
      <c r="B740" s="197"/>
      <c r="C740" s="197"/>
      <c r="D740" s="197"/>
      <c r="E740" s="197"/>
      <c r="F740" s="197"/>
      <c r="G740" s="197"/>
      <c r="H740" s="197"/>
      <c r="I740" s="197"/>
      <c r="J740" s="197"/>
      <c r="K740" s="197"/>
      <c r="L740" s="197"/>
      <c r="M740" s="197"/>
      <c r="N740" s="197"/>
      <c r="O740" s="197"/>
      <c r="P740" s="197"/>
      <c r="Q740" s="197"/>
      <c r="R740" s="197"/>
      <c r="S740" s="197"/>
      <c r="T740" s="197"/>
      <c r="U740" s="197"/>
      <c r="V740" s="197"/>
      <c r="W740" s="197"/>
      <c r="X740" s="197"/>
      <c r="Y740" s="197"/>
      <c r="Z740" s="197"/>
      <c r="AA740" s="197"/>
      <c r="AB740" s="197"/>
      <c r="AC740" s="197"/>
      <c r="AD740" s="197"/>
      <c r="AE740" s="197"/>
      <c r="AF740" s="197"/>
      <c r="AG740" s="197"/>
      <c r="AH740" s="197"/>
      <c r="AI740" s="197"/>
      <c r="AJ740" s="201"/>
      <c r="AK740" s="33"/>
      <c r="AL740" s="33"/>
      <c r="AM740" s="33"/>
      <c r="AN740" s="33"/>
      <c r="AO740" s="33"/>
      <c r="AP740" s="33"/>
      <c r="AQ740" s="33"/>
      <c r="AR740" s="33"/>
      <c r="AS740" s="33"/>
      <c r="AT740" s="33"/>
      <c r="AU740" s="33"/>
      <c r="AV740" s="33"/>
      <c r="AW740" s="33"/>
      <c r="AX740" s="33"/>
      <c r="AY740" s="33"/>
      <c r="AZ740" s="33"/>
      <c r="BA740" s="33"/>
      <c r="BB740" s="33"/>
      <c r="BC740" s="33"/>
      <c r="BD740" s="33"/>
      <c r="BE740" s="33"/>
      <c r="BF740" s="33"/>
      <c r="BG740" s="33"/>
      <c r="BH740" s="33"/>
      <c r="BI740" s="33"/>
      <c r="BJ740" s="33"/>
      <c r="BK740" s="33"/>
    </row>
    <row r="741" spans="1:63" ht="15" customHeight="1">
      <c r="A741" s="197"/>
      <c r="B741" s="197"/>
      <c r="C741" s="197"/>
      <c r="D741" s="197"/>
      <c r="E741" s="197"/>
      <c r="F741" s="197"/>
      <c r="G741" s="197"/>
      <c r="H741" s="197"/>
      <c r="I741" s="197"/>
      <c r="J741" s="197"/>
      <c r="K741" s="197"/>
      <c r="L741" s="197"/>
      <c r="M741" s="197"/>
      <c r="N741" s="197"/>
      <c r="O741" s="197"/>
      <c r="P741" s="197"/>
      <c r="Q741" s="197"/>
      <c r="R741" s="197"/>
      <c r="S741" s="197"/>
      <c r="T741" s="197"/>
      <c r="U741" s="197"/>
      <c r="V741" s="197"/>
      <c r="W741" s="197"/>
      <c r="X741" s="197"/>
      <c r="Y741" s="197"/>
      <c r="Z741" s="197"/>
      <c r="AA741" s="197"/>
      <c r="AB741" s="197"/>
      <c r="AC741" s="197"/>
      <c r="AD741" s="197"/>
      <c r="AE741" s="197"/>
      <c r="AF741" s="197"/>
      <c r="AG741" s="197"/>
      <c r="AH741" s="197"/>
      <c r="AI741" s="197"/>
      <c r="AJ741" s="201"/>
      <c r="AK741" s="33"/>
      <c r="AL741" s="33"/>
      <c r="AM741" s="33"/>
      <c r="AN741" s="33"/>
      <c r="AO741" s="33"/>
      <c r="AP741" s="33"/>
      <c r="AQ741" s="33"/>
      <c r="AR741" s="33"/>
      <c r="AS741" s="33"/>
      <c r="AT741" s="33"/>
      <c r="AU741" s="33"/>
      <c r="AV741" s="33"/>
      <c r="AW741" s="33"/>
      <c r="AX741" s="33"/>
      <c r="AY741" s="33"/>
      <c r="AZ741" s="33"/>
      <c r="BA741" s="33"/>
      <c r="BB741" s="33"/>
      <c r="BC741" s="33"/>
      <c r="BD741" s="33"/>
      <c r="BE741" s="33"/>
      <c r="BF741" s="33"/>
      <c r="BG741" s="33"/>
      <c r="BH741" s="33"/>
      <c r="BI741" s="33"/>
      <c r="BJ741" s="33"/>
      <c r="BK741" s="33"/>
    </row>
    <row r="742" spans="1:63" ht="15" customHeight="1">
      <c r="A742" s="197"/>
      <c r="B742" s="197"/>
      <c r="C742" s="197"/>
      <c r="D742" s="197"/>
      <c r="E742" s="197"/>
      <c r="F742" s="197"/>
      <c r="G742" s="197"/>
      <c r="H742" s="197"/>
      <c r="I742" s="197"/>
      <c r="J742" s="197"/>
      <c r="K742" s="197"/>
      <c r="L742" s="197"/>
      <c r="M742" s="197"/>
      <c r="N742" s="197"/>
      <c r="O742" s="197"/>
      <c r="P742" s="197"/>
      <c r="Q742" s="197"/>
      <c r="R742" s="197"/>
      <c r="S742" s="197"/>
      <c r="T742" s="197"/>
      <c r="U742" s="197"/>
      <c r="V742" s="197"/>
      <c r="W742" s="197"/>
      <c r="X742" s="197"/>
      <c r="Y742" s="197"/>
      <c r="Z742" s="197"/>
      <c r="AA742" s="197"/>
      <c r="AB742" s="197"/>
      <c r="AC742" s="197"/>
      <c r="AD742" s="197"/>
      <c r="AE742" s="197"/>
      <c r="AF742" s="197"/>
      <c r="AG742" s="197"/>
      <c r="AH742" s="197"/>
      <c r="AI742" s="197"/>
      <c r="AJ742" s="201"/>
      <c r="AK742" s="33"/>
      <c r="AL742" s="33"/>
      <c r="AM742" s="33"/>
      <c r="AN742" s="33"/>
      <c r="AO742" s="33"/>
      <c r="AP742" s="33"/>
      <c r="AQ742" s="33"/>
      <c r="AR742" s="33"/>
      <c r="AS742" s="33"/>
      <c r="AT742" s="33"/>
      <c r="AU742" s="33"/>
      <c r="AV742" s="33"/>
      <c r="AW742" s="33"/>
      <c r="AX742" s="33"/>
      <c r="AY742" s="33"/>
      <c r="AZ742" s="33"/>
      <c r="BA742" s="33"/>
      <c r="BB742" s="33"/>
      <c r="BC742" s="33"/>
      <c r="BD742" s="33"/>
      <c r="BE742" s="33"/>
      <c r="BF742" s="33"/>
      <c r="BG742" s="33"/>
      <c r="BH742" s="33"/>
      <c r="BI742" s="33"/>
      <c r="BJ742" s="33"/>
      <c r="BK742" s="33"/>
    </row>
    <row r="743" spans="1:63" ht="15" customHeight="1">
      <c r="A743" s="197"/>
      <c r="B743" s="197"/>
      <c r="C743" s="197"/>
      <c r="D743" s="197"/>
      <c r="E743" s="197"/>
      <c r="F743" s="197"/>
      <c r="G743" s="197"/>
      <c r="H743" s="197"/>
      <c r="I743" s="197"/>
      <c r="J743" s="197"/>
      <c r="K743" s="197"/>
      <c r="L743" s="197"/>
      <c r="M743" s="197"/>
      <c r="N743" s="197"/>
      <c r="O743" s="197"/>
      <c r="P743" s="197"/>
      <c r="Q743" s="197"/>
      <c r="R743" s="197"/>
      <c r="S743" s="197"/>
      <c r="T743" s="197"/>
      <c r="U743" s="197"/>
      <c r="V743" s="197"/>
      <c r="W743" s="197"/>
      <c r="X743" s="197"/>
      <c r="Y743" s="197"/>
      <c r="Z743" s="197"/>
      <c r="AA743" s="197"/>
      <c r="AB743" s="197"/>
      <c r="AC743" s="197"/>
      <c r="AD743" s="197"/>
      <c r="AE743" s="197"/>
      <c r="AF743" s="197"/>
      <c r="AG743" s="197"/>
      <c r="AH743" s="197"/>
      <c r="AI743" s="197"/>
      <c r="AJ743" s="201"/>
      <c r="AK743" s="33"/>
      <c r="AL743" s="33"/>
      <c r="AM743" s="33"/>
      <c r="AN743" s="33"/>
      <c r="AO743" s="33"/>
      <c r="AP743" s="33"/>
      <c r="AQ743" s="33"/>
      <c r="AR743" s="33"/>
      <c r="AS743" s="33"/>
      <c r="AT743" s="33"/>
      <c r="AU743" s="33"/>
      <c r="AV743" s="33"/>
      <c r="AW743" s="33"/>
      <c r="AX743" s="33"/>
      <c r="AY743" s="33"/>
      <c r="AZ743" s="33"/>
      <c r="BA743" s="33"/>
      <c r="BB743" s="33"/>
      <c r="BC743" s="33"/>
      <c r="BD743" s="33"/>
      <c r="BE743" s="33"/>
      <c r="BF743" s="33"/>
      <c r="BG743" s="33"/>
      <c r="BH743" s="33"/>
      <c r="BI743" s="33"/>
      <c r="BJ743" s="33"/>
      <c r="BK743" s="33"/>
    </row>
    <row r="744" spans="1:63" ht="15" customHeight="1">
      <c r="A744" s="197"/>
      <c r="B744" s="197"/>
      <c r="C744" s="197"/>
      <c r="D744" s="197"/>
      <c r="E744" s="197"/>
      <c r="F744" s="197"/>
      <c r="G744" s="197"/>
      <c r="H744" s="197"/>
      <c r="I744" s="197"/>
      <c r="J744" s="197"/>
      <c r="K744" s="197"/>
      <c r="L744" s="197"/>
      <c r="M744" s="197"/>
      <c r="N744" s="197"/>
      <c r="O744" s="197"/>
      <c r="P744" s="197"/>
      <c r="Q744" s="197"/>
      <c r="R744" s="197"/>
      <c r="S744" s="197"/>
      <c r="T744" s="197"/>
      <c r="U744" s="197"/>
      <c r="V744" s="197"/>
      <c r="W744" s="197"/>
      <c r="X744" s="197"/>
      <c r="Y744" s="197"/>
      <c r="Z744" s="197"/>
      <c r="AA744" s="197"/>
      <c r="AB744" s="197"/>
      <c r="AC744" s="197"/>
      <c r="AD744" s="197"/>
      <c r="AE744" s="197"/>
      <c r="AF744" s="197"/>
      <c r="AG744" s="197"/>
      <c r="AH744" s="197"/>
      <c r="AI744" s="197"/>
      <c r="AJ744" s="201"/>
      <c r="AK744" s="33"/>
      <c r="AL744" s="33"/>
      <c r="AM744" s="33"/>
      <c r="AN744" s="33"/>
      <c r="AO744" s="33"/>
      <c r="AP744" s="33"/>
      <c r="AQ744" s="33"/>
      <c r="AR744" s="33"/>
      <c r="AS744" s="33"/>
      <c r="AT744" s="33"/>
      <c r="AU744" s="33"/>
      <c r="AV744" s="33"/>
      <c r="AW744" s="33"/>
      <c r="AX744" s="33"/>
      <c r="AY744" s="33"/>
      <c r="AZ744" s="33"/>
      <c r="BA744" s="33"/>
      <c r="BB744" s="33"/>
      <c r="BC744" s="33"/>
      <c r="BD744" s="33"/>
      <c r="BE744" s="33"/>
      <c r="BF744" s="33"/>
      <c r="BG744" s="33"/>
      <c r="BH744" s="33"/>
      <c r="BI744" s="33"/>
      <c r="BJ744" s="33"/>
      <c r="BK744" s="33"/>
    </row>
    <row r="745" spans="1:63" ht="15" customHeight="1">
      <c r="A745" s="197"/>
      <c r="B745" s="197"/>
      <c r="C745" s="197"/>
      <c r="D745" s="197"/>
      <c r="E745" s="197"/>
      <c r="F745" s="197"/>
      <c r="G745" s="197"/>
      <c r="H745" s="197"/>
      <c r="I745" s="197"/>
      <c r="J745" s="197"/>
      <c r="K745" s="197"/>
      <c r="L745" s="197"/>
      <c r="M745" s="197"/>
      <c r="N745" s="197"/>
      <c r="O745" s="197"/>
      <c r="P745" s="197"/>
      <c r="Q745" s="197"/>
      <c r="R745" s="197"/>
      <c r="S745" s="197"/>
      <c r="T745" s="197"/>
      <c r="U745" s="197"/>
      <c r="V745" s="197"/>
      <c r="W745" s="197"/>
      <c r="X745" s="197"/>
      <c r="Y745" s="197"/>
      <c r="Z745" s="197"/>
      <c r="AA745" s="197"/>
      <c r="AB745" s="197"/>
      <c r="AC745" s="197"/>
      <c r="AD745" s="197"/>
      <c r="AE745" s="197"/>
      <c r="AF745" s="197"/>
      <c r="AG745" s="197"/>
      <c r="AH745" s="197"/>
      <c r="AI745" s="197"/>
      <c r="AJ745" s="201"/>
      <c r="AK745" s="33"/>
      <c r="AL745" s="33"/>
      <c r="AM745" s="33"/>
      <c r="AN745" s="33"/>
      <c r="AO745" s="33"/>
      <c r="AP745" s="33"/>
      <c r="AQ745" s="33"/>
      <c r="AR745" s="33"/>
      <c r="AS745" s="33"/>
      <c r="AT745" s="33"/>
      <c r="AU745" s="33"/>
      <c r="AV745" s="33"/>
      <c r="AW745" s="33"/>
      <c r="AX745" s="33"/>
      <c r="AY745" s="33"/>
      <c r="AZ745" s="33"/>
      <c r="BA745" s="33"/>
      <c r="BB745" s="33"/>
      <c r="BC745" s="33"/>
      <c r="BD745" s="33"/>
      <c r="BE745" s="33"/>
      <c r="BF745" s="33"/>
      <c r="BG745" s="33"/>
      <c r="BH745" s="33"/>
      <c r="BI745" s="33"/>
      <c r="BJ745" s="33"/>
      <c r="BK745" s="33"/>
    </row>
    <row r="746" spans="1:63" ht="15" customHeight="1">
      <c r="A746" s="197"/>
      <c r="B746" s="197"/>
      <c r="C746" s="197"/>
      <c r="D746" s="197"/>
      <c r="E746" s="197"/>
      <c r="F746" s="197"/>
      <c r="G746" s="197"/>
      <c r="H746" s="197"/>
      <c r="I746" s="197"/>
      <c r="J746" s="197"/>
      <c r="K746" s="197"/>
      <c r="L746" s="197"/>
      <c r="M746" s="197"/>
      <c r="N746" s="197"/>
      <c r="O746" s="197"/>
      <c r="P746" s="197"/>
      <c r="Q746" s="197"/>
      <c r="R746" s="197"/>
      <c r="S746" s="197"/>
      <c r="T746" s="197"/>
      <c r="U746" s="197"/>
      <c r="V746" s="197"/>
      <c r="W746" s="197"/>
      <c r="X746" s="197"/>
      <c r="Y746" s="197"/>
      <c r="Z746" s="197"/>
      <c r="AA746" s="197"/>
      <c r="AB746" s="197"/>
      <c r="AC746" s="197"/>
      <c r="AD746" s="197"/>
      <c r="AE746" s="197"/>
      <c r="AF746" s="197"/>
      <c r="AG746" s="197"/>
      <c r="AH746" s="197"/>
      <c r="AI746" s="197"/>
      <c r="AJ746" s="201"/>
      <c r="AK746" s="33"/>
      <c r="AL746" s="33"/>
      <c r="AM746" s="33"/>
      <c r="AN746" s="33"/>
      <c r="AO746" s="33"/>
      <c r="AP746" s="33"/>
      <c r="AQ746" s="33"/>
      <c r="AR746" s="33"/>
      <c r="AS746" s="33"/>
      <c r="AT746" s="33"/>
      <c r="AU746" s="33"/>
      <c r="AV746" s="33"/>
      <c r="AW746" s="33"/>
      <c r="AX746" s="33"/>
      <c r="AY746" s="33"/>
      <c r="AZ746" s="33"/>
      <c r="BA746" s="33"/>
      <c r="BB746" s="33"/>
      <c r="BC746" s="33"/>
      <c r="BD746" s="33"/>
      <c r="BE746" s="33"/>
      <c r="BF746" s="33"/>
      <c r="BG746" s="33"/>
      <c r="BH746" s="33"/>
      <c r="BI746" s="33"/>
      <c r="BJ746" s="33"/>
      <c r="BK746" s="33"/>
    </row>
    <row r="747" spans="1:63" ht="15" customHeight="1">
      <c r="A747" s="197"/>
      <c r="B747" s="197"/>
      <c r="C747" s="197"/>
      <c r="D747" s="197"/>
      <c r="E747" s="197"/>
      <c r="F747" s="197"/>
      <c r="G747" s="197"/>
      <c r="H747" s="197"/>
      <c r="I747" s="197"/>
      <c r="J747" s="197"/>
      <c r="K747" s="197"/>
      <c r="L747" s="197"/>
      <c r="M747" s="197"/>
      <c r="N747" s="197"/>
      <c r="O747" s="197"/>
      <c r="P747" s="197"/>
      <c r="Q747" s="197"/>
      <c r="R747" s="197"/>
      <c r="S747" s="197"/>
      <c r="T747" s="197"/>
      <c r="U747" s="197"/>
      <c r="V747" s="197"/>
      <c r="W747" s="197"/>
      <c r="X747" s="197"/>
      <c r="Y747" s="197"/>
      <c r="Z747" s="197"/>
      <c r="AA747" s="197"/>
      <c r="AB747" s="197"/>
      <c r="AC747" s="197"/>
      <c r="AD747" s="197"/>
      <c r="AE747" s="197"/>
      <c r="AF747" s="197"/>
      <c r="AG747" s="197"/>
      <c r="AH747" s="197"/>
      <c r="AI747" s="197"/>
      <c r="AJ747" s="201"/>
      <c r="AK747" s="33"/>
      <c r="AL747" s="33"/>
      <c r="AM747" s="33"/>
      <c r="AN747" s="33"/>
      <c r="AO747" s="33"/>
      <c r="AP747" s="33"/>
      <c r="AQ747" s="33"/>
      <c r="AR747" s="33"/>
      <c r="AS747" s="33"/>
      <c r="AT747" s="33"/>
      <c r="AU747" s="33"/>
      <c r="AV747" s="33"/>
      <c r="AW747" s="33"/>
      <c r="AX747" s="33"/>
      <c r="AY747" s="33"/>
      <c r="AZ747" s="33"/>
      <c r="BA747" s="33"/>
      <c r="BB747" s="33"/>
      <c r="BC747" s="33"/>
      <c r="BD747" s="33"/>
      <c r="BE747" s="33"/>
      <c r="BF747" s="33"/>
      <c r="BG747" s="33"/>
      <c r="BH747" s="33"/>
      <c r="BI747" s="33"/>
      <c r="BJ747" s="33"/>
      <c r="BK747" s="33"/>
    </row>
    <row r="748" spans="1:63" ht="15" customHeight="1">
      <c r="A748" s="197"/>
      <c r="B748" s="197"/>
      <c r="C748" s="197"/>
      <c r="D748" s="197"/>
      <c r="E748" s="197"/>
      <c r="F748" s="197"/>
      <c r="G748" s="197"/>
      <c r="H748" s="197"/>
      <c r="I748" s="197"/>
      <c r="J748" s="197"/>
      <c r="K748" s="197"/>
      <c r="L748" s="197"/>
      <c r="M748" s="197"/>
      <c r="N748" s="197"/>
      <c r="O748" s="197"/>
      <c r="P748" s="197"/>
      <c r="Q748" s="197"/>
      <c r="R748" s="197"/>
      <c r="S748" s="197"/>
      <c r="T748" s="197"/>
      <c r="U748" s="197"/>
      <c r="V748" s="197"/>
      <c r="W748" s="197"/>
      <c r="X748" s="197"/>
      <c r="Y748" s="197"/>
      <c r="Z748" s="197"/>
      <c r="AA748" s="197"/>
      <c r="AB748" s="197"/>
      <c r="AC748" s="197"/>
      <c r="AD748" s="197"/>
      <c r="AE748" s="197"/>
      <c r="AF748" s="197"/>
      <c r="AG748" s="197"/>
      <c r="AH748" s="197"/>
      <c r="AI748" s="197"/>
      <c r="AJ748" s="201"/>
      <c r="AK748" s="33"/>
      <c r="AL748" s="33"/>
      <c r="AM748" s="33"/>
      <c r="AN748" s="33"/>
      <c r="AO748" s="33"/>
      <c r="AP748" s="33"/>
      <c r="AQ748" s="33"/>
      <c r="AR748" s="33"/>
      <c r="AS748" s="33"/>
      <c r="AT748" s="33"/>
      <c r="AU748" s="33"/>
      <c r="AV748" s="33"/>
      <c r="AW748" s="33"/>
      <c r="AX748" s="33"/>
      <c r="AY748" s="33"/>
      <c r="AZ748" s="33"/>
      <c r="BA748" s="33"/>
      <c r="BB748" s="33"/>
      <c r="BC748" s="33"/>
      <c r="BD748" s="33"/>
      <c r="BE748" s="33"/>
      <c r="BF748" s="33"/>
      <c r="BG748" s="33"/>
      <c r="BH748" s="33"/>
      <c r="BI748" s="33"/>
      <c r="BJ748" s="33"/>
      <c r="BK748" s="33"/>
    </row>
    <row r="749" spans="1:63" ht="15" customHeight="1">
      <c r="A749" s="197"/>
      <c r="B749" s="197"/>
      <c r="C749" s="197"/>
      <c r="D749" s="197"/>
      <c r="E749" s="197"/>
      <c r="F749" s="197"/>
      <c r="G749" s="197"/>
      <c r="H749" s="197"/>
      <c r="I749" s="197"/>
      <c r="J749" s="197"/>
      <c r="K749" s="197"/>
      <c r="L749" s="197"/>
      <c r="M749" s="197"/>
      <c r="N749" s="197"/>
      <c r="O749" s="197"/>
      <c r="P749" s="197"/>
      <c r="Q749" s="197"/>
      <c r="R749" s="197"/>
      <c r="S749" s="197"/>
      <c r="T749" s="197"/>
      <c r="U749" s="197"/>
      <c r="V749" s="197"/>
      <c r="W749" s="197"/>
      <c r="X749" s="197"/>
      <c r="Y749" s="197"/>
      <c r="Z749" s="197"/>
      <c r="AA749" s="197"/>
      <c r="AB749" s="197"/>
      <c r="AC749" s="197"/>
      <c r="AD749" s="197"/>
      <c r="AE749" s="197"/>
      <c r="AF749" s="197"/>
      <c r="AG749" s="197"/>
      <c r="AH749" s="197"/>
      <c r="AI749" s="197"/>
      <c r="AJ749" s="201"/>
      <c r="AK749" s="33"/>
      <c r="AL749" s="33"/>
      <c r="AM749" s="33"/>
      <c r="AN749" s="33"/>
      <c r="AO749" s="33"/>
      <c r="AP749" s="33"/>
      <c r="AQ749" s="33"/>
      <c r="AR749" s="33"/>
      <c r="AS749" s="33"/>
      <c r="AT749" s="33"/>
      <c r="AU749" s="33"/>
      <c r="AV749" s="33"/>
      <c r="AW749" s="33"/>
      <c r="AX749" s="33"/>
      <c r="AY749" s="33"/>
      <c r="AZ749" s="33"/>
      <c r="BA749" s="33"/>
      <c r="BB749" s="33"/>
      <c r="BC749" s="33"/>
      <c r="BD749" s="33"/>
      <c r="BE749" s="33"/>
      <c r="BF749" s="33"/>
      <c r="BG749" s="33"/>
      <c r="BH749" s="33"/>
      <c r="BI749" s="33"/>
      <c r="BJ749" s="33"/>
      <c r="BK749" s="33"/>
    </row>
    <row r="750" spans="1:63" ht="15" customHeight="1">
      <c r="A750" s="197"/>
      <c r="B750" s="197"/>
      <c r="C750" s="197"/>
      <c r="D750" s="197"/>
      <c r="E750" s="197"/>
      <c r="F750" s="197"/>
      <c r="G750" s="197"/>
      <c r="H750" s="197"/>
      <c r="I750" s="197"/>
      <c r="J750" s="197"/>
      <c r="K750" s="197"/>
      <c r="L750" s="197"/>
      <c r="M750" s="197"/>
      <c r="N750" s="197"/>
      <c r="O750" s="197"/>
      <c r="P750" s="197"/>
      <c r="Q750" s="197"/>
      <c r="R750" s="197"/>
      <c r="S750" s="197"/>
      <c r="T750" s="197"/>
      <c r="U750" s="197"/>
      <c r="V750" s="197"/>
      <c r="W750" s="197"/>
      <c r="X750" s="197"/>
      <c r="Y750" s="197"/>
      <c r="Z750" s="197"/>
      <c r="AA750" s="197"/>
      <c r="AB750" s="197"/>
      <c r="AC750" s="197"/>
      <c r="AD750" s="197"/>
      <c r="AE750" s="197"/>
      <c r="AF750" s="197"/>
      <c r="AG750" s="197"/>
      <c r="AH750" s="197"/>
      <c r="AI750" s="197"/>
      <c r="AJ750" s="201"/>
      <c r="AK750" s="33"/>
      <c r="AL750" s="33"/>
      <c r="AM750" s="33"/>
      <c r="AN750" s="33"/>
      <c r="AO750" s="33"/>
      <c r="AP750" s="33"/>
      <c r="AQ750" s="33"/>
      <c r="AR750" s="33"/>
      <c r="AS750" s="33"/>
      <c r="AT750" s="33"/>
      <c r="AU750" s="33"/>
      <c r="AV750" s="33"/>
      <c r="AW750" s="33"/>
      <c r="AX750" s="33"/>
      <c r="AY750" s="33"/>
      <c r="AZ750" s="33"/>
      <c r="BA750" s="33"/>
      <c r="BB750" s="33"/>
      <c r="BC750" s="33"/>
      <c r="BD750" s="33"/>
      <c r="BE750" s="33"/>
      <c r="BF750" s="33"/>
      <c r="BG750" s="33"/>
      <c r="BH750" s="33"/>
      <c r="BI750" s="33"/>
      <c r="BJ750" s="33"/>
      <c r="BK750" s="33"/>
    </row>
    <row r="751" spans="1:63" ht="15" customHeight="1">
      <c r="A751" s="197"/>
      <c r="B751" s="197"/>
      <c r="C751" s="197"/>
      <c r="D751" s="197"/>
      <c r="E751" s="197"/>
      <c r="F751" s="197"/>
      <c r="G751" s="197"/>
      <c r="H751" s="197"/>
      <c r="I751" s="197"/>
      <c r="J751" s="197"/>
      <c r="K751" s="197"/>
      <c r="L751" s="197"/>
      <c r="M751" s="197"/>
      <c r="N751" s="197"/>
      <c r="O751" s="197"/>
      <c r="P751" s="197"/>
      <c r="Q751" s="197"/>
      <c r="R751" s="197"/>
      <c r="S751" s="197"/>
      <c r="T751" s="197"/>
      <c r="U751" s="197"/>
      <c r="V751" s="197"/>
      <c r="W751" s="197"/>
      <c r="X751" s="197"/>
      <c r="Y751" s="197"/>
      <c r="Z751" s="197"/>
      <c r="AA751" s="197"/>
      <c r="AB751" s="197"/>
      <c r="AC751" s="197"/>
      <c r="AD751" s="197"/>
      <c r="AE751" s="197"/>
      <c r="AF751" s="197"/>
      <c r="AG751" s="197"/>
      <c r="AH751" s="197"/>
      <c r="AI751" s="197"/>
      <c r="AJ751" s="201"/>
      <c r="AK751" s="33"/>
      <c r="AL751" s="33"/>
      <c r="AM751" s="33"/>
      <c r="AN751" s="33"/>
      <c r="AO751" s="33"/>
      <c r="AP751" s="33"/>
      <c r="AQ751" s="33"/>
      <c r="AR751" s="33"/>
      <c r="AS751" s="33"/>
      <c r="AT751" s="33"/>
      <c r="AU751" s="33"/>
      <c r="AV751" s="33"/>
      <c r="AW751" s="33"/>
      <c r="AX751" s="33"/>
      <c r="AY751" s="33"/>
      <c r="AZ751" s="33"/>
      <c r="BA751" s="33"/>
      <c r="BB751" s="33"/>
      <c r="BC751" s="33"/>
      <c r="BD751" s="33"/>
      <c r="BE751" s="33"/>
      <c r="BF751" s="33"/>
      <c r="BG751" s="33"/>
      <c r="BH751" s="33"/>
      <c r="BI751" s="33"/>
      <c r="BJ751" s="33"/>
      <c r="BK751" s="33"/>
    </row>
    <row r="752" spans="1:63" ht="15" customHeight="1">
      <c r="A752" s="197"/>
      <c r="B752" s="197"/>
      <c r="C752" s="197"/>
      <c r="D752" s="197"/>
      <c r="E752" s="197"/>
      <c r="F752" s="197"/>
      <c r="G752" s="197"/>
      <c r="H752" s="197"/>
      <c r="I752" s="197"/>
      <c r="J752" s="197"/>
      <c r="K752" s="197"/>
      <c r="L752" s="197"/>
      <c r="M752" s="197"/>
      <c r="N752" s="197"/>
      <c r="O752" s="197"/>
      <c r="P752" s="197"/>
      <c r="Q752" s="197"/>
      <c r="R752" s="197"/>
      <c r="S752" s="197"/>
      <c r="T752" s="197"/>
      <c r="U752" s="197"/>
      <c r="V752" s="197"/>
      <c r="W752" s="197"/>
      <c r="X752" s="197"/>
      <c r="Y752" s="197"/>
      <c r="Z752" s="197"/>
      <c r="AA752" s="197"/>
      <c r="AB752" s="197"/>
      <c r="AC752" s="197"/>
      <c r="AD752" s="197"/>
      <c r="AE752" s="197"/>
      <c r="AF752" s="197"/>
      <c r="AG752" s="197"/>
      <c r="AH752" s="197"/>
      <c r="AI752" s="197"/>
      <c r="AJ752" s="201"/>
      <c r="AK752" s="33"/>
      <c r="AL752" s="33"/>
      <c r="AM752" s="33"/>
      <c r="AN752" s="33"/>
      <c r="AO752" s="33"/>
      <c r="AP752" s="33"/>
      <c r="AQ752" s="33"/>
      <c r="AR752" s="33"/>
      <c r="AS752" s="33"/>
      <c r="AT752" s="33"/>
      <c r="AU752" s="33"/>
      <c r="AV752" s="33"/>
      <c r="AW752" s="33"/>
      <c r="AX752" s="33"/>
      <c r="AY752" s="33"/>
      <c r="AZ752" s="33"/>
      <c r="BA752" s="33"/>
      <c r="BB752" s="33"/>
      <c r="BC752" s="33"/>
      <c r="BD752" s="33"/>
      <c r="BE752" s="33"/>
      <c r="BF752" s="33"/>
      <c r="BG752" s="33"/>
      <c r="BH752" s="33"/>
      <c r="BI752" s="33"/>
      <c r="BJ752" s="33"/>
      <c r="BK752" s="33"/>
    </row>
    <row r="753" spans="1:63" ht="15" customHeight="1">
      <c r="A753" s="197"/>
      <c r="B753" s="197"/>
      <c r="C753" s="197"/>
      <c r="D753" s="197"/>
      <c r="E753" s="197"/>
      <c r="F753" s="197"/>
      <c r="G753" s="197"/>
      <c r="H753" s="197"/>
      <c r="I753" s="197"/>
      <c r="J753" s="197"/>
      <c r="K753" s="197"/>
      <c r="L753" s="197"/>
      <c r="M753" s="197"/>
      <c r="N753" s="197"/>
      <c r="O753" s="197"/>
      <c r="P753" s="197"/>
      <c r="Q753" s="197"/>
      <c r="R753" s="197"/>
      <c r="S753" s="197"/>
      <c r="T753" s="197"/>
      <c r="U753" s="197"/>
      <c r="V753" s="197"/>
      <c r="W753" s="197"/>
      <c r="X753" s="197"/>
      <c r="Y753" s="197"/>
      <c r="Z753" s="197"/>
      <c r="AA753" s="197"/>
      <c r="AB753" s="197"/>
      <c r="AC753" s="197"/>
      <c r="AD753" s="197"/>
      <c r="AE753" s="197"/>
      <c r="AF753" s="197"/>
      <c r="AG753" s="197"/>
      <c r="AH753" s="197"/>
      <c r="AI753" s="197"/>
      <c r="AJ753" s="201"/>
      <c r="AK753" s="33"/>
      <c r="AL753" s="33"/>
      <c r="AM753" s="33"/>
      <c r="AN753" s="33"/>
      <c r="AO753" s="33"/>
      <c r="AP753" s="33"/>
      <c r="AQ753" s="33"/>
      <c r="AR753" s="33"/>
      <c r="AS753" s="33"/>
      <c r="AT753" s="33"/>
      <c r="AU753" s="33"/>
      <c r="AV753" s="33"/>
      <c r="AW753" s="33"/>
      <c r="AX753" s="33"/>
      <c r="AY753" s="33"/>
      <c r="AZ753" s="33"/>
      <c r="BA753" s="33"/>
      <c r="BB753" s="33"/>
      <c r="BC753" s="33"/>
      <c r="BD753" s="33"/>
      <c r="BE753" s="33"/>
      <c r="BF753" s="33"/>
      <c r="BG753" s="33"/>
      <c r="BH753" s="33"/>
      <c r="BI753" s="33"/>
      <c r="BJ753" s="33"/>
      <c r="BK753" s="33"/>
    </row>
    <row r="754" spans="1:63" ht="15" customHeight="1">
      <c r="A754" s="197"/>
      <c r="B754" s="197"/>
      <c r="C754" s="197"/>
      <c r="D754" s="197"/>
      <c r="E754" s="197"/>
      <c r="F754" s="197"/>
      <c r="G754" s="197"/>
      <c r="H754" s="197"/>
      <c r="I754" s="197"/>
      <c r="J754" s="197"/>
      <c r="K754" s="197"/>
      <c r="L754" s="197"/>
      <c r="M754" s="197"/>
      <c r="N754" s="197"/>
      <c r="O754" s="197"/>
      <c r="P754" s="197"/>
      <c r="Q754" s="197"/>
      <c r="R754" s="197"/>
      <c r="S754" s="197"/>
      <c r="T754" s="197"/>
      <c r="U754" s="197"/>
      <c r="V754" s="197"/>
      <c r="W754" s="197"/>
      <c r="X754" s="197"/>
      <c r="Y754" s="197"/>
      <c r="Z754" s="197"/>
      <c r="AA754" s="197"/>
      <c r="AB754" s="197"/>
      <c r="AC754" s="197"/>
      <c r="AD754" s="197"/>
      <c r="AE754" s="197"/>
      <c r="AF754" s="197"/>
      <c r="AG754" s="197"/>
      <c r="AH754" s="197"/>
      <c r="AI754" s="197"/>
      <c r="AJ754" s="201"/>
      <c r="AK754" s="33"/>
      <c r="AL754" s="33"/>
      <c r="AM754" s="33"/>
      <c r="AN754" s="33"/>
      <c r="AO754" s="33"/>
      <c r="AP754" s="33"/>
      <c r="AQ754" s="33"/>
      <c r="AR754" s="33"/>
      <c r="AS754" s="33"/>
      <c r="AT754" s="33"/>
      <c r="AU754" s="33"/>
      <c r="AV754" s="33"/>
      <c r="AW754" s="33"/>
      <c r="AX754" s="33"/>
      <c r="AY754" s="33"/>
      <c r="AZ754" s="33"/>
      <c r="BA754" s="33"/>
      <c r="BB754" s="33"/>
      <c r="BC754" s="33"/>
      <c r="BD754" s="33"/>
      <c r="BE754" s="33"/>
      <c r="BF754" s="33"/>
      <c r="BG754" s="33"/>
      <c r="BH754" s="33"/>
      <c r="BI754" s="33"/>
      <c r="BJ754" s="33"/>
      <c r="BK754" s="33"/>
    </row>
    <row r="755" spans="1:63" ht="15" customHeight="1">
      <c r="A755" s="197"/>
      <c r="B755" s="197"/>
      <c r="C755" s="197"/>
      <c r="D755" s="197"/>
      <c r="E755" s="197"/>
      <c r="F755" s="197"/>
      <c r="G755" s="197"/>
      <c r="H755" s="197"/>
      <c r="I755" s="197"/>
      <c r="J755" s="197"/>
      <c r="K755" s="197"/>
      <c r="L755" s="197"/>
      <c r="M755" s="197"/>
      <c r="N755" s="197"/>
      <c r="O755" s="197"/>
      <c r="P755" s="197"/>
      <c r="Q755" s="197"/>
      <c r="R755" s="197"/>
      <c r="S755" s="197"/>
      <c r="T755" s="197"/>
      <c r="U755" s="197"/>
      <c r="V755" s="197"/>
      <c r="W755" s="197"/>
      <c r="X755" s="197"/>
      <c r="Y755" s="197"/>
      <c r="Z755" s="197"/>
      <c r="AA755" s="197"/>
      <c r="AB755" s="197"/>
      <c r="AC755" s="197"/>
      <c r="AD755" s="197"/>
      <c r="AE755" s="197"/>
      <c r="AF755" s="197"/>
      <c r="AG755" s="197"/>
      <c r="AH755" s="197"/>
      <c r="AI755" s="197"/>
      <c r="AJ755" s="201"/>
      <c r="AK755" s="33"/>
      <c r="AL755" s="33"/>
      <c r="AM755" s="33"/>
      <c r="AN755" s="33"/>
      <c r="AO755" s="33"/>
      <c r="AP755" s="33"/>
      <c r="AQ755" s="33"/>
      <c r="AR755" s="33"/>
      <c r="AS755" s="33"/>
      <c r="AT755" s="33"/>
      <c r="AU755" s="33"/>
      <c r="AV755" s="33"/>
      <c r="AW755" s="33"/>
      <c r="AX755" s="33"/>
      <c r="AY755" s="33"/>
      <c r="AZ755" s="33"/>
      <c r="BA755" s="33"/>
      <c r="BB755" s="33"/>
      <c r="BC755" s="33"/>
      <c r="BD755" s="33"/>
      <c r="BE755" s="33"/>
      <c r="BF755" s="33"/>
      <c r="BG755" s="33"/>
      <c r="BH755" s="33"/>
      <c r="BI755" s="33"/>
      <c r="BJ755" s="33"/>
      <c r="BK755" s="33"/>
    </row>
    <row r="756" spans="1:63" ht="15" customHeight="1">
      <c r="A756" s="197"/>
      <c r="B756" s="197"/>
      <c r="C756" s="197"/>
      <c r="D756" s="197"/>
      <c r="E756" s="197"/>
      <c r="F756" s="197"/>
      <c r="G756" s="197"/>
      <c r="H756" s="197"/>
      <c r="I756" s="197"/>
      <c r="J756" s="197"/>
      <c r="K756" s="197"/>
      <c r="L756" s="197"/>
      <c r="M756" s="197"/>
      <c r="N756" s="197"/>
      <c r="O756" s="197"/>
      <c r="P756" s="197"/>
      <c r="Q756" s="197"/>
      <c r="R756" s="197"/>
      <c r="S756" s="197"/>
      <c r="T756" s="197"/>
      <c r="U756" s="197"/>
      <c r="V756" s="197"/>
      <c r="W756" s="197"/>
      <c r="X756" s="197"/>
      <c r="Y756" s="197"/>
      <c r="Z756" s="197"/>
      <c r="AA756" s="197"/>
      <c r="AB756" s="197"/>
      <c r="AC756" s="197"/>
      <c r="AD756" s="197"/>
      <c r="AE756" s="197"/>
      <c r="AF756" s="197"/>
      <c r="AG756" s="197"/>
      <c r="AH756" s="197"/>
      <c r="AI756" s="197"/>
      <c r="AJ756" s="201"/>
      <c r="AK756" s="33"/>
      <c r="AL756" s="33"/>
      <c r="AM756" s="33"/>
      <c r="AN756" s="33"/>
      <c r="AO756" s="33"/>
      <c r="AP756" s="33"/>
      <c r="AQ756" s="33"/>
      <c r="AR756" s="33"/>
      <c r="AS756" s="33"/>
      <c r="AT756" s="33"/>
      <c r="AU756" s="33"/>
      <c r="AV756" s="33"/>
      <c r="AW756" s="33"/>
      <c r="AX756" s="33"/>
      <c r="AY756" s="33"/>
      <c r="AZ756" s="33"/>
      <c r="BA756" s="33"/>
      <c r="BB756" s="33"/>
      <c r="BC756" s="33"/>
      <c r="BD756" s="33"/>
      <c r="BE756" s="33"/>
      <c r="BF756" s="33"/>
      <c r="BG756" s="33"/>
      <c r="BH756" s="33"/>
      <c r="BI756" s="33"/>
      <c r="BJ756" s="33"/>
      <c r="BK756" s="33"/>
    </row>
    <row r="757" spans="1:63" ht="15" customHeight="1">
      <c r="A757" s="197"/>
      <c r="B757" s="197"/>
      <c r="C757" s="197"/>
      <c r="D757" s="197"/>
      <c r="E757" s="197"/>
      <c r="F757" s="197"/>
      <c r="G757" s="197"/>
      <c r="H757" s="197"/>
      <c r="I757" s="197"/>
      <c r="J757" s="197"/>
      <c r="K757" s="197"/>
      <c r="L757" s="197"/>
      <c r="M757" s="197"/>
      <c r="N757" s="197"/>
      <c r="O757" s="197"/>
      <c r="P757" s="197"/>
      <c r="Q757" s="197"/>
      <c r="R757" s="197"/>
      <c r="S757" s="197"/>
      <c r="T757" s="197"/>
      <c r="U757" s="197"/>
      <c r="V757" s="197"/>
      <c r="W757" s="197"/>
      <c r="X757" s="197"/>
      <c r="Y757" s="197"/>
      <c r="Z757" s="197"/>
      <c r="AA757" s="197"/>
      <c r="AB757" s="197"/>
      <c r="AC757" s="197"/>
      <c r="AD757" s="197"/>
      <c r="AE757" s="197"/>
      <c r="AF757" s="197"/>
      <c r="AG757" s="197"/>
      <c r="AH757" s="197"/>
      <c r="AI757" s="197"/>
      <c r="AJ757" s="201"/>
      <c r="AK757" s="33"/>
      <c r="AL757" s="33"/>
      <c r="AM757" s="33"/>
      <c r="AN757" s="33"/>
      <c r="AO757" s="33"/>
      <c r="AP757" s="33"/>
      <c r="AQ757" s="33"/>
      <c r="AR757" s="33"/>
      <c r="AS757" s="33"/>
      <c r="AT757" s="33"/>
      <c r="AU757" s="33"/>
      <c r="AV757" s="33"/>
      <c r="AW757" s="33"/>
      <c r="AX757" s="33"/>
      <c r="AY757" s="33"/>
      <c r="AZ757" s="33"/>
      <c r="BA757" s="33"/>
      <c r="BB757" s="33"/>
      <c r="BC757" s="33"/>
      <c r="BD757" s="33"/>
      <c r="BE757" s="33"/>
      <c r="BF757" s="33"/>
      <c r="BG757" s="33"/>
      <c r="BH757" s="33"/>
      <c r="BI757" s="33"/>
      <c r="BJ757" s="33"/>
      <c r="BK757" s="33"/>
    </row>
    <row r="758" spans="1:63" ht="15" customHeight="1">
      <c r="A758" s="197"/>
      <c r="B758" s="197"/>
      <c r="C758" s="197"/>
      <c r="D758" s="197"/>
      <c r="E758" s="197"/>
      <c r="F758" s="197"/>
      <c r="G758" s="197"/>
      <c r="H758" s="197"/>
      <c r="I758" s="197"/>
      <c r="J758" s="197"/>
      <c r="K758" s="197"/>
      <c r="L758" s="197"/>
      <c r="M758" s="197"/>
      <c r="N758" s="197"/>
      <c r="O758" s="197"/>
      <c r="P758" s="197"/>
      <c r="Q758" s="197"/>
      <c r="R758" s="197"/>
      <c r="S758" s="197"/>
      <c r="T758" s="197"/>
      <c r="U758" s="197"/>
      <c r="V758" s="197"/>
      <c r="W758" s="197"/>
      <c r="X758" s="197"/>
      <c r="Y758" s="197"/>
      <c r="Z758" s="197"/>
      <c r="AA758" s="197"/>
      <c r="AB758" s="197"/>
      <c r="AC758" s="197"/>
      <c r="AD758" s="197"/>
      <c r="AE758" s="197"/>
      <c r="AF758" s="197"/>
      <c r="AG758" s="197"/>
      <c r="AH758" s="197"/>
      <c r="AI758" s="197"/>
      <c r="AJ758" s="201"/>
      <c r="AK758" s="33"/>
      <c r="AL758" s="33"/>
      <c r="AM758" s="33"/>
      <c r="AN758" s="33"/>
      <c r="AO758" s="33"/>
      <c r="AP758" s="33"/>
      <c r="AQ758" s="33"/>
      <c r="AR758" s="33"/>
      <c r="AS758" s="33"/>
      <c r="AT758" s="33"/>
      <c r="AU758" s="33"/>
      <c r="AV758" s="33"/>
      <c r="AW758" s="33"/>
      <c r="AX758" s="33"/>
      <c r="AY758" s="33"/>
      <c r="AZ758" s="33"/>
      <c r="BA758" s="33"/>
      <c r="BB758" s="33"/>
      <c r="BC758" s="33"/>
      <c r="BD758" s="33"/>
      <c r="BE758" s="33"/>
      <c r="BF758" s="33"/>
      <c r="BG758" s="33"/>
      <c r="BH758" s="33"/>
      <c r="BI758" s="33"/>
      <c r="BJ758" s="33"/>
      <c r="BK758" s="33"/>
    </row>
    <row r="759" spans="1:63" ht="15" customHeight="1">
      <c r="A759" s="197"/>
      <c r="B759" s="197"/>
      <c r="C759" s="197"/>
      <c r="D759" s="197"/>
      <c r="E759" s="197"/>
      <c r="F759" s="197"/>
      <c r="G759" s="197"/>
      <c r="H759" s="197"/>
      <c r="I759" s="197"/>
      <c r="J759" s="197"/>
      <c r="K759" s="197"/>
      <c r="L759" s="197"/>
      <c r="M759" s="197"/>
      <c r="N759" s="197"/>
      <c r="O759" s="197"/>
      <c r="P759" s="197"/>
      <c r="Q759" s="197"/>
      <c r="R759" s="197"/>
      <c r="S759" s="197"/>
      <c r="T759" s="197"/>
      <c r="U759" s="197"/>
      <c r="V759" s="197"/>
      <c r="W759" s="197"/>
      <c r="X759" s="197"/>
      <c r="Y759" s="197"/>
      <c r="Z759" s="197"/>
      <c r="AA759" s="197"/>
      <c r="AB759" s="197"/>
      <c r="AC759" s="197"/>
      <c r="AD759" s="197"/>
      <c r="AE759" s="197"/>
      <c r="AF759" s="197"/>
      <c r="AG759" s="197"/>
      <c r="AH759" s="197"/>
      <c r="AI759" s="197"/>
      <c r="AJ759" s="201"/>
      <c r="AK759" s="33"/>
      <c r="AL759" s="33"/>
      <c r="AM759" s="33"/>
      <c r="AN759" s="33"/>
      <c r="AO759" s="33"/>
      <c r="AP759" s="33"/>
      <c r="AQ759" s="33"/>
      <c r="AR759" s="33"/>
      <c r="AS759" s="33"/>
      <c r="AT759" s="33"/>
      <c r="AU759" s="33"/>
      <c r="AV759" s="33"/>
      <c r="AW759" s="33"/>
      <c r="AX759" s="33"/>
      <c r="AY759" s="33"/>
      <c r="AZ759" s="33"/>
      <c r="BA759" s="33"/>
      <c r="BB759" s="33"/>
      <c r="BC759" s="33"/>
      <c r="BD759" s="33"/>
      <c r="BE759" s="33"/>
      <c r="BF759" s="33"/>
      <c r="BG759" s="33"/>
      <c r="BH759" s="33"/>
      <c r="BI759" s="33"/>
      <c r="BJ759" s="33"/>
      <c r="BK759" s="33"/>
    </row>
    <row r="760" spans="1:63" ht="15" customHeight="1">
      <c r="A760" s="197"/>
      <c r="B760" s="197"/>
      <c r="C760" s="197"/>
      <c r="D760" s="197"/>
      <c r="E760" s="197"/>
      <c r="F760" s="197"/>
      <c r="G760" s="197"/>
      <c r="H760" s="197"/>
      <c r="I760" s="197"/>
      <c r="J760" s="197"/>
      <c r="K760" s="197"/>
      <c r="L760" s="197"/>
      <c r="M760" s="197"/>
      <c r="N760" s="197"/>
      <c r="O760" s="197"/>
      <c r="P760" s="197"/>
      <c r="Q760" s="197"/>
      <c r="R760" s="197"/>
      <c r="S760" s="197"/>
      <c r="T760" s="197"/>
      <c r="U760" s="197"/>
      <c r="V760" s="197"/>
      <c r="W760" s="197"/>
      <c r="X760" s="197"/>
      <c r="Y760" s="197"/>
      <c r="Z760" s="197"/>
      <c r="AA760" s="197"/>
      <c r="AB760" s="197"/>
      <c r="AC760" s="197"/>
      <c r="AD760" s="197"/>
      <c r="AE760" s="197"/>
      <c r="AF760" s="197"/>
      <c r="AG760" s="197"/>
      <c r="AH760" s="197"/>
      <c r="AI760" s="197"/>
      <c r="AJ760" s="201"/>
      <c r="AK760" s="33"/>
      <c r="AL760" s="33"/>
      <c r="AM760" s="33"/>
      <c r="AN760" s="33"/>
      <c r="AO760" s="33"/>
      <c r="AP760" s="33"/>
      <c r="AQ760" s="33"/>
      <c r="AR760" s="33"/>
      <c r="AS760" s="33"/>
      <c r="AT760" s="33"/>
      <c r="AU760" s="33"/>
      <c r="AV760" s="33"/>
      <c r="AW760" s="33"/>
      <c r="AX760" s="33"/>
      <c r="AY760" s="33"/>
      <c r="AZ760" s="33"/>
      <c r="BA760" s="33"/>
      <c r="BB760" s="33"/>
      <c r="BC760" s="33"/>
      <c r="BD760" s="33"/>
      <c r="BE760" s="33"/>
      <c r="BF760" s="33"/>
      <c r="BG760" s="33"/>
      <c r="BH760" s="33"/>
      <c r="BI760" s="33"/>
      <c r="BJ760" s="33"/>
      <c r="BK760" s="33"/>
    </row>
    <row r="761" spans="1:63" ht="15" customHeight="1">
      <c r="A761" s="197"/>
      <c r="B761" s="197"/>
      <c r="C761" s="197"/>
      <c r="D761" s="197"/>
      <c r="E761" s="197"/>
      <c r="F761" s="197"/>
      <c r="G761" s="197"/>
      <c r="H761" s="197"/>
      <c r="I761" s="197"/>
      <c r="J761" s="197"/>
      <c r="K761" s="197"/>
      <c r="L761" s="197"/>
      <c r="M761" s="197"/>
      <c r="N761" s="197"/>
      <c r="O761" s="197"/>
      <c r="P761" s="197"/>
      <c r="Q761" s="197"/>
      <c r="R761" s="197"/>
      <c r="S761" s="197"/>
      <c r="T761" s="197"/>
      <c r="U761" s="197"/>
      <c r="V761" s="197"/>
      <c r="W761" s="197"/>
      <c r="X761" s="197"/>
      <c r="Y761" s="197"/>
      <c r="Z761" s="197"/>
      <c r="AA761" s="197"/>
      <c r="AB761" s="197"/>
      <c r="AC761" s="197"/>
      <c r="AD761" s="197"/>
      <c r="AE761" s="197"/>
      <c r="AF761" s="197"/>
      <c r="AG761" s="197"/>
      <c r="AH761" s="197"/>
      <c r="AI761" s="197"/>
      <c r="AJ761" s="201"/>
      <c r="AK761" s="33"/>
      <c r="AL761" s="33"/>
      <c r="AM761" s="33"/>
      <c r="AN761" s="33"/>
      <c r="AO761" s="33"/>
      <c r="AP761" s="33"/>
      <c r="AQ761" s="33"/>
      <c r="AR761" s="33"/>
      <c r="AS761" s="33"/>
      <c r="AT761" s="33"/>
      <c r="AU761" s="33"/>
      <c r="AV761" s="33"/>
      <c r="AW761" s="33"/>
      <c r="AX761" s="33"/>
      <c r="AY761" s="33"/>
      <c r="AZ761" s="33"/>
      <c r="BA761" s="33"/>
      <c r="BB761" s="33"/>
      <c r="BC761" s="33"/>
      <c r="BD761" s="33"/>
      <c r="BE761" s="33"/>
      <c r="BF761" s="33"/>
      <c r="BG761" s="33"/>
      <c r="BH761" s="33"/>
      <c r="BI761" s="33"/>
      <c r="BJ761" s="33"/>
      <c r="BK761" s="33"/>
    </row>
    <row r="762" spans="1:63" ht="15" customHeight="1">
      <c r="A762" s="197"/>
      <c r="B762" s="197"/>
      <c r="C762" s="197"/>
      <c r="D762" s="197"/>
      <c r="E762" s="197"/>
      <c r="F762" s="197"/>
      <c r="G762" s="197"/>
      <c r="H762" s="197"/>
      <c r="I762" s="197"/>
      <c r="J762" s="197"/>
      <c r="K762" s="197"/>
      <c r="L762" s="197"/>
      <c r="M762" s="197"/>
      <c r="N762" s="197"/>
      <c r="O762" s="197"/>
      <c r="P762" s="197"/>
      <c r="Q762" s="197"/>
      <c r="R762" s="197"/>
      <c r="S762" s="197"/>
      <c r="T762" s="197"/>
      <c r="U762" s="197"/>
      <c r="V762" s="197"/>
      <c r="W762" s="197"/>
      <c r="X762" s="197"/>
      <c r="Y762" s="197"/>
      <c r="Z762" s="197"/>
      <c r="AA762" s="197"/>
      <c r="AB762" s="197"/>
      <c r="AC762" s="197"/>
      <c r="AD762" s="197"/>
      <c r="AE762" s="197"/>
      <c r="AF762" s="197"/>
      <c r="AG762" s="197"/>
      <c r="AH762" s="197"/>
      <c r="AI762" s="197"/>
      <c r="AJ762" s="201"/>
      <c r="AK762" s="33"/>
      <c r="AL762" s="33"/>
      <c r="AM762" s="33"/>
      <c r="AN762" s="33"/>
      <c r="AO762" s="33"/>
      <c r="AP762" s="33"/>
      <c r="AQ762" s="33"/>
      <c r="AR762" s="33"/>
      <c r="AS762" s="33"/>
      <c r="AT762" s="33"/>
      <c r="AU762" s="33"/>
      <c r="AV762" s="33"/>
      <c r="AW762" s="33"/>
      <c r="AX762" s="33"/>
      <c r="AY762" s="33"/>
      <c r="AZ762" s="33"/>
      <c r="BA762" s="33"/>
      <c r="BB762" s="33"/>
      <c r="BC762" s="33"/>
      <c r="BD762" s="33"/>
      <c r="BE762" s="33"/>
      <c r="BF762" s="33"/>
      <c r="BG762" s="33"/>
      <c r="BH762" s="33"/>
      <c r="BI762" s="33"/>
      <c r="BJ762" s="33"/>
      <c r="BK762" s="33"/>
    </row>
    <row r="763" spans="1:63" ht="15" customHeight="1">
      <c r="A763" s="197"/>
      <c r="B763" s="197"/>
      <c r="C763" s="197"/>
      <c r="D763" s="197"/>
      <c r="E763" s="197"/>
      <c r="F763" s="197"/>
      <c r="G763" s="197"/>
      <c r="H763" s="197"/>
      <c r="I763" s="197"/>
      <c r="J763" s="197"/>
      <c r="K763" s="197"/>
      <c r="L763" s="197"/>
      <c r="M763" s="197"/>
      <c r="N763" s="197"/>
      <c r="O763" s="197"/>
      <c r="P763" s="197"/>
      <c r="Q763" s="197"/>
      <c r="R763" s="197"/>
      <c r="S763" s="197"/>
      <c r="T763" s="197"/>
      <c r="U763" s="197"/>
      <c r="V763" s="197"/>
      <c r="W763" s="197"/>
      <c r="X763" s="197"/>
      <c r="Y763" s="197"/>
      <c r="Z763" s="197"/>
      <c r="AA763" s="197"/>
      <c r="AB763" s="197"/>
      <c r="AC763" s="197"/>
      <c r="AD763" s="197"/>
      <c r="AE763" s="197"/>
      <c r="AF763" s="197"/>
      <c r="AG763" s="197"/>
      <c r="AH763" s="197"/>
      <c r="AI763" s="197"/>
      <c r="AJ763" s="201"/>
      <c r="AK763" s="33"/>
      <c r="AL763" s="33"/>
      <c r="AM763" s="33"/>
      <c r="AN763" s="33"/>
      <c r="AO763" s="33"/>
      <c r="AP763" s="33"/>
      <c r="AQ763" s="33"/>
      <c r="AR763" s="33"/>
      <c r="AS763" s="33"/>
      <c r="AT763" s="33"/>
      <c r="AU763" s="33"/>
      <c r="AV763" s="33"/>
      <c r="AW763" s="33"/>
      <c r="AX763" s="33"/>
      <c r="AY763" s="33"/>
      <c r="AZ763" s="33"/>
      <c r="BA763" s="33"/>
      <c r="BB763" s="33"/>
      <c r="BC763" s="33"/>
      <c r="BD763" s="33"/>
      <c r="BE763" s="33"/>
      <c r="BF763" s="33"/>
      <c r="BG763" s="33"/>
      <c r="BH763" s="33"/>
      <c r="BI763" s="33"/>
      <c r="BJ763" s="33"/>
      <c r="BK763" s="33"/>
    </row>
    <row r="764" spans="1:63" ht="15" customHeight="1">
      <c r="A764" s="197"/>
      <c r="B764" s="197"/>
      <c r="C764" s="197"/>
      <c r="D764" s="197"/>
      <c r="E764" s="197"/>
      <c r="F764" s="197"/>
      <c r="G764" s="197"/>
      <c r="H764" s="197"/>
      <c r="I764" s="197"/>
      <c r="J764" s="197"/>
      <c r="K764" s="197"/>
      <c r="L764" s="197"/>
      <c r="M764" s="197"/>
      <c r="N764" s="197"/>
      <c r="O764" s="197"/>
      <c r="P764" s="197"/>
      <c r="Q764" s="197"/>
      <c r="R764" s="197"/>
      <c r="S764" s="197"/>
      <c r="T764" s="197"/>
      <c r="U764" s="197"/>
      <c r="V764" s="197"/>
      <c r="W764" s="197"/>
      <c r="X764" s="197"/>
      <c r="Y764" s="197"/>
      <c r="Z764" s="197"/>
      <c r="AA764" s="197"/>
      <c r="AB764" s="197"/>
      <c r="AC764" s="197"/>
      <c r="AD764" s="197"/>
      <c r="AE764" s="197"/>
      <c r="AF764" s="197"/>
      <c r="AG764" s="197"/>
      <c r="AH764" s="197"/>
      <c r="AI764" s="197"/>
      <c r="AJ764" s="201"/>
      <c r="AK764" s="33"/>
      <c r="AL764" s="33"/>
      <c r="AM764" s="33"/>
      <c r="AN764" s="33"/>
      <c r="AO764" s="33"/>
      <c r="AP764" s="33"/>
      <c r="AQ764" s="33"/>
      <c r="AR764" s="33"/>
      <c r="AS764" s="33"/>
      <c r="AT764" s="33"/>
      <c r="AU764" s="33"/>
      <c r="AV764" s="33"/>
      <c r="AW764" s="33"/>
      <c r="AX764" s="33"/>
      <c r="AY764" s="33"/>
      <c r="AZ764" s="33"/>
      <c r="BA764" s="33"/>
      <c r="BB764" s="33"/>
      <c r="BC764" s="33"/>
      <c r="BD764" s="33"/>
      <c r="BE764" s="33"/>
      <c r="BF764" s="33"/>
      <c r="BG764" s="33"/>
      <c r="BH764" s="33"/>
      <c r="BI764" s="33"/>
      <c r="BJ764" s="33"/>
      <c r="BK764" s="33"/>
    </row>
    <row r="765" spans="1:63" ht="15" customHeight="1">
      <c r="A765" s="197"/>
      <c r="B765" s="197"/>
      <c r="C765" s="197"/>
      <c r="D765" s="197"/>
      <c r="E765" s="197"/>
      <c r="F765" s="197"/>
      <c r="G765" s="197"/>
      <c r="H765" s="197"/>
      <c r="I765" s="197"/>
      <c r="J765" s="197"/>
      <c r="K765" s="197"/>
      <c r="L765" s="197"/>
      <c r="M765" s="197"/>
      <c r="N765" s="197"/>
      <c r="O765" s="197"/>
      <c r="P765" s="197"/>
      <c r="Q765" s="197"/>
      <c r="R765" s="197"/>
      <c r="S765" s="197"/>
      <c r="T765" s="197"/>
      <c r="U765" s="197"/>
      <c r="V765" s="197"/>
      <c r="W765" s="197"/>
      <c r="X765" s="197"/>
      <c r="Y765" s="197"/>
      <c r="Z765" s="197"/>
      <c r="AA765" s="197"/>
      <c r="AB765" s="197"/>
      <c r="AC765" s="197"/>
      <c r="AD765" s="197"/>
      <c r="AE765" s="197"/>
      <c r="AF765" s="197"/>
      <c r="AG765" s="197"/>
      <c r="AH765" s="197"/>
      <c r="AI765" s="197"/>
      <c r="AJ765" s="201"/>
      <c r="AK765" s="33"/>
      <c r="AL765" s="33"/>
      <c r="AM765" s="33"/>
      <c r="AN765" s="33"/>
      <c r="AO765" s="33"/>
      <c r="AP765" s="33"/>
      <c r="AQ765" s="33"/>
      <c r="AR765" s="33"/>
      <c r="AS765" s="33"/>
      <c r="AT765" s="33"/>
      <c r="AU765" s="33"/>
      <c r="AV765" s="33"/>
      <c r="AW765" s="33"/>
      <c r="AX765" s="33"/>
      <c r="AY765" s="33"/>
      <c r="AZ765" s="33"/>
      <c r="BA765" s="33"/>
      <c r="BB765" s="33"/>
      <c r="BC765" s="33"/>
      <c r="BD765" s="33"/>
      <c r="BE765" s="33"/>
      <c r="BF765" s="33"/>
      <c r="BG765" s="33"/>
      <c r="BH765" s="33"/>
      <c r="BI765" s="33"/>
      <c r="BJ765" s="33"/>
      <c r="BK765" s="33"/>
    </row>
    <row r="766" spans="1:63" ht="15" customHeight="1">
      <c r="A766" s="197"/>
      <c r="B766" s="197"/>
      <c r="C766" s="197"/>
      <c r="D766" s="197"/>
      <c r="E766" s="197"/>
      <c r="F766" s="197"/>
      <c r="G766" s="197"/>
      <c r="H766" s="197"/>
      <c r="I766" s="197"/>
      <c r="J766" s="197"/>
      <c r="K766" s="197"/>
      <c r="L766" s="197"/>
      <c r="M766" s="197"/>
      <c r="N766" s="197"/>
      <c r="O766" s="197"/>
      <c r="P766" s="197"/>
      <c r="Q766" s="197"/>
      <c r="R766" s="197"/>
      <c r="S766" s="197"/>
      <c r="T766" s="197"/>
      <c r="U766" s="197"/>
      <c r="V766" s="197"/>
      <c r="W766" s="197"/>
      <c r="X766" s="197"/>
      <c r="Y766" s="197"/>
      <c r="Z766" s="197"/>
      <c r="AA766" s="197"/>
      <c r="AB766" s="197"/>
      <c r="AC766" s="197"/>
      <c r="AD766" s="197"/>
      <c r="AE766" s="197"/>
      <c r="AF766" s="197"/>
      <c r="AG766" s="197"/>
      <c r="AH766" s="197"/>
      <c r="AI766" s="197"/>
      <c r="AJ766" s="201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</row>
    <row r="767" spans="1:63" ht="15" customHeight="1">
      <c r="A767" s="197"/>
      <c r="B767" s="197"/>
      <c r="C767" s="197"/>
      <c r="D767" s="197"/>
      <c r="E767" s="197"/>
      <c r="F767" s="197"/>
      <c r="G767" s="197"/>
      <c r="H767" s="197"/>
      <c r="I767" s="197"/>
      <c r="J767" s="197"/>
      <c r="K767" s="197"/>
      <c r="L767" s="197"/>
      <c r="M767" s="197"/>
      <c r="N767" s="197"/>
      <c r="O767" s="197"/>
      <c r="P767" s="197"/>
      <c r="Q767" s="197"/>
      <c r="R767" s="197"/>
      <c r="S767" s="197"/>
      <c r="T767" s="197"/>
      <c r="U767" s="197"/>
      <c r="V767" s="197"/>
      <c r="W767" s="197"/>
      <c r="X767" s="197"/>
      <c r="Y767" s="197"/>
      <c r="Z767" s="197"/>
      <c r="AA767" s="197"/>
      <c r="AB767" s="197"/>
      <c r="AC767" s="197"/>
      <c r="AD767" s="197"/>
      <c r="AE767" s="197"/>
      <c r="AF767" s="197"/>
      <c r="AG767" s="197"/>
      <c r="AH767" s="197"/>
      <c r="AI767" s="197"/>
      <c r="AJ767" s="201"/>
      <c r="AK767" s="33"/>
      <c r="AL767" s="33"/>
      <c r="AM767" s="33"/>
      <c r="AN767" s="33"/>
      <c r="AO767" s="33"/>
      <c r="AP767" s="33"/>
      <c r="AQ767" s="33"/>
      <c r="AR767" s="33"/>
      <c r="AS767" s="33"/>
      <c r="AT767" s="33"/>
      <c r="AU767" s="33"/>
      <c r="AV767" s="33"/>
      <c r="AW767" s="33"/>
      <c r="AX767" s="33"/>
      <c r="AY767" s="33"/>
      <c r="AZ767" s="33"/>
      <c r="BA767" s="33"/>
      <c r="BB767" s="33"/>
      <c r="BC767" s="33"/>
      <c r="BD767" s="33"/>
      <c r="BE767" s="33"/>
      <c r="BF767" s="33"/>
      <c r="BG767" s="33"/>
      <c r="BH767" s="33"/>
      <c r="BI767" s="33"/>
      <c r="BJ767" s="33"/>
      <c r="BK767" s="33"/>
    </row>
    <row r="768" spans="1:63" ht="15" customHeight="1">
      <c r="A768" s="197"/>
      <c r="B768" s="197"/>
      <c r="C768" s="197"/>
      <c r="D768" s="197"/>
      <c r="E768" s="197"/>
      <c r="F768" s="197"/>
      <c r="G768" s="197"/>
      <c r="H768" s="197"/>
      <c r="I768" s="197"/>
      <c r="J768" s="197"/>
      <c r="K768" s="197"/>
      <c r="L768" s="197"/>
      <c r="M768" s="197"/>
      <c r="N768" s="197"/>
      <c r="O768" s="197"/>
      <c r="P768" s="197"/>
      <c r="Q768" s="197"/>
      <c r="R768" s="197"/>
      <c r="S768" s="197"/>
      <c r="T768" s="197"/>
      <c r="U768" s="197"/>
      <c r="V768" s="197"/>
      <c r="W768" s="197"/>
      <c r="X768" s="197"/>
      <c r="Y768" s="197"/>
      <c r="Z768" s="197"/>
      <c r="AA768" s="197"/>
      <c r="AB768" s="197"/>
      <c r="AC768" s="197"/>
      <c r="AD768" s="197"/>
      <c r="AE768" s="197"/>
      <c r="AF768" s="197"/>
      <c r="AG768" s="197"/>
      <c r="AH768" s="197"/>
      <c r="AI768" s="197"/>
      <c r="AJ768" s="201"/>
      <c r="AK768" s="33"/>
      <c r="AL768" s="33"/>
      <c r="AM768" s="33"/>
      <c r="AN768" s="33"/>
      <c r="AO768" s="33"/>
      <c r="AP768" s="33"/>
      <c r="AQ768" s="33"/>
      <c r="AR768" s="33"/>
      <c r="AS768" s="33"/>
      <c r="AT768" s="33"/>
      <c r="AU768" s="33"/>
      <c r="AV768" s="33"/>
      <c r="AW768" s="33"/>
      <c r="AX768" s="33"/>
      <c r="AY768" s="33"/>
      <c r="AZ768" s="33"/>
      <c r="BA768" s="33"/>
      <c r="BB768" s="33"/>
      <c r="BC768" s="33"/>
      <c r="BD768" s="33"/>
      <c r="BE768" s="33"/>
      <c r="BF768" s="33"/>
      <c r="BG768" s="33"/>
      <c r="BH768" s="33"/>
      <c r="BI768" s="33"/>
      <c r="BJ768" s="33"/>
      <c r="BK768" s="33"/>
    </row>
    <row r="769" spans="1:63" ht="15" customHeight="1">
      <c r="A769" s="197"/>
      <c r="B769" s="197"/>
      <c r="C769" s="197"/>
      <c r="D769" s="197"/>
      <c r="E769" s="197"/>
      <c r="F769" s="197"/>
      <c r="G769" s="197"/>
      <c r="H769" s="197"/>
      <c r="I769" s="197"/>
      <c r="J769" s="197"/>
      <c r="K769" s="197"/>
      <c r="L769" s="197"/>
      <c r="M769" s="197"/>
      <c r="N769" s="197"/>
      <c r="O769" s="197"/>
      <c r="P769" s="197"/>
      <c r="Q769" s="197"/>
      <c r="R769" s="197"/>
      <c r="S769" s="197"/>
      <c r="T769" s="197"/>
      <c r="U769" s="197"/>
      <c r="V769" s="197"/>
      <c r="W769" s="197"/>
      <c r="X769" s="197"/>
      <c r="Y769" s="197"/>
      <c r="Z769" s="197"/>
      <c r="AA769" s="197"/>
      <c r="AB769" s="197"/>
      <c r="AC769" s="197"/>
      <c r="AD769" s="197"/>
      <c r="AE769" s="197"/>
      <c r="AF769" s="197"/>
      <c r="AG769" s="197"/>
      <c r="AH769" s="197"/>
      <c r="AI769" s="197"/>
      <c r="AJ769" s="201"/>
      <c r="AK769" s="33"/>
      <c r="AL769" s="33"/>
      <c r="AM769" s="33"/>
      <c r="AN769" s="33"/>
      <c r="AO769" s="33"/>
      <c r="AP769" s="33"/>
      <c r="AQ769" s="33"/>
      <c r="AR769" s="33"/>
      <c r="AS769" s="33"/>
      <c r="AT769" s="33"/>
      <c r="AU769" s="33"/>
      <c r="AV769" s="33"/>
      <c r="AW769" s="33"/>
      <c r="AX769" s="33"/>
      <c r="AY769" s="33"/>
      <c r="AZ769" s="33"/>
      <c r="BA769" s="33"/>
      <c r="BB769" s="33"/>
      <c r="BC769" s="33"/>
      <c r="BD769" s="33"/>
      <c r="BE769" s="33"/>
      <c r="BF769" s="33"/>
      <c r="BG769" s="33"/>
      <c r="BH769" s="33"/>
      <c r="BI769" s="33"/>
      <c r="BJ769" s="33"/>
      <c r="BK769" s="33"/>
    </row>
    <row r="770" spans="1:63" ht="15" customHeight="1">
      <c r="A770" s="197"/>
      <c r="B770" s="197"/>
      <c r="C770" s="197"/>
      <c r="D770" s="197"/>
      <c r="E770" s="197"/>
      <c r="F770" s="197"/>
      <c r="G770" s="197"/>
      <c r="H770" s="197"/>
      <c r="I770" s="197"/>
      <c r="J770" s="197"/>
      <c r="K770" s="197"/>
      <c r="L770" s="197"/>
      <c r="M770" s="197"/>
      <c r="N770" s="197"/>
      <c r="O770" s="197"/>
      <c r="P770" s="197"/>
      <c r="Q770" s="197"/>
      <c r="R770" s="197"/>
      <c r="S770" s="197"/>
      <c r="T770" s="197"/>
      <c r="U770" s="197"/>
      <c r="V770" s="197"/>
      <c r="W770" s="197"/>
      <c r="X770" s="197"/>
      <c r="Y770" s="197"/>
      <c r="Z770" s="197"/>
      <c r="AA770" s="197"/>
      <c r="AB770" s="197"/>
      <c r="AC770" s="197"/>
      <c r="AD770" s="197"/>
      <c r="AE770" s="197"/>
      <c r="AF770" s="197"/>
      <c r="AG770" s="197"/>
      <c r="AH770" s="197"/>
      <c r="AI770" s="197"/>
      <c r="AJ770" s="201"/>
      <c r="AK770" s="33"/>
      <c r="AL770" s="33"/>
      <c r="AM770" s="33"/>
      <c r="AN770" s="33"/>
      <c r="AO770" s="33"/>
      <c r="AP770" s="33"/>
      <c r="AQ770" s="33"/>
      <c r="AR770" s="33"/>
      <c r="AS770" s="33"/>
      <c r="AT770" s="33"/>
      <c r="AU770" s="33"/>
      <c r="AV770" s="33"/>
      <c r="AW770" s="33"/>
      <c r="AX770" s="33"/>
      <c r="AY770" s="33"/>
      <c r="AZ770" s="33"/>
      <c r="BA770" s="33"/>
      <c r="BB770" s="33"/>
      <c r="BC770" s="33"/>
      <c r="BD770" s="33"/>
      <c r="BE770" s="33"/>
      <c r="BF770" s="33"/>
      <c r="BG770" s="33"/>
      <c r="BH770" s="33"/>
      <c r="BI770" s="33"/>
      <c r="BJ770" s="33"/>
      <c r="BK770" s="33"/>
    </row>
    <row r="771" spans="1:63" ht="15" customHeight="1">
      <c r="A771" s="197"/>
      <c r="B771" s="197"/>
      <c r="C771" s="197"/>
      <c r="D771" s="197"/>
      <c r="E771" s="197"/>
      <c r="F771" s="197"/>
      <c r="G771" s="197"/>
      <c r="H771" s="197"/>
      <c r="I771" s="197"/>
      <c r="J771" s="197"/>
      <c r="K771" s="197"/>
      <c r="L771" s="197"/>
      <c r="M771" s="197"/>
      <c r="N771" s="197"/>
      <c r="O771" s="197"/>
      <c r="P771" s="197"/>
      <c r="Q771" s="197"/>
      <c r="R771" s="197"/>
      <c r="S771" s="197"/>
      <c r="T771" s="197"/>
      <c r="U771" s="197"/>
      <c r="V771" s="197"/>
      <c r="W771" s="197"/>
      <c r="X771" s="197"/>
      <c r="Y771" s="197"/>
      <c r="Z771" s="197"/>
      <c r="AA771" s="197"/>
      <c r="AB771" s="197"/>
      <c r="AC771" s="197"/>
      <c r="AD771" s="197"/>
      <c r="AE771" s="197"/>
      <c r="AF771" s="197"/>
      <c r="AG771" s="197"/>
      <c r="AH771" s="197"/>
      <c r="AI771" s="197"/>
      <c r="AJ771" s="201"/>
      <c r="AK771" s="33"/>
      <c r="AL771" s="33"/>
      <c r="AM771" s="33"/>
      <c r="AN771" s="33"/>
      <c r="AO771" s="33"/>
      <c r="AP771" s="33"/>
      <c r="AQ771" s="33"/>
      <c r="AR771" s="33"/>
      <c r="AS771" s="33"/>
      <c r="AT771" s="33"/>
      <c r="AU771" s="33"/>
      <c r="AV771" s="33"/>
      <c r="AW771" s="33"/>
      <c r="AX771" s="33"/>
      <c r="AY771" s="33"/>
      <c r="AZ771" s="33"/>
      <c r="BA771" s="33"/>
      <c r="BB771" s="33"/>
      <c r="BC771" s="33"/>
      <c r="BD771" s="33"/>
      <c r="BE771" s="33"/>
      <c r="BF771" s="33"/>
      <c r="BG771" s="33"/>
      <c r="BH771" s="33"/>
      <c r="BI771" s="33"/>
      <c r="BJ771" s="33"/>
      <c r="BK771" s="33"/>
    </row>
    <row r="772" spans="1:63" ht="15" customHeight="1">
      <c r="A772" s="197"/>
      <c r="B772" s="197"/>
      <c r="C772" s="197"/>
      <c r="D772" s="197"/>
      <c r="E772" s="197"/>
      <c r="F772" s="197"/>
      <c r="G772" s="197"/>
      <c r="H772" s="197"/>
      <c r="I772" s="197"/>
      <c r="J772" s="197"/>
      <c r="K772" s="197"/>
      <c r="L772" s="197"/>
      <c r="M772" s="197"/>
      <c r="N772" s="197"/>
      <c r="O772" s="197"/>
      <c r="P772" s="197"/>
      <c r="Q772" s="197"/>
      <c r="R772" s="197"/>
      <c r="S772" s="197"/>
      <c r="T772" s="197"/>
      <c r="U772" s="197"/>
      <c r="V772" s="197"/>
      <c r="W772" s="197"/>
      <c r="X772" s="197"/>
      <c r="Y772" s="197"/>
      <c r="Z772" s="197"/>
      <c r="AA772" s="197"/>
      <c r="AB772" s="197"/>
      <c r="AC772" s="197"/>
      <c r="AD772" s="197"/>
      <c r="AE772" s="197"/>
      <c r="AF772" s="197"/>
      <c r="AG772" s="197"/>
      <c r="AH772" s="197"/>
      <c r="AI772" s="197"/>
      <c r="AJ772" s="201"/>
      <c r="AK772" s="33"/>
      <c r="AL772" s="33"/>
      <c r="AM772" s="33"/>
      <c r="AN772" s="33"/>
      <c r="AO772" s="33"/>
      <c r="AP772" s="33"/>
      <c r="AQ772" s="33"/>
      <c r="AR772" s="33"/>
      <c r="AS772" s="33"/>
      <c r="AT772" s="33"/>
      <c r="AU772" s="33"/>
      <c r="AV772" s="33"/>
      <c r="AW772" s="33"/>
      <c r="AX772" s="33"/>
      <c r="AY772" s="33"/>
      <c r="AZ772" s="33"/>
      <c r="BA772" s="33"/>
      <c r="BB772" s="33"/>
      <c r="BC772" s="33"/>
      <c r="BD772" s="33"/>
      <c r="BE772" s="33"/>
      <c r="BF772" s="33"/>
      <c r="BG772" s="33"/>
      <c r="BH772" s="33"/>
      <c r="BI772" s="33"/>
      <c r="BJ772" s="33"/>
      <c r="BK772" s="33"/>
    </row>
    <row r="773" spans="1:63" ht="15" customHeight="1">
      <c r="A773" s="197"/>
      <c r="B773" s="197"/>
      <c r="C773" s="197"/>
      <c r="D773" s="197"/>
      <c r="E773" s="197"/>
      <c r="F773" s="197"/>
      <c r="G773" s="197"/>
      <c r="H773" s="197"/>
      <c r="I773" s="197"/>
      <c r="J773" s="197"/>
      <c r="K773" s="197"/>
      <c r="L773" s="197"/>
      <c r="M773" s="197"/>
      <c r="N773" s="197"/>
      <c r="O773" s="197"/>
      <c r="P773" s="197"/>
      <c r="Q773" s="197"/>
      <c r="R773" s="197"/>
      <c r="S773" s="197"/>
      <c r="T773" s="197"/>
      <c r="U773" s="197"/>
      <c r="V773" s="197"/>
      <c r="W773" s="197"/>
      <c r="X773" s="197"/>
      <c r="Y773" s="197"/>
      <c r="Z773" s="197"/>
      <c r="AA773" s="197"/>
      <c r="AB773" s="197"/>
      <c r="AC773" s="197"/>
      <c r="AD773" s="197"/>
      <c r="AE773" s="197"/>
      <c r="AF773" s="197"/>
      <c r="AG773" s="197"/>
      <c r="AH773" s="197"/>
      <c r="AI773" s="197"/>
      <c r="AJ773" s="201"/>
      <c r="AK773" s="33"/>
      <c r="AL773" s="33"/>
      <c r="AM773" s="33"/>
      <c r="AN773" s="33"/>
      <c r="AO773" s="33"/>
      <c r="AP773" s="33"/>
      <c r="AQ773" s="33"/>
      <c r="AR773" s="33"/>
      <c r="AS773" s="33"/>
      <c r="AT773" s="33"/>
      <c r="AU773" s="33"/>
      <c r="AV773" s="33"/>
      <c r="AW773" s="33"/>
      <c r="AX773" s="33"/>
      <c r="AY773" s="33"/>
      <c r="AZ773" s="33"/>
      <c r="BA773" s="33"/>
      <c r="BB773" s="33"/>
      <c r="BC773" s="33"/>
      <c r="BD773" s="33"/>
      <c r="BE773" s="33"/>
      <c r="BF773" s="33"/>
      <c r="BG773" s="33"/>
      <c r="BH773" s="33"/>
      <c r="BI773" s="33"/>
      <c r="BJ773" s="33"/>
      <c r="BK773" s="33"/>
    </row>
    <row r="774" spans="1:63" ht="15" customHeight="1">
      <c r="A774" s="197"/>
      <c r="B774" s="197"/>
      <c r="C774" s="197"/>
      <c r="D774" s="197"/>
      <c r="E774" s="197"/>
      <c r="F774" s="197"/>
      <c r="G774" s="197"/>
      <c r="H774" s="197"/>
      <c r="I774" s="197"/>
      <c r="J774" s="197"/>
      <c r="K774" s="197"/>
      <c r="L774" s="197"/>
      <c r="M774" s="197"/>
      <c r="N774" s="197"/>
      <c r="O774" s="197"/>
      <c r="P774" s="197"/>
      <c r="Q774" s="197"/>
      <c r="R774" s="197"/>
      <c r="S774" s="197"/>
      <c r="T774" s="197"/>
      <c r="U774" s="197"/>
      <c r="V774" s="197"/>
      <c r="W774" s="197"/>
      <c r="X774" s="197"/>
      <c r="Y774" s="197"/>
      <c r="Z774" s="197"/>
      <c r="AA774" s="197"/>
      <c r="AB774" s="197"/>
      <c r="AC774" s="197"/>
      <c r="AD774" s="197"/>
      <c r="AE774" s="197"/>
      <c r="AF774" s="197"/>
      <c r="AG774" s="197"/>
      <c r="AH774" s="197"/>
      <c r="AI774" s="197"/>
      <c r="AJ774" s="201"/>
      <c r="AK774" s="33"/>
      <c r="AL774" s="33"/>
      <c r="AM774" s="33"/>
      <c r="AN774" s="33"/>
      <c r="AO774" s="33"/>
      <c r="AP774" s="33"/>
      <c r="AQ774" s="33"/>
      <c r="AR774" s="33"/>
      <c r="AS774" s="33"/>
      <c r="AT774" s="33"/>
      <c r="AU774" s="33"/>
      <c r="AV774" s="33"/>
      <c r="AW774" s="33"/>
      <c r="AX774" s="33"/>
      <c r="AY774" s="33"/>
      <c r="AZ774" s="33"/>
      <c r="BA774" s="33"/>
      <c r="BB774" s="33"/>
      <c r="BC774" s="33"/>
      <c r="BD774" s="33"/>
      <c r="BE774" s="33"/>
      <c r="BF774" s="33"/>
      <c r="BG774" s="33"/>
      <c r="BH774" s="33"/>
      <c r="BI774" s="33"/>
      <c r="BJ774" s="33"/>
      <c r="BK774" s="33"/>
    </row>
    <row r="775" spans="1:63" ht="15" customHeight="1">
      <c r="A775" s="197"/>
      <c r="B775" s="197"/>
      <c r="C775" s="197"/>
      <c r="D775" s="197"/>
      <c r="E775" s="197"/>
      <c r="F775" s="197"/>
      <c r="G775" s="197"/>
      <c r="H775" s="197"/>
      <c r="I775" s="197"/>
      <c r="J775" s="197"/>
      <c r="K775" s="197"/>
      <c r="L775" s="197"/>
      <c r="M775" s="197"/>
      <c r="N775" s="197"/>
      <c r="O775" s="197"/>
      <c r="P775" s="197"/>
      <c r="Q775" s="197"/>
      <c r="R775" s="197"/>
      <c r="S775" s="197"/>
      <c r="T775" s="197"/>
      <c r="U775" s="197"/>
      <c r="V775" s="197"/>
      <c r="W775" s="197"/>
      <c r="X775" s="197"/>
      <c r="Y775" s="197"/>
      <c r="Z775" s="197"/>
      <c r="AA775" s="197"/>
      <c r="AB775" s="197"/>
      <c r="AC775" s="197"/>
      <c r="AD775" s="197"/>
      <c r="AE775" s="197"/>
      <c r="AF775" s="197"/>
      <c r="AG775" s="197"/>
      <c r="AH775" s="197"/>
      <c r="AI775" s="197"/>
      <c r="AJ775" s="201"/>
      <c r="AK775" s="33"/>
      <c r="AL775" s="33"/>
      <c r="AM775" s="33"/>
      <c r="AN775" s="33"/>
      <c r="AO775" s="33"/>
      <c r="AP775" s="33"/>
      <c r="AQ775" s="33"/>
      <c r="AR775" s="33"/>
      <c r="AS775" s="33"/>
      <c r="AT775" s="33"/>
      <c r="AU775" s="33"/>
      <c r="AV775" s="33"/>
      <c r="AW775" s="33"/>
      <c r="AX775" s="33"/>
      <c r="AY775" s="33"/>
      <c r="AZ775" s="33"/>
      <c r="BA775" s="33"/>
      <c r="BB775" s="33"/>
      <c r="BC775" s="33"/>
      <c r="BD775" s="33"/>
      <c r="BE775" s="33"/>
      <c r="BF775" s="33"/>
      <c r="BG775" s="33"/>
      <c r="BH775" s="33"/>
      <c r="BI775" s="33"/>
      <c r="BJ775" s="33"/>
      <c r="BK775" s="33"/>
    </row>
    <row r="776" spans="1:63" ht="15" customHeight="1">
      <c r="A776" s="197"/>
      <c r="B776" s="197"/>
      <c r="C776" s="197"/>
      <c r="D776" s="197"/>
      <c r="E776" s="197"/>
      <c r="F776" s="197"/>
      <c r="G776" s="197"/>
      <c r="H776" s="197"/>
      <c r="I776" s="197"/>
      <c r="J776" s="197"/>
      <c r="K776" s="197"/>
      <c r="L776" s="197"/>
      <c r="M776" s="197"/>
      <c r="N776" s="197"/>
      <c r="O776" s="197"/>
      <c r="P776" s="197"/>
      <c r="Q776" s="197"/>
      <c r="R776" s="197"/>
      <c r="S776" s="197"/>
      <c r="T776" s="197"/>
      <c r="U776" s="197"/>
      <c r="V776" s="197"/>
      <c r="W776" s="197"/>
      <c r="X776" s="197"/>
      <c r="Y776" s="197"/>
      <c r="Z776" s="197"/>
      <c r="AA776" s="197"/>
      <c r="AB776" s="197"/>
      <c r="AC776" s="197"/>
      <c r="AD776" s="197"/>
      <c r="AE776" s="197"/>
      <c r="AF776" s="197"/>
      <c r="AG776" s="197"/>
      <c r="AH776" s="197"/>
      <c r="AI776" s="197"/>
      <c r="AJ776" s="201"/>
      <c r="AK776" s="33"/>
      <c r="AL776" s="33"/>
      <c r="AM776" s="33"/>
      <c r="AN776" s="33"/>
      <c r="AO776" s="33"/>
      <c r="AP776" s="33"/>
      <c r="AQ776" s="33"/>
      <c r="AR776" s="33"/>
      <c r="AS776" s="33"/>
      <c r="AT776" s="33"/>
      <c r="AU776" s="33"/>
      <c r="AV776" s="33"/>
      <c r="AW776" s="33"/>
      <c r="AX776" s="33"/>
      <c r="AY776" s="33"/>
      <c r="AZ776" s="33"/>
      <c r="BA776" s="33"/>
      <c r="BB776" s="33"/>
      <c r="BC776" s="33"/>
      <c r="BD776" s="33"/>
      <c r="BE776" s="33"/>
      <c r="BF776" s="33"/>
      <c r="BG776" s="33"/>
      <c r="BH776" s="33"/>
      <c r="BI776" s="33"/>
      <c r="BJ776" s="33"/>
      <c r="BK776" s="33"/>
    </row>
    <row r="777" spans="1:63" ht="15" customHeight="1">
      <c r="A777" s="197"/>
      <c r="B777" s="197"/>
      <c r="C777" s="197"/>
      <c r="D777" s="197"/>
      <c r="E777" s="197"/>
      <c r="F777" s="197"/>
      <c r="G777" s="197"/>
      <c r="H777" s="197"/>
      <c r="I777" s="197"/>
      <c r="J777" s="197"/>
      <c r="K777" s="197"/>
      <c r="L777" s="197"/>
      <c r="M777" s="197"/>
      <c r="N777" s="197"/>
      <c r="O777" s="197"/>
      <c r="P777" s="197"/>
      <c r="Q777" s="197"/>
      <c r="R777" s="197"/>
      <c r="S777" s="197"/>
      <c r="T777" s="197"/>
      <c r="U777" s="197"/>
      <c r="V777" s="197"/>
      <c r="W777" s="197"/>
      <c r="X777" s="197"/>
      <c r="Y777" s="197"/>
      <c r="Z777" s="197"/>
      <c r="AA777" s="197"/>
      <c r="AB777" s="197"/>
      <c r="AC777" s="197"/>
      <c r="AD777" s="197"/>
      <c r="AE777" s="197"/>
      <c r="AF777" s="197"/>
      <c r="AG777" s="197"/>
      <c r="AH777" s="197"/>
      <c r="AI777" s="197"/>
      <c r="AJ777" s="201"/>
      <c r="AK777" s="33"/>
      <c r="AL777" s="33"/>
      <c r="AM777" s="33"/>
      <c r="AN777" s="33"/>
      <c r="AO777" s="33"/>
      <c r="AP777" s="33"/>
      <c r="AQ777" s="33"/>
      <c r="AR777" s="33"/>
      <c r="AS777" s="33"/>
      <c r="AT777" s="33"/>
      <c r="AU777" s="33"/>
      <c r="AV777" s="33"/>
      <c r="AW777" s="33"/>
      <c r="AX777" s="33"/>
      <c r="AY777" s="33"/>
      <c r="AZ777" s="33"/>
      <c r="BA777" s="33"/>
      <c r="BB777" s="33"/>
      <c r="BC777" s="33"/>
      <c r="BD777" s="33"/>
      <c r="BE777" s="33"/>
      <c r="BF777" s="33"/>
      <c r="BG777" s="33"/>
      <c r="BH777" s="33"/>
      <c r="BI777" s="33"/>
      <c r="BJ777" s="33"/>
      <c r="BK777" s="33"/>
    </row>
    <row r="778" spans="1:63" ht="15" customHeight="1">
      <c r="A778" s="197"/>
      <c r="B778" s="197"/>
      <c r="C778" s="197"/>
      <c r="D778" s="197"/>
      <c r="E778" s="197"/>
      <c r="F778" s="197"/>
      <c r="G778" s="197"/>
      <c r="H778" s="197"/>
      <c r="I778" s="197"/>
      <c r="J778" s="197"/>
      <c r="K778" s="197"/>
      <c r="L778" s="197"/>
      <c r="M778" s="197"/>
      <c r="N778" s="197"/>
      <c r="O778" s="197"/>
      <c r="P778" s="197"/>
      <c r="Q778" s="197"/>
      <c r="R778" s="197"/>
      <c r="S778" s="197"/>
      <c r="T778" s="197"/>
      <c r="U778" s="197"/>
      <c r="V778" s="197"/>
      <c r="W778" s="197"/>
      <c r="X778" s="197"/>
      <c r="Y778" s="197"/>
      <c r="Z778" s="197"/>
      <c r="AA778" s="197"/>
      <c r="AB778" s="197"/>
      <c r="AC778" s="197"/>
      <c r="AD778" s="197"/>
      <c r="AE778" s="197"/>
      <c r="AF778" s="197"/>
      <c r="AG778" s="197"/>
      <c r="AH778" s="197"/>
      <c r="AI778" s="197"/>
      <c r="AJ778" s="201"/>
      <c r="AK778" s="33"/>
      <c r="AL778" s="33"/>
      <c r="AM778" s="33"/>
      <c r="AN778" s="33"/>
      <c r="AO778" s="33"/>
      <c r="AP778" s="33"/>
      <c r="AQ778" s="33"/>
      <c r="AR778" s="33"/>
      <c r="AS778" s="33"/>
      <c r="AT778" s="33"/>
      <c r="AU778" s="33"/>
      <c r="AV778" s="33"/>
      <c r="AW778" s="33"/>
      <c r="AX778" s="33"/>
      <c r="AY778" s="33"/>
      <c r="AZ778" s="33"/>
      <c r="BA778" s="33"/>
      <c r="BB778" s="33"/>
      <c r="BC778" s="33"/>
      <c r="BD778" s="33"/>
      <c r="BE778" s="33"/>
      <c r="BF778" s="33"/>
      <c r="BG778" s="33"/>
      <c r="BH778" s="33"/>
      <c r="BI778" s="33"/>
      <c r="BJ778" s="33"/>
      <c r="BK778" s="33"/>
    </row>
    <row r="779" spans="1:63" ht="15" customHeight="1">
      <c r="A779" s="197"/>
      <c r="B779" s="197"/>
      <c r="C779" s="197"/>
      <c r="D779" s="197"/>
      <c r="E779" s="197"/>
      <c r="F779" s="197"/>
      <c r="G779" s="197"/>
      <c r="H779" s="197"/>
      <c r="I779" s="197"/>
      <c r="J779" s="197"/>
      <c r="K779" s="197"/>
      <c r="L779" s="197"/>
      <c r="M779" s="197"/>
      <c r="N779" s="197"/>
      <c r="O779" s="197"/>
      <c r="P779" s="197"/>
      <c r="Q779" s="197"/>
      <c r="R779" s="197"/>
      <c r="S779" s="197"/>
      <c r="T779" s="197"/>
      <c r="U779" s="197"/>
      <c r="V779" s="197"/>
      <c r="W779" s="197"/>
      <c r="X779" s="197"/>
      <c r="Y779" s="197"/>
      <c r="Z779" s="197"/>
      <c r="AA779" s="197"/>
      <c r="AB779" s="197"/>
      <c r="AC779" s="197"/>
      <c r="AD779" s="197"/>
      <c r="AE779" s="197"/>
      <c r="AF779" s="197"/>
      <c r="AG779" s="197"/>
      <c r="AH779" s="197"/>
      <c r="AI779" s="197"/>
      <c r="AJ779" s="201"/>
      <c r="AK779" s="33"/>
      <c r="AL779" s="33"/>
      <c r="AM779" s="33"/>
      <c r="AN779" s="33"/>
      <c r="AO779" s="33"/>
      <c r="AP779" s="33"/>
      <c r="AQ779" s="33"/>
      <c r="AR779" s="33"/>
      <c r="AS779" s="33"/>
      <c r="AT779" s="33"/>
      <c r="AU779" s="33"/>
      <c r="AV779" s="33"/>
      <c r="AW779" s="33"/>
      <c r="AX779" s="33"/>
      <c r="AY779" s="33"/>
      <c r="AZ779" s="33"/>
      <c r="BA779" s="33"/>
      <c r="BB779" s="33"/>
      <c r="BC779" s="33"/>
      <c r="BD779" s="33"/>
      <c r="BE779" s="33"/>
      <c r="BF779" s="33"/>
      <c r="BG779" s="33"/>
      <c r="BH779" s="33"/>
      <c r="BI779" s="33"/>
      <c r="BJ779" s="33"/>
      <c r="BK779" s="33"/>
    </row>
    <row r="780" spans="1:63" ht="15" customHeight="1">
      <c r="A780" s="197"/>
      <c r="B780" s="197"/>
      <c r="C780" s="197"/>
      <c r="D780" s="197"/>
      <c r="E780" s="197"/>
      <c r="F780" s="197"/>
      <c r="G780" s="197"/>
      <c r="H780" s="197"/>
      <c r="I780" s="197"/>
      <c r="J780" s="197"/>
      <c r="K780" s="197"/>
      <c r="L780" s="197"/>
      <c r="M780" s="197"/>
      <c r="N780" s="197"/>
      <c r="O780" s="197"/>
      <c r="P780" s="197"/>
      <c r="Q780" s="197"/>
      <c r="R780" s="197"/>
      <c r="S780" s="197"/>
      <c r="T780" s="197"/>
      <c r="U780" s="197"/>
      <c r="V780" s="197"/>
      <c r="W780" s="197"/>
      <c r="X780" s="197"/>
      <c r="Y780" s="197"/>
      <c r="Z780" s="197"/>
      <c r="AA780" s="197"/>
      <c r="AB780" s="197"/>
      <c r="AC780" s="197"/>
      <c r="AD780" s="197"/>
      <c r="AE780" s="197"/>
      <c r="AF780" s="197"/>
      <c r="AG780" s="197"/>
      <c r="AH780" s="197"/>
      <c r="AI780" s="197"/>
      <c r="AJ780" s="201"/>
      <c r="AK780" s="33"/>
      <c r="AL780" s="33"/>
      <c r="AM780" s="33"/>
      <c r="AN780" s="33"/>
      <c r="AO780" s="33"/>
      <c r="AP780" s="33"/>
      <c r="AQ780" s="33"/>
      <c r="AR780" s="33"/>
      <c r="AS780" s="33"/>
      <c r="AT780" s="33"/>
      <c r="AU780" s="33"/>
      <c r="AV780" s="33"/>
      <c r="AW780" s="33"/>
      <c r="AX780" s="33"/>
      <c r="AY780" s="33"/>
      <c r="AZ780" s="33"/>
      <c r="BA780" s="33"/>
      <c r="BB780" s="33"/>
      <c r="BC780" s="33"/>
      <c r="BD780" s="33"/>
      <c r="BE780" s="33"/>
      <c r="BF780" s="33"/>
      <c r="BG780" s="33"/>
      <c r="BH780" s="33"/>
      <c r="BI780" s="33"/>
      <c r="BJ780" s="33"/>
      <c r="BK780" s="33"/>
    </row>
    <row r="781" spans="1:63" ht="15" customHeight="1">
      <c r="A781" s="197"/>
      <c r="B781" s="197"/>
      <c r="C781" s="197"/>
      <c r="D781" s="197"/>
      <c r="E781" s="197"/>
      <c r="F781" s="197"/>
      <c r="G781" s="197"/>
      <c r="H781" s="197"/>
      <c r="I781" s="197"/>
      <c r="J781" s="197"/>
      <c r="K781" s="197"/>
      <c r="L781" s="197"/>
      <c r="M781" s="197"/>
      <c r="N781" s="197"/>
      <c r="O781" s="197"/>
      <c r="P781" s="197"/>
      <c r="Q781" s="197"/>
      <c r="R781" s="197"/>
      <c r="S781" s="197"/>
      <c r="T781" s="197"/>
      <c r="U781" s="197"/>
      <c r="V781" s="197"/>
      <c r="W781" s="197"/>
      <c r="X781" s="197"/>
      <c r="Y781" s="197"/>
      <c r="Z781" s="197"/>
      <c r="AA781" s="197"/>
      <c r="AB781" s="197"/>
      <c r="AC781" s="197"/>
      <c r="AD781" s="197"/>
      <c r="AE781" s="197"/>
      <c r="AF781" s="197"/>
      <c r="AG781" s="197"/>
      <c r="AH781" s="197"/>
      <c r="AI781" s="197"/>
      <c r="AJ781" s="201"/>
      <c r="AK781" s="33"/>
      <c r="AL781" s="33"/>
      <c r="AM781" s="33"/>
      <c r="AN781" s="33"/>
      <c r="AO781" s="33"/>
      <c r="AP781" s="33"/>
      <c r="AQ781" s="33"/>
      <c r="AR781" s="33"/>
      <c r="AS781" s="33"/>
      <c r="AT781" s="33"/>
      <c r="AU781" s="33"/>
      <c r="AV781" s="33"/>
      <c r="AW781" s="33"/>
      <c r="AX781" s="33"/>
      <c r="AY781" s="33"/>
      <c r="AZ781" s="33"/>
      <c r="BA781" s="33"/>
      <c r="BB781" s="33"/>
      <c r="BC781" s="33"/>
      <c r="BD781" s="33"/>
      <c r="BE781" s="33"/>
      <c r="BF781" s="33"/>
      <c r="BG781" s="33"/>
      <c r="BH781" s="33"/>
      <c r="BI781" s="33"/>
      <c r="BJ781" s="33"/>
      <c r="BK781" s="33"/>
    </row>
    <row r="782" spans="1:63" ht="15" customHeight="1">
      <c r="A782" s="197"/>
      <c r="B782" s="197"/>
      <c r="C782" s="197"/>
      <c r="D782" s="197"/>
      <c r="E782" s="197"/>
      <c r="F782" s="197"/>
      <c r="G782" s="197"/>
      <c r="H782" s="197"/>
      <c r="I782" s="197"/>
      <c r="J782" s="197"/>
      <c r="K782" s="197"/>
      <c r="L782" s="197"/>
      <c r="M782" s="197"/>
      <c r="N782" s="197"/>
      <c r="O782" s="197"/>
      <c r="P782" s="197"/>
      <c r="Q782" s="197"/>
      <c r="R782" s="197"/>
      <c r="S782" s="197"/>
      <c r="T782" s="197"/>
      <c r="U782" s="197"/>
      <c r="V782" s="197"/>
      <c r="W782" s="197"/>
      <c r="X782" s="197"/>
      <c r="Y782" s="197"/>
      <c r="Z782" s="197"/>
      <c r="AA782" s="197"/>
      <c r="AB782" s="197"/>
      <c r="AC782" s="197"/>
      <c r="AD782" s="197"/>
      <c r="AE782" s="197"/>
      <c r="AF782" s="197"/>
      <c r="AG782" s="197"/>
      <c r="AH782" s="197"/>
      <c r="AI782" s="197"/>
      <c r="AJ782" s="201"/>
      <c r="AK782" s="33"/>
      <c r="AL782" s="33"/>
      <c r="AM782" s="33"/>
      <c r="AN782" s="33"/>
      <c r="AO782" s="33"/>
      <c r="AP782" s="33"/>
      <c r="AQ782" s="33"/>
      <c r="AR782" s="33"/>
      <c r="AS782" s="33"/>
      <c r="AT782" s="33"/>
      <c r="AU782" s="33"/>
      <c r="AV782" s="33"/>
      <c r="AW782" s="33"/>
      <c r="AX782" s="33"/>
      <c r="AY782" s="33"/>
      <c r="AZ782" s="33"/>
      <c r="BA782" s="33"/>
      <c r="BB782" s="33"/>
      <c r="BC782" s="33"/>
      <c r="BD782" s="33"/>
      <c r="BE782" s="33"/>
      <c r="BF782" s="33"/>
      <c r="BG782" s="33"/>
      <c r="BH782" s="33"/>
      <c r="BI782" s="33"/>
      <c r="BJ782" s="33"/>
      <c r="BK782" s="33"/>
    </row>
    <row r="783" spans="1:63" ht="15" customHeight="1">
      <c r="A783" s="197"/>
      <c r="B783" s="197"/>
      <c r="C783" s="197"/>
      <c r="D783" s="197"/>
      <c r="E783" s="197"/>
      <c r="F783" s="197"/>
      <c r="G783" s="197"/>
      <c r="H783" s="197"/>
      <c r="I783" s="197"/>
      <c r="J783" s="197"/>
      <c r="K783" s="197"/>
      <c r="L783" s="197"/>
      <c r="M783" s="197"/>
      <c r="N783" s="197"/>
      <c r="O783" s="197"/>
      <c r="P783" s="197"/>
      <c r="Q783" s="197"/>
      <c r="R783" s="197"/>
      <c r="S783" s="197"/>
      <c r="T783" s="197"/>
      <c r="U783" s="197"/>
      <c r="V783" s="197"/>
      <c r="W783" s="197"/>
      <c r="X783" s="197"/>
      <c r="Y783" s="197"/>
      <c r="Z783" s="197"/>
      <c r="AA783" s="197"/>
      <c r="AB783" s="197"/>
      <c r="AC783" s="197"/>
      <c r="AD783" s="197"/>
      <c r="AE783" s="197"/>
      <c r="AF783" s="197"/>
      <c r="AG783" s="197"/>
      <c r="AH783" s="197"/>
      <c r="AI783" s="197"/>
      <c r="AJ783" s="201"/>
      <c r="AK783" s="33"/>
      <c r="AL783" s="33"/>
      <c r="AM783" s="33"/>
      <c r="AN783" s="33"/>
      <c r="AO783" s="33"/>
      <c r="AP783" s="33"/>
      <c r="AQ783" s="33"/>
      <c r="AR783" s="33"/>
      <c r="AS783" s="33"/>
      <c r="AT783" s="33"/>
      <c r="AU783" s="33"/>
      <c r="AV783" s="33"/>
      <c r="AW783" s="33"/>
      <c r="AX783" s="33"/>
      <c r="AY783" s="33"/>
      <c r="AZ783" s="33"/>
      <c r="BA783" s="33"/>
      <c r="BB783" s="33"/>
      <c r="BC783" s="33"/>
      <c r="BD783" s="33"/>
      <c r="BE783" s="33"/>
      <c r="BF783" s="33"/>
      <c r="BG783" s="33"/>
      <c r="BH783" s="33"/>
      <c r="BI783" s="33"/>
      <c r="BJ783" s="33"/>
      <c r="BK783" s="33"/>
    </row>
    <row r="784" spans="1:63" ht="15" customHeight="1">
      <c r="A784" s="197"/>
      <c r="B784" s="197"/>
      <c r="C784" s="197"/>
      <c r="D784" s="197"/>
      <c r="E784" s="197"/>
      <c r="F784" s="197"/>
      <c r="G784" s="197"/>
      <c r="H784" s="197"/>
      <c r="I784" s="197"/>
      <c r="J784" s="197"/>
      <c r="K784" s="197"/>
      <c r="L784" s="197"/>
      <c r="M784" s="197"/>
      <c r="N784" s="197"/>
      <c r="O784" s="197"/>
      <c r="P784" s="197"/>
      <c r="Q784" s="197"/>
      <c r="R784" s="197"/>
      <c r="S784" s="197"/>
      <c r="T784" s="197"/>
      <c r="U784" s="197"/>
      <c r="V784" s="197"/>
      <c r="W784" s="197"/>
      <c r="X784" s="197"/>
      <c r="Y784" s="197"/>
      <c r="Z784" s="197"/>
      <c r="AA784" s="197"/>
      <c r="AB784" s="197"/>
      <c r="AC784" s="197"/>
      <c r="AD784" s="197"/>
      <c r="AE784" s="197"/>
      <c r="AF784" s="197"/>
      <c r="AG784" s="197"/>
      <c r="AH784" s="197"/>
      <c r="AI784" s="197"/>
      <c r="AJ784" s="201"/>
      <c r="AK784" s="33"/>
      <c r="AL784" s="33"/>
      <c r="AM784" s="33"/>
      <c r="AN784" s="33"/>
      <c r="AO784" s="33"/>
      <c r="AP784" s="33"/>
      <c r="AQ784" s="33"/>
      <c r="AR784" s="33"/>
      <c r="AS784" s="33"/>
      <c r="AT784" s="33"/>
      <c r="AU784" s="33"/>
      <c r="AV784" s="33"/>
      <c r="AW784" s="33"/>
      <c r="AX784" s="33"/>
      <c r="AY784" s="33"/>
      <c r="AZ784" s="33"/>
      <c r="BA784" s="33"/>
      <c r="BB784" s="33"/>
      <c r="BC784" s="33"/>
      <c r="BD784" s="33"/>
      <c r="BE784" s="33"/>
      <c r="BF784" s="33"/>
      <c r="BG784" s="33"/>
      <c r="BH784" s="33"/>
      <c r="BI784" s="33"/>
      <c r="BJ784" s="33"/>
      <c r="BK784" s="33"/>
    </row>
    <row r="785" spans="1:63" ht="15" customHeight="1">
      <c r="A785" s="197"/>
      <c r="B785" s="197"/>
      <c r="C785" s="197"/>
      <c r="D785" s="197"/>
      <c r="E785" s="197"/>
      <c r="F785" s="197"/>
      <c r="G785" s="197"/>
      <c r="H785" s="197"/>
      <c r="I785" s="197"/>
      <c r="J785" s="197"/>
      <c r="K785" s="197"/>
      <c r="L785" s="197"/>
      <c r="M785" s="197"/>
      <c r="N785" s="197"/>
      <c r="O785" s="197"/>
      <c r="P785" s="197"/>
      <c r="Q785" s="197"/>
      <c r="R785" s="197"/>
      <c r="S785" s="197"/>
      <c r="T785" s="197"/>
      <c r="U785" s="197"/>
      <c r="V785" s="197"/>
      <c r="W785" s="197"/>
      <c r="X785" s="197"/>
      <c r="Y785" s="197"/>
      <c r="Z785" s="197"/>
      <c r="AA785" s="197"/>
      <c r="AB785" s="197"/>
      <c r="AC785" s="197"/>
      <c r="AD785" s="197"/>
      <c r="AE785" s="197"/>
      <c r="AF785" s="197"/>
      <c r="AG785" s="197"/>
      <c r="AH785" s="197"/>
      <c r="AI785" s="197"/>
      <c r="AJ785" s="201"/>
      <c r="AK785" s="33"/>
      <c r="AL785" s="33"/>
      <c r="AM785" s="33"/>
      <c r="AN785" s="33"/>
      <c r="AO785" s="33"/>
      <c r="AP785" s="33"/>
      <c r="AQ785" s="33"/>
      <c r="AR785" s="33"/>
      <c r="AS785" s="33"/>
      <c r="AT785" s="33"/>
      <c r="AU785" s="33"/>
      <c r="AV785" s="33"/>
      <c r="AW785" s="33"/>
      <c r="AX785" s="33"/>
      <c r="AY785" s="33"/>
      <c r="AZ785" s="33"/>
      <c r="BA785" s="33"/>
      <c r="BB785" s="33"/>
      <c r="BC785" s="33"/>
      <c r="BD785" s="33"/>
      <c r="BE785" s="33"/>
      <c r="BF785" s="33"/>
      <c r="BG785" s="33"/>
      <c r="BH785" s="33"/>
      <c r="BI785" s="33"/>
      <c r="BJ785" s="33"/>
      <c r="BK785" s="33"/>
    </row>
    <row r="786" spans="1:63" ht="15" customHeight="1">
      <c r="A786" s="197"/>
      <c r="B786" s="197"/>
      <c r="C786" s="197"/>
      <c r="D786" s="197"/>
      <c r="E786" s="197"/>
      <c r="F786" s="197"/>
      <c r="G786" s="197"/>
      <c r="H786" s="197"/>
      <c r="I786" s="197"/>
      <c r="J786" s="197"/>
      <c r="K786" s="197"/>
      <c r="L786" s="197"/>
      <c r="M786" s="197"/>
      <c r="N786" s="197"/>
      <c r="O786" s="197"/>
      <c r="P786" s="197"/>
      <c r="Q786" s="197"/>
      <c r="R786" s="197"/>
      <c r="S786" s="197"/>
      <c r="T786" s="197"/>
      <c r="U786" s="197"/>
      <c r="V786" s="197"/>
      <c r="W786" s="197"/>
      <c r="X786" s="197"/>
      <c r="Y786" s="197"/>
      <c r="Z786" s="197"/>
      <c r="AA786" s="197"/>
      <c r="AB786" s="197"/>
      <c r="AC786" s="197"/>
      <c r="AD786" s="197"/>
      <c r="AE786" s="197"/>
      <c r="AF786" s="197"/>
      <c r="AG786" s="197"/>
      <c r="AH786" s="197"/>
      <c r="AI786" s="197"/>
      <c r="AJ786" s="201"/>
      <c r="AK786" s="33"/>
      <c r="AL786" s="33"/>
      <c r="AM786" s="33"/>
      <c r="AN786" s="33"/>
      <c r="AO786" s="33"/>
      <c r="AP786" s="33"/>
      <c r="AQ786" s="33"/>
      <c r="AR786" s="33"/>
      <c r="AS786" s="33"/>
      <c r="AT786" s="33"/>
      <c r="AU786" s="33"/>
      <c r="AV786" s="33"/>
      <c r="AW786" s="33"/>
      <c r="AX786" s="33"/>
      <c r="AY786" s="33"/>
      <c r="AZ786" s="33"/>
      <c r="BA786" s="33"/>
      <c r="BB786" s="33"/>
      <c r="BC786" s="33"/>
      <c r="BD786" s="33"/>
      <c r="BE786" s="33"/>
      <c r="BF786" s="33"/>
      <c r="BG786" s="33"/>
      <c r="BH786" s="33"/>
      <c r="BI786" s="33"/>
      <c r="BJ786" s="33"/>
      <c r="BK786" s="33"/>
    </row>
    <row r="787" spans="1:63" ht="15" customHeight="1">
      <c r="A787" s="197"/>
      <c r="B787" s="197"/>
      <c r="C787" s="197"/>
      <c r="D787" s="197"/>
      <c r="E787" s="197"/>
      <c r="F787" s="197"/>
      <c r="G787" s="197"/>
      <c r="H787" s="197"/>
      <c r="I787" s="197"/>
      <c r="J787" s="197"/>
      <c r="K787" s="197"/>
      <c r="L787" s="197"/>
      <c r="M787" s="197"/>
      <c r="N787" s="197"/>
      <c r="O787" s="197"/>
      <c r="P787" s="197"/>
      <c r="Q787" s="197"/>
      <c r="R787" s="197"/>
      <c r="S787" s="197"/>
      <c r="T787" s="197"/>
      <c r="U787" s="197"/>
      <c r="V787" s="197"/>
      <c r="W787" s="197"/>
      <c r="X787" s="197"/>
      <c r="Y787" s="197"/>
      <c r="Z787" s="197"/>
      <c r="AA787" s="197"/>
      <c r="AB787" s="197"/>
      <c r="AC787" s="197"/>
      <c r="AD787" s="197"/>
      <c r="AE787" s="197"/>
      <c r="AF787" s="197"/>
      <c r="AG787" s="197"/>
      <c r="AH787" s="197"/>
      <c r="AI787" s="197"/>
      <c r="AJ787" s="201"/>
      <c r="AK787" s="33"/>
      <c r="AL787" s="33"/>
      <c r="AM787" s="33"/>
      <c r="AN787" s="33"/>
      <c r="AO787" s="33"/>
      <c r="AP787" s="33"/>
      <c r="AQ787" s="33"/>
      <c r="AR787" s="33"/>
      <c r="AS787" s="33"/>
      <c r="AT787" s="33"/>
      <c r="AU787" s="33"/>
      <c r="AV787" s="33"/>
      <c r="AW787" s="33"/>
      <c r="AX787" s="33"/>
      <c r="AY787" s="33"/>
      <c r="AZ787" s="33"/>
      <c r="BA787" s="33"/>
      <c r="BB787" s="33"/>
      <c r="BC787" s="33"/>
      <c r="BD787" s="33"/>
      <c r="BE787" s="33"/>
      <c r="BF787" s="33"/>
      <c r="BG787" s="33"/>
      <c r="BH787" s="33"/>
      <c r="BI787" s="33"/>
      <c r="BJ787" s="33"/>
      <c r="BK787" s="33"/>
    </row>
    <row r="788" spans="1:63" ht="15" customHeight="1">
      <c r="A788" s="197"/>
      <c r="B788" s="197"/>
      <c r="C788" s="197"/>
      <c r="D788" s="197"/>
      <c r="E788" s="197"/>
      <c r="F788" s="197"/>
      <c r="G788" s="197"/>
      <c r="H788" s="197"/>
      <c r="I788" s="197"/>
      <c r="J788" s="197"/>
      <c r="K788" s="197"/>
      <c r="L788" s="197"/>
      <c r="M788" s="197"/>
      <c r="N788" s="197"/>
      <c r="O788" s="197"/>
      <c r="P788" s="197"/>
      <c r="Q788" s="197"/>
      <c r="R788" s="197"/>
      <c r="S788" s="197"/>
      <c r="T788" s="197"/>
      <c r="U788" s="197"/>
      <c r="V788" s="197"/>
      <c r="W788" s="197"/>
      <c r="X788" s="197"/>
      <c r="Y788" s="197"/>
      <c r="Z788" s="197"/>
      <c r="AA788" s="197"/>
      <c r="AB788" s="197"/>
      <c r="AC788" s="197"/>
      <c r="AD788" s="197"/>
      <c r="AE788" s="197"/>
      <c r="AF788" s="197"/>
      <c r="AG788" s="197"/>
      <c r="AH788" s="197"/>
      <c r="AI788" s="197"/>
      <c r="AJ788" s="201"/>
      <c r="AK788" s="33"/>
      <c r="AL788" s="33"/>
      <c r="AM788" s="33"/>
      <c r="AN788" s="33"/>
      <c r="AO788" s="33"/>
      <c r="AP788" s="33"/>
      <c r="AQ788" s="33"/>
      <c r="AR788" s="33"/>
      <c r="AS788" s="33"/>
      <c r="AT788" s="33"/>
      <c r="AU788" s="33"/>
      <c r="AV788" s="33"/>
      <c r="AW788" s="33"/>
      <c r="AX788" s="33"/>
      <c r="AY788" s="33"/>
      <c r="AZ788" s="33"/>
      <c r="BA788" s="33"/>
      <c r="BB788" s="33"/>
      <c r="BC788" s="33"/>
      <c r="BD788" s="33"/>
      <c r="BE788" s="33"/>
      <c r="BF788" s="33"/>
      <c r="BG788" s="33"/>
      <c r="BH788" s="33"/>
      <c r="BI788" s="33"/>
      <c r="BJ788" s="33"/>
      <c r="BK788" s="33"/>
    </row>
    <row r="789" spans="1:63" ht="15" customHeight="1">
      <c r="A789" s="197"/>
      <c r="B789" s="197"/>
      <c r="C789" s="197"/>
      <c r="D789" s="197"/>
      <c r="E789" s="197"/>
      <c r="F789" s="197"/>
      <c r="G789" s="197"/>
      <c r="H789" s="197"/>
      <c r="I789" s="197"/>
      <c r="J789" s="197"/>
      <c r="K789" s="197"/>
      <c r="L789" s="197"/>
      <c r="M789" s="197"/>
      <c r="N789" s="197"/>
      <c r="O789" s="197"/>
      <c r="P789" s="197"/>
      <c r="Q789" s="197"/>
      <c r="R789" s="197"/>
      <c r="S789" s="197"/>
      <c r="T789" s="197"/>
      <c r="U789" s="197"/>
      <c r="V789" s="197"/>
      <c r="W789" s="197"/>
      <c r="X789" s="197"/>
      <c r="Y789" s="197"/>
      <c r="Z789" s="197"/>
      <c r="AA789" s="197"/>
      <c r="AB789" s="197"/>
      <c r="AC789" s="197"/>
      <c r="AD789" s="197"/>
      <c r="AE789" s="197"/>
      <c r="AF789" s="197"/>
      <c r="AG789" s="197"/>
      <c r="AH789" s="197"/>
      <c r="AI789" s="197"/>
      <c r="AJ789" s="201"/>
      <c r="AK789" s="33"/>
      <c r="AL789" s="33"/>
      <c r="AM789" s="33"/>
      <c r="AN789" s="33"/>
      <c r="AO789" s="33"/>
      <c r="AP789" s="33"/>
      <c r="AQ789" s="33"/>
      <c r="AR789" s="33"/>
      <c r="AS789" s="33"/>
      <c r="AT789" s="33"/>
      <c r="AU789" s="33"/>
      <c r="AV789" s="33"/>
      <c r="AW789" s="33"/>
      <c r="AX789" s="33"/>
      <c r="AY789" s="33"/>
      <c r="AZ789" s="33"/>
      <c r="BA789" s="33"/>
      <c r="BB789" s="33"/>
      <c r="BC789" s="33"/>
      <c r="BD789" s="33"/>
      <c r="BE789" s="33"/>
      <c r="BF789" s="33"/>
      <c r="BG789" s="33"/>
      <c r="BH789" s="33"/>
      <c r="BI789" s="33"/>
      <c r="BJ789" s="33"/>
      <c r="BK789" s="33"/>
    </row>
    <row r="790" spans="1:63" ht="15" customHeight="1">
      <c r="A790" s="197"/>
      <c r="B790" s="197"/>
      <c r="C790" s="197"/>
      <c r="D790" s="197"/>
      <c r="E790" s="197"/>
      <c r="F790" s="197"/>
      <c r="G790" s="197"/>
      <c r="H790" s="197"/>
      <c r="I790" s="197"/>
      <c r="J790" s="197"/>
      <c r="K790" s="197"/>
      <c r="L790" s="197"/>
      <c r="M790" s="197"/>
      <c r="N790" s="197"/>
      <c r="O790" s="197"/>
      <c r="P790" s="197"/>
      <c r="Q790" s="197"/>
      <c r="R790" s="197"/>
      <c r="S790" s="197"/>
      <c r="T790" s="197"/>
      <c r="U790" s="197"/>
      <c r="V790" s="197"/>
      <c r="W790" s="197"/>
      <c r="X790" s="197"/>
      <c r="Y790" s="197"/>
      <c r="Z790" s="197"/>
      <c r="AA790" s="197"/>
      <c r="AB790" s="197"/>
      <c r="AC790" s="197"/>
      <c r="AD790" s="197"/>
      <c r="AE790" s="197"/>
      <c r="AF790" s="197"/>
      <c r="AG790" s="197"/>
      <c r="AH790" s="197"/>
      <c r="AI790" s="197"/>
      <c r="AJ790" s="201"/>
      <c r="AK790" s="33"/>
      <c r="AL790" s="33"/>
      <c r="AM790" s="33"/>
      <c r="AN790" s="33"/>
      <c r="AO790" s="33"/>
      <c r="AP790" s="33"/>
      <c r="AQ790" s="33"/>
      <c r="AR790" s="33"/>
      <c r="AS790" s="33"/>
      <c r="AT790" s="33"/>
      <c r="AU790" s="33"/>
      <c r="AV790" s="33"/>
      <c r="AW790" s="33"/>
      <c r="AX790" s="33"/>
      <c r="AY790" s="33"/>
      <c r="AZ790" s="33"/>
      <c r="BA790" s="33"/>
      <c r="BB790" s="33"/>
      <c r="BC790" s="33"/>
      <c r="BD790" s="33"/>
      <c r="BE790" s="33"/>
      <c r="BF790" s="33"/>
      <c r="BG790" s="33"/>
      <c r="BH790" s="33"/>
      <c r="BI790" s="33"/>
      <c r="BJ790" s="33"/>
      <c r="BK790" s="33"/>
    </row>
    <row r="791" spans="1:63" ht="15" customHeight="1">
      <c r="A791" s="197"/>
      <c r="B791" s="197"/>
      <c r="C791" s="197"/>
      <c r="D791" s="197"/>
      <c r="E791" s="197"/>
      <c r="F791" s="197"/>
      <c r="G791" s="197"/>
      <c r="H791" s="197"/>
      <c r="I791" s="197"/>
      <c r="J791" s="197"/>
      <c r="K791" s="197"/>
      <c r="L791" s="197"/>
      <c r="M791" s="197"/>
      <c r="N791" s="197"/>
      <c r="O791" s="197"/>
      <c r="P791" s="197"/>
      <c r="Q791" s="197"/>
      <c r="R791" s="197"/>
      <c r="S791" s="197"/>
      <c r="T791" s="197"/>
      <c r="U791" s="197"/>
      <c r="V791" s="197"/>
      <c r="W791" s="197"/>
      <c r="X791" s="197"/>
      <c r="Y791" s="197"/>
      <c r="Z791" s="197"/>
      <c r="AA791" s="197"/>
      <c r="AB791" s="197"/>
      <c r="AC791" s="197"/>
      <c r="AD791" s="197"/>
      <c r="AE791" s="197"/>
      <c r="AF791" s="197"/>
      <c r="AG791" s="197"/>
      <c r="AH791" s="197"/>
      <c r="AI791" s="197"/>
      <c r="AJ791" s="201"/>
      <c r="AK791" s="33"/>
      <c r="AL791" s="33"/>
      <c r="AM791" s="33"/>
      <c r="AN791" s="33"/>
      <c r="AO791" s="33"/>
      <c r="AP791" s="33"/>
      <c r="AQ791" s="33"/>
      <c r="AR791" s="33"/>
      <c r="AS791" s="33"/>
      <c r="AT791" s="33"/>
      <c r="AU791" s="33"/>
      <c r="AV791" s="33"/>
      <c r="AW791" s="33"/>
      <c r="AX791" s="33"/>
      <c r="AY791" s="33"/>
      <c r="AZ791" s="33"/>
      <c r="BA791" s="33"/>
      <c r="BB791" s="33"/>
      <c r="BC791" s="33"/>
      <c r="BD791" s="33"/>
      <c r="BE791" s="33"/>
      <c r="BF791" s="33"/>
      <c r="BG791" s="33"/>
      <c r="BH791" s="33"/>
      <c r="BI791" s="33"/>
      <c r="BJ791" s="33"/>
      <c r="BK791" s="33"/>
    </row>
    <row r="792" spans="1:63" ht="15" customHeight="1">
      <c r="A792" s="197"/>
      <c r="B792" s="197"/>
      <c r="C792" s="197"/>
      <c r="D792" s="197"/>
      <c r="E792" s="197"/>
      <c r="F792" s="197"/>
      <c r="G792" s="197"/>
      <c r="H792" s="197"/>
      <c r="I792" s="197"/>
      <c r="J792" s="197"/>
      <c r="K792" s="197"/>
      <c r="L792" s="197"/>
      <c r="M792" s="197"/>
      <c r="N792" s="197"/>
      <c r="O792" s="197"/>
      <c r="P792" s="197"/>
      <c r="Q792" s="197"/>
      <c r="R792" s="197"/>
      <c r="S792" s="197"/>
      <c r="T792" s="197"/>
      <c r="U792" s="197"/>
      <c r="V792" s="197"/>
      <c r="W792" s="197"/>
      <c r="X792" s="197"/>
      <c r="Y792" s="197"/>
      <c r="Z792" s="197"/>
      <c r="AA792" s="197"/>
      <c r="AB792" s="197"/>
      <c r="AC792" s="197"/>
      <c r="AD792" s="197"/>
      <c r="AE792" s="197"/>
      <c r="AF792" s="197"/>
      <c r="AG792" s="197"/>
      <c r="AH792" s="197"/>
      <c r="AI792" s="197"/>
      <c r="AJ792" s="201"/>
      <c r="AK792" s="33"/>
      <c r="AL792" s="33"/>
      <c r="AM792" s="33"/>
      <c r="AN792" s="33"/>
      <c r="AO792" s="33"/>
      <c r="AP792" s="33"/>
      <c r="AQ792" s="33"/>
      <c r="AR792" s="33"/>
      <c r="AS792" s="33"/>
      <c r="AT792" s="33"/>
      <c r="AU792" s="33"/>
      <c r="AV792" s="33"/>
      <c r="AW792" s="33"/>
      <c r="AX792" s="33"/>
      <c r="AY792" s="33"/>
      <c r="AZ792" s="33"/>
      <c r="BA792" s="33"/>
      <c r="BB792" s="33"/>
      <c r="BC792" s="33"/>
      <c r="BD792" s="33"/>
      <c r="BE792" s="33"/>
      <c r="BF792" s="33"/>
      <c r="BG792" s="33"/>
      <c r="BH792" s="33"/>
      <c r="BI792" s="33"/>
      <c r="BJ792" s="33"/>
      <c r="BK792" s="33"/>
    </row>
    <row r="793" spans="1:63" ht="15" customHeight="1">
      <c r="A793" s="197"/>
      <c r="B793" s="197"/>
      <c r="C793" s="197"/>
      <c r="D793" s="197"/>
      <c r="E793" s="197"/>
      <c r="F793" s="197"/>
      <c r="G793" s="197"/>
      <c r="H793" s="197"/>
      <c r="I793" s="197"/>
      <c r="J793" s="197"/>
      <c r="K793" s="197"/>
      <c r="L793" s="197"/>
      <c r="M793" s="197"/>
      <c r="N793" s="197"/>
      <c r="O793" s="197"/>
      <c r="P793" s="197"/>
      <c r="Q793" s="197"/>
      <c r="R793" s="197"/>
      <c r="S793" s="197"/>
      <c r="T793" s="197"/>
      <c r="U793" s="197"/>
      <c r="V793" s="197"/>
      <c r="W793" s="197"/>
      <c r="X793" s="197"/>
      <c r="Y793" s="197"/>
      <c r="Z793" s="197"/>
      <c r="AA793" s="197"/>
      <c r="AB793" s="197"/>
      <c r="AC793" s="197"/>
      <c r="AD793" s="197"/>
      <c r="AE793" s="197"/>
      <c r="AF793" s="197"/>
      <c r="AG793" s="197"/>
      <c r="AH793" s="197"/>
      <c r="AI793" s="197"/>
      <c r="AJ793" s="201"/>
      <c r="AK793" s="33"/>
      <c r="AL793" s="33"/>
      <c r="AM793" s="33"/>
      <c r="AN793" s="33"/>
      <c r="AO793" s="33"/>
      <c r="AP793" s="33"/>
      <c r="AQ793" s="33"/>
      <c r="AR793" s="33"/>
      <c r="AS793" s="33"/>
      <c r="AT793" s="33"/>
      <c r="AU793" s="33"/>
      <c r="AV793" s="33"/>
      <c r="AW793" s="33"/>
      <c r="AX793" s="33"/>
      <c r="AY793" s="33"/>
      <c r="AZ793" s="33"/>
      <c r="BA793" s="33"/>
      <c r="BB793" s="33"/>
      <c r="BC793" s="33"/>
      <c r="BD793" s="33"/>
      <c r="BE793" s="33"/>
      <c r="BF793" s="33"/>
      <c r="BG793" s="33"/>
      <c r="BH793" s="33"/>
      <c r="BI793" s="33"/>
      <c r="BJ793" s="33"/>
      <c r="BK793" s="33"/>
    </row>
    <row r="794" spans="1:63" ht="15" customHeight="1">
      <c r="A794" s="197"/>
      <c r="B794" s="197"/>
      <c r="C794" s="197"/>
      <c r="D794" s="197"/>
      <c r="E794" s="197"/>
      <c r="F794" s="197"/>
      <c r="G794" s="197"/>
      <c r="H794" s="197"/>
      <c r="I794" s="197"/>
      <c r="J794" s="197"/>
      <c r="K794" s="197"/>
      <c r="L794" s="197"/>
      <c r="M794" s="197"/>
      <c r="N794" s="197"/>
      <c r="O794" s="197"/>
      <c r="P794" s="197"/>
      <c r="Q794" s="197"/>
      <c r="R794" s="197"/>
      <c r="S794" s="197"/>
      <c r="T794" s="197"/>
      <c r="U794" s="197"/>
      <c r="V794" s="197"/>
      <c r="W794" s="197"/>
      <c r="X794" s="197"/>
      <c r="Y794" s="197"/>
      <c r="Z794" s="197"/>
      <c r="AA794" s="197"/>
      <c r="AB794" s="197"/>
      <c r="AC794" s="197"/>
      <c r="AD794" s="197"/>
      <c r="AE794" s="197"/>
      <c r="AF794" s="197"/>
      <c r="AG794" s="197"/>
      <c r="AH794" s="197"/>
      <c r="AI794" s="197"/>
      <c r="AJ794" s="201"/>
      <c r="AK794" s="33"/>
      <c r="AL794" s="33"/>
      <c r="AM794" s="33"/>
      <c r="AN794" s="33"/>
      <c r="AO794" s="33"/>
      <c r="AP794" s="33"/>
      <c r="AQ794" s="33"/>
      <c r="AR794" s="33"/>
      <c r="AS794" s="33"/>
      <c r="AT794" s="33"/>
      <c r="AU794" s="33"/>
      <c r="AV794" s="33"/>
      <c r="AW794" s="33"/>
      <c r="AX794" s="33"/>
      <c r="AY794" s="33"/>
      <c r="AZ794" s="33"/>
      <c r="BA794" s="33"/>
      <c r="BB794" s="33"/>
      <c r="BC794" s="33"/>
      <c r="BD794" s="33"/>
      <c r="BE794" s="33"/>
      <c r="BF794" s="33"/>
      <c r="BG794" s="33"/>
      <c r="BH794" s="33"/>
      <c r="BI794" s="33"/>
      <c r="BJ794" s="33"/>
      <c r="BK794" s="33"/>
    </row>
    <row r="795" spans="1:63" ht="15" customHeight="1">
      <c r="A795" s="197"/>
      <c r="B795" s="197"/>
      <c r="C795" s="197"/>
      <c r="D795" s="197"/>
      <c r="E795" s="197"/>
      <c r="F795" s="197"/>
      <c r="G795" s="197"/>
      <c r="H795" s="197"/>
      <c r="I795" s="197"/>
      <c r="J795" s="197"/>
      <c r="K795" s="197"/>
      <c r="L795" s="197"/>
      <c r="M795" s="197"/>
      <c r="N795" s="197"/>
      <c r="O795" s="197"/>
      <c r="P795" s="197"/>
      <c r="Q795" s="197"/>
      <c r="R795" s="197"/>
      <c r="S795" s="197"/>
      <c r="T795" s="197"/>
      <c r="U795" s="197"/>
      <c r="V795" s="197"/>
      <c r="W795" s="197"/>
      <c r="X795" s="197"/>
      <c r="Y795" s="197"/>
      <c r="Z795" s="197"/>
      <c r="AA795" s="197"/>
      <c r="AB795" s="197"/>
      <c r="AC795" s="197"/>
      <c r="AD795" s="197"/>
      <c r="AE795" s="197"/>
      <c r="AF795" s="197"/>
      <c r="AG795" s="197"/>
      <c r="AH795" s="197"/>
      <c r="AI795" s="197"/>
      <c r="AJ795" s="201"/>
      <c r="AK795" s="33"/>
      <c r="AL795" s="33"/>
      <c r="AM795" s="33"/>
      <c r="AN795" s="33"/>
      <c r="AO795" s="33"/>
      <c r="AP795" s="33"/>
      <c r="AQ795" s="33"/>
      <c r="AR795" s="33"/>
      <c r="AS795" s="33"/>
      <c r="AT795" s="33"/>
      <c r="AU795" s="33"/>
      <c r="AV795" s="33"/>
      <c r="AW795" s="33"/>
      <c r="AX795" s="33"/>
      <c r="AY795" s="33"/>
      <c r="AZ795" s="33"/>
      <c r="BA795" s="33"/>
      <c r="BB795" s="33"/>
      <c r="BC795" s="33"/>
      <c r="BD795" s="33"/>
      <c r="BE795" s="33"/>
      <c r="BF795" s="33"/>
      <c r="BG795" s="33"/>
      <c r="BH795" s="33"/>
      <c r="BI795" s="33"/>
      <c r="BJ795" s="33"/>
      <c r="BK795" s="33"/>
    </row>
    <row r="796" spans="1:63" ht="15" customHeight="1">
      <c r="A796" s="197"/>
      <c r="B796" s="197"/>
      <c r="C796" s="197"/>
      <c r="D796" s="197"/>
      <c r="E796" s="197"/>
      <c r="F796" s="197"/>
      <c r="G796" s="197"/>
      <c r="H796" s="197"/>
      <c r="I796" s="197"/>
      <c r="J796" s="197"/>
      <c r="K796" s="197"/>
      <c r="L796" s="197"/>
      <c r="M796" s="197"/>
      <c r="N796" s="197"/>
      <c r="O796" s="197"/>
      <c r="P796" s="197"/>
      <c r="Q796" s="197"/>
      <c r="R796" s="197"/>
      <c r="S796" s="197"/>
      <c r="T796" s="197"/>
      <c r="U796" s="197"/>
      <c r="V796" s="197"/>
      <c r="W796" s="197"/>
      <c r="X796" s="197"/>
      <c r="Y796" s="197"/>
      <c r="Z796" s="197"/>
      <c r="AA796" s="197"/>
      <c r="AB796" s="197"/>
      <c r="AC796" s="197"/>
      <c r="AD796" s="197"/>
      <c r="AE796" s="197"/>
      <c r="AF796" s="197"/>
      <c r="AG796" s="197"/>
      <c r="AH796" s="197"/>
      <c r="AI796" s="197"/>
      <c r="AJ796" s="201"/>
      <c r="AK796" s="33"/>
      <c r="AL796" s="33"/>
      <c r="AM796" s="33"/>
      <c r="AN796" s="33"/>
      <c r="AO796" s="33"/>
      <c r="AP796" s="33"/>
      <c r="AQ796" s="33"/>
      <c r="AR796" s="33"/>
      <c r="AS796" s="33"/>
      <c r="AT796" s="33"/>
      <c r="AU796" s="33"/>
      <c r="AV796" s="33"/>
      <c r="AW796" s="33"/>
      <c r="AX796" s="33"/>
      <c r="AY796" s="33"/>
      <c r="AZ796" s="33"/>
      <c r="BA796" s="33"/>
      <c r="BB796" s="33"/>
      <c r="BC796" s="33"/>
      <c r="BD796" s="33"/>
      <c r="BE796" s="33"/>
      <c r="BF796" s="33"/>
      <c r="BG796" s="33"/>
      <c r="BH796" s="33"/>
      <c r="BI796" s="33"/>
      <c r="BJ796" s="33"/>
      <c r="BK796" s="33"/>
    </row>
    <row r="797" spans="1:63" ht="15" customHeight="1">
      <c r="A797" s="197"/>
      <c r="B797" s="197"/>
      <c r="C797" s="197"/>
      <c r="D797" s="197"/>
      <c r="E797" s="197"/>
      <c r="F797" s="197"/>
      <c r="G797" s="197"/>
      <c r="H797" s="197"/>
      <c r="I797" s="197"/>
      <c r="J797" s="197"/>
      <c r="K797" s="197"/>
      <c r="L797" s="197"/>
      <c r="M797" s="197"/>
      <c r="N797" s="197"/>
      <c r="O797" s="197"/>
      <c r="P797" s="197"/>
      <c r="Q797" s="197"/>
      <c r="R797" s="197"/>
      <c r="S797" s="197"/>
      <c r="T797" s="197"/>
      <c r="U797" s="197"/>
      <c r="V797" s="197"/>
      <c r="W797" s="197"/>
      <c r="X797" s="197"/>
      <c r="Y797" s="197"/>
      <c r="Z797" s="197"/>
      <c r="AA797" s="197"/>
      <c r="AB797" s="197"/>
      <c r="AC797" s="197"/>
      <c r="AD797" s="197"/>
      <c r="AE797" s="197"/>
      <c r="AF797" s="197"/>
      <c r="AG797" s="197"/>
      <c r="AH797" s="197"/>
      <c r="AI797" s="197"/>
      <c r="AJ797" s="201"/>
      <c r="AK797" s="33"/>
      <c r="AL797" s="33"/>
      <c r="AM797" s="33"/>
      <c r="AN797" s="33"/>
      <c r="AO797" s="33"/>
      <c r="AP797" s="33"/>
      <c r="AQ797" s="33"/>
      <c r="AR797" s="33"/>
      <c r="AS797" s="33"/>
      <c r="AT797" s="33"/>
      <c r="AU797" s="33"/>
      <c r="AV797" s="33"/>
      <c r="AW797" s="33"/>
      <c r="AX797" s="33"/>
      <c r="AY797" s="33"/>
      <c r="AZ797" s="33"/>
      <c r="BA797" s="33"/>
      <c r="BB797" s="33"/>
      <c r="BC797" s="33"/>
      <c r="BD797" s="33"/>
      <c r="BE797" s="33"/>
      <c r="BF797" s="33"/>
      <c r="BG797" s="33"/>
      <c r="BH797" s="33"/>
      <c r="BI797" s="33"/>
      <c r="BJ797" s="33"/>
      <c r="BK797" s="33"/>
    </row>
    <row r="798" spans="1:63" ht="15" customHeight="1">
      <c r="A798" s="197"/>
      <c r="B798" s="197"/>
      <c r="C798" s="197"/>
      <c r="D798" s="197"/>
      <c r="E798" s="197"/>
      <c r="F798" s="197"/>
      <c r="G798" s="197"/>
      <c r="H798" s="197"/>
      <c r="I798" s="197"/>
      <c r="J798" s="197"/>
      <c r="K798" s="197"/>
      <c r="L798" s="197"/>
      <c r="M798" s="197"/>
      <c r="N798" s="197"/>
      <c r="O798" s="197"/>
      <c r="P798" s="197"/>
      <c r="Q798" s="197"/>
      <c r="R798" s="197"/>
      <c r="S798" s="197"/>
      <c r="T798" s="197"/>
      <c r="U798" s="197"/>
      <c r="V798" s="197"/>
      <c r="W798" s="197"/>
      <c r="X798" s="197"/>
      <c r="Y798" s="197"/>
      <c r="Z798" s="197"/>
      <c r="AA798" s="197"/>
      <c r="AB798" s="197"/>
      <c r="AC798" s="197"/>
      <c r="AD798" s="197"/>
      <c r="AE798" s="197"/>
      <c r="AF798" s="197"/>
      <c r="AG798" s="197"/>
      <c r="AH798" s="197"/>
      <c r="AI798" s="197"/>
      <c r="AJ798" s="201"/>
      <c r="AK798" s="33"/>
      <c r="AL798" s="33"/>
      <c r="AM798" s="33"/>
      <c r="AN798" s="33"/>
      <c r="AO798" s="33"/>
      <c r="AP798" s="33"/>
      <c r="AQ798" s="33"/>
      <c r="AR798" s="33"/>
      <c r="AS798" s="33"/>
      <c r="AT798" s="33"/>
      <c r="AU798" s="33"/>
      <c r="AV798" s="33"/>
      <c r="AW798" s="33"/>
      <c r="AX798" s="33"/>
      <c r="AY798" s="33"/>
      <c r="AZ798" s="33"/>
      <c r="BA798" s="33"/>
      <c r="BB798" s="33"/>
      <c r="BC798" s="33"/>
      <c r="BD798" s="33"/>
      <c r="BE798" s="33"/>
      <c r="BF798" s="33"/>
      <c r="BG798" s="33"/>
      <c r="BH798" s="33"/>
      <c r="BI798" s="33"/>
      <c r="BJ798" s="33"/>
      <c r="BK798" s="33"/>
    </row>
    <row r="799" spans="1:63" ht="15" customHeight="1">
      <c r="A799" s="197"/>
      <c r="B799" s="197"/>
      <c r="C799" s="197"/>
      <c r="D799" s="197"/>
      <c r="E799" s="197"/>
      <c r="F799" s="197"/>
      <c r="G799" s="197"/>
      <c r="H799" s="197"/>
      <c r="I799" s="197"/>
      <c r="J799" s="197"/>
      <c r="K799" s="197"/>
      <c r="L799" s="197"/>
      <c r="M799" s="197"/>
      <c r="N799" s="197"/>
      <c r="O799" s="197"/>
      <c r="P799" s="197"/>
      <c r="Q799" s="197"/>
      <c r="R799" s="197"/>
      <c r="S799" s="197"/>
      <c r="T799" s="197"/>
      <c r="U799" s="197"/>
      <c r="V799" s="197"/>
      <c r="W799" s="197"/>
      <c r="X799" s="197"/>
      <c r="Y799" s="197"/>
      <c r="Z799" s="197"/>
      <c r="AA799" s="197"/>
      <c r="AB799" s="197"/>
      <c r="AC799" s="197"/>
      <c r="AD799" s="197"/>
      <c r="AE799" s="197"/>
      <c r="AF799" s="197"/>
      <c r="AG799" s="197"/>
      <c r="AH799" s="197"/>
      <c r="AI799" s="197"/>
      <c r="AJ799" s="201"/>
      <c r="AK799" s="33"/>
      <c r="AL799" s="33"/>
      <c r="AM799" s="33"/>
      <c r="AN799" s="33"/>
      <c r="AO799" s="33"/>
      <c r="AP799" s="33"/>
      <c r="AQ799" s="33"/>
      <c r="AR799" s="33"/>
      <c r="AS799" s="33"/>
      <c r="AT799" s="33"/>
      <c r="AU799" s="33"/>
      <c r="AV799" s="33"/>
      <c r="AW799" s="33"/>
      <c r="AX799" s="33"/>
      <c r="AY799" s="33"/>
      <c r="AZ799" s="33"/>
      <c r="BA799" s="33"/>
      <c r="BB799" s="33"/>
      <c r="BC799" s="33"/>
      <c r="BD799" s="33"/>
      <c r="BE799" s="33"/>
      <c r="BF799" s="33"/>
      <c r="BG799" s="33"/>
      <c r="BH799" s="33"/>
      <c r="BI799" s="33"/>
      <c r="BJ799" s="33"/>
      <c r="BK799" s="33"/>
    </row>
    <row r="800" spans="1:63" ht="15" customHeight="1">
      <c r="A800" s="197"/>
      <c r="B800" s="197"/>
      <c r="C800" s="197"/>
      <c r="D800" s="197"/>
      <c r="E800" s="197"/>
      <c r="F800" s="197"/>
      <c r="G800" s="197"/>
      <c r="H800" s="197"/>
      <c r="I800" s="197"/>
      <c r="J800" s="197"/>
      <c r="K800" s="197"/>
      <c r="L800" s="197"/>
      <c r="M800" s="197"/>
      <c r="N800" s="197"/>
      <c r="O800" s="197"/>
      <c r="P800" s="197"/>
      <c r="Q800" s="197"/>
      <c r="R800" s="197"/>
      <c r="S800" s="197"/>
      <c r="T800" s="197"/>
      <c r="U800" s="197"/>
      <c r="V800" s="197"/>
      <c r="W800" s="197"/>
      <c r="X800" s="197"/>
      <c r="Y800" s="197"/>
      <c r="Z800" s="197"/>
      <c r="AA800" s="197"/>
      <c r="AB800" s="197"/>
      <c r="AC800" s="197"/>
      <c r="AD800" s="197"/>
      <c r="AE800" s="197"/>
      <c r="AF800" s="197"/>
      <c r="AG800" s="197"/>
      <c r="AH800" s="197"/>
      <c r="AI800" s="197"/>
      <c r="AJ800" s="201"/>
      <c r="AK800" s="33"/>
      <c r="AL800" s="33"/>
      <c r="AM800" s="33"/>
      <c r="AN800" s="33"/>
      <c r="AO800" s="33"/>
      <c r="AP800" s="33"/>
      <c r="AQ800" s="33"/>
      <c r="AR800" s="33"/>
      <c r="AS800" s="33"/>
      <c r="AT800" s="33"/>
      <c r="AU800" s="33"/>
      <c r="AV800" s="33"/>
      <c r="AW800" s="33"/>
      <c r="AX800" s="33"/>
      <c r="AY800" s="33"/>
      <c r="AZ800" s="33"/>
      <c r="BA800" s="33"/>
      <c r="BB800" s="33"/>
      <c r="BC800" s="33"/>
      <c r="BD800" s="33"/>
      <c r="BE800" s="33"/>
      <c r="BF800" s="33"/>
      <c r="BG800" s="33"/>
      <c r="BH800" s="33"/>
      <c r="BI800" s="33"/>
      <c r="BJ800" s="33"/>
      <c r="BK800" s="33"/>
    </row>
    <row r="801" spans="1:63" ht="15" customHeight="1">
      <c r="A801" s="197"/>
      <c r="B801" s="197"/>
      <c r="C801" s="197"/>
      <c r="D801" s="197"/>
      <c r="E801" s="197"/>
      <c r="F801" s="197"/>
      <c r="G801" s="197"/>
      <c r="H801" s="197"/>
      <c r="I801" s="197"/>
      <c r="J801" s="197"/>
      <c r="K801" s="197"/>
      <c r="L801" s="197"/>
      <c r="M801" s="197"/>
      <c r="N801" s="197"/>
      <c r="O801" s="197"/>
      <c r="P801" s="197"/>
      <c r="Q801" s="197"/>
      <c r="R801" s="197"/>
      <c r="S801" s="197"/>
      <c r="T801" s="197"/>
      <c r="U801" s="197"/>
      <c r="V801" s="197"/>
      <c r="W801" s="197"/>
      <c r="X801" s="197"/>
      <c r="Y801" s="197"/>
      <c r="Z801" s="197"/>
      <c r="AA801" s="197"/>
      <c r="AB801" s="197"/>
      <c r="AC801" s="197"/>
      <c r="AD801" s="197"/>
      <c r="AE801" s="197"/>
      <c r="AF801" s="197"/>
      <c r="AG801" s="197"/>
      <c r="AH801" s="197"/>
      <c r="AI801" s="197"/>
      <c r="AJ801" s="201"/>
      <c r="AK801" s="33"/>
      <c r="AL801" s="33"/>
      <c r="AM801" s="33"/>
      <c r="AN801" s="33"/>
      <c r="AO801" s="33"/>
      <c r="AP801" s="33"/>
      <c r="AQ801" s="33"/>
      <c r="AR801" s="33"/>
      <c r="AS801" s="33"/>
      <c r="AT801" s="33"/>
      <c r="AU801" s="33"/>
      <c r="AV801" s="33"/>
      <c r="AW801" s="33"/>
      <c r="AX801" s="33"/>
      <c r="AY801" s="33"/>
      <c r="AZ801" s="33"/>
      <c r="BA801" s="33"/>
      <c r="BB801" s="33"/>
      <c r="BC801" s="33"/>
      <c r="BD801" s="33"/>
      <c r="BE801" s="33"/>
      <c r="BF801" s="33"/>
      <c r="BG801" s="33"/>
      <c r="BH801" s="33"/>
      <c r="BI801" s="33"/>
      <c r="BJ801" s="33"/>
      <c r="BK801" s="33"/>
    </row>
    <row r="802" spans="1:63" ht="15" customHeight="1">
      <c r="A802" s="197"/>
      <c r="B802" s="197"/>
      <c r="C802" s="197"/>
      <c r="D802" s="197"/>
      <c r="E802" s="197"/>
      <c r="F802" s="197"/>
      <c r="G802" s="197"/>
      <c r="H802" s="197"/>
      <c r="I802" s="197"/>
      <c r="J802" s="197"/>
      <c r="K802" s="197"/>
      <c r="L802" s="197"/>
      <c r="M802" s="197"/>
      <c r="N802" s="197"/>
      <c r="O802" s="197"/>
      <c r="P802" s="197"/>
      <c r="Q802" s="197"/>
      <c r="R802" s="197"/>
      <c r="S802" s="197"/>
      <c r="T802" s="197"/>
      <c r="U802" s="197"/>
      <c r="V802" s="197"/>
      <c r="W802" s="197"/>
      <c r="X802" s="197"/>
      <c r="Y802" s="197"/>
      <c r="Z802" s="197"/>
      <c r="AA802" s="197"/>
      <c r="AB802" s="197"/>
      <c r="AC802" s="197"/>
      <c r="AD802" s="197"/>
      <c r="AE802" s="197"/>
      <c r="AF802" s="197"/>
      <c r="AG802" s="197"/>
      <c r="AH802" s="197"/>
      <c r="AI802" s="197"/>
      <c r="AJ802" s="201"/>
      <c r="AK802" s="33"/>
      <c r="AL802" s="33"/>
      <c r="AM802" s="33"/>
      <c r="AN802" s="33"/>
      <c r="AO802" s="33"/>
      <c r="AP802" s="33"/>
      <c r="AQ802" s="33"/>
      <c r="AR802" s="33"/>
      <c r="AS802" s="33"/>
      <c r="AT802" s="33"/>
      <c r="AU802" s="33"/>
      <c r="AV802" s="33"/>
      <c r="AW802" s="33"/>
      <c r="AX802" s="33"/>
      <c r="AY802" s="33"/>
      <c r="AZ802" s="33"/>
      <c r="BA802" s="33"/>
      <c r="BB802" s="33"/>
      <c r="BC802" s="33"/>
      <c r="BD802" s="33"/>
      <c r="BE802" s="33"/>
      <c r="BF802" s="33"/>
      <c r="BG802" s="33"/>
      <c r="BH802" s="33"/>
      <c r="BI802" s="33"/>
      <c r="BJ802" s="33"/>
      <c r="BK802" s="33"/>
    </row>
    <row r="803" spans="1:63" ht="15" customHeight="1">
      <c r="A803" s="197"/>
      <c r="B803" s="197"/>
      <c r="C803" s="197"/>
      <c r="D803" s="197"/>
      <c r="E803" s="197"/>
      <c r="F803" s="197"/>
      <c r="G803" s="197"/>
      <c r="H803" s="197"/>
      <c r="I803" s="197"/>
      <c r="J803" s="197"/>
      <c r="K803" s="197"/>
      <c r="L803" s="197"/>
      <c r="M803" s="197"/>
      <c r="N803" s="197"/>
      <c r="O803" s="197"/>
      <c r="P803" s="197"/>
      <c r="Q803" s="197"/>
      <c r="R803" s="197"/>
      <c r="S803" s="197"/>
      <c r="T803" s="197"/>
      <c r="U803" s="197"/>
      <c r="V803" s="197"/>
      <c r="W803" s="197"/>
      <c r="X803" s="197"/>
      <c r="Y803" s="197"/>
      <c r="Z803" s="197"/>
      <c r="AA803" s="197"/>
      <c r="AB803" s="197"/>
      <c r="AC803" s="197"/>
      <c r="AD803" s="197"/>
      <c r="AE803" s="197"/>
      <c r="AF803" s="197"/>
      <c r="AG803" s="197"/>
      <c r="AH803" s="197"/>
      <c r="AI803" s="197"/>
      <c r="AJ803" s="201"/>
      <c r="AK803" s="33"/>
      <c r="AL803" s="33"/>
      <c r="AM803" s="33"/>
      <c r="AN803" s="33"/>
      <c r="AO803" s="33"/>
      <c r="AP803" s="33"/>
      <c r="AQ803" s="33"/>
      <c r="AR803" s="33"/>
      <c r="AS803" s="33"/>
      <c r="AT803" s="33"/>
      <c r="AU803" s="33"/>
      <c r="AV803" s="33"/>
      <c r="AW803" s="33"/>
      <c r="AX803" s="33"/>
      <c r="AY803" s="33"/>
      <c r="AZ803" s="33"/>
      <c r="BA803" s="33"/>
      <c r="BB803" s="33"/>
      <c r="BC803" s="33"/>
      <c r="BD803" s="33"/>
      <c r="BE803" s="33"/>
      <c r="BF803" s="33"/>
      <c r="BG803" s="33"/>
      <c r="BH803" s="33"/>
      <c r="BI803" s="33"/>
      <c r="BJ803" s="33"/>
      <c r="BK803" s="33"/>
    </row>
    <row r="804" spans="1:63" ht="15" customHeight="1">
      <c r="A804" s="197"/>
      <c r="B804" s="197"/>
      <c r="C804" s="197"/>
      <c r="D804" s="197"/>
      <c r="E804" s="197"/>
      <c r="F804" s="197"/>
      <c r="G804" s="197"/>
      <c r="H804" s="197"/>
      <c r="I804" s="197"/>
      <c r="J804" s="197"/>
      <c r="K804" s="197"/>
      <c r="L804" s="197"/>
      <c r="M804" s="197"/>
      <c r="N804" s="197"/>
      <c r="O804" s="197"/>
      <c r="P804" s="197"/>
      <c r="Q804" s="197"/>
      <c r="R804" s="197"/>
      <c r="S804" s="197"/>
      <c r="T804" s="197"/>
      <c r="U804" s="197"/>
      <c r="V804" s="197"/>
      <c r="W804" s="197"/>
      <c r="X804" s="197"/>
      <c r="Y804" s="197"/>
      <c r="Z804" s="197"/>
      <c r="AA804" s="197"/>
      <c r="AB804" s="197"/>
      <c r="AC804" s="197"/>
      <c r="AD804" s="197"/>
      <c r="AE804" s="197"/>
      <c r="AF804" s="197"/>
      <c r="AG804" s="197"/>
      <c r="AH804" s="197"/>
      <c r="AI804" s="197"/>
      <c r="AJ804" s="201"/>
      <c r="AK804" s="33"/>
      <c r="AL804" s="33"/>
      <c r="AM804" s="33"/>
      <c r="AN804" s="33"/>
      <c r="AO804" s="33"/>
      <c r="AP804" s="33"/>
      <c r="AQ804" s="33"/>
      <c r="AR804" s="33"/>
      <c r="AS804" s="33"/>
      <c r="AT804" s="33"/>
      <c r="AU804" s="33"/>
      <c r="AV804" s="33"/>
      <c r="AW804" s="33"/>
      <c r="AX804" s="33"/>
      <c r="AY804" s="33"/>
      <c r="AZ804" s="33"/>
      <c r="BA804" s="33"/>
      <c r="BB804" s="33"/>
      <c r="BC804" s="33"/>
      <c r="BD804" s="33"/>
      <c r="BE804" s="33"/>
      <c r="BF804" s="33"/>
      <c r="BG804" s="33"/>
      <c r="BH804" s="33"/>
      <c r="BI804" s="33"/>
      <c r="BJ804" s="33"/>
      <c r="BK804" s="33"/>
    </row>
    <row r="805" spans="1:63" ht="15" customHeight="1">
      <c r="A805" s="197"/>
      <c r="B805" s="197"/>
      <c r="C805" s="197"/>
      <c r="D805" s="197"/>
      <c r="E805" s="197"/>
      <c r="F805" s="197"/>
      <c r="G805" s="197"/>
      <c r="H805" s="197"/>
      <c r="I805" s="197"/>
      <c r="J805" s="197"/>
      <c r="K805" s="197"/>
      <c r="L805" s="197"/>
      <c r="M805" s="197"/>
      <c r="N805" s="197"/>
      <c r="O805" s="197"/>
      <c r="P805" s="197"/>
      <c r="Q805" s="197"/>
      <c r="R805" s="197"/>
      <c r="S805" s="197"/>
      <c r="T805" s="197"/>
      <c r="U805" s="197"/>
      <c r="V805" s="197"/>
      <c r="W805" s="197"/>
      <c r="X805" s="197"/>
      <c r="Y805" s="197"/>
      <c r="Z805" s="197"/>
      <c r="AA805" s="197"/>
      <c r="AB805" s="197"/>
      <c r="AC805" s="197"/>
      <c r="AD805" s="197"/>
      <c r="AE805" s="197"/>
      <c r="AF805" s="197"/>
      <c r="AG805" s="197"/>
      <c r="AH805" s="197"/>
      <c r="AI805" s="197"/>
      <c r="AJ805" s="201"/>
      <c r="AK805" s="33"/>
      <c r="AL805" s="33"/>
      <c r="AM805" s="33"/>
      <c r="AN805" s="33"/>
      <c r="AO805" s="33"/>
      <c r="AP805" s="33"/>
      <c r="AQ805" s="33"/>
      <c r="AR805" s="33"/>
      <c r="AS805" s="33"/>
      <c r="AT805" s="33"/>
      <c r="AU805" s="33"/>
      <c r="AV805" s="33"/>
      <c r="AW805" s="33"/>
      <c r="AX805" s="33"/>
      <c r="AY805" s="33"/>
      <c r="AZ805" s="33"/>
      <c r="BA805" s="33"/>
      <c r="BB805" s="33"/>
      <c r="BC805" s="33"/>
      <c r="BD805" s="33"/>
      <c r="BE805" s="33"/>
      <c r="BF805" s="33"/>
      <c r="BG805" s="33"/>
      <c r="BH805" s="33"/>
      <c r="BI805" s="33"/>
      <c r="BJ805" s="33"/>
      <c r="BK805" s="33"/>
    </row>
    <row r="806" spans="1:63" ht="15" customHeight="1">
      <c r="A806" s="197"/>
      <c r="B806" s="197"/>
      <c r="C806" s="197"/>
      <c r="D806" s="197"/>
      <c r="E806" s="197"/>
      <c r="F806" s="197"/>
      <c r="G806" s="197"/>
      <c r="H806" s="197"/>
      <c r="I806" s="197"/>
      <c r="J806" s="197"/>
      <c r="K806" s="197"/>
      <c r="L806" s="197"/>
      <c r="M806" s="197"/>
      <c r="N806" s="197"/>
      <c r="O806" s="197"/>
      <c r="P806" s="197"/>
      <c r="Q806" s="197"/>
      <c r="R806" s="197"/>
      <c r="S806" s="197"/>
      <c r="T806" s="197"/>
      <c r="U806" s="197"/>
      <c r="V806" s="197"/>
      <c r="W806" s="197"/>
      <c r="X806" s="197"/>
      <c r="Y806" s="197"/>
      <c r="Z806" s="197"/>
      <c r="AA806" s="197"/>
      <c r="AB806" s="197"/>
      <c r="AC806" s="197"/>
      <c r="AD806" s="197"/>
      <c r="AE806" s="197"/>
      <c r="AF806" s="197"/>
      <c r="AG806" s="197"/>
      <c r="AH806" s="197"/>
      <c r="AI806" s="197"/>
      <c r="AJ806" s="201"/>
      <c r="AK806" s="33"/>
      <c r="AL806" s="33"/>
      <c r="AM806" s="33"/>
      <c r="AN806" s="33"/>
      <c r="AO806" s="33"/>
      <c r="AP806" s="33"/>
      <c r="AQ806" s="33"/>
      <c r="AR806" s="33"/>
      <c r="AS806" s="33"/>
      <c r="AT806" s="33"/>
      <c r="AU806" s="33"/>
      <c r="AV806" s="33"/>
      <c r="AW806" s="33"/>
      <c r="AX806" s="33"/>
      <c r="AY806" s="33"/>
      <c r="AZ806" s="33"/>
      <c r="BA806" s="33"/>
      <c r="BB806" s="33"/>
      <c r="BC806" s="33"/>
      <c r="BD806" s="33"/>
      <c r="BE806" s="33"/>
      <c r="BF806" s="33"/>
      <c r="BG806" s="33"/>
      <c r="BH806" s="33"/>
      <c r="BI806" s="33"/>
      <c r="BJ806" s="33"/>
      <c r="BK806" s="33"/>
    </row>
    <row r="807" spans="1:63" ht="15" customHeight="1">
      <c r="A807" s="197"/>
      <c r="B807" s="197"/>
      <c r="C807" s="197"/>
      <c r="D807" s="197"/>
      <c r="E807" s="197"/>
      <c r="F807" s="197"/>
      <c r="G807" s="197"/>
      <c r="H807" s="197"/>
      <c r="I807" s="197"/>
      <c r="J807" s="197"/>
      <c r="K807" s="197"/>
      <c r="L807" s="197"/>
      <c r="M807" s="197"/>
      <c r="N807" s="197"/>
      <c r="O807" s="197"/>
      <c r="P807" s="197"/>
      <c r="Q807" s="197"/>
      <c r="R807" s="197"/>
      <c r="S807" s="197"/>
      <c r="T807" s="197"/>
      <c r="U807" s="197"/>
      <c r="V807" s="197"/>
      <c r="W807" s="197"/>
      <c r="X807" s="197"/>
      <c r="Y807" s="197"/>
      <c r="Z807" s="197"/>
      <c r="AA807" s="197"/>
      <c r="AB807" s="197"/>
      <c r="AC807" s="197"/>
      <c r="AD807" s="197"/>
      <c r="AE807" s="197"/>
      <c r="AF807" s="197"/>
      <c r="AG807" s="197"/>
      <c r="AH807" s="197"/>
      <c r="AI807" s="197"/>
      <c r="AJ807" s="201"/>
      <c r="AK807" s="33"/>
      <c r="AL807" s="33"/>
      <c r="AM807" s="33"/>
      <c r="AN807" s="33"/>
      <c r="AO807" s="33"/>
      <c r="AP807" s="33"/>
      <c r="AQ807" s="33"/>
      <c r="AR807" s="33"/>
      <c r="AS807" s="33"/>
      <c r="AT807" s="33"/>
      <c r="AU807" s="33"/>
      <c r="AV807" s="33"/>
      <c r="AW807" s="33"/>
      <c r="AX807" s="33"/>
      <c r="AY807" s="33"/>
      <c r="AZ807" s="33"/>
      <c r="BA807" s="33"/>
      <c r="BB807" s="33"/>
      <c r="BC807" s="33"/>
      <c r="BD807" s="33"/>
      <c r="BE807" s="33"/>
      <c r="BF807" s="33"/>
      <c r="BG807" s="33"/>
      <c r="BH807" s="33"/>
      <c r="BI807" s="33"/>
      <c r="BJ807" s="33"/>
      <c r="BK807" s="33"/>
    </row>
    <row r="808" spans="1:63" ht="15" customHeight="1">
      <c r="A808" s="197"/>
      <c r="B808" s="197"/>
      <c r="C808" s="197"/>
      <c r="D808" s="197"/>
      <c r="E808" s="197"/>
      <c r="F808" s="197"/>
      <c r="G808" s="197"/>
      <c r="H808" s="197"/>
      <c r="I808" s="197"/>
      <c r="J808" s="197"/>
      <c r="K808" s="197"/>
      <c r="L808" s="197"/>
      <c r="M808" s="197"/>
      <c r="N808" s="197"/>
      <c r="O808" s="197"/>
      <c r="P808" s="197"/>
      <c r="Q808" s="197"/>
      <c r="R808" s="197"/>
      <c r="S808" s="197"/>
      <c r="T808" s="197"/>
      <c r="U808" s="197"/>
      <c r="V808" s="197"/>
      <c r="W808" s="197"/>
      <c r="X808" s="197"/>
      <c r="Y808" s="197"/>
      <c r="Z808" s="197"/>
      <c r="AA808" s="197"/>
      <c r="AB808" s="197"/>
      <c r="AC808" s="197"/>
      <c r="AD808" s="197"/>
      <c r="AE808" s="197"/>
      <c r="AF808" s="197"/>
      <c r="AG808" s="197"/>
      <c r="AH808" s="197"/>
      <c r="AI808" s="197"/>
      <c r="AJ808" s="201"/>
      <c r="AK808" s="33"/>
      <c r="AL808" s="33"/>
      <c r="AM808" s="33"/>
      <c r="AN808" s="33"/>
      <c r="AO808" s="33"/>
      <c r="AP808" s="33"/>
      <c r="AQ808" s="33"/>
      <c r="AR808" s="33"/>
      <c r="AS808" s="33"/>
      <c r="AT808" s="33"/>
      <c r="AU808" s="33"/>
      <c r="AV808" s="33"/>
      <c r="AW808" s="33"/>
      <c r="AX808" s="33"/>
      <c r="AY808" s="33"/>
      <c r="AZ808" s="33"/>
      <c r="BA808" s="33"/>
      <c r="BB808" s="33"/>
      <c r="BC808" s="33"/>
      <c r="BD808" s="33"/>
      <c r="BE808" s="33"/>
      <c r="BF808" s="33"/>
      <c r="BG808" s="33"/>
      <c r="BH808" s="33"/>
      <c r="BI808" s="33"/>
      <c r="BJ808" s="33"/>
      <c r="BK808" s="33"/>
    </row>
    <row r="809" spans="1:63" ht="15" customHeight="1">
      <c r="A809" s="197"/>
      <c r="B809" s="197"/>
      <c r="C809" s="197"/>
      <c r="D809" s="197"/>
      <c r="E809" s="197"/>
      <c r="F809" s="197"/>
      <c r="G809" s="197"/>
      <c r="H809" s="197"/>
      <c r="I809" s="197"/>
      <c r="J809" s="197"/>
      <c r="K809" s="197"/>
      <c r="L809" s="197"/>
      <c r="M809" s="197"/>
      <c r="N809" s="197"/>
      <c r="O809" s="197"/>
      <c r="P809" s="197"/>
      <c r="Q809" s="197"/>
      <c r="R809" s="197"/>
      <c r="S809" s="197"/>
      <c r="T809" s="197"/>
      <c r="U809" s="197"/>
      <c r="V809" s="197"/>
      <c r="W809" s="197"/>
      <c r="X809" s="197"/>
      <c r="Y809" s="197"/>
      <c r="Z809" s="197"/>
      <c r="AA809" s="197"/>
      <c r="AB809" s="197"/>
      <c r="AC809" s="197"/>
      <c r="AD809" s="197"/>
      <c r="AE809" s="197"/>
      <c r="AF809" s="197"/>
      <c r="AG809" s="197"/>
      <c r="AH809" s="197"/>
      <c r="AI809" s="197"/>
      <c r="AJ809" s="201"/>
      <c r="AK809" s="33"/>
      <c r="AL809" s="33"/>
      <c r="AM809" s="33"/>
      <c r="AN809" s="33"/>
      <c r="AO809" s="33"/>
      <c r="AP809" s="33"/>
      <c r="AQ809" s="33"/>
      <c r="AR809" s="33"/>
      <c r="AS809" s="33"/>
      <c r="AT809" s="33"/>
      <c r="AU809" s="33"/>
      <c r="AV809" s="33"/>
      <c r="AW809" s="33"/>
      <c r="AX809" s="33"/>
      <c r="AY809" s="33"/>
      <c r="AZ809" s="33"/>
      <c r="BA809" s="33"/>
      <c r="BB809" s="33"/>
      <c r="BC809" s="33"/>
      <c r="BD809" s="33"/>
      <c r="BE809" s="33"/>
      <c r="BF809" s="33"/>
      <c r="BG809" s="33"/>
      <c r="BH809" s="33"/>
      <c r="BI809" s="33"/>
      <c r="BJ809" s="33"/>
      <c r="BK809" s="33"/>
    </row>
    <row r="810" spans="1:63" ht="15" customHeight="1">
      <c r="A810" s="197"/>
      <c r="B810" s="197"/>
      <c r="C810" s="197"/>
      <c r="D810" s="197"/>
      <c r="E810" s="197"/>
      <c r="F810" s="197"/>
      <c r="G810" s="197"/>
      <c r="H810" s="197"/>
      <c r="I810" s="197"/>
      <c r="J810" s="197"/>
      <c r="K810" s="197"/>
      <c r="L810" s="197"/>
      <c r="M810" s="197"/>
      <c r="N810" s="197"/>
      <c r="O810" s="197"/>
      <c r="P810" s="197"/>
      <c r="Q810" s="197"/>
      <c r="R810" s="197"/>
      <c r="S810" s="197"/>
      <c r="T810" s="197"/>
      <c r="U810" s="197"/>
      <c r="V810" s="197"/>
      <c r="W810" s="197"/>
      <c r="X810" s="197"/>
      <c r="Y810" s="197"/>
      <c r="Z810" s="197"/>
      <c r="AA810" s="197"/>
      <c r="AB810" s="197"/>
      <c r="AC810" s="197"/>
      <c r="AD810" s="197"/>
      <c r="AE810" s="197"/>
      <c r="AF810" s="197"/>
      <c r="AG810" s="197"/>
      <c r="AH810" s="197"/>
      <c r="AI810" s="197"/>
      <c r="AJ810" s="201"/>
      <c r="AK810" s="33"/>
      <c r="AL810" s="33"/>
      <c r="AM810" s="33"/>
      <c r="AN810" s="33"/>
      <c r="AO810" s="33"/>
      <c r="AP810" s="33"/>
      <c r="AQ810" s="33"/>
      <c r="AR810" s="33"/>
      <c r="AS810" s="33"/>
      <c r="AT810" s="33"/>
      <c r="AU810" s="33"/>
      <c r="AV810" s="33"/>
      <c r="AW810" s="33"/>
      <c r="AX810" s="33"/>
      <c r="AY810" s="33"/>
      <c r="AZ810" s="33"/>
      <c r="BA810" s="33"/>
      <c r="BB810" s="33"/>
      <c r="BC810" s="33"/>
      <c r="BD810" s="33"/>
      <c r="BE810" s="33"/>
      <c r="BF810" s="33"/>
      <c r="BG810" s="33"/>
      <c r="BH810" s="33"/>
      <c r="BI810" s="33"/>
      <c r="BJ810" s="33"/>
      <c r="BK810" s="33"/>
    </row>
    <row r="811" spans="1:63" ht="15" customHeight="1">
      <c r="A811" s="197"/>
      <c r="B811" s="197"/>
      <c r="C811" s="197"/>
      <c r="D811" s="197"/>
      <c r="E811" s="197"/>
      <c r="F811" s="197"/>
      <c r="G811" s="197"/>
      <c r="H811" s="197"/>
      <c r="I811" s="197"/>
      <c r="J811" s="197"/>
      <c r="K811" s="197"/>
      <c r="L811" s="197"/>
      <c r="M811" s="197"/>
      <c r="N811" s="197"/>
      <c r="O811" s="197"/>
      <c r="P811" s="197"/>
      <c r="Q811" s="197"/>
      <c r="R811" s="197"/>
      <c r="S811" s="197"/>
      <c r="T811" s="197"/>
      <c r="U811" s="197"/>
      <c r="V811" s="197"/>
      <c r="W811" s="197"/>
      <c r="X811" s="197"/>
      <c r="Y811" s="197"/>
      <c r="Z811" s="197"/>
      <c r="AA811" s="197"/>
      <c r="AB811" s="197"/>
      <c r="AC811" s="197"/>
      <c r="AD811" s="197"/>
      <c r="AE811" s="197"/>
      <c r="AF811" s="197"/>
      <c r="AG811" s="197"/>
      <c r="AH811" s="197"/>
      <c r="AI811" s="197"/>
      <c r="AJ811" s="201"/>
      <c r="AK811" s="33"/>
      <c r="AL811" s="33"/>
      <c r="AM811" s="33"/>
      <c r="AN811" s="33"/>
      <c r="AO811" s="33"/>
      <c r="AP811" s="33"/>
      <c r="AQ811" s="33"/>
      <c r="AR811" s="33"/>
      <c r="AS811" s="33"/>
      <c r="AT811" s="33"/>
      <c r="AU811" s="33"/>
      <c r="AV811" s="33"/>
      <c r="AW811" s="33"/>
      <c r="AX811" s="33"/>
      <c r="AY811" s="33"/>
      <c r="AZ811" s="33"/>
      <c r="BA811" s="33"/>
      <c r="BB811" s="33"/>
      <c r="BC811" s="33"/>
      <c r="BD811" s="33"/>
      <c r="BE811" s="33"/>
      <c r="BF811" s="33"/>
      <c r="BG811" s="33"/>
      <c r="BH811" s="33"/>
      <c r="BI811" s="33"/>
      <c r="BJ811" s="33"/>
      <c r="BK811" s="33"/>
    </row>
    <row r="812" spans="1:63" ht="15" customHeight="1">
      <c r="A812" s="197"/>
      <c r="B812" s="197"/>
      <c r="C812" s="197"/>
      <c r="D812" s="197"/>
      <c r="E812" s="197"/>
      <c r="F812" s="197"/>
      <c r="G812" s="197"/>
      <c r="H812" s="197"/>
      <c r="I812" s="197"/>
      <c r="J812" s="197"/>
      <c r="K812" s="197"/>
      <c r="L812" s="197"/>
      <c r="M812" s="197"/>
      <c r="N812" s="197"/>
      <c r="O812" s="197"/>
      <c r="P812" s="197"/>
      <c r="Q812" s="197"/>
      <c r="R812" s="197"/>
      <c r="S812" s="197"/>
      <c r="T812" s="197"/>
      <c r="U812" s="197"/>
      <c r="V812" s="197"/>
      <c r="W812" s="197"/>
      <c r="X812" s="197"/>
      <c r="Y812" s="197"/>
      <c r="Z812" s="197"/>
      <c r="AA812" s="197"/>
      <c r="AB812" s="197"/>
      <c r="AC812" s="197"/>
      <c r="AD812" s="197"/>
      <c r="AE812" s="197"/>
      <c r="AF812" s="197"/>
      <c r="AG812" s="197"/>
      <c r="AH812" s="197"/>
      <c r="AI812" s="197"/>
      <c r="AJ812" s="201"/>
      <c r="AK812" s="33"/>
      <c r="AL812" s="33"/>
      <c r="AM812" s="33"/>
      <c r="AN812" s="33"/>
      <c r="AO812" s="33"/>
      <c r="AP812" s="33"/>
      <c r="AQ812" s="33"/>
      <c r="AR812" s="33"/>
      <c r="AS812" s="33"/>
      <c r="AT812" s="33"/>
      <c r="AU812" s="33"/>
      <c r="AV812" s="33"/>
      <c r="AW812" s="33"/>
      <c r="AX812" s="33"/>
      <c r="AY812" s="33"/>
      <c r="AZ812" s="33"/>
      <c r="BA812" s="33"/>
      <c r="BB812" s="33"/>
      <c r="BC812" s="33"/>
      <c r="BD812" s="33"/>
      <c r="BE812" s="33"/>
      <c r="BF812" s="33"/>
      <c r="BG812" s="33"/>
      <c r="BH812" s="33"/>
      <c r="BI812" s="33"/>
      <c r="BJ812" s="33"/>
      <c r="BK812" s="33"/>
    </row>
    <row r="813" spans="1:63" ht="15" customHeight="1">
      <c r="A813" s="197"/>
      <c r="B813" s="197"/>
      <c r="C813" s="197"/>
      <c r="D813" s="197"/>
      <c r="E813" s="197"/>
      <c r="F813" s="197"/>
      <c r="G813" s="197"/>
      <c r="H813" s="197"/>
      <c r="I813" s="197"/>
      <c r="J813" s="197"/>
      <c r="K813" s="197"/>
      <c r="L813" s="197"/>
      <c r="M813" s="197"/>
      <c r="N813" s="197"/>
      <c r="O813" s="197"/>
      <c r="P813" s="197"/>
      <c r="Q813" s="197"/>
      <c r="R813" s="197"/>
      <c r="S813" s="197"/>
      <c r="T813" s="197"/>
      <c r="U813" s="197"/>
      <c r="V813" s="197"/>
      <c r="W813" s="197"/>
      <c r="X813" s="197"/>
      <c r="Y813" s="197"/>
      <c r="Z813" s="197"/>
      <c r="AA813" s="197"/>
      <c r="AB813" s="197"/>
      <c r="AC813" s="197"/>
      <c r="AD813" s="197"/>
      <c r="AE813" s="197"/>
      <c r="AF813" s="197"/>
      <c r="AG813" s="197"/>
      <c r="AH813" s="197"/>
      <c r="AI813" s="197"/>
      <c r="AJ813" s="201"/>
      <c r="AK813" s="33"/>
      <c r="AL813" s="33"/>
      <c r="AM813" s="33"/>
      <c r="AN813" s="33"/>
      <c r="AO813" s="33"/>
      <c r="AP813" s="33"/>
      <c r="AQ813" s="33"/>
      <c r="AR813" s="33"/>
      <c r="AS813" s="33"/>
      <c r="AT813" s="33"/>
      <c r="AU813" s="33"/>
      <c r="AV813" s="33"/>
      <c r="AW813" s="33"/>
      <c r="AX813" s="33"/>
      <c r="AY813" s="33"/>
      <c r="AZ813" s="33"/>
      <c r="BA813" s="33"/>
      <c r="BB813" s="33"/>
      <c r="BC813" s="33"/>
      <c r="BD813" s="33"/>
      <c r="BE813" s="33"/>
      <c r="BF813" s="33"/>
      <c r="BG813" s="33"/>
      <c r="BH813" s="33"/>
      <c r="BI813" s="33"/>
      <c r="BJ813" s="33"/>
      <c r="BK813" s="33"/>
    </row>
    <row r="814" spans="1:63" ht="15" customHeight="1">
      <c r="A814" s="197"/>
      <c r="B814" s="197"/>
      <c r="C814" s="197"/>
      <c r="D814" s="197"/>
      <c r="E814" s="197"/>
      <c r="F814" s="197"/>
      <c r="G814" s="197"/>
      <c r="H814" s="197"/>
      <c r="I814" s="197"/>
      <c r="J814" s="197"/>
      <c r="K814" s="197"/>
      <c r="L814" s="197"/>
      <c r="M814" s="197"/>
      <c r="N814" s="197"/>
      <c r="O814" s="197"/>
      <c r="P814" s="197"/>
      <c r="Q814" s="197"/>
      <c r="R814" s="197"/>
      <c r="S814" s="197"/>
      <c r="T814" s="197"/>
      <c r="U814" s="197"/>
      <c r="V814" s="197"/>
      <c r="W814" s="197"/>
      <c r="X814" s="197"/>
      <c r="Y814" s="197"/>
      <c r="Z814" s="197"/>
      <c r="AA814" s="197"/>
      <c r="AB814" s="197"/>
      <c r="AC814" s="197"/>
      <c r="AD814" s="197"/>
      <c r="AE814" s="197"/>
      <c r="AF814" s="197"/>
      <c r="AG814" s="197"/>
      <c r="AH814" s="197"/>
      <c r="AI814" s="197"/>
      <c r="AJ814" s="201"/>
      <c r="AK814" s="33"/>
      <c r="AL814" s="33"/>
      <c r="AM814" s="33"/>
      <c r="AN814" s="33"/>
      <c r="AO814" s="33"/>
      <c r="AP814" s="33"/>
      <c r="AQ814" s="33"/>
      <c r="AR814" s="33"/>
      <c r="AS814" s="33"/>
      <c r="AT814" s="33"/>
      <c r="AU814" s="33"/>
      <c r="AV814" s="33"/>
      <c r="AW814" s="33"/>
      <c r="AX814" s="33"/>
      <c r="AY814" s="33"/>
      <c r="AZ814" s="33"/>
      <c r="BA814" s="33"/>
      <c r="BB814" s="33"/>
      <c r="BC814" s="33"/>
      <c r="BD814" s="33"/>
      <c r="BE814" s="33"/>
      <c r="BF814" s="33"/>
      <c r="BG814" s="33"/>
      <c r="BH814" s="33"/>
      <c r="BI814" s="33"/>
      <c r="BJ814" s="33"/>
      <c r="BK814" s="33"/>
    </row>
    <row r="815" spans="1:63" ht="15" customHeight="1">
      <c r="A815" s="197"/>
      <c r="B815" s="197"/>
      <c r="C815" s="197"/>
      <c r="D815" s="197"/>
      <c r="E815" s="197"/>
      <c r="F815" s="197"/>
      <c r="G815" s="197"/>
      <c r="H815" s="197"/>
      <c r="I815" s="197"/>
      <c r="J815" s="197"/>
      <c r="K815" s="197"/>
      <c r="L815" s="197"/>
      <c r="M815" s="197"/>
      <c r="N815" s="197"/>
      <c r="O815" s="197"/>
      <c r="P815" s="197"/>
      <c r="Q815" s="197"/>
      <c r="R815" s="197"/>
      <c r="S815" s="197"/>
      <c r="T815" s="197"/>
      <c r="U815" s="197"/>
      <c r="V815" s="197"/>
      <c r="W815" s="197"/>
      <c r="X815" s="197"/>
      <c r="Y815" s="197"/>
      <c r="Z815" s="197"/>
      <c r="AA815" s="197"/>
      <c r="AB815" s="197"/>
      <c r="AC815" s="197"/>
      <c r="AD815" s="197"/>
      <c r="AE815" s="197"/>
      <c r="AF815" s="197"/>
      <c r="AG815" s="197"/>
      <c r="AH815" s="197"/>
      <c r="AI815" s="197"/>
      <c r="AJ815" s="201"/>
      <c r="AK815" s="33"/>
      <c r="AL815" s="33"/>
      <c r="AM815" s="33"/>
      <c r="AN815" s="33"/>
      <c r="AO815" s="33"/>
      <c r="AP815" s="33"/>
      <c r="AQ815" s="33"/>
      <c r="AR815" s="33"/>
      <c r="AS815" s="33"/>
      <c r="AT815" s="33"/>
      <c r="AU815" s="33"/>
      <c r="AV815" s="33"/>
      <c r="AW815" s="33"/>
      <c r="AX815" s="33"/>
      <c r="AY815" s="33"/>
      <c r="AZ815" s="33"/>
      <c r="BA815" s="33"/>
      <c r="BB815" s="33"/>
      <c r="BC815" s="33"/>
      <c r="BD815" s="33"/>
      <c r="BE815" s="33"/>
      <c r="BF815" s="33"/>
      <c r="BG815" s="33"/>
      <c r="BH815" s="33"/>
      <c r="BI815" s="33"/>
      <c r="BJ815" s="33"/>
      <c r="BK815" s="33"/>
    </row>
    <row r="816" spans="1:63" ht="15" customHeight="1">
      <c r="A816" s="197"/>
      <c r="B816" s="197"/>
      <c r="C816" s="197"/>
      <c r="D816" s="197"/>
      <c r="E816" s="197"/>
      <c r="F816" s="197"/>
      <c r="G816" s="197"/>
      <c r="H816" s="197"/>
      <c r="I816" s="197"/>
      <c r="J816" s="197"/>
      <c r="K816" s="197"/>
      <c r="L816" s="197"/>
      <c r="M816" s="197"/>
      <c r="N816" s="197"/>
      <c r="O816" s="197"/>
      <c r="P816" s="197"/>
      <c r="Q816" s="197"/>
      <c r="R816" s="197"/>
      <c r="S816" s="197"/>
      <c r="T816" s="197"/>
      <c r="U816" s="197"/>
      <c r="V816" s="197"/>
      <c r="W816" s="197"/>
      <c r="X816" s="197"/>
      <c r="Y816" s="197"/>
      <c r="Z816" s="197"/>
      <c r="AA816" s="197"/>
      <c r="AB816" s="197"/>
      <c r="AC816" s="197"/>
      <c r="AD816" s="197"/>
      <c r="AE816" s="197"/>
      <c r="AF816" s="197"/>
      <c r="AG816" s="197"/>
      <c r="AH816" s="197"/>
      <c r="AI816" s="197"/>
      <c r="AJ816" s="201"/>
      <c r="AK816" s="33"/>
      <c r="AL816" s="33"/>
      <c r="AM816" s="33"/>
      <c r="AN816" s="33"/>
      <c r="AO816" s="33"/>
      <c r="AP816" s="33"/>
      <c r="AQ816" s="33"/>
      <c r="AR816" s="33"/>
      <c r="AS816" s="33"/>
      <c r="AT816" s="33"/>
      <c r="AU816" s="33"/>
      <c r="AV816" s="33"/>
      <c r="AW816" s="33"/>
      <c r="AX816" s="33"/>
      <c r="AY816" s="33"/>
      <c r="AZ816" s="33"/>
      <c r="BA816" s="33"/>
      <c r="BB816" s="33"/>
      <c r="BC816" s="33"/>
      <c r="BD816" s="33"/>
      <c r="BE816" s="33"/>
      <c r="BF816" s="33"/>
      <c r="BG816" s="33"/>
      <c r="BH816" s="33"/>
      <c r="BI816" s="33"/>
      <c r="BJ816" s="33"/>
      <c r="BK816" s="33"/>
    </row>
    <row r="817" spans="1:63" ht="15" customHeight="1">
      <c r="A817" s="197"/>
      <c r="B817" s="197"/>
      <c r="C817" s="197"/>
      <c r="D817" s="197"/>
      <c r="E817" s="197"/>
      <c r="F817" s="197"/>
      <c r="G817" s="197"/>
      <c r="H817" s="197"/>
      <c r="I817" s="197"/>
      <c r="J817" s="197"/>
      <c r="K817" s="197"/>
      <c r="L817" s="197"/>
      <c r="M817" s="197"/>
      <c r="N817" s="197"/>
      <c r="O817" s="197"/>
      <c r="P817" s="197"/>
      <c r="Q817" s="197"/>
      <c r="R817" s="197"/>
      <c r="S817" s="197"/>
      <c r="T817" s="197"/>
      <c r="U817" s="197"/>
      <c r="V817" s="197"/>
      <c r="W817" s="197"/>
      <c r="X817" s="197"/>
      <c r="Y817" s="197"/>
      <c r="Z817" s="197"/>
      <c r="AA817" s="197"/>
      <c r="AB817" s="197"/>
      <c r="AC817" s="197"/>
      <c r="AD817" s="197"/>
      <c r="AE817" s="197"/>
      <c r="AF817" s="197"/>
      <c r="AG817" s="197"/>
      <c r="AH817" s="197"/>
      <c r="AI817" s="197"/>
      <c r="AJ817" s="201"/>
      <c r="AK817" s="33"/>
      <c r="AL817" s="33"/>
      <c r="AM817" s="33"/>
      <c r="AN817" s="33"/>
      <c r="AO817" s="33"/>
      <c r="AP817" s="33"/>
      <c r="AQ817" s="33"/>
      <c r="AR817" s="33"/>
      <c r="AS817" s="33"/>
      <c r="AT817" s="33"/>
      <c r="AU817" s="33"/>
      <c r="AV817" s="33"/>
      <c r="AW817" s="33"/>
      <c r="AX817" s="33"/>
      <c r="AY817" s="33"/>
      <c r="AZ817" s="33"/>
      <c r="BA817" s="33"/>
      <c r="BB817" s="33"/>
      <c r="BC817" s="33"/>
      <c r="BD817" s="33"/>
      <c r="BE817" s="33"/>
      <c r="BF817" s="33"/>
      <c r="BG817" s="33"/>
      <c r="BH817" s="33"/>
      <c r="BI817" s="33"/>
      <c r="BJ817" s="33"/>
      <c r="BK817" s="33"/>
    </row>
    <row r="818" spans="1:63" ht="15" customHeight="1">
      <c r="A818" s="197"/>
      <c r="B818" s="197"/>
      <c r="C818" s="197"/>
      <c r="D818" s="197"/>
      <c r="E818" s="197"/>
      <c r="F818" s="197"/>
      <c r="G818" s="197"/>
      <c r="H818" s="197"/>
      <c r="I818" s="197"/>
      <c r="J818" s="197"/>
      <c r="K818" s="197"/>
      <c r="L818" s="197"/>
      <c r="M818" s="197"/>
      <c r="N818" s="197"/>
      <c r="O818" s="197"/>
      <c r="P818" s="197"/>
      <c r="Q818" s="197"/>
      <c r="R818" s="197"/>
      <c r="S818" s="197"/>
      <c r="T818" s="197"/>
      <c r="U818" s="197"/>
      <c r="V818" s="197"/>
      <c r="W818" s="197"/>
      <c r="X818" s="197"/>
      <c r="Y818" s="197"/>
      <c r="Z818" s="197"/>
      <c r="AA818" s="197"/>
      <c r="AB818" s="197"/>
      <c r="AC818" s="197"/>
      <c r="AD818" s="197"/>
      <c r="AE818" s="197"/>
      <c r="AF818" s="197"/>
      <c r="AG818" s="197"/>
      <c r="AH818" s="197"/>
      <c r="AI818" s="197"/>
      <c r="AJ818" s="201"/>
      <c r="AK818" s="33"/>
      <c r="AL818" s="33"/>
      <c r="AM818" s="33"/>
      <c r="AN818" s="33"/>
      <c r="AO818" s="33"/>
      <c r="AP818" s="33"/>
      <c r="AQ818" s="33"/>
      <c r="AR818" s="33"/>
      <c r="AS818" s="33"/>
      <c r="AT818" s="33"/>
      <c r="AU818" s="33"/>
      <c r="AV818" s="33"/>
      <c r="AW818" s="33"/>
      <c r="AX818" s="33"/>
      <c r="AY818" s="33"/>
      <c r="AZ818" s="33"/>
      <c r="BA818" s="33"/>
      <c r="BB818" s="33"/>
      <c r="BC818" s="33"/>
      <c r="BD818" s="33"/>
      <c r="BE818" s="33"/>
      <c r="BF818" s="33"/>
      <c r="BG818" s="33"/>
      <c r="BH818" s="33"/>
      <c r="BI818" s="33"/>
      <c r="BJ818" s="33"/>
      <c r="BK818" s="33"/>
    </row>
    <row r="819" spans="1:63" ht="15" customHeight="1">
      <c r="A819" s="197"/>
      <c r="B819" s="197"/>
      <c r="C819" s="197"/>
      <c r="D819" s="197"/>
      <c r="E819" s="197"/>
      <c r="F819" s="197"/>
      <c r="G819" s="197"/>
      <c r="H819" s="197"/>
      <c r="I819" s="197"/>
      <c r="J819" s="197"/>
      <c r="K819" s="197"/>
      <c r="L819" s="197"/>
      <c r="M819" s="197"/>
      <c r="N819" s="197"/>
      <c r="O819" s="197"/>
      <c r="P819" s="197"/>
      <c r="Q819" s="197"/>
      <c r="R819" s="197"/>
      <c r="S819" s="197"/>
      <c r="T819" s="197"/>
      <c r="U819" s="197"/>
      <c r="V819" s="197"/>
      <c r="W819" s="197"/>
      <c r="X819" s="197"/>
      <c r="Y819" s="197"/>
      <c r="Z819" s="197"/>
      <c r="AA819" s="197"/>
      <c r="AB819" s="197"/>
      <c r="AC819" s="197"/>
      <c r="AD819" s="197"/>
      <c r="AE819" s="197"/>
      <c r="AF819" s="197"/>
      <c r="AG819" s="197"/>
      <c r="AH819" s="197"/>
      <c r="AI819" s="197"/>
      <c r="AJ819" s="201"/>
      <c r="AK819" s="33"/>
      <c r="AL819" s="33"/>
      <c r="AM819" s="33"/>
      <c r="AN819" s="33"/>
      <c r="AO819" s="33"/>
      <c r="AP819" s="33"/>
      <c r="AQ819" s="33"/>
      <c r="AR819" s="33"/>
      <c r="AS819" s="33"/>
      <c r="AT819" s="33"/>
      <c r="AU819" s="33"/>
      <c r="AV819" s="33"/>
      <c r="AW819" s="33"/>
      <c r="AX819" s="33"/>
      <c r="AY819" s="33"/>
      <c r="AZ819" s="33"/>
      <c r="BA819" s="33"/>
      <c r="BB819" s="33"/>
      <c r="BC819" s="33"/>
      <c r="BD819" s="33"/>
      <c r="BE819" s="33"/>
      <c r="BF819" s="33"/>
      <c r="BG819" s="33"/>
      <c r="BH819" s="33"/>
      <c r="BI819" s="33"/>
      <c r="BJ819" s="33"/>
      <c r="BK819" s="33"/>
    </row>
    <row r="820" spans="1:63" ht="15" customHeight="1">
      <c r="A820" s="197"/>
      <c r="B820" s="197"/>
      <c r="C820" s="197"/>
      <c r="D820" s="197"/>
      <c r="E820" s="197"/>
      <c r="F820" s="197"/>
      <c r="G820" s="197"/>
      <c r="H820" s="197"/>
      <c r="I820" s="197"/>
      <c r="J820" s="197"/>
      <c r="K820" s="197"/>
      <c r="L820" s="197"/>
      <c r="M820" s="197"/>
      <c r="N820" s="197"/>
      <c r="O820" s="197"/>
      <c r="P820" s="197"/>
      <c r="Q820" s="197"/>
      <c r="R820" s="197"/>
      <c r="S820" s="197"/>
      <c r="T820" s="197"/>
      <c r="U820" s="197"/>
      <c r="V820" s="197"/>
      <c r="W820" s="197"/>
      <c r="X820" s="197"/>
      <c r="Y820" s="197"/>
      <c r="Z820" s="197"/>
      <c r="AA820" s="197"/>
      <c r="AB820" s="197"/>
      <c r="AC820" s="197"/>
      <c r="AD820" s="197"/>
      <c r="AE820" s="197"/>
      <c r="AF820" s="197"/>
      <c r="AG820" s="197"/>
      <c r="AH820" s="197"/>
      <c r="AI820" s="197"/>
      <c r="AJ820" s="201"/>
      <c r="AK820" s="33"/>
      <c r="AL820" s="33"/>
      <c r="AM820" s="33"/>
      <c r="AN820" s="33"/>
      <c r="AO820" s="33"/>
      <c r="AP820" s="33"/>
      <c r="AQ820" s="33"/>
      <c r="AR820" s="33"/>
      <c r="AS820" s="33"/>
      <c r="AT820" s="33"/>
      <c r="AU820" s="33"/>
      <c r="AV820" s="33"/>
      <c r="AW820" s="33"/>
      <c r="AX820" s="33"/>
      <c r="AY820" s="33"/>
      <c r="AZ820" s="33"/>
      <c r="BA820" s="33"/>
      <c r="BB820" s="33"/>
      <c r="BC820" s="33"/>
      <c r="BD820" s="33"/>
      <c r="BE820" s="33"/>
      <c r="BF820" s="33"/>
      <c r="BG820" s="33"/>
      <c r="BH820" s="33"/>
      <c r="BI820" s="33"/>
      <c r="BJ820" s="33"/>
      <c r="BK820" s="33"/>
    </row>
    <row r="821" spans="1:63" ht="15" customHeight="1">
      <c r="A821" s="197"/>
      <c r="B821" s="197"/>
      <c r="C821" s="197"/>
      <c r="D821" s="197"/>
      <c r="E821" s="197"/>
      <c r="F821" s="197"/>
      <c r="G821" s="197"/>
      <c r="H821" s="197"/>
      <c r="I821" s="197"/>
      <c r="J821" s="197"/>
      <c r="K821" s="197"/>
      <c r="L821" s="197"/>
      <c r="M821" s="197"/>
      <c r="N821" s="197"/>
      <c r="O821" s="197"/>
      <c r="P821" s="197"/>
      <c r="Q821" s="197"/>
      <c r="R821" s="197"/>
      <c r="S821" s="197"/>
      <c r="T821" s="197"/>
      <c r="U821" s="197"/>
      <c r="V821" s="197"/>
      <c r="W821" s="197"/>
      <c r="X821" s="197"/>
      <c r="Y821" s="197"/>
      <c r="Z821" s="197"/>
      <c r="AA821" s="197"/>
      <c r="AB821" s="197"/>
      <c r="AC821" s="197"/>
      <c r="AD821" s="197"/>
      <c r="AE821" s="197"/>
      <c r="AF821" s="197"/>
      <c r="AG821" s="197"/>
      <c r="AH821" s="197"/>
      <c r="AI821" s="197"/>
      <c r="AJ821" s="201"/>
      <c r="AK821" s="33"/>
      <c r="AL821" s="33"/>
      <c r="AM821" s="33"/>
      <c r="AN821" s="33"/>
      <c r="AO821" s="33"/>
      <c r="AP821" s="33"/>
      <c r="AQ821" s="33"/>
      <c r="AR821" s="33"/>
      <c r="AS821" s="33"/>
      <c r="AT821" s="33"/>
      <c r="AU821" s="33"/>
      <c r="AV821" s="33"/>
      <c r="AW821" s="33"/>
      <c r="AX821" s="33"/>
      <c r="AY821" s="33"/>
      <c r="AZ821" s="33"/>
      <c r="BA821" s="33"/>
      <c r="BB821" s="33"/>
      <c r="BC821" s="33"/>
      <c r="BD821" s="33"/>
      <c r="BE821" s="33"/>
      <c r="BF821" s="33"/>
      <c r="BG821" s="33"/>
      <c r="BH821" s="33"/>
      <c r="BI821" s="33"/>
      <c r="BJ821" s="33"/>
      <c r="BK821" s="33"/>
    </row>
    <row r="822" spans="1:63" ht="15" customHeight="1">
      <c r="A822" s="197"/>
      <c r="B822" s="197"/>
      <c r="C822" s="197"/>
      <c r="D822" s="197"/>
      <c r="E822" s="197"/>
      <c r="F822" s="197"/>
      <c r="G822" s="197"/>
      <c r="H822" s="197"/>
      <c r="I822" s="197"/>
      <c r="J822" s="197"/>
      <c r="K822" s="197"/>
      <c r="L822" s="197"/>
      <c r="M822" s="197"/>
      <c r="N822" s="197"/>
      <c r="O822" s="197"/>
      <c r="P822" s="197"/>
      <c r="Q822" s="197"/>
      <c r="R822" s="197"/>
      <c r="S822" s="197"/>
      <c r="T822" s="197"/>
      <c r="U822" s="197"/>
      <c r="V822" s="197"/>
      <c r="W822" s="197"/>
      <c r="X822" s="197"/>
      <c r="Y822" s="197"/>
      <c r="Z822" s="197"/>
      <c r="AA822" s="197"/>
      <c r="AB822" s="197"/>
      <c r="AC822" s="197"/>
      <c r="AD822" s="197"/>
      <c r="AE822" s="197"/>
      <c r="AF822" s="197"/>
      <c r="AG822" s="197"/>
      <c r="AH822" s="197"/>
      <c r="AI822" s="197"/>
      <c r="AJ822" s="201"/>
      <c r="AK822" s="33"/>
      <c r="AL822" s="33"/>
      <c r="AM822" s="33"/>
      <c r="AN822" s="33"/>
      <c r="AO822" s="33"/>
      <c r="AP822" s="33"/>
      <c r="AQ822" s="33"/>
      <c r="AR822" s="33"/>
      <c r="AS822" s="33"/>
      <c r="AT822" s="33"/>
      <c r="AU822" s="33"/>
      <c r="AV822" s="33"/>
      <c r="AW822" s="33"/>
      <c r="AX822" s="33"/>
      <c r="AY822" s="33"/>
      <c r="AZ822" s="33"/>
      <c r="BA822" s="33"/>
      <c r="BB822" s="33"/>
      <c r="BC822" s="33"/>
      <c r="BD822" s="33"/>
      <c r="BE822" s="33"/>
      <c r="BF822" s="33"/>
      <c r="BG822" s="33"/>
      <c r="BH822" s="33"/>
      <c r="BI822" s="33"/>
      <c r="BJ822" s="33"/>
      <c r="BK822" s="33"/>
    </row>
    <row r="823" spans="1:63" ht="15" customHeight="1">
      <c r="A823" s="197"/>
      <c r="B823" s="197"/>
      <c r="C823" s="197"/>
      <c r="D823" s="197"/>
      <c r="E823" s="197"/>
      <c r="F823" s="197"/>
      <c r="G823" s="197"/>
      <c r="H823" s="197"/>
      <c r="I823" s="197"/>
      <c r="J823" s="197"/>
      <c r="K823" s="197"/>
      <c r="L823" s="197"/>
      <c r="M823" s="197"/>
      <c r="N823" s="197"/>
      <c r="O823" s="197"/>
      <c r="P823" s="197"/>
      <c r="Q823" s="197"/>
      <c r="R823" s="197"/>
      <c r="S823" s="197"/>
      <c r="T823" s="197"/>
      <c r="U823" s="197"/>
      <c r="V823" s="197"/>
      <c r="W823" s="197"/>
      <c r="X823" s="197"/>
      <c r="Y823" s="197"/>
      <c r="Z823" s="197"/>
      <c r="AA823" s="197"/>
      <c r="AB823" s="197"/>
      <c r="AC823" s="197"/>
      <c r="AD823" s="197"/>
      <c r="AE823" s="197"/>
      <c r="AF823" s="197"/>
      <c r="AG823" s="197"/>
      <c r="AH823" s="197"/>
      <c r="AI823" s="197"/>
      <c r="AJ823" s="201"/>
      <c r="AK823" s="33"/>
      <c r="AL823" s="33"/>
      <c r="AM823" s="33"/>
      <c r="AN823" s="33"/>
      <c r="AO823" s="33"/>
      <c r="AP823" s="33"/>
      <c r="AQ823" s="33"/>
      <c r="AR823" s="33"/>
      <c r="AS823" s="33"/>
      <c r="AT823" s="33"/>
      <c r="AU823" s="33"/>
      <c r="AV823" s="33"/>
      <c r="AW823" s="33"/>
      <c r="AX823" s="33"/>
      <c r="AY823" s="33"/>
      <c r="AZ823" s="33"/>
      <c r="BA823" s="33"/>
      <c r="BB823" s="33"/>
      <c r="BC823" s="33"/>
      <c r="BD823" s="33"/>
      <c r="BE823" s="33"/>
      <c r="BF823" s="33"/>
      <c r="BG823" s="33"/>
      <c r="BH823" s="33"/>
      <c r="BI823" s="33"/>
      <c r="BJ823" s="33"/>
      <c r="BK823" s="33"/>
    </row>
    <row r="824" spans="1:63" ht="15" customHeight="1">
      <c r="A824" s="197"/>
      <c r="B824" s="197"/>
      <c r="C824" s="197"/>
      <c r="D824" s="197"/>
      <c r="E824" s="197"/>
      <c r="F824" s="197"/>
      <c r="G824" s="197"/>
      <c r="H824" s="197"/>
      <c r="I824" s="197"/>
      <c r="J824" s="197"/>
      <c r="K824" s="197"/>
      <c r="L824" s="197"/>
      <c r="M824" s="197"/>
      <c r="N824" s="197"/>
      <c r="O824" s="197"/>
      <c r="P824" s="197"/>
      <c r="Q824" s="197"/>
      <c r="R824" s="197"/>
      <c r="S824" s="197"/>
      <c r="T824" s="197"/>
      <c r="U824" s="197"/>
      <c r="V824" s="197"/>
      <c r="W824" s="197"/>
      <c r="X824" s="197"/>
      <c r="Y824" s="197"/>
      <c r="Z824" s="197"/>
      <c r="AA824" s="197"/>
      <c r="AB824" s="197"/>
      <c r="AC824" s="197"/>
      <c r="AD824" s="197"/>
      <c r="AE824" s="197"/>
      <c r="AF824" s="197"/>
      <c r="AG824" s="197"/>
      <c r="AH824" s="197"/>
      <c r="AI824" s="197"/>
      <c r="AJ824" s="201"/>
      <c r="AK824" s="33"/>
      <c r="AL824" s="33"/>
      <c r="AM824" s="33"/>
      <c r="AN824" s="33"/>
      <c r="AO824" s="33"/>
      <c r="AP824" s="33"/>
      <c r="AQ824" s="33"/>
      <c r="AR824" s="33"/>
      <c r="AS824" s="33"/>
      <c r="AT824" s="33"/>
      <c r="AU824" s="33"/>
      <c r="AV824" s="33"/>
      <c r="AW824" s="33"/>
      <c r="AX824" s="33"/>
      <c r="AY824" s="33"/>
      <c r="AZ824" s="33"/>
      <c r="BA824" s="33"/>
      <c r="BB824" s="33"/>
      <c r="BC824" s="33"/>
      <c r="BD824" s="33"/>
      <c r="BE824" s="33"/>
      <c r="BF824" s="33"/>
      <c r="BG824" s="33"/>
      <c r="BH824" s="33"/>
      <c r="BI824" s="33"/>
      <c r="BJ824" s="33"/>
      <c r="BK824" s="33"/>
    </row>
    <row r="825" spans="1:63" ht="15" customHeight="1">
      <c r="A825" s="197"/>
      <c r="B825" s="197"/>
      <c r="C825" s="197"/>
      <c r="D825" s="197"/>
      <c r="E825" s="197"/>
      <c r="F825" s="197"/>
      <c r="G825" s="197"/>
      <c r="H825" s="197"/>
      <c r="I825" s="197"/>
      <c r="J825" s="197"/>
      <c r="K825" s="197"/>
      <c r="L825" s="197"/>
      <c r="M825" s="197"/>
      <c r="N825" s="197"/>
      <c r="O825" s="197"/>
      <c r="P825" s="197"/>
      <c r="Q825" s="197"/>
      <c r="R825" s="197"/>
      <c r="S825" s="197"/>
      <c r="T825" s="197"/>
      <c r="U825" s="197"/>
      <c r="V825" s="197"/>
      <c r="W825" s="197"/>
      <c r="X825" s="197"/>
      <c r="Y825" s="197"/>
      <c r="Z825" s="197"/>
      <c r="AA825" s="197"/>
      <c r="AB825" s="197"/>
      <c r="AC825" s="197"/>
      <c r="AD825" s="197"/>
      <c r="AE825" s="197"/>
      <c r="AF825" s="197"/>
      <c r="AG825" s="197"/>
      <c r="AH825" s="197"/>
      <c r="AI825" s="197"/>
      <c r="AJ825" s="201"/>
      <c r="AK825" s="33"/>
      <c r="AL825" s="33"/>
      <c r="AM825" s="33"/>
      <c r="AN825" s="33"/>
      <c r="AO825" s="33"/>
      <c r="AP825" s="33"/>
      <c r="AQ825" s="33"/>
      <c r="AR825" s="33"/>
      <c r="AS825" s="33"/>
      <c r="AT825" s="33"/>
      <c r="AU825" s="33"/>
      <c r="AV825" s="33"/>
      <c r="AW825" s="33"/>
      <c r="AX825" s="33"/>
      <c r="AY825" s="33"/>
      <c r="AZ825" s="33"/>
      <c r="BA825" s="33"/>
      <c r="BB825" s="33"/>
      <c r="BC825" s="33"/>
      <c r="BD825" s="33"/>
      <c r="BE825" s="33"/>
      <c r="BF825" s="33"/>
      <c r="BG825" s="33"/>
      <c r="BH825" s="33"/>
      <c r="BI825" s="33"/>
      <c r="BJ825" s="33"/>
      <c r="BK825" s="33"/>
    </row>
    <row r="826" spans="1:63" ht="15" customHeight="1">
      <c r="A826" s="197"/>
      <c r="B826" s="197"/>
      <c r="C826" s="197"/>
      <c r="D826" s="197"/>
      <c r="E826" s="197"/>
      <c r="F826" s="197"/>
      <c r="G826" s="197"/>
      <c r="H826" s="197"/>
      <c r="I826" s="197"/>
      <c r="J826" s="197"/>
      <c r="K826" s="197"/>
      <c r="L826" s="197"/>
      <c r="M826" s="197"/>
      <c r="N826" s="197"/>
      <c r="O826" s="197"/>
      <c r="P826" s="197"/>
      <c r="Q826" s="197"/>
      <c r="R826" s="197"/>
      <c r="S826" s="197"/>
      <c r="T826" s="197"/>
      <c r="U826" s="197"/>
      <c r="V826" s="197"/>
      <c r="W826" s="197"/>
      <c r="X826" s="197"/>
      <c r="Y826" s="197"/>
      <c r="Z826" s="197"/>
      <c r="AA826" s="197"/>
      <c r="AB826" s="197"/>
      <c r="AC826" s="197"/>
      <c r="AD826" s="197"/>
      <c r="AE826" s="197"/>
      <c r="AF826" s="197"/>
      <c r="AG826" s="197"/>
      <c r="AH826" s="197"/>
      <c r="AI826" s="197"/>
      <c r="AJ826" s="201"/>
      <c r="AK826" s="33"/>
      <c r="AL826" s="33"/>
      <c r="AM826" s="33"/>
      <c r="AN826" s="33"/>
      <c r="AO826" s="33"/>
      <c r="AP826" s="33"/>
      <c r="AQ826" s="33"/>
      <c r="AR826" s="33"/>
      <c r="AS826" s="33"/>
      <c r="AT826" s="33"/>
      <c r="AU826" s="33"/>
      <c r="AV826" s="33"/>
      <c r="AW826" s="33"/>
      <c r="AX826" s="33"/>
      <c r="AY826" s="33"/>
      <c r="AZ826" s="33"/>
      <c r="BA826" s="33"/>
      <c r="BB826" s="33"/>
      <c r="BC826" s="33"/>
      <c r="BD826" s="33"/>
      <c r="BE826" s="33"/>
      <c r="BF826" s="33"/>
      <c r="BG826" s="33"/>
      <c r="BH826" s="33"/>
      <c r="BI826" s="33"/>
      <c r="BJ826" s="33"/>
      <c r="BK826" s="33"/>
    </row>
    <row r="827" spans="1:63" ht="15" customHeight="1">
      <c r="A827" s="197"/>
      <c r="B827" s="197"/>
      <c r="C827" s="197"/>
      <c r="D827" s="197"/>
      <c r="E827" s="197"/>
      <c r="F827" s="197"/>
      <c r="G827" s="197"/>
      <c r="H827" s="197"/>
      <c r="I827" s="197"/>
      <c r="J827" s="197"/>
      <c r="K827" s="197"/>
      <c r="L827" s="197"/>
      <c r="M827" s="197"/>
      <c r="N827" s="197"/>
      <c r="O827" s="197"/>
      <c r="P827" s="197"/>
      <c r="Q827" s="197"/>
      <c r="R827" s="197"/>
      <c r="S827" s="197"/>
      <c r="T827" s="197"/>
      <c r="U827" s="197"/>
      <c r="V827" s="197"/>
      <c r="W827" s="197"/>
      <c r="X827" s="197"/>
      <c r="Y827" s="197"/>
      <c r="Z827" s="197"/>
      <c r="AA827" s="197"/>
      <c r="AB827" s="197"/>
      <c r="AC827" s="197"/>
      <c r="AD827" s="197"/>
      <c r="AE827" s="197"/>
      <c r="AF827" s="197"/>
      <c r="AG827" s="197"/>
      <c r="AH827" s="197"/>
      <c r="AI827" s="197"/>
      <c r="AJ827" s="201"/>
      <c r="AK827" s="33"/>
      <c r="AL827" s="33"/>
      <c r="AM827" s="33"/>
      <c r="AN827" s="33"/>
      <c r="AO827" s="33"/>
      <c r="AP827" s="33"/>
      <c r="AQ827" s="33"/>
      <c r="AR827" s="33"/>
      <c r="AS827" s="33"/>
      <c r="AT827" s="33"/>
      <c r="AU827" s="33"/>
      <c r="AV827" s="33"/>
      <c r="AW827" s="33"/>
      <c r="AX827" s="33"/>
      <c r="AY827" s="33"/>
      <c r="AZ827" s="33"/>
      <c r="BA827" s="33"/>
      <c r="BB827" s="33"/>
      <c r="BC827" s="33"/>
      <c r="BD827" s="33"/>
      <c r="BE827" s="33"/>
      <c r="BF827" s="33"/>
      <c r="BG827" s="33"/>
      <c r="BH827" s="33"/>
      <c r="BI827" s="33"/>
      <c r="BJ827" s="33"/>
      <c r="BK827" s="33"/>
    </row>
    <row r="828" spans="1:63" ht="15" customHeight="1">
      <c r="A828" s="197"/>
      <c r="B828" s="197"/>
      <c r="C828" s="197"/>
      <c r="D828" s="197"/>
      <c r="E828" s="197"/>
      <c r="F828" s="197"/>
      <c r="G828" s="197"/>
      <c r="H828" s="197"/>
      <c r="I828" s="197"/>
      <c r="J828" s="197"/>
      <c r="K828" s="197"/>
      <c r="L828" s="197"/>
      <c r="M828" s="197"/>
      <c r="N828" s="197"/>
      <c r="O828" s="197"/>
      <c r="P828" s="197"/>
      <c r="Q828" s="197"/>
      <c r="R828" s="197"/>
      <c r="S828" s="197"/>
      <c r="T828" s="197"/>
      <c r="U828" s="197"/>
      <c r="V828" s="197"/>
      <c r="W828" s="197"/>
      <c r="X828" s="197"/>
      <c r="Y828" s="197"/>
      <c r="Z828" s="197"/>
      <c r="AA828" s="197"/>
      <c r="AB828" s="197"/>
      <c r="AC828" s="197"/>
      <c r="AD828" s="197"/>
      <c r="AE828" s="197"/>
      <c r="AF828" s="197"/>
      <c r="AG828" s="197"/>
      <c r="AH828" s="197"/>
      <c r="AI828" s="197"/>
      <c r="AJ828" s="201"/>
      <c r="AK828" s="33"/>
      <c r="AL828" s="33"/>
      <c r="AM828" s="33"/>
      <c r="AN828" s="33"/>
      <c r="AO828" s="33"/>
      <c r="AP828" s="33"/>
      <c r="AQ828" s="33"/>
      <c r="AR828" s="33"/>
      <c r="AS828" s="33"/>
      <c r="AT828" s="33"/>
      <c r="AU828" s="33"/>
      <c r="AV828" s="33"/>
      <c r="AW828" s="33"/>
      <c r="AX828" s="33"/>
      <c r="AY828" s="33"/>
      <c r="AZ828" s="33"/>
      <c r="BA828" s="33"/>
      <c r="BB828" s="33"/>
      <c r="BC828" s="33"/>
      <c r="BD828" s="33"/>
      <c r="BE828" s="33"/>
      <c r="BF828" s="33"/>
      <c r="BG828" s="33"/>
      <c r="BH828" s="33"/>
      <c r="BI828" s="33"/>
      <c r="BJ828" s="33"/>
      <c r="BK828" s="33"/>
    </row>
    <row r="829" spans="1:63" ht="15" customHeight="1">
      <c r="A829" s="197"/>
      <c r="B829" s="197"/>
      <c r="C829" s="197"/>
      <c r="D829" s="197"/>
      <c r="E829" s="197"/>
      <c r="F829" s="197"/>
      <c r="G829" s="197"/>
      <c r="H829" s="197"/>
      <c r="I829" s="197"/>
      <c r="J829" s="197"/>
      <c r="K829" s="197"/>
      <c r="L829" s="197"/>
      <c r="M829" s="197"/>
      <c r="N829" s="197"/>
      <c r="O829" s="197"/>
      <c r="P829" s="197"/>
      <c r="Q829" s="197"/>
      <c r="R829" s="197"/>
      <c r="S829" s="197"/>
      <c r="T829" s="197"/>
      <c r="U829" s="197"/>
      <c r="V829" s="197"/>
      <c r="W829" s="197"/>
      <c r="X829" s="197"/>
      <c r="Y829" s="197"/>
      <c r="Z829" s="197"/>
      <c r="AA829" s="197"/>
      <c r="AB829" s="197"/>
      <c r="AC829" s="197"/>
      <c r="AD829" s="197"/>
      <c r="AE829" s="197"/>
      <c r="AF829" s="197"/>
      <c r="AG829" s="197"/>
      <c r="AH829" s="197"/>
      <c r="AI829" s="197"/>
      <c r="AJ829" s="201"/>
      <c r="AK829" s="33"/>
      <c r="AL829" s="33"/>
      <c r="AM829" s="33"/>
      <c r="AN829" s="33"/>
      <c r="AO829" s="33"/>
      <c r="AP829" s="33"/>
      <c r="AQ829" s="33"/>
      <c r="AR829" s="33"/>
      <c r="AS829" s="33"/>
      <c r="AT829" s="33"/>
      <c r="AU829" s="33"/>
      <c r="AV829" s="33"/>
      <c r="AW829" s="33"/>
      <c r="AX829" s="33"/>
      <c r="AY829" s="33"/>
      <c r="AZ829" s="33"/>
      <c r="BA829" s="33"/>
      <c r="BB829" s="33"/>
      <c r="BC829" s="33"/>
      <c r="BD829" s="33"/>
      <c r="BE829" s="33"/>
      <c r="BF829" s="33"/>
      <c r="BG829" s="33"/>
      <c r="BH829" s="33"/>
      <c r="BI829" s="33"/>
      <c r="BJ829" s="33"/>
      <c r="BK829" s="33"/>
    </row>
    <row r="830" spans="1:63" ht="15" customHeight="1">
      <c r="A830" s="197"/>
      <c r="B830" s="197"/>
      <c r="C830" s="197"/>
      <c r="D830" s="197"/>
      <c r="E830" s="197"/>
      <c r="F830" s="197"/>
      <c r="G830" s="197"/>
      <c r="H830" s="197"/>
      <c r="I830" s="197"/>
      <c r="J830" s="197"/>
      <c r="K830" s="197"/>
      <c r="L830" s="197"/>
      <c r="M830" s="197"/>
      <c r="N830" s="197"/>
      <c r="O830" s="197"/>
      <c r="P830" s="197"/>
      <c r="Q830" s="197"/>
      <c r="R830" s="197"/>
      <c r="S830" s="197"/>
      <c r="T830" s="197"/>
      <c r="U830" s="197"/>
      <c r="V830" s="197"/>
      <c r="W830" s="197"/>
      <c r="X830" s="197"/>
      <c r="Y830" s="197"/>
      <c r="Z830" s="197"/>
      <c r="AA830" s="197"/>
      <c r="AB830" s="197"/>
      <c r="AC830" s="197"/>
      <c r="AD830" s="197"/>
      <c r="AE830" s="197"/>
      <c r="AF830" s="197"/>
      <c r="AG830" s="197"/>
      <c r="AH830" s="197"/>
      <c r="AI830" s="197"/>
      <c r="AJ830" s="201"/>
      <c r="AK830" s="33"/>
      <c r="AL830" s="33"/>
      <c r="AM830" s="33"/>
      <c r="AN830" s="33"/>
      <c r="AO830" s="33"/>
      <c r="AP830" s="33"/>
      <c r="AQ830" s="33"/>
      <c r="AR830" s="33"/>
      <c r="AS830" s="33"/>
      <c r="AT830" s="33"/>
      <c r="AU830" s="33"/>
      <c r="AV830" s="33"/>
      <c r="AW830" s="33"/>
      <c r="AX830" s="33"/>
      <c r="AY830" s="33"/>
      <c r="AZ830" s="33"/>
      <c r="BA830" s="33"/>
      <c r="BB830" s="33"/>
      <c r="BC830" s="33"/>
      <c r="BD830" s="33"/>
      <c r="BE830" s="33"/>
      <c r="BF830" s="33"/>
      <c r="BG830" s="33"/>
      <c r="BH830" s="33"/>
      <c r="BI830" s="33"/>
      <c r="BJ830" s="33"/>
      <c r="BK830" s="33"/>
    </row>
    <row r="831" spans="1:63" ht="15" customHeight="1">
      <c r="A831" s="197"/>
      <c r="B831" s="197"/>
      <c r="C831" s="197"/>
      <c r="D831" s="197"/>
      <c r="E831" s="197"/>
      <c r="F831" s="197"/>
      <c r="G831" s="197"/>
      <c r="H831" s="197"/>
      <c r="I831" s="197"/>
      <c r="J831" s="197"/>
      <c r="K831" s="197"/>
      <c r="L831" s="197"/>
      <c r="M831" s="197"/>
      <c r="N831" s="197"/>
      <c r="O831" s="197"/>
      <c r="P831" s="197"/>
      <c r="Q831" s="197"/>
      <c r="R831" s="197"/>
      <c r="S831" s="197"/>
      <c r="T831" s="197"/>
      <c r="U831" s="197"/>
      <c r="V831" s="197"/>
      <c r="W831" s="197"/>
      <c r="X831" s="197"/>
      <c r="Y831" s="197"/>
      <c r="Z831" s="197"/>
      <c r="AA831" s="197"/>
      <c r="AB831" s="197"/>
      <c r="AC831" s="197"/>
      <c r="AD831" s="197"/>
      <c r="AE831" s="197"/>
      <c r="AF831" s="197"/>
      <c r="AG831" s="197"/>
      <c r="AH831" s="197"/>
      <c r="AI831" s="197"/>
      <c r="AJ831" s="201"/>
      <c r="AK831" s="33"/>
      <c r="AL831" s="33"/>
      <c r="AM831" s="33"/>
      <c r="AN831" s="33"/>
      <c r="AO831" s="33"/>
      <c r="AP831" s="33"/>
      <c r="AQ831" s="33"/>
      <c r="AR831" s="33"/>
      <c r="AS831" s="33"/>
      <c r="AT831" s="33"/>
      <c r="AU831" s="33"/>
      <c r="AV831" s="33"/>
      <c r="AW831" s="33"/>
      <c r="AX831" s="33"/>
      <c r="AY831" s="33"/>
      <c r="AZ831" s="33"/>
      <c r="BA831" s="33"/>
      <c r="BB831" s="33"/>
      <c r="BC831" s="33"/>
      <c r="BD831" s="33"/>
      <c r="BE831" s="33"/>
      <c r="BF831" s="33"/>
      <c r="BG831" s="33"/>
      <c r="BH831" s="33"/>
      <c r="BI831" s="33"/>
      <c r="BJ831" s="33"/>
      <c r="BK831" s="33"/>
    </row>
    <row r="832" spans="1:63" ht="15" customHeight="1">
      <c r="A832" s="197"/>
      <c r="B832" s="197"/>
      <c r="C832" s="197"/>
      <c r="D832" s="197"/>
      <c r="E832" s="197"/>
      <c r="F832" s="197"/>
      <c r="G832" s="197"/>
      <c r="H832" s="197"/>
      <c r="I832" s="197"/>
      <c r="J832" s="197"/>
      <c r="K832" s="197"/>
      <c r="L832" s="197"/>
      <c r="M832" s="197"/>
      <c r="N832" s="197"/>
      <c r="O832" s="197"/>
      <c r="P832" s="197"/>
      <c r="Q832" s="197"/>
      <c r="R832" s="197"/>
      <c r="S832" s="197"/>
      <c r="T832" s="197"/>
      <c r="U832" s="197"/>
      <c r="V832" s="197"/>
      <c r="W832" s="197"/>
      <c r="X832" s="197"/>
      <c r="Y832" s="197"/>
      <c r="Z832" s="197"/>
      <c r="AA832" s="197"/>
      <c r="AB832" s="197"/>
      <c r="AC832" s="197"/>
      <c r="AD832" s="197"/>
      <c r="AE832" s="197"/>
      <c r="AF832" s="197"/>
      <c r="AG832" s="197"/>
      <c r="AH832" s="197"/>
      <c r="AI832" s="197"/>
      <c r="AJ832" s="201"/>
      <c r="AK832" s="33"/>
      <c r="AL832" s="33"/>
      <c r="AM832" s="33"/>
      <c r="AN832" s="33"/>
      <c r="AO832" s="33"/>
      <c r="AP832" s="33"/>
      <c r="AQ832" s="33"/>
      <c r="AR832" s="33"/>
      <c r="AS832" s="33"/>
      <c r="AT832" s="33"/>
      <c r="AU832" s="33"/>
      <c r="AV832" s="33"/>
      <c r="AW832" s="33"/>
      <c r="AX832" s="33"/>
      <c r="AY832" s="33"/>
      <c r="AZ832" s="33"/>
      <c r="BA832" s="33"/>
      <c r="BB832" s="33"/>
      <c r="BC832" s="33"/>
      <c r="BD832" s="33"/>
      <c r="BE832" s="33"/>
      <c r="BF832" s="33"/>
      <c r="BG832" s="33"/>
      <c r="BH832" s="33"/>
      <c r="BI832" s="33"/>
      <c r="BJ832" s="33"/>
      <c r="BK832" s="33"/>
    </row>
    <row r="833" spans="1:63" ht="15" customHeight="1">
      <c r="A833" s="197"/>
      <c r="B833" s="197"/>
      <c r="C833" s="197"/>
      <c r="D833" s="197"/>
      <c r="E833" s="197"/>
      <c r="F833" s="197"/>
      <c r="G833" s="197"/>
      <c r="H833" s="197"/>
      <c r="I833" s="197"/>
      <c r="J833" s="197"/>
      <c r="K833" s="197"/>
      <c r="L833" s="197"/>
      <c r="M833" s="197"/>
      <c r="N833" s="197"/>
      <c r="O833" s="197"/>
      <c r="P833" s="197"/>
      <c r="Q833" s="197"/>
      <c r="R833" s="197"/>
      <c r="S833" s="197"/>
      <c r="T833" s="197"/>
      <c r="U833" s="197"/>
      <c r="V833" s="197"/>
      <c r="W833" s="197"/>
      <c r="X833" s="197"/>
      <c r="Y833" s="197"/>
      <c r="Z833" s="197"/>
      <c r="AA833" s="197"/>
      <c r="AB833" s="197"/>
      <c r="AC833" s="197"/>
      <c r="AD833" s="197"/>
      <c r="AE833" s="197"/>
      <c r="AF833" s="197"/>
      <c r="AG833" s="197"/>
      <c r="AH833" s="197"/>
      <c r="AI833" s="197"/>
      <c r="AJ833" s="201"/>
      <c r="AK833" s="33"/>
      <c r="AL833" s="33"/>
      <c r="AM833" s="33"/>
      <c r="AN833" s="33"/>
      <c r="AO833" s="33"/>
      <c r="AP833" s="33"/>
      <c r="AQ833" s="33"/>
      <c r="AR833" s="33"/>
      <c r="AS833" s="33"/>
      <c r="AT833" s="33"/>
      <c r="AU833" s="33"/>
      <c r="AV833" s="33"/>
      <c r="AW833" s="33"/>
      <c r="AX833" s="33"/>
      <c r="AY833" s="33"/>
      <c r="AZ833" s="33"/>
      <c r="BA833" s="33"/>
      <c r="BB833" s="33"/>
      <c r="BC833" s="33"/>
      <c r="BD833" s="33"/>
      <c r="BE833" s="33"/>
      <c r="BF833" s="33"/>
      <c r="BG833" s="33"/>
      <c r="BH833" s="33"/>
      <c r="BI833" s="33"/>
      <c r="BJ833" s="33"/>
      <c r="BK833" s="33"/>
    </row>
    <row r="834" spans="1:63" ht="15" customHeight="1">
      <c r="A834" s="197"/>
      <c r="B834" s="197"/>
      <c r="C834" s="197"/>
      <c r="D834" s="197"/>
      <c r="E834" s="197"/>
      <c r="F834" s="197"/>
      <c r="G834" s="197"/>
      <c r="H834" s="197"/>
      <c r="I834" s="197"/>
      <c r="J834" s="197"/>
      <c r="K834" s="197"/>
      <c r="L834" s="197"/>
      <c r="M834" s="197"/>
      <c r="N834" s="197"/>
      <c r="O834" s="197"/>
      <c r="P834" s="197"/>
      <c r="Q834" s="197"/>
      <c r="R834" s="197"/>
      <c r="S834" s="197"/>
      <c r="T834" s="197"/>
      <c r="U834" s="197"/>
      <c r="V834" s="197"/>
      <c r="W834" s="197"/>
      <c r="X834" s="197"/>
      <c r="Y834" s="197"/>
      <c r="Z834" s="197"/>
      <c r="AA834" s="197"/>
      <c r="AB834" s="197"/>
      <c r="AC834" s="197"/>
      <c r="AD834" s="197"/>
      <c r="AE834" s="197"/>
      <c r="AF834" s="197"/>
      <c r="AG834" s="197"/>
      <c r="AH834" s="197"/>
      <c r="AI834" s="197"/>
      <c r="AJ834" s="201"/>
      <c r="AK834" s="33"/>
      <c r="AL834" s="33"/>
      <c r="AM834" s="33"/>
      <c r="AN834" s="33"/>
      <c r="AO834" s="33"/>
      <c r="AP834" s="33"/>
      <c r="AQ834" s="33"/>
      <c r="AR834" s="33"/>
      <c r="AS834" s="33"/>
      <c r="AT834" s="33"/>
      <c r="AU834" s="33"/>
      <c r="AV834" s="33"/>
      <c r="AW834" s="33"/>
      <c r="AX834" s="33"/>
      <c r="AY834" s="33"/>
      <c r="AZ834" s="33"/>
      <c r="BA834" s="33"/>
      <c r="BB834" s="33"/>
      <c r="BC834" s="33"/>
      <c r="BD834" s="33"/>
      <c r="BE834" s="33"/>
      <c r="BF834" s="33"/>
      <c r="BG834" s="33"/>
      <c r="BH834" s="33"/>
      <c r="BI834" s="33"/>
      <c r="BJ834" s="33"/>
      <c r="BK834" s="33"/>
    </row>
    <row r="835" spans="1:63" ht="15" customHeight="1">
      <c r="A835" s="197"/>
      <c r="B835" s="197"/>
      <c r="C835" s="197"/>
      <c r="D835" s="197"/>
      <c r="E835" s="197"/>
      <c r="F835" s="197"/>
      <c r="G835" s="197"/>
      <c r="H835" s="197"/>
      <c r="I835" s="197"/>
      <c r="J835" s="197"/>
      <c r="K835" s="197"/>
      <c r="L835" s="197"/>
      <c r="M835" s="197"/>
      <c r="N835" s="197"/>
      <c r="O835" s="197"/>
      <c r="P835" s="197"/>
      <c r="Q835" s="197"/>
      <c r="R835" s="197"/>
      <c r="S835" s="197"/>
      <c r="T835" s="197"/>
      <c r="U835" s="197"/>
      <c r="V835" s="197"/>
      <c r="W835" s="197"/>
      <c r="X835" s="197"/>
      <c r="Y835" s="197"/>
      <c r="Z835" s="197"/>
      <c r="AA835" s="197"/>
      <c r="AB835" s="197"/>
      <c r="AC835" s="197"/>
      <c r="AD835" s="197"/>
      <c r="AE835" s="197"/>
      <c r="AF835" s="197"/>
      <c r="AG835" s="197"/>
      <c r="AH835" s="197"/>
      <c r="AI835" s="197"/>
      <c r="AJ835" s="201"/>
      <c r="AK835" s="33"/>
      <c r="AL835" s="33"/>
      <c r="AM835" s="33"/>
      <c r="AN835" s="33"/>
      <c r="AO835" s="33"/>
      <c r="AP835" s="33"/>
      <c r="AQ835" s="33"/>
      <c r="AR835" s="33"/>
      <c r="AS835" s="33"/>
      <c r="AT835" s="33"/>
      <c r="AU835" s="33"/>
      <c r="AV835" s="33"/>
      <c r="AW835" s="33"/>
      <c r="AX835" s="33"/>
      <c r="AY835" s="33"/>
      <c r="AZ835" s="33"/>
      <c r="BA835" s="33"/>
      <c r="BB835" s="33"/>
      <c r="BC835" s="33"/>
      <c r="BD835" s="33"/>
      <c r="BE835" s="33"/>
      <c r="BF835" s="33"/>
      <c r="BG835" s="33"/>
      <c r="BH835" s="33"/>
      <c r="BI835" s="33"/>
      <c r="BJ835" s="33"/>
      <c r="BK835" s="33"/>
    </row>
    <row r="836" spans="1:63" ht="15" customHeight="1">
      <c r="A836" s="197"/>
      <c r="B836" s="197"/>
      <c r="C836" s="197"/>
      <c r="D836" s="197"/>
      <c r="E836" s="197"/>
      <c r="F836" s="197"/>
      <c r="G836" s="197"/>
      <c r="H836" s="197"/>
      <c r="I836" s="197"/>
      <c r="J836" s="197"/>
      <c r="K836" s="197"/>
      <c r="L836" s="197"/>
      <c r="M836" s="197"/>
      <c r="N836" s="197"/>
      <c r="O836" s="197"/>
      <c r="P836" s="197"/>
      <c r="Q836" s="197"/>
      <c r="R836" s="197"/>
      <c r="S836" s="197"/>
      <c r="T836" s="197"/>
      <c r="U836" s="197"/>
      <c r="V836" s="197"/>
      <c r="W836" s="197"/>
      <c r="X836" s="197"/>
      <c r="Y836" s="197"/>
      <c r="Z836" s="197"/>
      <c r="AA836" s="197"/>
      <c r="AB836" s="197"/>
      <c r="AC836" s="197"/>
      <c r="AD836" s="197"/>
      <c r="AE836" s="197"/>
      <c r="AF836" s="197"/>
      <c r="AG836" s="197"/>
      <c r="AH836" s="197"/>
      <c r="AI836" s="197"/>
      <c r="AJ836" s="201"/>
      <c r="AK836" s="33"/>
      <c r="AL836" s="33"/>
      <c r="AM836" s="33"/>
      <c r="AN836" s="33"/>
      <c r="AO836" s="33"/>
      <c r="AP836" s="33"/>
      <c r="AQ836" s="33"/>
      <c r="AR836" s="33"/>
      <c r="AS836" s="33"/>
      <c r="AT836" s="33"/>
      <c r="AU836" s="33"/>
      <c r="AV836" s="33"/>
      <c r="AW836" s="33"/>
      <c r="AX836" s="33"/>
      <c r="AY836" s="33"/>
      <c r="AZ836" s="33"/>
      <c r="BA836" s="33"/>
      <c r="BB836" s="33"/>
      <c r="BC836" s="33"/>
      <c r="BD836" s="33"/>
      <c r="BE836" s="33"/>
      <c r="BF836" s="33"/>
      <c r="BG836" s="33"/>
      <c r="BH836" s="33"/>
      <c r="BI836" s="33"/>
      <c r="BJ836" s="33"/>
      <c r="BK836" s="33"/>
    </row>
    <row r="837" spans="1:63" ht="15" customHeight="1">
      <c r="A837" s="197"/>
      <c r="B837" s="197"/>
      <c r="C837" s="197"/>
      <c r="D837" s="197"/>
      <c r="E837" s="197"/>
      <c r="F837" s="197"/>
      <c r="G837" s="197"/>
      <c r="H837" s="197"/>
      <c r="I837" s="197"/>
      <c r="J837" s="197"/>
      <c r="K837" s="197"/>
      <c r="L837" s="197"/>
      <c r="M837" s="197"/>
      <c r="N837" s="197"/>
      <c r="O837" s="197"/>
      <c r="P837" s="197"/>
      <c r="Q837" s="197"/>
      <c r="R837" s="197"/>
      <c r="S837" s="197"/>
      <c r="T837" s="197"/>
      <c r="U837" s="197"/>
      <c r="V837" s="197"/>
      <c r="W837" s="197"/>
      <c r="X837" s="197"/>
      <c r="Y837" s="197"/>
      <c r="Z837" s="197"/>
      <c r="AA837" s="197"/>
      <c r="AB837" s="197"/>
      <c r="AC837" s="197"/>
      <c r="AD837" s="197"/>
      <c r="AE837" s="197"/>
      <c r="AF837" s="197"/>
      <c r="AG837" s="197"/>
      <c r="AH837" s="197"/>
      <c r="AI837" s="197"/>
      <c r="AJ837" s="201"/>
      <c r="AK837" s="33"/>
      <c r="AL837" s="33"/>
      <c r="AM837" s="33"/>
      <c r="AN837" s="33"/>
      <c r="AO837" s="33"/>
      <c r="AP837" s="33"/>
      <c r="AQ837" s="33"/>
      <c r="AR837" s="33"/>
      <c r="AS837" s="33"/>
      <c r="AT837" s="33"/>
      <c r="AU837" s="33"/>
      <c r="AV837" s="33"/>
      <c r="AW837" s="33"/>
      <c r="AX837" s="33"/>
      <c r="AY837" s="33"/>
      <c r="AZ837" s="33"/>
      <c r="BA837" s="33"/>
      <c r="BB837" s="33"/>
      <c r="BC837" s="33"/>
      <c r="BD837" s="33"/>
      <c r="BE837" s="33"/>
      <c r="BF837" s="33"/>
      <c r="BG837" s="33"/>
      <c r="BH837" s="33"/>
      <c r="BI837" s="33"/>
      <c r="BJ837" s="33"/>
      <c r="BK837" s="33"/>
    </row>
    <row r="838" spans="1:63" ht="15" customHeight="1">
      <c r="A838" s="197"/>
      <c r="B838" s="197"/>
      <c r="C838" s="197"/>
      <c r="D838" s="197"/>
      <c r="E838" s="197"/>
      <c r="F838" s="197"/>
      <c r="G838" s="197"/>
      <c r="H838" s="197"/>
      <c r="I838" s="197"/>
      <c r="J838" s="197"/>
      <c r="K838" s="197"/>
      <c r="L838" s="197"/>
      <c r="M838" s="197"/>
      <c r="N838" s="197"/>
      <c r="O838" s="197"/>
      <c r="P838" s="197"/>
      <c r="Q838" s="197"/>
      <c r="R838" s="197"/>
      <c r="S838" s="197"/>
      <c r="T838" s="197"/>
      <c r="U838" s="197"/>
      <c r="V838" s="197"/>
      <c r="W838" s="197"/>
      <c r="X838" s="197"/>
      <c r="Y838" s="197"/>
      <c r="Z838" s="197"/>
      <c r="AA838" s="197"/>
      <c r="AB838" s="197"/>
      <c r="AC838" s="197"/>
      <c r="AD838" s="197"/>
      <c r="AE838" s="197"/>
      <c r="AF838" s="197"/>
      <c r="AG838" s="197"/>
      <c r="AH838" s="197"/>
      <c r="AI838" s="197"/>
      <c r="AJ838" s="201"/>
      <c r="AK838" s="33"/>
      <c r="AL838" s="33"/>
      <c r="AM838" s="33"/>
      <c r="AN838" s="33"/>
      <c r="AO838" s="33"/>
      <c r="AP838" s="33"/>
      <c r="AQ838" s="33"/>
      <c r="AR838" s="33"/>
      <c r="AS838" s="33"/>
      <c r="AT838" s="33"/>
      <c r="AU838" s="33"/>
      <c r="AV838" s="33"/>
      <c r="AW838" s="33"/>
      <c r="AX838" s="33"/>
      <c r="AY838" s="33"/>
      <c r="AZ838" s="33"/>
      <c r="BA838" s="33"/>
      <c r="BB838" s="33"/>
      <c r="BC838" s="33"/>
      <c r="BD838" s="33"/>
      <c r="BE838" s="33"/>
      <c r="BF838" s="33"/>
      <c r="BG838" s="33"/>
      <c r="BH838" s="33"/>
      <c r="BI838" s="33"/>
      <c r="BJ838" s="33"/>
      <c r="BK838" s="33"/>
    </row>
    <row r="839" spans="1:63" ht="15" customHeight="1">
      <c r="A839" s="197"/>
      <c r="B839" s="197"/>
      <c r="C839" s="197"/>
      <c r="D839" s="197"/>
      <c r="E839" s="197"/>
      <c r="F839" s="197"/>
      <c r="G839" s="197"/>
      <c r="H839" s="197"/>
      <c r="I839" s="197"/>
      <c r="J839" s="197"/>
      <c r="K839" s="197"/>
      <c r="L839" s="197"/>
      <c r="M839" s="197"/>
      <c r="N839" s="197"/>
      <c r="O839" s="197"/>
      <c r="P839" s="197"/>
      <c r="Q839" s="197"/>
      <c r="R839" s="197"/>
      <c r="S839" s="197"/>
      <c r="T839" s="197"/>
      <c r="U839" s="197"/>
      <c r="V839" s="197"/>
      <c r="W839" s="197"/>
      <c r="X839" s="197"/>
      <c r="Y839" s="197"/>
      <c r="Z839" s="197"/>
      <c r="AA839" s="197"/>
      <c r="AB839" s="197"/>
      <c r="AC839" s="197"/>
      <c r="AD839" s="197"/>
      <c r="AE839" s="197"/>
      <c r="AF839" s="197"/>
      <c r="AG839" s="197"/>
      <c r="AH839" s="197"/>
      <c r="AI839" s="197"/>
      <c r="AJ839" s="201"/>
      <c r="AK839" s="33"/>
      <c r="AL839" s="33"/>
      <c r="AM839" s="33"/>
      <c r="AN839" s="33"/>
      <c r="AO839" s="33"/>
      <c r="AP839" s="33"/>
      <c r="AQ839" s="33"/>
      <c r="AR839" s="33"/>
      <c r="AS839" s="33"/>
      <c r="AT839" s="33"/>
      <c r="AU839" s="33"/>
      <c r="AV839" s="33"/>
      <c r="AW839" s="33"/>
      <c r="AX839" s="33"/>
      <c r="AY839" s="33"/>
      <c r="AZ839" s="33"/>
      <c r="BA839" s="33"/>
      <c r="BB839" s="33"/>
      <c r="BC839" s="33"/>
      <c r="BD839" s="33"/>
      <c r="BE839" s="33"/>
      <c r="BF839" s="33"/>
      <c r="BG839" s="33"/>
      <c r="BH839" s="33"/>
      <c r="BI839" s="33"/>
      <c r="BJ839" s="33"/>
      <c r="BK839" s="33"/>
    </row>
    <row r="840" spans="1:63" ht="15" customHeight="1">
      <c r="A840" s="197"/>
      <c r="B840" s="197"/>
      <c r="C840" s="197"/>
      <c r="D840" s="197"/>
      <c r="E840" s="197"/>
      <c r="F840" s="197"/>
      <c r="G840" s="197"/>
      <c r="H840" s="197"/>
      <c r="I840" s="197"/>
      <c r="J840" s="197"/>
      <c r="K840" s="197"/>
      <c r="L840" s="197"/>
      <c r="M840" s="197"/>
      <c r="N840" s="197"/>
      <c r="O840" s="197"/>
      <c r="P840" s="197"/>
      <c r="Q840" s="197"/>
      <c r="R840" s="197"/>
      <c r="S840" s="197"/>
      <c r="T840" s="197"/>
      <c r="U840" s="197"/>
      <c r="V840" s="197"/>
      <c r="W840" s="197"/>
      <c r="X840" s="197"/>
      <c r="Y840" s="197"/>
      <c r="Z840" s="197"/>
      <c r="AA840" s="197"/>
      <c r="AB840" s="197"/>
      <c r="AC840" s="197"/>
      <c r="AD840" s="197"/>
      <c r="AE840" s="197"/>
      <c r="AF840" s="197"/>
      <c r="AG840" s="197"/>
      <c r="AH840" s="197"/>
      <c r="AI840" s="197"/>
      <c r="AJ840" s="201"/>
      <c r="AK840" s="33"/>
      <c r="AL840" s="33"/>
      <c r="AM840" s="33"/>
      <c r="AN840" s="33"/>
      <c r="AO840" s="33"/>
      <c r="AP840" s="33"/>
      <c r="AQ840" s="33"/>
      <c r="AR840" s="33"/>
      <c r="AS840" s="33"/>
      <c r="AT840" s="33"/>
      <c r="AU840" s="33"/>
      <c r="AV840" s="33"/>
      <c r="AW840" s="33"/>
      <c r="AX840" s="33"/>
      <c r="AY840" s="33"/>
      <c r="AZ840" s="33"/>
      <c r="BA840" s="33"/>
      <c r="BB840" s="33"/>
      <c r="BC840" s="33"/>
      <c r="BD840" s="33"/>
      <c r="BE840" s="33"/>
      <c r="BF840" s="33"/>
      <c r="BG840" s="33"/>
      <c r="BH840" s="33"/>
      <c r="BI840" s="33"/>
      <c r="BJ840" s="33"/>
      <c r="BK840" s="33"/>
    </row>
    <row r="841" spans="1:63" ht="15" customHeight="1">
      <c r="A841" s="197"/>
      <c r="B841" s="197"/>
      <c r="C841" s="197"/>
      <c r="D841" s="197"/>
      <c r="E841" s="197"/>
      <c r="F841" s="197"/>
      <c r="G841" s="197"/>
      <c r="H841" s="197"/>
      <c r="I841" s="197"/>
      <c r="J841" s="197"/>
      <c r="K841" s="197"/>
      <c r="L841" s="197"/>
      <c r="M841" s="197"/>
      <c r="N841" s="197"/>
      <c r="O841" s="197"/>
      <c r="P841" s="197"/>
      <c r="Q841" s="197"/>
      <c r="R841" s="197"/>
      <c r="S841" s="197"/>
      <c r="T841" s="197"/>
      <c r="U841" s="197"/>
      <c r="V841" s="197"/>
      <c r="W841" s="197"/>
      <c r="X841" s="197"/>
      <c r="Y841" s="197"/>
      <c r="Z841" s="197"/>
      <c r="AA841" s="197"/>
      <c r="AB841" s="197"/>
      <c r="AC841" s="197"/>
      <c r="AD841" s="197"/>
      <c r="AE841" s="197"/>
      <c r="AF841" s="197"/>
      <c r="AG841" s="197"/>
      <c r="AH841" s="197"/>
      <c r="AI841" s="197"/>
      <c r="AJ841" s="201"/>
      <c r="AK841" s="33"/>
      <c r="AL841" s="33"/>
      <c r="AM841" s="33"/>
      <c r="AN841" s="33"/>
      <c r="AO841" s="33"/>
      <c r="AP841" s="33"/>
      <c r="AQ841" s="33"/>
      <c r="AR841" s="33"/>
      <c r="AS841" s="33"/>
      <c r="AT841" s="33"/>
      <c r="AU841" s="33"/>
      <c r="AV841" s="33"/>
      <c r="AW841" s="33"/>
      <c r="AX841" s="33"/>
      <c r="AY841" s="33"/>
      <c r="AZ841" s="33"/>
      <c r="BA841" s="33"/>
      <c r="BB841" s="33"/>
      <c r="BC841" s="33"/>
      <c r="BD841" s="33"/>
      <c r="BE841" s="33"/>
      <c r="BF841" s="33"/>
      <c r="BG841" s="33"/>
      <c r="BH841" s="33"/>
      <c r="BI841" s="33"/>
      <c r="BJ841" s="33"/>
      <c r="BK841" s="33"/>
    </row>
    <row r="842" spans="1:63" ht="15" customHeight="1">
      <c r="A842" s="197"/>
      <c r="B842" s="197"/>
      <c r="C842" s="197"/>
      <c r="D842" s="197"/>
      <c r="E842" s="197"/>
      <c r="F842" s="197"/>
      <c r="G842" s="197"/>
      <c r="H842" s="197"/>
      <c r="I842" s="197"/>
      <c r="J842" s="197"/>
      <c r="K842" s="197"/>
      <c r="L842" s="197"/>
      <c r="M842" s="197"/>
      <c r="N842" s="197"/>
      <c r="O842" s="197"/>
      <c r="P842" s="197"/>
      <c r="Q842" s="197"/>
      <c r="R842" s="197"/>
      <c r="S842" s="197"/>
      <c r="T842" s="197"/>
      <c r="U842" s="197"/>
      <c r="V842" s="197"/>
      <c r="W842" s="197"/>
      <c r="X842" s="197"/>
      <c r="Y842" s="197"/>
      <c r="Z842" s="197"/>
      <c r="AA842" s="197"/>
      <c r="AB842" s="197"/>
      <c r="AC842" s="197"/>
      <c r="AD842" s="197"/>
      <c r="AE842" s="197"/>
      <c r="AF842" s="197"/>
      <c r="AG842" s="197"/>
      <c r="AH842" s="197"/>
      <c r="AI842" s="197"/>
      <c r="AJ842" s="201"/>
      <c r="AK842" s="33"/>
      <c r="AL842" s="33"/>
      <c r="AM842" s="33"/>
      <c r="AN842" s="33"/>
      <c r="AO842" s="33"/>
      <c r="AP842" s="33"/>
      <c r="AQ842" s="33"/>
      <c r="AR842" s="33"/>
      <c r="AS842" s="33"/>
      <c r="AT842" s="33"/>
      <c r="AU842" s="33"/>
      <c r="AV842" s="33"/>
      <c r="AW842" s="33"/>
      <c r="AX842" s="33"/>
      <c r="AY842" s="33"/>
      <c r="AZ842" s="33"/>
      <c r="BA842" s="33"/>
      <c r="BB842" s="33"/>
      <c r="BC842" s="33"/>
      <c r="BD842" s="33"/>
      <c r="BE842" s="33"/>
      <c r="BF842" s="33"/>
      <c r="BG842" s="33"/>
      <c r="BH842" s="33"/>
      <c r="BI842" s="33"/>
      <c r="BJ842" s="33"/>
      <c r="BK842" s="33"/>
    </row>
    <row r="843" spans="1:63" ht="15" customHeight="1">
      <c r="A843" s="197"/>
      <c r="B843" s="197"/>
      <c r="C843" s="197"/>
      <c r="D843" s="197"/>
      <c r="E843" s="197"/>
      <c r="F843" s="197"/>
      <c r="G843" s="197"/>
      <c r="H843" s="197"/>
      <c r="I843" s="197"/>
      <c r="J843" s="197"/>
      <c r="K843" s="197"/>
      <c r="L843" s="197"/>
      <c r="M843" s="197"/>
      <c r="N843" s="197"/>
      <c r="O843" s="197"/>
      <c r="P843" s="197"/>
      <c r="Q843" s="197"/>
      <c r="R843" s="197"/>
      <c r="S843" s="197"/>
      <c r="T843" s="197"/>
      <c r="U843" s="197"/>
      <c r="V843" s="197"/>
      <c r="W843" s="197"/>
      <c r="X843" s="197"/>
      <c r="Y843" s="197"/>
      <c r="Z843" s="197"/>
      <c r="AA843" s="197"/>
      <c r="AB843" s="197"/>
      <c r="AC843" s="197"/>
      <c r="AD843" s="197"/>
      <c r="AE843" s="197"/>
      <c r="AF843" s="197"/>
      <c r="AG843" s="197"/>
      <c r="AH843" s="197"/>
      <c r="AI843" s="197"/>
      <c r="AJ843" s="201"/>
      <c r="AK843" s="33"/>
      <c r="AL843" s="33"/>
      <c r="AM843" s="33"/>
      <c r="AN843" s="33"/>
      <c r="AO843" s="33"/>
      <c r="AP843" s="33"/>
      <c r="AQ843" s="33"/>
      <c r="AR843" s="33"/>
      <c r="AS843" s="33"/>
      <c r="AT843" s="33"/>
      <c r="AU843" s="33"/>
      <c r="AV843" s="33"/>
      <c r="AW843" s="33"/>
      <c r="AX843" s="33"/>
      <c r="AY843" s="33"/>
      <c r="AZ843" s="33"/>
      <c r="BA843" s="33"/>
      <c r="BB843" s="33"/>
      <c r="BC843" s="33"/>
      <c r="BD843" s="33"/>
      <c r="BE843" s="33"/>
      <c r="BF843" s="33"/>
      <c r="BG843" s="33"/>
      <c r="BH843" s="33"/>
      <c r="BI843" s="33"/>
      <c r="BJ843" s="33"/>
      <c r="BK843" s="33"/>
    </row>
    <row r="844" spans="1:63" ht="15" customHeight="1">
      <c r="A844" s="197"/>
      <c r="B844" s="197"/>
      <c r="C844" s="197"/>
      <c r="D844" s="197"/>
      <c r="E844" s="197"/>
      <c r="F844" s="197"/>
      <c r="G844" s="197"/>
      <c r="H844" s="197"/>
      <c r="I844" s="197"/>
      <c r="J844" s="197"/>
      <c r="K844" s="197"/>
      <c r="L844" s="197"/>
      <c r="M844" s="197"/>
      <c r="N844" s="197"/>
      <c r="O844" s="197"/>
      <c r="P844" s="197"/>
      <c r="Q844" s="197"/>
      <c r="R844" s="197"/>
      <c r="S844" s="197"/>
      <c r="T844" s="197"/>
      <c r="U844" s="197"/>
      <c r="V844" s="197"/>
      <c r="W844" s="197"/>
      <c r="X844" s="197"/>
      <c r="Y844" s="197"/>
      <c r="Z844" s="197"/>
      <c r="AA844" s="197"/>
      <c r="AB844" s="197"/>
      <c r="AC844" s="197"/>
      <c r="AD844" s="197"/>
      <c r="AE844" s="197"/>
      <c r="AF844" s="197"/>
      <c r="AG844" s="197"/>
      <c r="AH844" s="197"/>
      <c r="AI844" s="197"/>
      <c r="AJ844" s="201"/>
      <c r="AK844" s="33"/>
      <c r="AL844" s="33"/>
      <c r="AM844" s="33"/>
      <c r="AN844" s="33"/>
      <c r="AO844" s="33"/>
      <c r="AP844" s="33"/>
      <c r="AQ844" s="33"/>
      <c r="AR844" s="33"/>
      <c r="AS844" s="33"/>
      <c r="AT844" s="33"/>
      <c r="AU844" s="33"/>
      <c r="AV844" s="33"/>
      <c r="AW844" s="33"/>
      <c r="AX844" s="33"/>
      <c r="AY844" s="33"/>
      <c r="AZ844" s="33"/>
      <c r="BA844" s="33"/>
      <c r="BB844" s="33"/>
      <c r="BC844" s="33"/>
      <c r="BD844" s="33"/>
      <c r="BE844" s="33"/>
      <c r="BF844" s="33"/>
      <c r="BG844" s="33"/>
      <c r="BH844" s="33"/>
      <c r="BI844" s="33"/>
      <c r="BJ844" s="33"/>
      <c r="BK844" s="33"/>
    </row>
    <row r="845" spans="1:63" ht="15" customHeight="1">
      <c r="A845" s="197"/>
      <c r="B845" s="197"/>
      <c r="C845" s="197"/>
      <c r="D845" s="197"/>
      <c r="E845" s="197"/>
      <c r="F845" s="197"/>
      <c r="G845" s="197"/>
      <c r="H845" s="197"/>
      <c r="I845" s="197"/>
      <c r="J845" s="197"/>
      <c r="K845" s="197"/>
      <c r="L845" s="197"/>
      <c r="M845" s="197"/>
      <c r="N845" s="197"/>
      <c r="O845" s="197"/>
      <c r="P845" s="197"/>
      <c r="Q845" s="197"/>
      <c r="R845" s="197"/>
      <c r="S845" s="197"/>
      <c r="T845" s="197"/>
      <c r="U845" s="197"/>
      <c r="V845" s="197"/>
      <c r="W845" s="197"/>
      <c r="X845" s="197"/>
      <c r="Y845" s="197"/>
      <c r="Z845" s="197"/>
      <c r="AA845" s="197"/>
      <c r="AB845" s="197"/>
      <c r="AC845" s="197"/>
      <c r="AD845" s="197"/>
      <c r="AE845" s="197"/>
      <c r="AF845" s="197"/>
      <c r="AG845" s="197"/>
      <c r="AH845" s="197"/>
      <c r="AI845" s="197"/>
      <c r="AJ845" s="201"/>
      <c r="AK845" s="33"/>
      <c r="AL845" s="33"/>
      <c r="AM845" s="33"/>
      <c r="AN845" s="33"/>
      <c r="AO845" s="33"/>
      <c r="AP845" s="33"/>
      <c r="AQ845" s="33"/>
      <c r="AR845" s="33"/>
      <c r="AS845" s="33"/>
      <c r="AT845" s="33"/>
      <c r="AU845" s="33"/>
      <c r="AV845" s="33"/>
      <c r="AW845" s="33"/>
      <c r="AX845" s="33"/>
      <c r="AY845" s="33"/>
      <c r="AZ845" s="33"/>
      <c r="BA845" s="33"/>
      <c r="BB845" s="33"/>
      <c r="BC845" s="33"/>
      <c r="BD845" s="33"/>
      <c r="BE845" s="33"/>
      <c r="BF845" s="33"/>
      <c r="BG845" s="33"/>
      <c r="BH845" s="33"/>
      <c r="BI845" s="33"/>
      <c r="BJ845" s="33"/>
      <c r="BK845" s="33"/>
    </row>
    <row r="846" spans="1:63" ht="15" customHeight="1">
      <c r="A846" s="197"/>
      <c r="B846" s="197"/>
      <c r="C846" s="197"/>
      <c r="D846" s="197"/>
      <c r="E846" s="197"/>
      <c r="F846" s="197"/>
      <c r="G846" s="197"/>
      <c r="H846" s="197"/>
      <c r="I846" s="197"/>
      <c r="J846" s="197"/>
      <c r="K846" s="197"/>
      <c r="L846" s="197"/>
      <c r="M846" s="197"/>
      <c r="N846" s="197"/>
      <c r="O846" s="197"/>
      <c r="P846" s="197"/>
      <c r="Q846" s="197"/>
      <c r="R846" s="197"/>
      <c r="S846" s="197"/>
      <c r="T846" s="197"/>
      <c r="U846" s="197"/>
      <c r="V846" s="197"/>
      <c r="W846" s="197"/>
      <c r="X846" s="197"/>
      <c r="Y846" s="197"/>
      <c r="Z846" s="197"/>
      <c r="AA846" s="197"/>
      <c r="AB846" s="197"/>
      <c r="AC846" s="197"/>
      <c r="AD846" s="197"/>
      <c r="AE846" s="197"/>
      <c r="AF846" s="197"/>
      <c r="AG846" s="197"/>
      <c r="AH846" s="197"/>
      <c r="AI846" s="197"/>
      <c r="AJ846" s="201"/>
      <c r="AK846" s="33"/>
      <c r="AL846" s="33"/>
      <c r="AM846" s="33"/>
      <c r="AN846" s="33"/>
      <c r="AO846" s="33"/>
      <c r="AP846" s="33"/>
      <c r="AQ846" s="33"/>
      <c r="AR846" s="33"/>
      <c r="AS846" s="33"/>
      <c r="AT846" s="33"/>
      <c r="AU846" s="33"/>
      <c r="AV846" s="33"/>
      <c r="AW846" s="33"/>
      <c r="AX846" s="33"/>
      <c r="AY846" s="33"/>
      <c r="AZ846" s="33"/>
      <c r="BA846" s="33"/>
      <c r="BB846" s="33"/>
      <c r="BC846" s="33"/>
      <c r="BD846" s="33"/>
      <c r="BE846" s="33"/>
      <c r="BF846" s="33"/>
      <c r="BG846" s="33"/>
      <c r="BH846" s="33"/>
      <c r="BI846" s="33"/>
      <c r="BJ846" s="33"/>
      <c r="BK846" s="33"/>
    </row>
    <row r="847" spans="1:63" ht="15" customHeight="1">
      <c r="A847" s="197"/>
      <c r="B847" s="197"/>
      <c r="C847" s="197"/>
      <c r="D847" s="197"/>
      <c r="E847" s="197"/>
      <c r="F847" s="197"/>
      <c r="G847" s="197"/>
      <c r="H847" s="197"/>
      <c r="I847" s="197"/>
      <c r="J847" s="197"/>
      <c r="K847" s="197"/>
      <c r="L847" s="197"/>
      <c r="M847" s="197"/>
      <c r="N847" s="197"/>
      <c r="O847" s="197"/>
      <c r="P847" s="197"/>
      <c r="Q847" s="197"/>
      <c r="R847" s="197"/>
      <c r="S847" s="197"/>
      <c r="T847" s="197"/>
      <c r="U847" s="197"/>
      <c r="V847" s="197"/>
      <c r="W847" s="197"/>
      <c r="X847" s="197"/>
      <c r="Y847" s="197"/>
      <c r="Z847" s="197"/>
      <c r="AA847" s="197"/>
      <c r="AB847" s="197"/>
      <c r="AC847" s="197"/>
      <c r="AD847" s="197"/>
      <c r="AE847" s="197"/>
      <c r="AF847" s="197"/>
      <c r="AG847" s="197"/>
      <c r="AH847" s="197"/>
      <c r="AI847" s="197"/>
      <c r="AJ847" s="201"/>
      <c r="AK847" s="33"/>
      <c r="AL847" s="33"/>
      <c r="AM847" s="33"/>
      <c r="AN847" s="33"/>
      <c r="AO847" s="33"/>
      <c r="AP847" s="33"/>
      <c r="AQ847" s="33"/>
      <c r="AR847" s="33"/>
      <c r="AS847" s="33"/>
      <c r="AT847" s="33"/>
      <c r="AU847" s="33"/>
      <c r="AV847" s="33"/>
      <c r="AW847" s="33"/>
      <c r="AX847" s="33"/>
      <c r="AY847" s="33"/>
      <c r="AZ847" s="33"/>
      <c r="BA847" s="33"/>
      <c r="BB847" s="33"/>
      <c r="BC847" s="33"/>
      <c r="BD847" s="33"/>
      <c r="BE847" s="33"/>
      <c r="BF847" s="33"/>
      <c r="BG847" s="33"/>
      <c r="BH847" s="33"/>
      <c r="BI847" s="33"/>
      <c r="BJ847" s="33"/>
      <c r="BK847" s="33"/>
    </row>
    <row r="848" spans="1:63" ht="15" customHeight="1">
      <c r="A848" s="197"/>
      <c r="B848" s="197"/>
      <c r="C848" s="197"/>
      <c r="D848" s="197"/>
      <c r="E848" s="197"/>
      <c r="F848" s="197"/>
      <c r="G848" s="197"/>
      <c r="H848" s="197"/>
      <c r="I848" s="197"/>
      <c r="J848" s="197"/>
      <c r="K848" s="197"/>
      <c r="L848" s="197"/>
      <c r="M848" s="197"/>
      <c r="N848" s="197"/>
      <c r="O848" s="197"/>
      <c r="P848" s="197"/>
      <c r="Q848" s="197"/>
      <c r="R848" s="197"/>
      <c r="S848" s="197"/>
      <c r="T848" s="197"/>
      <c r="U848" s="197"/>
      <c r="V848" s="197"/>
      <c r="W848" s="197"/>
      <c r="X848" s="197"/>
      <c r="Y848" s="197"/>
      <c r="Z848" s="197"/>
      <c r="AA848" s="197"/>
      <c r="AB848" s="197"/>
      <c r="AC848" s="197"/>
      <c r="AD848" s="197"/>
      <c r="AE848" s="197"/>
      <c r="AF848" s="197"/>
      <c r="AG848" s="197"/>
      <c r="AH848" s="197"/>
      <c r="AI848" s="197"/>
      <c r="AJ848" s="201"/>
      <c r="AK848" s="33"/>
      <c r="AL848" s="33"/>
      <c r="AM848" s="33"/>
      <c r="AN848" s="33"/>
      <c r="AO848" s="33"/>
      <c r="AP848" s="33"/>
      <c r="AQ848" s="33"/>
      <c r="AR848" s="33"/>
      <c r="AS848" s="33"/>
      <c r="AT848" s="33"/>
      <c r="AU848" s="33"/>
      <c r="AV848" s="33"/>
      <c r="AW848" s="33"/>
      <c r="AX848" s="33"/>
      <c r="AY848" s="33"/>
      <c r="AZ848" s="33"/>
      <c r="BA848" s="33"/>
      <c r="BB848" s="33"/>
      <c r="BC848" s="33"/>
      <c r="BD848" s="33"/>
      <c r="BE848" s="33"/>
      <c r="BF848" s="33"/>
      <c r="BG848" s="33"/>
      <c r="BH848" s="33"/>
      <c r="BI848" s="33"/>
      <c r="BJ848" s="33"/>
      <c r="BK848" s="33"/>
    </row>
    <row r="849" spans="1:63" ht="15" customHeight="1">
      <c r="A849" s="197"/>
      <c r="B849" s="197"/>
      <c r="C849" s="197"/>
      <c r="D849" s="197"/>
      <c r="E849" s="197"/>
      <c r="F849" s="197"/>
      <c r="G849" s="197"/>
      <c r="H849" s="197"/>
      <c r="I849" s="197"/>
      <c r="J849" s="197"/>
      <c r="K849" s="197"/>
      <c r="L849" s="197"/>
      <c r="M849" s="197"/>
      <c r="N849" s="197"/>
      <c r="O849" s="197"/>
      <c r="P849" s="197"/>
      <c r="Q849" s="197"/>
      <c r="R849" s="197"/>
      <c r="S849" s="197"/>
      <c r="T849" s="197"/>
      <c r="U849" s="197"/>
      <c r="V849" s="197"/>
      <c r="W849" s="197"/>
      <c r="X849" s="197"/>
      <c r="Y849" s="197"/>
      <c r="Z849" s="197"/>
      <c r="AA849" s="197"/>
      <c r="AB849" s="197"/>
      <c r="AC849" s="197"/>
      <c r="AD849" s="197"/>
      <c r="AE849" s="197"/>
      <c r="AF849" s="197"/>
      <c r="AG849" s="197"/>
      <c r="AH849" s="197"/>
      <c r="AI849" s="197"/>
      <c r="AJ849" s="201"/>
      <c r="AK849" s="33"/>
      <c r="AL849" s="33"/>
      <c r="AM849" s="33"/>
      <c r="AN849" s="33"/>
      <c r="AO849" s="33"/>
      <c r="AP849" s="33"/>
      <c r="AQ849" s="33"/>
      <c r="AR849" s="33"/>
      <c r="AS849" s="33"/>
      <c r="AT849" s="33"/>
      <c r="AU849" s="33"/>
      <c r="AV849" s="33"/>
      <c r="AW849" s="33"/>
      <c r="AX849" s="33"/>
      <c r="AY849" s="33"/>
      <c r="AZ849" s="33"/>
      <c r="BA849" s="33"/>
      <c r="BB849" s="33"/>
      <c r="BC849" s="33"/>
      <c r="BD849" s="33"/>
      <c r="BE849" s="33"/>
      <c r="BF849" s="33"/>
      <c r="BG849" s="33"/>
      <c r="BH849" s="33"/>
      <c r="BI849" s="33"/>
      <c r="BJ849" s="33"/>
      <c r="BK849" s="33"/>
    </row>
    <row r="850" spans="1:63" ht="15" customHeight="1">
      <c r="A850" s="197"/>
      <c r="B850" s="197"/>
      <c r="C850" s="197"/>
      <c r="D850" s="197"/>
      <c r="E850" s="197"/>
      <c r="F850" s="197"/>
      <c r="G850" s="197"/>
      <c r="H850" s="197"/>
      <c r="I850" s="197"/>
      <c r="J850" s="197"/>
      <c r="K850" s="197"/>
      <c r="L850" s="197"/>
      <c r="M850" s="197"/>
      <c r="N850" s="197"/>
      <c r="O850" s="197"/>
      <c r="P850" s="197"/>
      <c r="Q850" s="197"/>
      <c r="R850" s="197"/>
      <c r="S850" s="197"/>
      <c r="T850" s="197"/>
      <c r="U850" s="197"/>
      <c r="V850" s="197"/>
      <c r="W850" s="197"/>
      <c r="X850" s="197"/>
      <c r="Y850" s="197"/>
      <c r="Z850" s="197"/>
      <c r="AA850" s="197"/>
      <c r="AB850" s="197"/>
      <c r="AC850" s="197"/>
      <c r="AD850" s="197"/>
      <c r="AE850" s="197"/>
      <c r="AF850" s="197"/>
      <c r="AG850" s="197"/>
      <c r="AH850" s="197"/>
      <c r="AI850" s="197"/>
      <c r="AJ850" s="201"/>
      <c r="AK850" s="33"/>
      <c r="AL850" s="33"/>
      <c r="AM850" s="33"/>
      <c r="AN850" s="33"/>
      <c r="AO850" s="33"/>
      <c r="AP850" s="33"/>
      <c r="AQ850" s="33"/>
      <c r="AR850" s="33"/>
      <c r="AS850" s="33"/>
      <c r="AT850" s="33"/>
      <c r="AU850" s="33"/>
      <c r="AV850" s="33"/>
      <c r="AW850" s="33"/>
      <c r="AX850" s="33"/>
      <c r="AY850" s="33"/>
      <c r="AZ850" s="33"/>
      <c r="BA850" s="33"/>
      <c r="BB850" s="33"/>
      <c r="BC850" s="33"/>
      <c r="BD850" s="33"/>
      <c r="BE850" s="33"/>
      <c r="BF850" s="33"/>
      <c r="BG850" s="33"/>
      <c r="BH850" s="33"/>
      <c r="BI850" s="33"/>
      <c r="BJ850" s="33"/>
      <c r="BK850" s="33"/>
    </row>
    <row r="851" spans="1:63" ht="15" customHeight="1">
      <c r="A851" s="197"/>
      <c r="B851" s="197"/>
      <c r="C851" s="197"/>
      <c r="D851" s="197"/>
      <c r="E851" s="197"/>
      <c r="F851" s="197"/>
      <c r="G851" s="197"/>
      <c r="H851" s="197"/>
      <c r="I851" s="197"/>
      <c r="J851" s="197"/>
      <c r="K851" s="197"/>
      <c r="L851" s="197"/>
      <c r="M851" s="197"/>
      <c r="N851" s="197"/>
      <c r="O851" s="197"/>
      <c r="P851" s="197"/>
      <c r="Q851" s="197"/>
      <c r="R851" s="197"/>
      <c r="S851" s="197"/>
      <c r="T851" s="197"/>
      <c r="U851" s="197"/>
      <c r="V851" s="197"/>
      <c r="W851" s="197"/>
      <c r="X851" s="197"/>
      <c r="Y851" s="197"/>
      <c r="Z851" s="197"/>
      <c r="AA851" s="197"/>
      <c r="AB851" s="197"/>
      <c r="AC851" s="197"/>
      <c r="AD851" s="197"/>
      <c r="AE851" s="197"/>
      <c r="AF851" s="197"/>
      <c r="AG851" s="197"/>
      <c r="AH851" s="197"/>
      <c r="AI851" s="197"/>
      <c r="AJ851" s="201"/>
      <c r="AK851" s="33"/>
      <c r="AL851" s="33"/>
      <c r="AM851" s="33"/>
      <c r="AN851" s="33"/>
      <c r="AO851" s="33"/>
      <c r="AP851" s="33"/>
      <c r="AQ851" s="33"/>
      <c r="AR851" s="33"/>
      <c r="AS851" s="33"/>
      <c r="AT851" s="33"/>
      <c r="AU851" s="33"/>
      <c r="AV851" s="33"/>
      <c r="AW851" s="33"/>
      <c r="AX851" s="33"/>
      <c r="AY851" s="33"/>
      <c r="AZ851" s="33"/>
      <c r="BA851" s="33"/>
      <c r="BB851" s="33"/>
      <c r="BC851" s="33"/>
      <c r="BD851" s="33"/>
      <c r="BE851" s="33"/>
      <c r="BF851" s="33"/>
      <c r="BG851" s="33"/>
      <c r="BH851" s="33"/>
      <c r="BI851" s="33"/>
      <c r="BJ851" s="33"/>
      <c r="BK851" s="33"/>
    </row>
    <row r="852" spans="1:63" ht="15" customHeight="1">
      <c r="A852" s="197"/>
      <c r="B852" s="197"/>
      <c r="C852" s="197"/>
      <c r="D852" s="197"/>
      <c r="E852" s="197"/>
      <c r="F852" s="197"/>
      <c r="G852" s="197"/>
      <c r="H852" s="197"/>
      <c r="I852" s="197"/>
      <c r="J852" s="197"/>
      <c r="K852" s="197"/>
      <c r="L852" s="197"/>
      <c r="M852" s="197"/>
      <c r="N852" s="197"/>
      <c r="O852" s="197"/>
      <c r="P852" s="197"/>
      <c r="Q852" s="197"/>
      <c r="R852" s="197"/>
      <c r="S852" s="197"/>
      <c r="T852" s="197"/>
      <c r="U852" s="197"/>
      <c r="V852" s="197"/>
      <c r="W852" s="197"/>
      <c r="X852" s="197"/>
      <c r="Y852" s="197"/>
      <c r="Z852" s="197"/>
      <c r="AA852" s="197"/>
      <c r="AB852" s="197"/>
      <c r="AC852" s="197"/>
      <c r="AD852" s="197"/>
      <c r="AE852" s="197"/>
      <c r="AF852" s="197"/>
      <c r="AG852" s="197"/>
      <c r="AH852" s="197"/>
      <c r="AI852" s="197"/>
      <c r="AJ852" s="201"/>
      <c r="AK852" s="33"/>
      <c r="AL852" s="33"/>
      <c r="AM852" s="33"/>
      <c r="AN852" s="33"/>
      <c r="AO852" s="33"/>
      <c r="AP852" s="33"/>
      <c r="AQ852" s="33"/>
      <c r="AR852" s="33"/>
      <c r="AS852" s="33"/>
      <c r="AT852" s="33"/>
      <c r="AU852" s="33"/>
      <c r="AV852" s="33"/>
      <c r="AW852" s="33"/>
      <c r="AX852" s="33"/>
      <c r="AY852" s="33"/>
      <c r="AZ852" s="33"/>
      <c r="BA852" s="33"/>
      <c r="BB852" s="33"/>
      <c r="BC852" s="33"/>
      <c r="BD852" s="33"/>
      <c r="BE852" s="33"/>
      <c r="BF852" s="33"/>
      <c r="BG852" s="33"/>
      <c r="BH852" s="33"/>
      <c r="BI852" s="33"/>
      <c r="BJ852" s="33"/>
      <c r="BK852" s="33"/>
    </row>
    <row r="853" spans="1:63" ht="15" customHeight="1">
      <c r="A853" s="197"/>
      <c r="B853" s="197"/>
      <c r="C853" s="197"/>
      <c r="D853" s="197"/>
      <c r="E853" s="197"/>
      <c r="F853" s="197"/>
      <c r="G853" s="197"/>
      <c r="H853" s="197"/>
      <c r="I853" s="197"/>
      <c r="J853" s="197"/>
      <c r="K853" s="197"/>
      <c r="L853" s="197"/>
      <c r="M853" s="197"/>
      <c r="N853" s="197"/>
      <c r="O853" s="197"/>
      <c r="P853" s="197"/>
      <c r="Q853" s="197"/>
      <c r="R853" s="197"/>
      <c r="S853" s="197"/>
      <c r="T853" s="197"/>
      <c r="U853" s="197"/>
      <c r="V853" s="197"/>
      <c r="W853" s="197"/>
      <c r="X853" s="197"/>
      <c r="Y853" s="197"/>
      <c r="Z853" s="197"/>
      <c r="AA853" s="197"/>
      <c r="AB853" s="197"/>
      <c r="AC853" s="197"/>
      <c r="AD853" s="197"/>
      <c r="AE853" s="197"/>
      <c r="AF853" s="197"/>
      <c r="AG853" s="197"/>
      <c r="AH853" s="197"/>
      <c r="AI853" s="197"/>
      <c r="AJ853" s="201"/>
      <c r="AK853" s="33"/>
      <c r="AL853" s="33"/>
      <c r="AM853" s="33"/>
      <c r="AN853" s="33"/>
      <c r="AO853" s="33"/>
      <c r="AP853" s="33"/>
      <c r="AQ853" s="33"/>
      <c r="AR853" s="33"/>
      <c r="AS853" s="33"/>
      <c r="AT853" s="33"/>
      <c r="AU853" s="33"/>
      <c r="AV853" s="33"/>
      <c r="AW853" s="33"/>
      <c r="AX853" s="33"/>
      <c r="AY853" s="33"/>
      <c r="AZ853" s="33"/>
      <c r="BA853" s="33"/>
      <c r="BB853" s="33"/>
      <c r="BC853" s="33"/>
      <c r="BD853" s="33"/>
      <c r="BE853" s="33"/>
      <c r="BF853" s="33"/>
      <c r="BG853" s="33"/>
      <c r="BH853" s="33"/>
      <c r="BI853" s="33"/>
      <c r="BJ853" s="33"/>
      <c r="BK853" s="33"/>
    </row>
    <row r="854" spans="1:63" ht="15" customHeight="1">
      <c r="A854" s="197"/>
      <c r="B854" s="197"/>
      <c r="C854" s="197"/>
      <c r="D854" s="197"/>
      <c r="E854" s="197"/>
      <c r="F854" s="197"/>
      <c r="G854" s="197"/>
      <c r="H854" s="197"/>
      <c r="I854" s="197"/>
      <c r="J854" s="197"/>
      <c r="K854" s="197"/>
      <c r="L854" s="197"/>
      <c r="M854" s="197"/>
      <c r="N854" s="197"/>
      <c r="O854" s="197"/>
      <c r="P854" s="197"/>
      <c r="Q854" s="197"/>
      <c r="R854" s="197"/>
      <c r="S854" s="197"/>
      <c r="T854" s="197"/>
      <c r="U854" s="197"/>
      <c r="V854" s="197"/>
      <c r="W854" s="197"/>
      <c r="X854" s="197"/>
      <c r="Y854" s="197"/>
      <c r="Z854" s="197"/>
      <c r="AA854" s="197"/>
      <c r="AB854" s="197"/>
      <c r="AC854" s="197"/>
      <c r="AD854" s="197"/>
      <c r="AE854" s="197"/>
      <c r="AF854" s="197"/>
      <c r="AG854" s="197"/>
      <c r="AH854" s="197"/>
      <c r="AI854" s="197"/>
      <c r="AJ854" s="201"/>
      <c r="AK854" s="33"/>
      <c r="AL854" s="33"/>
      <c r="AM854" s="33"/>
      <c r="AN854" s="33"/>
      <c r="AO854" s="33"/>
      <c r="AP854" s="33"/>
      <c r="AQ854" s="33"/>
      <c r="AR854" s="33"/>
      <c r="AS854" s="33"/>
      <c r="AT854" s="33"/>
      <c r="AU854" s="33"/>
      <c r="AV854" s="33"/>
      <c r="AW854" s="33"/>
      <c r="AX854" s="33"/>
      <c r="AY854" s="33"/>
      <c r="AZ854" s="33"/>
      <c r="BA854" s="33"/>
      <c r="BB854" s="33"/>
      <c r="BC854" s="33"/>
      <c r="BD854" s="33"/>
      <c r="BE854" s="33"/>
      <c r="BF854" s="33"/>
      <c r="BG854" s="33"/>
      <c r="BH854" s="33"/>
      <c r="BI854" s="33"/>
      <c r="BJ854" s="33"/>
      <c r="BK854" s="33"/>
    </row>
    <row r="855" spans="1:63" ht="15" customHeight="1">
      <c r="A855" s="197"/>
      <c r="B855" s="197"/>
      <c r="C855" s="197"/>
      <c r="D855" s="197"/>
      <c r="E855" s="197"/>
      <c r="F855" s="197"/>
      <c r="G855" s="197"/>
      <c r="H855" s="197"/>
      <c r="I855" s="197"/>
      <c r="J855" s="197"/>
      <c r="K855" s="197"/>
      <c r="L855" s="197"/>
      <c r="M855" s="197"/>
      <c r="N855" s="197"/>
      <c r="O855" s="197"/>
      <c r="P855" s="197"/>
      <c r="Q855" s="197"/>
      <c r="R855" s="197"/>
      <c r="S855" s="197"/>
      <c r="T855" s="197"/>
      <c r="U855" s="197"/>
      <c r="V855" s="197"/>
      <c r="W855" s="197"/>
      <c r="X855" s="197"/>
      <c r="Y855" s="197"/>
      <c r="Z855" s="197"/>
      <c r="AA855" s="197"/>
      <c r="AB855" s="197"/>
      <c r="AC855" s="197"/>
      <c r="AD855" s="197"/>
      <c r="AE855" s="197"/>
      <c r="AF855" s="197"/>
      <c r="AG855" s="197"/>
      <c r="AH855" s="197"/>
      <c r="AI855" s="197"/>
      <c r="AJ855" s="201"/>
      <c r="AK855" s="33"/>
      <c r="AL855" s="33"/>
      <c r="AM855" s="33"/>
      <c r="AN855" s="33"/>
      <c r="AO855" s="33"/>
      <c r="AP855" s="33"/>
      <c r="AQ855" s="33"/>
      <c r="AR855" s="33"/>
      <c r="AS855" s="33"/>
      <c r="AT855" s="33"/>
      <c r="AU855" s="33"/>
      <c r="AV855" s="33"/>
      <c r="AW855" s="33"/>
      <c r="AX855" s="33"/>
      <c r="AY855" s="33"/>
      <c r="AZ855" s="33"/>
      <c r="BA855" s="33"/>
      <c r="BB855" s="33"/>
      <c r="BC855" s="33"/>
      <c r="BD855" s="33"/>
      <c r="BE855" s="33"/>
      <c r="BF855" s="33"/>
      <c r="BG855" s="33"/>
      <c r="BH855" s="33"/>
      <c r="BI855" s="33"/>
      <c r="BJ855" s="33"/>
      <c r="BK855" s="33"/>
    </row>
    <row r="856" spans="1:63" ht="15" customHeight="1">
      <c r="A856" s="197"/>
      <c r="B856" s="197"/>
      <c r="C856" s="197"/>
      <c r="D856" s="197"/>
      <c r="E856" s="197"/>
      <c r="F856" s="197"/>
      <c r="G856" s="197"/>
      <c r="H856" s="197"/>
      <c r="I856" s="197"/>
      <c r="J856" s="197"/>
      <c r="K856" s="197"/>
      <c r="L856" s="197"/>
      <c r="M856" s="197"/>
      <c r="N856" s="197"/>
      <c r="O856" s="197"/>
      <c r="P856" s="197"/>
      <c r="Q856" s="197"/>
      <c r="R856" s="197"/>
      <c r="S856" s="197"/>
      <c r="T856" s="197"/>
      <c r="U856" s="197"/>
      <c r="V856" s="197"/>
      <c r="W856" s="197"/>
      <c r="X856" s="197"/>
      <c r="Y856" s="197"/>
      <c r="Z856" s="197"/>
      <c r="AA856" s="197"/>
      <c r="AB856" s="197"/>
      <c r="AC856" s="197"/>
      <c r="AD856" s="197"/>
      <c r="AE856" s="197"/>
      <c r="AF856" s="197"/>
      <c r="AG856" s="197"/>
      <c r="AH856" s="197"/>
      <c r="AI856" s="197"/>
      <c r="AJ856" s="201"/>
      <c r="AK856" s="33"/>
      <c r="AL856" s="33"/>
      <c r="AM856" s="33"/>
      <c r="AN856" s="33"/>
      <c r="AO856" s="33"/>
      <c r="AP856" s="33"/>
      <c r="AQ856" s="33"/>
      <c r="AR856" s="33"/>
      <c r="AS856" s="33"/>
      <c r="AT856" s="33"/>
      <c r="AU856" s="33"/>
      <c r="AV856" s="33"/>
      <c r="AW856" s="33"/>
      <c r="AX856" s="33"/>
      <c r="AY856" s="33"/>
      <c r="AZ856" s="33"/>
      <c r="BA856" s="33"/>
      <c r="BB856" s="33"/>
      <c r="BC856" s="33"/>
      <c r="BD856" s="33"/>
      <c r="BE856" s="33"/>
      <c r="BF856" s="33"/>
      <c r="BG856" s="33"/>
      <c r="BH856" s="33"/>
      <c r="BI856" s="33"/>
      <c r="BJ856" s="33"/>
      <c r="BK856" s="33"/>
    </row>
    <row r="857" spans="1:63" ht="15" customHeight="1">
      <c r="A857" s="197"/>
      <c r="B857" s="197"/>
      <c r="C857" s="197"/>
      <c r="D857" s="197"/>
      <c r="E857" s="197"/>
      <c r="F857" s="197"/>
      <c r="G857" s="197"/>
      <c r="H857" s="197"/>
      <c r="I857" s="197"/>
      <c r="J857" s="197"/>
      <c r="K857" s="197"/>
      <c r="L857" s="197"/>
      <c r="M857" s="197"/>
      <c r="N857" s="197"/>
      <c r="O857" s="197"/>
      <c r="P857" s="197"/>
      <c r="Q857" s="197"/>
      <c r="R857" s="197"/>
      <c r="S857" s="197"/>
      <c r="T857" s="197"/>
      <c r="U857" s="197"/>
      <c r="V857" s="197"/>
      <c r="W857" s="197"/>
      <c r="X857" s="197"/>
      <c r="Y857" s="197"/>
      <c r="Z857" s="197"/>
      <c r="AA857" s="197"/>
      <c r="AB857" s="197"/>
      <c r="AC857" s="197"/>
      <c r="AD857" s="197"/>
      <c r="AE857" s="197"/>
      <c r="AF857" s="197"/>
      <c r="AG857" s="197"/>
      <c r="AH857" s="197"/>
      <c r="AI857" s="197"/>
      <c r="AJ857" s="201"/>
      <c r="AK857" s="33"/>
      <c r="AL857" s="33"/>
      <c r="AM857" s="33"/>
      <c r="AN857" s="33"/>
      <c r="AO857" s="33"/>
      <c r="AP857" s="33"/>
      <c r="AQ857" s="33"/>
      <c r="AR857" s="33"/>
      <c r="AS857" s="33"/>
      <c r="AT857" s="33"/>
      <c r="AU857" s="33"/>
      <c r="AV857" s="33"/>
      <c r="AW857" s="33"/>
      <c r="AX857" s="33"/>
      <c r="AY857" s="33"/>
      <c r="AZ857" s="33"/>
      <c r="BA857" s="33"/>
      <c r="BB857" s="33"/>
      <c r="BC857" s="33"/>
      <c r="BD857" s="33"/>
      <c r="BE857" s="33"/>
      <c r="BF857" s="33"/>
      <c r="BG857" s="33"/>
      <c r="BH857" s="33"/>
      <c r="BI857" s="33"/>
      <c r="BJ857" s="33"/>
      <c r="BK857" s="33"/>
    </row>
    <row r="858" spans="1:63" ht="15" customHeight="1">
      <c r="A858" s="197"/>
      <c r="B858" s="197"/>
      <c r="C858" s="197"/>
      <c r="D858" s="197"/>
      <c r="E858" s="197"/>
      <c r="F858" s="197"/>
      <c r="G858" s="197"/>
      <c r="H858" s="197"/>
      <c r="I858" s="197"/>
      <c r="J858" s="197"/>
      <c r="K858" s="197"/>
      <c r="L858" s="197"/>
      <c r="M858" s="197"/>
      <c r="N858" s="197"/>
      <c r="O858" s="197"/>
      <c r="P858" s="197"/>
      <c r="Q858" s="197"/>
      <c r="R858" s="197"/>
      <c r="S858" s="197"/>
      <c r="T858" s="197"/>
      <c r="U858" s="197"/>
      <c r="V858" s="197"/>
      <c r="W858" s="197"/>
      <c r="X858" s="197"/>
      <c r="Y858" s="197"/>
      <c r="Z858" s="197"/>
      <c r="AA858" s="197"/>
      <c r="AB858" s="197"/>
      <c r="AC858" s="197"/>
      <c r="AD858" s="197"/>
      <c r="AE858" s="197"/>
      <c r="AF858" s="197"/>
      <c r="AG858" s="197"/>
      <c r="AH858" s="197"/>
      <c r="AI858" s="197"/>
      <c r="AJ858" s="201"/>
      <c r="AK858" s="33"/>
      <c r="AL858" s="33"/>
      <c r="AM858" s="33"/>
      <c r="AN858" s="33"/>
      <c r="AO858" s="33"/>
      <c r="AP858" s="33"/>
      <c r="AQ858" s="33"/>
      <c r="AR858" s="33"/>
      <c r="AS858" s="33"/>
      <c r="AT858" s="33"/>
      <c r="AU858" s="33"/>
      <c r="AV858" s="33"/>
      <c r="AW858" s="33"/>
      <c r="AX858" s="33"/>
      <c r="AY858" s="33"/>
      <c r="AZ858" s="33"/>
      <c r="BA858" s="33"/>
      <c r="BB858" s="33"/>
      <c r="BC858" s="33"/>
      <c r="BD858" s="33"/>
      <c r="BE858" s="33"/>
      <c r="BF858" s="33"/>
      <c r="BG858" s="33"/>
      <c r="BH858" s="33"/>
      <c r="BI858" s="33"/>
      <c r="BJ858" s="33"/>
      <c r="BK858" s="33"/>
    </row>
    <row r="859" spans="1:63" ht="15" customHeight="1">
      <c r="A859" s="197"/>
      <c r="B859" s="197"/>
      <c r="C859" s="197"/>
      <c r="D859" s="197"/>
      <c r="E859" s="197"/>
      <c r="F859" s="197"/>
      <c r="G859" s="197"/>
      <c r="H859" s="197"/>
      <c r="I859" s="197"/>
      <c r="J859" s="197"/>
      <c r="K859" s="197"/>
      <c r="L859" s="197"/>
      <c r="M859" s="197"/>
      <c r="N859" s="197"/>
      <c r="O859" s="197"/>
      <c r="P859" s="197"/>
      <c r="Q859" s="197"/>
      <c r="R859" s="197"/>
      <c r="S859" s="197"/>
      <c r="T859" s="197"/>
      <c r="U859" s="197"/>
      <c r="V859" s="197"/>
      <c r="W859" s="197"/>
      <c r="X859" s="197"/>
      <c r="Y859" s="197"/>
      <c r="Z859" s="197"/>
      <c r="AA859" s="197"/>
      <c r="AB859" s="197"/>
      <c r="AC859" s="197"/>
      <c r="AD859" s="197"/>
      <c r="AE859" s="197"/>
      <c r="AF859" s="197"/>
      <c r="AG859" s="197"/>
      <c r="AH859" s="197"/>
      <c r="AI859" s="197"/>
      <c r="AJ859" s="201"/>
      <c r="AK859" s="33"/>
      <c r="AL859" s="33"/>
      <c r="AM859" s="33"/>
      <c r="AN859" s="33"/>
      <c r="AO859" s="33"/>
      <c r="AP859" s="33"/>
      <c r="AQ859" s="33"/>
      <c r="AR859" s="33"/>
      <c r="AS859" s="33"/>
      <c r="AT859" s="33"/>
      <c r="AU859" s="33"/>
      <c r="AV859" s="33"/>
      <c r="AW859" s="33"/>
      <c r="AX859" s="33"/>
      <c r="AY859" s="33"/>
      <c r="AZ859" s="33"/>
      <c r="BA859" s="33"/>
      <c r="BB859" s="33"/>
      <c r="BC859" s="33"/>
      <c r="BD859" s="33"/>
      <c r="BE859" s="33"/>
      <c r="BF859" s="33"/>
      <c r="BG859" s="33"/>
      <c r="BH859" s="33"/>
      <c r="BI859" s="33"/>
      <c r="BJ859" s="33"/>
      <c r="BK859" s="33"/>
    </row>
    <row r="860" spans="1:63" ht="15" customHeight="1">
      <c r="A860" s="197"/>
      <c r="B860" s="197"/>
      <c r="C860" s="197"/>
      <c r="D860" s="197"/>
      <c r="E860" s="197"/>
      <c r="F860" s="197"/>
      <c r="G860" s="197"/>
      <c r="H860" s="197"/>
      <c r="I860" s="197"/>
      <c r="J860" s="197"/>
      <c r="K860" s="197"/>
      <c r="L860" s="197"/>
      <c r="M860" s="197"/>
      <c r="N860" s="197"/>
      <c r="O860" s="197"/>
      <c r="P860" s="197"/>
      <c r="Q860" s="197"/>
      <c r="R860" s="197"/>
      <c r="S860" s="197"/>
      <c r="T860" s="197"/>
      <c r="U860" s="197"/>
      <c r="V860" s="197"/>
      <c r="W860" s="197"/>
      <c r="X860" s="197"/>
      <c r="Y860" s="197"/>
      <c r="Z860" s="197"/>
      <c r="AA860" s="197"/>
      <c r="AB860" s="197"/>
      <c r="AC860" s="197"/>
      <c r="AD860" s="197"/>
      <c r="AE860" s="197"/>
      <c r="AF860" s="197"/>
      <c r="AG860" s="197"/>
      <c r="AH860" s="197"/>
      <c r="AI860" s="197"/>
      <c r="AJ860" s="201"/>
      <c r="AK860" s="33"/>
      <c r="AL860" s="33"/>
      <c r="AM860" s="33"/>
      <c r="AN860" s="33"/>
      <c r="AO860" s="33"/>
      <c r="AP860" s="33"/>
      <c r="AQ860" s="33"/>
      <c r="AR860" s="33"/>
      <c r="AS860" s="33"/>
      <c r="AT860" s="33"/>
      <c r="AU860" s="33"/>
      <c r="AV860" s="33"/>
      <c r="AW860" s="33"/>
      <c r="AX860" s="33"/>
      <c r="AY860" s="33"/>
      <c r="AZ860" s="33"/>
      <c r="BA860" s="33"/>
      <c r="BB860" s="33"/>
      <c r="BC860" s="33"/>
      <c r="BD860" s="33"/>
      <c r="BE860" s="33"/>
      <c r="BF860" s="33"/>
      <c r="BG860" s="33"/>
      <c r="BH860" s="33"/>
      <c r="BI860" s="33"/>
      <c r="BJ860" s="33"/>
      <c r="BK860" s="33"/>
    </row>
    <row r="861" spans="1:63" ht="15" customHeight="1">
      <c r="A861" s="197"/>
      <c r="B861" s="197"/>
      <c r="C861" s="197"/>
      <c r="D861" s="197"/>
      <c r="E861" s="197"/>
      <c r="F861" s="197"/>
      <c r="G861" s="197"/>
      <c r="H861" s="197"/>
      <c r="I861" s="197"/>
      <c r="J861" s="197"/>
      <c r="K861" s="197"/>
      <c r="L861" s="197"/>
      <c r="M861" s="197"/>
      <c r="N861" s="197"/>
      <c r="O861" s="197"/>
      <c r="P861" s="197"/>
      <c r="Q861" s="197"/>
      <c r="R861" s="197"/>
      <c r="S861" s="197"/>
      <c r="T861" s="197"/>
      <c r="U861" s="197"/>
      <c r="V861" s="197"/>
      <c r="W861" s="197"/>
      <c r="X861" s="197"/>
      <c r="Y861" s="197"/>
      <c r="Z861" s="197"/>
      <c r="AA861" s="197"/>
      <c r="AB861" s="197"/>
      <c r="AC861" s="197"/>
      <c r="AD861" s="197"/>
      <c r="AE861" s="197"/>
      <c r="AF861" s="197"/>
      <c r="AG861" s="197"/>
      <c r="AH861" s="197"/>
      <c r="AI861" s="197"/>
      <c r="AJ861" s="201"/>
      <c r="AK861" s="33"/>
      <c r="AL861" s="33"/>
      <c r="AM861" s="33"/>
      <c r="AN861" s="33"/>
      <c r="AO861" s="33"/>
      <c r="AP861" s="33"/>
      <c r="AQ861" s="33"/>
      <c r="AR861" s="33"/>
      <c r="AS861" s="33"/>
      <c r="AT861" s="33"/>
      <c r="AU861" s="33"/>
      <c r="AV861" s="33"/>
      <c r="AW861" s="33"/>
      <c r="AX861" s="33"/>
      <c r="AY861" s="33"/>
      <c r="AZ861" s="33"/>
      <c r="BA861" s="33"/>
      <c r="BB861" s="33"/>
      <c r="BC861" s="33"/>
      <c r="BD861" s="33"/>
      <c r="BE861" s="33"/>
      <c r="BF861" s="33"/>
      <c r="BG861" s="33"/>
      <c r="BH861" s="33"/>
      <c r="BI861" s="33"/>
      <c r="BJ861" s="33"/>
      <c r="BK861" s="33"/>
    </row>
    <row r="862" spans="1:63" ht="15" customHeight="1">
      <c r="A862" s="197"/>
      <c r="B862" s="197"/>
      <c r="C862" s="197"/>
      <c r="D862" s="197"/>
      <c r="E862" s="197"/>
      <c r="F862" s="197"/>
      <c r="G862" s="197"/>
      <c r="H862" s="197"/>
      <c r="I862" s="197"/>
      <c r="J862" s="197"/>
      <c r="K862" s="197"/>
      <c r="L862" s="197"/>
      <c r="M862" s="197"/>
      <c r="N862" s="197"/>
      <c r="O862" s="197"/>
      <c r="P862" s="197"/>
      <c r="Q862" s="197"/>
      <c r="R862" s="197"/>
      <c r="S862" s="197"/>
      <c r="T862" s="197"/>
      <c r="U862" s="197"/>
      <c r="V862" s="197"/>
      <c r="W862" s="197"/>
      <c r="X862" s="197"/>
      <c r="Y862" s="197"/>
      <c r="Z862" s="197"/>
      <c r="AA862" s="197"/>
      <c r="AB862" s="197"/>
      <c r="AC862" s="197"/>
      <c r="AD862" s="197"/>
      <c r="AE862" s="197"/>
      <c r="AF862" s="197"/>
      <c r="AG862" s="197"/>
      <c r="AH862" s="197"/>
      <c r="AI862" s="197"/>
      <c r="AJ862" s="201"/>
      <c r="AK862" s="33"/>
      <c r="AL862" s="33"/>
      <c r="AM862" s="33"/>
      <c r="AN862" s="33"/>
      <c r="AO862" s="33"/>
      <c r="AP862" s="33"/>
      <c r="AQ862" s="33"/>
      <c r="AR862" s="33"/>
      <c r="AS862" s="33"/>
      <c r="AT862" s="33"/>
      <c r="AU862" s="33"/>
      <c r="AV862" s="33"/>
      <c r="AW862" s="33"/>
      <c r="AX862" s="33"/>
      <c r="AY862" s="33"/>
      <c r="AZ862" s="33"/>
      <c r="BA862" s="33"/>
      <c r="BB862" s="33"/>
      <c r="BC862" s="33"/>
      <c r="BD862" s="33"/>
      <c r="BE862" s="33"/>
      <c r="BF862" s="33"/>
      <c r="BG862" s="33"/>
      <c r="BH862" s="33"/>
      <c r="BI862" s="33"/>
      <c r="BJ862" s="33"/>
      <c r="BK862" s="33"/>
    </row>
    <row r="863" spans="1:63" ht="15" customHeight="1">
      <c r="A863" s="197"/>
      <c r="B863" s="197"/>
      <c r="C863" s="197"/>
      <c r="D863" s="197"/>
      <c r="E863" s="197"/>
      <c r="F863" s="197"/>
      <c r="G863" s="197"/>
      <c r="H863" s="197"/>
      <c r="I863" s="197"/>
      <c r="J863" s="197"/>
      <c r="K863" s="197"/>
      <c r="L863" s="197"/>
      <c r="M863" s="197"/>
      <c r="N863" s="197"/>
      <c r="O863" s="197"/>
      <c r="P863" s="197"/>
      <c r="Q863" s="197"/>
      <c r="R863" s="197"/>
      <c r="S863" s="197"/>
      <c r="T863" s="197"/>
      <c r="U863" s="197"/>
      <c r="V863" s="197"/>
      <c r="W863" s="197"/>
      <c r="X863" s="197"/>
      <c r="Y863" s="197"/>
      <c r="Z863" s="197"/>
      <c r="AA863" s="197"/>
      <c r="AB863" s="197"/>
      <c r="AC863" s="197"/>
      <c r="AD863" s="197"/>
      <c r="AE863" s="197"/>
      <c r="AF863" s="197"/>
      <c r="AG863" s="197"/>
      <c r="AH863" s="197"/>
      <c r="AI863" s="197"/>
      <c r="AJ863" s="201"/>
      <c r="AK863" s="33"/>
      <c r="AL863" s="33"/>
      <c r="AM863" s="33"/>
      <c r="AN863" s="33"/>
      <c r="AO863" s="33"/>
      <c r="AP863" s="33"/>
      <c r="AQ863" s="33"/>
      <c r="AR863" s="33"/>
      <c r="AS863" s="33"/>
      <c r="AT863" s="33"/>
      <c r="AU863" s="33"/>
      <c r="AV863" s="33"/>
      <c r="AW863" s="33"/>
      <c r="AX863" s="33"/>
      <c r="AY863" s="33"/>
      <c r="AZ863" s="33"/>
      <c r="BA863" s="33"/>
      <c r="BB863" s="33"/>
      <c r="BC863" s="33"/>
      <c r="BD863" s="33"/>
      <c r="BE863" s="33"/>
      <c r="BF863" s="33"/>
      <c r="BG863" s="33"/>
      <c r="BH863" s="33"/>
      <c r="BI863" s="33"/>
      <c r="BJ863" s="33"/>
      <c r="BK863" s="33"/>
    </row>
    <row r="864" spans="1:63" ht="15" customHeight="1">
      <c r="A864" s="197"/>
      <c r="B864" s="197"/>
      <c r="C864" s="197"/>
      <c r="D864" s="197"/>
      <c r="E864" s="197"/>
      <c r="F864" s="197"/>
      <c r="G864" s="197"/>
      <c r="H864" s="197"/>
      <c r="I864" s="197"/>
      <c r="J864" s="197"/>
      <c r="K864" s="197"/>
      <c r="L864" s="197"/>
      <c r="M864" s="197"/>
      <c r="N864" s="197"/>
      <c r="O864" s="197"/>
      <c r="P864" s="197"/>
      <c r="Q864" s="197"/>
      <c r="R864" s="197"/>
      <c r="S864" s="197"/>
      <c r="T864" s="197"/>
      <c r="U864" s="197"/>
      <c r="V864" s="197"/>
      <c r="W864" s="197"/>
      <c r="X864" s="197"/>
      <c r="Y864" s="197"/>
      <c r="Z864" s="197"/>
      <c r="AA864" s="197"/>
      <c r="AB864" s="197"/>
      <c r="AC864" s="197"/>
      <c r="AD864" s="197"/>
      <c r="AE864" s="197"/>
      <c r="AF864" s="197"/>
      <c r="AG864" s="197"/>
      <c r="AH864" s="197"/>
      <c r="AI864" s="197"/>
      <c r="AJ864" s="201"/>
      <c r="AK864" s="33"/>
      <c r="AL864" s="33"/>
      <c r="AM864" s="33"/>
      <c r="AN864" s="33"/>
      <c r="AO864" s="33"/>
      <c r="AP864" s="33"/>
      <c r="AQ864" s="33"/>
      <c r="AR864" s="33"/>
      <c r="AS864" s="33"/>
      <c r="AT864" s="33"/>
      <c r="AU864" s="33"/>
      <c r="AV864" s="33"/>
      <c r="AW864" s="33"/>
      <c r="AX864" s="33"/>
      <c r="AY864" s="33"/>
      <c r="AZ864" s="33"/>
      <c r="BA864" s="33"/>
      <c r="BB864" s="33"/>
      <c r="BC864" s="33"/>
      <c r="BD864" s="33"/>
      <c r="BE864" s="33"/>
      <c r="BF864" s="33"/>
      <c r="BG864" s="33"/>
      <c r="BH864" s="33"/>
      <c r="BI864" s="33"/>
      <c r="BJ864" s="33"/>
      <c r="BK864" s="33"/>
    </row>
    <row r="865" spans="1:63" ht="15" customHeight="1">
      <c r="A865" s="197"/>
      <c r="B865" s="197"/>
      <c r="C865" s="197"/>
      <c r="D865" s="197"/>
      <c r="E865" s="197"/>
      <c r="F865" s="197"/>
      <c r="G865" s="197"/>
      <c r="H865" s="197"/>
      <c r="I865" s="197"/>
      <c r="J865" s="197"/>
      <c r="K865" s="197"/>
      <c r="L865" s="197"/>
      <c r="M865" s="197"/>
      <c r="N865" s="197"/>
      <c r="O865" s="197"/>
      <c r="P865" s="197"/>
      <c r="Q865" s="197"/>
      <c r="R865" s="197"/>
      <c r="S865" s="197"/>
      <c r="T865" s="197"/>
      <c r="U865" s="197"/>
      <c r="V865" s="197"/>
      <c r="W865" s="197"/>
      <c r="X865" s="197"/>
      <c r="Y865" s="197"/>
      <c r="Z865" s="197"/>
      <c r="AA865" s="197"/>
      <c r="AB865" s="197"/>
      <c r="AC865" s="197"/>
      <c r="AD865" s="197"/>
      <c r="AE865" s="197"/>
      <c r="AF865" s="197"/>
      <c r="AG865" s="197"/>
      <c r="AH865" s="197"/>
      <c r="AI865" s="197"/>
      <c r="AJ865" s="201"/>
      <c r="AK865" s="33"/>
      <c r="AL865" s="33"/>
      <c r="AM865" s="33"/>
      <c r="AN865" s="33"/>
      <c r="AO865" s="33"/>
      <c r="AP865" s="33"/>
      <c r="AQ865" s="33"/>
      <c r="AR865" s="33"/>
      <c r="AS865" s="33"/>
      <c r="AT865" s="33"/>
      <c r="AU865" s="33"/>
      <c r="AV865" s="33"/>
      <c r="AW865" s="33"/>
      <c r="AX865" s="33"/>
      <c r="AY865" s="33"/>
      <c r="AZ865" s="33"/>
      <c r="BA865" s="33"/>
      <c r="BB865" s="33"/>
      <c r="BC865" s="33"/>
      <c r="BD865" s="33"/>
      <c r="BE865" s="33"/>
      <c r="BF865" s="33"/>
      <c r="BG865" s="33"/>
      <c r="BH865" s="33"/>
      <c r="BI865" s="33"/>
      <c r="BJ865" s="33"/>
      <c r="BK865" s="33"/>
    </row>
    <row r="866" spans="1:63" ht="15" customHeight="1">
      <c r="A866" s="197"/>
      <c r="B866" s="197"/>
      <c r="C866" s="197"/>
      <c r="D866" s="197"/>
      <c r="E866" s="197"/>
      <c r="F866" s="197"/>
      <c r="G866" s="197"/>
      <c r="H866" s="197"/>
      <c r="I866" s="197"/>
      <c r="J866" s="197"/>
      <c r="K866" s="197"/>
      <c r="L866" s="197"/>
      <c r="M866" s="197"/>
      <c r="N866" s="197"/>
      <c r="O866" s="197"/>
      <c r="P866" s="197"/>
      <c r="Q866" s="197"/>
      <c r="R866" s="197"/>
      <c r="S866" s="197"/>
      <c r="T866" s="197"/>
      <c r="U866" s="197"/>
      <c r="V866" s="197"/>
      <c r="W866" s="197"/>
      <c r="X866" s="197"/>
      <c r="Y866" s="197"/>
      <c r="Z866" s="197"/>
      <c r="AA866" s="197"/>
      <c r="AB866" s="197"/>
      <c r="AC866" s="197"/>
      <c r="AD866" s="197"/>
      <c r="AE866" s="197"/>
      <c r="AF866" s="197"/>
      <c r="AG866" s="197"/>
      <c r="AH866" s="197"/>
      <c r="AI866" s="197"/>
      <c r="AJ866" s="201"/>
      <c r="AK866" s="33"/>
      <c r="AL866" s="33"/>
      <c r="AM866" s="33"/>
      <c r="AN866" s="33"/>
      <c r="AO866" s="33"/>
      <c r="AP866" s="33"/>
      <c r="AQ866" s="33"/>
      <c r="AR866" s="33"/>
      <c r="AS866" s="33"/>
      <c r="AT866" s="33"/>
      <c r="AU866" s="33"/>
      <c r="AV866" s="33"/>
      <c r="AW866" s="33"/>
      <c r="AX866" s="33"/>
      <c r="AY866" s="33"/>
      <c r="AZ866" s="33"/>
      <c r="BA866" s="33"/>
      <c r="BB866" s="33"/>
      <c r="BC866" s="33"/>
      <c r="BD866" s="33"/>
      <c r="BE866" s="33"/>
      <c r="BF866" s="33"/>
      <c r="BG866" s="33"/>
      <c r="BH866" s="33"/>
      <c r="BI866" s="33"/>
      <c r="BJ866" s="33"/>
      <c r="BK866" s="33"/>
    </row>
    <row r="867" spans="1:63" ht="15" customHeight="1">
      <c r="A867" s="197"/>
      <c r="B867" s="197"/>
      <c r="C867" s="197"/>
      <c r="D867" s="197"/>
      <c r="E867" s="197"/>
      <c r="F867" s="197"/>
      <c r="G867" s="197"/>
      <c r="H867" s="197"/>
      <c r="I867" s="197"/>
      <c r="J867" s="197"/>
      <c r="K867" s="197"/>
      <c r="L867" s="197"/>
      <c r="M867" s="197"/>
      <c r="N867" s="197"/>
      <c r="O867" s="197"/>
      <c r="P867" s="197"/>
      <c r="Q867" s="197"/>
      <c r="R867" s="197"/>
      <c r="S867" s="197"/>
      <c r="T867" s="197"/>
      <c r="U867" s="197"/>
      <c r="V867" s="197"/>
      <c r="W867" s="197"/>
      <c r="X867" s="197"/>
      <c r="Y867" s="197"/>
      <c r="Z867" s="197"/>
      <c r="AA867" s="197"/>
      <c r="AB867" s="197"/>
      <c r="AC867" s="197"/>
      <c r="AD867" s="197"/>
      <c r="AE867" s="197"/>
      <c r="AF867" s="197"/>
      <c r="AG867" s="197"/>
      <c r="AH867" s="197"/>
      <c r="AI867" s="197"/>
      <c r="AJ867" s="201"/>
      <c r="AK867" s="33"/>
      <c r="AL867" s="33"/>
      <c r="AM867" s="33"/>
      <c r="AN867" s="33"/>
      <c r="AO867" s="33"/>
      <c r="AP867" s="33"/>
      <c r="AQ867" s="33"/>
      <c r="AR867" s="33"/>
      <c r="AS867" s="33"/>
      <c r="AT867" s="33"/>
      <c r="AU867" s="33"/>
      <c r="AV867" s="33"/>
      <c r="AW867" s="33"/>
      <c r="AX867" s="33"/>
      <c r="AY867" s="33"/>
      <c r="AZ867" s="33"/>
      <c r="BA867" s="33"/>
      <c r="BB867" s="33"/>
      <c r="BC867" s="33"/>
      <c r="BD867" s="33"/>
      <c r="BE867" s="33"/>
      <c r="BF867" s="33"/>
      <c r="BG867" s="33"/>
      <c r="BH867" s="33"/>
      <c r="BI867" s="33"/>
      <c r="BJ867" s="33"/>
      <c r="BK867" s="33"/>
    </row>
    <row r="868" spans="1:63" ht="15" customHeight="1">
      <c r="A868" s="197"/>
      <c r="B868" s="197"/>
      <c r="C868" s="197"/>
      <c r="D868" s="197"/>
      <c r="E868" s="197"/>
      <c r="F868" s="197"/>
      <c r="G868" s="197"/>
      <c r="H868" s="197"/>
      <c r="I868" s="197"/>
      <c r="J868" s="197"/>
      <c r="K868" s="197"/>
      <c r="L868" s="197"/>
      <c r="M868" s="197"/>
      <c r="N868" s="197"/>
      <c r="O868" s="197"/>
      <c r="P868" s="197"/>
      <c r="Q868" s="197"/>
      <c r="R868" s="197"/>
      <c r="S868" s="197"/>
      <c r="T868" s="197"/>
      <c r="U868" s="197"/>
      <c r="V868" s="197"/>
      <c r="W868" s="197"/>
      <c r="X868" s="197"/>
      <c r="Y868" s="197"/>
      <c r="Z868" s="197"/>
      <c r="AA868" s="197"/>
      <c r="AB868" s="197"/>
      <c r="AC868" s="197"/>
      <c r="AD868" s="197"/>
      <c r="AE868" s="197"/>
      <c r="AF868" s="197"/>
      <c r="AG868" s="197"/>
      <c r="AH868" s="197"/>
      <c r="AI868" s="197"/>
      <c r="AJ868" s="201"/>
      <c r="AK868" s="33"/>
      <c r="AL868" s="33"/>
      <c r="AM868" s="33"/>
      <c r="AN868" s="33"/>
      <c r="AO868" s="33"/>
      <c r="AP868" s="33"/>
      <c r="AQ868" s="33"/>
      <c r="AR868" s="33"/>
      <c r="AS868" s="33"/>
      <c r="AT868" s="33"/>
      <c r="AU868" s="33"/>
      <c r="AV868" s="33"/>
      <c r="AW868" s="33"/>
      <c r="AX868" s="33"/>
      <c r="AY868" s="33"/>
      <c r="AZ868" s="33"/>
      <c r="BA868" s="33"/>
      <c r="BB868" s="33"/>
      <c r="BC868" s="33"/>
      <c r="BD868" s="33"/>
      <c r="BE868" s="33"/>
      <c r="BF868" s="33"/>
      <c r="BG868" s="33"/>
      <c r="BH868" s="33"/>
      <c r="BI868" s="33"/>
      <c r="BJ868" s="33"/>
      <c r="BK868" s="33"/>
    </row>
    <row r="869" spans="1:63" ht="15" customHeight="1">
      <c r="A869" s="197"/>
      <c r="B869" s="197"/>
      <c r="C869" s="197"/>
      <c r="D869" s="197"/>
      <c r="E869" s="197"/>
      <c r="F869" s="197"/>
      <c r="G869" s="197"/>
      <c r="H869" s="197"/>
      <c r="I869" s="197"/>
      <c r="J869" s="197"/>
      <c r="K869" s="197"/>
      <c r="L869" s="197"/>
      <c r="M869" s="197"/>
      <c r="N869" s="197"/>
      <c r="O869" s="197"/>
      <c r="P869" s="197"/>
      <c r="Q869" s="197"/>
      <c r="R869" s="197"/>
      <c r="S869" s="197"/>
      <c r="T869" s="197"/>
      <c r="U869" s="197"/>
      <c r="V869" s="197"/>
      <c r="W869" s="197"/>
      <c r="X869" s="197"/>
      <c r="Y869" s="197"/>
      <c r="Z869" s="197"/>
      <c r="AA869" s="197"/>
      <c r="AB869" s="197"/>
      <c r="AC869" s="197"/>
      <c r="AD869" s="197"/>
      <c r="AE869" s="197"/>
      <c r="AF869" s="197"/>
      <c r="AG869" s="197"/>
      <c r="AH869" s="197"/>
      <c r="AI869" s="197"/>
      <c r="AJ869" s="201"/>
      <c r="AK869" s="33"/>
      <c r="AL869" s="33"/>
      <c r="AM869" s="33"/>
      <c r="AN869" s="33"/>
      <c r="AO869" s="33"/>
      <c r="AP869" s="33"/>
      <c r="AQ869" s="33"/>
      <c r="AR869" s="33"/>
      <c r="AS869" s="33"/>
      <c r="AT869" s="33"/>
      <c r="AU869" s="33"/>
      <c r="AV869" s="33"/>
      <c r="AW869" s="33"/>
      <c r="AX869" s="33"/>
      <c r="AY869" s="33"/>
      <c r="AZ869" s="33"/>
      <c r="BA869" s="33"/>
      <c r="BB869" s="33"/>
      <c r="BC869" s="33"/>
      <c r="BD869" s="33"/>
      <c r="BE869" s="33"/>
      <c r="BF869" s="33"/>
      <c r="BG869" s="33"/>
      <c r="BH869" s="33"/>
      <c r="BI869" s="33"/>
      <c r="BJ869" s="33"/>
      <c r="BK869" s="33"/>
    </row>
    <row r="870" spans="1:63" ht="15" customHeight="1">
      <c r="A870" s="197"/>
      <c r="B870" s="197"/>
      <c r="C870" s="197"/>
      <c r="D870" s="197"/>
      <c r="E870" s="197"/>
      <c r="F870" s="197"/>
      <c r="G870" s="197"/>
      <c r="H870" s="197"/>
      <c r="I870" s="197"/>
      <c r="J870" s="197"/>
      <c r="K870" s="197"/>
      <c r="L870" s="197"/>
      <c r="M870" s="197"/>
      <c r="N870" s="197"/>
      <c r="O870" s="197"/>
      <c r="P870" s="197"/>
      <c r="Q870" s="197"/>
      <c r="R870" s="197"/>
      <c r="S870" s="197"/>
      <c r="T870" s="197"/>
      <c r="U870" s="197"/>
      <c r="V870" s="197"/>
      <c r="W870" s="197"/>
      <c r="X870" s="197"/>
      <c r="Y870" s="197"/>
      <c r="Z870" s="197"/>
      <c r="AA870" s="197"/>
      <c r="AB870" s="197"/>
      <c r="AC870" s="197"/>
      <c r="AD870" s="197"/>
      <c r="AE870" s="197"/>
      <c r="AF870" s="197"/>
      <c r="AG870" s="197"/>
      <c r="AH870" s="197"/>
      <c r="AI870" s="197"/>
      <c r="AJ870" s="201"/>
      <c r="AK870" s="33"/>
      <c r="AL870" s="33"/>
      <c r="AM870" s="33"/>
      <c r="AN870" s="33"/>
      <c r="AO870" s="33"/>
      <c r="AP870" s="33"/>
      <c r="AQ870" s="33"/>
      <c r="AR870" s="33"/>
      <c r="AS870" s="33"/>
      <c r="AT870" s="33"/>
      <c r="AU870" s="33"/>
      <c r="AV870" s="33"/>
      <c r="AW870" s="33"/>
      <c r="AX870" s="33"/>
      <c r="AY870" s="33"/>
      <c r="AZ870" s="33"/>
      <c r="BA870" s="33"/>
      <c r="BB870" s="33"/>
      <c r="BC870" s="33"/>
      <c r="BD870" s="33"/>
      <c r="BE870" s="33"/>
      <c r="BF870" s="33"/>
      <c r="BG870" s="33"/>
      <c r="BH870" s="33"/>
      <c r="BI870" s="33"/>
      <c r="BJ870" s="33"/>
      <c r="BK870" s="33"/>
    </row>
    <row r="871" spans="1:63" ht="15" customHeight="1">
      <c r="A871" s="197"/>
      <c r="B871" s="197"/>
      <c r="C871" s="197"/>
      <c r="D871" s="197"/>
      <c r="E871" s="197"/>
      <c r="F871" s="197"/>
      <c r="G871" s="197"/>
      <c r="H871" s="197"/>
      <c r="I871" s="197"/>
      <c r="J871" s="197"/>
      <c r="K871" s="197"/>
      <c r="L871" s="197"/>
      <c r="M871" s="197"/>
      <c r="N871" s="197"/>
      <c r="O871" s="197"/>
      <c r="P871" s="197"/>
      <c r="Q871" s="197"/>
      <c r="R871" s="197"/>
      <c r="S871" s="197"/>
      <c r="T871" s="197"/>
      <c r="U871" s="197"/>
      <c r="V871" s="197"/>
      <c r="W871" s="197"/>
      <c r="X871" s="197"/>
      <c r="Y871" s="197"/>
      <c r="Z871" s="197"/>
      <c r="AA871" s="197"/>
      <c r="AB871" s="197"/>
      <c r="AC871" s="197"/>
      <c r="AD871" s="197"/>
      <c r="AE871" s="197"/>
      <c r="AF871" s="197"/>
      <c r="AG871" s="197"/>
      <c r="AH871" s="197"/>
      <c r="AI871" s="197"/>
      <c r="AJ871" s="201"/>
      <c r="AK871" s="33"/>
      <c r="AL871" s="33"/>
      <c r="AM871" s="33"/>
      <c r="AN871" s="33"/>
      <c r="AO871" s="33"/>
      <c r="AP871" s="33"/>
      <c r="AQ871" s="33"/>
      <c r="AR871" s="33"/>
      <c r="AS871" s="33"/>
      <c r="AT871" s="33"/>
      <c r="AU871" s="33"/>
      <c r="AV871" s="33"/>
      <c r="AW871" s="33"/>
      <c r="AX871" s="33"/>
      <c r="AY871" s="33"/>
      <c r="AZ871" s="33"/>
      <c r="BA871" s="33"/>
      <c r="BB871" s="33"/>
      <c r="BC871" s="33"/>
      <c r="BD871" s="33"/>
      <c r="BE871" s="33"/>
      <c r="BF871" s="33"/>
      <c r="BG871" s="33"/>
      <c r="BH871" s="33"/>
      <c r="BI871" s="33"/>
      <c r="BJ871" s="33"/>
      <c r="BK871" s="33"/>
    </row>
    <row r="872" spans="1:63" ht="15" customHeight="1">
      <c r="A872" s="197"/>
      <c r="B872" s="197"/>
      <c r="C872" s="197"/>
      <c r="D872" s="197"/>
      <c r="E872" s="197"/>
      <c r="F872" s="197"/>
      <c r="G872" s="197"/>
      <c r="H872" s="197"/>
      <c r="I872" s="197"/>
      <c r="J872" s="197"/>
      <c r="K872" s="197"/>
      <c r="L872" s="197"/>
      <c r="M872" s="197"/>
      <c r="N872" s="197"/>
      <c r="O872" s="197"/>
      <c r="P872" s="197"/>
      <c r="Q872" s="197"/>
      <c r="R872" s="197"/>
      <c r="S872" s="197"/>
      <c r="T872" s="197"/>
      <c r="U872" s="197"/>
      <c r="V872" s="197"/>
      <c r="W872" s="197"/>
      <c r="X872" s="197"/>
      <c r="Y872" s="197"/>
      <c r="Z872" s="197"/>
      <c r="AA872" s="197"/>
      <c r="AB872" s="197"/>
      <c r="AC872" s="197"/>
      <c r="AD872" s="197"/>
      <c r="AE872" s="197"/>
      <c r="AF872" s="197"/>
      <c r="AG872" s="197"/>
      <c r="AH872" s="197"/>
      <c r="AI872" s="197"/>
      <c r="AJ872" s="201"/>
      <c r="AK872" s="33"/>
      <c r="AL872" s="33"/>
      <c r="AM872" s="33"/>
      <c r="AN872" s="33"/>
      <c r="AO872" s="33"/>
      <c r="AP872" s="33"/>
      <c r="AQ872" s="33"/>
      <c r="AR872" s="33"/>
      <c r="AS872" s="33"/>
      <c r="AT872" s="33"/>
      <c r="AU872" s="33"/>
      <c r="AV872" s="33"/>
      <c r="AW872" s="33"/>
      <c r="AX872" s="33"/>
      <c r="AY872" s="33"/>
      <c r="AZ872" s="33"/>
      <c r="BA872" s="33"/>
      <c r="BB872" s="33"/>
      <c r="BC872" s="33"/>
      <c r="BD872" s="33"/>
      <c r="BE872" s="33"/>
      <c r="BF872" s="33"/>
      <c r="BG872" s="33"/>
      <c r="BH872" s="33"/>
      <c r="BI872" s="33"/>
      <c r="BJ872" s="33"/>
      <c r="BK872" s="33"/>
    </row>
    <row r="873" spans="1:63" ht="15" customHeight="1">
      <c r="A873" s="197"/>
      <c r="B873" s="197"/>
      <c r="C873" s="197"/>
      <c r="D873" s="197"/>
      <c r="E873" s="197"/>
      <c r="F873" s="197"/>
      <c r="G873" s="197"/>
      <c r="H873" s="197"/>
      <c r="I873" s="197"/>
      <c r="J873" s="197"/>
      <c r="K873" s="197"/>
      <c r="L873" s="197"/>
      <c r="M873" s="197"/>
      <c r="N873" s="197"/>
      <c r="O873" s="197"/>
      <c r="P873" s="197"/>
      <c r="Q873" s="197"/>
      <c r="R873" s="197"/>
      <c r="S873" s="197"/>
      <c r="T873" s="197"/>
      <c r="U873" s="197"/>
      <c r="V873" s="197"/>
      <c r="W873" s="197"/>
      <c r="X873" s="197"/>
      <c r="Y873" s="197"/>
      <c r="Z873" s="197"/>
      <c r="AA873" s="197"/>
      <c r="AB873" s="197"/>
      <c r="AC873" s="197"/>
      <c r="AD873" s="197"/>
      <c r="AE873" s="197"/>
      <c r="AF873" s="197"/>
      <c r="AG873" s="197"/>
      <c r="AH873" s="197"/>
      <c r="AI873" s="197"/>
      <c r="AJ873" s="201"/>
      <c r="AK873" s="33"/>
      <c r="AL873" s="33"/>
      <c r="AM873" s="33"/>
      <c r="AN873" s="33"/>
      <c r="AO873" s="33"/>
      <c r="AP873" s="33"/>
      <c r="AQ873" s="33"/>
      <c r="AR873" s="33"/>
      <c r="AS873" s="33"/>
      <c r="AT873" s="33"/>
      <c r="AU873" s="33"/>
      <c r="AV873" s="33"/>
      <c r="AW873" s="33"/>
      <c r="AX873" s="33"/>
      <c r="AY873" s="33"/>
      <c r="AZ873" s="33"/>
      <c r="BA873" s="33"/>
      <c r="BB873" s="33"/>
      <c r="BC873" s="33"/>
      <c r="BD873" s="33"/>
      <c r="BE873" s="33"/>
      <c r="BF873" s="33"/>
      <c r="BG873" s="33"/>
      <c r="BH873" s="33"/>
      <c r="BI873" s="33"/>
      <c r="BJ873" s="33"/>
      <c r="BK873" s="33"/>
    </row>
    <row r="874" spans="1:63" ht="15" customHeight="1">
      <c r="A874" s="197"/>
      <c r="B874" s="197"/>
      <c r="C874" s="197"/>
      <c r="D874" s="197"/>
      <c r="E874" s="197"/>
      <c r="F874" s="197"/>
      <c r="G874" s="197"/>
      <c r="H874" s="197"/>
      <c r="I874" s="197"/>
      <c r="J874" s="197"/>
      <c r="K874" s="197"/>
      <c r="L874" s="197"/>
      <c r="M874" s="197"/>
      <c r="N874" s="197"/>
      <c r="O874" s="197"/>
      <c r="P874" s="197"/>
      <c r="Q874" s="197"/>
      <c r="R874" s="197"/>
      <c r="S874" s="197"/>
      <c r="T874" s="197"/>
      <c r="U874" s="197"/>
      <c r="V874" s="197"/>
      <c r="W874" s="197"/>
      <c r="X874" s="197"/>
      <c r="Y874" s="197"/>
      <c r="Z874" s="197"/>
      <c r="AA874" s="197"/>
      <c r="AB874" s="197"/>
      <c r="AC874" s="197"/>
      <c r="AD874" s="197"/>
      <c r="AE874" s="197"/>
      <c r="AF874" s="197"/>
      <c r="AG874" s="197"/>
      <c r="AH874" s="197"/>
      <c r="AI874" s="197"/>
      <c r="AJ874" s="201"/>
      <c r="AK874" s="33"/>
      <c r="AL874" s="33"/>
      <c r="AM874" s="33"/>
      <c r="AN874" s="33"/>
      <c r="AO874" s="33"/>
      <c r="AP874" s="33"/>
      <c r="AQ874" s="33"/>
      <c r="AR874" s="33"/>
      <c r="AS874" s="33"/>
      <c r="AT874" s="33"/>
      <c r="AU874" s="33"/>
      <c r="AV874" s="33"/>
      <c r="AW874" s="33"/>
      <c r="AX874" s="33"/>
      <c r="AY874" s="33"/>
      <c r="AZ874" s="33"/>
      <c r="BA874" s="33"/>
      <c r="BB874" s="33"/>
      <c r="BC874" s="33"/>
      <c r="BD874" s="33"/>
      <c r="BE874" s="33"/>
      <c r="BF874" s="33"/>
      <c r="BG874" s="33"/>
      <c r="BH874" s="33"/>
      <c r="BI874" s="33"/>
      <c r="BJ874" s="33"/>
      <c r="BK874" s="33"/>
    </row>
    <row r="875" spans="1:63" ht="15" customHeight="1">
      <c r="A875" s="197"/>
      <c r="B875" s="197"/>
      <c r="C875" s="197"/>
      <c r="D875" s="197"/>
      <c r="E875" s="197"/>
      <c r="F875" s="197"/>
      <c r="G875" s="197"/>
      <c r="H875" s="197"/>
      <c r="I875" s="197"/>
      <c r="J875" s="197"/>
      <c r="K875" s="197"/>
      <c r="L875" s="197"/>
      <c r="M875" s="197"/>
      <c r="N875" s="197"/>
      <c r="O875" s="197"/>
      <c r="P875" s="197"/>
      <c r="Q875" s="197"/>
      <c r="R875" s="197"/>
      <c r="S875" s="197"/>
      <c r="T875" s="197"/>
      <c r="U875" s="197"/>
      <c r="V875" s="197"/>
      <c r="W875" s="197"/>
      <c r="X875" s="197"/>
      <c r="Y875" s="197"/>
      <c r="Z875" s="197"/>
      <c r="AA875" s="197"/>
      <c r="AB875" s="197"/>
      <c r="AC875" s="197"/>
      <c r="AD875" s="197"/>
      <c r="AE875" s="197"/>
      <c r="AF875" s="197"/>
      <c r="AG875" s="197"/>
      <c r="AH875" s="197"/>
      <c r="AI875" s="197"/>
      <c r="AJ875" s="201"/>
      <c r="AK875" s="33"/>
      <c r="AL875" s="33"/>
      <c r="AM875" s="33"/>
      <c r="AN875" s="33"/>
      <c r="AO875" s="33"/>
      <c r="AP875" s="33"/>
      <c r="AQ875" s="33"/>
      <c r="AR875" s="33"/>
      <c r="AS875" s="33"/>
      <c r="AT875" s="33"/>
      <c r="AU875" s="33"/>
      <c r="AV875" s="33"/>
      <c r="AW875" s="33"/>
      <c r="AX875" s="33"/>
      <c r="AY875" s="33"/>
      <c r="AZ875" s="33"/>
      <c r="BA875" s="33"/>
      <c r="BB875" s="33"/>
      <c r="BC875" s="33"/>
      <c r="BD875" s="33"/>
      <c r="BE875" s="33"/>
      <c r="BF875" s="33"/>
      <c r="BG875" s="33"/>
      <c r="BH875" s="33"/>
      <c r="BI875" s="33"/>
      <c r="BJ875" s="33"/>
      <c r="BK875" s="33"/>
    </row>
    <row r="876" spans="1:63" ht="15" customHeight="1">
      <c r="A876" s="197"/>
      <c r="B876" s="197"/>
      <c r="C876" s="197"/>
      <c r="D876" s="197"/>
      <c r="E876" s="197"/>
      <c r="F876" s="197"/>
      <c r="G876" s="197"/>
      <c r="H876" s="197"/>
      <c r="I876" s="197"/>
      <c r="J876" s="197"/>
      <c r="K876" s="197"/>
      <c r="L876" s="197"/>
      <c r="M876" s="197"/>
      <c r="N876" s="197"/>
      <c r="O876" s="197"/>
      <c r="P876" s="197"/>
      <c r="Q876" s="197"/>
      <c r="R876" s="197"/>
      <c r="S876" s="197"/>
      <c r="T876" s="197"/>
      <c r="U876" s="197"/>
      <c r="V876" s="197"/>
      <c r="W876" s="197"/>
      <c r="X876" s="197"/>
      <c r="Y876" s="197"/>
      <c r="Z876" s="197"/>
      <c r="AA876" s="197"/>
      <c r="AB876" s="197"/>
      <c r="AC876" s="197"/>
      <c r="AD876" s="197"/>
      <c r="AE876" s="197"/>
      <c r="AF876" s="197"/>
      <c r="AG876" s="197"/>
      <c r="AH876" s="197"/>
      <c r="AI876" s="197"/>
      <c r="AJ876" s="201"/>
      <c r="AK876" s="33"/>
      <c r="AL876" s="33"/>
      <c r="AM876" s="33"/>
      <c r="AN876" s="33"/>
      <c r="AO876" s="33"/>
      <c r="AP876" s="33"/>
      <c r="AQ876" s="33"/>
      <c r="AR876" s="33"/>
      <c r="AS876" s="33"/>
      <c r="AT876" s="33"/>
      <c r="AU876" s="33"/>
      <c r="AV876" s="33"/>
      <c r="AW876" s="33"/>
      <c r="AX876" s="33"/>
      <c r="AY876" s="33"/>
      <c r="AZ876" s="33"/>
      <c r="BA876" s="33"/>
      <c r="BB876" s="33"/>
      <c r="BC876" s="33"/>
      <c r="BD876" s="33"/>
      <c r="BE876" s="33"/>
      <c r="BF876" s="33"/>
      <c r="BG876" s="33"/>
      <c r="BH876" s="33"/>
      <c r="BI876" s="33"/>
      <c r="BJ876" s="33"/>
      <c r="BK876" s="33"/>
    </row>
    <row r="877" spans="1:63" ht="15" customHeight="1">
      <c r="A877" s="197"/>
      <c r="B877" s="197"/>
      <c r="C877" s="197"/>
      <c r="D877" s="197"/>
      <c r="E877" s="197"/>
      <c r="F877" s="197"/>
      <c r="G877" s="197"/>
      <c r="H877" s="197"/>
      <c r="I877" s="197"/>
      <c r="J877" s="197"/>
      <c r="K877" s="197"/>
      <c r="L877" s="197"/>
      <c r="M877" s="197"/>
      <c r="N877" s="197"/>
      <c r="O877" s="197"/>
      <c r="P877" s="197"/>
      <c r="Q877" s="197"/>
      <c r="R877" s="197"/>
      <c r="S877" s="197"/>
      <c r="T877" s="197"/>
      <c r="U877" s="197"/>
      <c r="V877" s="197"/>
      <c r="W877" s="197"/>
      <c r="X877" s="197"/>
      <c r="Y877" s="197"/>
      <c r="Z877" s="197"/>
      <c r="AA877" s="197"/>
      <c r="AB877" s="197"/>
      <c r="AC877" s="197"/>
      <c r="AD877" s="197"/>
      <c r="AE877" s="197"/>
      <c r="AF877" s="197"/>
      <c r="AG877" s="197"/>
      <c r="AH877" s="197"/>
      <c r="AI877" s="197"/>
      <c r="AJ877" s="201"/>
      <c r="AK877" s="33"/>
      <c r="AL877" s="33"/>
      <c r="AM877" s="33"/>
      <c r="AN877" s="33"/>
      <c r="AO877" s="33"/>
      <c r="AP877" s="33"/>
      <c r="AQ877" s="33"/>
      <c r="AR877" s="33"/>
      <c r="AS877" s="33"/>
      <c r="AT877" s="33"/>
      <c r="AU877" s="33"/>
      <c r="AV877" s="33"/>
      <c r="AW877" s="33"/>
      <c r="AX877" s="33"/>
      <c r="AY877" s="33"/>
      <c r="AZ877" s="33"/>
      <c r="BA877" s="33"/>
      <c r="BB877" s="33"/>
      <c r="BC877" s="33"/>
      <c r="BD877" s="33"/>
      <c r="BE877" s="33"/>
      <c r="BF877" s="33"/>
      <c r="BG877" s="33"/>
      <c r="BH877" s="33"/>
      <c r="BI877" s="33"/>
      <c r="BJ877" s="33"/>
      <c r="BK877" s="33"/>
    </row>
    <row r="878" spans="1:63" ht="15" customHeight="1">
      <c r="A878" s="197"/>
      <c r="B878" s="197"/>
      <c r="C878" s="197"/>
      <c r="D878" s="197"/>
      <c r="E878" s="197"/>
      <c r="F878" s="197"/>
      <c r="G878" s="197"/>
      <c r="H878" s="197"/>
      <c r="I878" s="197"/>
      <c r="J878" s="197"/>
      <c r="K878" s="197"/>
      <c r="L878" s="197"/>
      <c r="M878" s="197"/>
      <c r="N878" s="197"/>
      <c r="O878" s="197"/>
      <c r="P878" s="197"/>
      <c r="Q878" s="197"/>
      <c r="R878" s="197"/>
      <c r="S878" s="197"/>
      <c r="T878" s="197"/>
      <c r="U878" s="197"/>
      <c r="V878" s="197"/>
      <c r="W878" s="197"/>
      <c r="X878" s="197"/>
      <c r="Y878" s="197"/>
      <c r="Z878" s="197"/>
      <c r="AA878" s="197"/>
      <c r="AB878" s="197"/>
      <c r="AC878" s="197"/>
      <c r="AD878" s="197"/>
      <c r="AE878" s="197"/>
      <c r="AF878" s="197"/>
      <c r="AG878" s="197"/>
      <c r="AH878" s="197"/>
      <c r="AI878" s="197"/>
      <c r="AJ878" s="201"/>
      <c r="AK878" s="33"/>
      <c r="AL878" s="33"/>
      <c r="AM878" s="33"/>
      <c r="AN878" s="33"/>
      <c r="AO878" s="33"/>
      <c r="AP878" s="33"/>
      <c r="AQ878" s="33"/>
      <c r="AR878" s="33"/>
      <c r="AS878" s="33"/>
      <c r="AT878" s="33"/>
      <c r="AU878" s="33"/>
      <c r="AV878" s="33"/>
      <c r="AW878" s="33"/>
      <c r="AX878" s="33"/>
      <c r="AY878" s="33"/>
      <c r="AZ878" s="33"/>
      <c r="BA878" s="33"/>
      <c r="BB878" s="33"/>
      <c r="BC878" s="33"/>
      <c r="BD878" s="33"/>
      <c r="BE878" s="33"/>
      <c r="BF878" s="33"/>
      <c r="BG878" s="33"/>
      <c r="BH878" s="33"/>
      <c r="BI878" s="33"/>
      <c r="BJ878" s="33"/>
      <c r="BK878" s="33"/>
    </row>
    <row r="879" spans="1:63" ht="15" customHeight="1">
      <c r="A879" s="197"/>
      <c r="B879" s="197"/>
      <c r="C879" s="197"/>
      <c r="D879" s="197"/>
      <c r="E879" s="197"/>
      <c r="F879" s="197"/>
      <c r="G879" s="197"/>
      <c r="H879" s="197"/>
      <c r="I879" s="197"/>
      <c r="J879" s="197"/>
      <c r="K879" s="197"/>
      <c r="L879" s="197"/>
      <c r="M879" s="197"/>
      <c r="N879" s="197"/>
      <c r="O879" s="197"/>
      <c r="P879" s="197"/>
      <c r="Q879" s="197"/>
      <c r="R879" s="197"/>
      <c r="S879" s="197"/>
      <c r="T879" s="197"/>
      <c r="U879" s="197"/>
      <c r="V879" s="197"/>
      <c r="W879" s="197"/>
      <c r="X879" s="197"/>
      <c r="Y879" s="197"/>
      <c r="Z879" s="197"/>
      <c r="AA879" s="197"/>
      <c r="AB879" s="197"/>
      <c r="AC879" s="197"/>
      <c r="AD879" s="197"/>
      <c r="AE879" s="197"/>
      <c r="AF879" s="197"/>
      <c r="AG879" s="197"/>
      <c r="AH879" s="197"/>
      <c r="AI879" s="197"/>
      <c r="AJ879" s="201"/>
      <c r="AK879" s="33"/>
      <c r="AL879" s="33"/>
      <c r="AM879" s="33"/>
      <c r="AN879" s="33"/>
      <c r="AO879" s="33"/>
      <c r="AP879" s="33"/>
      <c r="AQ879" s="33"/>
      <c r="AR879" s="33"/>
      <c r="AS879" s="33"/>
      <c r="AT879" s="33"/>
      <c r="AU879" s="33"/>
      <c r="AV879" s="33"/>
      <c r="AW879" s="33"/>
      <c r="AX879" s="33"/>
      <c r="AY879" s="33"/>
      <c r="AZ879" s="33"/>
      <c r="BA879" s="33"/>
      <c r="BB879" s="33"/>
      <c r="BC879" s="33"/>
      <c r="BD879" s="33"/>
      <c r="BE879" s="33"/>
      <c r="BF879" s="33"/>
      <c r="BG879" s="33"/>
      <c r="BH879" s="33"/>
      <c r="BI879" s="33"/>
      <c r="BJ879" s="33"/>
      <c r="BK879" s="33"/>
    </row>
    <row r="880" spans="1:63" ht="15" customHeight="1">
      <c r="A880" s="197"/>
      <c r="B880" s="197"/>
      <c r="C880" s="197"/>
      <c r="D880" s="197"/>
      <c r="E880" s="197"/>
      <c r="F880" s="197"/>
      <c r="G880" s="197"/>
      <c r="H880" s="197"/>
      <c r="I880" s="197"/>
      <c r="J880" s="197"/>
      <c r="K880" s="197"/>
      <c r="L880" s="197"/>
      <c r="M880" s="197"/>
      <c r="N880" s="197"/>
      <c r="O880" s="197"/>
      <c r="P880" s="197"/>
      <c r="Q880" s="197"/>
      <c r="R880" s="197"/>
      <c r="S880" s="197"/>
      <c r="T880" s="197"/>
      <c r="U880" s="197"/>
      <c r="V880" s="197"/>
      <c r="W880" s="197"/>
      <c r="X880" s="197"/>
      <c r="Y880" s="197"/>
      <c r="Z880" s="197"/>
      <c r="AA880" s="197"/>
      <c r="AB880" s="197"/>
      <c r="AC880" s="197"/>
      <c r="AD880" s="197"/>
      <c r="AE880" s="197"/>
      <c r="AF880" s="197"/>
      <c r="AG880" s="197"/>
      <c r="AH880" s="197"/>
      <c r="AI880" s="197"/>
      <c r="AJ880" s="201"/>
      <c r="AK880" s="33"/>
      <c r="AL880" s="33"/>
      <c r="AM880" s="33"/>
      <c r="AN880" s="33"/>
      <c r="AO880" s="33"/>
      <c r="AP880" s="33"/>
      <c r="AQ880" s="33"/>
      <c r="AR880" s="33"/>
      <c r="AS880" s="33"/>
      <c r="AT880" s="33"/>
      <c r="AU880" s="33"/>
      <c r="AV880" s="33"/>
      <c r="AW880" s="33"/>
      <c r="AX880" s="33"/>
      <c r="AY880" s="33"/>
      <c r="AZ880" s="33"/>
      <c r="BA880" s="33"/>
      <c r="BB880" s="33"/>
      <c r="BC880" s="33"/>
      <c r="BD880" s="33"/>
      <c r="BE880" s="33"/>
      <c r="BF880" s="33"/>
      <c r="BG880" s="33"/>
      <c r="BH880" s="33"/>
      <c r="BI880" s="33"/>
      <c r="BJ880" s="33"/>
      <c r="BK880" s="33"/>
    </row>
    <row r="881" spans="1:63" ht="15" customHeight="1">
      <c r="A881" s="197"/>
      <c r="B881" s="197"/>
      <c r="C881" s="197"/>
      <c r="D881" s="197"/>
      <c r="E881" s="197"/>
      <c r="F881" s="197"/>
      <c r="G881" s="197"/>
      <c r="H881" s="197"/>
      <c r="I881" s="197"/>
      <c r="J881" s="197"/>
      <c r="K881" s="197"/>
      <c r="L881" s="197"/>
      <c r="M881" s="197"/>
      <c r="N881" s="197"/>
      <c r="O881" s="197"/>
      <c r="P881" s="197"/>
      <c r="Q881" s="197"/>
      <c r="R881" s="197"/>
      <c r="S881" s="197"/>
      <c r="T881" s="197"/>
      <c r="U881" s="197"/>
      <c r="V881" s="197"/>
      <c r="W881" s="197"/>
      <c r="X881" s="197"/>
      <c r="Y881" s="197"/>
      <c r="Z881" s="197"/>
      <c r="AA881" s="197"/>
      <c r="AB881" s="197"/>
      <c r="AC881" s="197"/>
      <c r="AD881" s="197"/>
      <c r="AE881" s="197"/>
      <c r="AF881" s="197"/>
      <c r="AG881" s="197"/>
      <c r="AH881" s="197"/>
      <c r="AI881" s="197"/>
      <c r="AJ881" s="201"/>
      <c r="AK881" s="33"/>
      <c r="AL881" s="33"/>
      <c r="AM881" s="33"/>
      <c r="AN881" s="33"/>
      <c r="AO881" s="33"/>
      <c r="AP881" s="33"/>
      <c r="AQ881" s="33"/>
      <c r="AR881" s="33"/>
      <c r="AS881" s="33"/>
      <c r="AT881" s="33"/>
      <c r="AU881" s="33"/>
      <c r="AV881" s="33"/>
      <c r="AW881" s="33"/>
      <c r="AX881" s="33"/>
      <c r="AY881" s="33"/>
      <c r="AZ881" s="33"/>
      <c r="BA881" s="33"/>
      <c r="BB881" s="33"/>
      <c r="BC881" s="33"/>
      <c r="BD881" s="33"/>
      <c r="BE881" s="33"/>
      <c r="BF881" s="33"/>
      <c r="BG881" s="33"/>
      <c r="BH881" s="33"/>
      <c r="BI881" s="33"/>
      <c r="BJ881" s="33"/>
      <c r="BK881" s="33"/>
    </row>
    <row r="882" spans="1:63" ht="15" customHeight="1">
      <c r="A882" s="197"/>
      <c r="B882" s="197"/>
      <c r="C882" s="197"/>
      <c r="D882" s="197"/>
      <c r="E882" s="197"/>
      <c r="F882" s="197"/>
      <c r="G882" s="197"/>
      <c r="H882" s="197"/>
      <c r="I882" s="197"/>
      <c r="J882" s="197"/>
      <c r="K882" s="197"/>
      <c r="L882" s="197"/>
      <c r="M882" s="197"/>
      <c r="N882" s="197"/>
      <c r="O882" s="197"/>
      <c r="P882" s="197"/>
      <c r="Q882" s="197"/>
      <c r="R882" s="197"/>
      <c r="S882" s="197"/>
      <c r="T882" s="197"/>
      <c r="U882" s="197"/>
      <c r="V882" s="197"/>
      <c r="W882" s="197"/>
      <c r="X882" s="197"/>
      <c r="Y882" s="197"/>
      <c r="Z882" s="197"/>
      <c r="AA882" s="197"/>
      <c r="AB882" s="197"/>
      <c r="AC882" s="197"/>
      <c r="AD882" s="197"/>
      <c r="AE882" s="197"/>
      <c r="AF882" s="197"/>
      <c r="AG882" s="197"/>
      <c r="AH882" s="197"/>
      <c r="AI882" s="197"/>
      <c r="AJ882" s="201"/>
      <c r="AK882" s="33"/>
      <c r="AL882" s="33"/>
      <c r="AM882" s="33"/>
      <c r="AN882" s="33"/>
      <c r="AO882" s="33"/>
      <c r="AP882" s="33"/>
      <c r="AQ882" s="33"/>
      <c r="AR882" s="33"/>
      <c r="AS882" s="33"/>
      <c r="AT882" s="33"/>
      <c r="AU882" s="33"/>
      <c r="AV882" s="33"/>
      <c r="AW882" s="33"/>
      <c r="AX882" s="33"/>
      <c r="AY882" s="33"/>
      <c r="AZ882" s="33"/>
      <c r="BA882" s="33"/>
      <c r="BB882" s="33"/>
      <c r="BC882" s="33"/>
      <c r="BD882" s="33"/>
      <c r="BE882" s="33"/>
      <c r="BF882" s="33"/>
      <c r="BG882" s="33"/>
      <c r="BH882" s="33"/>
      <c r="BI882" s="33"/>
      <c r="BJ882" s="33"/>
      <c r="BK882" s="33"/>
    </row>
    <row r="883" spans="1:63" ht="15" customHeight="1">
      <c r="A883" s="197"/>
      <c r="B883" s="197"/>
      <c r="C883" s="197"/>
      <c r="D883" s="197"/>
      <c r="E883" s="197"/>
      <c r="F883" s="197"/>
      <c r="G883" s="197"/>
      <c r="H883" s="197"/>
      <c r="I883" s="197"/>
      <c r="J883" s="197"/>
      <c r="K883" s="197"/>
      <c r="L883" s="197"/>
      <c r="M883" s="197"/>
      <c r="N883" s="197"/>
      <c r="O883" s="197"/>
      <c r="P883" s="197"/>
      <c r="Q883" s="197"/>
      <c r="R883" s="197"/>
      <c r="S883" s="197"/>
      <c r="T883" s="197"/>
      <c r="U883" s="197"/>
      <c r="V883" s="197"/>
      <c r="W883" s="197"/>
      <c r="X883" s="197"/>
      <c r="Y883" s="197"/>
      <c r="Z883" s="197"/>
      <c r="AA883" s="197"/>
      <c r="AB883" s="197"/>
      <c r="AC883" s="197"/>
      <c r="AD883" s="197"/>
      <c r="AE883" s="197"/>
      <c r="AF883" s="197"/>
      <c r="AG883" s="197"/>
      <c r="AH883" s="197"/>
      <c r="AI883" s="197"/>
      <c r="AJ883" s="201"/>
      <c r="AK883" s="33"/>
      <c r="AL883" s="33"/>
      <c r="AM883" s="33"/>
      <c r="AN883" s="33"/>
      <c r="AO883" s="33"/>
      <c r="AP883" s="33"/>
      <c r="AQ883" s="33"/>
      <c r="AR883" s="33"/>
      <c r="AS883" s="33"/>
      <c r="AT883" s="33"/>
      <c r="AU883" s="33"/>
      <c r="AV883" s="33"/>
      <c r="AW883" s="33"/>
      <c r="AX883" s="33"/>
      <c r="AY883" s="33"/>
      <c r="AZ883" s="33"/>
      <c r="BA883" s="33"/>
      <c r="BB883" s="33"/>
      <c r="BC883" s="33"/>
      <c r="BD883" s="33"/>
      <c r="BE883" s="33"/>
      <c r="BF883" s="33"/>
      <c r="BG883" s="33"/>
      <c r="BH883" s="33"/>
      <c r="BI883" s="33"/>
      <c r="BJ883" s="33"/>
      <c r="BK883" s="33"/>
    </row>
    <row r="884" spans="1:63" ht="15" customHeight="1">
      <c r="A884" s="197"/>
      <c r="B884" s="197"/>
      <c r="C884" s="197"/>
      <c r="D884" s="197"/>
      <c r="E884" s="197"/>
      <c r="F884" s="197"/>
      <c r="G884" s="197"/>
      <c r="H884" s="197"/>
      <c r="I884" s="197"/>
      <c r="J884" s="197"/>
      <c r="K884" s="197"/>
      <c r="L884" s="197"/>
      <c r="M884" s="197"/>
      <c r="N884" s="197"/>
      <c r="O884" s="197"/>
      <c r="P884" s="197"/>
      <c r="Q884" s="197"/>
      <c r="R884" s="197"/>
      <c r="S884" s="197"/>
      <c r="T884" s="197"/>
      <c r="U884" s="197"/>
      <c r="V884" s="197"/>
      <c r="W884" s="197"/>
      <c r="X884" s="197"/>
      <c r="Y884" s="197"/>
      <c r="Z884" s="197"/>
      <c r="AA884" s="197"/>
      <c r="AB884" s="197"/>
      <c r="AC884" s="197"/>
      <c r="AD884" s="197"/>
      <c r="AE884" s="197"/>
      <c r="AF884" s="197"/>
      <c r="AG884" s="197"/>
      <c r="AH884" s="197"/>
      <c r="AI884" s="197"/>
      <c r="AJ884" s="201"/>
      <c r="AK884" s="33"/>
      <c r="AL884" s="33"/>
      <c r="AM884" s="33"/>
      <c r="AN884" s="33"/>
      <c r="AO884" s="33"/>
      <c r="AP884" s="33"/>
      <c r="AQ884" s="33"/>
      <c r="AR884" s="33"/>
      <c r="AS884" s="33"/>
      <c r="AT884" s="33"/>
      <c r="AU884" s="33"/>
      <c r="AV884" s="33"/>
      <c r="AW884" s="33"/>
      <c r="AX884" s="33"/>
      <c r="AY884" s="33"/>
      <c r="AZ884" s="33"/>
      <c r="BA884" s="33"/>
      <c r="BB884" s="33"/>
      <c r="BC884" s="33"/>
      <c r="BD884" s="33"/>
      <c r="BE884" s="33"/>
      <c r="BF884" s="33"/>
      <c r="BG884" s="33"/>
      <c r="BH884" s="33"/>
      <c r="BI884" s="33"/>
      <c r="BJ884" s="33"/>
      <c r="BK884" s="33"/>
    </row>
    <row r="885" spans="1:63" ht="15" customHeight="1">
      <c r="A885" s="197"/>
      <c r="B885" s="197"/>
      <c r="C885" s="197"/>
      <c r="D885" s="197"/>
      <c r="E885" s="197"/>
      <c r="F885" s="197"/>
      <c r="G885" s="197"/>
      <c r="H885" s="197"/>
      <c r="I885" s="197"/>
      <c r="J885" s="197"/>
      <c r="K885" s="197"/>
      <c r="L885" s="197"/>
      <c r="M885" s="197"/>
      <c r="N885" s="197"/>
      <c r="O885" s="197"/>
      <c r="P885" s="197"/>
      <c r="Q885" s="197"/>
      <c r="R885" s="197"/>
      <c r="S885" s="197"/>
      <c r="T885" s="197"/>
      <c r="U885" s="197"/>
      <c r="V885" s="197"/>
      <c r="W885" s="197"/>
      <c r="X885" s="197"/>
      <c r="Y885" s="197"/>
      <c r="Z885" s="197"/>
      <c r="AA885" s="197"/>
      <c r="AB885" s="197"/>
      <c r="AC885" s="197"/>
      <c r="AD885" s="197"/>
      <c r="AE885" s="197"/>
      <c r="AF885" s="197"/>
      <c r="AG885" s="197"/>
      <c r="AH885" s="197"/>
      <c r="AI885" s="197"/>
      <c r="AJ885" s="201"/>
      <c r="AK885" s="33"/>
      <c r="AL885" s="33"/>
      <c r="AM885" s="33"/>
      <c r="AN885" s="33"/>
      <c r="AO885" s="33"/>
      <c r="AP885" s="33"/>
      <c r="AQ885" s="33"/>
      <c r="AR885" s="33"/>
      <c r="AS885" s="33"/>
      <c r="AT885" s="33"/>
      <c r="AU885" s="33"/>
      <c r="AV885" s="33"/>
      <c r="AW885" s="33"/>
      <c r="AX885" s="33"/>
      <c r="AY885" s="33"/>
      <c r="AZ885" s="33"/>
      <c r="BA885" s="33"/>
      <c r="BB885" s="33"/>
      <c r="BC885" s="33"/>
      <c r="BD885" s="33"/>
      <c r="BE885" s="33"/>
      <c r="BF885" s="33"/>
      <c r="BG885" s="33"/>
      <c r="BH885" s="33"/>
      <c r="BI885" s="33"/>
      <c r="BJ885" s="33"/>
      <c r="BK885" s="33"/>
    </row>
    <row r="886" spans="1:63" ht="15" customHeight="1">
      <c r="A886" s="197"/>
      <c r="B886" s="197"/>
      <c r="C886" s="197"/>
      <c r="D886" s="197"/>
      <c r="E886" s="197"/>
      <c r="F886" s="197"/>
      <c r="G886" s="197"/>
      <c r="H886" s="197"/>
      <c r="I886" s="197"/>
      <c r="J886" s="197"/>
      <c r="K886" s="197"/>
      <c r="L886" s="197"/>
      <c r="M886" s="197"/>
      <c r="N886" s="197"/>
      <c r="O886" s="197"/>
      <c r="P886" s="197"/>
      <c r="Q886" s="197"/>
      <c r="R886" s="197"/>
      <c r="S886" s="197"/>
      <c r="T886" s="197"/>
      <c r="U886" s="197"/>
      <c r="V886" s="197"/>
      <c r="W886" s="197"/>
      <c r="X886" s="197"/>
      <c r="Y886" s="197"/>
      <c r="Z886" s="197"/>
      <c r="AA886" s="197"/>
      <c r="AB886" s="197"/>
      <c r="AC886" s="197"/>
      <c r="AD886" s="197"/>
      <c r="AE886" s="197"/>
      <c r="AF886" s="197"/>
      <c r="AG886" s="197"/>
      <c r="AH886" s="197"/>
      <c r="AI886" s="197"/>
      <c r="AJ886" s="201"/>
      <c r="AK886" s="33"/>
      <c r="AL886" s="33"/>
      <c r="AM886" s="33"/>
      <c r="AN886" s="33"/>
      <c r="AO886" s="33"/>
      <c r="AP886" s="33"/>
      <c r="AQ886" s="33"/>
      <c r="AR886" s="33"/>
      <c r="AS886" s="33"/>
      <c r="AT886" s="33"/>
      <c r="AU886" s="33"/>
      <c r="AV886" s="33"/>
      <c r="AW886" s="33"/>
      <c r="AX886" s="33"/>
      <c r="AY886" s="33"/>
      <c r="AZ886" s="33"/>
      <c r="BA886" s="33"/>
      <c r="BB886" s="33"/>
      <c r="BC886" s="33"/>
      <c r="BD886" s="33"/>
      <c r="BE886" s="33"/>
      <c r="BF886" s="33"/>
      <c r="BG886" s="33"/>
      <c r="BH886" s="33"/>
      <c r="BI886" s="33"/>
      <c r="BJ886" s="33"/>
      <c r="BK886" s="33"/>
    </row>
    <row r="887" spans="1:63" ht="15" customHeight="1">
      <c r="A887" s="197"/>
      <c r="B887" s="197"/>
      <c r="C887" s="197"/>
      <c r="D887" s="197"/>
      <c r="E887" s="197"/>
      <c r="F887" s="197"/>
      <c r="G887" s="197"/>
      <c r="H887" s="197"/>
      <c r="I887" s="197"/>
      <c r="J887" s="197"/>
      <c r="K887" s="197"/>
      <c r="L887" s="197"/>
      <c r="M887" s="197"/>
      <c r="N887" s="197"/>
      <c r="O887" s="197"/>
      <c r="P887" s="197"/>
      <c r="Q887" s="197"/>
      <c r="R887" s="197"/>
      <c r="S887" s="197"/>
      <c r="T887" s="197"/>
      <c r="U887" s="197"/>
      <c r="V887" s="197"/>
      <c r="W887" s="197"/>
      <c r="X887" s="197"/>
      <c r="Y887" s="197"/>
      <c r="Z887" s="197"/>
      <c r="AA887" s="197"/>
      <c r="AB887" s="197"/>
      <c r="AC887" s="197"/>
      <c r="AD887" s="197"/>
      <c r="AE887" s="197"/>
      <c r="AF887" s="197"/>
      <c r="AG887" s="197"/>
      <c r="AH887" s="197"/>
      <c r="AI887" s="197"/>
      <c r="AJ887" s="201"/>
      <c r="AK887" s="33"/>
      <c r="AL887" s="33"/>
      <c r="AM887" s="33"/>
      <c r="AN887" s="33"/>
      <c r="AO887" s="33"/>
      <c r="AP887" s="33"/>
      <c r="AQ887" s="33"/>
      <c r="AR887" s="33"/>
      <c r="AS887" s="33"/>
      <c r="AT887" s="33"/>
      <c r="AU887" s="33"/>
      <c r="AV887" s="33"/>
      <c r="AW887" s="33"/>
      <c r="AX887" s="33"/>
      <c r="AY887" s="33"/>
      <c r="AZ887" s="33"/>
      <c r="BA887" s="33"/>
      <c r="BB887" s="33"/>
      <c r="BC887" s="33"/>
      <c r="BD887" s="33"/>
      <c r="BE887" s="33"/>
      <c r="BF887" s="33"/>
      <c r="BG887" s="33"/>
      <c r="BH887" s="33"/>
      <c r="BI887" s="33"/>
      <c r="BJ887" s="33"/>
      <c r="BK887" s="33"/>
    </row>
    <row r="888" spans="1:63" ht="15" customHeight="1">
      <c r="A888" s="197"/>
      <c r="B888" s="197"/>
      <c r="C888" s="197"/>
      <c r="D888" s="197"/>
      <c r="E888" s="197"/>
      <c r="F888" s="197"/>
      <c r="G888" s="197"/>
      <c r="H888" s="197"/>
      <c r="I888" s="197"/>
      <c r="J888" s="197"/>
      <c r="K888" s="197"/>
      <c r="L888" s="197"/>
      <c r="M888" s="197"/>
      <c r="N888" s="197"/>
      <c r="O888" s="197"/>
      <c r="P888" s="197"/>
      <c r="Q888" s="197"/>
      <c r="R888" s="197"/>
      <c r="S888" s="197"/>
      <c r="T888" s="197"/>
      <c r="U888" s="197"/>
      <c r="V888" s="197"/>
      <c r="W888" s="197"/>
      <c r="X888" s="197"/>
      <c r="Y888" s="197"/>
      <c r="Z888" s="197"/>
      <c r="AA888" s="197"/>
      <c r="AB888" s="197"/>
      <c r="AC888" s="197"/>
      <c r="AD888" s="197"/>
      <c r="AE888" s="197"/>
      <c r="AF888" s="197"/>
      <c r="AG888" s="197"/>
      <c r="AH888" s="197"/>
      <c r="AI888" s="197"/>
      <c r="AJ888" s="201"/>
      <c r="AK888" s="33"/>
      <c r="AL888" s="33"/>
      <c r="AM888" s="33"/>
      <c r="AN888" s="33"/>
      <c r="AO888" s="33"/>
      <c r="AP888" s="33"/>
      <c r="AQ888" s="33"/>
      <c r="AR888" s="33"/>
      <c r="AS888" s="33"/>
      <c r="AT888" s="33"/>
      <c r="AU888" s="33"/>
      <c r="AV888" s="33"/>
      <c r="AW888" s="33"/>
      <c r="AX888" s="33"/>
      <c r="AY888" s="33"/>
      <c r="AZ888" s="33"/>
      <c r="BA888" s="33"/>
      <c r="BB888" s="33"/>
      <c r="BC888" s="33"/>
      <c r="BD888" s="33"/>
      <c r="BE888" s="33"/>
      <c r="BF888" s="33"/>
      <c r="BG888" s="33"/>
      <c r="BH888" s="33"/>
      <c r="BI888" s="33"/>
      <c r="BJ888" s="33"/>
      <c r="BK888" s="33"/>
    </row>
    <row r="889" spans="1:63" ht="15" customHeight="1">
      <c r="A889" s="197"/>
      <c r="B889" s="197"/>
      <c r="C889" s="197"/>
      <c r="D889" s="197"/>
      <c r="E889" s="197"/>
      <c r="F889" s="197"/>
      <c r="G889" s="197"/>
      <c r="H889" s="197"/>
      <c r="I889" s="197"/>
      <c r="J889" s="197"/>
      <c r="K889" s="197"/>
      <c r="L889" s="197"/>
      <c r="M889" s="197"/>
      <c r="N889" s="197"/>
      <c r="O889" s="197"/>
      <c r="P889" s="197"/>
      <c r="Q889" s="197"/>
      <c r="R889" s="197"/>
      <c r="S889" s="197"/>
      <c r="T889" s="197"/>
      <c r="U889" s="197"/>
      <c r="V889" s="197"/>
      <c r="W889" s="197"/>
      <c r="X889" s="197"/>
      <c r="Y889" s="197"/>
      <c r="Z889" s="197"/>
      <c r="AA889" s="197"/>
      <c r="AB889" s="197"/>
      <c r="AC889" s="197"/>
      <c r="AD889" s="197"/>
      <c r="AE889" s="197"/>
      <c r="AF889" s="197"/>
      <c r="AG889" s="197"/>
      <c r="AH889" s="197"/>
      <c r="AI889" s="197"/>
      <c r="AJ889" s="201"/>
      <c r="AK889" s="33"/>
      <c r="AL889" s="33"/>
      <c r="AM889" s="33"/>
      <c r="AN889" s="33"/>
      <c r="AO889" s="33"/>
      <c r="AP889" s="33"/>
      <c r="AQ889" s="33"/>
      <c r="AR889" s="33"/>
      <c r="AS889" s="33"/>
      <c r="AT889" s="33"/>
      <c r="AU889" s="33"/>
      <c r="AV889" s="33"/>
      <c r="AW889" s="33"/>
      <c r="AX889" s="33"/>
      <c r="AY889" s="33"/>
      <c r="AZ889" s="33"/>
      <c r="BA889" s="33"/>
      <c r="BB889" s="33"/>
      <c r="BC889" s="33"/>
      <c r="BD889" s="33"/>
      <c r="BE889" s="33"/>
      <c r="BF889" s="33"/>
      <c r="BG889" s="33"/>
      <c r="BH889" s="33"/>
      <c r="BI889" s="33"/>
      <c r="BJ889" s="33"/>
      <c r="BK889" s="33"/>
    </row>
    <row r="890" spans="1:63" ht="15" customHeight="1">
      <c r="A890" s="197"/>
      <c r="B890" s="197"/>
      <c r="C890" s="197"/>
      <c r="D890" s="197"/>
      <c r="E890" s="197"/>
      <c r="F890" s="197"/>
      <c r="G890" s="197"/>
      <c r="H890" s="197"/>
      <c r="I890" s="197"/>
      <c r="J890" s="197"/>
      <c r="K890" s="197"/>
      <c r="L890" s="197"/>
      <c r="M890" s="197"/>
      <c r="N890" s="197"/>
      <c r="O890" s="197"/>
      <c r="P890" s="197"/>
      <c r="Q890" s="197"/>
      <c r="R890" s="197"/>
      <c r="S890" s="197"/>
      <c r="T890" s="197"/>
      <c r="U890" s="197"/>
      <c r="V890" s="197"/>
      <c r="W890" s="197"/>
      <c r="X890" s="197"/>
      <c r="Y890" s="197"/>
      <c r="Z890" s="197"/>
      <c r="AA890" s="197"/>
      <c r="AB890" s="197"/>
      <c r="AC890" s="197"/>
      <c r="AD890" s="197"/>
      <c r="AE890" s="197"/>
      <c r="AF890" s="197"/>
      <c r="AG890" s="197"/>
      <c r="AH890" s="197"/>
      <c r="AI890" s="197"/>
      <c r="AJ890" s="201"/>
      <c r="AK890" s="33"/>
      <c r="AL890" s="33"/>
      <c r="AM890" s="33"/>
      <c r="AN890" s="33"/>
      <c r="AO890" s="33"/>
      <c r="AP890" s="33"/>
      <c r="AQ890" s="33"/>
      <c r="AR890" s="33"/>
      <c r="AS890" s="33"/>
      <c r="AT890" s="33"/>
      <c r="AU890" s="33"/>
      <c r="AV890" s="33"/>
      <c r="AW890" s="33"/>
      <c r="AX890" s="33"/>
      <c r="AY890" s="33"/>
      <c r="AZ890" s="33"/>
      <c r="BA890" s="33"/>
      <c r="BB890" s="33"/>
      <c r="BC890" s="33"/>
      <c r="BD890" s="33"/>
      <c r="BE890" s="33"/>
      <c r="BF890" s="33"/>
      <c r="BG890" s="33"/>
      <c r="BH890" s="33"/>
      <c r="BI890" s="33"/>
      <c r="BJ890" s="33"/>
      <c r="BK890" s="33"/>
    </row>
    <row r="891" spans="1:63" ht="15" customHeight="1">
      <c r="A891" s="197"/>
      <c r="B891" s="197"/>
      <c r="C891" s="197"/>
      <c r="D891" s="197"/>
      <c r="E891" s="197"/>
      <c r="F891" s="197"/>
      <c r="G891" s="197"/>
      <c r="H891" s="197"/>
      <c r="I891" s="197"/>
      <c r="J891" s="197"/>
      <c r="K891" s="197"/>
      <c r="L891" s="197"/>
      <c r="M891" s="197"/>
      <c r="N891" s="197"/>
      <c r="O891" s="197"/>
      <c r="P891" s="197"/>
      <c r="Q891" s="197"/>
      <c r="R891" s="197"/>
      <c r="S891" s="197"/>
      <c r="T891" s="197"/>
      <c r="U891" s="197"/>
      <c r="V891" s="197"/>
      <c r="W891" s="197"/>
      <c r="X891" s="197"/>
      <c r="Y891" s="197"/>
      <c r="Z891" s="197"/>
      <c r="AA891" s="197"/>
      <c r="AB891" s="197"/>
      <c r="AC891" s="197"/>
      <c r="AD891" s="197"/>
      <c r="AE891" s="197"/>
      <c r="AF891" s="197"/>
      <c r="AG891" s="197"/>
      <c r="AH891" s="197"/>
      <c r="AI891" s="197"/>
      <c r="AJ891" s="201"/>
      <c r="AK891" s="33"/>
      <c r="AL891" s="33"/>
      <c r="AM891" s="33"/>
      <c r="AN891" s="33"/>
      <c r="AO891" s="33"/>
      <c r="AP891" s="33"/>
      <c r="AQ891" s="33"/>
      <c r="AR891" s="33"/>
      <c r="AS891" s="33"/>
      <c r="AT891" s="33"/>
      <c r="AU891" s="33"/>
      <c r="AV891" s="33"/>
      <c r="AW891" s="33"/>
      <c r="AX891" s="33"/>
      <c r="AY891" s="33"/>
      <c r="AZ891" s="33"/>
      <c r="BA891" s="33"/>
      <c r="BB891" s="33"/>
      <c r="BC891" s="33"/>
      <c r="BD891" s="33"/>
      <c r="BE891" s="33"/>
      <c r="BF891" s="33"/>
      <c r="BG891" s="33"/>
      <c r="BH891" s="33"/>
      <c r="BI891" s="33"/>
      <c r="BJ891" s="33"/>
      <c r="BK891" s="33"/>
    </row>
    <row r="892" spans="1:63" ht="15" customHeight="1">
      <c r="A892" s="197"/>
      <c r="B892" s="197"/>
      <c r="C892" s="197"/>
      <c r="D892" s="197"/>
      <c r="E892" s="197"/>
      <c r="F892" s="197"/>
      <c r="G892" s="197"/>
      <c r="H892" s="197"/>
      <c r="I892" s="197"/>
      <c r="J892" s="197"/>
      <c r="K892" s="197"/>
      <c r="L892" s="197"/>
      <c r="M892" s="197"/>
      <c r="N892" s="197"/>
      <c r="O892" s="197"/>
      <c r="P892" s="197"/>
      <c r="Q892" s="197"/>
      <c r="R892" s="197"/>
      <c r="S892" s="197"/>
      <c r="T892" s="197"/>
      <c r="U892" s="197"/>
      <c r="V892" s="197"/>
      <c r="W892" s="197"/>
      <c r="X892" s="197"/>
      <c r="Y892" s="197"/>
      <c r="Z892" s="197"/>
      <c r="AA892" s="197"/>
      <c r="AB892" s="197"/>
      <c r="AC892" s="197"/>
      <c r="AD892" s="197"/>
      <c r="AE892" s="197"/>
      <c r="AF892" s="197"/>
      <c r="AG892" s="197"/>
      <c r="AH892" s="197"/>
      <c r="AI892" s="197"/>
      <c r="AJ892" s="201"/>
      <c r="AK892" s="33"/>
      <c r="AL892" s="33"/>
      <c r="AM892" s="33"/>
      <c r="AN892" s="33"/>
      <c r="AO892" s="33"/>
      <c r="AP892" s="33"/>
      <c r="AQ892" s="33"/>
      <c r="AR892" s="33"/>
      <c r="AS892" s="33"/>
      <c r="AT892" s="33"/>
      <c r="AU892" s="33"/>
      <c r="AV892" s="33"/>
      <c r="AW892" s="33"/>
      <c r="AX892" s="33"/>
      <c r="AY892" s="33"/>
      <c r="AZ892" s="33"/>
      <c r="BA892" s="33"/>
      <c r="BB892" s="33"/>
      <c r="BC892" s="33"/>
      <c r="BD892" s="33"/>
      <c r="BE892" s="33"/>
      <c r="BF892" s="33"/>
      <c r="BG892" s="33"/>
      <c r="BH892" s="33"/>
      <c r="BI892" s="33"/>
      <c r="BJ892" s="33"/>
      <c r="BK892" s="33"/>
    </row>
    <row r="893" spans="1:63" ht="15" customHeight="1">
      <c r="A893" s="197"/>
      <c r="B893" s="197"/>
      <c r="C893" s="197"/>
      <c r="D893" s="197"/>
      <c r="E893" s="197"/>
      <c r="F893" s="197"/>
      <c r="G893" s="197"/>
      <c r="H893" s="197"/>
      <c r="I893" s="197"/>
      <c r="J893" s="197"/>
      <c r="K893" s="197"/>
      <c r="L893" s="197"/>
      <c r="M893" s="197"/>
      <c r="N893" s="197"/>
      <c r="O893" s="197"/>
      <c r="P893" s="197"/>
      <c r="Q893" s="197"/>
      <c r="R893" s="197"/>
      <c r="S893" s="197"/>
      <c r="T893" s="197"/>
      <c r="U893" s="197"/>
      <c r="V893" s="197"/>
      <c r="W893" s="197"/>
      <c r="X893" s="197"/>
      <c r="Y893" s="197"/>
      <c r="Z893" s="197"/>
      <c r="AA893" s="197"/>
      <c r="AB893" s="197"/>
      <c r="AC893" s="197"/>
      <c r="AD893" s="197"/>
      <c r="AE893" s="197"/>
      <c r="AF893" s="197"/>
      <c r="AG893" s="197"/>
      <c r="AH893" s="197"/>
      <c r="AI893" s="197"/>
      <c r="AJ893" s="201"/>
      <c r="AK893" s="33"/>
      <c r="AL893" s="33"/>
      <c r="AM893" s="33"/>
      <c r="AN893" s="33"/>
      <c r="AO893" s="33"/>
      <c r="AP893" s="33"/>
      <c r="AQ893" s="33"/>
      <c r="AR893" s="33"/>
      <c r="AS893" s="33"/>
      <c r="AT893" s="33"/>
      <c r="AU893" s="33"/>
      <c r="AV893" s="33"/>
      <c r="AW893" s="33"/>
      <c r="AX893" s="33"/>
      <c r="AY893" s="33"/>
      <c r="AZ893" s="33"/>
      <c r="BA893" s="33"/>
      <c r="BB893" s="33"/>
      <c r="BC893" s="33"/>
      <c r="BD893" s="33"/>
      <c r="BE893" s="33"/>
      <c r="BF893" s="33"/>
      <c r="BG893" s="33"/>
      <c r="BH893" s="33"/>
      <c r="BI893" s="33"/>
      <c r="BJ893" s="33"/>
      <c r="BK893" s="33"/>
    </row>
    <row r="894" spans="1:63" ht="15" customHeight="1">
      <c r="A894" s="197"/>
      <c r="B894" s="197"/>
      <c r="C894" s="197"/>
      <c r="D894" s="197"/>
      <c r="E894" s="197"/>
      <c r="F894" s="197"/>
      <c r="G894" s="197"/>
      <c r="H894" s="197"/>
      <c r="I894" s="197"/>
      <c r="J894" s="197"/>
      <c r="K894" s="197"/>
      <c r="L894" s="197"/>
      <c r="M894" s="197"/>
      <c r="N894" s="197"/>
      <c r="O894" s="197"/>
      <c r="P894" s="197"/>
      <c r="Q894" s="197"/>
      <c r="R894" s="197"/>
      <c r="S894" s="197"/>
      <c r="T894" s="197"/>
      <c r="U894" s="197"/>
      <c r="V894" s="197"/>
      <c r="W894" s="197"/>
      <c r="X894" s="197"/>
      <c r="Y894" s="197"/>
      <c r="Z894" s="197"/>
      <c r="AA894" s="197"/>
      <c r="AB894" s="197"/>
      <c r="AC894" s="197"/>
      <c r="AD894" s="197"/>
      <c r="AE894" s="197"/>
      <c r="AF894" s="197"/>
      <c r="AG894" s="197"/>
      <c r="AH894" s="197"/>
      <c r="AI894" s="197"/>
      <c r="AJ894" s="201"/>
      <c r="AK894" s="33"/>
      <c r="AL894" s="33"/>
      <c r="AM894" s="33"/>
      <c r="AN894" s="33"/>
      <c r="AO894" s="33"/>
      <c r="AP894" s="33"/>
      <c r="AQ894" s="33"/>
      <c r="AR894" s="33"/>
      <c r="AS894" s="33"/>
      <c r="AT894" s="33"/>
      <c r="AU894" s="33"/>
      <c r="AV894" s="33"/>
      <c r="AW894" s="33"/>
      <c r="AX894" s="33"/>
      <c r="AY894" s="33"/>
      <c r="AZ894" s="33"/>
      <c r="BA894" s="33"/>
      <c r="BB894" s="33"/>
      <c r="BC894" s="33"/>
      <c r="BD894" s="33"/>
      <c r="BE894" s="33"/>
      <c r="BF894" s="33"/>
      <c r="BG894" s="33"/>
      <c r="BH894" s="33"/>
      <c r="BI894" s="33"/>
      <c r="BJ894" s="33"/>
      <c r="BK894" s="33"/>
    </row>
    <row r="895" spans="1:63" ht="15" customHeight="1">
      <c r="A895" s="197"/>
      <c r="B895" s="197"/>
      <c r="C895" s="197"/>
      <c r="D895" s="197"/>
      <c r="E895" s="197"/>
      <c r="F895" s="197"/>
      <c r="G895" s="197"/>
      <c r="H895" s="197"/>
      <c r="I895" s="197"/>
      <c r="J895" s="197"/>
      <c r="K895" s="197"/>
      <c r="L895" s="197"/>
      <c r="M895" s="197"/>
      <c r="N895" s="197"/>
      <c r="O895" s="197"/>
      <c r="P895" s="197"/>
      <c r="Q895" s="197"/>
      <c r="R895" s="197"/>
      <c r="S895" s="197"/>
      <c r="T895" s="197"/>
      <c r="U895" s="197"/>
      <c r="V895" s="197"/>
      <c r="W895" s="197"/>
      <c r="X895" s="197"/>
      <c r="Y895" s="197"/>
      <c r="Z895" s="197"/>
      <c r="AA895" s="197"/>
      <c r="AB895" s="197"/>
      <c r="AC895" s="197"/>
      <c r="AD895" s="197"/>
      <c r="AE895" s="197"/>
      <c r="AF895" s="197"/>
      <c r="AG895" s="197"/>
      <c r="AH895" s="197"/>
      <c r="AI895" s="197"/>
      <c r="AJ895" s="201"/>
      <c r="AK895" s="33"/>
      <c r="AL895" s="33"/>
      <c r="AM895" s="33"/>
      <c r="AN895" s="33"/>
      <c r="AO895" s="33"/>
      <c r="AP895" s="33"/>
      <c r="AQ895" s="33"/>
      <c r="AR895" s="33"/>
      <c r="AS895" s="33"/>
      <c r="AT895" s="33"/>
      <c r="AU895" s="33"/>
      <c r="AV895" s="33"/>
      <c r="AW895" s="33"/>
      <c r="AX895" s="33"/>
      <c r="AY895" s="33"/>
      <c r="AZ895" s="33"/>
      <c r="BA895" s="33"/>
      <c r="BB895" s="33"/>
      <c r="BC895" s="33"/>
      <c r="BD895" s="33"/>
      <c r="BE895" s="33"/>
      <c r="BF895" s="33"/>
      <c r="BG895" s="33"/>
      <c r="BH895" s="33"/>
      <c r="BI895" s="33"/>
      <c r="BJ895" s="33"/>
      <c r="BK895" s="33"/>
    </row>
    <row r="896" spans="1:63" ht="15" customHeight="1">
      <c r="A896" s="197"/>
      <c r="B896" s="197"/>
      <c r="C896" s="197"/>
      <c r="D896" s="197"/>
      <c r="E896" s="197"/>
      <c r="F896" s="197"/>
      <c r="G896" s="197"/>
      <c r="H896" s="197"/>
      <c r="I896" s="197"/>
      <c r="J896" s="197"/>
      <c r="K896" s="197"/>
      <c r="L896" s="197"/>
      <c r="M896" s="197"/>
      <c r="N896" s="197"/>
      <c r="O896" s="197"/>
      <c r="P896" s="197"/>
      <c r="Q896" s="197"/>
      <c r="R896" s="197"/>
      <c r="S896" s="197"/>
      <c r="T896" s="197"/>
      <c r="U896" s="197"/>
      <c r="V896" s="197"/>
      <c r="W896" s="197"/>
      <c r="X896" s="197"/>
      <c r="Y896" s="197"/>
      <c r="Z896" s="197"/>
      <c r="AA896" s="197"/>
      <c r="AB896" s="197"/>
      <c r="AC896" s="197"/>
      <c r="AD896" s="197"/>
      <c r="AE896" s="197"/>
      <c r="AF896" s="197"/>
      <c r="AG896" s="197"/>
      <c r="AH896" s="197"/>
      <c r="AI896" s="197"/>
      <c r="AJ896" s="201"/>
      <c r="AK896" s="33"/>
      <c r="AL896" s="33"/>
      <c r="AM896" s="33"/>
      <c r="AN896" s="33"/>
      <c r="AO896" s="33"/>
      <c r="AP896" s="33"/>
      <c r="AQ896" s="33"/>
      <c r="AR896" s="33"/>
      <c r="AS896" s="33"/>
      <c r="AT896" s="33"/>
      <c r="AU896" s="33"/>
      <c r="AV896" s="33"/>
      <c r="AW896" s="33"/>
      <c r="AX896" s="33"/>
      <c r="AY896" s="33"/>
      <c r="AZ896" s="33"/>
      <c r="BA896" s="33"/>
      <c r="BB896" s="33"/>
      <c r="BC896" s="33"/>
      <c r="BD896" s="33"/>
      <c r="BE896" s="33"/>
      <c r="BF896" s="33"/>
      <c r="BG896" s="33"/>
      <c r="BH896" s="33"/>
      <c r="BI896" s="33"/>
      <c r="BJ896" s="33"/>
      <c r="BK896" s="33"/>
    </row>
    <row r="897" spans="1:63" ht="15" customHeight="1">
      <c r="A897" s="197"/>
      <c r="B897" s="197"/>
      <c r="C897" s="197"/>
      <c r="D897" s="197"/>
      <c r="E897" s="197"/>
      <c r="F897" s="197"/>
      <c r="G897" s="197"/>
      <c r="H897" s="197"/>
      <c r="I897" s="197"/>
      <c r="J897" s="197"/>
      <c r="K897" s="197"/>
      <c r="L897" s="197"/>
      <c r="M897" s="197"/>
      <c r="N897" s="197"/>
      <c r="O897" s="197"/>
      <c r="P897" s="197"/>
      <c r="Q897" s="197"/>
      <c r="R897" s="197"/>
      <c r="S897" s="197"/>
      <c r="T897" s="197"/>
      <c r="U897" s="197"/>
      <c r="V897" s="197"/>
      <c r="W897" s="197"/>
      <c r="X897" s="197"/>
      <c r="Y897" s="197"/>
      <c r="Z897" s="197"/>
      <c r="AA897" s="197"/>
      <c r="AB897" s="197"/>
      <c r="AC897" s="197"/>
      <c r="AD897" s="197"/>
      <c r="AE897" s="197"/>
      <c r="AF897" s="197"/>
      <c r="AG897" s="197"/>
      <c r="AH897" s="197"/>
      <c r="AI897" s="197"/>
      <c r="AJ897" s="201"/>
      <c r="AK897" s="33"/>
      <c r="AL897" s="33"/>
      <c r="AM897" s="33"/>
      <c r="AN897" s="33"/>
      <c r="AO897" s="33"/>
      <c r="AP897" s="33"/>
      <c r="AQ897" s="33"/>
      <c r="AR897" s="33"/>
      <c r="AS897" s="33"/>
      <c r="AT897" s="33"/>
      <c r="AU897" s="33"/>
      <c r="AV897" s="33"/>
      <c r="AW897" s="33"/>
      <c r="AX897" s="33"/>
      <c r="AY897" s="33"/>
      <c r="AZ897" s="33"/>
      <c r="BA897" s="33"/>
      <c r="BB897" s="33"/>
      <c r="BC897" s="33"/>
      <c r="BD897" s="33"/>
      <c r="BE897" s="33"/>
      <c r="BF897" s="33"/>
      <c r="BG897" s="33"/>
      <c r="BH897" s="33"/>
      <c r="BI897" s="33"/>
      <c r="BJ897" s="33"/>
      <c r="BK897" s="33"/>
    </row>
    <row r="898" spans="1:63" ht="15" customHeight="1">
      <c r="A898" s="197"/>
      <c r="B898" s="197"/>
      <c r="C898" s="197"/>
      <c r="D898" s="197"/>
      <c r="E898" s="197"/>
      <c r="F898" s="197"/>
      <c r="G898" s="197"/>
      <c r="H898" s="197"/>
      <c r="I898" s="197"/>
      <c r="J898" s="197"/>
      <c r="K898" s="197"/>
      <c r="L898" s="197"/>
      <c r="M898" s="197"/>
      <c r="N898" s="197"/>
      <c r="O898" s="197"/>
      <c r="P898" s="197"/>
      <c r="Q898" s="197"/>
      <c r="R898" s="197"/>
      <c r="S898" s="197"/>
      <c r="T898" s="197"/>
      <c r="U898" s="197"/>
      <c r="V898" s="197"/>
      <c r="W898" s="197"/>
      <c r="X898" s="197"/>
      <c r="Y898" s="197"/>
      <c r="Z898" s="197"/>
      <c r="AA898" s="197"/>
      <c r="AB898" s="197"/>
      <c r="AC898" s="197"/>
      <c r="AD898" s="197"/>
      <c r="AE898" s="197"/>
      <c r="AF898" s="197"/>
      <c r="AG898" s="197"/>
      <c r="AH898" s="197"/>
      <c r="AI898" s="197"/>
      <c r="AJ898" s="201"/>
      <c r="AK898" s="33"/>
      <c r="AL898" s="33"/>
      <c r="AM898" s="33"/>
      <c r="AN898" s="33"/>
      <c r="AO898" s="33"/>
      <c r="AP898" s="33"/>
      <c r="AQ898" s="33"/>
      <c r="AR898" s="33"/>
      <c r="AS898" s="33"/>
      <c r="AT898" s="33"/>
      <c r="AU898" s="33"/>
      <c r="AV898" s="33"/>
      <c r="AW898" s="33"/>
      <c r="AX898" s="33"/>
      <c r="AY898" s="33"/>
      <c r="AZ898" s="33"/>
      <c r="BA898" s="33"/>
      <c r="BB898" s="33"/>
      <c r="BC898" s="33"/>
      <c r="BD898" s="33"/>
      <c r="BE898" s="33"/>
      <c r="BF898" s="33"/>
      <c r="BG898" s="33"/>
      <c r="BH898" s="33"/>
      <c r="BI898" s="33"/>
      <c r="BJ898" s="33"/>
      <c r="BK898" s="33"/>
    </row>
    <row r="899" spans="1:63" ht="15" customHeight="1">
      <c r="A899" s="197"/>
      <c r="B899" s="197"/>
      <c r="C899" s="197"/>
      <c r="D899" s="197"/>
      <c r="E899" s="197"/>
      <c r="F899" s="197"/>
      <c r="G899" s="197"/>
      <c r="H899" s="197"/>
      <c r="I899" s="197"/>
      <c r="J899" s="197"/>
      <c r="K899" s="197"/>
      <c r="L899" s="197"/>
      <c r="M899" s="197"/>
      <c r="N899" s="197"/>
      <c r="O899" s="197"/>
      <c r="P899" s="197"/>
      <c r="Q899" s="197"/>
      <c r="R899" s="197"/>
      <c r="S899" s="197"/>
      <c r="T899" s="197"/>
      <c r="U899" s="197"/>
      <c r="V899" s="197"/>
      <c r="W899" s="197"/>
      <c r="X899" s="197"/>
      <c r="Y899" s="197"/>
      <c r="Z899" s="197"/>
      <c r="AA899" s="197"/>
      <c r="AB899" s="197"/>
      <c r="AC899" s="197"/>
      <c r="AD899" s="197"/>
      <c r="AE899" s="197"/>
      <c r="AF899" s="197"/>
      <c r="AG899" s="197"/>
      <c r="AH899" s="197"/>
      <c r="AI899" s="197"/>
      <c r="AJ899" s="201"/>
      <c r="AK899" s="33"/>
      <c r="AL899" s="33"/>
      <c r="AM899" s="33"/>
      <c r="AN899" s="33"/>
      <c r="AO899" s="33"/>
      <c r="AP899" s="33"/>
      <c r="AQ899" s="33"/>
      <c r="AR899" s="33"/>
      <c r="AS899" s="33"/>
      <c r="AT899" s="33"/>
      <c r="AU899" s="33"/>
      <c r="AV899" s="33"/>
      <c r="AW899" s="33"/>
      <c r="AX899" s="33"/>
      <c r="AY899" s="33"/>
      <c r="AZ899" s="33"/>
      <c r="BA899" s="33"/>
      <c r="BB899" s="33"/>
      <c r="BC899" s="33"/>
      <c r="BD899" s="33"/>
      <c r="BE899" s="33"/>
      <c r="BF899" s="33"/>
      <c r="BG899" s="33"/>
      <c r="BH899" s="33"/>
      <c r="BI899" s="33"/>
      <c r="BJ899" s="33"/>
      <c r="BK899" s="33"/>
    </row>
    <row r="900" spans="1:63" ht="15" customHeight="1">
      <c r="A900" s="197"/>
      <c r="B900" s="197"/>
      <c r="C900" s="197"/>
      <c r="D900" s="197"/>
      <c r="E900" s="197"/>
      <c r="F900" s="197"/>
      <c r="G900" s="197"/>
      <c r="H900" s="197"/>
      <c r="I900" s="197"/>
      <c r="J900" s="197"/>
      <c r="K900" s="197"/>
      <c r="L900" s="197"/>
      <c r="M900" s="197"/>
      <c r="N900" s="197"/>
      <c r="O900" s="197"/>
      <c r="P900" s="197"/>
      <c r="Q900" s="197"/>
      <c r="R900" s="197"/>
      <c r="S900" s="197"/>
      <c r="T900" s="197"/>
      <c r="U900" s="197"/>
      <c r="V900" s="197"/>
      <c r="W900" s="197"/>
      <c r="X900" s="197"/>
      <c r="Y900" s="197"/>
      <c r="Z900" s="197"/>
      <c r="AA900" s="197"/>
      <c r="AB900" s="197"/>
      <c r="AC900" s="197"/>
      <c r="AD900" s="197"/>
      <c r="AE900" s="197"/>
      <c r="AF900" s="197"/>
      <c r="AG900" s="197"/>
      <c r="AH900" s="197"/>
      <c r="AI900" s="197"/>
      <c r="AJ900" s="201"/>
      <c r="AK900" s="33"/>
      <c r="AL900" s="33"/>
      <c r="AM900" s="33"/>
      <c r="AN900" s="33"/>
      <c r="AO900" s="33"/>
      <c r="AP900" s="33"/>
      <c r="AQ900" s="33"/>
      <c r="AR900" s="33"/>
      <c r="AS900" s="33"/>
      <c r="AT900" s="33"/>
      <c r="AU900" s="33"/>
      <c r="AV900" s="33"/>
      <c r="AW900" s="33"/>
      <c r="AX900" s="33"/>
      <c r="AY900" s="33"/>
      <c r="AZ900" s="33"/>
      <c r="BA900" s="33"/>
      <c r="BB900" s="33"/>
      <c r="BC900" s="33"/>
      <c r="BD900" s="33"/>
      <c r="BE900" s="33"/>
      <c r="BF900" s="33"/>
      <c r="BG900" s="33"/>
      <c r="BH900" s="33"/>
      <c r="BI900" s="33"/>
      <c r="BJ900" s="33"/>
      <c r="BK900" s="33"/>
    </row>
    <row r="901" spans="1:63" ht="15" customHeight="1">
      <c r="A901" s="197"/>
      <c r="B901" s="197"/>
      <c r="C901" s="197"/>
      <c r="D901" s="197"/>
      <c r="E901" s="197"/>
      <c r="F901" s="197"/>
      <c r="G901" s="197"/>
      <c r="H901" s="197"/>
      <c r="I901" s="197"/>
      <c r="J901" s="197"/>
      <c r="K901" s="197"/>
      <c r="L901" s="197"/>
      <c r="M901" s="197"/>
      <c r="N901" s="197"/>
      <c r="O901" s="197"/>
      <c r="P901" s="197"/>
      <c r="Q901" s="197"/>
      <c r="R901" s="197"/>
      <c r="S901" s="197"/>
      <c r="T901" s="197"/>
      <c r="U901" s="197"/>
      <c r="V901" s="197"/>
      <c r="W901" s="197"/>
      <c r="X901" s="197"/>
      <c r="Y901" s="197"/>
      <c r="Z901" s="197"/>
      <c r="AA901" s="197"/>
      <c r="AB901" s="197"/>
      <c r="AC901" s="197"/>
      <c r="AD901" s="197"/>
      <c r="AE901" s="197"/>
      <c r="AF901" s="197"/>
      <c r="AG901" s="197"/>
      <c r="AH901" s="197"/>
      <c r="AI901" s="197"/>
      <c r="AJ901" s="201"/>
      <c r="AK901" s="33"/>
      <c r="AL901" s="33"/>
      <c r="AM901" s="33"/>
      <c r="AN901" s="33"/>
      <c r="AO901" s="33"/>
      <c r="AP901" s="33"/>
      <c r="AQ901" s="33"/>
      <c r="AR901" s="33"/>
      <c r="AS901" s="33"/>
      <c r="AT901" s="33"/>
      <c r="AU901" s="33"/>
      <c r="AV901" s="33"/>
      <c r="AW901" s="33"/>
      <c r="AX901" s="33"/>
      <c r="AY901" s="33"/>
      <c r="AZ901" s="33"/>
      <c r="BA901" s="33"/>
      <c r="BB901" s="33"/>
      <c r="BC901" s="33"/>
      <c r="BD901" s="33"/>
      <c r="BE901" s="33"/>
      <c r="BF901" s="33"/>
      <c r="BG901" s="33"/>
      <c r="BH901" s="33"/>
      <c r="BI901" s="33"/>
      <c r="BJ901" s="33"/>
      <c r="BK901" s="33"/>
    </row>
    <row r="902" spans="1:63" ht="15" customHeight="1">
      <c r="A902" s="197"/>
      <c r="B902" s="197"/>
      <c r="C902" s="197"/>
      <c r="D902" s="197"/>
      <c r="E902" s="197"/>
      <c r="F902" s="197"/>
      <c r="G902" s="197"/>
      <c r="H902" s="197"/>
      <c r="I902" s="197"/>
      <c r="J902" s="197"/>
      <c r="K902" s="197"/>
      <c r="L902" s="197"/>
      <c r="M902" s="197"/>
      <c r="N902" s="197"/>
      <c r="O902" s="197"/>
      <c r="P902" s="197"/>
      <c r="Q902" s="197"/>
      <c r="R902" s="197"/>
      <c r="S902" s="197"/>
      <c r="T902" s="197"/>
      <c r="U902" s="197"/>
      <c r="V902" s="197"/>
      <c r="W902" s="197"/>
      <c r="X902" s="197"/>
      <c r="Y902" s="197"/>
      <c r="Z902" s="197"/>
      <c r="AA902" s="197"/>
      <c r="AB902" s="197"/>
      <c r="AC902" s="197"/>
      <c r="AD902" s="197"/>
      <c r="AE902" s="197"/>
      <c r="AF902" s="197"/>
      <c r="AG902" s="197"/>
      <c r="AH902" s="197"/>
      <c r="AI902" s="197"/>
      <c r="AJ902" s="201"/>
      <c r="AK902" s="33"/>
      <c r="AL902" s="33"/>
      <c r="AM902" s="33"/>
      <c r="AN902" s="33"/>
      <c r="AO902" s="33"/>
      <c r="AP902" s="33"/>
      <c r="AQ902" s="33"/>
      <c r="AR902" s="33"/>
      <c r="AS902" s="33"/>
      <c r="AT902" s="33"/>
      <c r="AU902" s="33"/>
      <c r="AV902" s="33"/>
      <c r="AW902" s="33"/>
      <c r="AX902" s="33"/>
      <c r="AY902" s="33"/>
      <c r="AZ902" s="33"/>
      <c r="BA902" s="33"/>
      <c r="BB902" s="33"/>
      <c r="BC902" s="33"/>
      <c r="BD902" s="33"/>
      <c r="BE902" s="33"/>
      <c r="BF902" s="33"/>
      <c r="BG902" s="33"/>
      <c r="BH902" s="33"/>
      <c r="BI902" s="33"/>
      <c r="BJ902" s="33"/>
      <c r="BK902" s="33"/>
    </row>
    <row r="903" spans="1:63" ht="15" customHeight="1">
      <c r="A903" s="197"/>
      <c r="B903" s="197"/>
      <c r="C903" s="197"/>
      <c r="D903" s="197"/>
      <c r="E903" s="197"/>
      <c r="F903" s="197"/>
      <c r="G903" s="197"/>
      <c r="H903" s="197"/>
      <c r="I903" s="197"/>
      <c r="J903" s="197"/>
      <c r="K903" s="197"/>
      <c r="L903" s="197"/>
      <c r="M903" s="197"/>
      <c r="N903" s="197"/>
      <c r="O903" s="197"/>
      <c r="P903" s="197"/>
      <c r="Q903" s="197"/>
      <c r="R903" s="197"/>
      <c r="S903" s="197"/>
      <c r="T903" s="197"/>
      <c r="U903" s="197"/>
      <c r="V903" s="197"/>
      <c r="W903" s="197"/>
      <c r="X903" s="197"/>
      <c r="Y903" s="197"/>
      <c r="Z903" s="197"/>
      <c r="AA903" s="197"/>
      <c r="AB903" s="197"/>
      <c r="AC903" s="197"/>
      <c r="AD903" s="197"/>
      <c r="AE903" s="197"/>
      <c r="AF903" s="197"/>
      <c r="AG903" s="197"/>
      <c r="AH903" s="197"/>
      <c r="AI903" s="197"/>
      <c r="AJ903" s="201"/>
      <c r="AK903" s="33"/>
      <c r="AL903" s="33"/>
      <c r="AM903" s="33"/>
      <c r="AN903" s="33"/>
      <c r="AO903" s="33"/>
      <c r="AP903" s="33"/>
      <c r="AQ903" s="33"/>
      <c r="AR903" s="33"/>
      <c r="AS903" s="33"/>
      <c r="AT903" s="33"/>
      <c r="AU903" s="33"/>
      <c r="AV903" s="33"/>
      <c r="AW903" s="33"/>
      <c r="AX903" s="33"/>
      <c r="AY903" s="33"/>
      <c r="AZ903" s="33"/>
      <c r="BA903" s="33"/>
      <c r="BB903" s="33"/>
      <c r="BC903" s="33"/>
      <c r="BD903" s="33"/>
      <c r="BE903" s="33"/>
      <c r="BF903" s="33"/>
      <c r="BG903" s="33"/>
      <c r="BH903" s="33"/>
      <c r="BI903" s="33"/>
      <c r="BJ903" s="33"/>
      <c r="BK903" s="33"/>
    </row>
    <row r="904" spans="1:63" ht="15" customHeight="1">
      <c r="A904" s="197"/>
      <c r="B904" s="197"/>
      <c r="C904" s="197"/>
      <c r="D904" s="197"/>
      <c r="E904" s="197"/>
      <c r="F904" s="197"/>
      <c r="G904" s="197"/>
      <c r="H904" s="197"/>
      <c r="I904" s="197"/>
      <c r="J904" s="197"/>
      <c r="K904" s="197"/>
      <c r="L904" s="197"/>
      <c r="M904" s="197"/>
      <c r="N904" s="197"/>
      <c r="O904" s="197"/>
      <c r="P904" s="197"/>
      <c r="Q904" s="197"/>
      <c r="R904" s="197"/>
      <c r="S904" s="197"/>
      <c r="T904" s="197"/>
      <c r="U904" s="197"/>
      <c r="V904" s="197"/>
      <c r="W904" s="197"/>
      <c r="X904" s="197"/>
      <c r="Y904" s="197"/>
      <c r="Z904" s="197"/>
      <c r="AA904" s="197"/>
      <c r="AB904" s="197"/>
      <c r="AC904" s="197"/>
      <c r="AD904" s="197"/>
      <c r="AE904" s="197"/>
      <c r="AF904" s="197"/>
      <c r="AG904" s="197"/>
      <c r="AH904" s="197"/>
      <c r="AI904" s="197"/>
      <c r="AJ904" s="201"/>
      <c r="AK904" s="33"/>
      <c r="AL904" s="33"/>
      <c r="AM904" s="33"/>
      <c r="AN904" s="33"/>
      <c r="AO904" s="33"/>
      <c r="AP904" s="33"/>
      <c r="AQ904" s="33"/>
      <c r="AR904" s="33"/>
      <c r="AS904" s="33"/>
      <c r="AT904" s="33"/>
      <c r="AU904" s="33"/>
      <c r="AV904" s="33"/>
      <c r="AW904" s="33"/>
      <c r="AX904" s="33"/>
      <c r="AY904" s="33"/>
      <c r="AZ904" s="33"/>
      <c r="BA904" s="33"/>
      <c r="BB904" s="33"/>
      <c r="BC904" s="33"/>
      <c r="BD904" s="33"/>
      <c r="BE904" s="33"/>
      <c r="BF904" s="33"/>
      <c r="BG904" s="33"/>
      <c r="BH904" s="33"/>
      <c r="BI904" s="33"/>
      <c r="BJ904" s="33"/>
      <c r="BK904" s="33"/>
    </row>
    <row r="905" spans="1:63" ht="15" customHeight="1">
      <c r="A905" s="197"/>
      <c r="B905" s="197"/>
      <c r="C905" s="197"/>
      <c r="D905" s="197"/>
      <c r="E905" s="197"/>
      <c r="F905" s="197"/>
      <c r="G905" s="197"/>
      <c r="H905" s="197"/>
      <c r="I905" s="197"/>
      <c r="J905" s="197"/>
      <c r="K905" s="197"/>
      <c r="L905" s="197"/>
      <c r="M905" s="197"/>
      <c r="N905" s="197"/>
      <c r="O905" s="197"/>
      <c r="P905" s="197"/>
      <c r="Q905" s="197"/>
      <c r="R905" s="197"/>
      <c r="S905" s="197"/>
      <c r="T905" s="197"/>
      <c r="U905" s="197"/>
      <c r="V905" s="197"/>
      <c r="W905" s="197"/>
      <c r="X905" s="197"/>
      <c r="Y905" s="197"/>
      <c r="Z905" s="197"/>
      <c r="AA905" s="197"/>
      <c r="AB905" s="197"/>
      <c r="AC905" s="197"/>
      <c r="AD905" s="197"/>
      <c r="AE905" s="197"/>
      <c r="AF905" s="197"/>
      <c r="AG905" s="197"/>
      <c r="AH905" s="197"/>
      <c r="AI905" s="197"/>
      <c r="AJ905" s="201"/>
      <c r="AK905" s="33"/>
      <c r="AL905" s="33"/>
      <c r="AM905" s="33"/>
      <c r="AN905" s="33"/>
      <c r="AO905" s="33"/>
      <c r="AP905" s="33"/>
      <c r="AQ905" s="33"/>
      <c r="AR905" s="33"/>
      <c r="AS905" s="33"/>
      <c r="AT905" s="33"/>
      <c r="AU905" s="33"/>
      <c r="AV905" s="33"/>
      <c r="AW905" s="33"/>
      <c r="AX905" s="33"/>
      <c r="AY905" s="33"/>
      <c r="AZ905" s="33"/>
      <c r="BA905" s="33"/>
      <c r="BB905" s="33"/>
      <c r="BC905" s="33"/>
      <c r="BD905" s="33"/>
      <c r="BE905" s="33"/>
      <c r="BF905" s="33"/>
      <c r="BG905" s="33"/>
      <c r="BH905" s="33"/>
      <c r="BI905" s="33"/>
      <c r="BJ905" s="33"/>
      <c r="BK905" s="33"/>
    </row>
    <row r="906" spans="1:63" ht="15" customHeight="1">
      <c r="A906" s="197"/>
      <c r="B906" s="197"/>
      <c r="C906" s="197"/>
      <c r="D906" s="197"/>
      <c r="E906" s="197"/>
      <c r="F906" s="197"/>
      <c r="G906" s="197"/>
      <c r="H906" s="197"/>
      <c r="I906" s="197"/>
      <c r="J906" s="197"/>
      <c r="K906" s="197"/>
      <c r="L906" s="197"/>
      <c r="M906" s="197"/>
      <c r="N906" s="197"/>
      <c r="O906" s="197"/>
      <c r="P906" s="197"/>
      <c r="Q906" s="197"/>
      <c r="R906" s="197"/>
      <c r="S906" s="197"/>
      <c r="T906" s="197"/>
      <c r="U906" s="197"/>
      <c r="V906" s="197"/>
      <c r="W906" s="197"/>
      <c r="X906" s="197"/>
      <c r="Y906" s="197"/>
      <c r="Z906" s="197"/>
      <c r="AA906" s="197"/>
      <c r="AB906" s="197"/>
      <c r="AC906" s="197"/>
      <c r="AD906" s="197"/>
      <c r="AE906" s="197"/>
      <c r="AF906" s="197"/>
      <c r="AG906" s="197"/>
      <c r="AH906" s="197"/>
      <c r="AI906" s="197"/>
      <c r="AJ906" s="201"/>
      <c r="AK906" s="33"/>
      <c r="AL906" s="33"/>
      <c r="AM906" s="33"/>
      <c r="AN906" s="33"/>
      <c r="AO906" s="33"/>
      <c r="AP906" s="33"/>
      <c r="AQ906" s="33"/>
      <c r="AR906" s="33"/>
      <c r="AS906" s="33"/>
      <c r="AT906" s="33"/>
      <c r="AU906" s="33"/>
      <c r="AV906" s="33"/>
      <c r="AW906" s="33"/>
      <c r="AX906" s="33"/>
      <c r="AY906" s="33"/>
      <c r="AZ906" s="33"/>
      <c r="BA906" s="33"/>
      <c r="BB906" s="33"/>
      <c r="BC906" s="33"/>
      <c r="BD906" s="33"/>
      <c r="BE906" s="33"/>
      <c r="BF906" s="33"/>
      <c r="BG906" s="33"/>
      <c r="BH906" s="33"/>
      <c r="BI906" s="33"/>
      <c r="BJ906" s="33"/>
      <c r="BK906" s="33"/>
    </row>
    <row r="907" spans="1:63" ht="15" customHeight="1">
      <c r="A907" s="197"/>
      <c r="B907" s="197"/>
      <c r="C907" s="197"/>
      <c r="D907" s="197"/>
      <c r="E907" s="197"/>
      <c r="F907" s="197"/>
      <c r="G907" s="197"/>
      <c r="H907" s="197"/>
      <c r="I907" s="197"/>
      <c r="J907" s="197"/>
      <c r="K907" s="197"/>
      <c r="L907" s="197"/>
      <c r="M907" s="197"/>
      <c r="N907" s="197"/>
      <c r="O907" s="197"/>
      <c r="P907" s="197"/>
      <c r="Q907" s="197"/>
      <c r="R907" s="197"/>
      <c r="S907" s="197"/>
      <c r="T907" s="197"/>
      <c r="U907" s="197"/>
      <c r="V907" s="197"/>
      <c r="W907" s="197"/>
      <c r="X907" s="197"/>
      <c r="Y907" s="197"/>
      <c r="Z907" s="197"/>
      <c r="AA907" s="197"/>
      <c r="AB907" s="197"/>
      <c r="AC907" s="197"/>
      <c r="AD907" s="197"/>
      <c r="AE907" s="197"/>
      <c r="AF907" s="197"/>
      <c r="AG907" s="197"/>
      <c r="AH907" s="197"/>
      <c r="AI907" s="197"/>
      <c r="AJ907" s="201"/>
      <c r="AK907" s="33"/>
      <c r="AL907" s="33"/>
      <c r="AM907" s="33"/>
      <c r="AN907" s="33"/>
      <c r="AO907" s="33"/>
      <c r="AP907" s="33"/>
      <c r="AQ907" s="33"/>
      <c r="AR907" s="33"/>
      <c r="AS907" s="33"/>
      <c r="AT907" s="33"/>
      <c r="AU907" s="33"/>
      <c r="AV907" s="33"/>
      <c r="AW907" s="33"/>
      <c r="AX907" s="33"/>
      <c r="AY907" s="33"/>
      <c r="AZ907" s="33"/>
      <c r="BA907" s="33"/>
      <c r="BB907" s="33"/>
      <c r="BC907" s="33"/>
      <c r="BD907" s="33"/>
      <c r="BE907" s="33"/>
      <c r="BF907" s="33"/>
      <c r="BG907" s="33"/>
      <c r="BH907" s="33"/>
      <c r="BI907" s="33"/>
      <c r="BJ907" s="33"/>
      <c r="BK907" s="33"/>
    </row>
    <row r="908" spans="1:63" ht="15" customHeight="1">
      <c r="A908" s="197"/>
      <c r="B908" s="197"/>
      <c r="C908" s="197"/>
      <c r="D908" s="197"/>
      <c r="E908" s="197"/>
      <c r="F908" s="197"/>
      <c r="G908" s="197"/>
      <c r="H908" s="197"/>
      <c r="I908" s="197"/>
      <c r="J908" s="197"/>
      <c r="K908" s="197"/>
      <c r="L908" s="197"/>
      <c r="M908" s="197"/>
      <c r="N908" s="197"/>
      <c r="O908" s="197"/>
      <c r="P908" s="197"/>
      <c r="Q908" s="197"/>
      <c r="R908" s="197"/>
      <c r="S908" s="197"/>
      <c r="T908" s="197"/>
      <c r="U908" s="197"/>
      <c r="V908" s="197"/>
      <c r="W908" s="197"/>
      <c r="X908" s="197"/>
      <c r="Y908" s="197"/>
      <c r="Z908" s="197"/>
      <c r="AA908" s="197"/>
      <c r="AB908" s="197"/>
      <c r="AC908" s="197"/>
      <c r="AD908" s="197"/>
      <c r="AE908" s="197"/>
      <c r="AF908" s="197"/>
      <c r="AG908" s="197"/>
      <c r="AH908" s="197"/>
      <c r="AI908" s="197"/>
      <c r="AJ908" s="201"/>
      <c r="AK908" s="33"/>
      <c r="AL908" s="33"/>
      <c r="AM908" s="33"/>
      <c r="AN908" s="33"/>
      <c r="AO908" s="33"/>
      <c r="AP908" s="33"/>
      <c r="AQ908" s="33"/>
      <c r="AR908" s="33"/>
      <c r="AS908" s="33"/>
      <c r="AT908" s="33"/>
      <c r="AU908" s="33"/>
      <c r="AV908" s="33"/>
      <c r="AW908" s="33"/>
      <c r="AX908" s="33"/>
      <c r="AY908" s="33"/>
      <c r="AZ908" s="33"/>
      <c r="BA908" s="33"/>
      <c r="BB908" s="33"/>
      <c r="BC908" s="33"/>
      <c r="BD908" s="33"/>
      <c r="BE908" s="33"/>
      <c r="BF908" s="33"/>
      <c r="BG908" s="33"/>
      <c r="BH908" s="33"/>
      <c r="BI908" s="33"/>
      <c r="BJ908" s="33"/>
      <c r="BK908" s="33"/>
    </row>
    <row r="909" spans="1:63" ht="15" customHeight="1">
      <c r="A909" s="197"/>
      <c r="B909" s="197"/>
      <c r="C909" s="197"/>
      <c r="D909" s="197"/>
      <c r="E909" s="197"/>
      <c r="F909" s="197"/>
      <c r="G909" s="197"/>
      <c r="H909" s="197"/>
      <c r="I909" s="197"/>
      <c r="J909" s="197"/>
      <c r="K909" s="197"/>
      <c r="L909" s="197"/>
      <c r="M909" s="197"/>
      <c r="N909" s="197"/>
      <c r="O909" s="197"/>
      <c r="P909" s="197"/>
      <c r="Q909" s="197"/>
      <c r="R909" s="197"/>
      <c r="S909" s="197"/>
      <c r="T909" s="197"/>
      <c r="U909" s="197"/>
      <c r="V909" s="197"/>
      <c r="W909" s="197"/>
      <c r="X909" s="197"/>
      <c r="Y909" s="197"/>
      <c r="Z909" s="197"/>
      <c r="AA909" s="197"/>
      <c r="AB909" s="197"/>
      <c r="AC909" s="197"/>
      <c r="AD909" s="197"/>
      <c r="AE909" s="197"/>
      <c r="AF909" s="197"/>
      <c r="AG909" s="197"/>
      <c r="AH909" s="197"/>
      <c r="AI909" s="197"/>
      <c r="AJ909" s="201"/>
      <c r="AK909" s="33"/>
      <c r="AL909" s="33"/>
      <c r="AM909" s="33"/>
      <c r="AN909" s="33"/>
      <c r="AO909" s="33"/>
      <c r="AP909" s="33"/>
      <c r="AQ909" s="33"/>
      <c r="AR909" s="33"/>
      <c r="AS909" s="33"/>
      <c r="AT909" s="33"/>
      <c r="AU909" s="33"/>
      <c r="AV909" s="33"/>
      <c r="AW909" s="33"/>
      <c r="AX909" s="33"/>
      <c r="AY909" s="33"/>
      <c r="AZ909" s="33"/>
      <c r="BA909" s="33"/>
      <c r="BB909" s="33"/>
      <c r="BC909" s="33"/>
      <c r="BD909" s="33"/>
      <c r="BE909" s="33"/>
      <c r="BF909" s="33"/>
      <c r="BG909" s="33"/>
      <c r="BH909" s="33"/>
      <c r="BI909" s="33"/>
      <c r="BJ909" s="33"/>
      <c r="BK909" s="33"/>
    </row>
    <row r="910" spans="1:63" ht="15" customHeight="1">
      <c r="A910" s="197"/>
      <c r="B910" s="197"/>
      <c r="C910" s="197"/>
      <c r="D910" s="197"/>
      <c r="E910" s="197"/>
      <c r="F910" s="197"/>
      <c r="G910" s="197"/>
      <c r="H910" s="197"/>
      <c r="I910" s="197"/>
      <c r="J910" s="197"/>
      <c r="K910" s="197"/>
      <c r="L910" s="197"/>
      <c r="M910" s="197"/>
      <c r="N910" s="197"/>
      <c r="O910" s="197"/>
      <c r="P910" s="197"/>
      <c r="Q910" s="197"/>
      <c r="R910" s="197"/>
      <c r="S910" s="197"/>
      <c r="T910" s="197"/>
      <c r="U910" s="197"/>
      <c r="V910" s="197"/>
      <c r="W910" s="197"/>
      <c r="X910" s="197"/>
      <c r="Y910" s="197"/>
      <c r="Z910" s="197"/>
      <c r="AA910" s="197"/>
      <c r="AB910" s="197"/>
      <c r="AC910" s="197"/>
      <c r="AD910" s="197"/>
      <c r="AE910" s="197"/>
      <c r="AF910" s="197"/>
      <c r="AG910" s="197"/>
      <c r="AH910" s="197"/>
      <c r="AI910" s="197"/>
      <c r="AJ910" s="201"/>
      <c r="AK910" s="33"/>
      <c r="AL910" s="33"/>
      <c r="AM910" s="33"/>
      <c r="AN910" s="33"/>
      <c r="AO910" s="33"/>
      <c r="AP910" s="33"/>
      <c r="AQ910" s="33"/>
      <c r="AR910" s="33"/>
      <c r="AS910" s="33"/>
      <c r="AT910" s="33"/>
      <c r="AU910" s="33"/>
      <c r="AV910" s="33"/>
      <c r="AW910" s="33"/>
      <c r="AX910" s="33"/>
      <c r="AY910" s="33"/>
      <c r="AZ910" s="33"/>
      <c r="BA910" s="33"/>
      <c r="BB910" s="33"/>
      <c r="BC910" s="33"/>
      <c r="BD910" s="33"/>
      <c r="BE910" s="33"/>
      <c r="BF910" s="33"/>
      <c r="BG910" s="33"/>
      <c r="BH910" s="33"/>
      <c r="BI910" s="33"/>
      <c r="BJ910" s="33"/>
      <c r="BK910" s="33"/>
    </row>
    <row r="911" spans="1:63" ht="15" customHeight="1">
      <c r="A911" s="197"/>
      <c r="B911" s="197"/>
      <c r="C911" s="197"/>
      <c r="D911" s="197"/>
      <c r="E911" s="197"/>
      <c r="F911" s="197"/>
      <c r="G911" s="197"/>
      <c r="H911" s="197"/>
      <c r="I911" s="197"/>
      <c r="J911" s="197"/>
      <c r="K911" s="197"/>
      <c r="L911" s="197"/>
      <c r="M911" s="197"/>
      <c r="N911" s="197"/>
      <c r="O911" s="197"/>
      <c r="P911" s="197"/>
      <c r="Q911" s="197"/>
      <c r="R911" s="197"/>
      <c r="S911" s="197"/>
      <c r="T911" s="197"/>
      <c r="U911" s="197"/>
      <c r="V911" s="197"/>
      <c r="W911" s="197"/>
      <c r="X911" s="197"/>
      <c r="Y911" s="197"/>
      <c r="Z911" s="197"/>
      <c r="AA911" s="197"/>
      <c r="AB911" s="197"/>
      <c r="AC911" s="197"/>
      <c r="AD911" s="197"/>
      <c r="AE911" s="197"/>
      <c r="AF911" s="197"/>
      <c r="AG911" s="197"/>
      <c r="AH911" s="197"/>
      <c r="AI911" s="197"/>
      <c r="AJ911" s="201"/>
      <c r="AK911" s="33"/>
      <c r="AL911" s="33"/>
      <c r="AM911" s="33"/>
      <c r="AN911" s="33"/>
      <c r="AO911" s="33"/>
      <c r="AP911" s="33"/>
      <c r="AQ911" s="33"/>
      <c r="AR911" s="33"/>
      <c r="AS911" s="33"/>
      <c r="AT911" s="33"/>
      <c r="AU911" s="33"/>
      <c r="AV911" s="33"/>
      <c r="AW911" s="33"/>
      <c r="AX911" s="33"/>
      <c r="AY911" s="33"/>
      <c r="AZ911" s="33"/>
      <c r="BA911" s="33"/>
      <c r="BB911" s="33"/>
      <c r="BC911" s="33"/>
      <c r="BD911" s="33"/>
      <c r="BE911" s="33"/>
      <c r="BF911" s="33"/>
      <c r="BG911" s="33"/>
      <c r="BH911" s="33"/>
      <c r="BI911" s="33"/>
      <c r="BJ911" s="33"/>
      <c r="BK911" s="33"/>
    </row>
    <row r="912" spans="1:63" ht="15" customHeight="1">
      <c r="A912" s="197"/>
      <c r="B912" s="197"/>
      <c r="C912" s="197"/>
      <c r="D912" s="197"/>
      <c r="E912" s="197"/>
      <c r="F912" s="197"/>
      <c r="G912" s="197"/>
      <c r="H912" s="197"/>
      <c r="I912" s="197"/>
      <c r="J912" s="197"/>
      <c r="K912" s="197"/>
      <c r="L912" s="197"/>
      <c r="M912" s="197"/>
      <c r="N912" s="197"/>
      <c r="O912" s="197"/>
      <c r="P912" s="197"/>
      <c r="Q912" s="197"/>
      <c r="R912" s="197"/>
      <c r="S912" s="197"/>
      <c r="T912" s="197"/>
      <c r="U912" s="197"/>
      <c r="V912" s="197"/>
      <c r="W912" s="197"/>
      <c r="X912" s="197"/>
      <c r="Y912" s="197"/>
      <c r="Z912" s="197"/>
      <c r="AA912" s="197"/>
      <c r="AB912" s="197"/>
      <c r="AC912" s="197"/>
      <c r="AD912" s="197"/>
      <c r="AE912" s="197"/>
      <c r="AF912" s="197"/>
      <c r="AG912" s="197"/>
      <c r="AH912" s="197"/>
      <c r="AI912" s="197"/>
      <c r="AJ912" s="201"/>
      <c r="AK912" s="33"/>
      <c r="AL912" s="33"/>
      <c r="AM912" s="33"/>
      <c r="AN912" s="33"/>
      <c r="AO912" s="33"/>
      <c r="AP912" s="33"/>
      <c r="AQ912" s="33"/>
      <c r="AR912" s="33"/>
      <c r="AS912" s="33"/>
      <c r="AT912" s="33"/>
      <c r="AU912" s="33"/>
      <c r="AV912" s="33"/>
      <c r="AW912" s="33"/>
      <c r="AX912" s="33"/>
      <c r="AY912" s="33"/>
      <c r="AZ912" s="33"/>
      <c r="BA912" s="33"/>
      <c r="BB912" s="33"/>
      <c r="BC912" s="33"/>
      <c r="BD912" s="33"/>
      <c r="BE912" s="33"/>
      <c r="BF912" s="33"/>
      <c r="BG912" s="33"/>
      <c r="BH912" s="33"/>
      <c r="BI912" s="33"/>
      <c r="BJ912" s="33"/>
      <c r="BK912" s="33"/>
    </row>
    <row r="913" spans="1:63" ht="15" customHeight="1">
      <c r="A913" s="197"/>
      <c r="B913" s="197"/>
      <c r="C913" s="197"/>
      <c r="D913" s="197"/>
      <c r="E913" s="197"/>
      <c r="F913" s="197"/>
      <c r="G913" s="197"/>
      <c r="H913" s="197"/>
      <c r="I913" s="197"/>
      <c r="J913" s="197"/>
      <c r="K913" s="197"/>
      <c r="L913" s="197"/>
      <c r="M913" s="197"/>
      <c r="N913" s="197"/>
      <c r="O913" s="197"/>
      <c r="P913" s="197"/>
      <c r="Q913" s="197"/>
      <c r="R913" s="197"/>
      <c r="S913" s="197"/>
      <c r="T913" s="197"/>
      <c r="U913" s="197"/>
      <c r="V913" s="197"/>
      <c r="W913" s="197"/>
      <c r="X913" s="197"/>
      <c r="Y913" s="197"/>
      <c r="Z913" s="197"/>
      <c r="AA913" s="197"/>
      <c r="AB913" s="197"/>
      <c r="AC913" s="197"/>
      <c r="AD913" s="197"/>
      <c r="AE913" s="197"/>
      <c r="AF913" s="197"/>
      <c r="AG913" s="197"/>
      <c r="AH913" s="197"/>
      <c r="AI913" s="197"/>
      <c r="AJ913" s="201"/>
      <c r="AK913" s="33"/>
      <c r="AL913" s="33"/>
      <c r="AM913" s="33"/>
      <c r="AN913" s="33"/>
      <c r="AO913" s="33"/>
      <c r="AP913" s="33"/>
      <c r="AQ913" s="33"/>
      <c r="AR913" s="33"/>
      <c r="AS913" s="33"/>
      <c r="AT913" s="33"/>
      <c r="AU913" s="33"/>
      <c r="AV913" s="33"/>
      <c r="AW913" s="33"/>
      <c r="AX913" s="33"/>
      <c r="AY913" s="33"/>
      <c r="AZ913" s="33"/>
      <c r="BA913" s="33"/>
      <c r="BB913" s="33"/>
      <c r="BC913" s="33"/>
      <c r="BD913" s="33"/>
      <c r="BE913" s="33"/>
      <c r="BF913" s="33"/>
      <c r="BG913" s="33"/>
      <c r="BH913" s="33"/>
      <c r="BI913" s="33"/>
      <c r="BJ913" s="33"/>
      <c r="BK913" s="33"/>
    </row>
    <row r="914" spans="1:63" ht="15" customHeight="1">
      <c r="A914" s="197"/>
      <c r="B914" s="197"/>
      <c r="C914" s="197"/>
      <c r="D914" s="197"/>
      <c r="E914" s="197"/>
      <c r="F914" s="197"/>
      <c r="G914" s="197"/>
      <c r="H914" s="197"/>
      <c r="I914" s="197"/>
      <c r="J914" s="197"/>
      <c r="K914" s="197"/>
      <c r="L914" s="197"/>
      <c r="M914" s="197"/>
      <c r="N914" s="197"/>
      <c r="O914" s="197"/>
      <c r="P914" s="197"/>
      <c r="Q914" s="197"/>
      <c r="R914" s="197"/>
      <c r="S914" s="197"/>
      <c r="T914" s="197"/>
      <c r="U914" s="197"/>
      <c r="V914" s="197"/>
      <c r="W914" s="197"/>
      <c r="X914" s="197"/>
      <c r="Y914" s="197"/>
      <c r="Z914" s="197"/>
      <c r="AA914" s="197"/>
      <c r="AB914" s="197"/>
      <c r="AC914" s="197"/>
      <c r="AD914" s="197"/>
      <c r="AE914" s="197"/>
      <c r="AF914" s="197"/>
      <c r="AG914" s="197"/>
      <c r="AH914" s="197"/>
      <c r="AI914" s="197"/>
      <c r="AJ914" s="201"/>
      <c r="AK914" s="33"/>
      <c r="AL914" s="33"/>
      <c r="AM914" s="33"/>
      <c r="AN914" s="33"/>
      <c r="AO914" s="33"/>
      <c r="AP914" s="33"/>
      <c r="AQ914" s="33"/>
      <c r="AR914" s="33"/>
      <c r="AS914" s="33"/>
      <c r="AT914" s="33"/>
      <c r="AU914" s="33"/>
      <c r="AV914" s="33"/>
      <c r="AW914" s="33"/>
      <c r="AX914" s="33"/>
      <c r="AY914" s="33"/>
      <c r="AZ914" s="33"/>
      <c r="BA914" s="33"/>
      <c r="BB914" s="33"/>
      <c r="BC914" s="33"/>
      <c r="BD914" s="33"/>
      <c r="BE914" s="33"/>
      <c r="BF914" s="33"/>
      <c r="BG914" s="33"/>
      <c r="BH914" s="33"/>
      <c r="BI914" s="33"/>
      <c r="BJ914" s="33"/>
      <c r="BK914" s="33"/>
    </row>
    <row r="915" spans="1:63" ht="15" customHeight="1">
      <c r="A915" s="197"/>
      <c r="B915" s="197"/>
      <c r="C915" s="197"/>
      <c r="D915" s="197"/>
      <c r="E915" s="197"/>
      <c r="F915" s="197"/>
      <c r="G915" s="197"/>
      <c r="H915" s="197"/>
      <c r="I915" s="197"/>
      <c r="J915" s="197"/>
      <c r="K915" s="197"/>
      <c r="L915" s="197"/>
      <c r="M915" s="197"/>
      <c r="N915" s="197"/>
      <c r="O915" s="197"/>
      <c r="P915" s="197"/>
      <c r="Q915" s="197"/>
      <c r="R915" s="197"/>
      <c r="S915" s="197"/>
      <c r="T915" s="197"/>
      <c r="U915" s="197"/>
      <c r="V915" s="197"/>
      <c r="W915" s="197"/>
      <c r="X915" s="197"/>
      <c r="Y915" s="197"/>
      <c r="Z915" s="197"/>
      <c r="AA915" s="197"/>
      <c r="AB915" s="197"/>
      <c r="AC915" s="197"/>
      <c r="AD915" s="197"/>
      <c r="AE915" s="197"/>
      <c r="AF915" s="197"/>
      <c r="AG915" s="197"/>
      <c r="AH915" s="197"/>
      <c r="AI915" s="197"/>
      <c r="AJ915" s="201"/>
      <c r="AK915" s="33"/>
      <c r="AL915" s="33"/>
      <c r="AM915" s="33"/>
      <c r="AN915" s="33"/>
      <c r="AO915" s="33"/>
      <c r="AP915" s="33"/>
      <c r="AQ915" s="33"/>
      <c r="AR915" s="33"/>
      <c r="AS915" s="33"/>
      <c r="AT915" s="33"/>
      <c r="AU915" s="33"/>
      <c r="AV915" s="33"/>
      <c r="AW915" s="33"/>
      <c r="AX915" s="33"/>
      <c r="AY915" s="33"/>
      <c r="AZ915" s="33"/>
      <c r="BA915" s="33"/>
      <c r="BB915" s="33"/>
      <c r="BC915" s="33"/>
      <c r="BD915" s="33"/>
      <c r="BE915" s="33"/>
      <c r="BF915" s="33"/>
      <c r="BG915" s="33"/>
      <c r="BH915" s="33"/>
      <c r="BI915" s="33"/>
      <c r="BJ915" s="33"/>
      <c r="BK915" s="33"/>
    </row>
    <row r="916" spans="1:63" ht="15" customHeight="1">
      <c r="A916" s="197"/>
      <c r="B916" s="197"/>
      <c r="C916" s="197"/>
      <c r="D916" s="197"/>
      <c r="E916" s="197"/>
      <c r="F916" s="197"/>
      <c r="G916" s="197"/>
      <c r="H916" s="197"/>
      <c r="I916" s="197"/>
      <c r="J916" s="197"/>
      <c r="K916" s="197"/>
      <c r="L916" s="197"/>
      <c r="M916" s="197"/>
      <c r="N916" s="197"/>
      <c r="O916" s="197"/>
      <c r="P916" s="197"/>
      <c r="Q916" s="197"/>
      <c r="R916" s="197"/>
      <c r="S916" s="197"/>
      <c r="T916" s="197"/>
      <c r="U916" s="197"/>
      <c r="V916" s="197"/>
      <c r="W916" s="197"/>
      <c r="X916" s="197"/>
      <c r="Y916" s="197"/>
      <c r="Z916" s="197"/>
      <c r="AA916" s="197"/>
      <c r="AB916" s="197"/>
      <c r="AC916" s="197"/>
      <c r="AD916" s="197"/>
      <c r="AE916" s="197"/>
      <c r="AF916" s="197"/>
      <c r="AG916" s="197"/>
      <c r="AH916" s="197"/>
      <c r="AI916" s="197"/>
      <c r="AJ916" s="201"/>
      <c r="AK916" s="33"/>
      <c r="AL916" s="33"/>
      <c r="AM916" s="33"/>
      <c r="AN916" s="33"/>
      <c r="AO916" s="33"/>
      <c r="AP916" s="33"/>
      <c r="AQ916" s="33"/>
      <c r="AR916" s="33"/>
      <c r="AS916" s="33"/>
      <c r="AT916" s="33"/>
      <c r="AU916" s="33"/>
      <c r="AV916" s="33"/>
      <c r="AW916" s="33"/>
      <c r="AX916" s="33"/>
      <c r="AY916" s="33"/>
      <c r="AZ916" s="33"/>
      <c r="BA916" s="33"/>
      <c r="BB916" s="33"/>
      <c r="BC916" s="33"/>
      <c r="BD916" s="33"/>
      <c r="BE916" s="33"/>
      <c r="BF916" s="33"/>
      <c r="BG916" s="33"/>
      <c r="BH916" s="33"/>
      <c r="BI916" s="33"/>
      <c r="BJ916" s="33"/>
      <c r="BK916" s="33"/>
    </row>
    <row r="917" spans="1:63" ht="15" customHeight="1">
      <c r="A917" s="197"/>
      <c r="B917" s="197"/>
      <c r="C917" s="197"/>
      <c r="D917" s="197"/>
      <c r="E917" s="197"/>
      <c r="F917" s="197"/>
      <c r="G917" s="197"/>
      <c r="H917" s="197"/>
      <c r="I917" s="197"/>
      <c r="J917" s="197"/>
      <c r="K917" s="197"/>
      <c r="L917" s="197"/>
      <c r="M917" s="197"/>
      <c r="N917" s="197"/>
      <c r="O917" s="197"/>
      <c r="P917" s="197"/>
      <c r="Q917" s="197"/>
      <c r="R917" s="197"/>
      <c r="S917" s="197"/>
      <c r="T917" s="197"/>
      <c r="U917" s="197"/>
      <c r="V917" s="197"/>
      <c r="W917" s="197"/>
      <c r="X917" s="197"/>
      <c r="Y917" s="197"/>
      <c r="Z917" s="197"/>
      <c r="AA917" s="197"/>
      <c r="AB917" s="197"/>
      <c r="AC917" s="197"/>
      <c r="AD917" s="197"/>
      <c r="AE917" s="197"/>
      <c r="AF917" s="197"/>
      <c r="AG917" s="197"/>
      <c r="AH917" s="197"/>
      <c r="AI917" s="197"/>
      <c r="AJ917" s="201"/>
      <c r="AK917" s="33"/>
      <c r="AL917" s="33"/>
      <c r="AM917" s="33"/>
      <c r="AN917" s="33"/>
      <c r="AO917" s="33"/>
      <c r="AP917" s="33"/>
      <c r="AQ917" s="33"/>
      <c r="AR917" s="33"/>
      <c r="AS917" s="33"/>
      <c r="AT917" s="33"/>
      <c r="AU917" s="33"/>
      <c r="AV917" s="33"/>
      <c r="AW917" s="33"/>
      <c r="AX917" s="33"/>
      <c r="AY917" s="33"/>
      <c r="AZ917" s="33"/>
      <c r="BA917" s="33"/>
      <c r="BB917" s="33"/>
      <c r="BC917" s="33"/>
      <c r="BD917" s="33"/>
      <c r="BE917" s="33"/>
      <c r="BF917" s="33"/>
      <c r="BG917" s="33"/>
      <c r="BH917" s="33"/>
      <c r="BI917" s="33"/>
      <c r="BJ917" s="33"/>
      <c r="BK917" s="33"/>
    </row>
    <row r="918" spans="1:63" ht="15" customHeight="1">
      <c r="A918" s="197"/>
      <c r="B918" s="197"/>
      <c r="C918" s="197"/>
      <c r="D918" s="197"/>
      <c r="E918" s="197"/>
      <c r="F918" s="197"/>
      <c r="G918" s="197"/>
      <c r="H918" s="197"/>
      <c r="I918" s="197"/>
      <c r="J918" s="197"/>
      <c r="K918" s="197"/>
      <c r="L918" s="197"/>
      <c r="M918" s="197"/>
      <c r="N918" s="197"/>
      <c r="O918" s="197"/>
      <c r="P918" s="197"/>
      <c r="Q918" s="197"/>
      <c r="R918" s="197"/>
      <c r="S918" s="197"/>
      <c r="T918" s="197"/>
      <c r="U918" s="197"/>
      <c r="V918" s="197"/>
      <c r="W918" s="197"/>
      <c r="X918" s="197"/>
      <c r="Y918" s="197"/>
      <c r="Z918" s="197"/>
      <c r="AA918" s="197"/>
      <c r="AB918" s="197"/>
      <c r="AC918" s="197"/>
      <c r="AD918" s="197"/>
      <c r="AE918" s="197"/>
      <c r="AF918" s="197"/>
      <c r="AG918" s="197"/>
      <c r="AH918" s="197"/>
      <c r="AI918" s="197"/>
      <c r="AJ918" s="201"/>
      <c r="AK918" s="33"/>
      <c r="AL918" s="33"/>
      <c r="AM918" s="33"/>
      <c r="AN918" s="33"/>
      <c r="AO918" s="33"/>
      <c r="AP918" s="33"/>
      <c r="AQ918" s="33"/>
      <c r="AR918" s="33"/>
      <c r="AS918" s="33"/>
      <c r="AT918" s="33"/>
      <c r="AU918" s="33"/>
      <c r="AV918" s="33"/>
      <c r="AW918" s="33"/>
      <c r="AX918" s="33"/>
      <c r="AY918" s="33"/>
      <c r="AZ918" s="33"/>
      <c r="BA918" s="33"/>
      <c r="BB918" s="33"/>
      <c r="BC918" s="33"/>
      <c r="BD918" s="33"/>
      <c r="BE918" s="33"/>
      <c r="BF918" s="33"/>
      <c r="BG918" s="33"/>
      <c r="BH918" s="33"/>
      <c r="BI918" s="33"/>
      <c r="BJ918" s="33"/>
      <c r="BK918" s="33"/>
    </row>
    <row r="919" spans="1:63" ht="15" customHeight="1">
      <c r="A919" s="197"/>
      <c r="B919" s="197"/>
      <c r="C919" s="197"/>
      <c r="D919" s="197"/>
      <c r="E919" s="197"/>
      <c r="F919" s="197"/>
      <c r="G919" s="197"/>
      <c r="H919" s="197"/>
      <c r="I919" s="197"/>
      <c r="J919" s="197"/>
      <c r="K919" s="197"/>
      <c r="L919" s="197"/>
      <c r="M919" s="197"/>
      <c r="N919" s="197"/>
      <c r="O919" s="197"/>
      <c r="P919" s="197"/>
      <c r="Q919" s="197"/>
      <c r="R919" s="197"/>
      <c r="S919" s="197"/>
      <c r="T919" s="197"/>
      <c r="U919" s="197"/>
      <c r="V919" s="197"/>
      <c r="W919" s="197"/>
      <c r="X919" s="197"/>
      <c r="Y919" s="197"/>
      <c r="Z919" s="197"/>
      <c r="AA919" s="197"/>
      <c r="AB919" s="197"/>
      <c r="AC919" s="197"/>
      <c r="AD919" s="197"/>
      <c r="AE919" s="197"/>
      <c r="AF919" s="197"/>
      <c r="AG919" s="197"/>
      <c r="AH919" s="197"/>
      <c r="AI919" s="197"/>
      <c r="AJ919" s="201"/>
      <c r="AK919" s="33"/>
      <c r="AL919" s="33"/>
      <c r="AM919" s="33"/>
      <c r="AN919" s="33"/>
      <c r="AO919" s="33"/>
      <c r="AP919" s="33"/>
      <c r="AQ919" s="33"/>
      <c r="AR919" s="33"/>
      <c r="AS919" s="33"/>
      <c r="AT919" s="33"/>
      <c r="AU919" s="33"/>
      <c r="AV919" s="33"/>
      <c r="AW919" s="33"/>
      <c r="AX919" s="33"/>
      <c r="AY919" s="33"/>
      <c r="AZ919" s="33"/>
      <c r="BA919" s="33"/>
      <c r="BB919" s="33"/>
      <c r="BC919" s="33"/>
      <c r="BD919" s="33"/>
      <c r="BE919" s="33"/>
      <c r="BF919" s="33"/>
      <c r="BG919" s="33"/>
      <c r="BH919" s="33"/>
      <c r="BI919" s="33"/>
      <c r="BJ919" s="33"/>
      <c r="BK919" s="33"/>
    </row>
    <row r="920" spans="1:63" ht="15" customHeight="1">
      <c r="A920" s="197"/>
      <c r="B920" s="197"/>
      <c r="C920" s="197"/>
      <c r="D920" s="197"/>
      <c r="E920" s="197"/>
      <c r="F920" s="197"/>
      <c r="G920" s="197"/>
      <c r="H920" s="197"/>
      <c r="I920" s="197"/>
      <c r="J920" s="197"/>
      <c r="K920" s="197"/>
      <c r="L920" s="197"/>
      <c r="M920" s="197"/>
      <c r="N920" s="197"/>
      <c r="O920" s="197"/>
      <c r="P920" s="197"/>
      <c r="Q920" s="197"/>
      <c r="R920" s="197"/>
      <c r="S920" s="197"/>
      <c r="T920" s="197"/>
      <c r="U920" s="197"/>
      <c r="V920" s="197"/>
      <c r="W920" s="197"/>
      <c r="X920" s="197"/>
      <c r="Y920" s="197"/>
      <c r="Z920" s="197"/>
      <c r="AA920" s="197"/>
      <c r="AB920" s="197"/>
      <c r="AC920" s="197"/>
      <c r="AD920" s="197"/>
      <c r="AE920" s="197"/>
      <c r="AF920" s="197"/>
      <c r="AG920" s="197"/>
      <c r="AH920" s="197"/>
      <c r="AI920" s="197"/>
      <c r="AJ920" s="201"/>
      <c r="AK920" s="33"/>
      <c r="AL920" s="33"/>
      <c r="AM920" s="33"/>
      <c r="AN920" s="33"/>
      <c r="AO920" s="33"/>
      <c r="AP920" s="33"/>
      <c r="AQ920" s="33"/>
      <c r="AR920" s="33"/>
      <c r="AS920" s="33"/>
      <c r="AT920" s="33"/>
      <c r="AU920" s="33"/>
      <c r="AV920" s="33"/>
      <c r="AW920" s="33"/>
      <c r="AX920" s="33"/>
      <c r="AY920" s="33"/>
      <c r="AZ920" s="33"/>
      <c r="BA920" s="33"/>
      <c r="BB920" s="33"/>
      <c r="BC920" s="33"/>
      <c r="BD920" s="33"/>
      <c r="BE920" s="33"/>
      <c r="BF920" s="33"/>
      <c r="BG920" s="33"/>
      <c r="BH920" s="33"/>
      <c r="BI920" s="33"/>
      <c r="BJ920" s="33"/>
      <c r="BK920" s="33"/>
    </row>
    <row r="921" spans="1:63" ht="15" customHeight="1">
      <c r="A921" s="197"/>
      <c r="B921" s="197"/>
      <c r="C921" s="197"/>
      <c r="D921" s="197"/>
      <c r="E921" s="197"/>
      <c r="F921" s="197"/>
      <c r="G921" s="197"/>
      <c r="H921" s="197"/>
      <c r="I921" s="197"/>
      <c r="J921" s="197"/>
      <c r="K921" s="197"/>
      <c r="L921" s="197"/>
      <c r="M921" s="197"/>
      <c r="N921" s="197"/>
      <c r="O921" s="197"/>
      <c r="P921" s="197"/>
      <c r="Q921" s="197"/>
      <c r="R921" s="197"/>
      <c r="S921" s="197"/>
      <c r="T921" s="197"/>
      <c r="U921" s="197"/>
      <c r="V921" s="197"/>
      <c r="W921" s="197"/>
      <c r="X921" s="197"/>
      <c r="Y921" s="197"/>
      <c r="Z921" s="197"/>
      <c r="AA921" s="197"/>
      <c r="AB921" s="197"/>
      <c r="AC921" s="197"/>
      <c r="AD921" s="197"/>
      <c r="AE921" s="197"/>
      <c r="AF921" s="197"/>
      <c r="AG921" s="197"/>
      <c r="AH921" s="197"/>
      <c r="AI921" s="197"/>
      <c r="AJ921" s="201"/>
      <c r="AK921" s="33"/>
      <c r="AL921" s="33"/>
      <c r="AM921" s="33"/>
      <c r="AN921" s="33"/>
      <c r="AO921" s="33"/>
      <c r="AP921" s="33"/>
      <c r="AQ921" s="33"/>
      <c r="AR921" s="33"/>
      <c r="AS921" s="33"/>
      <c r="AT921" s="33"/>
      <c r="AU921" s="33"/>
      <c r="AV921" s="33"/>
      <c r="AW921" s="33"/>
      <c r="AX921" s="33"/>
      <c r="AY921" s="33"/>
      <c r="AZ921" s="33"/>
      <c r="BA921" s="33"/>
      <c r="BB921" s="33"/>
      <c r="BC921" s="33"/>
      <c r="BD921" s="33"/>
      <c r="BE921" s="33"/>
      <c r="BF921" s="33"/>
      <c r="BG921" s="33"/>
      <c r="BH921" s="33"/>
      <c r="BI921" s="33"/>
      <c r="BJ921" s="33"/>
      <c r="BK921" s="33"/>
    </row>
    <row r="922" spans="1:63" ht="15" customHeight="1">
      <c r="A922" s="197"/>
      <c r="B922" s="197"/>
      <c r="C922" s="197"/>
      <c r="D922" s="197"/>
      <c r="E922" s="197"/>
      <c r="F922" s="197"/>
      <c r="G922" s="197"/>
      <c r="H922" s="197"/>
      <c r="I922" s="197"/>
      <c r="J922" s="197"/>
      <c r="K922" s="197"/>
      <c r="L922" s="197"/>
      <c r="M922" s="197"/>
      <c r="N922" s="197"/>
      <c r="O922" s="197"/>
      <c r="P922" s="197"/>
      <c r="Q922" s="197"/>
      <c r="R922" s="197"/>
      <c r="S922" s="197"/>
      <c r="T922" s="197"/>
      <c r="U922" s="197"/>
      <c r="V922" s="197"/>
      <c r="W922" s="197"/>
      <c r="X922" s="197"/>
      <c r="Y922" s="197"/>
      <c r="Z922" s="197"/>
      <c r="AA922" s="197"/>
      <c r="AB922" s="197"/>
      <c r="AC922" s="197"/>
      <c r="AD922" s="197"/>
      <c r="AE922" s="197"/>
      <c r="AF922" s="197"/>
      <c r="AG922" s="197"/>
      <c r="AH922" s="197"/>
      <c r="AI922" s="197"/>
      <c r="AJ922" s="201"/>
      <c r="AK922" s="33"/>
      <c r="AL922" s="33"/>
      <c r="AM922" s="33"/>
      <c r="AN922" s="33"/>
      <c r="AO922" s="33"/>
      <c r="AP922" s="33"/>
      <c r="AQ922" s="33"/>
      <c r="AR922" s="33"/>
      <c r="AS922" s="33"/>
      <c r="AT922" s="33"/>
      <c r="AU922" s="33"/>
      <c r="AV922" s="33"/>
      <c r="AW922" s="33"/>
      <c r="AX922" s="33"/>
      <c r="AY922" s="33"/>
      <c r="AZ922" s="33"/>
      <c r="BA922" s="33"/>
      <c r="BB922" s="33"/>
      <c r="BC922" s="33"/>
      <c r="BD922" s="33"/>
      <c r="BE922" s="33"/>
      <c r="BF922" s="33"/>
      <c r="BG922" s="33"/>
      <c r="BH922" s="33"/>
      <c r="BI922" s="33"/>
      <c r="BJ922" s="33"/>
      <c r="BK922" s="33"/>
    </row>
    <row r="923" spans="1:63" ht="15" customHeight="1">
      <c r="A923" s="197"/>
      <c r="B923" s="197"/>
      <c r="C923" s="197"/>
      <c r="D923" s="197"/>
      <c r="E923" s="197"/>
      <c r="F923" s="197"/>
      <c r="G923" s="197"/>
      <c r="H923" s="197"/>
      <c r="I923" s="197"/>
      <c r="J923" s="197"/>
      <c r="K923" s="197"/>
      <c r="L923" s="197"/>
      <c r="M923" s="197"/>
      <c r="N923" s="197"/>
      <c r="O923" s="197"/>
      <c r="P923" s="197"/>
      <c r="Q923" s="197"/>
      <c r="R923" s="197"/>
      <c r="S923" s="197"/>
      <c r="T923" s="197"/>
      <c r="U923" s="197"/>
      <c r="V923" s="197"/>
      <c r="W923" s="197"/>
      <c r="X923" s="197"/>
      <c r="Y923" s="197"/>
      <c r="Z923" s="197"/>
      <c r="AA923" s="197"/>
      <c r="AB923" s="197"/>
      <c r="AC923" s="197"/>
      <c r="AD923" s="197"/>
      <c r="AE923" s="197"/>
      <c r="AF923" s="197"/>
      <c r="AG923" s="197"/>
      <c r="AH923" s="197"/>
      <c r="AI923" s="197"/>
      <c r="AJ923" s="201"/>
      <c r="AK923" s="33"/>
      <c r="AL923" s="33"/>
      <c r="AM923" s="33"/>
      <c r="AN923" s="33"/>
      <c r="AO923" s="33"/>
      <c r="AP923" s="33"/>
      <c r="AQ923" s="33"/>
      <c r="AR923" s="33"/>
      <c r="AS923" s="33"/>
      <c r="AT923" s="33"/>
      <c r="AU923" s="33"/>
      <c r="AV923" s="33"/>
      <c r="AW923" s="33"/>
      <c r="AX923" s="33"/>
      <c r="AY923" s="33"/>
      <c r="AZ923" s="33"/>
      <c r="BA923" s="33"/>
      <c r="BB923" s="33"/>
      <c r="BC923" s="33"/>
      <c r="BD923" s="33"/>
      <c r="BE923" s="33"/>
      <c r="BF923" s="33"/>
      <c r="BG923" s="33"/>
      <c r="BH923" s="33"/>
      <c r="BI923" s="33"/>
      <c r="BJ923" s="33"/>
      <c r="BK923" s="33"/>
    </row>
    <row r="924" spans="1:63" ht="15" customHeight="1">
      <c r="A924" s="197"/>
      <c r="B924" s="197"/>
      <c r="C924" s="197"/>
      <c r="D924" s="197"/>
      <c r="E924" s="197"/>
      <c r="F924" s="197"/>
      <c r="G924" s="197"/>
      <c r="H924" s="197"/>
      <c r="I924" s="197"/>
      <c r="J924" s="197"/>
      <c r="K924" s="197"/>
      <c r="L924" s="197"/>
      <c r="M924" s="197"/>
      <c r="N924" s="197"/>
      <c r="O924" s="197"/>
      <c r="P924" s="197"/>
      <c r="Q924" s="197"/>
      <c r="R924" s="197"/>
      <c r="S924" s="197"/>
      <c r="T924" s="197"/>
      <c r="U924" s="197"/>
      <c r="V924" s="197"/>
      <c r="W924" s="197"/>
      <c r="X924" s="197"/>
      <c r="Y924" s="197"/>
      <c r="Z924" s="197"/>
      <c r="AA924" s="197"/>
      <c r="AB924" s="197"/>
      <c r="AC924" s="197"/>
      <c r="AD924" s="197"/>
      <c r="AE924" s="197"/>
      <c r="AF924" s="197"/>
      <c r="AG924" s="197"/>
      <c r="AH924" s="197"/>
      <c r="AI924" s="197"/>
      <c r="AJ924" s="201"/>
      <c r="AK924" s="33"/>
      <c r="AL924" s="33"/>
      <c r="AM924" s="33"/>
      <c r="AN924" s="33"/>
      <c r="AO924" s="33"/>
      <c r="AP924" s="33"/>
      <c r="AQ924" s="33"/>
      <c r="AR924" s="33"/>
      <c r="AS924" s="33"/>
      <c r="AT924" s="33"/>
      <c r="AU924" s="33"/>
      <c r="AV924" s="33"/>
      <c r="AW924" s="33"/>
      <c r="AX924" s="33"/>
      <c r="AY924" s="33"/>
      <c r="AZ924" s="33"/>
      <c r="BA924" s="33"/>
      <c r="BB924" s="33"/>
      <c r="BC924" s="33"/>
      <c r="BD924" s="33"/>
      <c r="BE924" s="33"/>
      <c r="BF924" s="33"/>
      <c r="BG924" s="33"/>
      <c r="BH924" s="33"/>
      <c r="BI924" s="33"/>
      <c r="BJ924" s="33"/>
      <c r="BK924" s="33"/>
    </row>
    <row r="925" spans="1:63" ht="15" customHeight="1">
      <c r="A925" s="197"/>
      <c r="B925" s="197"/>
      <c r="C925" s="197"/>
      <c r="D925" s="197"/>
      <c r="E925" s="197"/>
      <c r="F925" s="197"/>
      <c r="G925" s="197"/>
      <c r="H925" s="197"/>
      <c r="I925" s="197"/>
      <c r="J925" s="197"/>
      <c r="K925" s="197"/>
      <c r="L925" s="197"/>
      <c r="M925" s="197"/>
      <c r="N925" s="197"/>
      <c r="O925" s="197"/>
      <c r="P925" s="197"/>
      <c r="Q925" s="197"/>
      <c r="R925" s="197"/>
      <c r="S925" s="197"/>
      <c r="T925" s="197"/>
      <c r="U925" s="197"/>
      <c r="V925" s="197"/>
      <c r="W925" s="197"/>
      <c r="X925" s="197"/>
      <c r="Y925" s="197"/>
      <c r="Z925" s="197"/>
      <c r="AA925" s="197"/>
      <c r="AB925" s="197"/>
      <c r="AC925" s="197"/>
      <c r="AD925" s="197"/>
      <c r="AE925" s="197"/>
      <c r="AF925" s="197"/>
      <c r="AG925" s="197"/>
      <c r="AH925" s="197"/>
      <c r="AI925" s="197"/>
      <c r="AJ925" s="201"/>
      <c r="AK925" s="33"/>
      <c r="AL925" s="33"/>
      <c r="AM925" s="33"/>
      <c r="AN925" s="33"/>
      <c r="AO925" s="33"/>
      <c r="AP925" s="33"/>
      <c r="AQ925" s="33"/>
      <c r="AR925" s="33"/>
      <c r="AS925" s="33"/>
      <c r="AT925" s="33"/>
      <c r="AU925" s="33"/>
      <c r="AV925" s="33"/>
      <c r="AW925" s="33"/>
      <c r="AX925" s="33"/>
      <c r="AY925" s="33"/>
      <c r="AZ925" s="33"/>
      <c r="BA925" s="33"/>
      <c r="BB925" s="33"/>
      <c r="BC925" s="33"/>
      <c r="BD925" s="33"/>
      <c r="BE925" s="33"/>
      <c r="BF925" s="33"/>
      <c r="BG925" s="33"/>
      <c r="BH925" s="33"/>
      <c r="BI925" s="33"/>
      <c r="BJ925" s="33"/>
      <c r="BK925" s="33"/>
    </row>
    <row r="926" spans="1:63" ht="15" customHeight="1">
      <c r="A926" s="197"/>
      <c r="B926" s="197"/>
      <c r="C926" s="197"/>
      <c r="D926" s="197"/>
      <c r="E926" s="197"/>
      <c r="F926" s="197"/>
      <c r="G926" s="197"/>
      <c r="H926" s="197"/>
      <c r="I926" s="197"/>
      <c r="J926" s="197"/>
      <c r="K926" s="197"/>
      <c r="L926" s="197"/>
      <c r="M926" s="197"/>
      <c r="N926" s="197"/>
      <c r="O926" s="197"/>
      <c r="P926" s="197"/>
      <c r="Q926" s="197"/>
      <c r="R926" s="197"/>
      <c r="S926" s="197"/>
      <c r="T926" s="197"/>
      <c r="U926" s="197"/>
      <c r="V926" s="197"/>
      <c r="W926" s="197"/>
      <c r="X926" s="197"/>
      <c r="Y926" s="197"/>
      <c r="Z926" s="197"/>
      <c r="AA926" s="197"/>
      <c r="AB926" s="197"/>
      <c r="AC926" s="197"/>
      <c r="AD926" s="197"/>
      <c r="AE926" s="197"/>
      <c r="AF926" s="197"/>
      <c r="AG926" s="197"/>
      <c r="AH926" s="197"/>
      <c r="AI926" s="197"/>
      <c r="AJ926" s="201"/>
      <c r="AK926" s="33"/>
      <c r="AL926" s="33"/>
      <c r="AM926" s="33"/>
      <c r="AN926" s="33"/>
      <c r="AO926" s="33"/>
      <c r="AP926" s="33"/>
      <c r="AQ926" s="33"/>
      <c r="AR926" s="33"/>
      <c r="AS926" s="33"/>
      <c r="AT926" s="33"/>
      <c r="AU926" s="33"/>
      <c r="AV926" s="33"/>
      <c r="AW926" s="33"/>
      <c r="AX926" s="33"/>
      <c r="AY926" s="33"/>
      <c r="AZ926" s="33"/>
      <c r="BA926" s="33"/>
      <c r="BB926" s="33"/>
      <c r="BC926" s="33"/>
      <c r="BD926" s="33"/>
      <c r="BE926" s="33"/>
      <c r="BF926" s="33"/>
      <c r="BG926" s="33"/>
      <c r="BH926" s="33"/>
      <c r="BI926" s="33"/>
      <c r="BJ926" s="33"/>
      <c r="BK926" s="33"/>
    </row>
    <row r="927" spans="1:63" ht="15" customHeight="1">
      <c r="A927" s="197"/>
      <c r="B927" s="197"/>
      <c r="C927" s="197"/>
      <c r="D927" s="197"/>
      <c r="E927" s="197"/>
      <c r="F927" s="197"/>
      <c r="G927" s="197"/>
      <c r="H927" s="197"/>
      <c r="I927" s="197"/>
      <c r="J927" s="197"/>
      <c r="K927" s="197"/>
      <c r="L927" s="197"/>
      <c r="M927" s="197"/>
      <c r="N927" s="197"/>
      <c r="O927" s="197"/>
      <c r="P927" s="197"/>
      <c r="Q927" s="197"/>
      <c r="R927" s="197"/>
      <c r="S927" s="197"/>
      <c r="T927" s="197"/>
      <c r="U927" s="197"/>
      <c r="V927" s="197"/>
      <c r="W927" s="197"/>
      <c r="X927" s="197"/>
      <c r="Y927" s="197"/>
      <c r="Z927" s="197"/>
      <c r="AA927" s="197"/>
      <c r="AB927" s="197"/>
      <c r="AC927" s="197"/>
      <c r="AD927" s="197"/>
      <c r="AE927" s="197"/>
      <c r="AF927" s="197"/>
      <c r="AG927" s="197"/>
      <c r="AH927" s="197"/>
      <c r="AI927" s="197"/>
      <c r="AJ927" s="201"/>
      <c r="AK927" s="33"/>
      <c r="AL927" s="33"/>
      <c r="AM927" s="33"/>
      <c r="AN927" s="33"/>
      <c r="AO927" s="33"/>
      <c r="AP927" s="33"/>
      <c r="AQ927" s="33"/>
      <c r="AR927" s="33"/>
      <c r="AS927" s="33"/>
      <c r="AT927" s="33"/>
      <c r="AU927" s="33"/>
      <c r="AV927" s="33"/>
      <c r="AW927" s="33"/>
      <c r="AX927" s="33"/>
      <c r="AY927" s="33"/>
      <c r="AZ927" s="33"/>
      <c r="BA927" s="33"/>
      <c r="BB927" s="33"/>
      <c r="BC927" s="33"/>
      <c r="BD927" s="33"/>
      <c r="BE927" s="33"/>
      <c r="BF927" s="33"/>
      <c r="BG927" s="33"/>
      <c r="BH927" s="33"/>
      <c r="BI927" s="33"/>
      <c r="BJ927" s="33"/>
      <c r="BK927" s="33"/>
    </row>
    <row r="928" spans="1:63" ht="15" customHeight="1">
      <c r="A928" s="197"/>
      <c r="B928" s="197"/>
      <c r="C928" s="197"/>
      <c r="D928" s="197"/>
      <c r="E928" s="197"/>
      <c r="F928" s="197"/>
      <c r="G928" s="197"/>
      <c r="H928" s="197"/>
      <c r="I928" s="197"/>
      <c r="J928" s="197"/>
      <c r="K928" s="197"/>
      <c r="L928" s="197"/>
      <c r="M928" s="197"/>
      <c r="N928" s="197"/>
      <c r="O928" s="197"/>
      <c r="P928" s="197"/>
      <c r="Q928" s="197"/>
      <c r="R928" s="197"/>
      <c r="S928" s="197"/>
      <c r="T928" s="197"/>
      <c r="U928" s="197"/>
      <c r="V928" s="197"/>
      <c r="W928" s="197"/>
      <c r="X928" s="197"/>
      <c r="Y928" s="197"/>
      <c r="Z928" s="197"/>
      <c r="AA928" s="197"/>
      <c r="AB928" s="197"/>
      <c r="AC928" s="197"/>
      <c r="AD928" s="197"/>
      <c r="AE928" s="197"/>
      <c r="AF928" s="197"/>
      <c r="AG928" s="197"/>
      <c r="AH928" s="197"/>
      <c r="AI928" s="197"/>
      <c r="AJ928" s="201"/>
      <c r="AK928" s="33"/>
      <c r="AL928" s="33"/>
      <c r="AM928" s="33"/>
      <c r="AN928" s="33"/>
      <c r="AO928" s="33"/>
      <c r="AP928" s="33"/>
      <c r="AQ928" s="33"/>
      <c r="AR928" s="33"/>
      <c r="AS928" s="33"/>
      <c r="AT928" s="33"/>
      <c r="AU928" s="33"/>
      <c r="AV928" s="33"/>
      <c r="AW928" s="33"/>
      <c r="AX928" s="33"/>
      <c r="AY928" s="33"/>
      <c r="AZ928" s="33"/>
      <c r="BA928" s="33"/>
      <c r="BB928" s="33"/>
      <c r="BC928" s="33"/>
      <c r="BD928" s="33"/>
      <c r="BE928" s="33"/>
      <c r="BF928" s="33"/>
      <c r="BG928" s="33"/>
      <c r="BH928" s="33"/>
      <c r="BI928" s="33"/>
      <c r="BJ928" s="33"/>
      <c r="BK928" s="33"/>
    </row>
    <row r="929" spans="1:63" ht="15" customHeight="1">
      <c r="A929" s="197"/>
      <c r="B929" s="197"/>
      <c r="C929" s="197"/>
      <c r="D929" s="197"/>
      <c r="E929" s="197"/>
      <c r="F929" s="197"/>
      <c r="G929" s="197"/>
      <c r="H929" s="197"/>
      <c r="I929" s="197"/>
      <c r="J929" s="197"/>
      <c r="K929" s="197"/>
      <c r="L929" s="197"/>
      <c r="M929" s="197"/>
      <c r="N929" s="197"/>
      <c r="O929" s="197"/>
      <c r="P929" s="197"/>
      <c r="Q929" s="197"/>
      <c r="R929" s="197"/>
      <c r="S929" s="197"/>
      <c r="T929" s="197"/>
      <c r="U929" s="197"/>
      <c r="V929" s="197"/>
      <c r="W929" s="197"/>
      <c r="X929" s="197"/>
      <c r="Y929" s="197"/>
      <c r="Z929" s="197"/>
      <c r="AA929" s="197"/>
      <c r="AB929" s="197"/>
      <c r="AC929" s="197"/>
      <c r="AD929" s="197"/>
      <c r="AE929" s="197"/>
      <c r="AF929" s="197"/>
      <c r="AG929" s="197"/>
      <c r="AH929" s="197"/>
      <c r="AI929" s="197"/>
      <c r="AJ929" s="201"/>
      <c r="AK929" s="33"/>
      <c r="AL929" s="33"/>
      <c r="AM929" s="33"/>
      <c r="AN929" s="33"/>
      <c r="AO929" s="33"/>
      <c r="AP929" s="33"/>
      <c r="AQ929" s="33"/>
      <c r="AR929" s="33"/>
      <c r="AS929" s="33"/>
      <c r="AT929" s="33"/>
      <c r="AU929" s="33"/>
      <c r="AV929" s="33"/>
      <c r="AW929" s="33"/>
      <c r="AX929" s="33"/>
      <c r="AY929" s="33"/>
      <c r="AZ929" s="33"/>
      <c r="BA929" s="33"/>
      <c r="BB929" s="33"/>
      <c r="BC929" s="33"/>
      <c r="BD929" s="33"/>
      <c r="BE929" s="33"/>
      <c r="BF929" s="33"/>
      <c r="BG929" s="33"/>
      <c r="BH929" s="33"/>
      <c r="BI929" s="33"/>
      <c r="BJ929" s="33"/>
      <c r="BK929" s="33"/>
    </row>
    <row r="930" spans="1:63" ht="15" customHeight="1">
      <c r="A930" s="197"/>
      <c r="B930" s="197"/>
      <c r="C930" s="197"/>
      <c r="D930" s="197"/>
      <c r="E930" s="197"/>
      <c r="F930" s="197"/>
      <c r="G930" s="197"/>
      <c r="H930" s="197"/>
      <c r="I930" s="197"/>
      <c r="J930" s="197"/>
      <c r="K930" s="197"/>
      <c r="L930" s="197"/>
      <c r="M930" s="197"/>
      <c r="N930" s="197"/>
      <c r="O930" s="197"/>
      <c r="P930" s="197"/>
      <c r="Q930" s="197"/>
      <c r="R930" s="197"/>
      <c r="S930" s="197"/>
      <c r="T930" s="197"/>
      <c r="U930" s="197"/>
      <c r="V930" s="197"/>
      <c r="W930" s="197"/>
      <c r="X930" s="197"/>
      <c r="Y930" s="197"/>
      <c r="Z930" s="197"/>
      <c r="AA930" s="197"/>
      <c r="AB930" s="197"/>
      <c r="AC930" s="197"/>
      <c r="AD930" s="197"/>
      <c r="AE930" s="197"/>
      <c r="AF930" s="197"/>
      <c r="AG930" s="197"/>
      <c r="AH930" s="197"/>
      <c r="AI930" s="197"/>
      <c r="AJ930" s="201"/>
      <c r="AK930" s="33"/>
      <c r="AL930" s="33"/>
      <c r="AM930" s="33"/>
      <c r="AN930" s="33"/>
      <c r="AO930" s="33"/>
      <c r="AP930" s="33"/>
      <c r="AQ930" s="33"/>
      <c r="AR930" s="33"/>
      <c r="AS930" s="33"/>
      <c r="AT930" s="33"/>
      <c r="AU930" s="33"/>
      <c r="AV930" s="33"/>
      <c r="AW930" s="33"/>
      <c r="AX930" s="33"/>
      <c r="AY930" s="33"/>
      <c r="AZ930" s="33"/>
      <c r="BA930" s="33"/>
      <c r="BB930" s="33"/>
      <c r="BC930" s="33"/>
      <c r="BD930" s="33"/>
      <c r="BE930" s="33"/>
      <c r="BF930" s="33"/>
      <c r="BG930" s="33"/>
      <c r="BH930" s="33"/>
      <c r="BI930" s="33"/>
      <c r="BJ930" s="33"/>
      <c r="BK930" s="33"/>
    </row>
    <row r="931" spans="1:63" ht="15" customHeight="1">
      <c r="A931" s="197"/>
      <c r="B931" s="197"/>
      <c r="C931" s="197"/>
      <c r="D931" s="197"/>
      <c r="E931" s="197"/>
      <c r="F931" s="197"/>
      <c r="G931" s="197"/>
      <c r="H931" s="197"/>
      <c r="I931" s="197"/>
      <c r="J931" s="197"/>
      <c r="K931" s="197"/>
      <c r="L931" s="197"/>
      <c r="M931" s="197"/>
      <c r="N931" s="197"/>
      <c r="O931" s="197"/>
      <c r="P931" s="197"/>
      <c r="Q931" s="197"/>
      <c r="R931" s="197"/>
      <c r="S931" s="197"/>
      <c r="T931" s="197"/>
      <c r="U931" s="197"/>
      <c r="V931" s="197"/>
      <c r="W931" s="197"/>
      <c r="X931" s="197"/>
      <c r="Y931" s="197"/>
      <c r="Z931" s="197"/>
      <c r="AA931" s="197"/>
      <c r="AB931" s="197"/>
      <c r="AC931" s="197"/>
      <c r="AD931" s="197"/>
      <c r="AE931" s="197"/>
      <c r="AF931" s="197"/>
      <c r="AG931" s="197"/>
      <c r="AH931" s="197"/>
      <c r="AI931" s="197"/>
      <c r="AJ931" s="201"/>
      <c r="AK931" s="33"/>
      <c r="AL931" s="33"/>
      <c r="AM931" s="33"/>
      <c r="AN931" s="33"/>
      <c r="AO931" s="33"/>
      <c r="AP931" s="33"/>
      <c r="AQ931" s="33"/>
      <c r="AR931" s="33"/>
      <c r="AS931" s="33"/>
      <c r="AT931" s="33"/>
      <c r="AU931" s="33"/>
      <c r="AV931" s="33"/>
      <c r="AW931" s="33"/>
      <c r="AX931" s="33"/>
      <c r="AY931" s="33"/>
      <c r="AZ931" s="33"/>
      <c r="BA931" s="33"/>
      <c r="BB931" s="33"/>
      <c r="BC931" s="33"/>
      <c r="BD931" s="33"/>
      <c r="BE931" s="33"/>
      <c r="BF931" s="33"/>
      <c r="BG931" s="33"/>
      <c r="BH931" s="33"/>
      <c r="BI931" s="33"/>
      <c r="BJ931" s="33"/>
      <c r="BK931" s="33"/>
    </row>
    <row r="932" spans="1:63" ht="15" customHeight="1">
      <c r="A932" s="197"/>
      <c r="B932" s="197"/>
      <c r="C932" s="197"/>
      <c r="D932" s="197"/>
      <c r="E932" s="197"/>
      <c r="F932" s="197"/>
      <c r="G932" s="197"/>
      <c r="H932" s="197"/>
      <c r="I932" s="197"/>
      <c r="J932" s="197"/>
      <c r="K932" s="197"/>
      <c r="L932" s="197"/>
      <c r="M932" s="197"/>
      <c r="N932" s="197"/>
      <c r="O932" s="197"/>
      <c r="P932" s="197"/>
      <c r="Q932" s="197"/>
      <c r="R932" s="197"/>
      <c r="S932" s="197"/>
      <c r="T932" s="197"/>
      <c r="U932" s="197"/>
      <c r="V932" s="197"/>
      <c r="W932" s="197"/>
      <c r="X932" s="197"/>
      <c r="Y932" s="197"/>
      <c r="Z932" s="197"/>
      <c r="AA932" s="197"/>
      <c r="AB932" s="197"/>
      <c r="AC932" s="197"/>
      <c r="AD932" s="197"/>
      <c r="AE932" s="197"/>
      <c r="AF932" s="197"/>
      <c r="AG932" s="197"/>
      <c r="AH932" s="197"/>
      <c r="AI932" s="197"/>
      <c r="AJ932" s="201"/>
      <c r="AK932" s="33"/>
      <c r="AL932" s="33"/>
      <c r="AM932" s="33"/>
      <c r="AN932" s="33"/>
      <c r="AO932" s="33"/>
      <c r="AP932" s="33"/>
      <c r="AQ932" s="33"/>
      <c r="AR932" s="33"/>
      <c r="AS932" s="33"/>
      <c r="AT932" s="33"/>
      <c r="AU932" s="33"/>
      <c r="AV932" s="33"/>
      <c r="AW932" s="33"/>
      <c r="AX932" s="33"/>
      <c r="AY932" s="33"/>
      <c r="AZ932" s="33"/>
      <c r="BA932" s="33"/>
      <c r="BB932" s="33"/>
      <c r="BC932" s="33"/>
      <c r="BD932" s="33"/>
      <c r="BE932" s="33"/>
      <c r="BF932" s="33"/>
      <c r="BG932" s="33"/>
      <c r="BH932" s="33"/>
      <c r="BI932" s="33"/>
      <c r="BJ932" s="33"/>
      <c r="BK932" s="33"/>
    </row>
    <row r="933" spans="1:63" ht="15" customHeight="1">
      <c r="A933" s="197"/>
      <c r="B933" s="197"/>
      <c r="C933" s="197"/>
      <c r="D933" s="197"/>
      <c r="E933" s="197"/>
      <c r="F933" s="197"/>
      <c r="G933" s="197"/>
      <c r="H933" s="197"/>
      <c r="I933" s="197"/>
      <c r="J933" s="197"/>
      <c r="K933" s="197"/>
      <c r="L933" s="197"/>
      <c r="M933" s="197"/>
      <c r="N933" s="197"/>
      <c r="O933" s="197"/>
      <c r="P933" s="197"/>
      <c r="Q933" s="197"/>
      <c r="R933" s="197"/>
      <c r="S933" s="197"/>
      <c r="T933" s="197"/>
      <c r="U933" s="197"/>
      <c r="V933" s="197"/>
      <c r="W933" s="197"/>
      <c r="X933" s="197"/>
      <c r="Y933" s="197"/>
      <c r="Z933" s="197"/>
      <c r="AA933" s="197"/>
      <c r="AB933" s="197"/>
      <c r="AC933" s="197"/>
      <c r="AD933" s="197"/>
      <c r="AE933" s="197"/>
      <c r="AF933" s="197"/>
      <c r="AG933" s="197"/>
      <c r="AH933" s="197"/>
      <c r="AI933" s="197"/>
      <c r="AJ933" s="201"/>
      <c r="AK933" s="33"/>
      <c r="AL933" s="33"/>
      <c r="AM933" s="33"/>
      <c r="AN933" s="33"/>
      <c r="AO933" s="33"/>
      <c r="AP933" s="33"/>
      <c r="AQ933" s="33"/>
      <c r="AR933" s="33"/>
      <c r="AS933" s="33"/>
      <c r="AT933" s="33"/>
      <c r="AU933" s="33"/>
      <c r="AV933" s="33"/>
      <c r="AW933" s="33"/>
      <c r="AX933" s="33"/>
      <c r="AY933" s="33"/>
      <c r="AZ933" s="33"/>
      <c r="BA933" s="33"/>
      <c r="BB933" s="33"/>
      <c r="BC933" s="33"/>
      <c r="BD933" s="33"/>
      <c r="BE933" s="33"/>
      <c r="BF933" s="33"/>
      <c r="BG933" s="33"/>
      <c r="BH933" s="33"/>
      <c r="BI933" s="33"/>
      <c r="BJ933" s="33"/>
      <c r="BK933" s="33"/>
    </row>
    <row r="934" spans="1:63" ht="15" customHeight="1">
      <c r="A934" s="197"/>
      <c r="B934" s="197"/>
      <c r="C934" s="197"/>
      <c r="D934" s="197"/>
      <c r="E934" s="197"/>
      <c r="F934" s="197"/>
      <c r="G934" s="197"/>
      <c r="H934" s="197"/>
      <c r="I934" s="197"/>
      <c r="J934" s="197"/>
      <c r="K934" s="197"/>
      <c r="L934" s="197"/>
      <c r="M934" s="197"/>
      <c r="N934" s="197"/>
      <c r="O934" s="197"/>
      <c r="P934" s="197"/>
      <c r="Q934" s="197"/>
      <c r="R934" s="197"/>
      <c r="S934" s="197"/>
      <c r="T934" s="197"/>
      <c r="U934" s="197"/>
      <c r="V934" s="197"/>
      <c r="W934" s="197"/>
      <c r="X934" s="197"/>
      <c r="Y934" s="197"/>
      <c r="Z934" s="197"/>
      <c r="AA934" s="197"/>
      <c r="AB934" s="197"/>
      <c r="AC934" s="197"/>
      <c r="AD934" s="197"/>
      <c r="AE934" s="197"/>
      <c r="AF934" s="197"/>
      <c r="AG934" s="197"/>
      <c r="AH934" s="197"/>
      <c r="AI934" s="197"/>
      <c r="AJ934" s="201"/>
      <c r="AK934" s="33"/>
      <c r="AL934" s="33"/>
      <c r="AM934" s="33"/>
      <c r="AN934" s="33"/>
      <c r="AO934" s="33"/>
      <c r="AP934" s="33"/>
      <c r="AQ934" s="33"/>
      <c r="AR934" s="33"/>
      <c r="AS934" s="33"/>
      <c r="AT934" s="33"/>
      <c r="AU934" s="33"/>
      <c r="AV934" s="33"/>
      <c r="AW934" s="33"/>
      <c r="AX934" s="33"/>
      <c r="AY934" s="33"/>
      <c r="AZ934" s="33"/>
      <c r="BA934" s="33"/>
      <c r="BB934" s="33"/>
      <c r="BC934" s="33"/>
      <c r="BD934" s="33"/>
      <c r="BE934" s="33"/>
      <c r="BF934" s="33"/>
      <c r="BG934" s="33"/>
      <c r="BH934" s="33"/>
      <c r="BI934" s="33"/>
      <c r="BJ934" s="33"/>
      <c r="BK934" s="33"/>
    </row>
    <row r="935" spans="1:63" ht="15" customHeight="1">
      <c r="A935" s="197"/>
      <c r="B935" s="197"/>
      <c r="C935" s="197"/>
      <c r="D935" s="197"/>
      <c r="E935" s="197"/>
      <c r="F935" s="197"/>
      <c r="G935" s="197"/>
      <c r="H935" s="197"/>
      <c r="I935" s="197"/>
      <c r="J935" s="197"/>
      <c r="K935" s="197"/>
      <c r="L935" s="197"/>
      <c r="M935" s="197"/>
      <c r="N935" s="197"/>
      <c r="O935" s="197"/>
      <c r="P935" s="197"/>
      <c r="Q935" s="197"/>
      <c r="R935" s="197"/>
      <c r="S935" s="197"/>
      <c r="T935" s="197"/>
      <c r="U935" s="197"/>
      <c r="V935" s="197"/>
      <c r="W935" s="197"/>
      <c r="X935" s="197"/>
      <c r="Y935" s="197"/>
      <c r="Z935" s="197"/>
      <c r="AA935" s="197"/>
      <c r="AB935" s="197"/>
      <c r="AC935" s="197"/>
      <c r="AD935" s="197"/>
      <c r="AE935" s="197"/>
      <c r="AF935" s="197"/>
      <c r="AG935" s="197"/>
      <c r="AH935" s="197"/>
      <c r="AI935" s="197"/>
      <c r="AJ935" s="201"/>
      <c r="AK935" s="33"/>
      <c r="AL935" s="33"/>
      <c r="AM935" s="33"/>
      <c r="AN935" s="33"/>
      <c r="AO935" s="33"/>
      <c r="AP935" s="33"/>
      <c r="AQ935" s="33"/>
      <c r="AR935" s="33"/>
      <c r="AS935" s="33"/>
      <c r="AT935" s="33"/>
      <c r="AU935" s="33"/>
      <c r="AV935" s="33"/>
      <c r="AW935" s="33"/>
      <c r="AX935" s="33"/>
      <c r="AY935" s="33"/>
      <c r="AZ935" s="33"/>
      <c r="BA935" s="33"/>
      <c r="BB935" s="33"/>
      <c r="BC935" s="33"/>
      <c r="BD935" s="33"/>
      <c r="BE935" s="33"/>
      <c r="BF935" s="33"/>
      <c r="BG935" s="33"/>
      <c r="BH935" s="33"/>
      <c r="BI935" s="33"/>
      <c r="BJ935" s="33"/>
      <c r="BK935" s="33"/>
    </row>
    <row r="936" spans="1:63" ht="15" customHeight="1">
      <c r="A936" s="197"/>
      <c r="B936" s="197"/>
      <c r="C936" s="197"/>
      <c r="D936" s="197"/>
      <c r="E936" s="197"/>
      <c r="F936" s="197"/>
      <c r="G936" s="197"/>
      <c r="H936" s="197"/>
      <c r="I936" s="197"/>
      <c r="J936" s="197"/>
      <c r="K936" s="197"/>
      <c r="L936" s="197"/>
      <c r="M936" s="197"/>
      <c r="N936" s="197"/>
      <c r="O936" s="197"/>
      <c r="P936" s="197"/>
      <c r="Q936" s="197"/>
      <c r="R936" s="197"/>
      <c r="S936" s="197"/>
      <c r="T936" s="197"/>
      <c r="U936" s="197"/>
      <c r="V936" s="197"/>
      <c r="W936" s="197"/>
      <c r="X936" s="197"/>
      <c r="Y936" s="197"/>
      <c r="Z936" s="197"/>
      <c r="AA936" s="197"/>
      <c r="AB936" s="197"/>
      <c r="AC936" s="197"/>
      <c r="AD936" s="197"/>
      <c r="AE936" s="197"/>
      <c r="AF936" s="197"/>
      <c r="AG936" s="197"/>
      <c r="AH936" s="197"/>
      <c r="AI936" s="197"/>
      <c r="AJ936" s="201"/>
      <c r="AK936" s="33"/>
      <c r="AL936" s="33"/>
      <c r="AM936" s="33"/>
      <c r="AN936" s="33"/>
      <c r="AO936" s="33"/>
      <c r="AP936" s="33"/>
      <c r="AQ936" s="33"/>
      <c r="AR936" s="33"/>
      <c r="AS936" s="33"/>
      <c r="AT936" s="33"/>
      <c r="AU936" s="33"/>
      <c r="AV936" s="33"/>
      <c r="AW936" s="33"/>
      <c r="AX936" s="33"/>
      <c r="AY936" s="33"/>
      <c r="AZ936" s="33"/>
      <c r="BA936" s="33"/>
      <c r="BB936" s="33"/>
      <c r="BC936" s="33"/>
      <c r="BD936" s="33"/>
      <c r="BE936" s="33"/>
      <c r="BF936" s="33"/>
      <c r="BG936" s="33"/>
      <c r="BH936" s="33"/>
      <c r="BI936" s="33"/>
      <c r="BJ936" s="33"/>
      <c r="BK936" s="33"/>
    </row>
    <row r="937" spans="1:63" ht="15" customHeight="1">
      <c r="A937" s="197"/>
      <c r="B937" s="197"/>
      <c r="C937" s="197"/>
      <c r="D937" s="197"/>
      <c r="E937" s="197"/>
      <c r="F937" s="197"/>
      <c r="G937" s="197"/>
      <c r="H937" s="197"/>
      <c r="I937" s="197"/>
      <c r="J937" s="197"/>
      <c r="K937" s="197"/>
      <c r="L937" s="197"/>
      <c r="M937" s="197"/>
      <c r="N937" s="197"/>
      <c r="O937" s="197"/>
      <c r="P937" s="197"/>
      <c r="Q937" s="197"/>
      <c r="R937" s="197"/>
      <c r="S937" s="197"/>
      <c r="T937" s="197"/>
      <c r="U937" s="197"/>
      <c r="V937" s="197"/>
      <c r="W937" s="197"/>
      <c r="X937" s="197"/>
      <c r="Y937" s="197"/>
      <c r="Z937" s="197"/>
      <c r="AA937" s="197"/>
      <c r="AB937" s="197"/>
      <c r="AC937" s="197"/>
      <c r="AD937" s="197"/>
      <c r="AE937" s="197"/>
      <c r="AF937" s="197"/>
      <c r="AG937" s="197"/>
      <c r="AH937" s="197"/>
      <c r="AI937" s="197"/>
      <c r="AJ937" s="201"/>
      <c r="AK937" s="33"/>
      <c r="AL937" s="33"/>
      <c r="AM937" s="33"/>
      <c r="AN937" s="33"/>
      <c r="AO937" s="33"/>
      <c r="AP937" s="33"/>
      <c r="AQ937" s="33"/>
      <c r="AR937" s="33"/>
      <c r="AS937" s="33"/>
      <c r="AT937" s="33"/>
      <c r="AU937" s="33"/>
      <c r="AV937" s="33"/>
      <c r="AW937" s="33"/>
      <c r="AX937" s="33"/>
      <c r="AY937" s="33"/>
      <c r="AZ937" s="33"/>
      <c r="BA937" s="33"/>
      <c r="BB937" s="33"/>
      <c r="BC937" s="33"/>
      <c r="BD937" s="33"/>
      <c r="BE937" s="33"/>
      <c r="BF937" s="33"/>
      <c r="BG937" s="33"/>
      <c r="BH937" s="33"/>
      <c r="BI937" s="33"/>
      <c r="BJ937" s="33"/>
      <c r="BK937" s="33"/>
    </row>
    <row r="938" spans="1:63" ht="15" customHeight="1">
      <c r="A938" s="197"/>
      <c r="B938" s="197"/>
      <c r="C938" s="197"/>
      <c r="D938" s="197"/>
      <c r="E938" s="197"/>
      <c r="F938" s="197"/>
      <c r="G938" s="197"/>
      <c r="H938" s="197"/>
      <c r="I938" s="197"/>
      <c r="J938" s="197"/>
      <c r="K938" s="197"/>
      <c r="L938" s="197"/>
      <c r="M938" s="197"/>
      <c r="N938" s="197"/>
      <c r="O938" s="197"/>
      <c r="P938" s="197"/>
      <c r="Q938" s="197"/>
      <c r="R938" s="197"/>
      <c r="S938" s="197"/>
      <c r="T938" s="197"/>
      <c r="U938" s="197"/>
      <c r="V938" s="197"/>
      <c r="W938" s="197"/>
      <c r="X938" s="197"/>
      <c r="Y938" s="197"/>
      <c r="Z938" s="197"/>
      <c r="AA938" s="197"/>
      <c r="AB938" s="197"/>
      <c r="AC938" s="197"/>
      <c r="AD938" s="197"/>
      <c r="AE938" s="197"/>
      <c r="AF938" s="197"/>
      <c r="AG938" s="197"/>
      <c r="AH938" s="197"/>
      <c r="AI938" s="197"/>
      <c r="AJ938" s="201"/>
      <c r="AK938" s="33"/>
      <c r="AL938" s="33"/>
      <c r="AM938" s="33"/>
      <c r="AN938" s="33"/>
      <c r="AO938" s="33"/>
      <c r="AP938" s="33"/>
      <c r="AQ938" s="33"/>
      <c r="AR938" s="33"/>
      <c r="AS938" s="33"/>
      <c r="AT938" s="33"/>
      <c r="AU938" s="33"/>
      <c r="AV938" s="33"/>
      <c r="AW938" s="33"/>
      <c r="AX938" s="33"/>
      <c r="AY938" s="33"/>
      <c r="AZ938" s="33"/>
      <c r="BA938" s="33"/>
      <c r="BB938" s="33"/>
      <c r="BC938" s="33"/>
      <c r="BD938" s="33"/>
      <c r="BE938" s="33"/>
      <c r="BF938" s="33"/>
      <c r="BG938" s="33"/>
      <c r="BH938" s="33"/>
      <c r="BI938" s="33"/>
      <c r="BJ938" s="33"/>
      <c r="BK938" s="33"/>
    </row>
    <row r="939" spans="1:63" ht="15" customHeight="1">
      <c r="A939" s="197"/>
      <c r="B939" s="197"/>
      <c r="C939" s="197"/>
      <c r="D939" s="197"/>
      <c r="E939" s="197"/>
      <c r="F939" s="197"/>
      <c r="G939" s="197"/>
      <c r="H939" s="197"/>
      <c r="I939" s="197"/>
      <c r="J939" s="197"/>
      <c r="K939" s="197"/>
      <c r="L939" s="197"/>
      <c r="M939" s="197"/>
      <c r="N939" s="197"/>
      <c r="O939" s="197"/>
      <c r="P939" s="197"/>
      <c r="Q939" s="197"/>
      <c r="R939" s="197"/>
      <c r="S939" s="197"/>
      <c r="T939" s="197"/>
      <c r="U939" s="197"/>
      <c r="V939" s="197"/>
      <c r="W939" s="197"/>
      <c r="X939" s="197"/>
      <c r="Y939" s="197"/>
      <c r="Z939" s="197"/>
      <c r="AA939" s="197"/>
      <c r="AB939" s="197"/>
      <c r="AC939" s="197"/>
      <c r="AD939" s="197"/>
      <c r="AE939" s="197"/>
      <c r="AF939" s="197"/>
      <c r="AG939" s="197"/>
      <c r="AH939" s="197"/>
      <c r="AI939" s="197"/>
      <c r="AJ939" s="201"/>
      <c r="AK939" s="33"/>
      <c r="AL939" s="33"/>
      <c r="AM939" s="33"/>
      <c r="AN939" s="33"/>
      <c r="AO939" s="33"/>
      <c r="AP939" s="33"/>
      <c r="AQ939" s="33"/>
      <c r="AR939" s="33"/>
      <c r="AS939" s="33"/>
      <c r="AT939" s="33"/>
      <c r="AU939" s="33"/>
      <c r="AV939" s="33"/>
      <c r="AW939" s="33"/>
      <c r="AX939" s="33"/>
      <c r="AY939" s="33"/>
      <c r="AZ939" s="33"/>
      <c r="BA939" s="33"/>
      <c r="BB939" s="33"/>
      <c r="BC939" s="33"/>
      <c r="BD939" s="33"/>
      <c r="BE939" s="33"/>
      <c r="BF939" s="33"/>
      <c r="BG939" s="33"/>
      <c r="BH939" s="33"/>
      <c r="BI939" s="33"/>
      <c r="BJ939" s="33"/>
      <c r="BK939" s="33"/>
    </row>
    <row r="940" spans="1:63" ht="15" customHeight="1">
      <c r="A940" s="197"/>
      <c r="B940" s="197"/>
      <c r="C940" s="197"/>
      <c r="D940" s="197"/>
      <c r="E940" s="197"/>
      <c r="F940" s="197"/>
      <c r="G940" s="197"/>
      <c r="H940" s="197"/>
      <c r="I940" s="197"/>
      <c r="J940" s="197"/>
      <c r="K940" s="197"/>
      <c r="L940" s="197"/>
      <c r="M940" s="197"/>
      <c r="N940" s="197"/>
      <c r="O940" s="197"/>
      <c r="P940" s="197"/>
      <c r="Q940" s="197"/>
      <c r="R940" s="197"/>
      <c r="S940" s="197"/>
      <c r="T940" s="197"/>
      <c r="U940" s="197"/>
      <c r="V940" s="197"/>
      <c r="W940" s="197"/>
      <c r="X940" s="197"/>
      <c r="Y940" s="197"/>
      <c r="Z940" s="197"/>
      <c r="AA940" s="197"/>
      <c r="AB940" s="197"/>
      <c r="AC940" s="197"/>
      <c r="AD940" s="197"/>
      <c r="AE940" s="197"/>
      <c r="AF940" s="197"/>
      <c r="AG940" s="197"/>
      <c r="AH940" s="197"/>
      <c r="AI940" s="197"/>
      <c r="AJ940" s="201"/>
      <c r="AK940" s="33"/>
      <c r="AL940" s="33"/>
      <c r="AM940" s="33"/>
      <c r="AN940" s="33"/>
      <c r="AO940" s="33"/>
      <c r="AP940" s="33"/>
      <c r="AQ940" s="33"/>
      <c r="AR940" s="33"/>
      <c r="AS940" s="33"/>
      <c r="AT940" s="33"/>
      <c r="AU940" s="33"/>
      <c r="AV940" s="33"/>
      <c r="AW940" s="33"/>
      <c r="AX940" s="33"/>
      <c r="AY940" s="33"/>
      <c r="AZ940" s="33"/>
      <c r="BA940" s="33"/>
      <c r="BB940" s="33"/>
      <c r="BC940" s="33"/>
      <c r="BD940" s="33"/>
      <c r="BE940" s="33"/>
      <c r="BF940" s="33"/>
      <c r="BG940" s="33"/>
      <c r="BH940" s="33"/>
      <c r="BI940" s="33"/>
      <c r="BJ940" s="33"/>
      <c r="BK940" s="33"/>
    </row>
    <row r="941" spans="1:63" ht="15" customHeight="1">
      <c r="A941" s="197"/>
      <c r="B941" s="197"/>
      <c r="C941" s="197"/>
      <c r="D941" s="197"/>
      <c r="E941" s="197"/>
      <c r="F941" s="197"/>
      <c r="G941" s="197"/>
      <c r="H941" s="197"/>
      <c r="I941" s="197"/>
      <c r="J941" s="197"/>
      <c r="K941" s="197"/>
      <c r="L941" s="197"/>
      <c r="M941" s="197"/>
      <c r="N941" s="197"/>
      <c r="O941" s="197"/>
      <c r="P941" s="197"/>
      <c r="Q941" s="197"/>
      <c r="R941" s="197"/>
      <c r="S941" s="197"/>
      <c r="T941" s="197"/>
      <c r="U941" s="197"/>
      <c r="V941" s="197"/>
      <c r="W941" s="197"/>
      <c r="X941" s="197"/>
      <c r="Y941" s="197"/>
      <c r="Z941" s="197"/>
      <c r="AA941" s="197"/>
      <c r="AB941" s="197"/>
      <c r="AC941" s="197"/>
      <c r="AD941" s="197"/>
      <c r="AE941" s="197"/>
      <c r="AF941" s="197"/>
      <c r="AG941" s="197"/>
      <c r="AH941" s="197"/>
      <c r="AI941" s="197"/>
      <c r="AJ941" s="201"/>
      <c r="AK941" s="33"/>
      <c r="AL941" s="33"/>
      <c r="AM941" s="33"/>
      <c r="AN941" s="33"/>
      <c r="AO941" s="33"/>
      <c r="AP941" s="33"/>
      <c r="AQ941" s="33"/>
      <c r="AR941" s="33"/>
      <c r="AS941" s="33"/>
      <c r="AT941" s="33"/>
      <c r="AU941" s="33"/>
      <c r="AV941" s="33"/>
      <c r="AW941" s="33"/>
      <c r="AX941" s="33"/>
      <c r="AY941" s="33"/>
      <c r="AZ941" s="33"/>
      <c r="BA941" s="33"/>
      <c r="BB941" s="33"/>
      <c r="BC941" s="33"/>
      <c r="BD941" s="33"/>
      <c r="BE941" s="33"/>
      <c r="BF941" s="33"/>
      <c r="BG941" s="33"/>
      <c r="BH941" s="33"/>
      <c r="BI941" s="33"/>
      <c r="BJ941" s="33"/>
      <c r="BK941" s="33"/>
    </row>
    <row r="942" spans="1:63" ht="15" customHeight="1">
      <c r="A942" s="197"/>
      <c r="B942" s="197"/>
      <c r="C942" s="197"/>
      <c r="D942" s="197"/>
      <c r="E942" s="197"/>
      <c r="F942" s="197"/>
      <c r="G942" s="197"/>
      <c r="H942" s="197"/>
      <c r="I942" s="197"/>
      <c r="J942" s="197"/>
      <c r="K942" s="197"/>
      <c r="L942" s="197"/>
      <c r="M942" s="197"/>
      <c r="N942" s="197"/>
      <c r="O942" s="197"/>
      <c r="P942" s="197"/>
      <c r="Q942" s="197"/>
      <c r="R942" s="197"/>
      <c r="S942" s="197"/>
      <c r="T942" s="197"/>
      <c r="U942" s="197"/>
      <c r="V942" s="197"/>
      <c r="W942" s="197"/>
      <c r="X942" s="197"/>
      <c r="Y942" s="197"/>
      <c r="Z942" s="197"/>
      <c r="AA942" s="197"/>
      <c r="AB942" s="197"/>
      <c r="AC942" s="197"/>
      <c r="AD942" s="197"/>
      <c r="AE942" s="197"/>
      <c r="AF942" s="197"/>
      <c r="AG942" s="197"/>
      <c r="AH942" s="197"/>
      <c r="AI942" s="197"/>
      <c r="AJ942" s="201"/>
      <c r="AK942" s="33"/>
      <c r="AL942" s="33"/>
      <c r="AM942" s="33"/>
      <c r="AN942" s="33"/>
      <c r="AO942" s="33"/>
      <c r="AP942" s="33"/>
      <c r="AQ942" s="33"/>
      <c r="AR942" s="33"/>
      <c r="AS942" s="33"/>
      <c r="AT942" s="33"/>
      <c r="AU942" s="33"/>
      <c r="AV942" s="33"/>
      <c r="AW942" s="33"/>
      <c r="AX942" s="33"/>
      <c r="AY942" s="33"/>
      <c r="AZ942" s="33"/>
      <c r="BA942" s="33"/>
      <c r="BB942" s="33"/>
      <c r="BC942" s="33"/>
      <c r="BD942" s="33"/>
      <c r="BE942" s="33"/>
      <c r="BF942" s="33"/>
      <c r="BG942" s="33"/>
      <c r="BH942" s="33"/>
      <c r="BI942" s="33"/>
      <c r="BJ942" s="33"/>
      <c r="BK942" s="33"/>
    </row>
    <row r="943" spans="1:63" ht="15" customHeight="1">
      <c r="A943" s="197"/>
      <c r="B943" s="197"/>
      <c r="C943" s="197"/>
      <c r="D943" s="197"/>
      <c r="E943" s="197"/>
      <c r="F943" s="197"/>
      <c r="G943" s="197"/>
      <c r="H943" s="197"/>
      <c r="I943" s="197"/>
      <c r="J943" s="197"/>
      <c r="K943" s="197"/>
      <c r="L943" s="197"/>
      <c r="M943" s="197"/>
      <c r="N943" s="197"/>
      <c r="O943" s="197"/>
      <c r="P943" s="197"/>
      <c r="Q943" s="197"/>
      <c r="R943" s="197"/>
      <c r="S943" s="197"/>
      <c r="T943" s="197"/>
      <c r="U943" s="197"/>
      <c r="V943" s="197"/>
      <c r="W943" s="197"/>
      <c r="X943" s="197"/>
      <c r="Y943" s="197"/>
      <c r="Z943" s="197"/>
      <c r="AA943" s="197"/>
      <c r="AB943" s="197"/>
      <c r="AC943" s="197"/>
      <c r="AD943" s="197"/>
      <c r="AE943" s="197"/>
      <c r="AF943" s="197"/>
      <c r="AG943" s="197"/>
      <c r="AH943" s="197"/>
      <c r="AI943" s="197"/>
      <c r="AJ943" s="201"/>
      <c r="AK943" s="33"/>
      <c r="AL943" s="33"/>
      <c r="AM943" s="33"/>
      <c r="AN943" s="33"/>
      <c r="AO943" s="33"/>
      <c r="AP943" s="33"/>
      <c r="AQ943" s="33"/>
      <c r="AR943" s="33"/>
      <c r="AS943" s="33"/>
      <c r="AT943" s="33"/>
      <c r="AU943" s="33"/>
      <c r="AV943" s="33"/>
      <c r="AW943" s="33"/>
      <c r="AX943" s="33"/>
      <c r="AY943" s="33"/>
      <c r="AZ943" s="33"/>
      <c r="BA943" s="33"/>
      <c r="BB943" s="33"/>
      <c r="BC943" s="33"/>
      <c r="BD943" s="33"/>
      <c r="BE943" s="33"/>
      <c r="BF943" s="33"/>
      <c r="BG943" s="33"/>
      <c r="BH943" s="33"/>
      <c r="BI943" s="33"/>
      <c r="BJ943" s="33"/>
      <c r="BK943" s="33"/>
    </row>
    <row r="944" spans="1:63" ht="15" customHeight="1">
      <c r="A944" s="197"/>
      <c r="B944" s="197"/>
      <c r="C944" s="197"/>
      <c r="D944" s="197"/>
      <c r="E944" s="197"/>
      <c r="F944" s="197"/>
      <c r="G944" s="197"/>
      <c r="H944" s="197"/>
      <c r="I944" s="197"/>
      <c r="J944" s="197"/>
      <c r="K944" s="197"/>
      <c r="L944" s="197"/>
      <c r="M944" s="197"/>
      <c r="N944" s="197"/>
      <c r="O944" s="197"/>
      <c r="P944" s="197"/>
      <c r="Q944" s="197"/>
      <c r="R944" s="197"/>
      <c r="S944" s="197"/>
      <c r="T944" s="197"/>
      <c r="U944" s="197"/>
      <c r="V944" s="197"/>
      <c r="W944" s="197"/>
      <c r="X944" s="197"/>
      <c r="Y944" s="197"/>
      <c r="Z944" s="197"/>
      <c r="AA944" s="197"/>
      <c r="AB944" s="197"/>
      <c r="AC944" s="197"/>
      <c r="AD944" s="197"/>
      <c r="AE944" s="197"/>
      <c r="AF944" s="197"/>
      <c r="AG944" s="197"/>
      <c r="AH944" s="197"/>
      <c r="AI944" s="197"/>
      <c r="AJ944" s="201"/>
      <c r="AK944" s="33"/>
      <c r="AL944" s="33"/>
      <c r="AM944" s="33"/>
      <c r="AN944" s="33"/>
      <c r="AO944" s="33"/>
      <c r="AP944" s="33"/>
      <c r="AQ944" s="33"/>
      <c r="AR944" s="33"/>
      <c r="AS944" s="33"/>
      <c r="AT944" s="33"/>
      <c r="AU944" s="33"/>
      <c r="AV944" s="33"/>
      <c r="AW944" s="33"/>
      <c r="AX944" s="33"/>
      <c r="AY944" s="33"/>
      <c r="AZ944" s="33"/>
      <c r="BA944" s="33"/>
      <c r="BB944" s="33"/>
      <c r="BC944" s="33"/>
      <c r="BD944" s="33"/>
      <c r="BE944" s="33"/>
      <c r="BF944" s="33"/>
      <c r="BG944" s="33"/>
      <c r="BH944" s="33"/>
      <c r="BI944" s="33"/>
      <c r="BJ944" s="33"/>
      <c r="BK944" s="33"/>
    </row>
    <row r="945" spans="1:63" ht="15" customHeight="1">
      <c r="A945" s="197"/>
      <c r="B945" s="197"/>
      <c r="C945" s="197"/>
      <c r="D945" s="197"/>
      <c r="E945" s="197"/>
      <c r="F945" s="197"/>
      <c r="G945" s="197"/>
      <c r="H945" s="197"/>
      <c r="I945" s="197"/>
      <c r="J945" s="197"/>
      <c r="K945" s="197"/>
      <c r="L945" s="197"/>
      <c r="M945" s="197"/>
      <c r="N945" s="197"/>
      <c r="O945" s="197"/>
      <c r="P945" s="197"/>
      <c r="Q945" s="197"/>
      <c r="R945" s="197"/>
      <c r="S945" s="197"/>
      <c r="T945" s="197"/>
      <c r="U945" s="197"/>
      <c r="V945" s="197"/>
      <c r="W945" s="197"/>
      <c r="X945" s="197"/>
      <c r="Y945" s="197"/>
      <c r="Z945" s="197"/>
      <c r="AA945" s="197"/>
      <c r="AB945" s="197"/>
      <c r="AC945" s="197"/>
      <c r="AD945" s="197"/>
      <c r="AE945" s="197"/>
      <c r="AF945" s="197"/>
      <c r="AG945" s="197"/>
      <c r="AH945" s="197"/>
      <c r="AI945" s="197"/>
      <c r="AJ945" s="201"/>
      <c r="AK945" s="33"/>
      <c r="AL945" s="33"/>
      <c r="AM945" s="33"/>
      <c r="AN945" s="33"/>
      <c r="AO945" s="33"/>
      <c r="AP945" s="33"/>
      <c r="AQ945" s="33"/>
      <c r="AR945" s="33"/>
      <c r="AS945" s="33"/>
      <c r="AT945" s="33"/>
      <c r="AU945" s="33"/>
      <c r="AV945" s="33"/>
      <c r="AW945" s="33"/>
      <c r="AX945" s="33"/>
      <c r="AY945" s="33"/>
      <c r="AZ945" s="33"/>
      <c r="BA945" s="33"/>
      <c r="BB945" s="33"/>
      <c r="BC945" s="33"/>
      <c r="BD945" s="33"/>
      <c r="BE945" s="33"/>
      <c r="BF945" s="33"/>
      <c r="BG945" s="33"/>
      <c r="BH945" s="33"/>
      <c r="BI945" s="33"/>
      <c r="BJ945" s="33"/>
      <c r="BK945" s="33"/>
    </row>
    <row r="946" spans="1:63" ht="15" customHeight="1">
      <c r="A946" s="197"/>
      <c r="B946" s="197"/>
      <c r="C946" s="197"/>
      <c r="D946" s="197"/>
      <c r="E946" s="197"/>
      <c r="F946" s="197"/>
      <c r="G946" s="197"/>
      <c r="H946" s="197"/>
      <c r="I946" s="197"/>
      <c r="J946" s="197"/>
      <c r="K946" s="197"/>
      <c r="L946" s="197"/>
      <c r="M946" s="197"/>
      <c r="N946" s="197"/>
      <c r="O946" s="197"/>
      <c r="P946" s="197"/>
      <c r="Q946" s="197"/>
      <c r="R946" s="197"/>
      <c r="S946" s="197"/>
      <c r="T946" s="197"/>
      <c r="U946" s="197"/>
      <c r="V946" s="197"/>
      <c r="W946" s="197"/>
      <c r="X946" s="197"/>
      <c r="Y946" s="197"/>
      <c r="Z946" s="197"/>
      <c r="AA946" s="197"/>
      <c r="AB946" s="197"/>
      <c r="AC946" s="197"/>
      <c r="AD946" s="197"/>
      <c r="AE946" s="197"/>
      <c r="AF946" s="197"/>
      <c r="AG946" s="197"/>
      <c r="AH946" s="197"/>
      <c r="AI946" s="197"/>
      <c r="AJ946" s="201"/>
      <c r="AK946" s="33"/>
      <c r="AL946" s="33"/>
      <c r="AM946" s="33"/>
      <c r="AN946" s="33"/>
      <c r="AO946" s="33"/>
      <c r="AP946" s="33"/>
      <c r="AQ946" s="33"/>
      <c r="AR946" s="33"/>
      <c r="AS946" s="33"/>
      <c r="AT946" s="33"/>
      <c r="AU946" s="33"/>
      <c r="AV946" s="33"/>
      <c r="AW946" s="33"/>
      <c r="AX946" s="33"/>
      <c r="AY946" s="33"/>
      <c r="AZ946" s="33"/>
      <c r="BA946" s="33"/>
      <c r="BB946" s="33"/>
      <c r="BC946" s="33"/>
      <c r="BD946" s="33"/>
      <c r="BE946" s="33"/>
      <c r="BF946" s="33"/>
      <c r="BG946" s="33"/>
      <c r="BH946" s="33"/>
      <c r="BI946" s="33"/>
      <c r="BJ946" s="33"/>
      <c r="BK946" s="33"/>
    </row>
    <row r="947" spans="1:63" ht="15" customHeight="1">
      <c r="A947" s="197"/>
      <c r="B947" s="197"/>
      <c r="C947" s="197"/>
      <c r="D947" s="197"/>
      <c r="E947" s="197"/>
      <c r="F947" s="197"/>
      <c r="G947" s="197"/>
      <c r="H947" s="197"/>
      <c r="I947" s="197"/>
      <c r="J947" s="197"/>
      <c r="K947" s="197"/>
      <c r="L947" s="197"/>
      <c r="M947" s="197"/>
      <c r="N947" s="197"/>
      <c r="O947" s="197"/>
      <c r="P947" s="197"/>
      <c r="Q947" s="197"/>
      <c r="R947" s="197"/>
      <c r="S947" s="197"/>
      <c r="T947" s="197"/>
      <c r="U947" s="197"/>
      <c r="V947" s="197"/>
      <c r="W947" s="197"/>
      <c r="X947" s="197"/>
      <c r="Y947" s="197"/>
      <c r="Z947" s="197"/>
      <c r="AA947" s="197"/>
      <c r="AB947" s="197"/>
      <c r="AC947" s="197"/>
      <c r="AD947" s="197"/>
      <c r="AE947" s="197"/>
      <c r="AF947" s="197"/>
      <c r="AG947" s="197"/>
      <c r="AH947" s="197"/>
      <c r="AI947" s="197"/>
      <c r="AJ947" s="201"/>
      <c r="AK947" s="33"/>
      <c r="AL947" s="33"/>
      <c r="AM947" s="33"/>
      <c r="AN947" s="33"/>
      <c r="AO947" s="33"/>
      <c r="AP947" s="33"/>
      <c r="AQ947" s="33"/>
      <c r="AR947" s="33"/>
      <c r="AS947" s="33"/>
      <c r="AT947" s="33"/>
      <c r="AU947" s="33"/>
      <c r="AV947" s="33"/>
      <c r="AW947" s="33"/>
      <c r="AX947" s="33"/>
      <c r="AY947" s="33"/>
      <c r="AZ947" s="33"/>
      <c r="BA947" s="33"/>
      <c r="BB947" s="33"/>
      <c r="BC947" s="33"/>
      <c r="BD947" s="33"/>
      <c r="BE947" s="33"/>
      <c r="BF947" s="33"/>
      <c r="BG947" s="33"/>
      <c r="BH947" s="33"/>
      <c r="BI947" s="33"/>
      <c r="BJ947" s="33"/>
      <c r="BK947" s="33"/>
    </row>
    <row r="948" spans="1:63" ht="15" customHeight="1">
      <c r="A948" s="197"/>
      <c r="B948" s="197"/>
      <c r="C948" s="197"/>
      <c r="D948" s="197"/>
      <c r="E948" s="197"/>
      <c r="F948" s="197"/>
      <c r="G948" s="197"/>
      <c r="H948" s="197"/>
      <c r="I948" s="197"/>
      <c r="J948" s="197"/>
      <c r="K948" s="197"/>
      <c r="L948" s="197"/>
      <c r="M948" s="197"/>
      <c r="N948" s="197"/>
      <c r="O948" s="197"/>
      <c r="P948" s="197"/>
      <c r="Q948" s="197"/>
      <c r="R948" s="197"/>
      <c r="S948" s="197"/>
      <c r="T948" s="197"/>
      <c r="U948" s="197"/>
      <c r="V948" s="197"/>
      <c r="W948" s="197"/>
      <c r="X948" s="197"/>
      <c r="Y948" s="197"/>
      <c r="Z948" s="197"/>
      <c r="AA948" s="197"/>
      <c r="AB948" s="197"/>
      <c r="AC948" s="197"/>
      <c r="AD948" s="197"/>
      <c r="AE948" s="197"/>
      <c r="AF948" s="197"/>
      <c r="AG948" s="197"/>
      <c r="AH948" s="197"/>
      <c r="AI948" s="197"/>
      <c r="AJ948" s="201"/>
      <c r="AK948" s="33"/>
      <c r="AL948" s="33"/>
      <c r="AM948" s="33"/>
      <c r="AN948" s="33"/>
      <c r="AO948" s="33"/>
      <c r="AP948" s="33"/>
      <c r="AQ948" s="33"/>
      <c r="AR948" s="33"/>
      <c r="AS948" s="33"/>
      <c r="AT948" s="33"/>
      <c r="AU948" s="33"/>
      <c r="AV948" s="33"/>
      <c r="AW948" s="33"/>
      <c r="AX948" s="33"/>
      <c r="AY948" s="33"/>
      <c r="AZ948" s="33"/>
      <c r="BA948" s="33"/>
      <c r="BB948" s="33"/>
      <c r="BC948" s="33"/>
      <c r="BD948" s="33"/>
      <c r="BE948" s="33"/>
      <c r="BF948" s="33"/>
      <c r="BG948" s="33"/>
      <c r="BH948" s="33"/>
      <c r="BI948" s="33"/>
      <c r="BJ948" s="33"/>
      <c r="BK948" s="33"/>
    </row>
    <row r="949" spans="1:63" ht="15" customHeight="1">
      <c r="A949" s="197"/>
      <c r="B949" s="197"/>
      <c r="C949" s="197"/>
      <c r="D949" s="197"/>
      <c r="E949" s="197"/>
      <c r="F949" s="197"/>
      <c r="G949" s="197"/>
      <c r="H949" s="197"/>
      <c r="I949" s="197"/>
      <c r="J949" s="197"/>
      <c r="K949" s="197"/>
      <c r="L949" s="197"/>
      <c r="M949" s="197"/>
      <c r="N949" s="197"/>
      <c r="O949" s="197"/>
      <c r="P949" s="197"/>
      <c r="Q949" s="197"/>
      <c r="R949" s="197"/>
      <c r="S949" s="197"/>
      <c r="T949" s="197"/>
      <c r="U949" s="197"/>
      <c r="V949" s="197"/>
      <c r="W949" s="197"/>
      <c r="X949" s="197"/>
      <c r="Y949" s="197"/>
      <c r="Z949" s="197"/>
      <c r="AA949" s="197"/>
      <c r="AB949" s="197"/>
      <c r="AC949" s="197"/>
      <c r="AD949" s="197"/>
      <c r="AE949" s="197"/>
      <c r="AF949" s="197"/>
      <c r="AG949" s="197"/>
      <c r="AH949" s="197"/>
      <c r="AI949" s="197"/>
      <c r="AJ949" s="201"/>
      <c r="AK949" s="33"/>
      <c r="AL949" s="33"/>
      <c r="AM949" s="33"/>
      <c r="AN949" s="33"/>
      <c r="AO949" s="33"/>
      <c r="AP949" s="33"/>
      <c r="AQ949" s="33"/>
      <c r="AR949" s="33"/>
      <c r="AS949" s="33"/>
      <c r="AT949" s="33"/>
      <c r="AU949" s="33"/>
      <c r="AV949" s="33"/>
      <c r="AW949" s="33"/>
      <c r="AX949" s="33"/>
      <c r="AY949" s="33"/>
      <c r="AZ949" s="33"/>
      <c r="BA949" s="33"/>
      <c r="BB949" s="33"/>
      <c r="BC949" s="33"/>
      <c r="BD949" s="33"/>
      <c r="BE949" s="33"/>
      <c r="BF949" s="33"/>
      <c r="BG949" s="33"/>
      <c r="BH949" s="33"/>
      <c r="BI949" s="33"/>
      <c r="BJ949" s="33"/>
      <c r="BK949" s="33"/>
    </row>
    <row r="950" spans="1:63" ht="15" customHeight="1">
      <c r="A950" s="197"/>
      <c r="B950" s="197"/>
      <c r="C950" s="197"/>
      <c r="D950" s="197"/>
      <c r="E950" s="197"/>
      <c r="F950" s="197"/>
      <c r="G950" s="197"/>
      <c r="H950" s="197"/>
      <c r="I950" s="197"/>
      <c r="J950" s="197"/>
      <c r="K950" s="197"/>
      <c r="L950" s="197"/>
      <c r="M950" s="197"/>
      <c r="N950" s="197"/>
      <c r="O950" s="197"/>
      <c r="P950" s="197"/>
      <c r="Q950" s="197"/>
      <c r="R950" s="197"/>
      <c r="S950" s="197"/>
      <c r="T950" s="197"/>
      <c r="U950" s="197"/>
      <c r="V950" s="197"/>
      <c r="W950" s="197"/>
      <c r="X950" s="197"/>
      <c r="Y950" s="197"/>
      <c r="Z950" s="197"/>
      <c r="AA950" s="197"/>
      <c r="AB950" s="197"/>
      <c r="AC950" s="197"/>
      <c r="AD950" s="197"/>
      <c r="AE950" s="197"/>
      <c r="AF950" s="197"/>
      <c r="AG950" s="197"/>
      <c r="AH950" s="197"/>
      <c r="AI950" s="197"/>
      <c r="AJ950" s="201"/>
      <c r="AK950" s="33"/>
      <c r="AL950" s="33"/>
      <c r="AM950" s="33"/>
      <c r="AN950" s="33"/>
      <c r="AO950" s="33"/>
      <c r="AP950" s="33"/>
      <c r="AQ950" s="33"/>
      <c r="AR950" s="33"/>
      <c r="AS950" s="33"/>
      <c r="AT950" s="33"/>
      <c r="AU950" s="33"/>
      <c r="AV950" s="33"/>
      <c r="AW950" s="33"/>
      <c r="AX950" s="33"/>
      <c r="AY950" s="33"/>
      <c r="AZ950" s="33"/>
      <c r="BA950" s="33"/>
      <c r="BB950" s="33"/>
      <c r="BC950" s="33"/>
      <c r="BD950" s="33"/>
      <c r="BE950" s="33"/>
      <c r="BF950" s="33"/>
      <c r="BG950" s="33"/>
      <c r="BH950" s="33"/>
      <c r="BI950" s="33"/>
      <c r="BJ950" s="33"/>
      <c r="BK950" s="33"/>
    </row>
    <row r="951" spans="1:63" ht="15" customHeight="1">
      <c r="A951" s="197"/>
      <c r="B951" s="197"/>
      <c r="C951" s="197"/>
      <c r="D951" s="197"/>
      <c r="E951" s="197"/>
      <c r="F951" s="197"/>
      <c r="G951" s="197"/>
      <c r="H951" s="197"/>
      <c r="I951" s="197"/>
      <c r="J951" s="197"/>
      <c r="K951" s="197"/>
      <c r="L951" s="197"/>
      <c r="M951" s="197"/>
      <c r="N951" s="197"/>
      <c r="O951" s="197"/>
      <c r="P951" s="197"/>
      <c r="Q951" s="197"/>
      <c r="R951" s="197"/>
      <c r="S951" s="197"/>
      <c r="T951" s="197"/>
      <c r="U951" s="197"/>
      <c r="V951" s="197"/>
      <c r="W951" s="197"/>
      <c r="X951" s="197"/>
      <c r="Y951" s="197"/>
      <c r="Z951" s="197"/>
      <c r="AA951" s="197"/>
      <c r="AB951" s="197"/>
      <c r="AC951" s="197"/>
      <c r="AD951" s="197"/>
      <c r="AE951" s="197"/>
      <c r="AF951" s="197"/>
      <c r="AG951" s="197"/>
      <c r="AH951" s="197"/>
      <c r="AI951" s="197"/>
      <c r="AJ951" s="201"/>
      <c r="AK951" s="33"/>
      <c r="AL951" s="33"/>
      <c r="AM951" s="33"/>
      <c r="AN951" s="33"/>
      <c r="AO951" s="33"/>
      <c r="AP951" s="33"/>
      <c r="AQ951" s="33"/>
      <c r="AR951" s="33"/>
      <c r="AS951" s="33"/>
      <c r="AT951" s="33"/>
      <c r="AU951" s="33"/>
      <c r="AV951" s="33"/>
      <c r="AW951" s="33"/>
      <c r="AX951" s="33"/>
      <c r="AY951" s="33"/>
      <c r="AZ951" s="33"/>
      <c r="BA951" s="33"/>
      <c r="BB951" s="33"/>
      <c r="BC951" s="33"/>
      <c r="BD951" s="33"/>
      <c r="BE951" s="33"/>
      <c r="BF951" s="33"/>
      <c r="BG951" s="33"/>
      <c r="BH951" s="33"/>
      <c r="BI951" s="33"/>
      <c r="BJ951" s="33"/>
      <c r="BK951" s="33"/>
    </row>
    <row r="952" spans="1:63" ht="15" customHeight="1">
      <c r="A952" s="197"/>
      <c r="B952" s="197"/>
      <c r="C952" s="197"/>
      <c r="D952" s="197"/>
      <c r="E952" s="197"/>
      <c r="F952" s="197"/>
      <c r="G952" s="197"/>
      <c r="H952" s="197"/>
      <c r="I952" s="197"/>
      <c r="J952" s="197"/>
      <c r="K952" s="197"/>
      <c r="L952" s="197"/>
      <c r="M952" s="197"/>
      <c r="N952" s="197"/>
      <c r="O952" s="197"/>
      <c r="P952" s="197"/>
      <c r="Q952" s="197"/>
      <c r="R952" s="197"/>
      <c r="S952" s="197"/>
      <c r="T952" s="197"/>
      <c r="U952" s="197"/>
      <c r="V952" s="197"/>
      <c r="W952" s="197"/>
      <c r="X952" s="197"/>
      <c r="Y952" s="197"/>
      <c r="Z952" s="197"/>
      <c r="AA952" s="197"/>
      <c r="AB952" s="197"/>
      <c r="AC952" s="197"/>
      <c r="AD952" s="197"/>
      <c r="AE952" s="197"/>
      <c r="AF952" s="197"/>
      <c r="AG952" s="197"/>
      <c r="AH952" s="197"/>
      <c r="AI952" s="197"/>
      <c r="AJ952" s="201"/>
      <c r="AK952" s="33"/>
      <c r="AL952" s="33"/>
      <c r="AM952" s="33"/>
      <c r="AN952" s="33"/>
      <c r="AO952" s="33"/>
      <c r="AP952" s="33"/>
      <c r="AQ952" s="33"/>
      <c r="AR952" s="33"/>
      <c r="AS952" s="33"/>
      <c r="AT952" s="33"/>
      <c r="AU952" s="33"/>
      <c r="AV952" s="33"/>
      <c r="AW952" s="33"/>
      <c r="AX952" s="33"/>
      <c r="AY952" s="33"/>
      <c r="AZ952" s="33"/>
      <c r="BA952" s="33"/>
      <c r="BB952" s="33"/>
      <c r="BC952" s="33"/>
      <c r="BD952" s="33"/>
      <c r="BE952" s="33"/>
      <c r="BF952" s="33"/>
      <c r="BG952" s="33"/>
      <c r="BH952" s="33"/>
      <c r="BI952" s="33"/>
      <c r="BJ952" s="33"/>
      <c r="BK952" s="33"/>
    </row>
    <row r="953" spans="1:63" ht="15" customHeight="1">
      <c r="A953" s="197"/>
      <c r="B953" s="197"/>
      <c r="C953" s="197"/>
      <c r="D953" s="197"/>
      <c r="E953" s="197"/>
      <c r="F953" s="197"/>
      <c r="G953" s="197"/>
      <c r="H953" s="197"/>
      <c r="I953" s="197"/>
      <c r="J953" s="197"/>
      <c r="K953" s="197"/>
      <c r="L953" s="197"/>
      <c r="M953" s="197"/>
      <c r="N953" s="197"/>
      <c r="O953" s="197"/>
      <c r="P953" s="197"/>
      <c r="Q953" s="197"/>
      <c r="R953" s="197"/>
      <c r="S953" s="197"/>
      <c r="T953" s="197"/>
      <c r="U953" s="197"/>
      <c r="V953" s="197"/>
      <c r="W953" s="197"/>
      <c r="X953" s="197"/>
      <c r="Y953" s="197"/>
      <c r="Z953" s="197"/>
      <c r="AA953" s="197"/>
      <c r="AB953" s="197"/>
      <c r="AC953" s="197"/>
      <c r="AD953" s="197"/>
      <c r="AE953" s="197"/>
      <c r="AF953" s="197"/>
      <c r="AG953" s="197"/>
      <c r="AH953" s="197"/>
      <c r="AI953" s="197"/>
      <c r="AJ953" s="201"/>
      <c r="AK953" s="33"/>
      <c r="AL953" s="33"/>
      <c r="AM953" s="33"/>
      <c r="AN953" s="33"/>
      <c r="AO953" s="33"/>
      <c r="AP953" s="33"/>
      <c r="AQ953" s="33"/>
      <c r="AR953" s="33"/>
      <c r="AS953" s="33"/>
      <c r="AT953" s="33"/>
      <c r="AU953" s="33"/>
      <c r="AV953" s="33"/>
      <c r="AW953" s="33"/>
      <c r="AX953" s="33"/>
      <c r="AY953" s="33"/>
      <c r="AZ953" s="33"/>
      <c r="BA953" s="33"/>
      <c r="BB953" s="33"/>
      <c r="BC953" s="33"/>
      <c r="BD953" s="33"/>
      <c r="BE953" s="33"/>
      <c r="BF953" s="33"/>
      <c r="BG953" s="33"/>
      <c r="BH953" s="33"/>
      <c r="BI953" s="33"/>
      <c r="BJ953" s="33"/>
      <c r="BK953" s="33"/>
    </row>
    <row r="954" spans="1:63" ht="15" customHeight="1">
      <c r="A954" s="197"/>
      <c r="B954" s="197"/>
      <c r="C954" s="197"/>
      <c r="D954" s="197"/>
      <c r="E954" s="197"/>
      <c r="F954" s="197"/>
      <c r="G954" s="197"/>
      <c r="H954" s="197"/>
      <c r="I954" s="197"/>
      <c r="J954" s="197"/>
      <c r="K954" s="197"/>
      <c r="L954" s="197"/>
      <c r="M954" s="197"/>
      <c r="N954" s="197"/>
      <c r="O954" s="197"/>
      <c r="P954" s="197"/>
      <c r="Q954" s="197"/>
      <c r="R954" s="197"/>
      <c r="S954" s="197"/>
      <c r="T954" s="197"/>
      <c r="U954" s="197"/>
      <c r="V954" s="197"/>
      <c r="W954" s="197"/>
      <c r="X954" s="197"/>
      <c r="Y954" s="197"/>
      <c r="Z954" s="197"/>
      <c r="AA954" s="197"/>
      <c r="AB954" s="197"/>
      <c r="AC954" s="197"/>
      <c r="AD954" s="197"/>
      <c r="AE954" s="197"/>
      <c r="AF954" s="197"/>
      <c r="AG954" s="197"/>
      <c r="AH954" s="197"/>
      <c r="AI954" s="197"/>
      <c r="AJ954" s="201"/>
      <c r="AK954" s="33"/>
      <c r="AL954" s="33"/>
      <c r="AM954" s="33"/>
      <c r="AN954" s="33"/>
      <c r="AO954" s="33"/>
      <c r="AP954" s="33"/>
      <c r="AQ954" s="33"/>
      <c r="AR954" s="33"/>
      <c r="AS954" s="33"/>
      <c r="AT954" s="33"/>
      <c r="AU954" s="33"/>
      <c r="AV954" s="33"/>
      <c r="AW954" s="33"/>
      <c r="AX954" s="33"/>
      <c r="AY954" s="33"/>
      <c r="AZ954" s="33"/>
      <c r="BA954" s="33"/>
      <c r="BB954" s="33"/>
      <c r="BC954" s="33"/>
      <c r="BD954" s="33"/>
      <c r="BE954" s="33"/>
      <c r="BF954" s="33"/>
      <c r="BG954" s="33"/>
      <c r="BH954" s="33"/>
      <c r="BI954" s="33"/>
      <c r="BJ954" s="33"/>
      <c r="BK954" s="33"/>
    </row>
    <row r="955" spans="1:63" ht="15" customHeight="1">
      <c r="A955" s="197"/>
      <c r="B955" s="197"/>
      <c r="C955" s="197"/>
      <c r="D955" s="197"/>
      <c r="E955" s="197"/>
      <c r="F955" s="197"/>
      <c r="G955" s="197"/>
      <c r="H955" s="197"/>
      <c r="I955" s="197"/>
      <c r="J955" s="197"/>
      <c r="K955" s="197"/>
      <c r="L955" s="197"/>
      <c r="M955" s="197"/>
      <c r="N955" s="197"/>
      <c r="O955" s="197"/>
      <c r="P955" s="197"/>
      <c r="Q955" s="197"/>
      <c r="R955" s="197"/>
      <c r="S955" s="197"/>
      <c r="T955" s="197"/>
      <c r="U955" s="197"/>
      <c r="V955" s="197"/>
      <c r="W955" s="197"/>
      <c r="X955" s="197"/>
      <c r="Y955" s="197"/>
      <c r="Z955" s="197"/>
      <c r="AA955" s="197"/>
      <c r="AB955" s="197"/>
      <c r="AC955" s="197"/>
      <c r="AD955" s="197"/>
      <c r="AE955" s="197"/>
      <c r="AF955" s="197"/>
      <c r="AG955" s="197"/>
      <c r="AH955" s="197"/>
      <c r="AI955" s="197"/>
      <c r="AJ955" s="201"/>
      <c r="AK955" s="33"/>
      <c r="AL955" s="33"/>
      <c r="AM955" s="33"/>
      <c r="AN955" s="33"/>
      <c r="AO955" s="33"/>
      <c r="AP955" s="33"/>
      <c r="AQ955" s="33"/>
      <c r="AR955" s="33"/>
      <c r="AS955" s="33"/>
      <c r="AT955" s="33"/>
      <c r="AU955" s="33"/>
      <c r="AV955" s="33"/>
      <c r="AW955" s="33"/>
      <c r="AX955" s="33"/>
      <c r="AY955" s="33"/>
      <c r="AZ955" s="33"/>
      <c r="BA955" s="33"/>
      <c r="BB955" s="33"/>
      <c r="BC955" s="33"/>
      <c r="BD955" s="33"/>
      <c r="BE955" s="33"/>
      <c r="BF955" s="33"/>
      <c r="BG955" s="33"/>
      <c r="BH955" s="33"/>
      <c r="BI955" s="33"/>
      <c r="BJ955" s="33"/>
      <c r="BK955" s="33"/>
    </row>
    <row r="956" spans="1:63" ht="15" customHeight="1">
      <c r="A956" s="197"/>
      <c r="B956" s="197"/>
      <c r="C956" s="197"/>
      <c r="D956" s="197"/>
      <c r="E956" s="197"/>
      <c r="F956" s="197"/>
      <c r="G956" s="197"/>
      <c r="H956" s="197"/>
      <c r="I956" s="197"/>
      <c r="J956" s="197"/>
      <c r="K956" s="197"/>
      <c r="L956" s="197"/>
      <c r="M956" s="197"/>
      <c r="N956" s="197"/>
      <c r="O956" s="197"/>
      <c r="P956" s="197"/>
      <c r="Q956" s="197"/>
      <c r="R956" s="197"/>
      <c r="S956" s="197"/>
      <c r="T956" s="197"/>
      <c r="U956" s="197"/>
      <c r="V956" s="197"/>
      <c r="W956" s="197"/>
      <c r="X956" s="197"/>
      <c r="Y956" s="197"/>
      <c r="Z956" s="197"/>
      <c r="AA956" s="197"/>
      <c r="AB956" s="197"/>
      <c r="AC956" s="197"/>
      <c r="AD956" s="197"/>
      <c r="AE956" s="197"/>
      <c r="AF956" s="197"/>
      <c r="AG956" s="197"/>
      <c r="AH956" s="197"/>
      <c r="AI956" s="197"/>
      <c r="AJ956" s="201"/>
      <c r="AK956" s="33"/>
      <c r="AL956" s="33"/>
      <c r="AM956" s="33"/>
      <c r="AN956" s="33"/>
      <c r="AO956" s="33"/>
      <c r="AP956" s="33"/>
      <c r="AQ956" s="33"/>
      <c r="AR956" s="33"/>
      <c r="AS956" s="33"/>
      <c r="AT956" s="33"/>
      <c r="AU956" s="33"/>
      <c r="AV956" s="33"/>
      <c r="AW956" s="33"/>
      <c r="AX956" s="33"/>
      <c r="AY956" s="33"/>
      <c r="AZ956" s="33"/>
      <c r="BA956" s="33"/>
      <c r="BB956" s="33"/>
      <c r="BC956" s="33"/>
      <c r="BD956" s="33"/>
      <c r="BE956" s="33"/>
      <c r="BF956" s="33"/>
      <c r="BG956" s="33"/>
      <c r="BH956" s="33"/>
      <c r="BI956" s="33"/>
      <c r="BJ956" s="33"/>
      <c r="BK956" s="33"/>
    </row>
    <row r="957" spans="1:63" ht="15" customHeight="1">
      <c r="A957" s="197"/>
      <c r="B957" s="197"/>
      <c r="C957" s="197"/>
      <c r="D957" s="197"/>
      <c r="E957" s="197"/>
      <c r="F957" s="197"/>
      <c r="G957" s="197"/>
      <c r="H957" s="197"/>
      <c r="I957" s="197"/>
      <c r="J957" s="197"/>
      <c r="K957" s="197"/>
      <c r="L957" s="197"/>
      <c r="M957" s="197"/>
      <c r="N957" s="197"/>
      <c r="O957" s="197"/>
      <c r="P957" s="197"/>
      <c r="Q957" s="197"/>
      <c r="R957" s="197"/>
      <c r="S957" s="197"/>
      <c r="T957" s="197"/>
      <c r="U957" s="197"/>
      <c r="V957" s="197"/>
      <c r="W957" s="197"/>
      <c r="X957" s="197"/>
      <c r="Y957" s="197"/>
      <c r="Z957" s="197"/>
      <c r="AA957" s="197"/>
      <c r="AB957" s="197"/>
      <c r="AC957" s="197"/>
      <c r="AD957" s="197"/>
      <c r="AE957" s="197"/>
      <c r="AF957" s="197"/>
      <c r="AG957" s="197"/>
      <c r="AH957" s="197"/>
      <c r="AI957" s="197"/>
      <c r="AJ957" s="201"/>
      <c r="AK957" s="33"/>
      <c r="AL957" s="33"/>
      <c r="AM957" s="33"/>
      <c r="AN957" s="33"/>
      <c r="AO957" s="33"/>
      <c r="AP957" s="33"/>
      <c r="AQ957" s="33"/>
      <c r="AR957" s="33"/>
      <c r="AS957" s="33"/>
      <c r="AT957" s="33"/>
      <c r="AU957" s="33"/>
      <c r="AV957" s="33"/>
      <c r="AW957" s="33"/>
      <c r="AX957" s="33"/>
      <c r="AY957" s="33"/>
      <c r="AZ957" s="33"/>
      <c r="BA957" s="33"/>
      <c r="BB957" s="33"/>
      <c r="BC957" s="33"/>
      <c r="BD957" s="33"/>
      <c r="BE957" s="33"/>
      <c r="BF957" s="33"/>
      <c r="BG957" s="33"/>
      <c r="BH957" s="33"/>
      <c r="BI957" s="33"/>
      <c r="BJ957" s="33"/>
      <c r="BK957" s="33"/>
    </row>
    <row r="958" spans="1:63" ht="15" customHeight="1">
      <c r="A958" s="197"/>
      <c r="B958" s="197"/>
      <c r="C958" s="197"/>
      <c r="D958" s="197"/>
      <c r="E958" s="197"/>
      <c r="F958" s="197"/>
      <c r="G958" s="197"/>
      <c r="H958" s="197"/>
      <c r="I958" s="197"/>
      <c r="J958" s="197"/>
      <c r="K958" s="197"/>
      <c r="L958" s="197"/>
      <c r="M958" s="197"/>
      <c r="N958" s="197"/>
      <c r="O958" s="197"/>
      <c r="P958" s="197"/>
      <c r="Q958" s="197"/>
      <c r="R958" s="197"/>
      <c r="S958" s="197"/>
      <c r="T958" s="197"/>
      <c r="U958" s="197"/>
      <c r="V958" s="197"/>
      <c r="W958" s="197"/>
      <c r="X958" s="197"/>
      <c r="Y958" s="197"/>
      <c r="Z958" s="197"/>
      <c r="AA958" s="197"/>
      <c r="AB958" s="197"/>
      <c r="AC958" s="197"/>
      <c r="AD958" s="197"/>
      <c r="AE958" s="197"/>
      <c r="AF958" s="197"/>
      <c r="AG958" s="197"/>
      <c r="AH958" s="197"/>
      <c r="AI958" s="197"/>
      <c r="AJ958" s="201"/>
      <c r="AK958" s="33"/>
      <c r="AL958" s="33"/>
      <c r="AM958" s="33"/>
      <c r="AN958" s="33"/>
      <c r="AO958" s="33"/>
      <c r="AP958" s="33"/>
      <c r="AQ958" s="33"/>
      <c r="AR958" s="33"/>
      <c r="AS958" s="33"/>
      <c r="AT958" s="33"/>
      <c r="AU958" s="33"/>
      <c r="AV958" s="33"/>
      <c r="AW958" s="33"/>
      <c r="AX958" s="33"/>
      <c r="AY958" s="33"/>
      <c r="AZ958" s="33"/>
      <c r="BA958" s="33"/>
      <c r="BB958" s="33"/>
      <c r="BC958" s="33"/>
      <c r="BD958" s="33"/>
      <c r="BE958" s="33"/>
      <c r="BF958" s="33"/>
      <c r="BG958" s="33"/>
      <c r="BH958" s="33"/>
      <c r="BI958" s="33"/>
      <c r="BJ958" s="33"/>
      <c r="BK958" s="33"/>
    </row>
    <row r="959" spans="1:63" ht="15" customHeight="1">
      <c r="A959" s="197"/>
      <c r="B959" s="197"/>
      <c r="C959" s="197"/>
      <c r="D959" s="197"/>
      <c r="E959" s="197"/>
      <c r="F959" s="197"/>
      <c r="G959" s="197"/>
      <c r="H959" s="197"/>
      <c r="I959" s="197"/>
      <c r="J959" s="197"/>
      <c r="K959" s="197"/>
      <c r="L959" s="197"/>
      <c r="M959" s="197"/>
      <c r="N959" s="197"/>
      <c r="O959" s="197"/>
      <c r="P959" s="197"/>
      <c r="Q959" s="197"/>
      <c r="R959" s="197"/>
      <c r="S959" s="197"/>
      <c r="T959" s="197"/>
      <c r="U959" s="197"/>
      <c r="V959" s="197"/>
      <c r="W959" s="197"/>
      <c r="X959" s="197"/>
      <c r="Y959" s="197"/>
      <c r="Z959" s="197"/>
      <c r="AA959" s="197"/>
      <c r="AB959" s="197"/>
      <c r="AC959" s="197"/>
      <c r="AD959" s="197"/>
      <c r="AE959" s="197"/>
      <c r="AF959" s="197"/>
      <c r="AG959" s="197"/>
      <c r="AH959" s="197"/>
      <c r="AI959" s="197"/>
      <c r="AJ959" s="201"/>
      <c r="AK959" s="33"/>
      <c r="AL959" s="33"/>
      <c r="AM959" s="33"/>
      <c r="AN959" s="33"/>
      <c r="AO959" s="33"/>
      <c r="AP959" s="33"/>
      <c r="AQ959" s="33"/>
      <c r="AR959" s="33"/>
      <c r="AS959" s="33"/>
      <c r="AT959" s="33"/>
      <c r="AU959" s="33"/>
      <c r="AV959" s="33"/>
      <c r="AW959" s="33"/>
      <c r="AX959" s="33"/>
      <c r="AY959" s="33"/>
      <c r="AZ959" s="33"/>
      <c r="BA959" s="33"/>
      <c r="BB959" s="33"/>
      <c r="BC959" s="33"/>
      <c r="BD959" s="33"/>
      <c r="BE959" s="33"/>
      <c r="BF959" s="33"/>
      <c r="BG959" s="33"/>
      <c r="BH959" s="33"/>
      <c r="BI959" s="33"/>
      <c r="BJ959" s="33"/>
      <c r="BK959" s="33"/>
    </row>
    <row r="960" spans="1:63" ht="15" customHeight="1">
      <c r="A960" s="197"/>
      <c r="B960" s="197"/>
      <c r="C960" s="197"/>
      <c r="D960" s="197"/>
      <c r="E960" s="197"/>
      <c r="F960" s="197"/>
      <c r="G960" s="197"/>
      <c r="H960" s="197"/>
      <c r="I960" s="197"/>
      <c r="J960" s="197"/>
      <c r="K960" s="197"/>
      <c r="L960" s="197"/>
      <c r="M960" s="197"/>
      <c r="N960" s="197"/>
      <c r="O960" s="197"/>
      <c r="P960" s="197"/>
      <c r="Q960" s="197"/>
      <c r="R960" s="197"/>
      <c r="S960" s="197"/>
      <c r="T960" s="197"/>
      <c r="U960" s="197"/>
      <c r="V960" s="197"/>
      <c r="W960" s="197"/>
      <c r="X960" s="197"/>
      <c r="Y960" s="197"/>
      <c r="Z960" s="197"/>
      <c r="AA960" s="197"/>
      <c r="AB960" s="197"/>
      <c r="AC960" s="197"/>
      <c r="AD960" s="197"/>
      <c r="AE960" s="197"/>
      <c r="AF960" s="197"/>
      <c r="AG960" s="197"/>
      <c r="AH960" s="197"/>
      <c r="AI960" s="197"/>
      <c r="AJ960" s="201"/>
      <c r="AK960" s="33"/>
      <c r="AL960" s="33"/>
      <c r="AM960" s="33"/>
      <c r="AN960" s="33"/>
      <c r="AO960" s="33"/>
      <c r="AP960" s="33"/>
      <c r="AQ960" s="33"/>
      <c r="AR960" s="33"/>
      <c r="AS960" s="33"/>
      <c r="AT960" s="33"/>
      <c r="AU960" s="33"/>
      <c r="AV960" s="33"/>
      <c r="AW960" s="33"/>
      <c r="AX960" s="33"/>
      <c r="AY960" s="33"/>
      <c r="AZ960" s="33"/>
      <c r="BA960" s="33"/>
      <c r="BB960" s="33"/>
      <c r="BC960" s="33"/>
      <c r="BD960" s="33"/>
      <c r="BE960" s="33"/>
      <c r="BF960" s="33"/>
      <c r="BG960" s="33"/>
      <c r="BH960" s="33"/>
      <c r="BI960" s="33"/>
      <c r="BJ960" s="33"/>
      <c r="BK960" s="33"/>
    </row>
    <row r="961" spans="1:63" ht="15" customHeight="1">
      <c r="A961" s="197"/>
      <c r="B961" s="197"/>
      <c r="C961" s="197"/>
      <c r="D961" s="197"/>
      <c r="E961" s="197"/>
      <c r="F961" s="197"/>
      <c r="G961" s="197"/>
      <c r="H961" s="197"/>
      <c r="I961" s="197"/>
      <c r="J961" s="197"/>
      <c r="K961" s="197"/>
      <c r="L961" s="197"/>
      <c r="M961" s="197"/>
      <c r="N961" s="197"/>
      <c r="O961" s="197"/>
      <c r="P961" s="197"/>
      <c r="Q961" s="197"/>
      <c r="R961" s="197"/>
      <c r="S961" s="197"/>
      <c r="T961" s="197"/>
      <c r="U961" s="197"/>
      <c r="V961" s="197"/>
      <c r="W961" s="197"/>
      <c r="X961" s="197"/>
      <c r="Y961" s="197"/>
      <c r="Z961" s="197"/>
      <c r="AA961" s="197"/>
      <c r="AB961" s="197"/>
      <c r="AC961" s="197"/>
      <c r="AD961" s="197"/>
      <c r="AE961" s="197"/>
      <c r="AF961" s="197"/>
      <c r="AG961" s="197"/>
      <c r="AH961" s="197"/>
      <c r="AI961" s="197"/>
      <c r="AJ961" s="201"/>
      <c r="AK961" s="33"/>
      <c r="AL961" s="33"/>
      <c r="AM961" s="33"/>
      <c r="AN961" s="33"/>
      <c r="AO961" s="33"/>
      <c r="AP961" s="33"/>
      <c r="AQ961" s="33"/>
      <c r="AR961" s="33"/>
      <c r="AS961" s="33"/>
      <c r="AT961" s="33"/>
      <c r="AU961" s="33"/>
      <c r="AV961" s="33"/>
      <c r="AW961" s="33"/>
      <c r="AX961" s="33"/>
      <c r="AY961" s="33"/>
      <c r="AZ961" s="33"/>
      <c r="BA961" s="33"/>
      <c r="BB961" s="33"/>
      <c r="BC961" s="33"/>
      <c r="BD961" s="33"/>
      <c r="BE961" s="33"/>
      <c r="BF961" s="33"/>
      <c r="BG961" s="33"/>
      <c r="BH961" s="33"/>
      <c r="BI961" s="33"/>
      <c r="BJ961" s="33"/>
      <c r="BK961" s="33"/>
    </row>
    <row r="962" spans="1:63" ht="15" customHeight="1">
      <c r="A962" s="197"/>
      <c r="B962" s="197"/>
      <c r="C962" s="197"/>
      <c r="D962" s="197"/>
      <c r="E962" s="197"/>
      <c r="F962" s="197"/>
      <c r="G962" s="197"/>
      <c r="H962" s="197"/>
      <c r="I962" s="197"/>
      <c r="J962" s="197"/>
      <c r="K962" s="197"/>
      <c r="L962" s="197"/>
      <c r="M962" s="197"/>
      <c r="N962" s="197"/>
      <c r="O962" s="197"/>
      <c r="P962" s="197"/>
      <c r="Q962" s="197"/>
      <c r="R962" s="197"/>
      <c r="S962" s="197"/>
      <c r="T962" s="197"/>
      <c r="U962" s="197"/>
      <c r="V962" s="197"/>
      <c r="W962" s="197"/>
      <c r="X962" s="197"/>
      <c r="Y962" s="197"/>
      <c r="Z962" s="197"/>
      <c r="AA962" s="197"/>
      <c r="AB962" s="197"/>
      <c r="AC962" s="197"/>
      <c r="AD962" s="197"/>
      <c r="AE962" s="197"/>
      <c r="AF962" s="197"/>
      <c r="AG962" s="197"/>
      <c r="AH962" s="197"/>
      <c r="AI962" s="197"/>
      <c r="AJ962" s="201"/>
      <c r="AK962" s="33"/>
      <c r="AL962" s="33"/>
      <c r="AM962" s="33"/>
      <c r="AN962" s="33"/>
      <c r="AO962" s="33"/>
      <c r="AP962" s="33"/>
      <c r="AQ962" s="33"/>
      <c r="AR962" s="33"/>
      <c r="AS962" s="33"/>
      <c r="AT962" s="33"/>
      <c r="AU962" s="33"/>
      <c r="AV962" s="33"/>
      <c r="AW962" s="33"/>
      <c r="AX962" s="33"/>
      <c r="AY962" s="33"/>
      <c r="AZ962" s="33"/>
      <c r="BA962" s="33"/>
      <c r="BB962" s="33"/>
      <c r="BC962" s="33"/>
      <c r="BD962" s="33"/>
      <c r="BE962" s="33"/>
      <c r="BF962" s="33"/>
      <c r="BG962" s="33"/>
      <c r="BH962" s="33"/>
      <c r="BI962" s="33"/>
      <c r="BJ962" s="33"/>
      <c r="BK962" s="33"/>
    </row>
    <row r="963" spans="1:63" ht="15" customHeight="1">
      <c r="A963" s="197"/>
      <c r="B963" s="197"/>
      <c r="C963" s="197"/>
      <c r="D963" s="197"/>
      <c r="E963" s="197"/>
      <c r="F963" s="197"/>
      <c r="G963" s="197"/>
      <c r="H963" s="197"/>
      <c r="I963" s="197"/>
      <c r="J963" s="197"/>
      <c r="K963" s="197"/>
      <c r="L963" s="197"/>
      <c r="M963" s="197"/>
      <c r="N963" s="197"/>
      <c r="O963" s="197"/>
      <c r="P963" s="197"/>
      <c r="Q963" s="197"/>
      <c r="R963" s="197"/>
      <c r="S963" s="197"/>
      <c r="T963" s="197"/>
      <c r="U963" s="197"/>
      <c r="V963" s="197"/>
      <c r="W963" s="197"/>
      <c r="X963" s="197"/>
      <c r="Y963" s="197"/>
      <c r="Z963" s="197"/>
      <c r="AA963" s="197"/>
      <c r="AB963" s="197"/>
      <c r="AC963" s="197"/>
      <c r="AD963" s="197"/>
      <c r="AE963" s="197"/>
      <c r="AF963" s="197"/>
      <c r="AG963" s="197"/>
      <c r="AH963" s="197"/>
      <c r="AI963" s="197"/>
      <c r="AJ963" s="201"/>
      <c r="AK963" s="33"/>
      <c r="AL963" s="33"/>
      <c r="AM963" s="33"/>
      <c r="AN963" s="33"/>
      <c r="AO963" s="33"/>
      <c r="AP963" s="33"/>
      <c r="AQ963" s="33"/>
      <c r="AR963" s="33"/>
      <c r="AS963" s="33"/>
      <c r="AT963" s="33"/>
      <c r="AU963" s="33"/>
      <c r="AV963" s="33"/>
      <c r="AW963" s="33"/>
      <c r="AX963" s="33"/>
      <c r="AY963" s="33"/>
      <c r="AZ963" s="33"/>
      <c r="BA963" s="33"/>
      <c r="BB963" s="33"/>
      <c r="BC963" s="33"/>
      <c r="BD963" s="33"/>
      <c r="BE963" s="33"/>
      <c r="BF963" s="33"/>
      <c r="BG963" s="33"/>
      <c r="BH963" s="33"/>
      <c r="BI963" s="33"/>
      <c r="BJ963" s="33"/>
      <c r="BK963" s="33"/>
    </row>
    <row r="964" spans="1:63" ht="15" customHeight="1">
      <c r="A964" s="197"/>
      <c r="B964" s="197"/>
      <c r="C964" s="197"/>
      <c r="D964" s="197"/>
      <c r="E964" s="197"/>
      <c r="F964" s="197"/>
      <c r="G964" s="197"/>
      <c r="H964" s="197"/>
      <c r="I964" s="197"/>
      <c r="J964" s="197"/>
      <c r="K964" s="197"/>
      <c r="L964" s="197"/>
      <c r="M964" s="197"/>
      <c r="N964" s="197"/>
      <c r="O964" s="197"/>
      <c r="P964" s="197"/>
      <c r="Q964" s="197"/>
      <c r="R964" s="197"/>
      <c r="S964" s="197"/>
      <c r="T964" s="197"/>
      <c r="U964" s="197"/>
      <c r="V964" s="197"/>
      <c r="W964" s="197"/>
      <c r="X964" s="197"/>
      <c r="Y964" s="197"/>
      <c r="Z964" s="197"/>
      <c r="AA964" s="197"/>
      <c r="AB964" s="197"/>
      <c r="AC964" s="197"/>
      <c r="AD964" s="197"/>
      <c r="AE964" s="197"/>
      <c r="AF964" s="197"/>
      <c r="AG964" s="197"/>
      <c r="AH964" s="197"/>
      <c r="AI964" s="197"/>
      <c r="AJ964" s="201"/>
      <c r="AK964" s="33"/>
      <c r="AL964" s="33"/>
      <c r="AM964" s="33"/>
      <c r="AN964" s="33"/>
      <c r="AO964" s="33"/>
      <c r="AP964" s="33"/>
      <c r="AQ964" s="33"/>
      <c r="AR964" s="33"/>
      <c r="AS964" s="33"/>
      <c r="AT964" s="33"/>
      <c r="AU964" s="33"/>
      <c r="AV964" s="33"/>
      <c r="AW964" s="33"/>
      <c r="AX964" s="33"/>
      <c r="AY964" s="33"/>
      <c r="AZ964" s="33"/>
      <c r="BA964" s="33"/>
      <c r="BB964" s="33"/>
      <c r="BC964" s="33"/>
      <c r="BD964" s="33"/>
      <c r="BE964" s="33"/>
      <c r="BF964" s="33"/>
      <c r="BG964" s="33"/>
      <c r="BH964" s="33"/>
      <c r="BI964" s="33"/>
      <c r="BJ964" s="33"/>
      <c r="BK964" s="33"/>
    </row>
    <row r="965" spans="1:63" ht="15" customHeight="1">
      <c r="A965" s="197"/>
      <c r="B965" s="197"/>
      <c r="C965" s="197"/>
      <c r="D965" s="197"/>
      <c r="E965" s="197"/>
      <c r="F965" s="197"/>
      <c r="G965" s="197"/>
      <c r="H965" s="197"/>
      <c r="I965" s="197"/>
      <c r="J965" s="197"/>
      <c r="K965" s="197"/>
      <c r="L965" s="197"/>
      <c r="M965" s="197"/>
      <c r="N965" s="197"/>
      <c r="O965" s="197"/>
      <c r="P965" s="197"/>
      <c r="Q965" s="197"/>
      <c r="R965" s="197"/>
      <c r="S965" s="197"/>
      <c r="T965" s="197"/>
      <c r="U965" s="197"/>
      <c r="V965" s="197"/>
      <c r="W965" s="197"/>
      <c r="X965" s="197"/>
      <c r="Y965" s="197"/>
      <c r="Z965" s="197"/>
      <c r="AA965" s="197"/>
      <c r="AB965" s="197"/>
      <c r="AC965" s="197"/>
      <c r="AD965" s="197"/>
      <c r="AE965" s="197"/>
      <c r="AF965" s="197"/>
      <c r="AG965" s="197"/>
      <c r="AH965" s="197"/>
      <c r="AI965" s="197"/>
      <c r="AJ965" s="201"/>
      <c r="AK965" s="33"/>
      <c r="AL965" s="33"/>
      <c r="AM965" s="33"/>
      <c r="AN965" s="33"/>
      <c r="AO965" s="33"/>
      <c r="AP965" s="33"/>
      <c r="AQ965" s="33"/>
      <c r="AR965" s="33"/>
      <c r="AS965" s="33"/>
      <c r="AT965" s="33"/>
      <c r="AU965" s="33"/>
      <c r="AV965" s="33"/>
      <c r="AW965" s="33"/>
      <c r="AX965" s="33"/>
      <c r="AY965" s="33"/>
      <c r="AZ965" s="33"/>
      <c r="BA965" s="33"/>
      <c r="BB965" s="33"/>
      <c r="BC965" s="33"/>
      <c r="BD965" s="33"/>
      <c r="BE965" s="33"/>
      <c r="BF965" s="33"/>
      <c r="BG965" s="33"/>
      <c r="BH965" s="33"/>
      <c r="BI965" s="33"/>
      <c r="BJ965" s="33"/>
      <c r="BK965" s="33"/>
    </row>
    <row r="966" spans="1:63" ht="15" customHeight="1">
      <c r="A966" s="197"/>
      <c r="B966" s="197"/>
      <c r="C966" s="197"/>
      <c r="D966" s="197"/>
      <c r="E966" s="197"/>
      <c r="F966" s="197"/>
      <c r="G966" s="197"/>
      <c r="H966" s="197"/>
      <c r="I966" s="197"/>
      <c r="J966" s="197"/>
      <c r="K966" s="197"/>
      <c r="L966" s="197"/>
      <c r="M966" s="197"/>
      <c r="N966" s="197"/>
      <c r="O966" s="197"/>
      <c r="P966" s="197"/>
      <c r="Q966" s="197"/>
      <c r="R966" s="197"/>
      <c r="S966" s="197"/>
      <c r="T966" s="197"/>
      <c r="U966" s="197"/>
      <c r="V966" s="197"/>
      <c r="W966" s="197"/>
      <c r="X966" s="197"/>
      <c r="Y966" s="197"/>
      <c r="Z966" s="197"/>
      <c r="AA966" s="197"/>
      <c r="AB966" s="197"/>
      <c r="AC966" s="197"/>
      <c r="AD966" s="197"/>
      <c r="AE966" s="197"/>
      <c r="AF966" s="197"/>
      <c r="AG966" s="197"/>
      <c r="AH966" s="197"/>
      <c r="AI966" s="197"/>
      <c r="AJ966" s="201"/>
      <c r="AK966" s="33"/>
      <c r="AL966" s="33"/>
      <c r="AM966" s="33"/>
      <c r="AN966" s="33"/>
      <c r="AO966" s="33"/>
      <c r="AP966" s="33"/>
      <c r="AQ966" s="33"/>
      <c r="AR966" s="33"/>
      <c r="AS966" s="33"/>
      <c r="AT966" s="33"/>
      <c r="AU966" s="33"/>
      <c r="AV966" s="33"/>
      <c r="AW966" s="33"/>
      <c r="AX966" s="33"/>
      <c r="AY966" s="33"/>
      <c r="AZ966" s="33"/>
      <c r="BA966" s="33"/>
      <c r="BB966" s="33"/>
      <c r="BC966" s="33"/>
      <c r="BD966" s="33"/>
      <c r="BE966" s="33"/>
      <c r="BF966" s="33"/>
      <c r="BG966" s="33"/>
      <c r="BH966" s="33"/>
      <c r="BI966" s="33"/>
      <c r="BJ966" s="33"/>
      <c r="BK966" s="33"/>
    </row>
    <row r="967" spans="1:63" ht="15" customHeight="1">
      <c r="A967" s="197"/>
      <c r="B967" s="197"/>
      <c r="C967" s="197"/>
      <c r="D967" s="197"/>
      <c r="E967" s="197"/>
      <c r="F967" s="197"/>
      <c r="G967" s="197"/>
      <c r="H967" s="197"/>
      <c r="I967" s="197"/>
      <c r="J967" s="197"/>
      <c r="K967" s="197"/>
      <c r="L967" s="197"/>
      <c r="M967" s="197"/>
      <c r="N967" s="197"/>
      <c r="O967" s="197"/>
      <c r="P967" s="197"/>
      <c r="Q967" s="197"/>
      <c r="R967" s="197"/>
      <c r="S967" s="197"/>
      <c r="T967" s="197"/>
      <c r="U967" s="197"/>
      <c r="V967" s="197"/>
      <c r="W967" s="197"/>
      <c r="X967" s="197"/>
      <c r="Y967" s="197"/>
      <c r="Z967" s="197"/>
      <c r="AA967" s="197"/>
      <c r="AB967" s="197"/>
      <c r="AC967" s="197"/>
      <c r="AD967" s="197"/>
      <c r="AE967" s="197"/>
      <c r="AF967" s="197"/>
      <c r="AG967" s="197"/>
      <c r="AH967" s="197"/>
      <c r="AI967" s="197"/>
      <c r="AJ967" s="201"/>
      <c r="AK967" s="33"/>
      <c r="AL967" s="33"/>
      <c r="AM967" s="33"/>
      <c r="AN967" s="33"/>
      <c r="AO967" s="33"/>
      <c r="AP967" s="33"/>
      <c r="AQ967" s="33"/>
      <c r="AR967" s="33"/>
      <c r="AS967" s="33"/>
      <c r="AT967" s="33"/>
      <c r="AU967" s="33"/>
      <c r="AV967" s="33"/>
      <c r="AW967" s="33"/>
      <c r="AX967" s="33"/>
      <c r="AY967" s="33"/>
      <c r="AZ967" s="33"/>
      <c r="BA967" s="33"/>
      <c r="BB967" s="33"/>
      <c r="BC967" s="33"/>
      <c r="BD967" s="33"/>
      <c r="BE967" s="33"/>
      <c r="BF967" s="33"/>
      <c r="BG967" s="33"/>
      <c r="BH967" s="33"/>
      <c r="BI967" s="33"/>
      <c r="BJ967" s="33"/>
      <c r="BK967" s="33"/>
    </row>
    <row r="968" spans="1:63" ht="15" customHeight="1">
      <c r="A968" s="197"/>
      <c r="B968" s="197"/>
      <c r="C968" s="197"/>
      <c r="D968" s="197"/>
      <c r="E968" s="197"/>
      <c r="F968" s="197"/>
      <c r="G968" s="197"/>
      <c r="H968" s="197"/>
      <c r="I968" s="197"/>
      <c r="J968" s="197"/>
      <c r="K968" s="197"/>
      <c r="L968" s="197"/>
      <c r="M968" s="197"/>
      <c r="N968" s="197"/>
      <c r="O968" s="197"/>
      <c r="P968" s="197"/>
      <c r="Q968" s="197"/>
      <c r="R968" s="197"/>
      <c r="S968" s="197"/>
      <c r="T968" s="197"/>
      <c r="U968" s="197"/>
      <c r="V968" s="197"/>
      <c r="W968" s="197"/>
      <c r="X968" s="197"/>
      <c r="Y968" s="197"/>
      <c r="Z968" s="197"/>
      <c r="AA968" s="197"/>
      <c r="AB968" s="197"/>
      <c r="AC968" s="197"/>
      <c r="AD968" s="197"/>
      <c r="AE968" s="197"/>
      <c r="AF968" s="197"/>
      <c r="AG968" s="197"/>
      <c r="AH968" s="197"/>
      <c r="AI968" s="197"/>
      <c r="AJ968" s="201"/>
      <c r="AK968" s="33"/>
      <c r="AL968" s="33"/>
      <c r="AM968" s="33"/>
      <c r="AN968" s="33"/>
      <c r="AO968" s="33"/>
      <c r="AP968" s="33"/>
      <c r="AQ968" s="33"/>
      <c r="AR968" s="33"/>
      <c r="AS968" s="33"/>
      <c r="AT968" s="33"/>
      <c r="AU968" s="33"/>
      <c r="AV968" s="33"/>
      <c r="AW968" s="33"/>
      <c r="AX968" s="33"/>
      <c r="AY968" s="33"/>
      <c r="AZ968" s="33"/>
      <c r="BA968" s="33"/>
      <c r="BB968" s="33"/>
      <c r="BC968" s="33"/>
      <c r="BD968" s="33"/>
      <c r="BE968" s="33"/>
      <c r="BF968" s="33"/>
      <c r="BG968" s="33"/>
      <c r="BH968" s="33"/>
      <c r="BI968" s="33"/>
      <c r="BJ968" s="33"/>
      <c r="BK968" s="33"/>
    </row>
    <row r="969" spans="1:63" ht="15" customHeight="1">
      <c r="A969" s="197"/>
      <c r="B969" s="197"/>
      <c r="C969" s="197"/>
      <c r="D969" s="197"/>
      <c r="E969" s="197"/>
      <c r="F969" s="197"/>
      <c r="G969" s="197"/>
      <c r="H969" s="197"/>
      <c r="I969" s="197"/>
      <c r="J969" s="197"/>
      <c r="K969" s="197"/>
      <c r="L969" s="197"/>
      <c r="M969" s="197"/>
      <c r="N969" s="197"/>
      <c r="O969" s="197"/>
      <c r="P969" s="197"/>
      <c r="Q969" s="197"/>
      <c r="R969" s="197"/>
      <c r="S969" s="197"/>
      <c r="T969" s="197"/>
      <c r="U969" s="197"/>
      <c r="V969" s="197"/>
      <c r="W969" s="197"/>
      <c r="X969" s="197"/>
      <c r="Y969" s="197"/>
      <c r="Z969" s="197"/>
      <c r="AA969" s="197"/>
      <c r="AB969" s="197"/>
      <c r="AC969" s="197"/>
      <c r="AD969" s="197"/>
      <c r="AE969" s="197"/>
      <c r="AF969" s="197"/>
      <c r="AG969" s="197"/>
      <c r="AH969" s="197"/>
      <c r="AI969" s="197"/>
      <c r="AJ969" s="201"/>
      <c r="AK969" s="33"/>
      <c r="AL969" s="33"/>
      <c r="AM969" s="33"/>
      <c r="AN969" s="33"/>
      <c r="AO969" s="33"/>
      <c r="AP969" s="33"/>
      <c r="AQ969" s="33"/>
      <c r="AR969" s="33"/>
      <c r="AS969" s="33"/>
      <c r="AT969" s="33"/>
      <c r="AU969" s="33"/>
      <c r="AV969" s="33"/>
      <c r="AW969" s="33"/>
      <c r="AX969" s="33"/>
      <c r="AY969" s="33"/>
      <c r="AZ969" s="33"/>
      <c r="BA969" s="33"/>
      <c r="BB969" s="33"/>
      <c r="BC969" s="33"/>
      <c r="BD969" s="33"/>
      <c r="BE969" s="33"/>
      <c r="BF969" s="33"/>
      <c r="BG969" s="33"/>
      <c r="BH969" s="33"/>
      <c r="BI969" s="33"/>
      <c r="BJ969" s="33"/>
      <c r="BK969" s="33"/>
    </row>
    <row r="970" spans="1:63" ht="15" customHeight="1">
      <c r="A970" s="197"/>
      <c r="B970" s="197"/>
      <c r="C970" s="197"/>
      <c r="D970" s="197"/>
      <c r="E970" s="197"/>
      <c r="F970" s="197"/>
      <c r="G970" s="197"/>
      <c r="H970" s="197"/>
      <c r="I970" s="197"/>
      <c r="J970" s="197"/>
      <c r="K970" s="197"/>
      <c r="L970" s="197"/>
      <c r="M970" s="197"/>
      <c r="N970" s="197"/>
      <c r="O970" s="197"/>
      <c r="P970" s="197"/>
      <c r="Q970" s="197"/>
      <c r="R970" s="197"/>
      <c r="S970" s="197"/>
      <c r="T970" s="197"/>
      <c r="U970" s="197"/>
      <c r="V970" s="197"/>
      <c r="W970" s="197"/>
      <c r="X970" s="197"/>
      <c r="Y970" s="197"/>
      <c r="Z970" s="197"/>
      <c r="AA970" s="197"/>
      <c r="AB970" s="197"/>
      <c r="AC970" s="197"/>
      <c r="AD970" s="197"/>
      <c r="AE970" s="197"/>
      <c r="AF970" s="197"/>
      <c r="AG970" s="197"/>
      <c r="AH970" s="197"/>
      <c r="AI970" s="197"/>
      <c r="AJ970" s="201"/>
      <c r="AK970" s="33"/>
      <c r="AL970" s="33"/>
      <c r="AM970" s="33"/>
      <c r="AN970" s="33"/>
      <c r="AO970" s="33"/>
      <c r="AP970" s="33"/>
      <c r="AQ970" s="33"/>
      <c r="AR970" s="33"/>
      <c r="AS970" s="33"/>
      <c r="AT970" s="33"/>
      <c r="AU970" s="33"/>
      <c r="AV970" s="33"/>
      <c r="AW970" s="33"/>
      <c r="AX970" s="33"/>
      <c r="AY970" s="33"/>
      <c r="AZ970" s="33"/>
      <c r="BA970" s="33"/>
      <c r="BB970" s="33"/>
      <c r="BC970" s="33"/>
      <c r="BD970" s="33"/>
      <c r="BE970" s="33"/>
      <c r="BF970" s="33"/>
      <c r="BG970" s="33"/>
      <c r="BH970" s="33"/>
      <c r="BI970" s="33"/>
      <c r="BJ970" s="33"/>
      <c r="BK970" s="33"/>
    </row>
    <row r="971" spans="1:63" ht="15" customHeight="1">
      <c r="A971" s="197"/>
      <c r="B971" s="197"/>
      <c r="C971" s="197"/>
      <c r="D971" s="197"/>
      <c r="E971" s="197"/>
      <c r="F971" s="197"/>
      <c r="G971" s="197"/>
      <c r="H971" s="197"/>
      <c r="I971" s="197"/>
      <c r="J971" s="197"/>
      <c r="K971" s="197"/>
      <c r="L971" s="197"/>
      <c r="M971" s="197"/>
      <c r="N971" s="197"/>
      <c r="O971" s="197"/>
      <c r="P971" s="197"/>
      <c r="Q971" s="197"/>
      <c r="R971" s="197"/>
      <c r="S971" s="197"/>
      <c r="T971" s="197"/>
      <c r="U971" s="197"/>
      <c r="V971" s="197"/>
      <c r="W971" s="197"/>
      <c r="X971" s="197"/>
      <c r="Y971" s="197"/>
      <c r="Z971" s="197"/>
      <c r="AA971" s="197"/>
      <c r="AB971" s="197"/>
      <c r="AC971" s="197"/>
      <c r="AD971" s="197"/>
      <c r="AE971" s="197"/>
      <c r="AF971" s="197"/>
      <c r="AG971" s="197"/>
      <c r="AH971" s="197"/>
      <c r="AI971" s="197"/>
      <c r="AJ971" s="201"/>
      <c r="AK971" s="33"/>
      <c r="AL971" s="33"/>
      <c r="AM971" s="33"/>
      <c r="AN971" s="33"/>
      <c r="AO971" s="33"/>
      <c r="AP971" s="33"/>
      <c r="AQ971" s="33"/>
      <c r="AR971" s="33"/>
      <c r="AS971" s="33"/>
      <c r="AT971" s="33"/>
      <c r="AU971" s="33"/>
      <c r="AV971" s="33"/>
      <c r="AW971" s="33"/>
      <c r="AX971" s="33"/>
      <c r="AY971" s="33"/>
      <c r="AZ971" s="33"/>
      <c r="BA971" s="33"/>
      <c r="BB971" s="33"/>
      <c r="BC971" s="33"/>
      <c r="BD971" s="33"/>
      <c r="BE971" s="33"/>
      <c r="BF971" s="33"/>
      <c r="BG971" s="33"/>
      <c r="BH971" s="33"/>
      <c r="BI971" s="33"/>
      <c r="BJ971" s="33"/>
      <c r="BK971" s="33"/>
    </row>
    <row r="972" spans="1:63" ht="15" customHeight="1">
      <c r="A972" s="197"/>
      <c r="B972" s="197"/>
      <c r="C972" s="197"/>
      <c r="D972" s="197"/>
      <c r="E972" s="197"/>
      <c r="F972" s="197"/>
      <c r="G972" s="197"/>
      <c r="H972" s="197"/>
      <c r="I972" s="197"/>
      <c r="J972" s="197"/>
      <c r="K972" s="197"/>
      <c r="L972" s="197"/>
      <c r="M972" s="197"/>
      <c r="N972" s="197"/>
      <c r="O972" s="197"/>
      <c r="P972" s="197"/>
      <c r="Q972" s="197"/>
      <c r="R972" s="197"/>
      <c r="S972" s="197"/>
      <c r="T972" s="197"/>
      <c r="U972" s="197"/>
      <c r="V972" s="197"/>
      <c r="W972" s="197"/>
      <c r="X972" s="197"/>
      <c r="Y972" s="197"/>
      <c r="Z972" s="197"/>
      <c r="AA972" s="197"/>
      <c r="AB972" s="197"/>
      <c r="AC972" s="197"/>
      <c r="AD972" s="197"/>
      <c r="AE972" s="197"/>
      <c r="AF972" s="197"/>
      <c r="AG972" s="197"/>
      <c r="AH972" s="197"/>
      <c r="AI972" s="197"/>
      <c r="AJ972" s="201"/>
      <c r="AK972" s="33"/>
      <c r="AL972" s="33"/>
      <c r="AM972" s="33"/>
      <c r="AN972" s="33"/>
      <c r="AO972" s="33"/>
      <c r="AP972" s="33"/>
      <c r="AQ972" s="33"/>
      <c r="AR972" s="33"/>
      <c r="AS972" s="33"/>
      <c r="AT972" s="33"/>
      <c r="AU972" s="33"/>
      <c r="AV972" s="33"/>
      <c r="AW972" s="33"/>
      <c r="AX972" s="33"/>
      <c r="AY972" s="33"/>
      <c r="AZ972" s="33"/>
      <c r="BA972" s="33"/>
      <c r="BB972" s="33"/>
      <c r="BC972" s="33"/>
      <c r="BD972" s="33"/>
      <c r="BE972" s="33"/>
      <c r="BF972" s="33"/>
      <c r="BG972" s="33"/>
      <c r="BH972" s="33"/>
      <c r="BI972" s="33"/>
      <c r="BJ972" s="33"/>
      <c r="BK972" s="33"/>
    </row>
    <row r="973" spans="1:63" ht="15" customHeight="1">
      <c r="A973" s="197"/>
      <c r="B973" s="197"/>
      <c r="C973" s="197"/>
      <c r="D973" s="197"/>
      <c r="E973" s="197"/>
      <c r="F973" s="197"/>
      <c r="G973" s="197"/>
      <c r="H973" s="197"/>
      <c r="I973" s="197"/>
      <c r="J973" s="197"/>
      <c r="K973" s="197"/>
      <c r="L973" s="197"/>
      <c r="M973" s="197"/>
      <c r="N973" s="197"/>
      <c r="O973" s="197"/>
      <c r="P973" s="197"/>
      <c r="Q973" s="197"/>
      <c r="R973" s="197"/>
      <c r="S973" s="197"/>
      <c r="T973" s="197"/>
      <c r="U973" s="197"/>
      <c r="V973" s="197"/>
      <c r="W973" s="197"/>
      <c r="X973" s="197"/>
      <c r="Y973" s="197"/>
      <c r="Z973" s="197"/>
      <c r="AA973" s="197"/>
      <c r="AB973" s="197"/>
      <c r="AC973" s="197"/>
      <c r="AD973" s="197"/>
      <c r="AE973" s="197"/>
      <c r="AF973" s="197"/>
      <c r="AG973" s="197"/>
      <c r="AH973" s="197"/>
      <c r="AI973" s="197"/>
      <c r="AJ973" s="201"/>
      <c r="AK973" s="33"/>
      <c r="AL973" s="33"/>
      <c r="AM973" s="33"/>
      <c r="AN973" s="33"/>
      <c r="AO973" s="33"/>
      <c r="AP973" s="33"/>
      <c r="AQ973" s="33"/>
      <c r="AR973" s="33"/>
      <c r="AS973" s="33"/>
      <c r="AT973" s="33"/>
      <c r="AU973" s="33"/>
      <c r="AV973" s="33"/>
      <c r="AW973" s="33"/>
      <c r="AX973" s="33"/>
      <c r="AY973" s="33"/>
      <c r="AZ973" s="33"/>
      <c r="BA973" s="33"/>
      <c r="BB973" s="33"/>
      <c r="BC973" s="33"/>
      <c r="BD973" s="33"/>
      <c r="BE973" s="33"/>
      <c r="BF973" s="33"/>
      <c r="BG973" s="33"/>
      <c r="BH973" s="33"/>
      <c r="BI973" s="33"/>
      <c r="BJ973" s="33"/>
      <c r="BK973" s="33"/>
    </row>
    <row r="974" spans="1:63" ht="15" customHeight="1">
      <c r="A974" s="197"/>
      <c r="B974" s="197"/>
      <c r="C974" s="197"/>
      <c r="D974" s="197"/>
      <c r="E974" s="197"/>
      <c r="F974" s="197"/>
      <c r="G974" s="197"/>
      <c r="H974" s="197"/>
      <c r="I974" s="197"/>
      <c r="J974" s="197"/>
      <c r="K974" s="197"/>
      <c r="L974" s="197"/>
      <c r="M974" s="197"/>
      <c r="N974" s="197"/>
      <c r="O974" s="197"/>
      <c r="P974" s="197"/>
      <c r="Q974" s="197"/>
      <c r="R974" s="197"/>
      <c r="S974" s="197"/>
      <c r="T974" s="197"/>
      <c r="U974" s="197"/>
      <c r="V974" s="197"/>
      <c r="W974" s="197"/>
      <c r="X974" s="197"/>
      <c r="Y974" s="197"/>
      <c r="Z974" s="197"/>
      <c r="AA974" s="197"/>
      <c r="AB974" s="197"/>
      <c r="AC974" s="197"/>
      <c r="AD974" s="197"/>
      <c r="AE974" s="197"/>
      <c r="AF974" s="197"/>
      <c r="AG974" s="197"/>
      <c r="AH974" s="197"/>
      <c r="AI974" s="197"/>
      <c r="AJ974" s="201"/>
      <c r="AK974" s="33"/>
      <c r="AL974" s="33"/>
      <c r="AM974" s="33"/>
      <c r="AN974" s="33"/>
      <c r="AO974" s="33"/>
      <c r="AP974" s="33"/>
      <c r="AQ974" s="33"/>
      <c r="AR974" s="33"/>
      <c r="AS974" s="33"/>
      <c r="AT974" s="33"/>
      <c r="AU974" s="33"/>
      <c r="AV974" s="33"/>
      <c r="AW974" s="33"/>
      <c r="AX974" s="33"/>
      <c r="AY974" s="33"/>
      <c r="AZ974" s="33"/>
      <c r="BA974" s="33"/>
      <c r="BB974" s="33"/>
      <c r="BC974" s="33"/>
      <c r="BD974" s="33"/>
      <c r="BE974" s="33"/>
      <c r="BF974" s="33"/>
      <c r="BG974" s="33"/>
      <c r="BH974" s="33"/>
      <c r="BI974" s="33"/>
      <c r="BJ974" s="33"/>
      <c r="BK974" s="33"/>
    </row>
    <row r="975" spans="1:63" ht="15" customHeight="1">
      <c r="A975" s="197"/>
      <c r="B975" s="197"/>
      <c r="C975" s="197"/>
      <c r="D975" s="197"/>
      <c r="E975" s="197"/>
      <c r="F975" s="197"/>
      <c r="G975" s="197"/>
      <c r="H975" s="197"/>
      <c r="I975" s="197"/>
      <c r="J975" s="197"/>
      <c r="K975" s="197"/>
      <c r="L975" s="197"/>
      <c r="M975" s="197"/>
      <c r="N975" s="197"/>
      <c r="O975" s="197"/>
      <c r="P975" s="197"/>
      <c r="Q975" s="197"/>
      <c r="R975" s="197"/>
      <c r="S975" s="197"/>
      <c r="T975" s="197"/>
      <c r="U975" s="197"/>
      <c r="V975" s="197"/>
      <c r="W975" s="197"/>
      <c r="X975" s="197"/>
      <c r="Y975" s="197"/>
      <c r="Z975" s="197"/>
      <c r="AA975" s="197"/>
      <c r="AB975" s="197"/>
      <c r="AC975" s="197"/>
      <c r="AD975" s="197"/>
      <c r="AE975" s="197"/>
      <c r="AF975" s="197"/>
      <c r="AG975" s="197"/>
      <c r="AH975" s="197"/>
      <c r="AI975" s="197"/>
      <c r="AJ975" s="201"/>
      <c r="AK975" s="33"/>
      <c r="AL975" s="33"/>
      <c r="AM975" s="33"/>
      <c r="AN975" s="33"/>
      <c r="AO975" s="33"/>
      <c r="AP975" s="33"/>
      <c r="AQ975" s="33"/>
      <c r="AR975" s="33"/>
      <c r="AS975" s="33"/>
      <c r="AT975" s="33"/>
      <c r="AU975" s="33"/>
      <c r="AV975" s="33"/>
      <c r="AW975" s="33"/>
      <c r="AX975" s="33"/>
      <c r="AY975" s="33"/>
      <c r="AZ975" s="33"/>
      <c r="BA975" s="33"/>
      <c r="BB975" s="33"/>
      <c r="BC975" s="33"/>
      <c r="BD975" s="33"/>
      <c r="BE975" s="33"/>
      <c r="BF975" s="33"/>
      <c r="BG975" s="33"/>
      <c r="BH975" s="33"/>
      <c r="BI975" s="33"/>
      <c r="BJ975" s="33"/>
      <c r="BK975" s="33"/>
    </row>
    <row r="976" spans="1:63" ht="15" customHeight="1">
      <c r="A976" s="197"/>
      <c r="B976" s="197"/>
      <c r="C976" s="197"/>
      <c r="D976" s="197"/>
      <c r="E976" s="197"/>
      <c r="F976" s="197"/>
      <c r="G976" s="197"/>
      <c r="H976" s="197"/>
      <c r="I976" s="197"/>
      <c r="J976" s="197"/>
      <c r="K976" s="197"/>
      <c r="L976" s="197"/>
      <c r="M976" s="197"/>
      <c r="N976" s="197"/>
      <c r="O976" s="197"/>
      <c r="P976" s="197"/>
      <c r="Q976" s="197"/>
      <c r="R976" s="197"/>
      <c r="S976" s="197"/>
      <c r="T976" s="197"/>
      <c r="U976" s="197"/>
      <c r="V976" s="197"/>
      <c r="W976" s="197"/>
      <c r="X976" s="197"/>
      <c r="Y976" s="197"/>
      <c r="Z976" s="197"/>
      <c r="AA976" s="197"/>
      <c r="AB976" s="197"/>
      <c r="AC976" s="197"/>
      <c r="AD976" s="197"/>
      <c r="AE976" s="197"/>
      <c r="AF976" s="197"/>
      <c r="AG976" s="197"/>
      <c r="AH976" s="197"/>
      <c r="AI976" s="197"/>
      <c r="AJ976" s="201"/>
      <c r="AK976" s="33"/>
      <c r="AL976" s="33"/>
      <c r="AM976" s="33"/>
      <c r="AN976" s="33"/>
      <c r="AO976" s="33"/>
      <c r="AP976" s="33"/>
      <c r="AQ976" s="33"/>
      <c r="AR976" s="33"/>
      <c r="AS976" s="33"/>
      <c r="AT976" s="33"/>
      <c r="AU976" s="33"/>
      <c r="AV976" s="33"/>
      <c r="AW976" s="33"/>
      <c r="AX976" s="33"/>
      <c r="AY976" s="33"/>
      <c r="AZ976" s="33"/>
      <c r="BA976" s="33"/>
      <c r="BB976" s="33"/>
      <c r="BC976" s="33"/>
      <c r="BD976" s="33"/>
      <c r="BE976" s="33"/>
      <c r="BF976" s="33"/>
      <c r="BG976" s="33"/>
      <c r="BH976" s="33"/>
      <c r="BI976" s="33"/>
      <c r="BJ976" s="33"/>
      <c r="BK976" s="33"/>
    </row>
    <row r="977" spans="1:63" ht="15" customHeight="1">
      <c r="A977" s="197"/>
      <c r="B977" s="197"/>
      <c r="C977" s="197"/>
      <c r="D977" s="197"/>
      <c r="E977" s="197"/>
      <c r="F977" s="197"/>
      <c r="G977" s="197"/>
      <c r="H977" s="197"/>
      <c r="I977" s="197"/>
      <c r="J977" s="197"/>
      <c r="K977" s="197"/>
      <c r="L977" s="197"/>
      <c r="M977" s="197"/>
      <c r="N977" s="197"/>
      <c r="O977" s="197"/>
      <c r="P977" s="197"/>
      <c r="Q977" s="197"/>
      <c r="R977" s="197"/>
      <c r="S977" s="197"/>
      <c r="T977" s="197"/>
      <c r="U977" s="197"/>
      <c r="V977" s="197"/>
      <c r="W977" s="197"/>
      <c r="X977" s="197"/>
      <c r="Y977" s="197"/>
      <c r="Z977" s="197"/>
      <c r="AA977" s="197"/>
      <c r="AB977" s="197"/>
      <c r="AC977" s="197"/>
      <c r="AD977" s="197"/>
      <c r="AE977" s="197"/>
      <c r="AF977" s="197"/>
      <c r="AG977" s="197"/>
      <c r="AH977" s="197"/>
      <c r="AI977" s="197"/>
      <c r="AJ977" s="201"/>
      <c r="AK977" s="33"/>
      <c r="AL977" s="33"/>
      <c r="AM977" s="33"/>
      <c r="AN977" s="33"/>
      <c r="AO977" s="33"/>
      <c r="AP977" s="33"/>
      <c r="AQ977" s="33"/>
      <c r="AR977" s="33"/>
      <c r="AS977" s="33"/>
      <c r="AT977" s="33"/>
      <c r="AU977" s="33"/>
      <c r="AV977" s="33"/>
      <c r="AW977" s="33"/>
      <c r="AX977" s="33"/>
      <c r="AY977" s="33"/>
      <c r="AZ977" s="33"/>
      <c r="BA977" s="33"/>
      <c r="BB977" s="33"/>
      <c r="BC977" s="33"/>
      <c r="BD977" s="33"/>
      <c r="BE977" s="33"/>
      <c r="BF977" s="33"/>
      <c r="BG977" s="33"/>
      <c r="BH977" s="33"/>
      <c r="BI977" s="33"/>
      <c r="BJ977" s="33"/>
      <c r="BK977" s="33"/>
    </row>
    <row r="978" spans="1:63" ht="15" customHeight="1">
      <c r="A978" s="197"/>
      <c r="B978" s="197"/>
      <c r="C978" s="197"/>
      <c r="D978" s="197"/>
      <c r="E978" s="197"/>
      <c r="F978" s="197"/>
      <c r="G978" s="197"/>
      <c r="H978" s="197"/>
      <c r="I978" s="197"/>
      <c r="J978" s="197"/>
      <c r="K978" s="197"/>
      <c r="L978" s="197"/>
      <c r="M978" s="197"/>
      <c r="N978" s="197"/>
      <c r="O978" s="197"/>
      <c r="P978" s="197"/>
      <c r="Q978" s="197"/>
      <c r="R978" s="197"/>
      <c r="S978" s="197"/>
      <c r="T978" s="197"/>
      <c r="U978" s="197"/>
      <c r="V978" s="197"/>
      <c r="W978" s="197"/>
      <c r="X978" s="197"/>
      <c r="Y978" s="197"/>
      <c r="Z978" s="197"/>
      <c r="AA978" s="197"/>
      <c r="AB978" s="197"/>
      <c r="AC978" s="197"/>
      <c r="AD978" s="197"/>
      <c r="AE978" s="197"/>
      <c r="AF978" s="197"/>
      <c r="AG978" s="197"/>
      <c r="AH978" s="197"/>
      <c r="AI978" s="197"/>
      <c r="AJ978" s="201"/>
      <c r="AK978" s="33"/>
      <c r="AL978" s="33"/>
      <c r="AM978" s="33"/>
      <c r="AN978" s="33"/>
      <c r="AO978" s="33"/>
      <c r="AP978" s="33"/>
      <c r="AQ978" s="33"/>
      <c r="AR978" s="33"/>
      <c r="AS978" s="33"/>
      <c r="AT978" s="33"/>
      <c r="AU978" s="33"/>
      <c r="AV978" s="33"/>
      <c r="AW978" s="33"/>
      <c r="AX978" s="33"/>
      <c r="AY978" s="33"/>
      <c r="AZ978" s="33"/>
      <c r="BA978" s="33"/>
      <c r="BB978" s="33"/>
      <c r="BC978" s="33"/>
      <c r="BD978" s="33"/>
      <c r="BE978" s="33"/>
      <c r="BF978" s="33"/>
      <c r="BG978" s="33"/>
      <c r="BH978" s="33"/>
      <c r="BI978" s="33"/>
      <c r="BJ978" s="33"/>
      <c r="BK978" s="33"/>
    </row>
    <row r="979" spans="1:63" ht="15" customHeight="1">
      <c r="A979" s="197"/>
      <c r="B979" s="197"/>
      <c r="C979" s="197"/>
      <c r="D979" s="197"/>
      <c r="E979" s="197"/>
      <c r="F979" s="197"/>
      <c r="G979" s="197"/>
      <c r="H979" s="197"/>
      <c r="I979" s="197"/>
      <c r="J979" s="197"/>
      <c r="K979" s="197"/>
      <c r="L979" s="197"/>
      <c r="M979" s="197"/>
      <c r="N979" s="197"/>
      <c r="O979" s="197"/>
      <c r="P979" s="197"/>
      <c r="Q979" s="197"/>
      <c r="R979" s="197"/>
      <c r="S979" s="197"/>
      <c r="T979" s="197"/>
      <c r="U979" s="197"/>
      <c r="V979" s="197"/>
      <c r="W979" s="197"/>
      <c r="X979" s="197"/>
      <c r="Y979" s="197"/>
      <c r="Z979" s="197"/>
      <c r="AA979" s="197"/>
      <c r="AB979" s="197"/>
      <c r="AC979" s="197"/>
      <c r="AD979" s="197"/>
      <c r="AE979" s="197"/>
      <c r="AF979" s="197"/>
      <c r="AG979" s="197"/>
      <c r="AH979" s="197"/>
      <c r="AI979" s="197"/>
      <c r="AJ979" s="201"/>
      <c r="AK979" s="33"/>
      <c r="AL979" s="33"/>
      <c r="AM979" s="33"/>
      <c r="AN979" s="33"/>
      <c r="AO979" s="33"/>
      <c r="AP979" s="33"/>
      <c r="AQ979" s="33"/>
      <c r="AR979" s="33"/>
      <c r="AS979" s="33"/>
      <c r="AT979" s="33"/>
      <c r="AU979" s="33"/>
      <c r="AV979" s="33"/>
      <c r="AW979" s="33"/>
      <c r="AX979" s="33"/>
      <c r="AY979" s="33"/>
      <c r="AZ979" s="33"/>
      <c r="BA979" s="33"/>
      <c r="BB979" s="33"/>
      <c r="BC979" s="33"/>
      <c r="BD979" s="33"/>
      <c r="BE979" s="33"/>
      <c r="BF979" s="33"/>
      <c r="BG979" s="33"/>
      <c r="BH979" s="33"/>
      <c r="BI979" s="33"/>
      <c r="BJ979" s="33"/>
      <c r="BK979" s="33"/>
    </row>
    <row r="980" spans="1:63" ht="15" customHeight="1">
      <c r="A980" s="197"/>
      <c r="B980" s="197"/>
      <c r="C980" s="197"/>
      <c r="D980" s="197"/>
      <c r="E980" s="197"/>
      <c r="F980" s="197"/>
      <c r="G980" s="197"/>
      <c r="H980" s="197"/>
      <c r="I980" s="197"/>
      <c r="J980" s="197"/>
      <c r="K980" s="197"/>
      <c r="L980" s="197"/>
      <c r="M980" s="197"/>
      <c r="N980" s="197"/>
      <c r="O980" s="197"/>
      <c r="P980" s="197"/>
      <c r="Q980" s="197"/>
      <c r="R980" s="197"/>
      <c r="S980" s="197"/>
      <c r="T980" s="197"/>
      <c r="U980" s="197"/>
      <c r="V980" s="197"/>
      <c r="W980" s="197"/>
      <c r="X980" s="197"/>
      <c r="Y980" s="197"/>
      <c r="Z980" s="197"/>
      <c r="AA980" s="197"/>
      <c r="AB980" s="197"/>
      <c r="AC980" s="197"/>
      <c r="AD980" s="197"/>
      <c r="AE980" s="197"/>
      <c r="AF980" s="197"/>
      <c r="AG980" s="197"/>
      <c r="AH980" s="197"/>
      <c r="AI980" s="197"/>
      <c r="AJ980" s="201"/>
      <c r="AK980" s="33"/>
      <c r="AL980" s="33"/>
      <c r="AM980" s="33"/>
      <c r="AN980" s="33"/>
      <c r="AO980" s="33"/>
      <c r="AP980" s="33"/>
      <c r="AQ980" s="33"/>
      <c r="AR980" s="33"/>
      <c r="AS980" s="33"/>
      <c r="AT980" s="33"/>
      <c r="AU980" s="33"/>
      <c r="AV980" s="33"/>
      <c r="AW980" s="33"/>
      <c r="AX980" s="33"/>
      <c r="AY980" s="33"/>
      <c r="AZ980" s="33"/>
      <c r="BA980" s="33"/>
      <c r="BB980" s="33"/>
      <c r="BC980" s="33"/>
      <c r="BD980" s="33"/>
      <c r="BE980" s="33"/>
      <c r="BF980" s="33"/>
      <c r="BG980" s="33"/>
      <c r="BH980" s="33"/>
      <c r="BI980" s="33"/>
      <c r="BJ980" s="33"/>
      <c r="BK980" s="33"/>
    </row>
    <row r="981" spans="1:63" ht="15" customHeight="1">
      <c r="A981" s="197"/>
      <c r="B981" s="197"/>
      <c r="C981" s="197"/>
      <c r="D981" s="197"/>
      <c r="E981" s="197"/>
      <c r="F981" s="197"/>
      <c r="G981" s="197"/>
      <c r="H981" s="197"/>
      <c r="I981" s="197"/>
      <c r="J981" s="197"/>
      <c r="K981" s="197"/>
      <c r="L981" s="197"/>
      <c r="M981" s="197"/>
      <c r="N981" s="197"/>
      <c r="O981" s="197"/>
      <c r="P981" s="197"/>
      <c r="Q981" s="197"/>
      <c r="R981" s="197"/>
      <c r="S981" s="197"/>
      <c r="T981" s="197"/>
      <c r="U981" s="197"/>
      <c r="V981" s="197"/>
      <c r="W981" s="197"/>
      <c r="X981" s="197"/>
      <c r="Y981" s="197"/>
      <c r="Z981" s="197"/>
      <c r="AA981" s="197"/>
      <c r="AB981" s="197"/>
      <c r="AC981" s="197"/>
      <c r="AD981" s="197"/>
      <c r="AE981" s="197"/>
      <c r="AF981" s="197"/>
      <c r="AG981" s="197"/>
      <c r="AH981" s="197"/>
      <c r="AI981" s="197"/>
      <c r="AJ981" s="201"/>
      <c r="AK981" s="33"/>
      <c r="AL981" s="33"/>
      <c r="AM981" s="33"/>
      <c r="AN981" s="33"/>
      <c r="AO981" s="33"/>
      <c r="AP981" s="33"/>
      <c r="AQ981" s="33"/>
      <c r="AR981" s="33"/>
      <c r="AS981" s="33"/>
      <c r="AT981" s="33"/>
      <c r="AU981" s="33"/>
      <c r="AV981" s="33"/>
      <c r="AW981" s="33"/>
      <c r="AX981" s="33"/>
      <c r="AY981" s="33"/>
      <c r="AZ981" s="33"/>
      <c r="BA981" s="33"/>
      <c r="BB981" s="33"/>
      <c r="BC981" s="33"/>
      <c r="BD981" s="33"/>
      <c r="BE981" s="33"/>
      <c r="BF981" s="33"/>
      <c r="BG981" s="33"/>
      <c r="BH981" s="33"/>
      <c r="BI981" s="33"/>
      <c r="BJ981" s="33"/>
      <c r="BK981" s="33"/>
    </row>
    <row r="982" spans="1:63" ht="15" customHeight="1">
      <c r="A982" s="197"/>
      <c r="B982" s="197"/>
      <c r="C982" s="197"/>
      <c r="D982" s="197"/>
      <c r="E982" s="197"/>
      <c r="F982" s="197"/>
      <c r="G982" s="197"/>
      <c r="H982" s="197"/>
      <c r="I982" s="197"/>
      <c r="J982" s="197"/>
      <c r="K982" s="197"/>
      <c r="L982" s="197"/>
      <c r="M982" s="197"/>
      <c r="N982" s="197"/>
      <c r="O982" s="197"/>
      <c r="P982" s="197"/>
      <c r="Q982" s="197"/>
      <c r="R982" s="197"/>
      <c r="S982" s="197"/>
      <c r="T982" s="197"/>
      <c r="U982" s="197"/>
      <c r="V982" s="197"/>
      <c r="W982" s="197"/>
      <c r="X982" s="197"/>
      <c r="Y982" s="197"/>
      <c r="Z982" s="197"/>
      <c r="AA982" s="197"/>
      <c r="AB982" s="197"/>
      <c r="AC982" s="197"/>
      <c r="AD982" s="197"/>
      <c r="AE982" s="197"/>
      <c r="AF982" s="197"/>
      <c r="AG982" s="197"/>
      <c r="AH982" s="197"/>
      <c r="AI982" s="197"/>
      <c r="AJ982" s="201"/>
      <c r="AK982" s="33"/>
      <c r="AL982" s="33"/>
      <c r="AM982" s="33"/>
      <c r="AN982" s="33"/>
      <c r="AO982" s="33"/>
      <c r="AP982" s="33"/>
      <c r="AQ982" s="33"/>
      <c r="AR982" s="33"/>
      <c r="AS982" s="33"/>
      <c r="AT982" s="33"/>
      <c r="AU982" s="33"/>
      <c r="AV982" s="33"/>
      <c r="AW982" s="33"/>
      <c r="AX982" s="33"/>
      <c r="AY982" s="33"/>
      <c r="AZ982" s="33"/>
      <c r="BA982" s="33"/>
      <c r="BB982" s="33"/>
      <c r="BC982" s="33"/>
      <c r="BD982" s="33"/>
      <c r="BE982" s="33"/>
      <c r="BF982" s="33"/>
      <c r="BG982" s="33"/>
      <c r="BH982" s="33"/>
      <c r="BI982" s="33"/>
      <c r="BJ982" s="33"/>
      <c r="BK982" s="33"/>
    </row>
    <row r="983" spans="1:63" ht="15" customHeight="1">
      <c r="A983" s="197"/>
      <c r="B983" s="197"/>
      <c r="C983" s="197"/>
      <c r="D983" s="197"/>
      <c r="E983" s="197"/>
      <c r="F983" s="197"/>
      <c r="G983" s="197"/>
      <c r="H983" s="197"/>
      <c r="I983" s="197"/>
      <c r="J983" s="197"/>
      <c r="K983" s="197"/>
      <c r="L983" s="197"/>
      <c r="M983" s="197"/>
      <c r="N983" s="197"/>
      <c r="O983" s="197"/>
      <c r="P983" s="197"/>
      <c r="Q983" s="197"/>
      <c r="R983" s="197"/>
      <c r="S983" s="197"/>
      <c r="T983" s="197"/>
      <c r="U983" s="197"/>
      <c r="V983" s="197"/>
      <c r="W983" s="197"/>
      <c r="X983" s="197"/>
      <c r="Y983" s="197"/>
      <c r="Z983" s="197"/>
      <c r="AA983" s="197"/>
      <c r="AB983" s="197"/>
      <c r="AC983" s="197"/>
      <c r="AD983" s="197"/>
      <c r="AE983" s="197"/>
      <c r="AF983" s="197"/>
      <c r="AG983" s="197"/>
      <c r="AH983" s="197"/>
      <c r="AI983" s="197"/>
      <c r="AJ983" s="201"/>
      <c r="AK983" s="33"/>
      <c r="AL983" s="33"/>
      <c r="AM983" s="33"/>
      <c r="AN983" s="33"/>
      <c r="AO983" s="33"/>
      <c r="AP983" s="33"/>
      <c r="AQ983" s="33"/>
      <c r="AR983" s="33"/>
      <c r="AS983" s="33"/>
      <c r="AT983" s="33"/>
      <c r="AU983" s="33"/>
      <c r="AV983" s="33"/>
      <c r="AW983" s="33"/>
      <c r="AX983" s="33"/>
      <c r="AY983" s="33"/>
      <c r="AZ983" s="33"/>
      <c r="BA983" s="33"/>
      <c r="BB983" s="33"/>
      <c r="BC983" s="33"/>
      <c r="BD983" s="33"/>
      <c r="BE983" s="33"/>
      <c r="BF983" s="33"/>
      <c r="BG983" s="33"/>
      <c r="BH983" s="33"/>
      <c r="BI983" s="33"/>
      <c r="BJ983" s="33"/>
      <c r="BK983" s="33"/>
    </row>
    <row r="984" spans="1:63" ht="15" customHeight="1">
      <c r="A984" s="197"/>
      <c r="B984" s="197"/>
      <c r="C984" s="197"/>
      <c r="D984" s="197"/>
      <c r="E984" s="197"/>
      <c r="F984" s="197"/>
      <c r="G984" s="197"/>
      <c r="H984" s="197"/>
      <c r="I984" s="197"/>
      <c r="J984" s="197"/>
      <c r="K984" s="197"/>
      <c r="L984" s="197"/>
      <c r="M984" s="197"/>
      <c r="N984" s="197"/>
      <c r="O984" s="197"/>
      <c r="P984" s="197"/>
      <c r="Q984" s="197"/>
      <c r="R984" s="197"/>
      <c r="S984" s="197"/>
      <c r="T984" s="197"/>
      <c r="U984" s="197"/>
      <c r="V984" s="197"/>
      <c r="W984" s="197"/>
      <c r="X984" s="197"/>
      <c r="Y984" s="197"/>
      <c r="Z984" s="197"/>
      <c r="AA984" s="197"/>
      <c r="AB984" s="197"/>
      <c r="AC984" s="197"/>
      <c r="AD984" s="197"/>
      <c r="AE984" s="197"/>
      <c r="AF984" s="197"/>
      <c r="AG984" s="197"/>
      <c r="AH984" s="197"/>
      <c r="AI984" s="197"/>
      <c r="AJ984" s="201"/>
      <c r="AK984" s="33"/>
      <c r="AL984" s="33"/>
      <c r="AM984" s="33"/>
      <c r="AN984" s="33"/>
      <c r="AO984" s="33"/>
      <c r="AP984" s="33"/>
      <c r="AQ984" s="33"/>
      <c r="AR984" s="33"/>
      <c r="AS984" s="33"/>
      <c r="AT984" s="33"/>
      <c r="AU984" s="33"/>
      <c r="AV984" s="33"/>
      <c r="AW984" s="33"/>
      <c r="AX984" s="33"/>
      <c r="AY984" s="33"/>
      <c r="AZ984" s="33"/>
      <c r="BA984" s="33"/>
      <c r="BB984" s="33"/>
      <c r="BC984" s="33"/>
      <c r="BD984" s="33"/>
      <c r="BE984" s="33"/>
      <c r="BF984" s="33"/>
      <c r="BG984" s="33"/>
      <c r="BH984" s="33"/>
      <c r="BI984" s="33"/>
      <c r="BJ984" s="33"/>
      <c r="BK984" s="33"/>
    </row>
    <row r="985" spans="1:63" ht="15" customHeight="1">
      <c r="A985" s="197"/>
      <c r="B985" s="197"/>
      <c r="C985" s="197"/>
      <c r="D985" s="197"/>
      <c r="E985" s="197"/>
      <c r="F985" s="197"/>
      <c r="G985" s="197"/>
      <c r="H985" s="197"/>
      <c r="I985" s="197"/>
      <c r="J985" s="197"/>
      <c r="K985" s="197"/>
      <c r="L985" s="197"/>
      <c r="M985" s="197"/>
      <c r="N985" s="197"/>
      <c r="O985" s="197"/>
      <c r="P985" s="197"/>
      <c r="Q985" s="197"/>
      <c r="R985" s="197"/>
      <c r="S985" s="197"/>
      <c r="T985" s="197"/>
      <c r="U985" s="197"/>
      <c r="V985" s="197"/>
      <c r="W985" s="197"/>
      <c r="X985" s="197"/>
      <c r="Y985" s="197"/>
      <c r="Z985" s="197"/>
      <c r="AA985" s="197"/>
      <c r="AB985" s="197"/>
      <c r="AC985" s="197"/>
      <c r="AD985" s="197"/>
      <c r="AE985" s="197"/>
      <c r="AF985" s="197"/>
      <c r="AG985" s="197"/>
      <c r="AH985" s="197"/>
      <c r="AI985" s="197"/>
      <c r="AJ985" s="201"/>
      <c r="AK985" s="33"/>
      <c r="AL985" s="33"/>
      <c r="AM985" s="33"/>
      <c r="AN985" s="33"/>
      <c r="AO985" s="33"/>
      <c r="AP985" s="33"/>
      <c r="AQ985" s="33"/>
      <c r="AR985" s="33"/>
      <c r="AS985" s="33"/>
      <c r="AT985" s="33"/>
      <c r="AU985" s="33"/>
      <c r="AV985" s="33"/>
      <c r="AW985" s="33"/>
      <c r="AX985" s="33"/>
      <c r="AY985" s="33"/>
      <c r="AZ985" s="33"/>
      <c r="BA985" s="33"/>
      <c r="BB985" s="33"/>
      <c r="BC985" s="33"/>
      <c r="BD985" s="33"/>
      <c r="BE985" s="33"/>
      <c r="BF985" s="33"/>
      <c r="BG985" s="33"/>
      <c r="BH985" s="33"/>
      <c r="BI985" s="33"/>
      <c r="BJ985" s="33"/>
      <c r="BK985" s="33"/>
    </row>
    <row r="986" spans="1:63" ht="15" customHeight="1">
      <c r="A986" s="197"/>
      <c r="B986" s="197"/>
      <c r="C986" s="197"/>
      <c r="D986" s="197"/>
      <c r="E986" s="197"/>
      <c r="F986" s="197"/>
      <c r="G986" s="197"/>
      <c r="H986" s="197"/>
      <c r="I986" s="197"/>
      <c r="J986" s="197"/>
      <c r="K986" s="197"/>
      <c r="L986" s="197"/>
      <c r="M986" s="197"/>
      <c r="N986" s="197"/>
      <c r="O986" s="197"/>
      <c r="P986" s="197"/>
      <c r="Q986" s="197"/>
      <c r="R986" s="197"/>
      <c r="S986" s="197"/>
      <c r="T986" s="197"/>
      <c r="U986" s="197"/>
      <c r="V986" s="197"/>
      <c r="W986" s="197"/>
      <c r="X986" s="197"/>
      <c r="Y986" s="197"/>
      <c r="Z986" s="197"/>
      <c r="AA986" s="197"/>
      <c r="AB986" s="197"/>
      <c r="AC986" s="197"/>
      <c r="AD986" s="197"/>
      <c r="AE986" s="197"/>
      <c r="AF986" s="197"/>
      <c r="AG986" s="197"/>
      <c r="AH986" s="197"/>
      <c r="AI986" s="197"/>
      <c r="AJ986" s="201"/>
      <c r="AK986" s="33"/>
      <c r="AL986" s="33"/>
      <c r="AM986" s="33"/>
      <c r="AN986" s="33"/>
      <c r="AO986" s="33"/>
      <c r="AP986" s="33"/>
      <c r="AQ986" s="33"/>
      <c r="AR986" s="33"/>
      <c r="AS986" s="33"/>
      <c r="AT986" s="33"/>
      <c r="AU986" s="33"/>
      <c r="AV986" s="33"/>
      <c r="AW986" s="33"/>
      <c r="AX986" s="33"/>
      <c r="AY986" s="33"/>
      <c r="AZ986" s="33"/>
      <c r="BA986" s="33"/>
      <c r="BB986" s="33"/>
      <c r="BC986" s="33"/>
      <c r="BD986" s="33"/>
      <c r="BE986" s="33"/>
      <c r="BF986" s="33"/>
      <c r="BG986" s="33"/>
      <c r="BH986" s="33"/>
      <c r="BI986" s="33"/>
      <c r="BJ986" s="33"/>
      <c r="BK986" s="33"/>
    </row>
    <row r="987" spans="1:63" ht="15" customHeight="1">
      <c r="A987" s="197"/>
      <c r="B987" s="197"/>
      <c r="C987" s="197"/>
      <c r="D987" s="197"/>
      <c r="E987" s="197"/>
      <c r="F987" s="197"/>
      <c r="G987" s="197"/>
      <c r="H987" s="197"/>
      <c r="I987" s="197"/>
      <c r="J987" s="197"/>
      <c r="K987" s="197"/>
      <c r="L987" s="197"/>
      <c r="M987" s="197"/>
      <c r="N987" s="197"/>
      <c r="O987" s="197"/>
      <c r="P987" s="197"/>
      <c r="Q987" s="197"/>
      <c r="R987" s="197"/>
      <c r="S987" s="197"/>
      <c r="T987" s="197"/>
      <c r="U987" s="197"/>
      <c r="V987" s="197"/>
      <c r="W987" s="197"/>
      <c r="X987" s="197"/>
      <c r="Y987" s="197"/>
      <c r="Z987" s="197"/>
      <c r="AA987" s="197"/>
      <c r="AB987" s="197"/>
      <c r="AC987" s="197"/>
      <c r="AD987" s="197"/>
      <c r="AE987" s="197"/>
      <c r="AF987" s="197"/>
      <c r="AG987" s="197"/>
      <c r="AH987" s="197"/>
      <c r="AI987" s="197"/>
      <c r="AJ987" s="201"/>
      <c r="AK987" s="33"/>
      <c r="AL987" s="33"/>
      <c r="AM987" s="33"/>
      <c r="AN987" s="33"/>
      <c r="AO987" s="33"/>
      <c r="AP987" s="33"/>
      <c r="AQ987" s="33"/>
      <c r="AR987" s="33"/>
      <c r="AS987" s="33"/>
      <c r="AT987" s="33"/>
      <c r="AU987" s="33"/>
      <c r="AV987" s="33"/>
      <c r="AW987" s="33"/>
      <c r="AX987" s="33"/>
      <c r="AY987" s="33"/>
      <c r="AZ987" s="33"/>
      <c r="BA987" s="33"/>
      <c r="BB987" s="33"/>
      <c r="BC987" s="33"/>
      <c r="BD987" s="33"/>
      <c r="BE987" s="33"/>
      <c r="BF987" s="33"/>
      <c r="BG987" s="33"/>
      <c r="BH987" s="33"/>
      <c r="BI987" s="33"/>
      <c r="BJ987" s="33"/>
      <c r="BK987" s="33"/>
    </row>
    <row r="988" spans="1:63" ht="15" customHeight="1">
      <c r="A988" s="197"/>
      <c r="B988" s="197"/>
      <c r="C988" s="197"/>
      <c r="D988" s="197"/>
      <c r="E988" s="197"/>
      <c r="F988" s="197"/>
      <c r="G988" s="197"/>
      <c r="H988" s="197"/>
      <c r="I988" s="197"/>
      <c r="J988" s="197"/>
      <c r="K988" s="197"/>
      <c r="L988" s="197"/>
      <c r="M988" s="197"/>
      <c r="N988" s="197"/>
      <c r="O988" s="197"/>
      <c r="P988" s="197"/>
      <c r="Q988" s="197"/>
      <c r="R988" s="197"/>
      <c r="S988" s="197"/>
      <c r="T988" s="197"/>
      <c r="U988" s="197"/>
      <c r="V988" s="197"/>
      <c r="W988" s="197"/>
      <c r="X988" s="197"/>
      <c r="Y988" s="197"/>
      <c r="Z988" s="197"/>
      <c r="AA988" s="197"/>
      <c r="AB988" s="197"/>
      <c r="AC988" s="197"/>
      <c r="AD988" s="197"/>
      <c r="AE988" s="197"/>
      <c r="AF988" s="197"/>
      <c r="AG988" s="197"/>
      <c r="AH988" s="197"/>
      <c r="AI988" s="197"/>
      <c r="AJ988" s="201"/>
      <c r="AK988" s="33"/>
      <c r="AL988" s="33"/>
      <c r="AM988" s="33"/>
      <c r="AN988" s="33"/>
      <c r="AO988" s="33"/>
      <c r="AP988" s="33"/>
      <c r="AQ988" s="33"/>
      <c r="AR988" s="33"/>
      <c r="AS988" s="33"/>
      <c r="AT988" s="33"/>
      <c r="AU988" s="33"/>
      <c r="AV988" s="33"/>
      <c r="AW988" s="33"/>
      <c r="AX988" s="33"/>
      <c r="AY988" s="33"/>
      <c r="AZ988" s="33"/>
      <c r="BA988" s="33"/>
      <c r="BB988" s="33"/>
      <c r="BC988" s="33"/>
      <c r="BD988" s="33"/>
      <c r="BE988" s="33"/>
      <c r="BF988" s="33"/>
      <c r="BG988" s="33"/>
      <c r="BH988" s="33"/>
      <c r="BI988" s="33"/>
      <c r="BJ988" s="33"/>
      <c r="BK988" s="33"/>
    </row>
    <row r="989" spans="1:63" ht="15" customHeight="1">
      <c r="A989" s="197"/>
      <c r="B989" s="197"/>
      <c r="C989" s="197"/>
      <c r="D989" s="197"/>
      <c r="E989" s="197"/>
      <c r="F989" s="197"/>
      <c r="G989" s="197"/>
      <c r="H989" s="197"/>
      <c r="I989" s="197"/>
      <c r="J989" s="197"/>
      <c r="K989" s="197"/>
      <c r="L989" s="197"/>
      <c r="M989" s="197"/>
      <c r="N989" s="197"/>
      <c r="O989" s="197"/>
      <c r="P989" s="197"/>
      <c r="Q989" s="197"/>
      <c r="R989" s="197"/>
      <c r="S989" s="197"/>
      <c r="T989" s="197"/>
      <c r="U989" s="197"/>
      <c r="V989" s="197"/>
      <c r="W989" s="197"/>
      <c r="X989" s="197"/>
      <c r="Y989" s="197"/>
      <c r="Z989" s="197"/>
      <c r="AA989" s="197"/>
      <c r="AB989" s="197"/>
      <c r="AC989" s="197"/>
      <c r="AD989" s="197"/>
      <c r="AE989" s="197"/>
      <c r="AF989" s="197"/>
      <c r="AG989" s="197"/>
      <c r="AH989" s="197"/>
      <c r="AI989" s="197"/>
      <c r="AJ989" s="201"/>
      <c r="AK989" s="33"/>
      <c r="AL989" s="33"/>
      <c r="AM989" s="33"/>
      <c r="AN989" s="33"/>
      <c r="AO989" s="33"/>
      <c r="AP989" s="33"/>
      <c r="AQ989" s="33"/>
      <c r="AR989" s="33"/>
      <c r="AS989" s="33"/>
      <c r="AT989" s="33"/>
      <c r="AU989" s="33"/>
      <c r="AV989" s="33"/>
      <c r="AW989" s="33"/>
      <c r="AX989" s="33"/>
      <c r="AY989" s="33"/>
      <c r="AZ989" s="33"/>
      <c r="BA989" s="33"/>
      <c r="BB989" s="33"/>
      <c r="BC989" s="33"/>
      <c r="BD989" s="33"/>
      <c r="BE989" s="33"/>
      <c r="BF989" s="33"/>
      <c r="BG989" s="33"/>
      <c r="BH989" s="33"/>
      <c r="BI989" s="33"/>
      <c r="BJ989" s="33"/>
      <c r="BK989" s="33"/>
    </row>
    <row r="990" spans="1:63" ht="15" customHeight="1">
      <c r="A990" s="197"/>
      <c r="B990" s="197"/>
      <c r="C990" s="197"/>
      <c r="D990" s="197"/>
      <c r="E990" s="197"/>
      <c r="F990" s="197"/>
      <c r="G990" s="197"/>
      <c r="H990" s="197"/>
      <c r="I990" s="197"/>
      <c r="J990" s="197"/>
      <c r="K990" s="197"/>
      <c r="L990" s="197"/>
      <c r="M990" s="197"/>
      <c r="N990" s="197"/>
      <c r="O990" s="197"/>
      <c r="P990" s="197"/>
      <c r="Q990" s="197"/>
      <c r="R990" s="197"/>
      <c r="S990" s="197"/>
      <c r="T990" s="197"/>
      <c r="U990" s="197"/>
      <c r="V990" s="197"/>
      <c r="W990" s="197"/>
      <c r="X990" s="197"/>
      <c r="Y990" s="197"/>
      <c r="Z990" s="197"/>
      <c r="AA990" s="197"/>
      <c r="AB990" s="197"/>
      <c r="AC990" s="197"/>
      <c r="AD990" s="197"/>
      <c r="AE990" s="197"/>
      <c r="AF990" s="197"/>
      <c r="AG990" s="197"/>
      <c r="AH990" s="197"/>
      <c r="AI990" s="197"/>
      <c r="AJ990" s="201"/>
      <c r="AK990" s="33"/>
      <c r="AL990" s="33"/>
      <c r="AM990" s="33"/>
      <c r="AN990" s="33"/>
      <c r="AO990" s="33"/>
      <c r="AP990" s="33"/>
      <c r="AQ990" s="33"/>
      <c r="AR990" s="33"/>
      <c r="AS990" s="33"/>
      <c r="AT990" s="33"/>
      <c r="AU990" s="33"/>
      <c r="AV990" s="33"/>
      <c r="AW990" s="33"/>
      <c r="AX990" s="33"/>
      <c r="AY990" s="33"/>
      <c r="AZ990" s="33"/>
      <c r="BA990" s="33"/>
      <c r="BB990" s="33"/>
      <c r="BC990" s="33"/>
      <c r="BD990" s="33"/>
      <c r="BE990" s="33"/>
      <c r="BF990" s="33"/>
      <c r="BG990" s="33"/>
      <c r="BH990" s="33"/>
      <c r="BI990" s="33"/>
      <c r="BJ990" s="33"/>
      <c r="BK990" s="33"/>
    </row>
    <row r="991" spans="1:63" ht="15" customHeight="1">
      <c r="A991" s="197"/>
      <c r="B991" s="197"/>
      <c r="C991" s="197"/>
      <c r="D991" s="197"/>
      <c r="E991" s="197"/>
      <c r="F991" s="197"/>
      <c r="G991" s="197"/>
      <c r="H991" s="197"/>
      <c r="I991" s="197"/>
      <c r="J991" s="197"/>
      <c r="K991" s="197"/>
      <c r="L991" s="197"/>
      <c r="M991" s="197"/>
      <c r="N991" s="197"/>
      <c r="O991" s="197"/>
      <c r="P991" s="197"/>
      <c r="Q991" s="197"/>
      <c r="R991" s="197"/>
      <c r="S991" s="197"/>
      <c r="T991" s="197"/>
      <c r="U991" s="197"/>
      <c r="V991" s="197"/>
      <c r="W991" s="197"/>
      <c r="X991" s="197"/>
      <c r="Y991" s="197"/>
      <c r="Z991" s="197"/>
      <c r="AA991" s="197"/>
      <c r="AB991" s="197"/>
      <c r="AC991" s="197"/>
      <c r="AD991" s="197"/>
      <c r="AE991" s="197"/>
      <c r="AF991" s="197"/>
      <c r="AG991" s="197"/>
      <c r="AH991" s="197"/>
      <c r="AI991" s="197"/>
      <c r="AJ991" s="201"/>
      <c r="AK991" s="33"/>
      <c r="AL991" s="33"/>
      <c r="AM991" s="33"/>
      <c r="AN991" s="33"/>
      <c r="AO991" s="33"/>
      <c r="AP991" s="33"/>
      <c r="AQ991" s="33"/>
      <c r="AR991" s="33"/>
      <c r="AS991" s="33"/>
      <c r="AT991" s="33"/>
      <c r="AU991" s="33"/>
      <c r="AV991" s="33"/>
      <c r="AW991" s="33"/>
      <c r="AX991" s="33"/>
      <c r="AY991" s="33"/>
      <c r="AZ991" s="33"/>
      <c r="BA991" s="33"/>
      <c r="BB991" s="33"/>
      <c r="BC991" s="33"/>
      <c r="BD991" s="33"/>
      <c r="BE991" s="33"/>
      <c r="BF991" s="33"/>
      <c r="BG991" s="33"/>
      <c r="BH991" s="33"/>
      <c r="BI991" s="33"/>
      <c r="BJ991" s="33"/>
      <c r="BK991" s="33"/>
    </row>
    <row r="992" spans="1:63" ht="15" customHeight="1">
      <c r="A992" s="197"/>
      <c r="B992" s="197"/>
      <c r="C992" s="197"/>
      <c r="D992" s="197"/>
      <c r="E992" s="197"/>
      <c r="F992" s="197"/>
      <c r="G992" s="197"/>
      <c r="H992" s="197"/>
      <c r="I992" s="197"/>
      <c r="J992" s="197"/>
      <c r="K992" s="197"/>
      <c r="L992" s="197"/>
      <c r="M992" s="197"/>
      <c r="N992" s="197"/>
      <c r="O992" s="197"/>
      <c r="P992" s="197"/>
      <c r="Q992" s="197"/>
      <c r="R992" s="197"/>
      <c r="S992" s="197"/>
      <c r="T992" s="197"/>
      <c r="U992" s="197"/>
      <c r="V992" s="197"/>
      <c r="W992" s="197"/>
      <c r="X992" s="197"/>
      <c r="Y992" s="197"/>
      <c r="Z992" s="197"/>
      <c r="AA992" s="197"/>
      <c r="AB992" s="197"/>
      <c r="AC992" s="197"/>
      <c r="AD992" s="197"/>
      <c r="AE992" s="197"/>
      <c r="AF992" s="197"/>
      <c r="AG992" s="197"/>
      <c r="AH992" s="197"/>
      <c r="AI992" s="197"/>
      <c r="AJ992" s="201"/>
      <c r="AK992" s="33"/>
      <c r="AL992" s="33"/>
      <c r="AM992" s="33"/>
      <c r="AN992" s="33"/>
      <c r="AO992" s="33"/>
      <c r="AP992" s="33"/>
      <c r="AQ992" s="33"/>
      <c r="AR992" s="33"/>
      <c r="AS992" s="33"/>
      <c r="AT992" s="33"/>
      <c r="AU992" s="33"/>
      <c r="AV992" s="33"/>
      <c r="AW992" s="33"/>
      <c r="AX992" s="33"/>
      <c r="AY992" s="33"/>
      <c r="AZ992" s="33"/>
      <c r="BA992" s="33"/>
      <c r="BB992" s="33"/>
      <c r="BC992" s="33"/>
      <c r="BD992" s="33"/>
      <c r="BE992" s="33"/>
      <c r="BF992" s="33"/>
      <c r="BG992" s="33"/>
      <c r="BH992" s="33"/>
      <c r="BI992" s="33"/>
      <c r="BJ992" s="33"/>
      <c r="BK992" s="33"/>
    </row>
    <row r="993" spans="1:63" ht="15" customHeight="1">
      <c r="A993" s="197"/>
      <c r="B993" s="197"/>
      <c r="C993" s="197"/>
      <c r="D993" s="197"/>
      <c r="E993" s="197"/>
      <c r="F993" s="197"/>
      <c r="G993" s="197"/>
      <c r="H993" s="197"/>
      <c r="I993" s="197"/>
      <c r="J993" s="197"/>
      <c r="K993" s="197"/>
      <c r="L993" s="197"/>
      <c r="M993" s="197"/>
      <c r="N993" s="197"/>
      <c r="O993" s="197"/>
      <c r="P993" s="197"/>
      <c r="Q993" s="197"/>
      <c r="R993" s="197"/>
      <c r="S993" s="197"/>
      <c r="T993" s="197"/>
      <c r="U993" s="197"/>
      <c r="V993" s="197"/>
      <c r="W993" s="197"/>
      <c r="X993" s="197"/>
      <c r="Y993" s="197"/>
      <c r="Z993" s="197"/>
      <c r="AA993" s="197"/>
      <c r="AB993" s="197"/>
      <c r="AC993" s="197"/>
      <c r="AD993" s="197"/>
      <c r="AE993" s="197"/>
      <c r="AF993" s="197"/>
      <c r="AG993" s="197"/>
      <c r="AH993" s="197"/>
      <c r="AI993" s="197"/>
      <c r="AJ993" s="201"/>
      <c r="AK993" s="33"/>
      <c r="AL993" s="33"/>
      <c r="AM993" s="33"/>
      <c r="AN993" s="33"/>
      <c r="AO993" s="33"/>
      <c r="AP993" s="33"/>
      <c r="AQ993" s="33"/>
      <c r="AR993" s="33"/>
      <c r="AS993" s="33"/>
      <c r="AT993" s="33"/>
      <c r="AU993" s="33"/>
      <c r="AV993" s="33"/>
      <c r="AW993" s="33"/>
      <c r="AX993" s="33"/>
      <c r="AY993" s="33"/>
      <c r="AZ993" s="33"/>
      <c r="BA993" s="33"/>
      <c r="BB993" s="33"/>
      <c r="BC993" s="33"/>
      <c r="BD993" s="33"/>
      <c r="BE993" s="33"/>
      <c r="BF993" s="33"/>
      <c r="BG993" s="33"/>
      <c r="BH993" s="33"/>
      <c r="BI993" s="33"/>
      <c r="BJ993" s="33"/>
      <c r="BK993" s="33"/>
    </row>
    <row r="994" spans="1:63" ht="15" customHeight="1">
      <c r="A994" s="197"/>
      <c r="B994" s="197"/>
      <c r="C994" s="197"/>
      <c r="D994" s="197"/>
      <c r="E994" s="197"/>
      <c r="F994" s="197"/>
      <c r="G994" s="197"/>
      <c r="H994" s="197"/>
      <c r="I994" s="197"/>
      <c r="J994" s="197"/>
      <c r="K994" s="197"/>
      <c r="L994" s="197"/>
      <c r="M994" s="197"/>
      <c r="N994" s="197"/>
      <c r="O994" s="197"/>
      <c r="P994" s="197"/>
      <c r="Q994" s="197"/>
      <c r="R994" s="197"/>
      <c r="S994" s="197"/>
      <c r="T994" s="197"/>
      <c r="U994" s="197"/>
      <c r="V994" s="197"/>
      <c r="W994" s="197"/>
      <c r="X994" s="197"/>
      <c r="Y994" s="197"/>
      <c r="Z994" s="197"/>
      <c r="AA994" s="197"/>
      <c r="AB994" s="197"/>
      <c r="AC994" s="197"/>
      <c r="AD994" s="197"/>
      <c r="AE994" s="197"/>
      <c r="AF994" s="197"/>
      <c r="AG994" s="197"/>
      <c r="AH994" s="197"/>
      <c r="AI994" s="197"/>
      <c r="AJ994" s="201"/>
      <c r="AK994" s="33"/>
      <c r="AL994" s="33"/>
      <c r="AM994" s="33"/>
      <c r="AN994" s="33"/>
      <c r="AO994" s="33"/>
      <c r="AP994" s="33"/>
      <c r="AQ994" s="33"/>
      <c r="AR994" s="33"/>
      <c r="AS994" s="33"/>
      <c r="AT994" s="33"/>
      <c r="AU994" s="33"/>
      <c r="AV994" s="33"/>
      <c r="AW994" s="33"/>
      <c r="AX994" s="33"/>
      <c r="AY994" s="33"/>
      <c r="AZ994" s="33"/>
      <c r="BA994" s="33"/>
      <c r="BB994" s="33"/>
      <c r="BC994" s="33"/>
      <c r="BD994" s="33"/>
      <c r="BE994" s="33"/>
      <c r="BF994" s="33"/>
      <c r="BG994" s="33"/>
      <c r="BH994" s="33"/>
      <c r="BI994" s="33"/>
      <c r="BJ994" s="33"/>
      <c r="BK994" s="33"/>
    </row>
    <row r="995" spans="1:63" ht="15" customHeight="1">
      <c r="A995" s="197"/>
      <c r="B995" s="197"/>
      <c r="C995" s="197"/>
      <c r="D995" s="197"/>
      <c r="E995" s="197"/>
      <c r="F995" s="197"/>
      <c r="G995" s="197"/>
      <c r="H995" s="197"/>
      <c r="I995" s="197"/>
      <c r="J995" s="197"/>
      <c r="K995" s="197"/>
      <c r="L995" s="197"/>
      <c r="M995" s="197"/>
      <c r="N995" s="197"/>
      <c r="O995" s="197"/>
      <c r="P995" s="197"/>
      <c r="Q995" s="197"/>
      <c r="R995" s="197"/>
      <c r="S995" s="197"/>
      <c r="T995" s="197"/>
      <c r="U995" s="197"/>
      <c r="V995" s="197"/>
      <c r="W995" s="197"/>
      <c r="X995" s="197"/>
      <c r="Y995" s="197"/>
      <c r="Z995" s="197"/>
      <c r="AA995" s="197"/>
      <c r="AB995" s="197"/>
      <c r="AC995" s="197"/>
      <c r="AD995" s="197"/>
      <c r="AE995" s="197"/>
      <c r="AF995" s="197"/>
      <c r="AG995" s="197"/>
      <c r="AH995" s="197"/>
      <c r="AI995" s="197"/>
      <c r="AJ995" s="201"/>
      <c r="AK995" s="33"/>
      <c r="AL995" s="33"/>
      <c r="AM995" s="33"/>
      <c r="AN995" s="33"/>
      <c r="AO995" s="33"/>
      <c r="AP995" s="33"/>
      <c r="AQ995" s="33"/>
      <c r="AR995" s="33"/>
      <c r="AS995" s="33"/>
      <c r="AT995" s="33"/>
      <c r="AU995" s="33"/>
      <c r="AV995" s="33"/>
      <c r="AW995" s="33"/>
      <c r="AX995" s="33"/>
      <c r="AY995" s="33"/>
      <c r="AZ995" s="33"/>
      <c r="BA995" s="33"/>
      <c r="BB995" s="33"/>
      <c r="BC995" s="33"/>
      <c r="BD995" s="33"/>
      <c r="BE995" s="33"/>
      <c r="BF995" s="33"/>
      <c r="BG995" s="33"/>
      <c r="BH995" s="33"/>
      <c r="BI995" s="33"/>
      <c r="BJ995" s="33"/>
      <c r="BK995" s="33"/>
    </row>
    <row r="996" spans="1:63" ht="15" customHeight="1">
      <c r="A996" s="197"/>
      <c r="B996" s="197"/>
      <c r="C996" s="197"/>
      <c r="D996" s="197"/>
      <c r="E996" s="197"/>
      <c r="F996" s="197"/>
      <c r="G996" s="197"/>
      <c r="H996" s="197"/>
      <c r="I996" s="197"/>
      <c r="J996" s="197"/>
      <c r="K996" s="197"/>
      <c r="L996" s="197"/>
      <c r="M996" s="197"/>
      <c r="N996" s="197"/>
      <c r="O996" s="197"/>
      <c r="P996" s="197"/>
      <c r="Q996" s="197"/>
      <c r="R996" s="197"/>
      <c r="S996" s="197"/>
      <c r="T996" s="197"/>
      <c r="U996" s="197"/>
      <c r="V996" s="197"/>
      <c r="W996" s="197"/>
      <c r="X996" s="197"/>
      <c r="Y996" s="197"/>
      <c r="Z996" s="197"/>
      <c r="AA996" s="197"/>
      <c r="AB996" s="197"/>
      <c r="AC996" s="197"/>
      <c r="AD996" s="197"/>
      <c r="AE996" s="197"/>
      <c r="AF996" s="197"/>
      <c r="AG996" s="197"/>
      <c r="AH996" s="197"/>
      <c r="AI996" s="197"/>
      <c r="AJ996" s="201"/>
      <c r="AK996" s="33"/>
      <c r="AL996" s="33"/>
      <c r="AM996" s="33"/>
      <c r="AN996" s="33"/>
      <c r="AO996" s="33"/>
      <c r="AP996" s="33"/>
      <c r="AQ996" s="33"/>
      <c r="AR996" s="33"/>
      <c r="AS996" s="33"/>
      <c r="AT996" s="33"/>
      <c r="AU996" s="33"/>
      <c r="AV996" s="33"/>
      <c r="AW996" s="33"/>
      <c r="AX996" s="33"/>
      <c r="AY996" s="33"/>
      <c r="AZ996" s="33"/>
      <c r="BA996" s="33"/>
      <c r="BB996" s="33"/>
      <c r="BC996" s="33"/>
      <c r="BD996" s="33"/>
      <c r="BE996" s="33"/>
      <c r="BF996" s="33"/>
      <c r="BG996" s="33"/>
      <c r="BH996" s="33"/>
      <c r="BI996" s="33"/>
      <c r="BJ996" s="33"/>
      <c r="BK996" s="33"/>
    </row>
    <row r="997" spans="1:63" ht="15" customHeight="1">
      <c r="A997" s="197"/>
      <c r="B997" s="197"/>
      <c r="C997" s="197"/>
      <c r="D997" s="197"/>
      <c r="E997" s="197"/>
      <c r="F997" s="197"/>
      <c r="G997" s="197"/>
      <c r="H997" s="197"/>
      <c r="I997" s="197"/>
      <c r="J997" s="197"/>
      <c r="K997" s="197"/>
      <c r="L997" s="197"/>
      <c r="M997" s="197"/>
      <c r="N997" s="197"/>
      <c r="O997" s="197"/>
      <c r="P997" s="197"/>
      <c r="Q997" s="197"/>
      <c r="R997" s="197"/>
      <c r="S997" s="197"/>
      <c r="T997" s="197"/>
      <c r="U997" s="197"/>
      <c r="V997" s="197"/>
      <c r="W997" s="197"/>
      <c r="X997" s="197"/>
      <c r="Y997" s="197"/>
      <c r="Z997" s="197"/>
      <c r="AA997" s="197"/>
      <c r="AB997" s="197"/>
      <c r="AC997" s="197"/>
      <c r="AD997" s="197"/>
      <c r="AE997" s="197"/>
      <c r="AF997" s="197"/>
      <c r="AG997" s="197"/>
      <c r="AH997" s="197"/>
      <c r="AI997" s="197"/>
      <c r="AJ997" s="201"/>
      <c r="AK997" s="33"/>
      <c r="AL997" s="33"/>
      <c r="AM997" s="33"/>
      <c r="AN997" s="33"/>
      <c r="AO997" s="33"/>
      <c r="AP997" s="33"/>
      <c r="AQ997" s="33"/>
      <c r="AR997" s="33"/>
      <c r="AS997" s="33"/>
      <c r="AT997" s="33"/>
      <c r="AU997" s="33"/>
      <c r="AV997" s="33"/>
      <c r="AW997" s="33"/>
      <c r="AX997" s="33"/>
      <c r="AY997" s="33"/>
      <c r="AZ997" s="33"/>
      <c r="BA997" s="33"/>
      <c r="BB997" s="33"/>
      <c r="BC997" s="33"/>
      <c r="BD997" s="33"/>
      <c r="BE997" s="33"/>
      <c r="BF997" s="33"/>
      <c r="BG997" s="33"/>
      <c r="BH997" s="33"/>
      <c r="BI997" s="33"/>
      <c r="BJ997" s="33"/>
      <c r="BK997" s="33"/>
    </row>
    <row r="998" spans="1:63" ht="15" customHeight="1">
      <c r="A998" s="197"/>
      <c r="B998" s="197"/>
      <c r="C998" s="197"/>
      <c r="D998" s="197"/>
      <c r="E998" s="197"/>
      <c r="F998" s="197"/>
      <c r="G998" s="197"/>
      <c r="H998" s="197"/>
      <c r="I998" s="197"/>
      <c r="J998" s="197"/>
      <c r="K998" s="197"/>
      <c r="L998" s="197"/>
      <c r="M998" s="197"/>
      <c r="N998" s="197"/>
      <c r="O998" s="197"/>
      <c r="P998" s="197"/>
      <c r="Q998" s="197"/>
      <c r="R998" s="197"/>
      <c r="S998" s="197"/>
      <c r="T998" s="197"/>
      <c r="U998" s="197"/>
      <c r="V998" s="197"/>
      <c r="W998" s="197"/>
      <c r="X998" s="197"/>
      <c r="Y998" s="197"/>
      <c r="Z998" s="197"/>
      <c r="AA998" s="197"/>
      <c r="AB998" s="197"/>
      <c r="AC998" s="197"/>
      <c r="AD998" s="197"/>
      <c r="AE998" s="197"/>
      <c r="AF998" s="197"/>
      <c r="AG998" s="197"/>
      <c r="AH998" s="197"/>
      <c r="AI998" s="197"/>
      <c r="AJ998" s="201"/>
      <c r="AK998" s="33"/>
      <c r="AL998" s="33"/>
      <c r="AM998" s="33"/>
      <c r="AN998" s="33"/>
      <c r="AO998" s="33"/>
      <c r="AP998" s="33"/>
      <c r="AQ998" s="33"/>
      <c r="AR998" s="33"/>
      <c r="AS998" s="33"/>
      <c r="AT998" s="33"/>
      <c r="AU998" s="33"/>
      <c r="AV998" s="33"/>
      <c r="AW998" s="33"/>
      <c r="AX998" s="33"/>
      <c r="AY998" s="33"/>
      <c r="AZ998" s="33"/>
      <c r="BA998" s="33"/>
      <c r="BB998" s="33"/>
      <c r="BC998" s="33"/>
      <c r="BD998" s="33"/>
      <c r="BE998" s="33"/>
      <c r="BF998" s="33"/>
      <c r="BG998" s="33"/>
      <c r="BH998" s="33"/>
      <c r="BI998" s="33"/>
      <c r="BJ998" s="33"/>
      <c r="BK998" s="33"/>
    </row>
    <row r="999" spans="1:63" ht="15" customHeight="1">
      <c r="A999" s="197"/>
      <c r="B999" s="197"/>
      <c r="C999" s="197"/>
      <c r="D999" s="197"/>
      <c r="E999" s="197"/>
      <c r="F999" s="197"/>
      <c r="G999" s="197"/>
      <c r="H999" s="197"/>
      <c r="I999" s="197"/>
      <c r="J999" s="197"/>
      <c r="K999" s="197"/>
      <c r="L999" s="197"/>
      <c r="M999" s="197"/>
      <c r="N999" s="197"/>
      <c r="O999" s="197"/>
      <c r="P999" s="197"/>
      <c r="Q999" s="197"/>
      <c r="R999" s="197"/>
      <c r="S999" s="197"/>
      <c r="T999" s="197"/>
      <c r="U999" s="197"/>
      <c r="V999" s="197"/>
      <c r="W999" s="197"/>
      <c r="X999" s="197"/>
      <c r="Y999" s="197"/>
      <c r="Z999" s="197"/>
      <c r="AA999" s="197"/>
      <c r="AB999" s="197"/>
      <c r="AC999" s="197"/>
      <c r="AD999" s="197"/>
      <c r="AE999" s="197"/>
      <c r="AF999" s="197"/>
      <c r="AG999" s="197"/>
      <c r="AH999" s="197"/>
      <c r="AI999" s="197"/>
      <c r="AJ999" s="201"/>
      <c r="AK999" s="33"/>
      <c r="AL999" s="33"/>
      <c r="AM999" s="33"/>
      <c r="AN999" s="33"/>
      <c r="AO999" s="33"/>
      <c r="AP999" s="33"/>
      <c r="AQ999" s="33"/>
      <c r="AR999" s="33"/>
      <c r="AS999" s="33"/>
      <c r="AT999" s="33"/>
      <c r="AU999" s="33"/>
      <c r="AV999" s="33"/>
      <c r="AW999" s="33"/>
      <c r="AX999" s="33"/>
      <c r="AY999" s="33"/>
      <c r="AZ999" s="33"/>
      <c r="BA999" s="33"/>
      <c r="BB999" s="33"/>
      <c r="BC999" s="33"/>
      <c r="BD999" s="33"/>
      <c r="BE999" s="33"/>
      <c r="BF999" s="33"/>
      <c r="BG999" s="33"/>
      <c r="BH999" s="33"/>
      <c r="BI999" s="33"/>
      <c r="BJ999" s="33"/>
      <c r="BK999" s="33"/>
    </row>
    <row r="1000" spans="1:63" ht="15" customHeight="1">
      <c r="A1000" s="197"/>
      <c r="B1000" s="197"/>
      <c r="C1000" s="197"/>
      <c r="D1000" s="197"/>
      <c r="E1000" s="197"/>
      <c r="F1000" s="197"/>
      <c r="G1000" s="197"/>
      <c r="H1000" s="197"/>
      <c r="I1000" s="197"/>
      <c r="J1000" s="197"/>
      <c r="K1000" s="197"/>
      <c r="L1000" s="197"/>
      <c r="M1000" s="197"/>
      <c r="N1000" s="197"/>
      <c r="O1000" s="197"/>
      <c r="P1000" s="197"/>
      <c r="Q1000" s="197"/>
      <c r="R1000" s="197"/>
      <c r="S1000" s="197"/>
      <c r="T1000" s="197"/>
      <c r="U1000" s="197"/>
      <c r="V1000" s="197"/>
      <c r="W1000" s="197"/>
      <c r="X1000" s="197"/>
      <c r="Y1000" s="197"/>
      <c r="Z1000" s="197"/>
      <c r="AA1000" s="197"/>
      <c r="AB1000" s="197"/>
      <c r="AC1000" s="197"/>
      <c r="AD1000" s="197"/>
      <c r="AE1000" s="197"/>
      <c r="AF1000" s="197"/>
      <c r="AG1000" s="197"/>
      <c r="AH1000" s="197"/>
      <c r="AI1000" s="197"/>
      <c r="AJ1000" s="201"/>
      <c r="AK1000" s="33"/>
      <c r="AL1000" s="33"/>
      <c r="AM1000" s="33"/>
      <c r="AN1000" s="33"/>
      <c r="AO1000" s="33"/>
      <c r="AP1000" s="33"/>
      <c r="AQ1000" s="33"/>
      <c r="AR1000" s="33"/>
      <c r="AS1000" s="33"/>
      <c r="AT1000" s="33"/>
      <c r="AU1000" s="33"/>
      <c r="AV1000" s="33"/>
      <c r="AW1000" s="33"/>
      <c r="AX1000" s="33"/>
      <c r="AY1000" s="33"/>
      <c r="AZ1000" s="33"/>
      <c r="BA1000" s="33"/>
      <c r="BB1000" s="33"/>
      <c r="BC1000" s="33"/>
      <c r="BD1000" s="33"/>
      <c r="BE1000" s="33"/>
      <c r="BF1000" s="33"/>
      <c r="BG1000" s="33"/>
      <c r="BH1000" s="33"/>
      <c r="BI1000" s="33"/>
      <c r="BJ1000" s="33"/>
      <c r="BK1000" s="33"/>
    </row>
    <row r="1001" spans="1:63" ht="15" customHeight="1">
      <c r="A1001" s="197"/>
      <c r="B1001" s="197"/>
      <c r="C1001" s="197"/>
      <c r="D1001" s="197"/>
      <c r="E1001" s="197"/>
      <c r="F1001" s="197"/>
      <c r="G1001" s="197"/>
      <c r="H1001" s="197"/>
      <c r="I1001" s="197"/>
      <c r="J1001" s="197"/>
      <c r="K1001" s="197"/>
      <c r="L1001" s="197"/>
      <c r="M1001" s="197"/>
      <c r="N1001" s="197"/>
      <c r="O1001" s="197"/>
      <c r="P1001" s="197"/>
      <c r="Q1001" s="197"/>
      <c r="R1001" s="197"/>
      <c r="S1001" s="197"/>
      <c r="T1001" s="197"/>
      <c r="U1001" s="197"/>
      <c r="V1001" s="197"/>
      <c r="W1001" s="197"/>
      <c r="X1001" s="197"/>
      <c r="Y1001" s="197"/>
      <c r="Z1001" s="197"/>
      <c r="AA1001" s="197"/>
      <c r="AB1001" s="197"/>
      <c r="AC1001" s="197"/>
      <c r="AD1001" s="197"/>
      <c r="AE1001" s="197"/>
      <c r="AF1001" s="197"/>
      <c r="AG1001" s="197"/>
      <c r="AH1001" s="197"/>
      <c r="AI1001" s="197"/>
      <c r="AJ1001" s="201"/>
      <c r="AK1001" s="33"/>
      <c r="AL1001" s="33"/>
      <c r="AM1001" s="33"/>
      <c r="AN1001" s="33"/>
      <c r="AO1001" s="33"/>
      <c r="AP1001" s="33"/>
      <c r="AQ1001" s="33"/>
      <c r="AR1001" s="33"/>
      <c r="AS1001" s="33"/>
      <c r="AT1001" s="33"/>
      <c r="AU1001" s="33"/>
      <c r="AV1001" s="33"/>
      <c r="AW1001" s="33"/>
      <c r="AX1001" s="33"/>
      <c r="AY1001" s="33"/>
      <c r="AZ1001" s="33"/>
      <c r="BA1001" s="33"/>
      <c r="BB1001" s="33"/>
      <c r="BC1001" s="33"/>
      <c r="BD1001" s="33"/>
      <c r="BE1001" s="33"/>
      <c r="BF1001" s="33"/>
      <c r="BG1001" s="33"/>
      <c r="BH1001" s="33"/>
      <c r="BI1001" s="33"/>
      <c r="BJ1001" s="33"/>
      <c r="BK1001" s="33"/>
    </row>
  </sheetData>
  <phoneticPr fontId="5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D2197"/>
  <sheetViews>
    <sheetView workbookViewId="0"/>
  </sheetViews>
  <sheetFormatPr baseColWidth="10" defaultColWidth="11.28515625" defaultRowHeight="15" customHeight="1" x14ac:dyDescent="0"/>
  <sheetData>
    <row r="1" spans="1:4" ht="15" customHeight="1">
      <c r="A1" s="203" t="str">
        <f ca="1">IFERROR(__xludf.DUMMYFUNCTION("IMPORTRANGE(""https://docs.google.com/spreadsheets/d/101BdHiEKCGvckEjLOEKQYRn2lvWndpPEHI2BTsUwmNE/edit#gid=1512548907"",""'訂購總表 '!A4:A2200"")"),"AA001711")</f>
        <v>AA001711</v>
      </c>
      <c r="B1" s="175" t="str">
        <f ca="1">IFERROR(__xludf.DUMMYFUNCTION("IMPORTRANGE(""https://docs.google.com/spreadsheets/d/101BdHiEKCGvckEjLOEKQYRn2lvWndpPEHI2BTsUwmNE/edit#gid=1512548907"",""'訂購總表 '!u4:u2200"")")," ")</f>
        <v xml:space="preserve"> </v>
      </c>
      <c r="C1" s="203" t="str">
        <f ca="1">IFERROR(__xludf.DUMMYFUNCTION("IMPORTRANGE(""https://docs.google.com/spreadsheets/d/101BdHiEKCGvckEjLOEKQYRn2lvWndpPEHI2BTsUwmNE/edit#gid=1740509176"",""'公關單'!A4:A1347"")"),"AA000911")</f>
        <v>AA000911</v>
      </c>
      <c r="D1" s="204" t="str">
        <f ca="1">IFERROR(__xludf.DUMMYFUNCTION("IMPORTRANGE(""https://docs.google.com/spreadsheets/d/101BdHiEKCGvckEjLOEKQYRn2lvWndpPEHI2BTsUwmNE/edit#gid=1740509176"",""'公關單'!A4:A1347"")"),"AA000911")</f>
        <v>AA000911</v>
      </c>
    </row>
    <row r="2" spans="1:4" ht="15" customHeight="1">
      <c r="A2" s="205" t="str">
        <f ca="1">IFERROR(__xludf.DUMMYFUNCTION("""COMPUTED_VALUE"""),"AA001711")</f>
        <v>AA001711</v>
      </c>
      <c r="B2" s="205">
        <f ca="1">IFERROR(__xludf.DUMMYFUNCTION("""COMPUTED_VALUE"""),43469)</f>
        <v>43469</v>
      </c>
      <c r="C2" s="205" t="str">
        <f ca="1">IFERROR(__xludf.DUMMYFUNCTION("""COMPUTED_VALUE"""),"AA000911")</f>
        <v>AA000911</v>
      </c>
      <c r="D2" s="205" t="str">
        <f ca="1">IFERROR(__xludf.DUMMYFUNCTION("""COMPUTED_VALUE"""),"AA000911")</f>
        <v>AA000911</v>
      </c>
    </row>
    <row r="3" spans="1:4" ht="15" customHeight="1">
      <c r="A3" s="205" t="str">
        <f ca="1">IFERROR(__xludf.DUMMYFUNCTION("""COMPUTED_VALUE"""),"AA001402")</f>
        <v>AA001402</v>
      </c>
      <c r="B3" s="205">
        <f ca="1">IFERROR(__xludf.DUMMYFUNCTION("""COMPUTED_VALUE"""),43469)</f>
        <v>43469</v>
      </c>
      <c r="C3" s="205" t="str">
        <f ca="1">IFERROR(__xludf.DUMMYFUNCTION("""COMPUTED_VALUE"""),"AA000761")</f>
        <v>AA000761</v>
      </c>
      <c r="D3" s="205" t="str">
        <f ca="1">IFERROR(__xludf.DUMMYFUNCTION("""COMPUTED_VALUE"""),"AA000761")</f>
        <v>AA000761</v>
      </c>
    </row>
    <row r="4" spans="1:4" ht="15" customHeight="1">
      <c r="A4" s="205" t="str">
        <f ca="1">IFERROR(__xludf.DUMMYFUNCTION("""COMPUTED_VALUE"""),"AA001402")</f>
        <v>AA001402</v>
      </c>
      <c r="B4" s="205">
        <f ca="1">IFERROR(__xludf.DUMMYFUNCTION("""COMPUTED_VALUE"""),43469)</f>
        <v>43469</v>
      </c>
      <c r="C4" s="205" t="str">
        <f ca="1">IFERROR(__xludf.DUMMYFUNCTION("""COMPUTED_VALUE"""),"AA000811")</f>
        <v>AA000811</v>
      </c>
      <c r="D4" s="205" t="str">
        <f ca="1">IFERROR(__xludf.DUMMYFUNCTION("""COMPUTED_VALUE"""),"AA000811")</f>
        <v>AA000811</v>
      </c>
    </row>
    <row r="5" spans="1:4" ht="15" customHeight="1">
      <c r="A5" s="205" t="str">
        <f ca="1">IFERROR(__xludf.DUMMYFUNCTION("""COMPUTED_VALUE"""),"AA001712")</f>
        <v>AA001712</v>
      </c>
      <c r="B5" s="205">
        <f ca="1">IFERROR(__xludf.DUMMYFUNCTION("""COMPUTED_VALUE"""),43469)</f>
        <v>43469</v>
      </c>
      <c r="C5" s="205" t="str">
        <f ca="1">IFERROR(__xludf.DUMMYFUNCTION("""COMPUTED_VALUE"""),"AA000762")</f>
        <v>AA000762</v>
      </c>
      <c r="D5" s="205" t="str">
        <f ca="1">IFERROR(__xludf.DUMMYFUNCTION("""COMPUTED_VALUE"""),"AA000762")</f>
        <v>AA000762</v>
      </c>
    </row>
    <row r="6" spans="1:4" ht="15" customHeight="1">
      <c r="A6" s="205" t="str">
        <f ca="1">IFERROR(__xludf.DUMMYFUNCTION("""COMPUTED_VALUE"""),"AA001712")</f>
        <v>AA001712</v>
      </c>
      <c r="B6" s="205">
        <f ca="1">IFERROR(__xludf.DUMMYFUNCTION("""COMPUTED_VALUE"""),43469)</f>
        <v>43469</v>
      </c>
      <c r="C6" s="205" t="str">
        <f ca="1">IFERROR(__xludf.DUMMYFUNCTION("""COMPUTED_VALUE"""),"AA000814")</f>
        <v>AA000814</v>
      </c>
      <c r="D6" s="205" t="str">
        <f ca="1">IFERROR(__xludf.DUMMYFUNCTION("""COMPUTED_VALUE"""),"AA000814")</f>
        <v>AA000814</v>
      </c>
    </row>
    <row r="7" spans="1:4" ht="15" customHeight="1">
      <c r="A7" s="205" t="str">
        <f ca="1">IFERROR(__xludf.DUMMYFUNCTION("""COMPUTED_VALUE"""),"AA001681")</f>
        <v>AA001681</v>
      </c>
      <c r="B7" s="205">
        <f ca="1">IFERROR(__xludf.DUMMYFUNCTION("""COMPUTED_VALUE"""),43469)</f>
        <v>43469</v>
      </c>
      <c r="C7" s="205" t="str">
        <f ca="1">IFERROR(__xludf.DUMMYFUNCTION("""COMPUTED_VALUE"""),"AA000814")</f>
        <v>AA000814</v>
      </c>
      <c r="D7" s="205" t="str">
        <f ca="1">IFERROR(__xludf.DUMMYFUNCTION("""COMPUTED_VALUE"""),"AA000814")</f>
        <v>AA000814</v>
      </c>
    </row>
    <row r="8" spans="1:4" ht="15" customHeight="1">
      <c r="A8" s="205" t="str">
        <f ca="1">IFERROR(__xludf.DUMMYFUNCTION("""COMPUTED_VALUE"""),"AA001661")</f>
        <v>AA001661</v>
      </c>
      <c r="B8" s="205">
        <f ca="1">IFERROR(__xludf.DUMMYFUNCTION("""COMPUTED_VALUE"""),43469)</f>
        <v>43469</v>
      </c>
      <c r="C8" s="205" t="str">
        <f ca="1">IFERROR(__xludf.DUMMYFUNCTION("""COMPUTED_VALUE"""),"AA000764")</f>
        <v>AA000764</v>
      </c>
      <c r="D8" s="205" t="str">
        <f ca="1">IFERROR(__xludf.DUMMYFUNCTION("""COMPUTED_VALUE"""),"AA000764")</f>
        <v>AA000764</v>
      </c>
    </row>
    <row r="9" spans="1:4" ht="15" customHeight="1">
      <c r="A9" s="205" t="str">
        <f ca="1">IFERROR(__xludf.DUMMYFUNCTION("""COMPUTED_VALUE"""),"AA001713")</f>
        <v>AA001713</v>
      </c>
      <c r="B9" s="205">
        <f ca="1">IFERROR(__xludf.DUMMYFUNCTION("""COMPUTED_VALUE"""),43469)</f>
        <v>43469</v>
      </c>
      <c r="C9" s="205" t="str">
        <f ca="1">IFERROR(__xludf.DUMMYFUNCTION("""COMPUTED_VALUE"""),"AA000764")</f>
        <v>AA000764</v>
      </c>
      <c r="D9" s="205" t="str">
        <f ca="1">IFERROR(__xludf.DUMMYFUNCTION("""COMPUTED_VALUE"""),"AA000764")</f>
        <v>AA000764</v>
      </c>
    </row>
    <row r="10" spans="1:4" ht="15" customHeight="1">
      <c r="A10" s="205" t="str">
        <f ca="1">IFERROR(__xludf.DUMMYFUNCTION("""COMPUTED_VALUE"""),"AA001662")</f>
        <v>AA001662</v>
      </c>
      <c r="B10" s="205">
        <f ca="1">IFERROR(__xludf.DUMMYFUNCTION("""COMPUTED_VALUE"""),43469)</f>
        <v>43469</v>
      </c>
      <c r="C10" s="205" t="str">
        <f ca="1">IFERROR(__xludf.DUMMYFUNCTION("""COMPUTED_VALUE"""),"AA000764")</f>
        <v>AA000764</v>
      </c>
      <c r="D10" s="205" t="str">
        <f ca="1">IFERROR(__xludf.DUMMYFUNCTION("""COMPUTED_VALUE"""),"AA000764")</f>
        <v>AA000764</v>
      </c>
    </row>
    <row r="11" spans="1:4" ht="15" customHeight="1">
      <c r="A11" s="205" t="str">
        <f ca="1">IFERROR(__xludf.DUMMYFUNCTION("""COMPUTED_VALUE"""),"AA001662")</f>
        <v>AA001662</v>
      </c>
      <c r="B11" s="205">
        <f ca="1">IFERROR(__xludf.DUMMYFUNCTION("""COMPUTED_VALUE"""),43469)</f>
        <v>43469</v>
      </c>
      <c r="C11" s="205" t="str">
        <f ca="1">IFERROR(__xludf.DUMMYFUNCTION("""COMPUTED_VALUE"""),"AA000831")</f>
        <v>AA000831</v>
      </c>
      <c r="D11" s="205" t="str">
        <f ca="1">IFERROR(__xludf.DUMMYFUNCTION("""COMPUTED_VALUE"""),"AA000831")</f>
        <v>AA000831</v>
      </c>
    </row>
    <row r="12" spans="1:4" ht="15" customHeight="1">
      <c r="A12" s="205" t="str">
        <f ca="1">IFERROR(__xludf.DUMMYFUNCTION("""COMPUTED_VALUE"""),"AA001422")</f>
        <v>AA001422</v>
      </c>
      <c r="B12" s="205">
        <f ca="1">IFERROR(__xludf.DUMMYFUNCTION("""COMPUTED_VALUE"""),43469)</f>
        <v>43469</v>
      </c>
      <c r="C12" s="205" t="str">
        <f ca="1">IFERROR(__xludf.DUMMYFUNCTION("""COMPUTED_VALUE"""),"AA000817")</f>
        <v>AA000817</v>
      </c>
      <c r="D12" s="205" t="str">
        <f ca="1">IFERROR(__xludf.DUMMYFUNCTION("""COMPUTED_VALUE"""),"AA000817")</f>
        <v>AA000817</v>
      </c>
    </row>
    <row r="13" spans="1:4" ht="15" customHeight="1">
      <c r="A13" s="205" t="str">
        <f ca="1">IFERROR(__xludf.DUMMYFUNCTION("""COMPUTED_VALUE"""),"AA001741")</f>
        <v>AA001741</v>
      </c>
      <c r="B13" s="205">
        <f ca="1">IFERROR(__xludf.DUMMYFUNCTION("""COMPUTED_VALUE"""),43469)</f>
        <v>43469</v>
      </c>
      <c r="C13" s="205" t="str">
        <f ca="1">IFERROR(__xludf.DUMMYFUNCTION("""COMPUTED_VALUE"""),"AA000817")</f>
        <v>AA000817</v>
      </c>
      <c r="D13" s="205" t="str">
        <f ca="1">IFERROR(__xludf.DUMMYFUNCTION("""COMPUTED_VALUE"""),"AA000817")</f>
        <v>AA000817</v>
      </c>
    </row>
    <row r="14" spans="1:4" ht="15" customHeight="1">
      <c r="A14" s="205" t="str">
        <f ca="1">IFERROR(__xludf.DUMMYFUNCTION("""COMPUTED_VALUE"""),"AA001651")</f>
        <v>AA001651</v>
      </c>
      <c r="B14" s="205">
        <f ca="1">IFERROR(__xludf.DUMMYFUNCTION("""COMPUTED_VALUE"""),43469)</f>
        <v>43469</v>
      </c>
      <c r="C14" s="205" t="str">
        <f ca="1">IFERROR(__xludf.DUMMYFUNCTION("""COMPUTED_VALUE"""),"AA000817")</f>
        <v>AA000817</v>
      </c>
      <c r="D14" s="205" t="str">
        <f ca="1">IFERROR(__xludf.DUMMYFUNCTION("""COMPUTED_VALUE"""),"AA000817")</f>
        <v>AA000817</v>
      </c>
    </row>
    <row r="15" spans="1:4" ht="15" customHeight="1">
      <c r="A15" s="205" t="str">
        <f ca="1">IFERROR(__xludf.DUMMYFUNCTION("""COMPUTED_VALUE"""),"AA001423")</f>
        <v>AA001423</v>
      </c>
      <c r="B15" s="205">
        <f ca="1">IFERROR(__xludf.DUMMYFUNCTION("""COMPUTED_VALUE"""),43469)</f>
        <v>43469</v>
      </c>
      <c r="C15" s="205" t="str">
        <f ca="1">IFERROR(__xludf.DUMMYFUNCTION("""COMPUTED_VALUE"""),"AA000817")</f>
        <v>AA000817</v>
      </c>
      <c r="D15" s="205" t="str">
        <f ca="1">IFERROR(__xludf.DUMMYFUNCTION("""COMPUTED_VALUE"""),"AA000817")</f>
        <v>AA000817</v>
      </c>
    </row>
    <row r="16" spans="1:4" ht="15" customHeight="1">
      <c r="A16" s="205" t="str">
        <f ca="1">IFERROR(__xludf.DUMMYFUNCTION("""COMPUTED_VALUE"""),"AA001721")</f>
        <v>AA001721</v>
      </c>
      <c r="B16" s="205">
        <f ca="1">IFERROR(__xludf.DUMMYFUNCTION("""COMPUTED_VALUE"""),43469)</f>
        <v>43469</v>
      </c>
      <c r="C16" t="str">
        <f ca="1">IFERROR(__xludf.DUMMYFUNCTION("""COMPUTED_VALUE"""),"")</f>
        <v/>
      </c>
      <c r="D16" t="str">
        <f ca="1">IFERROR(__xludf.DUMMYFUNCTION("""COMPUTED_VALUE"""),"")</f>
        <v/>
      </c>
    </row>
    <row r="17" spans="1:4" ht="15" customHeight="1">
      <c r="A17" s="205" t="str">
        <f ca="1">IFERROR(__xludf.DUMMYFUNCTION("""COMPUTED_VALUE"""),"AA001622")</f>
        <v>AA001622</v>
      </c>
      <c r="B17" s="205">
        <f ca="1">IFERROR(__xludf.DUMMYFUNCTION("""COMPUTED_VALUE"""),43469)</f>
        <v>43469</v>
      </c>
      <c r="C17" s="205" t="str">
        <f ca="1">IFERROR(__xludf.DUMMYFUNCTION("""COMPUTED_VALUE"""),"AA00070")</f>
        <v>AA00070</v>
      </c>
      <c r="D17" s="205" t="str">
        <f ca="1">IFERROR(__xludf.DUMMYFUNCTION("""COMPUTED_VALUE"""),"AA00070")</f>
        <v>AA00070</v>
      </c>
    </row>
    <row r="18" spans="1:4" ht="15" customHeight="1">
      <c r="A18" s="205" t="str">
        <f ca="1">IFERROR(__xludf.DUMMYFUNCTION("""COMPUTED_VALUE"""),"AA001621")</f>
        <v>AA001621</v>
      </c>
      <c r="B18" s="205">
        <f ca="1">IFERROR(__xludf.DUMMYFUNCTION("""COMPUTED_VALUE"""),43469)</f>
        <v>43469</v>
      </c>
      <c r="C18" s="205" t="str">
        <f ca="1">IFERROR(__xludf.DUMMYFUNCTION("""COMPUTED_VALUE"""),"AA000865")</f>
        <v>AA000865</v>
      </c>
      <c r="D18" s="205" t="str">
        <f ca="1">IFERROR(__xludf.DUMMYFUNCTION("""COMPUTED_VALUE"""),"AA000865")</f>
        <v>AA000865</v>
      </c>
    </row>
    <row r="19" spans="1:4" ht="15" customHeight="1">
      <c r="A19" s="205" t="str">
        <f ca="1">IFERROR(__xludf.DUMMYFUNCTION("""COMPUTED_VALUE"""),"AA001722")</f>
        <v>AA001722</v>
      </c>
      <c r="B19" s="205">
        <f ca="1">IFERROR(__xludf.DUMMYFUNCTION("""COMPUTED_VALUE"""),43469)</f>
        <v>43469</v>
      </c>
      <c r="C19" s="205" t="str">
        <f ca="1">IFERROR(__xludf.DUMMYFUNCTION("""COMPUTED_VALUE"""),"AA000865")</f>
        <v>AA000865</v>
      </c>
      <c r="D19" s="205" t="str">
        <f ca="1">IFERROR(__xludf.DUMMYFUNCTION("""COMPUTED_VALUE"""),"AA000865")</f>
        <v>AA000865</v>
      </c>
    </row>
    <row r="20" spans="1:4" ht="15" customHeight="1">
      <c r="A20" s="205" t="str">
        <f ca="1">IFERROR(__xludf.DUMMYFUNCTION("""COMPUTED_VALUE"""),"AA001623")</f>
        <v>AA001623</v>
      </c>
      <c r="B20" s="205">
        <f ca="1">IFERROR(__xludf.DUMMYFUNCTION("""COMPUTED_VALUE"""),43469)</f>
        <v>43469</v>
      </c>
      <c r="C20" s="205" t="str">
        <f ca="1">IFERROR(__xludf.DUMMYFUNCTION("""COMPUTED_VALUE"""),"AA000888")</f>
        <v>AA000888</v>
      </c>
      <c r="D20" s="205" t="str">
        <f ca="1">IFERROR(__xludf.DUMMYFUNCTION("""COMPUTED_VALUE"""),"AA000888")</f>
        <v>AA000888</v>
      </c>
    </row>
    <row r="21" spans="1:4" ht="15" customHeight="1">
      <c r="A21" s="205" t="str">
        <f ca="1">IFERROR(__xludf.DUMMYFUNCTION("""COMPUTED_VALUE"""),"AA001424")</f>
        <v>AA001424</v>
      </c>
      <c r="B21" s="205">
        <f ca="1">IFERROR(__xludf.DUMMYFUNCTION("""COMPUTED_VALUE"""),43470)</f>
        <v>43470</v>
      </c>
      <c r="C21" s="205" t="str">
        <f ca="1">IFERROR(__xludf.DUMMYFUNCTION("""COMPUTED_VALUE"""),"AA000888")</f>
        <v>AA000888</v>
      </c>
      <c r="D21" s="205" t="str">
        <f ca="1">IFERROR(__xludf.DUMMYFUNCTION("""COMPUTED_VALUE"""),"AA000888")</f>
        <v>AA000888</v>
      </c>
    </row>
    <row r="22" spans="1:4" ht="15" customHeight="1">
      <c r="A22" s="205" t="str">
        <f ca="1">IFERROR(__xludf.DUMMYFUNCTION("""COMPUTED_VALUE"""),"AA001663")</f>
        <v>AA001663</v>
      </c>
      <c r="B22" s="205">
        <f ca="1">IFERROR(__xludf.DUMMYFUNCTION("""COMPUTED_VALUE"""),43470)</f>
        <v>43470</v>
      </c>
      <c r="C22" s="205" t="str">
        <f ca="1">IFERROR(__xludf.DUMMYFUNCTION("""COMPUTED_VALUE"""),"AA000774")</f>
        <v>AA000774</v>
      </c>
      <c r="D22" s="205" t="str">
        <f ca="1">IFERROR(__xludf.DUMMYFUNCTION("""COMPUTED_VALUE"""),"AA000774")</f>
        <v>AA000774</v>
      </c>
    </row>
    <row r="23" spans="1:4" ht="15" customHeight="1">
      <c r="A23" s="205" t="str">
        <f ca="1">IFERROR(__xludf.DUMMYFUNCTION("""COMPUTED_VALUE"""),"AA001403")</f>
        <v>AA001403</v>
      </c>
      <c r="B23" s="205">
        <f ca="1">IFERROR(__xludf.DUMMYFUNCTION("""COMPUTED_VALUE"""),43470)</f>
        <v>43470</v>
      </c>
      <c r="C23" s="205" t="str">
        <f ca="1">IFERROR(__xludf.DUMMYFUNCTION("""COMPUTED_VALUE"""),"AA000774")</f>
        <v>AA000774</v>
      </c>
      <c r="D23" s="205" t="str">
        <f ca="1">IFERROR(__xludf.DUMMYFUNCTION("""COMPUTED_VALUE"""),"AA000774")</f>
        <v>AA000774</v>
      </c>
    </row>
    <row r="24" spans="1:4" ht="15" customHeight="1">
      <c r="A24" s="205" t="str">
        <f ca="1">IFERROR(__xludf.DUMMYFUNCTION("""COMPUTED_VALUE"""),"AA001731")</f>
        <v>AA001731</v>
      </c>
      <c r="B24" s="205">
        <f ca="1">IFERROR(__xludf.DUMMYFUNCTION("""COMPUTED_VALUE"""),43470)</f>
        <v>43470</v>
      </c>
      <c r="C24" s="205" t="str">
        <f ca="1">IFERROR(__xludf.DUMMYFUNCTION("""COMPUTED_VALUE"""),"AA000784")</f>
        <v>AA000784</v>
      </c>
      <c r="D24" s="205" t="str">
        <f ca="1">IFERROR(__xludf.DUMMYFUNCTION("""COMPUTED_VALUE"""),"AA000784")</f>
        <v>AA000784</v>
      </c>
    </row>
    <row r="25" spans="1:4" ht="15" customHeight="1">
      <c r="A25" s="205" t="str">
        <f ca="1">IFERROR(__xludf.DUMMYFUNCTION("""COMPUTED_VALUE"""),"AA001691")</f>
        <v>AA001691</v>
      </c>
      <c r="B25" s="205">
        <f ca="1">IFERROR(__xludf.DUMMYFUNCTION("""COMPUTED_VALUE"""),43470)</f>
        <v>43470</v>
      </c>
      <c r="C25" s="205" t="str">
        <f ca="1">IFERROR(__xludf.DUMMYFUNCTION("""COMPUTED_VALUE"""),"AA000784")</f>
        <v>AA000784</v>
      </c>
      <c r="D25" s="205" t="str">
        <f ca="1">IFERROR(__xludf.DUMMYFUNCTION("""COMPUTED_VALUE"""),"AA000784")</f>
        <v>AA000784</v>
      </c>
    </row>
    <row r="26" spans="1:4" ht="15" customHeight="1">
      <c r="A26" s="205" t="str">
        <f ca="1">IFERROR(__xludf.DUMMYFUNCTION("""COMPUTED_VALUE"""),"AA001404")</f>
        <v>AA001404</v>
      </c>
      <c r="B26" s="205">
        <f ca="1">IFERROR(__xludf.DUMMYFUNCTION("""COMPUTED_VALUE"""),43470)</f>
        <v>43470</v>
      </c>
      <c r="C26" s="205" t="str">
        <f ca="1">IFERROR(__xludf.DUMMYFUNCTION("""COMPUTED_VALUE"""),"AA000985")</f>
        <v>AA000985</v>
      </c>
      <c r="D26" s="205" t="str">
        <f ca="1">IFERROR(__xludf.DUMMYFUNCTION("""COMPUTED_VALUE"""),"AA000985")</f>
        <v>AA000985</v>
      </c>
    </row>
    <row r="27" spans="1:4" ht="15" customHeight="1">
      <c r="A27" s="205" t="str">
        <f ca="1">IFERROR(__xludf.DUMMYFUNCTION("""COMPUTED_VALUE"""),"AA001664")</f>
        <v>AA001664</v>
      </c>
      <c r="B27" s="205">
        <f ca="1">IFERROR(__xludf.DUMMYFUNCTION("""COMPUTED_VALUE"""),43470)</f>
        <v>43470</v>
      </c>
      <c r="C27" s="205" t="str">
        <f ca="1">IFERROR(__xludf.DUMMYFUNCTION("""COMPUTED_VALUE"""),"AA000985")</f>
        <v>AA000985</v>
      </c>
      <c r="D27" s="205" t="str">
        <f ca="1">IFERROR(__xludf.DUMMYFUNCTION("""COMPUTED_VALUE"""),"AA000985")</f>
        <v>AA000985</v>
      </c>
    </row>
    <row r="28" spans="1:4" ht="15" customHeight="1">
      <c r="A28" s="205" t="str">
        <f ca="1">IFERROR(__xludf.DUMMYFUNCTION("""COMPUTED_VALUE"""),"AA001665")</f>
        <v>AA001665</v>
      </c>
      <c r="B28" s="205">
        <f ca="1">IFERROR(__xludf.DUMMYFUNCTION("""COMPUTED_VALUE"""),43470)</f>
        <v>43470</v>
      </c>
      <c r="C28" s="205" t="str">
        <f ca="1">IFERROR(__xludf.DUMMYFUNCTION("""COMPUTED_VALUE"""),"AA000985")</f>
        <v>AA000985</v>
      </c>
      <c r="D28" s="205" t="str">
        <f ca="1">IFERROR(__xludf.DUMMYFUNCTION("""COMPUTED_VALUE"""),"AA000985")</f>
        <v>AA000985</v>
      </c>
    </row>
    <row r="29" spans="1:4" ht="15" customHeight="1">
      <c r="A29" s="205" t="str">
        <f ca="1">IFERROR(__xludf.DUMMYFUNCTION("""COMPUTED_VALUE"""),"AA001405")</f>
        <v>AA001405</v>
      </c>
      <c r="B29" s="205">
        <f ca="1">IFERROR(__xludf.DUMMYFUNCTION("""COMPUTED_VALUE"""),43470)</f>
        <v>43470</v>
      </c>
      <c r="C29" s="205" t="str">
        <f ca="1">IFERROR(__xludf.DUMMYFUNCTION("""COMPUTED_VALUE"""),"AA000985")</f>
        <v>AA000985</v>
      </c>
      <c r="D29" s="205" t="str">
        <f ca="1">IFERROR(__xludf.DUMMYFUNCTION("""COMPUTED_VALUE"""),"AA000985")</f>
        <v>AA000985</v>
      </c>
    </row>
    <row r="30" spans="1:4" ht="15" customHeight="1">
      <c r="A30" s="205" t="str">
        <f ca="1">IFERROR(__xludf.DUMMYFUNCTION("""COMPUTED_VALUE"""),"AA001405")</f>
        <v>AA001405</v>
      </c>
      <c r="B30" s="205">
        <f ca="1">IFERROR(__xludf.DUMMYFUNCTION("""COMPUTED_VALUE"""),43470)</f>
        <v>43470</v>
      </c>
      <c r="C30" s="205" t="str">
        <f ca="1">IFERROR(__xludf.DUMMYFUNCTION("""COMPUTED_VALUE"""),"AA000985")</f>
        <v>AA000985</v>
      </c>
      <c r="D30" s="205" t="str">
        <f ca="1">IFERROR(__xludf.DUMMYFUNCTION("""COMPUTED_VALUE"""),"AA000985")</f>
        <v>AA000985</v>
      </c>
    </row>
    <row r="31" spans="1:4" ht="15" customHeight="1">
      <c r="A31" s="205" t="str">
        <f ca="1">IFERROR(__xludf.DUMMYFUNCTION("""COMPUTED_VALUE"""),"AA001405")</f>
        <v>AA001405</v>
      </c>
      <c r="B31" s="205">
        <f ca="1">IFERROR(__xludf.DUMMYFUNCTION("""COMPUTED_VALUE"""),43470)</f>
        <v>43470</v>
      </c>
      <c r="C31" s="205" t="str">
        <f ca="1">IFERROR(__xludf.DUMMYFUNCTION("""COMPUTED_VALUE"""),"AA000985")</f>
        <v>AA000985</v>
      </c>
      <c r="D31" s="205" t="str">
        <f ca="1">IFERROR(__xludf.DUMMYFUNCTION("""COMPUTED_VALUE"""),"AA000985")</f>
        <v>AA000985</v>
      </c>
    </row>
    <row r="32" spans="1:4" ht="15" customHeight="1">
      <c r="A32" s="205" t="str">
        <f ca="1">IFERROR(__xludf.DUMMYFUNCTION("""COMPUTED_VALUE"""),"AA001405")</f>
        <v>AA001405</v>
      </c>
      <c r="B32" s="205">
        <f ca="1">IFERROR(__xludf.DUMMYFUNCTION("""COMPUTED_VALUE"""),43470)</f>
        <v>43470</v>
      </c>
      <c r="C32" s="205" t="str">
        <f ca="1">IFERROR(__xludf.DUMMYFUNCTION("""COMPUTED_VALUE"""),"AA000985")</f>
        <v>AA000985</v>
      </c>
      <c r="D32" s="205" t="str">
        <f ca="1">IFERROR(__xludf.DUMMYFUNCTION("""COMPUTED_VALUE"""),"AA000985")</f>
        <v>AA000985</v>
      </c>
    </row>
    <row r="33" spans="1:4" ht="15" customHeight="1">
      <c r="A33" s="205" t="str">
        <f ca="1">IFERROR(__xludf.DUMMYFUNCTION("""COMPUTED_VALUE"""),"AA001641")</f>
        <v>AA001641</v>
      </c>
      <c r="B33" s="205">
        <f ca="1">IFERROR(__xludf.DUMMYFUNCTION("""COMPUTED_VALUE"""),43470)</f>
        <v>43470</v>
      </c>
      <c r="C33" s="205" t="str">
        <f ca="1">IFERROR(__xludf.DUMMYFUNCTION("""COMPUTED_VALUE"""),"AA000986")</f>
        <v>AA000986</v>
      </c>
      <c r="D33" s="205" t="str">
        <f ca="1">IFERROR(__xludf.DUMMYFUNCTION("""COMPUTED_VALUE"""),"AA000986")</f>
        <v>AA000986</v>
      </c>
    </row>
    <row r="34" spans="1:4" ht="15" customHeight="1">
      <c r="A34" s="205" t="str">
        <f ca="1">IFERROR(__xludf.DUMMYFUNCTION("""COMPUTED_VALUE"""),"AA001425")</f>
        <v>AA001425</v>
      </c>
      <c r="B34" s="205">
        <f ca="1">IFERROR(__xludf.DUMMYFUNCTION("""COMPUTED_VALUE"""),43470)</f>
        <v>43470</v>
      </c>
      <c r="C34" s="205" t="str">
        <f ca="1">IFERROR(__xludf.DUMMYFUNCTION("""COMPUTED_VALUE"""),"AA000986")</f>
        <v>AA000986</v>
      </c>
      <c r="D34" s="205" t="str">
        <f ca="1">IFERROR(__xludf.DUMMYFUNCTION("""COMPUTED_VALUE"""),"AA000986")</f>
        <v>AA000986</v>
      </c>
    </row>
    <row r="35" spans="1:4" ht="15" customHeight="1">
      <c r="A35" s="205" t="str">
        <f ca="1">IFERROR(__xludf.DUMMYFUNCTION("""COMPUTED_VALUE"""),"AA001425")</f>
        <v>AA001425</v>
      </c>
      <c r="B35" s="205">
        <f ca="1">IFERROR(__xludf.DUMMYFUNCTION("""COMPUTED_VALUE"""),43470)</f>
        <v>43470</v>
      </c>
      <c r="C35" s="205" t="str">
        <f ca="1">IFERROR(__xludf.DUMMYFUNCTION("""COMPUTED_VALUE"""),"AA000986")</f>
        <v>AA000986</v>
      </c>
      <c r="D35" s="205" t="str">
        <f ca="1">IFERROR(__xludf.DUMMYFUNCTION("""COMPUTED_VALUE"""),"AA000986")</f>
        <v>AA000986</v>
      </c>
    </row>
    <row r="36" spans="1:4" ht="15" customHeight="1">
      <c r="A36" s="205" t="str">
        <f ca="1">IFERROR(__xludf.DUMMYFUNCTION("""COMPUTED_VALUE"""),"AA001666")</f>
        <v>AA001666</v>
      </c>
      <c r="B36" s="205">
        <f ca="1">IFERROR(__xludf.DUMMYFUNCTION("""COMPUTED_VALUE"""),43470)</f>
        <v>43470</v>
      </c>
      <c r="C36" s="205" t="str">
        <f ca="1">IFERROR(__xludf.DUMMYFUNCTION("""COMPUTED_VALUE"""),"AA000986")</f>
        <v>AA000986</v>
      </c>
      <c r="D36" s="205" t="str">
        <f ca="1">IFERROR(__xludf.DUMMYFUNCTION("""COMPUTED_VALUE"""),"AA000986")</f>
        <v>AA000986</v>
      </c>
    </row>
    <row r="37" spans="1:4" ht="15" customHeight="1">
      <c r="A37" s="205" t="str">
        <f ca="1">IFERROR(__xludf.DUMMYFUNCTION("""COMPUTED_VALUE"""),"AA001742")</f>
        <v>AA001742</v>
      </c>
      <c r="B37" s="205">
        <f ca="1">IFERROR(__xludf.DUMMYFUNCTION("""COMPUTED_VALUE"""),43470)</f>
        <v>43470</v>
      </c>
      <c r="C37" s="205" t="str">
        <f ca="1">IFERROR(__xludf.DUMMYFUNCTION("""COMPUTED_VALUE"""),"AA000986")</f>
        <v>AA000986</v>
      </c>
      <c r="D37" s="205" t="str">
        <f ca="1">IFERROR(__xludf.DUMMYFUNCTION("""COMPUTED_VALUE"""),"AA000986")</f>
        <v>AA000986</v>
      </c>
    </row>
    <row r="38" spans="1:4" ht="15" customHeight="1">
      <c r="A38" s="205" t="str">
        <f ca="1">IFERROR(__xludf.DUMMYFUNCTION("""COMPUTED_VALUE"""),"AA001671")</f>
        <v>AA001671</v>
      </c>
      <c r="B38" s="205">
        <f ca="1">IFERROR(__xludf.DUMMYFUNCTION("""COMPUTED_VALUE"""),43470)</f>
        <v>43470</v>
      </c>
      <c r="C38" s="205" t="str">
        <f ca="1">IFERROR(__xludf.DUMMYFUNCTION("""COMPUTED_VALUE"""),"AA000986")</f>
        <v>AA000986</v>
      </c>
      <c r="D38" s="205" t="str">
        <f ca="1">IFERROR(__xludf.DUMMYFUNCTION("""COMPUTED_VALUE"""),"AA000986")</f>
        <v>AA000986</v>
      </c>
    </row>
    <row r="39" spans="1:4" ht="15" customHeight="1">
      <c r="A39" s="205" t="str">
        <f ca="1">IFERROR(__xludf.DUMMYFUNCTION("""COMPUTED_VALUE"""),"AA001672")</f>
        <v>AA001672</v>
      </c>
      <c r="B39" s="205">
        <f ca="1">IFERROR(__xludf.DUMMYFUNCTION("""COMPUTED_VALUE"""),43470)</f>
        <v>43470</v>
      </c>
      <c r="C39" s="205" t="str">
        <f ca="1">IFERROR(__xludf.DUMMYFUNCTION("""COMPUTED_VALUE"""),"AA000986")</f>
        <v>AA000986</v>
      </c>
      <c r="D39" s="205" t="str">
        <f ca="1">IFERROR(__xludf.DUMMYFUNCTION("""COMPUTED_VALUE"""),"AA000986")</f>
        <v>AA000986</v>
      </c>
    </row>
    <row r="40" spans="1:4" ht="15" customHeight="1">
      <c r="A40" s="205" t="str">
        <f ca="1">IFERROR(__xludf.DUMMYFUNCTION("""COMPUTED_VALUE"""),"AA001673")</f>
        <v>AA001673</v>
      </c>
      <c r="B40" s="205">
        <f ca="1">IFERROR(__xludf.DUMMYFUNCTION("""COMPUTED_VALUE"""),43470)</f>
        <v>43470</v>
      </c>
      <c r="C40" s="205" t="str">
        <f ca="1">IFERROR(__xludf.DUMMYFUNCTION("""COMPUTED_VALUE"""),"AA000986")</f>
        <v>AA000986</v>
      </c>
      <c r="D40" s="205" t="str">
        <f ca="1">IFERROR(__xludf.DUMMYFUNCTION("""COMPUTED_VALUE"""),"AA000986")</f>
        <v>AA000986</v>
      </c>
    </row>
    <row r="41" spans="1:4" ht="15" customHeight="1">
      <c r="A41" s="205" t="str">
        <f ca="1">IFERROR(__xludf.DUMMYFUNCTION("""COMPUTED_VALUE"""),"AA001674")</f>
        <v>AA001674</v>
      </c>
      <c r="B41" s="205">
        <f ca="1">IFERROR(__xludf.DUMMYFUNCTION("""COMPUTED_VALUE"""),43470)</f>
        <v>43470</v>
      </c>
      <c r="C41" s="205" t="str">
        <f ca="1">IFERROR(__xludf.DUMMYFUNCTION("""COMPUTED_VALUE"""),"AA000986")</f>
        <v>AA000986</v>
      </c>
      <c r="D41" s="205" t="str">
        <f ca="1">IFERROR(__xludf.DUMMYFUNCTION("""COMPUTED_VALUE"""),"AA000986")</f>
        <v>AA000986</v>
      </c>
    </row>
    <row r="42" spans="1:4" ht="15" customHeight="1">
      <c r="A42" s="205" t="str">
        <f ca="1">IFERROR(__xludf.DUMMYFUNCTION("""COMPUTED_VALUE"""),"AA001732")</f>
        <v>AA001732</v>
      </c>
      <c r="B42" s="205">
        <f ca="1">IFERROR(__xludf.DUMMYFUNCTION("""COMPUTED_VALUE"""),43470)</f>
        <v>43470</v>
      </c>
      <c r="C42" s="205" t="str">
        <f ca="1">IFERROR(__xludf.DUMMYFUNCTION("""COMPUTED_VALUE"""),"AA000986")</f>
        <v>AA000986</v>
      </c>
      <c r="D42" s="205" t="str">
        <f ca="1">IFERROR(__xludf.DUMMYFUNCTION("""COMPUTED_VALUE"""),"AA000986")</f>
        <v>AA000986</v>
      </c>
    </row>
    <row r="43" spans="1:4" ht="15" customHeight="1">
      <c r="A43" s="205" t="str">
        <f ca="1">IFERROR(__xludf.DUMMYFUNCTION("""COMPUTED_VALUE"""),"AA001426")</f>
        <v>AA001426</v>
      </c>
      <c r="B43" s="205">
        <f ca="1">IFERROR(__xludf.DUMMYFUNCTION("""COMPUTED_VALUE"""),43470)</f>
        <v>43470</v>
      </c>
      <c r="C43" s="205" t="str">
        <f ca="1">IFERROR(__xludf.DUMMYFUNCTION("""COMPUTED_VALUE"""),"AA000765")</f>
        <v>AA000765</v>
      </c>
      <c r="D43" s="205" t="str">
        <f ca="1">IFERROR(__xludf.DUMMYFUNCTION("""COMPUTED_VALUE"""),"AA000765")</f>
        <v>AA000765</v>
      </c>
    </row>
    <row r="44" spans="1:4" ht="15" customHeight="1">
      <c r="A44" s="205" t="str">
        <f ca="1">IFERROR(__xludf.DUMMYFUNCTION("""COMPUTED_VALUE"""),"AA001427")</f>
        <v>AA001427</v>
      </c>
      <c r="B44" s="205">
        <f ca="1">IFERROR(__xludf.DUMMYFUNCTION("""COMPUTED_VALUE"""),43470)</f>
        <v>43470</v>
      </c>
      <c r="C44" s="205" t="str">
        <f ca="1">IFERROR(__xludf.DUMMYFUNCTION("""COMPUTED_VALUE"""),"AA000785")</f>
        <v>AA000785</v>
      </c>
      <c r="D44" s="205" t="str">
        <f ca="1">IFERROR(__xludf.DUMMYFUNCTION("""COMPUTED_VALUE"""),"AA000785")</f>
        <v>AA000785</v>
      </c>
    </row>
    <row r="45" spans="1:4" ht="15" customHeight="1">
      <c r="A45" s="205" t="str">
        <f ca="1">IFERROR(__xludf.DUMMYFUNCTION("""COMPUTED_VALUE"""),"AA001733")</f>
        <v>AA001733</v>
      </c>
      <c r="B45" s="205">
        <f ca="1">IFERROR(__xludf.DUMMYFUNCTION("""COMPUTED_VALUE"""),43490)</f>
        <v>43490</v>
      </c>
      <c r="C45" s="205" t="str">
        <f ca="1">IFERROR(__xludf.DUMMYFUNCTION("""COMPUTED_VALUE"""),"AA000995")</f>
        <v>AA000995</v>
      </c>
      <c r="D45" s="205" t="str">
        <f ca="1">IFERROR(__xludf.DUMMYFUNCTION("""COMPUTED_VALUE"""),"AA000995")</f>
        <v>AA000995</v>
      </c>
    </row>
    <row r="46" spans="1:4" ht="15" customHeight="1">
      <c r="A46" s="205" t="str">
        <f ca="1">IFERROR(__xludf.DUMMYFUNCTION("""COMPUTED_VALUE"""),"AA001733")</f>
        <v>AA001733</v>
      </c>
      <c r="B46" s="205">
        <f ca="1">IFERROR(__xludf.DUMMYFUNCTION("""COMPUTED_VALUE"""),43490)</f>
        <v>43490</v>
      </c>
      <c r="C46" s="205" t="str">
        <f ca="1">IFERROR(__xludf.DUMMYFUNCTION("""COMPUTED_VALUE"""),"AA000995")</f>
        <v>AA000995</v>
      </c>
      <c r="D46" s="205" t="str">
        <f ca="1">IFERROR(__xludf.DUMMYFUNCTION("""COMPUTED_VALUE"""),"AA000995")</f>
        <v>AA000995</v>
      </c>
    </row>
    <row r="47" spans="1:4" ht="15" customHeight="1">
      <c r="A47" s="205" t="str">
        <f ca="1">IFERROR(__xludf.DUMMYFUNCTION("""COMPUTED_VALUE"""),"AA001733")</f>
        <v>AA001733</v>
      </c>
      <c r="B47" s="205">
        <f ca="1">IFERROR(__xludf.DUMMYFUNCTION("""COMPUTED_VALUE"""),43490)</f>
        <v>43490</v>
      </c>
      <c r="C47" s="205" t="str">
        <f ca="1">IFERROR(__xludf.DUMMYFUNCTION("""COMPUTED_VALUE"""),"AA000788")</f>
        <v>AA000788</v>
      </c>
      <c r="D47" s="205" t="str">
        <f ca="1">IFERROR(__xludf.DUMMYFUNCTION("""COMPUTED_VALUE"""),"AA000788")</f>
        <v>AA000788</v>
      </c>
    </row>
    <row r="48" spans="1:4" ht="15" customHeight="1">
      <c r="A48" s="205" t="str">
        <f ca="1">IFERROR(__xludf.DUMMYFUNCTION("""COMPUTED_VALUE"""),"AA001692")</f>
        <v>AA001692</v>
      </c>
      <c r="B48" s="205">
        <f ca="1">IFERROR(__xludf.DUMMYFUNCTION("""COMPUTED_VALUE"""),43486)</f>
        <v>43486</v>
      </c>
      <c r="C48" s="205" t="str">
        <f ca="1">IFERROR(__xludf.DUMMYFUNCTION("""COMPUTED_VALUE"""),"AA000788")</f>
        <v>AA000788</v>
      </c>
      <c r="D48" s="205" t="str">
        <f ca="1">IFERROR(__xludf.DUMMYFUNCTION("""COMPUTED_VALUE"""),"AA000788")</f>
        <v>AA000788</v>
      </c>
    </row>
    <row r="49" spans="1:4" ht="15" customHeight="1">
      <c r="A49" s="205" t="str">
        <f ca="1">IFERROR(__xludf.DUMMYFUNCTION("""COMPUTED_VALUE"""),"AA001693")</f>
        <v>AA001693</v>
      </c>
      <c r="B49" s="205">
        <f ca="1">IFERROR(__xludf.DUMMYFUNCTION("""COMPUTED_VALUE"""),43486)</f>
        <v>43486</v>
      </c>
      <c r="C49" s="205" t="str">
        <f ca="1">IFERROR(__xludf.DUMMYFUNCTION("""COMPUTED_VALUE"""),"AA000787")</f>
        <v>AA000787</v>
      </c>
      <c r="D49" s="205" t="str">
        <f ca="1">IFERROR(__xludf.DUMMYFUNCTION("""COMPUTED_VALUE"""),"AA000787")</f>
        <v>AA000787</v>
      </c>
    </row>
    <row r="50" spans="1:4" ht="15" customHeight="1">
      <c r="A50" s="205" t="str">
        <f ca="1">IFERROR(__xludf.DUMMYFUNCTION("""COMPUTED_VALUE"""),"AA001601")</f>
        <v>AA001601</v>
      </c>
      <c r="B50" s="205">
        <f ca="1">IFERROR(__xludf.DUMMYFUNCTION("""COMPUTED_VALUE"""),43470)</f>
        <v>43470</v>
      </c>
      <c r="C50" s="205" t="str">
        <f ca="1">IFERROR(__xludf.DUMMYFUNCTION("""COMPUTED_VALUE"""),"AA000787")</f>
        <v>AA000787</v>
      </c>
      <c r="D50" s="205" t="str">
        <f ca="1">IFERROR(__xludf.DUMMYFUNCTION("""COMPUTED_VALUE"""),"AA000787")</f>
        <v>AA000787</v>
      </c>
    </row>
    <row r="51" spans="1:4" ht="15" customHeight="1">
      <c r="A51" s="205" t="str">
        <f ca="1">IFERROR(__xludf.DUMMYFUNCTION("""COMPUTED_VALUE"""),"AA001412")</f>
        <v>AA001412</v>
      </c>
      <c r="B51" s="205">
        <f ca="1">IFERROR(__xludf.DUMMYFUNCTION("""COMPUTED_VALUE"""),43471)</f>
        <v>43471</v>
      </c>
      <c r="C51" s="205" t="str">
        <f ca="1">IFERROR(__xludf.DUMMYFUNCTION("""COMPUTED_VALUE"""),"AA000791")</f>
        <v>AA000791</v>
      </c>
      <c r="D51" s="205" t="str">
        <f ca="1">IFERROR(__xludf.DUMMYFUNCTION("""COMPUTED_VALUE"""),"AA000791")</f>
        <v>AA000791</v>
      </c>
    </row>
    <row r="52" spans="1:4" ht="15" customHeight="1">
      <c r="A52" s="205" t="str">
        <f ca="1">IFERROR(__xludf.DUMMYFUNCTION("""COMPUTED_VALUE"""),"AA001652")</f>
        <v>AA001652</v>
      </c>
      <c r="B52" s="205">
        <f ca="1">IFERROR(__xludf.DUMMYFUNCTION("""COMPUTED_VALUE"""),43471)</f>
        <v>43471</v>
      </c>
      <c r="C52" s="205" t="str">
        <f ca="1">IFERROR(__xludf.DUMMYFUNCTION("""COMPUTED_VALUE"""),"AA000793")</f>
        <v>AA000793</v>
      </c>
      <c r="D52" s="205" t="str">
        <f ca="1">IFERROR(__xludf.DUMMYFUNCTION("""COMPUTED_VALUE"""),"AA000793")</f>
        <v>AA000793</v>
      </c>
    </row>
    <row r="53" spans="1:4" ht="15" customHeight="1">
      <c r="A53" s="205" t="str">
        <f ca="1">IFERROR(__xludf.DUMMYFUNCTION("""COMPUTED_VALUE"""),"AA001652")</f>
        <v>AA001652</v>
      </c>
      <c r="B53" s="205">
        <f ca="1">IFERROR(__xludf.DUMMYFUNCTION("""COMPUTED_VALUE"""),43471)</f>
        <v>43471</v>
      </c>
      <c r="C53" s="205" t="str">
        <f ca="1">IFERROR(__xludf.DUMMYFUNCTION("""COMPUTED_VALUE"""),"AA000793")</f>
        <v>AA000793</v>
      </c>
      <c r="D53" s="205" t="str">
        <f ca="1">IFERROR(__xludf.DUMMYFUNCTION("""COMPUTED_VALUE"""),"AA000793")</f>
        <v>AA000793</v>
      </c>
    </row>
    <row r="54" spans="1:4" ht="15" customHeight="1">
      <c r="A54" s="205" t="str">
        <f ca="1">IFERROR(__xludf.DUMMYFUNCTION("""COMPUTED_VALUE"""),"AA001714")</f>
        <v>AA001714</v>
      </c>
      <c r="B54" s="205">
        <f ca="1">IFERROR(__xludf.DUMMYFUNCTION("""COMPUTED_VALUE"""),43471)</f>
        <v>43471</v>
      </c>
      <c r="C54" s="205" t="str">
        <f ca="1">IFERROR(__xludf.DUMMYFUNCTION("""COMPUTED_VALUE"""),"AA000756")</f>
        <v>AA000756</v>
      </c>
      <c r="D54" s="205" t="str">
        <f ca="1">IFERROR(__xludf.DUMMYFUNCTION("""COMPUTED_VALUE"""),"AA000756")</f>
        <v>AA000756</v>
      </c>
    </row>
    <row r="55" spans="1:4" ht="15" customHeight="1">
      <c r="A55" s="205" t="str">
        <f ca="1">IFERROR(__xludf.DUMMYFUNCTION("""COMPUTED_VALUE"""),"AA001406")</f>
        <v>AA001406</v>
      </c>
      <c r="B55" s="205">
        <f ca="1">IFERROR(__xludf.DUMMYFUNCTION("""COMPUTED_VALUE"""),43471)</f>
        <v>43471</v>
      </c>
      <c r="C55" s="205" t="str">
        <f ca="1">IFERROR(__xludf.DUMMYFUNCTION("""COMPUTED_VALUE"""),"AA000756")</f>
        <v>AA000756</v>
      </c>
      <c r="D55" s="205" t="str">
        <f ca="1">IFERROR(__xludf.DUMMYFUNCTION("""COMPUTED_VALUE"""),"AA000756")</f>
        <v>AA000756</v>
      </c>
    </row>
    <row r="56" spans="1:4" ht="15" customHeight="1">
      <c r="A56" s="205" t="str">
        <f ca="1">IFERROR(__xludf.DUMMYFUNCTION("""COMPUTED_VALUE"""),"AA001653")</f>
        <v>AA001653</v>
      </c>
      <c r="B56" s="205">
        <f ca="1">IFERROR(__xludf.DUMMYFUNCTION("""COMPUTED_VALUE"""),43471)</f>
        <v>43471</v>
      </c>
      <c r="C56" s="205" t="str">
        <f ca="1">IFERROR(__xludf.DUMMYFUNCTION("""COMPUTED_VALUE"""),"AA000793")</f>
        <v>AA000793</v>
      </c>
      <c r="D56" s="205" t="str">
        <f ca="1">IFERROR(__xludf.DUMMYFUNCTION("""COMPUTED_VALUE"""),"AA000793")</f>
        <v>AA000793</v>
      </c>
    </row>
    <row r="57" spans="1:4" ht="15" customHeight="1">
      <c r="A57" s="205" t="str">
        <f ca="1">IFERROR(__xludf.DUMMYFUNCTION("""COMPUTED_VALUE"""),"AA001428")</f>
        <v>AA001428</v>
      </c>
      <c r="B57" s="205">
        <f ca="1">IFERROR(__xludf.DUMMYFUNCTION("""COMPUTED_VALUE"""),43471)</f>
        <v>43471</v>
      </c>
      <c r="C57" s="205" t="str">
        <f ca="1">IFERROR(__xludf.DUMMYFUNCTION("""COMPUTED_VALUE"""),"AA001017")</f>
        <v>AA001017</v>
      </c>
      <c r="D57" s="205" t="str">
        <f ca="1">IFERROR(__xludf.DUMMYFUNCTION("""COMPUTED_VALUE"""),"AA001017")</f>
        <v>AA001017</v>
      </c>
    </row>
    <row r="58" spans="1:4" ht="15" customHeight="1">
      <c r="A58" s="205" t="str">
        <f ca="1">IFERROR(__xludf.DUMMYFUNCTION("""COMPUTED_VALUE"""),"AA001413")</f>
        <v>AA001413</v>
      </c>
      <c r="B58" s="205">
        <f ca="1">IFERROR(__xludf.DUMMYFUNCTION("""COMPUTED_VALUE"""),43471)</f>
        <v>43471</v>
      </c>
      <c r="C58" s="205" t="str">
        <f ca="1">IFERROR(__xludf.DUMMYFUNCTION("""COMPUTED_VALUE"""),"AA000798")</f>
        <v>AA000798</v>
      </c>
      <c r="D58" s="205" t="str">
        <f ca="1">IFERROR(__xludf.DUMMYFUNCTION("""COMPUTED_VALUE"""),"AA000798")</f>
        <v>AA000798</v>
      </c>
    </row>
    <row r="59" spans="1:4" ht="15" customHeight="1">
      <c r="A59" s="205" t="str">
        <f ca="1">IFERROR(__xludf.DUMMYFUNCTION("""COMPUTED_VALUE"""),"AA001413")</f>
        <v>AA001413</v>
      </c>
      <c r="B59" s="205">
        <f ca="1">IFERROR(__xludf.DUMMYFUNCTION("""COMPUTED_VALUE"""),43471)</f>
        <v>43471</v>
      </c>
      <c r="C59" s="205" t="str">
        <f ca="1">IFERROR(__xludf.DUMMYFUNCTION("""COMPUTED_VALUE"""),"AA000798")</f>
        <v>AA000798</v>
      </c>
      <c r="D59" s="205" t="str">
        <f ca="1">IFERROR(__xludf.DUMMYFUNCTION("""COMPUTED_VALUE"""),"AA000798")</f>
        <v>AA000798</v>
      </c>
    </row>
    <row r="60" spans="1:4" ht="15" customHeight="1">
      <c r="A60" s="205" t="str">
        <f ca="1">IFERROR(__xludf.DUMMYFUNCTION("""COMPUTED_VALUE"""),"AA001407")</f>
        <v>AA001407</v>
      </c>
      <c r="B60" s="205">
        <f ca="1">IFERROR(__xludf.DUMMYFUNCTION("""COMPUTED_VALUE"""),43471)</f>
        <v>43471</v>
      </c>
      <c r="C60" s="205" t="str">
        <f ca="1">IFERROR(__xludf.DUMMYFUNCTION("""COMPUTED_VALUE"""),"AA000798")</f>
        <v>AA000798</v>
      </c>
      <c r="D60" s="205" t="str">
        <f ca="1">IFERROR(__xludf.DUMMYFUNCTION("""COMPUTED_VALUE"""),"AA000798")</f>
        <v>AA000798</v>
      </c>
    </row>
    <row r="61" spans="1:4" ht="15" customHeight="1">
      <c r="A61" s="205" t="str">
        <f ca="1">IFERROR(__xludf.DUMMYFUNCTION("""COMPUTED_VALUE"""),"AA001407")</f>
        <v>AA001407</v>
      </c>
      <c r="B61" s="205">
        <f ca="1">IFERROR(__xludf.DUMMYFUNCTION("""COMPUTED_VALUE"""),43471)</f>
        <v>43471</v>
      </c>
      <c r="C61" s="205" t="str">
        <f ca="1">IFERROR(__xludf.DUMMYFUNCTION("""COMPUTED_VALUE"""),"AA000798")</f>
        <v>AA000798</v>
      </c>
      <c r="D61" s="205" t="str">
        <f ca="1">IFERROR(__xludf.DUMMYFUNCTION("""COMPUTED_VALUE"""),"AA000798")</f>
        <v>AA000798</v>
      </c>
    </row>
    <row r="62" spans="1:4" ht="15" customHeight="1">
      <c r="A62" s="205" t="str">
        <f ca="1">IFERROR(__xludf.DUMMYFUNCTION("""COMPUTED_VALUE"""),"AA001407")</f>
        <v>AA001407</v>
      </c>
      <c r="B62" s="205">
        <f ca="1">IFERROR(__xludf.DUMMYFUNCTION("""COMPUTED_VALUE"""),43471)</f>
        <v>43471</v>
      </c>
      <c r="C62" s="205" t="str">
        <f ca="1">IFERROR(__xludf.DUMMYFUNCTION("""COMPUTED_VALUE"""),"AA000798")</f>
        <v>AA000798</v>
      </c>
      <c r="D62" s="205" t="str">
        <f ca="1">IFERROR(__xludf.DUMMYFUNCTION("""COMPUTED_VALUE"""),"AA000798")</f>
        <v>AA000798</v>
      </c>
    </row>
    <row r="63" spans="1:4" ht="15" customHeight="1">
      <c r="A63" s="205" t="str">
        <f ca="1">IFERROR(__xludf.DUMMYFUNCTION("""COMPUTED_VALUE"""),"AA001734")</f>
        <v>AA001734</v>
      </c>
      <c r="B63" s="205">
        <f ca="1">IFERROR(__xludf.DUMMYFUNCTION("""COMPUTED_VALUE"""),43471)</f>
        <v>43471</v>
      </c>
      <c r="C63" s="205" t="str">
        <f ca="1">IFERROR(__xludf.DUMMYFUNCTION("""COMPUTED_VALUE"""),"AA000798")</f>
        <v>AA000798</v>
      </c>
      <c r="D63" s="205" t="str">
        <f ca="1">IFERROR(__xludf.DUMMYFUNCTION("""COMPUTED_VALUE"""),"AA000798")</f>
        <v>AA000798</v>
      </c>
    </row>
    <row r="64" spans="1:4" ht="15" customHeight="1">
      <c r="A64" s="205" t="str">
        <f ca="1">IFERROR(__xludf.DUMMYFUNCTION("""COMPUTED_VALUE"""),"AA001734")</f>
        <v>AA001734</v>
      </c>
      <c r="B64" s="205">
        <f ca="1">IFERROR(__xludf.DUMMYFUNCTION("""COMPUTED_VALUE"""),43471)</f>
        <v>43471</v>
      </c>
      <c r="C64" s="205" t="str">
        <f ca="1">IFERROR(__xludf.DUMMYFUNCTION("""COMPUTED_VALUE"""),"AA000798")</f>
        <v>AA000798</v>
      </c>
      <c r="D64" s="205" t="str">
        <f ca="1">IFERROR(__xludf.DUMMYFUNCTION("""COMPUTED_VALUE"""),"AA000798")</f>
        <v>AA000798</v>
      </c>
    </row>
    <row r="65" spans="1:4" ht="15" customHeight="1">
      <c r="A65" s="205" t="str">
        <f ca="1">IFERROR(__xludf.DUMMYFUNCTION("""COMPUTED_VALUE"""),"AA001624")</f>
        <v>AA001624</v>
      </c>
      <c r="B65" s="205">
        <f ca="1">IFERROR(__xludf.DUMMYFUNCTION("""COMPUTED_VALUE"""),43471)</f>
        <v>43471</v>
      </c>
      <c r="C65" s="205" t="str">
        <f ca="1">IFERROR(__xludf.DUMMYFUNCTION("""COMPUTED_VALUE"""),"AA000798")</f>
        <v>AA000798</v>
      </c>
      <c r="D65" s="205" t="str">
        <f ca="1">IFERROR(__xludf.DUMMYFUNCTION("""COMPUTED_VALUE"""),"AA000798")</f>
        <v>AA000798</v>
      </c>
    </row>
    <row r="66" spans="1:4" ht="15" customHeight="1">
      <c r="A66" s="205" t="str">
        <f ca="1">IFERROR(__xludf.DUMMYFUNCTION("""COMPUTED_VALUE"""),"AA001408")</f>
        <v>AA001408</v>
      </c>
      <c r="B66" s="205">
        <f ca="1">IFERROR(__xludf.DUMMYFUNCTION("""COMPUTED_VALUE"""),43471)</f>
        <v>43471</v>
      </c>
      <c r="C66" s="205" t="str">
        <f ca="1">IFERROR(__xludf.DUMMYFUNCTION("""COMPUTED_VALUE"""),"AA000798")</f>
        <v>AA000798</v>
      </c>
      <c r="D66" s="205" t="str">
        <f ca="1">IFERROR(__xludf.DUMMYFUNCTION("""COMPUTED_VALUE"""),"AA000798")</f>
        <v>AA000798</v>
      </c>
    </row>
    <row r="67" spans="1:4" ht="15" customHeight="1">
      <c r="A67" s="205" t="str">
        <f ca="1">IFERROR(__xludf.DUMMYFUNCTION("""COMPUTED_VALUE"""),"AA001429")</f>
        <v>AA001429</v>
      </c>
      <c r="B67" s="205">
        <f ca="1">IFERROR(__xludf.DUMMYFUNCTION("""COMPUTED_VALUE"""),43471)</f>
        <v>43471</v>
      </c>
      <c r="C67" s="205" t="str">
        <f ca="1">IFERROR(__xludf.DUMMYFUNCTION("""COMPUTED_VALUE"""),"AA000798")</f>
        <v>AA000798</v>
      </c>
      <c r="D67" s="205" t="str">
        <f ca="1">IFERROR(__xludf.DUMMYFUNCTION("""COMPUTED_VALUE"""),"AA000798")</f>
        <v>AA000798</v>
      </c>
    </row>
    <row r="68" spans="1:4" ht="15" customHeight="1">
      <c r="A68" s="205" t="str">
        <f ca="1">IFERROR(__xludf.DUMMYFUNCTION("""COMPUTED_VALUE"""),"AA001432")</f>
        <v>AA001432</v>
      </c>
      <c r="B68" s="205">
        <f ca="1">IFERROR(__xludf.DUMMYFUNCTION("""COMPUTED_VALUE"""),43471)</f>
        <v>43471</v>
      </c>
      <c r="C68" s="205" t="str">
        <f ca="1">IFERROR(__xludf.DUMMYFUNCTION("""COMPUTED_VALUE"""),"AA000798")</f>
        <v>AA000798</v>
      </c>
      <c r="D68" s="205" t="str">
        <f ca="1">IFERROR(__xludf.DUMMYFUNCTION("""COMPUTED_VALUE"""),"AA000798")</f>
        <v>AA000798</v>
      </c>
    </row>
    <row r="69" spans="1:4" ht="15" customHeight="1">
      <c r="A69" s="205" t="str">
        <f ca="1">IFERROR(__xludf.DUMMYFUNCTION("""COMPUTED_VALUE"""),"AA001415")</f>
        <v>AA001415</v>
      </c>
      <c r="B69" s="205">
        <f ca="1">IFERROR(__xludf.DUMMYFUNCTION("""COMPUTED_VALUE"""),43471)</f>
        <v>43471</v>
      </c>
      <c r="C69" s="205" t="str">
        <f ca="1">IFERROR(__xludf.DUMMYFUNCTION("""COMPUTED_VALUE"""),"AA000798")</f>
        <v>AA000798</v>
      </c>
      <c r="D69" s="205" t="str">
        <f ca="1">IFERROR(__xludf.DUMMYFUNCTION("""COMPUTED_VALUE"""),"AA000798")</f>
        <v>AA000798</v>
      </c>
    </row>
    <row r="70" spans="1:4" ht="15" customHeight="1">
      <c r="A70" s="205" t="str">
        <f ca="1">IFERROR(__xludf.DUMMYFUNCTION("""COMPUTED_VALUE"""),"AA001415")</f>
        <v>AA001415</v>
      </c>
      <c r="B70" s="205">
        <f ca="1">IFERROR(__xludf.DUMMYFUNCTION("""COMPUTED_VALUE"""),43471)</f>
        <v>43471</v>
      </c>
      <c r="C70" s="205" t="str">
        <f ca="1">IFERROR(__xludf.DUMMYFUNCTION("""COMPUTED_VALUE"""),"AA000798")</f>
        <v>AA000798</v>
      </c>
      <c r="D70" s="205" t="str">
        <f ca="1">IFERROR(__xludf.DUMMYFUNCTION("""COMPUTED_VALUE"""),"AA000798")</f>
        <v>AA000798</v>
      </c>
    </row>
    <row r="71" spans="1:4" ht="15" customHeight="1">
      <c r="A71" s="205" t="str">
        <f ca="1">IFERROR(__xludf.DUMMYFUNCTION("""COMPUTED_VALUE"""),"AA001716")</f>
        <v>AA001716</v>
      </c>
      <c r="B71" s="205">
        <f ca="1">IFERROR(__xludf.DUMMYFUNCTION("""COMPUTED_VALUE"""),43471)</f>
        <v>43471</v>
      </c>
      <c r="C71" s="205" t="str">
        <f ca="1">IFERROR(__xludf.DUMMYFUNCTION("""COMPUTED_VALUE"""),"AA000798")</f>
        <v>AA000798</v>
      </c>
      <c r="D71" s="205" t="str">
        <f ca="1">IFERROR(__xludf.DUMMYFUNCTION("""COMPUTED_VALUE"""),"AA000798")</f>
        <v>AA000798</v>
      </c>
    </row>
    <row r="72" spans="1:4" ht="15" customHeight="1">
      <c r="A72" s="205" t="str">
        <f ca="1">IFERROR(__xludf.DUMMYFUNCTION("""COMPUTED_VALUE"""),"AA001716")</f>
        <v>AA001716</v>
      </c>
      <c r="B72" s="205">
        <f ca="1">IFERROR(__xludf.DUMMYFUNCTION("""COMPUTED_VALUE"""),43471)</f>
        <v>43471</v>
      </c>
      <c r="C72" s="205" t="str">
        <f ca="1">IFERROR(__xludf.DUMMYFUNCTION("""COMPUTED_VALUE"""),"AA000798")</f>
        <v>AA000798</v>
      </c>
      <c r="D72" s="205" t="str">
        <f ca="1">IFERROR(__xludf.DUMMYFUNCTION("""COMPUTED_VALUE"""),"AA000798")</f>
        <v>AA000798</v>
      </c>
    </row>
    <row r="73" spans="1:4" ht="15" customHeight="1">
      <c r="A73" s="205" t="str">
        <f ca="1">IFERROR(__xludf.DUMMYFUNCTION("""COMPUTED_VALUE"""),"AA001416")</f>
        <v>AA001416</v>
      </c>
      <c r="B73" s="205">
        <f ca="1">IFERROR(__xludf.DUMMYFUNCTION("""COMPUTED_VALUE"""),43471)</f>
        <v>43471</v>
      </c>
      <c r="C73" s="205" t="str">
        <f ca="1">IFERROR(__xludf.DUMMYFUNCTION("""COMPUTED_VALUE"""),"AA000798")</f>
        <v>AA000798</v>
      </c>
      <c r="D73" s="205" t="str">
        <f ca="1">IFERROR(__xludf.DUMMYFUNCTION("""COMPUTED_VALUE"""),"AA000798")</f>
        <v>AA000798</v>
      </c>
    </row>
    <row r="74" spans="1:4" ht="15" customHeight="1">
      <c r="A74" s="205" t="str">
        <f ca="1">IFERROR(__xludf.DUMMYFUNCTION("""COMPUTED_VALUE"""),"AA001735")</f>
        <v>AA001735</v>
      </c>
      <c r="B74" s="205">
        <f ca="1">IFERROR(__xludf.DUMMYFUNCTION("""COMPUTED_VALUE"""),43471)</f>
        <v>43471</v>
      </c>
      <c r="C74" s="205" t="str">
        <f ca="1">IFERROR(__xludf.DUMMYFUNCTION("""COMPUTED_VALUE"""),"AA000798")</f>
        <v>AA000798</v>
      </c>
      <c r="D74" s="205" t="str">
        <f ca="1">IFERROR(__xludf.DUMMYFUNCTION("""COMPUTED_VALUE"""),"AA000798")</f>
        <v>AA000798</v>
      </c>
    </row>
    <row r="75" spans="1:4" ht="15" customHeight="1">
      <c r="A75" s="205" t="str">
        <f ca="1">IFERROR(__xludf.DUMMYFUNCTION("""COMPUTED_VALUE"""),"AA001715")</f>
        <v>AA001715</v>
      </c>
      <c r="B75" s="205">
        <f ca="1">IFERROR(__xludf.DUMMYFUNCTION("""COMPUTED_VALUE"""),43471)</f>
        <v>43471</v>
      </c>
      <c r="C75" s="205" t="str">
        <f ca="1">IFERROR(__xludf.DUMMYFUNCTION("""COMPUTED_VALUE"""),"AA000798")</f>
        <v>AA000798</v>
      </c>
      <c r="D75" s="205" t="str">
        <f ca="1">IFERROR(__xludf.DUMMYFUNCTION("""COMPUTED_VALUE"""),"AA000798")</f>
        <v>AA000798</v>
      </c>
    </row>
    <row r="76" spans="1:4" ht="15" customHeight="1">
      <c r="A76" s="205" t="str">
        <f ca="1">IFERROR(__xludf.DUMMYFUNCTION("""COMPUTED_VALUE"""),"AA001715")</f>
        <v>AA001715</v>
      </c>
      <c r="B76" s="205">
        <f ca="1">IFERROR(__xludf.DUMMYFUNCTION("""COMPUTED_VALUE"""),43471)</f>
        <v>43471</v>
      </c>
      <c r="C76" s="205" t="str">
        <f ca="1">IFERROR(__xludf.DUMMYFUNCTION("""COMPUTED_VALUE"""),"AA000798")</f>
        <v>AA000798</v>
      </c>
      <c r="D76" s="205" t="str">
        <f ca="1">IFERROR(__xludf.DUMMYFUNCTION("""COMPUTED_VALUE"""),"AA000798")</f>
        <v>AA000798</v>
      </c>
    </row>
    <row r="77" spans="1:4" ht="15" customHeight="1">
      <c r="A77" s="205" t="str">
        <f ca="1">IFERROR(__xludf.DUMMYFUNCTION("""COMPUTED_VALUE"""),"AA001715")</f>
        <v>AA001715</v>
      </c>
      <c r="B77" s="205">
        <f ca="1">IFERROR(__xludf.DUMMYFUNCTION("""COMPUTED_VALUE"""),43471)</f>
        <v>43471</v>
      </c>
      <c r="C77" s="205" t="str">
        <f ca="1">IFERROR(__xludf.DUMMYFUNCTION("""COMPUTED_VALUE"""),"AA000798")</f>
        <v>AA000798</v>
      </c>
      <c r="D77" s="205" t="str">
        <f ca="1">IFERROR(__xludf.DUMMYFUNCTION("""COMPUTED_VALUE"""),"AA000798")</f>
        <v>AA000798</v>
      </c>
    </row>
    <row r="78" spans="1:4" ht="15" customHeight="1">
      <c r="A78" s="205" t="str">
        <f ca="1">IFERROR(__xludf.DUMMYFUNCTION("""COMPUTED_VALUE"""),"AA001625")</f>
        <v>AA001625</v>
      </c>
      <c r="B78" s="205">
        <f ca="1">IFERROR(__xludf.DUMMYFUNCTION("""COMPUTED_VALUE"""),43471)</f>
        <v>43471</v>
      </c>
      <c r="C78" s="205" t="str">
        <f ca="1">IFERROR(__xludf.DUMMYFUNCTION("""COMPUTED_VALUE"""),"AA000798")</f>
        <v>AA000798</v>
      </c>
      <c r="D78" s="205" t="str">
        <f ca="1">IFERROR(__xludf.DUMMYFUNCTION("""COMPUTED_VALUE"""),"AA000798")</f>
        <v>AA000798</v>
      </c>
    </row>
    <row r="79" spans="1:4" ht="15" customHeight="1">
      <c r="A79" s="205" t="str">
        <f ca="1">IFERROR(__xludf.DUMMYFUNCTION("""COMPUTED_VALUE"""),"AA001602")</f>
        <v>AA001602</v>
      </c>
      <c r="B79" s="205">
        <f ca="1">IFERROR(__xludf.DUMMYFUNCTION("""COMPUTED_VALUE"""),43471)</f>
        <v>43471</v>
      </c>
      <c r="C79" s="205" t="str">
        <f ca="1">IFERROR(__xludf.DUMMYFUNCTION("""COMPUTED_VALUE"""),"AA000798")</f>
        <v>AA000798</v>
      </c>
      <c r="D79" s="205" t="str">
        <f ca="1">IFERROR(__xludf.DUMMYFUNCTION("""COMPUTED_VALUE"""),"AA000798")</f>
        <v>AA000798</v>
      </c>
    </row>
    <row r="80" spans="1:4" ht="15" customHeight="1">
      <c r="A80" s="205" t="str">
        <f ca="1">IFERROR(__xludf.DUMMYFUNCTION("""COMPUTED_VALUE"""),"AA001139")</f>
        <v>AA001139</v>
      </c>
      <c r="B80" s="205">
        <f ca="1">IFERROR(__xludf.DUMMYFUNCTION("""COMPUTED_VALUE"""),43474)</f>
        <v>43474</v>
      </c>
      <c r="C80" s="205" t="str">
        <f ca="1">IFERROR(__xludf.DUMMYFUNCTION("""COMPUTED_VALUE"""),"AA000798")</f>
        <v>AA000798</v>
      </c>
      <c r="D80" s="205" t="str">
        <f ca="1">IFERROR(__xludf.DUMMYFUNCTION("""COMPUTED_VALUE"""),"AA000798")</f>
        <v>AA000798</v>
      </c>
    </row>
    <row r="81" spans="1:4" ht="15" customHeight="1">
      <c r="A81" s="205" t="str">
        <f ca="1">IFERROR(__xludf.DUMMYFUNCTION("""COMPUTED_VALUE"""),"AA001401")</f>
        <v>AA001401</v>
      </c>
      <c r="B81" s="205">
        <f ca="1">IFERROR(__xludf.DUMMYFUNCTION("""COMPUTED_VALUE"""),43474)</f>
        <v>43474</v>
      </c>
      <c r="C81" s="205" t="str">
        <f ca="1">IFERROR(__xludf.DUMMYFUNCTION("""COMPUTED_VALUE"""),"AA000798")</f>
        <v>AA000798</v>
      </c>
      <c r="D81" s="205" t="str">
        <f ca="1">IFERROR(__xludf.DUMMYFUNCTION("""COMPUTED_VALUE"""),"AA000798")</f>
        <v>AA000798</v>
      </c>
    </row>
    <row r="82" spans="1:4" ht="15" customHeight="1">
      <c r="A82" s="205" t="str">
        <f ca="1">IFERROR(__xludf.DUMMYFUNCTION("""COMPUTED_VALUE"""),"AA001753")</f>
        <v>AA001753</v>
      </c>
      <c r="B82" s="205">
        <f ca="1">IFERROR(__xludf.DUMMYFUNCTION("""COMPUTED_VALUE"""),43480)</f>
        <v>43480</v>
      </c>
      <c r="C82" s="205" t="str">
        <f ca="1">IFERROR(__xludf.DUMMYFUNCTION("""COMPUTED_VALUE"""),"AA000798")</f>
        <v>AA000798</v>
      </c>
      <c r="D82" s="205" t="str">
        <f ca="1">IFERROR(__xludf.DUMMYFUNCTION("""COMPUTED_VALUE"""),"AA000798")</f>
        <v>AA000798</v>
      </c>
    </row>
    <row r="83" spans="1:4" ht="15" customHeight="1">
      <c r="A83" s="205" t="str">
        <f ca="1">IFERROR(__xludf.DUMMYFUNCTION("""COMPUTED_VALUE"""),"AA001751")</f>
        <v>AA001751</v>
      </c>
      <c r="B83" s="205">
        <f ca="1">IFERROR(__xludf.DUMMYFUNCTION("""COMPUTED_VALUE"""),43475)</f>
        <v>43475</v>
      </c>
      <c r="C83" s="205" t="str">
        <f ca="1">IFERROR(__xludf.DUMMYFUNCTION("""COMPUTED_VALUE"""),"AA000798")</f>
        <v>AA000798</v>
      </c>
      <c r="D83" s="205" t="str">
        <f ca="1">IFERROR(__xludf.DUMMYFUNCTION("""COMPUTED_VALUE"""),"AA000798")</f>
        <v>AA000798</v>
      </c>
    </row>
    <row r="84" spans="1:4" ht="15" customHeight="1">
      <c r="A84" s="205" t="str">
        <f ca="1">IFERROR(__xludf.DUMMYFUNCTION("""COMPUTED_VALUE"""),"AA001751")</f>
        <v>AA001751</v>
      </c>
      <c r="B84" s="205">
        <f ca="1">IFERROR(__xludf.DUMMYFUNCTION("""COMPUTED_VALUE"""),43475)</f>
        <v>43475</v>
      </c>
      <c r="C84" s="205" t="str">
        <f ca="1">IFERROR(__xludf.DUMMYFUNCTION("""COMPUTED_VALUE"""),"AA000798")</f>
        <v>AA000798</v>
      </c>
      <c r="D84" s="205" t="str">
        <f ca="1">IFERROR(__xludf.DUMMYFUNCTION("""COMPUTED_VALUE"""),"AA000798")</f>
        <v>AA000798</v>
      </c>
    </row>
    <row r="85" spans="1:4" ht="15" customHeight="1">
      <c r="A85" s="205" t="str">
        <f ca="1">IFERROR(__xludf.DUMMYFUNCTION("""COMPUTED_VALUE"""),"AA001599")</f>
        <v>AA001599</v>
      </c>
      <c r="B85" s="205">
        <f ca="1">IFERROR(__xludf.DUMMYFUNCTION("""COMPUTED_VALUE"""),43480)</f>
        <v>43480</v>
      </c>
      <c r="C85" s="205" t="str">
        <f ca="1">IFERROR(__xludf.DUMMYFUNCTION("""COMPUTED_VALUE"""),"AA000798")</f>
        <v>AA000798</v>
      </c>
      <c r="D85" s="205" t="str">
        <f ca="1">IFERROR(__xludf.DUMMYFUNCTION("""COMPUTED_VALUE"""),"AA000798")</f>
        <v>AA000798</v>
      </c>
    </row>
    <row r="86" spans="1:4" ht="15" customHeight="1">
      <c r="A86" s="205" t="str">
        <f ca="1">IFERROR(__xludf.DUMMYFUNCTION("""COMPUTED_VALUE"""),"AA001598")</f>
        <v>AA001598</v>
      </c>
      <c r="B86" s="205">
        <f ca="1">IFERROR(__xludf.DUMMYFUNCTION("""COMPUTED_VALUE"""),43480)</f>
        <v>43480</v>
      </c>
      <c r="C86" s="205" t="str">
        <f ca="1">IFERROR(__xludf.DUMMYFUNCTION("""COMPUTED_VALUE"""),"AA000798")</f>
        <v>AA000798</v>
      </c>
      <c r="D86" s="205" t="str">
        <f ca="1">IFERROR(__xludf.DUMMYFUNCTION("""COMPUTED_VALUE"""),"AA000798")</f>
        <v>AA000798</v>
      </c>
    </row>
    <row r="87" spans="1:4" ht="15" customHeight="1">
      <c r="A87" s="205" t="str">
        <f ca="1">IFERROR(__xludf.DUMMYFUNCTION("""COMPUTED_VALUE"""),"AA001597")</f>
        <v>AA001597</v>
      </c>
      <c r="B87" s="205">
        <f ca="1">IFERROR(__xludf.DUMMYFUNCTION("""COMPUTED_VALUE"""),43480)</f>
        <v>43480</v>
      </c>
      <c r="C87" s="205" t="str">
        <f ca="1">IFERROR(__xludf.DUMMYFUNCTION("""COMPUTED_VALUE"""),"AA000798")</f>
        <v>AA000798</v>
      </c>
      <c r="D87" s="205" t="str">
        <f ca="1">IFERROR(__xludf.DUMMYFUNCTION("""COMPUTED_VALUE"""),"AA000798")</f>
        <v>AA000798</v>
      </c>
    </row>
    <row r="88" spans="1:4" ht="15" customHeight="1">
      <c r="A88" s="205" t="str">
        <f ca="1">IFERROR(__xludf.DUMMYFUNCTION("""COMPUTED_VALUE"""),"AA001614")</f>
        <v>AA001614</v>
      </c>
      <c r="B88" s="205">
        <f ca="1">IFERROR(__xludf.DUMMYFUNCTION("""COMPUTED_VALUE"""),43494)</f>
        <v>43494</v>
      </c>
      <c r="C88" s="205" t="str">
        <f ca="1">IFERROR(__xludf.DUMMYFUNCTION("""COMPUTED_VALUE"""),"AA000798")</f>
        <v>AA000798</v>
      </c>
      <c r="D88" s="205" t="str">
        <f ca="1">IFERROR(__xludf.DUMMYFUNCTION("""COMPUTED_VALUE"""),"AA000798")</f>
        <v>AA000798</v>
      </c>
    </row>
    <row r="89" spans="1:4" ht="15" customHeight="1">
      <c r="A89" s="205" t="str">
        <f ca="1">IFERROR(__xludf.DUMMYFUNCTION("""COMPUTED_VALUE"""),"AA001431")</f>
        <v>AA001431</v>
      </c>
      <c r="B89" s="205">
        <f ca="1">IFERROR(__xludf.DUMMYFUNCTION("""COMPUTED_VALUE"""),43472)</f>
        <v>43472</v>
      </c>
      <c r="C89" s="205" t="str">
        <f ca="1">IFERROR(__xludf.DUMMYFUNCTION("""COMPUTED_VALUE"""),"AA000798")</f>
        <v>AA000798</v>
      </c>
      <c r="D89" s="205" t="str">
        <f ca="1">IFERROR(__xludf.DUMMYFUNCTION("""COMPUTED_VALUE"""),"AA000798")</f>
        <v>AA000798</v>
      </c>
    </row>
    <row r="90" spans="1:4" ht="15" customHeight="1">
      <c r="A90" s="205" t="str">
        <f ca="1">IFERROR(__xludf.DUMMYFUNCTION("""COMPUTED_VALUE"""),"AA001723")</f>
        <v>AA001723</v>
      </c>
      <c r="B90" s="205">
        <f ca="1">IFERROR(__xludf.DUMMYFUNCTION("""COMPUTED_VALUE"""),43472)</f>
        <v>43472</v>
      </c>
      <c r="C90" s="205" t="str">
        <f ca="1">IFERROR(__xludf.DUMMYFUNCTION("""COMPUTED_VALUE"""),"AA000798")</f>
        <v>AA000798</v>
      </c>
      <c r="D90" s="205" t="str">
        <f ca="1">IFERROR(__xludf.DUMMYFUNCTION("""COMPUTED_VALUE"""),"AA000798")</f>
        <v>AA000798</v>
      </c>
    </row>
    <row r="91" spans="1:4" ht="15" customHeight="1">
      <c r="A91" s="205" t="str">
        <f ca="1">IFERROR(__xludf.DUMMYFUNCTION("""COMPUTED_VALUE"""),"AA001723")</f>
        <v>AA001723</v>
      </c>
      <c r="B91" s="205">
        <f ca="1">IFERROR(__xludf.DUMMYFUNCTION("""COMPUTED_VALUE"""),43472)</f>
        <v>43472</v>
      </c>
      <c r="C91" s="205" t="str">
        <f ca="1">IFERROR(__xludf.DUMMYFUNCTION("""COMPUTED_VALUE"""),"AA000798")</f>
        <v>AA000798</v>
      </c>
      <c r="D91" s="205" t="str">
        <f ca="1">IFERROR(__xludf.DUMMYFUNCTION("""COMPUTED_VALUE"""),"AA000798")</f>
        <v>AA000798</v>
      </c>
    </row>
    <row r="92" spans="1:4" ht="15" customHeight="1">
      <c r="A92" s="205" t="str">
        <f ca="1">IFERROR(__xludf.DUMMYFUNCTION("""COMPUTED_VALUE"""),"AA001736")</f>
        <v>AA001736</v>
      </c>
      <c r="B92" s="205">
        <f ca="1">IFERROR(__xludf.DUMMYFUNCTION("""COMPUTED_VALUE"""),43472)</f>
        <v>43472</v>
      </c>
      <c r="C92" s="205" t="str">
        <f ca="1">IFERROR(__xludf.DUMMYFUNCTION("""COMPUTED_VALUE"""),"AA000798")</f>
        <v>AA000798</v>
      </c>
      <c r="D92" s="205" t="str">
        <f ca="1">IFERROR(__xludf.DUMMYFUNCTION("""COMPUTED_VALUE"""),"AA000798")</f>
        <v>AA000798</v>
      </c>
    </row>
    <row r="93" spans="1:4" ht="15" customHeight="1">
      <c r="A93" s="205" t="str">
        <f ca="1">IFERROR(__xludf.DUMMYFUNCTION("""COMPUTED_VALUE"""),"AA001736")</f>
        <v>AA001736</v>
      </c>
      <c r="B93" s="205">
        <f ca="1">IFERROR(__xludf.DUMMYFUNCTION("""COMPUTED_VALUE"""),43472)</f>
        <v>43472</v>
      </c>
      <c r="C93" s="205" t="str">
        <f ca="1">IFERROR(__xludf.DUMMYFUNCTION("""COMPUTED_VALUE"""),"AA000798")</f>
        <v>AA000798</v>
      </c>
      <c r="D93" s="205" t="str">
        <f ca="1">IFERROR(__xludf.DUMMYFUNCTION("""COMPUTED_VALUE"""),"AA000798")</f>
        <v>AA000798</v>
      </c>
    </row>
    <row r="94" spans="1:4" ht="15" customHeight="1">
      <c r="A94" s="205" t="str">
        <f ca="1">IFERROR(__xludf.DUMMYFUNCTION("""COMPUTED_VALUE"""),"AA001736")</f>
        <v>AA001736</v>
      </c>
      <c r="B94" s="205">
        <f ca="1">IFERROR(__xludf.DUMMYFUNCTION("""COMPUTED_VALUE"""),43472)</f>
        <v>43472</v>
      </c>
      <c r="C94" s="205" t="str">
        <f ca="1">IFERROR(__xludf.DUMMYFUNCTION("""COMPUTED_VALUE"""),"AA000798")</f>
        <v>AA000798</v>
      </c>
      <c r="D94" s="205" t="str">
        <f ca="1">IFERROR(__xludf.DUMMYFUNCTION("""COMPUTED_VALUE"""),"AA000798")</f>
        <v>AA000798</v>
      </c>
    </row>
    <row r="95" spans="1:4" ht="15" customHeight="1">
      <c r="A95" s="205" t="str">
        <f ca="1">IFERROR(__xludf.DUMMYFUNCTION("""COMPUTED_VALUE"""),"AA001626")</f>
        <v>AA001626</v>
      </c>
      <c r="B95" s="205">
        <f ca="1">IFERROR(__xludf.DUMMYFUNCTION("""COMPUTED_VALUE"""),43472)</f>
        <v>43472</v>
      </c>
      <c r="C95" s="205" t="str">
        <f ca="1">IFERROR(__xludf.DUMMYFUNCTION("""COMPUTED_VALUE"""),"AA000798")</f>
        <v>AA000798</v>
      </c>
      <c r="D95" s="205" t="str">
        <f ca="1">IFERROR(__xludf.DUMMYFUNCTION("""COMPUTED_VALUE"""),"AA000798")</f>
        <v>AA000798</v>
      </c>
    </row>
    <row r="96" spans="1:4" ht="15" customHeight="1">
      <c r="A96" s="205" t="str">
        <f ca="1">IFERROR(__xludf.DUMMYFUNCTION("""COMPUTED_VALUE"""),"AA001409")</f>
        <v>AA001409</v>
      </c>
      <c r="B96" s="205">
        <f ca="1">IFERROR(__xludf.DUMMYFUNCTION("""COMPUTED_VALUE"""),43472)</f>
        <v>43472</v>
      </c>
      <c r="C96" s="205" t="str">
        <f ca="1">IFERROR(__xludf.DUMMYFUNCTION("""COMPUTED_VALUE"""),"AA000798")</f>
        <v>AA000798</v>
      </c>
      <c r="D96" s="205" t="str">
        <f ca="1">IFERROR(__xludf.DUMMYFUNCTION("""COMPUTED_VALUE"""),"AA000798")</f>
        <v>AA000798</v>
      </c>
    </row>
    <row r="97" spans="1:4" ht="15" customHeight="1">
      <c r="A97" s="205" t="str">
        <f ca="1">IFERROR(__xludf.DUMMYFUNCTION("""COMPUTED_VALUE"""),"AA001611")</f>
        <v>AA001611</v>
      </c>
      <c r="B97" s="205">
        <f ca="1">IFERROR(__xludf.DUMMYFUNCTION("""COMPUTED_VALUE"""),43472)</f>
        <v>43472</v>
      </c>
      <c r="C97" s="205" t="str">
        <f ca="1">IFERROR(__xludf.DUMMYFUNCTION("""COMPUTED_VALUE"""),"AA000798")</f>
        <v>AA000798</v>
      </c>
      <c r="D97" s="205" t="str">
        <f ca="1">IFERROR(__xludf.DUMMYFUNCTION("""COMPUTED_VALUE"""),"AA000798")</f>
        <v>AA000798</v>
      </c>
    </row>
    <row r="98" spans="1:4" ht="15" customHeight="1">
      <c r="A98" s="205" t="str">
        <f ca="1">IFERROR(__xludf.DUMMYFUNCTION("""COMPUTED_VALUE"""),"AA001631")</f>
        <v>AA001631</v>
      </c>
      <c r="B98" s="205">
        <f ca="1">IFERROR(__xludf.DUMMYFUNCTION("""COMPUTED_VALUE"""),43472)</f>
        <v>43472</v>
      </c>
      <c r="C98" s="205" t="str">
        <f ca="1">IFERROR(__xludf.DUMMYFUNCTION("""COMPUTED_VALUE"""),"AA000798")</f>
        <v>AA000798</v>
      </c>
      <c r="D98" s="205" t="str">
        <f ca="1">IFERROR(__xludf.DUMMYFUNCTION("""COMPUTED_VALUE"""),"AA000798")</f>
        <v>AA000798</v>
      </c>
    </row>
    <row r="99" spans="1:4" ht="15" customHeight="1">
      <c r="A99" s="205" t="str">
        <f ca="1">IFERROR(__xludf.DUMMYFUNCTION("""COMPUTED_VALUE"""),"AA001682")</f>
        <v>AA001682</v>
      </c>
      <c r="B99" s="205">
        <f ca="1">IFERROR(__xludf.DUMMYFUNCTION("""COMPUTED_VALUE"""),43476)</f>
        <v>43476</v>
      </c>
      <c r="C99" s="205" t="str">
        <f ca="1">IFERROR(__xludf.DUMMYFUNCTION("""COMPUTED_VALUE"""),"AA001203")</f>
        <v>AA001203</v>
      </c>
      <c r="D99" s="205" t="str">
        <f ca="1">IFERROR(__xludf.DUMMYFUNCTION("""COMPUTED_VALUE"""),"AA001203")</f>
        <v>AA001203</v>
      </c>
    </row>
    <row r="100" spans="1:4" ht="15" customHeight="1">
      <c r="A100" s="205" t="str">
        <f ca="1">IFERROR(__xludf.DUMMYFUNCTION("""COMPUTED_VALUE"""),"AA001682")</f>
        <v>AA001682</v>
      </c>
      <c r="B100" s="205">
        <f ca="1">IFERROR(__xludf.DUMMYFUNCTION("""COMPUTED_VALUE"""),43476)</f>
        <v>43476</v>
      </c>
      <c r="C100" s="205" t="str">
        <f ca="1">IFERROR(__xludf.DUMMYFUNCTION("""COMPUTED_VALUE"""),"AA001203")</f>
        <v>AA001203</v>
      </c>
      <c r="D100" s="205" t="str">
        <f ca="1">IFERROR(__xludf.DUMMYFUNCTION("""COMPUTED_VALUE"""),"AA001203")</f>
        <v>AA001203</v>
      </c>
    </row>
    <row r="101" spans="1:4" ht="15" customHeight="1">
      <c r="A101" s="205" t="str">
        <f ca="1">IFERROR(__xludf.DUMMYFUNCTION("""COMPUTED_VALUE"""),"AA001612")</f>
        <v>AA001612</v>
      </c>
      <c r="B101" s="205">
        <f ca="1">IFERROR(__xludf.DUMMYFUNCTION("""COMPUTED_VALUE"""),43472)</f>
        <v>43472</v>
      </c>
      <c r="C101" s="205" t="str">
        <f ca="1">IFERROR(__xludf.DUMMYFUNCTION("""COMPUTED_VALUE"""),"AA001203")</f>
        <v>AA001203</v>
      </c>
      <c r="D101" s="205" t="str">
        <f ca="1">IFERROR(__xludf.DUMMYFUNCTION("""COMPUTED_VALUE"""),"AA001203")</f>
        <v>AA001203</v>
      </c>
    </row>
    <row r="102" spans="1:4" ht="15" customHeight="1">
      <c r="A102" s="205" t="str">
        <f ca="1">IFERROR(__xludf.DUMMYFUNCTION("""COMPUTED_VALUE"""),"AA001612")</f>
        <v>AA001612</v>
      </c>
      <c r="B102" s="205">
        <f ca="1">IFERROR(__xludf.DUMMYFUNCTION("""COMPUTED_VALUE"""),43472)</f>
        <v>43472</v>
      </c>
      <c r="C102" s="205" t="str">
        <f ca="1">IFERROR(__xludf.DUMMYFUNCTION("""COMPUTED_VALUE"""),"AA001203")</f>
        <v>AA001203</v>
      </c>
      <c r="D102" s="205" t="str">
        <f ca="1">IFERROR(__xludf.DUMMYFUNCTION("""COMPUTED_VALUE"""),"AA001203")</f>
        <v>AA001203</v>
      </c>
    </row>
    <row r="103" spans="1:4" ht="15" customHeight="1">
      <c r="A103" s="205" t="str">
        <f ca="1">IFERROR(__xludf.DUMMYFUNCTION("""COMPUTED_VALUE"""),"AA001627")</f>
        <v>AA001627</v>
      </c>
      <c r="B103" s="205">
        <f ca="1">IFERROR(__xludf.DUMMYFUNCTION("""COMPUTED_VALUE"""),43472)</f>
        <v>43472</v>
      </c>
      <c r="C103" s="205" t="str">
        <f ca="1">IFERROR(__xludf.DUMMYFUNCTION("""COMPUTED_VALUE"""),"AA001301")</f>
        <v>AA001301</v>
      </c>
      <c r="D103" s="205" t="str">
        <f ca="1">IFERROR(__xludf.DUMMYFUNCTION("""COMPUTED_VALUE"""),"AA001301")</f>
        <v>AA001301</v>
      </c>
    </row>
    <row r="104" spans="1:4" ht="15" customHeight="1">
      <c r="A104" s="205" t="str">
        <f ca="1">IFERROR(__xludf.DUMMYFUNCTION("""COMPUTED_VALUE"""),"AA001702")</f>
        <v>AA001702</v>
      </c>
      <c r="B104" s="205">
        <f ca="1">IFERROR(__xludf.DUMMYFUNCTION("""COMPUTED_VALUE"""),43472)</f>
        <v>43472</v>
      </c>
      <c r="C104" t="str">
        <f ca="1">IFERROR(__xludf.DUMMYFUNCTION("""COMPUTED_VALUE"""),"AA001015")</f>
        <v>AA001015</v>
      </c>
      <c r="D104" t="str">
        <f ca="1">IFERROR(__xludf.DUMMYFUNCTION("""COMPUTED_VALUE"""),"AA001015")</f>
        <v>AA001015</v>
      </c>
    </row>
    <row r="105" spans="1:4" ht="15" customHeight="1">
      <c r="A105" s="205" t="str">
        <f ca="1">IFERROR(__xludf.DUMMYFUNCTION("""COMPUTED_VALUE"""),"AA001724")</f>
        <v>AA001724</v>
      </c>
      <c r="B105" s="205">
        <f ca="1">IFERROR(__xludf.DUMMYFUNCTION("""COMPUTED_VALUE"""),43472)</f>
        <v>43472</v>
      </c>
      <c r="C105" t="str">
        <f ca="1">IFERROR(__xludf.DUMMYFUNCTION("""COMPUTED_VALUE"""),"AA001015")</f>
        <v>AA001015</v>
      </c>
      <c r="D105" t="str">
        <f ca="1">IFERROR(__xludf.DUMMYFUNCTION("""COMPUTED_VALUE"""),"AA001015")</f>
        <v>AA001015</v>
      </c>
    </row>
    <row r="106" spans="1:4" ht="15" customHeight="1">
      <c r="A106" s="205" t="str">
        <f ca="1">IFERROR(__xludf.DUMMYFUNCTION("""COMPUTED_VALUE"""),"AA001725")</f>
        <v>AA001725</v>
      </c>
      <c r="B106" s="205">
        <f ca="1">IFERROR(__xludf.DUMMYFUNCTION("""COMPUTED_VALUE"""),43472)</f>
        <v>43472</v>
      </c>
      <c r="C106" t="str">
        <f ca="1">IFERROR(__xludf.DUMMYFUNCTION("""COMPUTED_VALUE"""),"AA001015")</f>
        <v>AA001015</v>
      </c>
      <c r="D106" t="str">
        <f ca="1">IFERROR(__xludf.DUMMYFUNCTION("""COMPUTED_VALUE"""),"AA001015")</f>
        <v>AA001015</v>
      </c>
    </row>
    <row r="107" spans="1:4" ht="15" customHeight="1">
      <c r="A107" s="205" t="str">
        <f ca="1">IFERROR(__xludf.DUMMYFUNCTION("""COMPUTED_VALUE"""),"AA001703")</f>
        <v>AA001703</v>
      </c>
      <c r="B107" s="205">
        <f ca="1">IFERROR(__xludf.DUMMYFUNCTION("""COMPUTED_VALUE"""),43472)</f>
        <v>43472</v>
      </c>
      <c r="C107" s="205" t="str">
        <f ca="1">IFERROR(__xludf.DUMMYFUNCTION("""COMPUTED_VALUE"""),"AA001311")</f>
        <v>AA001311</v>
      </c>
      <c r="D107" s="205" t="str">
        <f ca="1">IFERROR(__xludf.DUMMYFUNCTION("""COMPUTED_VALUE"""),"AA001311")</f>
        <v>AA001311</v>
      </c>
    </row>
    <row r="108" spans="1:4" ht="15" customHeight="1">
      <c r="A108" s="205" t="str">
        <f ca="1">IFERROR(__xludf.DUMMYFUNCTION("""COMPUTED_VALUE"""),"AA001704")</f>
        <v>AA001704</v>
      </c>
      <c r="B108" s="205">
        <f ca="1">IFERROR(__xludf.DUMMYFUNCTION("""COMPUTED_VALUE"""),43472)</f>
        <v>43472</v>
      </c>
      <c r="C108" s="205" t="str">
        <f ca="1">IFERROR(__xludf.DUMMYFUNCTION("""COMPUTED_VALUE"""),"AA001312")</f>
        <v>AA001312</v>
      </c>
      <c r="D108" s="205" t="str">
        <f ca="1">IFERROR(__xludf.DUMMYFUNCTION("""COMPUTED_VALUE"""),"AA001312")</f>
        <v>AA001312</v>
      </c>
    </row>
    <row r="109" spans="1:4" ht="15" customHeight="1">
      <c r="A109" s="205" t="str">
        <f ca="1">IFERROR(__xludf.DUMMYFUNCTION("""COMPUTED_VALUE"""),"AA001705")</f>
        <v>AA001705</v>
      </c>
      <c r="B109" s="205">
        <f ca="1">IFERROR(__xludf.DUMMYFUNCTION("""COMPUTED_VALUE"""),43472)</f>
        <v>43472</v>
      </c>
      <c r="C109" s="205" t="str">
        <f ca="1">IFERROR(__xludf.DUMMYFUNCTION("""COMPUTED_VALUE"""),"AA001312")</f>
        <v>AA001312</v>
      </c>
      <c r="D109" s="205" t="str">
        <f ca="1">IFERROR(__xludf.DUMMYFUNCTION("""COMPUTED_VALUE"""),"AA001312")</f>
        <v>AA001312</v>
      </c>
    </row>
    <row r="110" spans="1:4" ht="15" customHeight="1">
      <c r="A110" s="205" t="str">
        <f ca="1">IFERROR(__xludf.DUMMYFUNCTION("""COMPUTED_VALUE"""),"AA001613")</f>
        <v>AA001613</v>
      </c>
      <c r="B110" s="205">
        <f ca="1">IFERROR(__xludf.DUMMYFUNCTION("""COMPUTED_VALUE"""),43472)</f>
        <v>43472</v>
      </c>
      <c r="C110" s="205" t="str">
        <f ca="1">IFERROR(__xludf.DUMMYFUNCTION("""COMPUTED_VALUE"""),"AA001268")</f>
        <v>AA001268</v>
      </c>
      <c r="D110" s="205" t="str">
        <f ca="1">IFERROR(__xludf.DUMMYFUNCTION("""COMPUTED_VALUE"""),"AA001268")</f>
        <v>AA001268</v>
      </c>
    </row>
    <row r="111" spans="1:4" ht="15" customHeight="1">
      <c r="A111" s="205" t="str">
        <f ca="1">IFERROR(__xludf.DUMMYFUNCTION("""COMPUTED_VALUE"""),"AA001717")</f>
        <v>AA001717</v>
      </c>
      <c r="B111" s="205">
        <f ca="1">IFERROR(__xludf.DUMMYFUNCTION("""COMPUTED_VALUE"""),43472)</f>
        <v>43472</v>
      </c>
      <c r="C111" s="205" t="str">
        <f ca="1">IFERROR(__xludf.DUMMYFUNCTION("""COMPUTED_VALUE"""),"AA001313")</f>
        <v>AA001313</v>
      </c>
      <c r="D111" s="205" t="str">
        <f ca="1">IFERROR(__xludf.DUMMYFUNCTION("""COMPUTED_VALUE"""),"AA001313")</f>
        <v>AA001313</v>
      </c>
    </row>
    <row r="112" spans="1:4" ht="15" customHeight="1">
      <c r="A112" s="205" t="str">
        <f ca="1">IFERROR(__xludf.DUMMYFUNCTION("""COMPUTED_VALUE"""),"AA001410")</f>
        <v>AA001410</v>
      </c>
      <c r="B112" s="205">
        <f ca="1">IFERROR(__xludf.DUMMYFUNCTION("""COMPUTED_VALUE"""),43472)</f>
        <v>43472</v>
      </c>
      <c r="C112" s="205" t="str">
        <f ca="1">IFERROR(__xludf.DUMMYFUNCTION("""COMPUTED_VALUE"""),"AA001313")</f>
        <v>AA001313</v>
      </c>
      <c r="D112" s="205" t="str">
        <f ca="1">IFERROR(__xludf.DUMMYFUNCTION("""COMPUTED_VALUE"""),"AA001313")</f>
        <v>AA001313</v>
      </c>
    </row>
    <row r="113" spans="1:4" ht="15" customHeight="1">
      <c r="A113" s="205" t="str">
        <f ca="1">IFERROR(__xludf.DUMMYFUNCTION("""COMPUTED_VALUE"""),"AA001410")</f>
        <v>AA001410</v>
      </c>
      <c r="B113" s="205">
        <f ca="1">IFERROR(__xludf.DUMMYFUNCTION("""COMPUTED_VALUE"""),43472)</f>
        <v>43472</v>
      </c>
      <c r="C113" s="205" t="str">
        <f ca="1">IFERROR(__xludf.DUMMYFUNCTION("""COMPUTED_VALUE"""),"AA001313")</f>
        <v>AA001313</v>
      </c>
      <c r="D113" s="205" t="str">
        <f ca="1">IFERROR(__xludf.DUMMYFUNCTION("""COMPUTED_VALUE"""),"AA001313")</f>
        <v>AA001313</v>
      </c>
    </row>
    <row r="114" spans="1:4" ht="15" customHeight="1">
      <c r="A114" s="205" t="str">
        <f ca="1">IFERROR(__xludf.DUMMYFUNCTION("""COMPUTED_VALUE"""),"AA001694")</f>
        <v>AA001694</v>
      </c>
      <c r="B114" s="205">
        <f ca="1">IFERROR(__xludf.DUMMYFUNCTION("""COMPUTED_VALUE"""),43472)</f>
        <v>43472</v>
      </c>
      <c r="C114" s="205" t="str">
        <f ca="1">IFERROR(__xludf.DUMMYFUNCTION("""COMPUTED_VALUE"""),"AA001313")</f>
        <v>AA001313</v>
      </c>
      <c r="D114" s="205" t="str">
        <f ca="1">IFERROR(__xludf.DUMMYFUNCTION("""COMPUTED_VALUE"""),"AA001313")</f>
        <v>AA001313</v>
      </c>
    </row>
    <row r="115" spans="1:4" ht="15" customHeight="1">
      <c r="A115" s="205" t="str">
        <f ca="1">IFERROR(__xludf.DUMMYFUNCTION("""COMPUTED_VALUE"""),"AA001694")</f>
        <v>AA001694</v>
      </c>
      <c r="B115" s="205">
        <f ca="1">IFERROR(__xludf.DUMMYFUNCTION("""COMPUTED_VALUE"""),43472)</f>
        <v>43472</v>
      </c>
      <c r="C115" s="205" t="str">
        <f ca="1">IFERROR(__xludf.DUMMYFUNCTION("""COMPUTED_VALUE"""),"AA001313")</f>
        <v>AA001313</v>
      </c>
      <c r="D115" s="205" t="str">
        <f ca="1">IFERROR(__xludf.DUMMYFUNCTION("""COMPUTED_VALUE"""),"AA001313")</f>
        <v>AA001313</v>
      </c>
    </row>
    <row r="116" spans="1:4" ht="15" customHeight="1">
      <c r="A116" s="205" t="str">
        <f ca="1">IFERROR(__xludf.DUMMYFUNCTION("""COMPUTED_VALUE"""),"AA001433")</f>
        <v>AA001433</v>
      </c>
      <c r="B116" s="205">
        <f ca="1">IFERROR(__xludf.DUMMYFUNCTION("""COMPUTED_VALUE"""),43472)</f>
        <v>43472</v>
      </c>
      <c r="C116" s="205" t="str">
        <f ca="1">IFERROR(__xludf.DUMMYFUNCTION("""COMPUTED_VALUE"""),"AA001313")</f>
        <v>AA001313</v>
      </c>
      <c r="D116" s="205" t="str">
        <f ca="1">IFERROR(__xludf.DUMMYFUNCTION("""COMPUTED_VALUE"""),"AA001313")</f>
        <v>AA001313</v>
      </c>
    </row>
    <row r="117" spans="1:4" ht="15" customHeight="1">
      <c r="A117" s="205" t="str">
        <f ca="1">IFERROR(__xludf.DUMMYFUNCTION("""COMPUTED_VALUE"""),"AA001434")</f>
        <v>AA001434</v>
      </c>
      <c r="B117" s="205">
        <f ca="1">IFERROR(__xludf.DUMMYFUNCTION("""COMPUTED_VALUE"""),43472)</f>
        <v>43472</v>
      </c>
      <c r="C117" s="205" t="str">
        <f ca="1">IFERROR(__xludf.DUMMYFUNCTION("""COMPUTED_VALUE"""),"AA001313")</f>
        <v>AA001313</v>
      </c>
      <c r="D117" s="205" t="str">
        <f ca="1">IFERROR(__xludf.DUMMYFUNCTION("""COMPUTED_VALUE"""),"AA001313")</f>
        <v>AA001313</v>
      </c>
    </row>
    <row r="118" spans="1:4" ht="15" customHeight="1">
      <c r="A118" s="205" t="str">
        <f ca="1">IFERROR(__xludf.DUMMYFUNCTION("""COMPUTED_VALUE"""),"AA001683")</f>
        <v>AA001683</v>
      </c>
      <c r="B118" s="205">
        <f ca="1">IFERROR(__xludf.DUMMYFUNCTION("""COMPUTED_VALUE"""),43472)</f>
        <v>43472</v>
      </c>
      <c r="C118" s="205" t="str">
        <f ca="1">IFERROR(__xludf.DUMMYFUNCTION("""COMPUTED_VALUE"""),"AA001313")</f>
        <v>AA001313</v>
      </c>
      <c r="D118" s="205" t="str">
        <f ca="1">IFERROR(__xludf.DUMMYFUNCTION("""COMPUTED_VALUE"""),"AA001313")</f>
        <v>AA001313</v>
      </c>
    </row>
    <row r="119" spans="1:4" ht="15" customHeight="1">
      <c r="A119" s="205" t="str">
        <f ca="1">IFERROR(__xludf.DUMMYFUNCTION("""COMPUTED_VALUE"""),"AA001706")</f>
        <v>AA001706</v>
      </c>
      <c r="B119" s="205">
        <f ca="1">IFERROR(__xludf.DUMMYFUNCTION("""COMPUTED_VALUE"""),43472)</f>
        <v>43472</v>
      </c>
      <c r="C119" s="205" t="str">
        <f ca="1">IFERROR(__xludf.DUMMYFUNCTION("""COMPUTED_VALUE"""),"AA001313")</f>
        <v>AA001313</v>
      </c>
      <c r="D119" s="205" t="str">
        <f ca="1">IFERROR(__xludf.DUMMYFUNCTION("""COMPUTED_VALUE"""),"AA001313")</f>
        <v>AA001313</v>
      </c>
    </row>
    <row r="120" spans="1:4" ht="15" customHeight="1">
      <c r="A120" s="205" t="str">
        <f ca="1">IFERROR(__xludf.DUMMYFUNCTION("""COMPUTED_VALUE"""),"AA001707")</f>
        <v>AA001707</v>
      </c>
      <c r="B120" s="205">
        <f ca="1">IFERROR(__xludf.DUMMYFUNCTION("""COMPUTED_VALUE"""),43476)</f>
        <v>43476</v>
      </c>
      <c r="C120" s="205" t="str">
        <f ca="1">IFERROR(__xludf.DUMMYFUNCTION("""COMPUTED_VALUE"""),"AA001313")</f>
        <v>AA001313</v>
      </c>
      <c r="D120" s="205" t="str">
        <f ca="1">IFERROR(__xludf.DUMMYFUNCTION("""COMPUTED_VALUE"""),"AA001313")</f>
        <v>AA001313</v>
      </c>
    </row>
    <row r="121" spans="1:4" ht="15" customHeight="1">
      <c r="A121" s="205" t="str">
        <f ca="1">IFERROR(__xludf.DUMMYFUNCTION("""COMPUTED_VALUE"""),"AA001660")</f>
        <v>AA001660</v>
      </c>
      <c r="B121" s="205">
        <f ca="1">IFERROR(__xludf.DUMMYFUNCTION("""COMPUTED_VALUE"""),43476)</f>
        <v>43476</v>
      </c>
      <c r="C121" s="205" t="str">
        <f ca="1">IFERROR(__xludf.DUMMYFUNCTION("""COMPUTED_VALUE"""),"AA001313")</f>
        <v>AA001313</v>
      </c>
      <c r="D121" s="205" t="str">
        <f ca="1">IFERROR(__xludf.DUMMYFUNCTION("""COMPUTED_VALUE"""),"AA001313")</f>
        <v>AA001313</v>
      </c>
    </row>
    <row r="122" spans="1:4" ht="15" customHeight="1">
      <c r="A122" s="205" t="str">
        <f ca="1">IFERROR(__xludf.DUMMYFUNCTION("""COMPUTED_VALUE"""),"AA001709")</f>
        <v>AA001709</v>
      </c>
      <c r="B122" s="205">
        <f ca="1">IFERROR(__xludf.DUMMYFUNCTION("""COMPUTED_VALUE"""),43476)</f>
        <v>43476</v>
      </c>
      <c r="C122" s="205" t="str">
        <f ca="1">IFERROR(__xludf.DUMMYFUNCTION("""COMPUTED_VALUE"""),"AA001313")</f>
        <v>AA001313</v>
      </c>
      <c r="D122" s="205" t="str">
        <f ca="1">IFERROR(__xludf.DUMMYFUNCTION("""COMPUTED_VALUE"""),"AA001313")</f>
        <v>AA001313</v>
      </c>
    </row>
    <row r="123" spans="1:4" ht="15" customHeight="1">
      <c r="A123" s="205" t="str">
        <f ca="1">IFERROR(__xludf.DUMMYFUNCTION("""COMPUTED_VALUE"""),"AA001708")</f>
        <v>AA001708</v>
      </c>
      <c r="B123" s="205">
        <f ca="1">IFERROR(__xludf.DUMMYFUNCTION("""COMPUTED_VALUE"""),43476)</f>
        <v>43476</v>
      </c>
      <c r="C123" s="205" t="str">
        <f ca="1">IFERROR(__xludf.DUMMYFUNCTION("""COMPUTED_VALUE"""),"AA001313")</f>
        <v>AA001313</v>
      </c>
      <c r="D123" s="205" t="str">
        <f ca="1">IFERROR(__xludf.DUMMYFUNCTION("""COMPUTED_VALUE"""),"AA001313")</f>
        <v>AA001313</v>
      </c>
    </row>
    <row r="124" spans="1:4" ht="15" customHeight="1">
      <c r="A124" s="205" t="str">
        <f ca="1">IFERROR(__xludf.DUMMYFUNCTION("""COMPUTED_VALUE"""),"AA001643")</f>
        <v>AA001643</v>
      </c>
      <c r="B124" s="205">
        <f ca="1">IFERROR(__xludf.DUMMYFUNCTION("""COMPUTED_VALUE"""),43476)</f>
        <v>43476</v>
      </c>
      <c r="C124" s="205" t="str">
        <f ca="1">IFERROR(__xludf.DUMMYFUNCTION("""COMPUTED_VALUE"""),"AA001313")</f>
        <v>AA001313</v>
      </c>
      <c r="D124" s="205" t="str">
        <f ca="1">IFERROR(__xludf.DUMMYFUNCTION("""COMPUTED_VALUE"""),"AA001313")</f>
        <v>AA001313</v>
      </c>
    </row>
    <row r="125" spans="1:4" ht="15" customHeight="1">
      <c r="A125" s="205" t="str">
        <f ca="1">IFERROR(__xludf.DUMMYFUNCTION("""COMPUTED_VALUE"""),"AA001643")</f>
        <v>AA001643</v>
      </c>
      <c r="B125" s="205">
        <f ca="1">IFERROR(__xludf.DUMMYFUNCTION("""COMPUTED_VALUE"""),43476)</f>
        <v>43476</v>
      </c>
      <c r="C125" s="205" t="str">
        <f ca="1">IFERROR(__xludf.DUMMYFUNCTION("""COMPUTED_VALUE"""),"AA001327")</f>
        <v>AA001327</v>
      </c>
      <c r="D125" s="205" t="str">
        <f ca="1">IFERROR(__xludf.DUMMYFUNCTION("""COMPUTED_VALUE"""),"AA001327")</f>
        <v>AA001327</v>
      </c>
    </row>
    <row r="126" spans="1:4" ht="15" customHeight="1">
      <c r="A126" s="205" t="str">
        <f ca="1">IFERROR(__xludf.DUMMYFUNCTION("""COMPUTED_VALUE"""),"AA001710")</f>
        <v>AA001710</v>
      </c>
      <c r="B126" s="205">
        <f ca="1">IFERROR(__xludf.DUMMYFUNCTION("""COMPUTED_VALUE"""),43476)</f>
        <v>43476</v>
      </c>
      <c r="C126" s="205" t="str">
        <f ca="1">IFERROR(__xludf.DUMMYFUNCTION("""COMPUTED_VALUE"""),"AA001327")</f>
        <v>AA001327</v>
      </c>
      <c r="D126" s="205" t="str">
        <f ca="1">IFERROR(__xludf.DUMMYFUNCTION("""COMPUTED_VALUE"""),"AA001327")</f>
        <v>AA001327</v>
      </c>
    </row>
    <row r="127" spans="1:4" ht="15" customHeight="1">
      <c r="A127" s="205" t="str">
        <f ca="1">IFERROR(__xludf.DUMMYFUNCTION("""COMPUTED_VALUE"""),"AA001718")</f>
        <v>AA001718</v>
      </c>
      <c r="B127" s="205">
        <f ca="1">IFERROR(__xludf.DUMMYFUNCTION("""COMPUTED_VALUE"""),43476)</f>
        <v>43476</v>
      </c>
      <c r="C127" s="205" t="str">
        <f ca="1">IFERROR(__xludf.DUMMYFUNCTION("""COMPUTED_VALUE"""),"AA001327")</f>
        <v>AA001327</v>
      </c>
      <c r="D127" s="205" t="str">
        <f ca="1">IFERROR(__xludf.DUMMYFUNCTION("""COMPUTED_VALUE"""),"AA001327")</f>
        <v>AA001327</v>
      </c>
    </row>
    <row r="128" spans="1:4" ht="15" customHeight="1">
      <c r="A128" s="205" t="str">
        <f ca="1">IFERROR(__xludf.DUMMYFUNCTION("""COMPUTED_VALUE"""),"AA001644")</f>
        <v>AA001644</v>
      </c>
      <c r="B128" s="205">
        <f ca="1">IFERROR(__xludf.DUMMYFUNCTION("""COMPUTED_VALUE"""),43476)</f>
        <v>43476</v>
      </c>
      <c r="C128" s="205" t="str">
        <f ca="1">IFERROR(__xludf.DUMMYFUNCTION("""COMPUTED_VALUE"""),"AA000800")</f>
        <v>AA000800</v>
      </c>
      <c r="D128" s="205" t="str">
        <f ca="1">IFERROR(__xludf.DUMMYFUNCTION("""COMPUTED_VALUE"""),"AA000800")</f>
        <v>AA000800</v>
      </c>
    </row>
    <row r="129" spans="1:4" ht="15" customHeight="1">
      <c r="A129" s="205" t="str">
        <f ca="1">IFERROR(__xludf.DUMMYFUNCTION("""COMPUTED_VALUE"""),"AA001719")</f>
        <v>AA001719</v>
      </c>
      <c r="B129" s="205">
        <f ca="1">IFERROR(__xludf.DUMMYFUNCTION("""COMPUTED_VALUE"""),43476)</f>
        <v>43476</v>
      </c>
      <c r="C129" s="205" t="str">
        <f ca="1">IFERROR(__xludf.DUMMYFUNCTION("""COMPUTED_VALUE"""),"AA000800")</f>
        <v>AA000800</v>
      </c>
      <c r="D129" s="205" t="str">
        <f ca="1">IFERROR(__xludf.DUMMYFUNCTION("""COMPUTED_VALUE"""),"AA000800")</f>
        <v>AA000800</v>
      </c>
    </row>
    <row r="130" spans="1:4" ht="15" customHeight="1">
      <c r="A130" s="205" t="str">
        <f ca="1">IFERROR(__xludf.DUMMYFUNCTION("""COMPUTED_VALUE"""),"AA001658")</f>
        <v>AA001658</v>
      </c>
      <c r="B130" s="205">
        <f ca="1">IFERROR(__xludf.DUMMYFUNCTION("""COMPUTED_VALUE"""),43476)</f>
        <v>43476</v>
      </c>
      <c r="C130" s="205" t="str">
        <f ca="1">IFERROR(__xludf.DUMMYFUNCTION("""COMPUTED_VALUE"""),"AA000800")</f>
        <v>AA000800</v>
      </c>
      <c r="D130" s="205" t="str">
        <f ca="1">IFERROR(__xludf.DUMMYFUNCTION("""COMPUTED_VALUE"""),"AA000800")</f>
        <v>AA000800</v>
      </c>
    </row>
    <row r="131" spans="1:4" ht="15" customHeight="1">
      <c r="A131" s="205" t="str">
        <f ca="1">IFERROR(__xludf.DUMMYFUNCTION("""COMPUTED_VALUE"""),"AA001656")</f>
        <v>AA001656</v>
      </c>
      <c r="B131" s="205">
        <f ca="1">IFERROR(__xludf.DUMMYFUNCTION("""COMPUTED_VALUE"""),43476)</f>
        <v>43476</v>
      </c>
      <c r="C131" s="205" t="str">
        <f ca="1">IFERROR(__xludf.DUMMYFUNCTION("""COMPUTED_VALUE"""),"AA000800")</f>
        <v>AA000800</v>
      </c>
      <c r="D131" s="205" t="str">
        <f ca="1">IFERROR(__xludf.DUMMYFUNCTION("""COMPUTED_VALUE"""),"AA000800")</f>
        <v>AA000800</v>
      </c>
    </row>
    <row r="132" spans="1:4" ht="15" customHeight="1">
      <c r="A132" s="205" t="str">
        <f ca="1">IFERROR(__xludf.DUMMYFUNCTION("""COMPUTED_VALUE"""),"AA001646")</f>
        <v>AA001646</v>
      </c>
      <c r="B132" s="205">
        <f ca="1">IFERROR(__xludf.DUMMYFUNCTION("""COMPUTED_VALUE"""),43480)</f>
        <v>43480</v>
      </c>
      <c r="C132" s="205" t="str">
        <f ca="1">IFERROR(__xludf.DUMMYFUNCTION("""COMPUTED_VALUE"""),"AA000800")</f>
        <v>AA000800</v>
      </c>
      <c r="D132" s="205" t="str">
        <f ca="1">IFERROR(__xludf.DUMMYFUNCTION("""COMPUTED_VALUE"""),"AA000800")</f>
        <v>AA000800</v>
      </c>
    </row>
    <row r="133" spans="1:4" ht="15" customHeight="1">
      <c r="A133" s="205" t="str">
        <f ca="1">IFERROR(__xludf.DUMMYFUNCTION("""COMPUTED_VALUE"""),"AA001657")</f>
        <v>AA001657</v>
      </c>
      <c r="B133" s="205">
        <f ca="1">IFERROR(__xludf.DUMMYFUNCTION("""COMPUTED_VALUE"""),43476)</f>
        <v>43476</v>
      </c>
      <c r="C133" s="205" t="str">
        <f ca="1">IFERROR(__xludf.DUMMYFUNCTION("""COMPUTED_VALUE"""),"AA000800")</f>
        <v>AA000800</v>
      </c>
      <c r="D133" s="205" t="str">
        <f ca="1">IFERROR(__xludf.DUMMYFUNCTION("""COMPUTED_VALUE"""),"AA000800")</f>
        <v>AA000800</v>
      </c>
    </row>
    <row r="134" spans="1:4" ht="15" customHeight="1">
      <c r="A134" s="205" t="str">
        <f ca="1">IFERROR(__xludf.DUMMYFUNCTION("""COMPUTED_VALUE"""),"AA001720")</f>
        <v>AA001720</v>
      </c>
      <c r="B134" s="205">
        <f ca="1">IFERROR(__xludf.DUMMYFUNCTION("""COMPUTED_VALUE"""),43480)</f>
        <v>43480</v>
      </c>
      <c r="C134" s="205" t="str">
        <f ca="1">IFERROR(__xludf.DUMMYFUNCTION("""COMPUTED_VALUE"""),"AA000800")</f>
        <v>AA000800</v>
      </c>
      <c r="D134" s="205" t="str">
        <f ca="1">IFERROR(__xludf.DUMMYFUNCTION("""COMPUTED_VALUE"""),"AA000800")</f>
        <v>AA000800</v>
      </c>
    </row>
    <row r="135" spans="1:4" ht="15" customHeight="1">
      <c r="A135" s="205" t="str">
        <f ca="1">IFERROR(__xludf.DUMMYFUNCTION("""COMPUTED_VALUE"""),"AA001647")</f>
        <v>AA001647</v>
      </c>
      <c r="B135" s="205">
        <f ca="1">IFERROR(__xludf.DUMMYFUNCTION("""COMPUTED_VALUE"""),43480)</f>
        <v>43480</v>
      </c>
      <c r="C135" s="205" t="str">
        <f ca="1">IFERROR(__xludf.DUMMYFUNCTION("""COMPUTED_VALUE"""),"AA000800")</f>
        <v>AA000800</v>
      </c>
      <c r="D135" s="205" t="str">
        <f ca="1">IFERROR(__xludf.DUMMYFUNCTION("""COMPUTED_VALUE"""),"AA000800")</f>
        <v>AA000800</v>
      </c>
    </row>
    <row r="136" spans="1:4" ht="15" customHeight="1">
      <c r="A136" s="205" t="str">
        <f ca="1">IFERROR(__xludf.DUMMYFUNCTION("""COMPUTED_VALUE"""),"AA001430")</f>
        <v>AA001430</v>
      </c>
      <c r="B136" s="205">
        <f ca="1">IFERROR(__xludf.DUMMYFUNCTION("""COMPUTED_VALUE"""),43480)</f>
        <v>43480</v>
      </c>
      <c r="C136" s="205" t="str">
        <f ca="1">IFERROR(__xludf.DUMMYFUNCTION("""COMPUTED_VALUE"""),"AA000800")</f>
        <v>AA000800</v>
      </c>
      <c r="D136" s="205" t="str">
        <f ca="1">IFERROR(__xludf.DUMMYFUNCTION("""COMPUTED_VALUE"""),"AA000800")</f>
        <v>AA000800</v>
      </c>
    </row>
    <row r="137" spans="1:4" ht="15" customHeight="1">
      <c r="A137" s="205" t="str">
        <f ca="1">IFERROR(__xludf.DUMMYFUNCTION("""COMPUTED_VALUE"""),"AA001435")</f>
        <v>AA001435</v>
      </c>
      <c r="B137" s="205">
        <f ca="1">IFERROR(__xludf.DUMMYFUNCTION("""COMPUTED_VALUE"""),43480)</f>
        <v>43480</v>
      </c>
      <c r="C137" s="205" t="str">
        <f ca="1">IFERROR(__xludf.DUMMYFUNCTION("""COMPUTED_VALUE"""),"AA000800")</f>
        <v>AA000800</v>
      </c>
      <c r="D137" s="205" t="str">
        <f ca="1">IFERROR(__xludf.DUMMYFUNCTION("""COMPUTED_VALUE"""),"AA000800")</f>
        <v>AA000800</v>
      </c>
    </row>
    <row r="138" spans="1:4" ht="15" customHeight="1">
      <c r="A138" s="205" t="str">
        <f ca="1">IFERROR(__xludf.DUMMYFUNCTION("""COMPUTED_VALUE"""),"AA001659")</f>
        <v>AA001659</v>
      </c>
      <c r="B138" s="205">
        <f ca="1">IFERROR(__xludf.DUMMYFUNCTION("""COMPUTED_VALUE"""),43480)</f>
        <v>43480</v>
      </c>
      <c r="C138" s="205" t="str">
        <f ca="1">IFERROR(__xludf.DUMMYFUNCTION("""COMPUTED_VALUE"""),"AA000800")</f>
        <v>AA000800</v>
      </c>
      <c r="D138" s="205" t="str">
        <f ca="1">IFERROR(__xludf.DUMMYFUNCTION("""COMPUTED_VALUE"""),"AA000800")</f>
        <v>AA000800</v>
      </c>
    </row>
    <row r="139" spans="1:4" ht="15" customHeight="1">
      <c r="A139" s="205" t="str">
        <f ca="1">IFERROR(__xludf.DUMMYFUNCTION("""COMPUTED_VALUE"""),"AA001659")</f>
        <v>AA001659</v>
      </c>
      <c r="B139" s="205">
        <f ca="1">IFERROR(__xludf.DUMMYFUNCTION("""COMPUTED_VALUE"""),43480)</f>
        <v>43480</v>
      </c>
      <c r="C139" s="205" t="str">
        <f ca="1">IFERROR(__xludf.DUMMYFUNCTION("""COMPUTED_VALUE"""),"AA000800")</f>
        <v>AA000800</v>
      </c>
      <c r="D139" s="205" t="str">
        <f ca="1">IFERROR(__xludf.DUMMYFUNCTION("""COMPUTED_VALUE"""),"AA000800")</f>
        <v>AA000800</v>
      </c>
    </row>
    <row r="140" spans="1:4" ht="15" customHeight="1">
      <c r="A140" s="205" t="str">
        <f ca="1">IFERROR(__xludf.DUMMYFUNCTION("""COMPUTED_VALUE"""),"AA001195")</f>
        <v>AA001195</v>
      </c>
      <c r="B140" s="205">
        <f ca="1">IFERROR(__xludf.DUMMYFUNCTION("""COMPUTED_VALUE"""),43489)</f>
        <v>43489</v>
      </c>
      <c r="C140" s="205" t="str">
        <f ca="1">IFERROR(__xludf.DUMMYFUNCTION("""COMPUTED_VALUE"""),"AA000800")</f>
        <v>AA000800</v>
      </c>
      <c r="D140" s="205" t="str">
        <f ca="1">IFERROR(__xludf.DUMMYFUNCTION("""COMPUTED_VALUE"""),"AA000800")</f>
        <v>AA000800</v>
      </c>
    </row>
    <row r="141" spans="1:4" ht="15" customHeight="1">
      <c r="A141" s="205" t="str">
        <f ca="1">IFERROR(__xludf.DUMMYFUNCTION("""COMPUTED_VALUE"""),"AA001197")</f>
        <v>AA001197</v>
      </c>
      <c r="B141" s="205">
        <f ca="1">IFERROR(__xludf.DUMMYFUNCTION("""COMPUTED_VALUE"""),43490)</f>
        <v>43490</v>
      </c>
      <c r="C141" s="205" t="str">
        <f ca="1">IFERROR(__xludf.DUMMYFUNCTION("""COMPUTED_VALUE"""),"AA000800")</f>
        <v>AA000800</v>
      </c>
      <c r="D141" s="205" t="str">
        <f ca="1">IFERROR(__xludf.DUMMYFUNCTION("""COMPUTED_VALUE"""),"AA000800")</f>
        <v>AA000800</v>
      </c>
    </row>
    <row r="142" spans="1:4" ht="15" customHeight="1">
      <c r="A142" s="205" t="str">
        <f ca="1">IFERROR(__xludf.DUMMYFUNCTION("""COMPUTED_VALUE"""),"AA001197")</f>
        <v>AA001197</v>
      </c>
      <c r="B142" s="205">
        <f ca="1">IFERROR(__xludf.DUMMYFUNCTION("""COMPUTED_VALUE"""),43490)</f>
        <v>43490</v>
      </c>
      <c r="C142" s="205" t="str">
        <f ca="1">IFERROR(__xludf.DUMMYFUNCTION("""COMPUTED_VALUE"""),"AA000800")</f>
        <v>AA000800</v>
      </c>
      <c r="D142" s="205" t="str">
        <f ca="1">IFERROR(__xludf.DUMMYFUNCTION("""COMPUTED_VALUE"""),"AA000800")</f>
        <v>AA000800</v>
      </c>
    </row>
    <row r="143" spans="1:4" ht="15" customHeight="1">
      <c r="A143" s="205" t="str">
        <f ca="1">IFERROR(__xludf.DUMMYFUNCTION("""COMPUTED_VALUE"""),"AA001197")</f>
        <v>AA001197</v>
      </c>
      <c r="B143" s="205">
        <f ca="1">IFERROR(__xludf.DUMMYFUNCTION("""COMPUTED_VALUE"""),43490)</f>
        <v>43490</v>
      </c>
      <c r="C143" s="205" t="str">
        <f ca="1">IFERROR(__xludf.DUMMYFUNCTION("""COMPUTED_VALUE"""),"AA000800")</f>
        <v>AA000800</v>
      </c>
      <c r="D143" s="205" t="str">
        <f ca="1">IFERROR(__xludf.DUMMYFUNCTION("""COMPUTED_VALUE"""),"AA000800")</f>
        <v>AA000800</v>
      </c>
    </row>
    <row r="144" spans="1:4" ht="15" customHeight="1">
      <c r="A144" s="205" t="str">
        <f ca="1">IFERROR(__xludf.DUMMYFUNCTION("""COMPUTED_VALUE"""),"AA001197")</f>
        <v>AA001197</v>
      </c>
      <c r="B144" s="205">
        <f ca="1">IFERROR(__xludf.DUMMYFUNCTION("""COMPUTED_VALUE"""),43490)</f>
        <v>43490</v>
      </c>
      <c r="C144" s="205" t="str">
        <f ca="1">IFERROR(__xludf.DUMMYFUNCTION("""COMPUTED_VALUE"""),"AA000800")</f>
        <v>AA000800</v>
      </c>
      <c r="D144" s="205" t="str">
        <f ca="1">IFERROR(__xludf.DUMMYFUNCTION("""COMPUTED_VALUE"""),"AA000800")</f>
        <v>AA000800</v>
      </c>
    </row>
    <row r="145" spans="1:4" ht="15" customHeight="1">
      <c r="A145" s="205" t="str">
        <f ca="1">IFERROR(__xludf.DUMMYFUNCTION("""COMPUTED_VALUE"""),"AA001197")</f>
        <v>AA001197</v>
      </c>
      <c r="B145" s="205">
        <f ca="1">IFERROR(__xludf.DUMMYFUNCTION("""COMPUTED_VALUE"""),43490)</f>
        <v>43490</v>
      </c>
      <c r="C145" s="205" t="str">
        <f ca="1">IFERROR(__xludf.DUMMYFUNCTION("""COMPUTED_VALUE"""),"AA000800")</f>
        <v>AA000800</v>
      </c>
      <c r="D145" s="205" t="str">
        <f ca="1">IFERROR(__xludf.DUMMYFUNCTION("""COMPUTED_VALUE"""),"AA000800")</f>
        <v>AA000800</v>
      </c>
    </row>
    <row r="146" spans="1:4" ht="15" customHeight="1">
      <c r="A146" s="205" t="str">
        <f ca="1">IFERROR(__xludf.DUMMYFUNCTION("""COMPUTED_VALUE"""),"AA001197")</f>
        <v>AA001197</v>
      </c>
      <c r="B146" s="205">
        <f ca="1">IFERROR(__xludf.DUMMYFUNCTION("""COMPUTED_VALUE"""),43490)</f>
        <v>43490</v>
      </c>
      <c r="C146" s="205" t="str">
        <f ca="1">IFERROR(__xludf.DUMMYFUNCTION("""COMPUTED_VALUE"""),"AA000800")</f>
        <v>AA000800</v>
      </c>
      <c r="D146" s="205" t="str">
        <f ca="1">IFERROR(__xludf.DUMMYFUNCTION("""COMPUTED_VALUE"""),"AA000800")</f>
        <v>AA000800</v>
      </c>
    </row>
    <row r="147" spans="1:4" ht="15" customHeight="1">
      <c r="A147" s="205" t="str">
        <f ca="1">IFERROR(__xludf.DUMMYFUNCTION("""COMPUTED_VALUE"""),"AA001091")</f>
        <v>AA001091</v>
      </c>
      <c r="B147" s="205">
        <f ca="1">IFERROR(__xludf.DUMMYFUNCTION("""COMPUTED_VALUE"""),43486)</f>
        <v>43486</v>
      </c>
      <c r="C147" s="205" t="str">
        <f ca="1">IFERROR(__xludf.DUMMYFUNCTION("""COMPUTED_VALUE"""),"AA000800")</f>
        <v>AA000800</v>
      </c>
      <c r="D147" s="205" t="str">
        <f ca="1">IFERROR(__xludf.DUMMYFUNCTION("""COMPUTED_VALUE"""),"AA000800")</f>
        <v>AA000800</v>
      </c>
    </row>
    <row r="148" spans="1:4" ht="15" customHeight="1">
      <c r="A148" s="205" t="str">
        <f ca="1">IFERROR(__xludf.DUMMYFUNCTION("""COMPUTED_VALUE"""),"AA001356")</f>
        <v>AA001356</v>
      </c>
      <c r="B148" s="205">
        <f ca="1">IFERROR(__xludf.DUMMYFUNCTION("""COMPUTED_VALUE"""),43480)</f>
        <v>43480</v>
      </c>
      <c r="C148" s="205" t="str">
        <f ca="1">IFERROR(__xludf.DUMMYFUNCTION("""COMPUTED_VALUE"""),"AA000800")</f>
        <v>AA000800</v>
      </c>
      <c r="D148" s="205" t="str">
        <f ca="1">IFERROR(__xludf.DUMMYFUNCTION("""COMPUTED_VALUE"""),"AA000800")</f>
        <v>AA000800</v>
      </c>
    </row>
    <row r="149" spans="1:4" ht="15" customHeight="1">
      <c r="A149" s="205" t="str">
        <f ca="1">IFERROR(__xludf.DUMMYFUNCTION("""COMPUTED_VALUE"""),"AA001361")</f>
        <v>AA001361</v>
      </c>
      <c r="B149" s="205">
        <f ca="1">IFERROR(__xludf.DUMMYFUNCTION("""COMPUTED_VALUE"""),43486)</f>
        <v>43486</v>
      </c>
      <c r="C149" s="205" t="str">
        <f ca="1">IFERROR(__xludf.DUMMYFUNCTION("""COMPUTED_VALUE"""),"AA000800")</f>
        <v>AA000800</v>
      </c>
      <c r="D149" s="205" t="str">
        <f ca="1">IFERROR(__xludf.DUMMYFUNCTION("""COMPUTED_VALUE"""),"AA000800")</f>
        <v>AA000800</v>
      </c>
    </row>
    <row r="150" spans="1:4" ht="15" customHeight="1">
      <c r="A150" s="205" t="str">
        <f ca="1">IFERROR(__xludf.DUMMYFUNCTION("""COMPUTED_VALUE"""),"AA001359")</f>
        <v>AA001359</v>
      </c>
      <c r="B150" s="205">
        <f ca="1">IFERROR(__xludf.DUMMYFUNCTION("""COMPUTED_VALUE"""),43482)</f>
        <v>43482</v>
      </c>
      <c r="C150" s="205" t="str">
        <f ca="1">IFERROR(__xludf.DUMMYFUNCTION("""COMPUTED_VALUE"""),"AA000800")</f>
        <v>AA000800</v>
      </c>
      <c r="D150" s="205" t="str">
        <f ca="1">IFERROR(__xludf.DUMMYFUNCTION("""COMPUTED_VALUE"""),"AA000800")</f>
        <v>AA000800</v>
      </c>
    </row>
    <row r="151" spans="1:4" ht="15" customHeight="1">
      <c r="A151" s="205" t="str">
        <f ca="1">IFERROR(__xludf.DUMMYFUNCTION("""COMPUTED_VALUE"""),"AA001363")</f>
        <v>AA001363</v>
      </c>
      <c r="B151" s="205">
        <f ca="1">IFERROR(__xludf.DUMMYFUNCTION("""COMPUTED_VALUE"""),43482)</f>
        <v>43482</v>
      </c>
      <c r="C151" s="205" t="str">
        <f ca="1">IFERROR(__xludf.DUMMYFUNCTION("""COMPUTED_VALUE"""),"AA000800")</f>
        <v>AA000800</v>
      </c>
      <c r="D151" s="205" t="str">
        <f ca="1">IFERROR(__xludf.DUMMYFUNCTION("""COMPUTED_VALUE"""),"AA000800")</f>
        <v>AA000800</v>
      </c>
    </row>
    <row r="152" spans="1:4" ht="15" customHeight="1">
      <c r="A152" s="205" t="str">
        <f ca="1">IFERROR(__xludf.DUMMYFUNCTION("""COMPUTED_VALUE"""),"AA001685")</f>
        <v>AA001685</v>
      </c>
      <c r="B152" s="205">
        <f ca="1">IFERROR(__xludf.DUMMYFUNCTION("""COMPUTED_VALUE"""),43482)</f>
        <v>43482</v>
      </c>
      <c r="C152" s="205" t="str">
        <f ca="1">IFERROR(__xludf.DUMMYFUNCTION("""COMPUTED_VALUE"""),"AA000800")</f>
        <v>AA000800</v>
      </c>
      <c r="D152" s="205" t="str">
        <f ca="1">IFERROR(__xludf.DUMMYFUNCTION("""COMPUTED_VALUE"""),"AA000800")</f>
        <v>AA000800</v>
      </c>
    </row>
    <row r="153" spans="1:4" ht="15" customHeight="1">
      <c r="A153" s="205" t="str">
        <f ca="1">IFERROR(__xludf.DUMMYFUNCTION("""COMPUTED_VALUE"""),"AA001730")</f>
        <v>AA001730</v>
      </c>
      <c r="B153" s="205">
        <f ca="1">IFERROR(__xludf.DUMMYFUNCTION("""COMPUTED_VALUE"""),43486)</f>
        <v>43486</v>
      </c>
      <c r="C153" s="205" t="str">
        <f ca="1">IFERROR(__xludf.DUMMYFUNCTION("""COMPUTED_VALUE"""),"AA000800")</f>
        <v>AA000800</v>
      </c>
      <c r="D153" s="205" t="str">
        <f ca="1">IFERROR(__xludf.DUMMYFUNCTION("""COMPUTED_VALUE"""),"AA000800")</f>
        <v>AA000800</v>
      </c>
    </row>
    <row r="154" spans="1:4" ht="15" customHeight="1">
      <c r="A154" s="205" t="str">
        <f ca="1">IFERROR(__xludf.DUMMYFUNCTION("""COMPUTED_VALUE"""),"AA001077")</f>
        <v>AA001077</v>
      </c>
      <c r="B154" s="205">
        <f ca="1">IFERROR(__xludf.DUMMYFUNCTION("""COMPUTED_VALUE"""),43486)</f>
        <v>43486</v>
      </c>
      <c r="C154" s="205" t="str">
        <f ca="1">IFERROR(__xludf.DUMMYFUNCTION("""COMPUTED_VALUE"""),"AA000800")</f>
        <v>AA000800</v>
      </c>
      <c r="D154" s="205" t="str">
        <f ca="1">IFERROR(__xludf.DUMMYFUNCTION("""COMPUTED_VALUE"""),"AA000800")</f>
        <v>AA000800</v>
      </c>
    </row>
    <row r="155" spans="1:4" ht="15" customHeight="1">
      <c r="A155" s="205" t="str">
        <f ca="1">IFERROR(__xludf.DUMMYFUNCTION("""COMPUTED_VALUE"""),"AA001372")</f>
        <v>AA001372</v>
      </c>
      <c r="B155" s="205">
        <f ca="1">IFERROR(__xludf.DUMMYFUNCTION("""COMPUTED_VALUE"""),43486)</f>
        <v>43486</v>
      </c>
      <c r="C155" s="205" t="str">
        <f ca="1">IFERROR(__xludf.DUMMYFUNCTION("""COMPUTED_VALUE"""),"AA000800")</f>
        <v>AA000800</v>
      </c>
      <c r="D155" s="205" t="str">
        <f ca="1">IFERROR(__xludf.DUMMYFUNCTION("""COMPUTED_VALUE"""),"AA000800")</f>
        <v>AA000800</v>
      </c>
    </row>
    <row r="156" spans="1:4" ht="15" customHeight="1">
      <c r="A156" s="205" t="str">
        <f ca="1">IFERROR(__xludf.DUMMYFUNCTION("""COMPUTED_VALUE"""),"AA001369")</f>
        <v>AA001369</v>
      </c>
      <c r="B156" s="205">
        <f ca="1">IFERROR(__xludf.DUMMYFUNCTION("""COMPUTED_VALUE"""),43486)</f>
        <v>43486</v>
      </c>
      <c r="C156" s="205" t="str">
        <f ca="1">IFERROR(__xludf.DUMMYFUNCTION("""COMPUTED_VALUE"""),"AA000800")</f>
        <v>AA000800</v>
      </c>
      <c r="D156" s="205" t="str">
        <f ca="1">IFERROR(__xludf.DUMMYFUNCTION("""COMPUTED_VALUE"""),"AA000800")</f>
        <v>AA000800</v>
      </c>
    </row>
    <row r="157" spans="1:4" ht="15" customHeight="1">
      <c r="A157" s="205" t="str">
        <f ca="1">IFERROR(__xludf.DUMMYFUNCTION("""COMPUTED_VALUE"""),"AA001369")</f>
        <v>AA001369</v>
      </c>
      <c r="B157" s="205">
        <f ca="1">IFERROR(__xludf.DUMMYFUNCTION("""COMPUTED_VALUE"""),43486)</f>
        <v>43486</v>
      </c>
      <c r="C157" s="205" t="str">
        <f ca="1">IFERROR(__xludf.DUMMYFUNCTION("""COMPUTED_VALUE"""),"AA000800")</f>
        <v>AA000800</v>
      </c>
      <c r="D157" s="205" t="str">
        <f ca="1">IFERROR(__xludf.DUMMYFUNCTION("""COMPUTED_VALUE"""),"AA000800")</f>
        <v>AA000800</v>
      </c>
    </row>
    <row r="158" spans="1:4" ht="15" customHeight="1">
      <c r="A158" s="205" t="str">
        <f ca="1">IFERROR(__xludf.DUMMYFUNCTION("""COMPUTED_VALUE"""),"AA001369")</f>
        <v>AA001369</v>
      </c>
      <c r="B158" s="205">
        <f ca="1">IFERROR(__xludf.DUMMYFUNCTION("""COMPUTED_VALUE"""),43486)</f>
        <v>43486</v>
      </c>
      <c r="C158" s="205" t="str">
        <f ca="1">IFERROR(__xludf.DUMMYFUNCTION("""COMPUTED_VALUE"""),"AA000800")</f>
        <v>AA000800</v>
      </c>
      <c r="D158" s="205" t="str">
        <f ca="1">IFERROR(__xludf.DUMMYFUNCTION("""COMPUTED_VALUE"""),"AA000800")</f>
        <v>AA000800</v>
      </c>
    </row>
    <row r="159" spans="1:4" ht="15" customHeight="1">
      <c r="A159" s="205" t="str">
        <f ca="1">IFERROR(__xludf.DUMMYFUNCTION("""COMPUTED_VALUE"""),"AA001367")</f>
        <v>AA001367</v>
      </c>
      <c r="B159" s="205">
        <f ca="1">IFERROR(__xludf.DUMMYFUNCTION("""COMPUTED_VALUE"""),43486)</f>
        <v>43486</v>
      </c>
      <c r="C159" s="205" t="str">
        <f ca="1">IFERROR(__xludf.DUMMYFUNCTION("""COMPUTED_VALUE"""),"AA000800")</f>
        <v>AA000800</v>
      </c>
      <c r="D159" s="205" t="str">
        <f ca="1">IFERROR(__xludf.DUMMYFUNCTION("""COMPUTED_VALUE"""),"AA000800")</f>
        <v>AA000800</v>
      </c>
    </row>
    <row r="160" spans="1:4" ht="15" customHeight="1">
      <c r="A160" s="205" t="str">
        <f ca="1">IFERROR(__xludf.DUMMYFUNCTION("""COMPUTED_VALUE"""),"AA001687")</f>
        <v>AA001687</v>
      </c>
      <c r="B160" s="205">
        <f ca="1">IFERROR(__xludf.DUMMYFUNCTION("""COMPUTED_VALUE"""),43486)</f>
        <v>43486</v>
      </c>
      <c r="C160" s="205" t="str">
        <f ca="1">IFERROR(__xludf.DUMMYFUNCTION("""COMPUTED_VALUE"""),"AA000800")</f>
        <v>AA000800</v>
      </c>
      <c r="D160" s="205" t="str">
        <f ca="1">IFERROR(__xludf.DUMMYFUNCTION("""COMPUTED_VALUE"""),"AA000800")</f>
        <v>AA000800</v>
      </c>
    </row>
    <row r="161" spans="1:4" ht="15" customHeight="1">
      <c r="A161" s="205" t="str">
        <f ca="1">IFERROR(__xludf.DUMMYFUNCTION("""COMPUTED_VALUE"""),"AA001383")</f>
        <v>AA001383</v>
      </c>
      <c r="B161" s="205">
        <f ca="1">IFERROR(__xludf.DUMMYFUNCTION("""COMPUTED_VALUE"""),43486)</f>
        <v>43486</v>
      </c>
      <c r="C161" s="205" t="str">
        <f ca="1">IFERROR(__xludf.DUMMYFUNCTION("""COMPUTED_VALUE"""),"AA000800")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ns="1:4" ht="15" customHeight="1">
      <c r="A162" s="205" t="str">
        <f ca="1">IFERROR(__xludf.DUMMYFUNCTION("""COMPUTED_VALUE"""),"AA001383")</f>
        <v>AA001383</v>
      </c>
      <c r="B162" s="205">
        <f ca="1">IFERROR(__xludf.DUMMYFUNCTION("""COMPUTED_VALUE"""),43486)</f>
        <v>43486</v>
      </c>
      <c r="C162" s="205" t="str">
        <f ca="1">IFERROR(__xludf.DUMMYFUNCTION("""COMPUTED_VALUE"""),"AA000800")</f>
        <v>AA000800</v>
      </c>
      <c r="D162" s="205" t="str">
        <f ca="1">IFERROR(__xludf.DUMMYFUNCTION("""COMPUTED_VALUE"""),"AA000800")</f>
        <v>AA000800</v>
      </c>
    </row>
    <row r="163" spans="1:4" ht="15" customHeight="1">
      <c r="A163" s="205" t="str">
        <f ca="1">IFERROR(__xludf.DUMMYFUNCTION("""COMPUTED_VALUE"""),"AA001384")</f>
        <v>AA001384</v>
      </c>
      <c r="B163" s="205">
        <f ca="1">IFERROR(__xludf.DUMMYFUNCTION("""COMPUTED_VALUE"""),43486)</f>
        <v>43486</v>
      </c>
      <c r="C163" s="205" t="str">
        <f ca="1">IFERROR(__xludf.DUMMYFUNCTION("""COMPUTED_VALUE"""),"AA000800")</f>
        <v>AA000800</v>
      </c>
      <c r="D163" s="205" t="str">
        <f ca="1">IFERROR(__xludf.DUMMYFUNCTION("""COMPUTED_VALUE"""),"AA000800")</f>
        <v>AA000800</v>
      </c>
    </row>
    <row r="164" spans="1:4" ht="15" customHeight="1">
      <c r="A164" s="205" t="str">
        <f ca="1">IFERROR(__xludf.DUMMYFUNCTION("""COMPUTED_VALUE"""),"AA001728")</f>
        <v>AA001728</v>
      </c>
      <c r="B164" s="205">
        <f ca="1">IFERROR(__xludf.DUMMYFUNCTION("""COMPUTED_VALUE"""),43486)</f>
        <v>43486</v>
      </c>
      <c r="C164" s="205" t="str">
        <f ca="1">IFERROR(__xludf.DUMMYFUNCTION("""COMPUTED_VALUE"""),"AA000800")</f>
        <v>AA000800</v>
      </c>
      <c r="D164" s="205" t="str">
        <f ca="1">IFERROR(__xludf.DUMMYFUNCTION("""COMPUTED_VALUE"""),"AA000800")</f>
        <v>AA000800</v>
      </c>
    </row>
    <row r="165" spans="1:4" ht="15" customHeight="1">
      <c r="A165" s="205" t="str">
        <f ca="1">IFERROR(__xludf.DUMMYFUNCTION("""COMPUTED_VALUE"""),"AA001689")</f>
        <v>AA001689</v>
      </c>
      <c r="B165" s="205">
        <f ca="1">IFERROR(__xludf.DUMMYFUNCTION("""COMPUTED_VALUE"""),43489)</f>
        <v>43489</v>
      </c>
      <c r="C165" s="205" t="str">
        <f ca="1">IFERROR(__xludf.DUMMYFUNCTION("""COMPUTED_VALUE"""),"AA000800")</f>
        <v>AA000800</v>
      </c>
      <c r="D165" s="205" t="str">
        <f ca="1">IFERROR(__xludf.DUMMYFUNCTION("""COMPUTED_VALUE"""),"AA000800")</f>
        <v>AA000800</v>
      </c>
    </row>
    <row r="166" spans="1:4" ht="15" customHeight="1">
      <c r="A166" s="205" t="str">
        <f ca="1">IFERROR(__xludf.DUMMYFUNCTION("""COMPUTED_VALUE"""),"AA001690")</f>
        <v>AA001690</v>
      </c>
      <c r="B166" s="205">
        <f ca="1">IFERROR(__xludf.DUMMYFUNCTION("""COMPUTED_VALUE"""),43489)</f>
        <v>43489</v>
      </c>
      <c r="C166" s="205" t="str">
        <f ca="1">IFERROR(__xludf.DUMMYFUNCTION("""COMPUTED_VALUE"""),"AA000800")</f>
        <v>AA000800</v>
      </c>
      <c r="D166" s="205" t="str">
        <f ca="1">IFERROR(__xludf.DUMMYFUNCTION("""COMPUTED_VALUE"""),"AA000800")</f>
        <v>AA000800</v>
      </c>
    </row>
    <row r="167" spans="1:4" ht="15" customHeight="1">
      <c r="A167" s="205" t="str">
        <f ca="1">IFERROR(__xludf.DUMMYFUNCTION("""COMPUTED_VALUE"""),"AA001377")</f>
        <v>AA001377</v>
      </c>
      <c r="B167" s="205">
        <f ca="1">IFERROR(__xludf.DUMMYFUNCTION("""COMPUTED_VALUE"""),43490)</f>
        <v>43490</v>
      </c>
      <c r="C167" s="205" t="str">
        <f ca="1">IFERROR(__xludf.DUMMYFUNCTION("""COMPUTED_VALUE"""),"AA000800")</f>
        <v>AA000800</v>
      </c>
      <c r="D167" s="205" t="str">
        <f ca="1">IFERROR(__xludf.DUMMYFUNCTION("""COMPUTED_VALUE"""),"AA000800")</f>
        <v>AA000800</v>
      </c>
    </row>
    <row r="168" spans="1:4" ht="15" customHeight="1">
      <c r="A168" s="205" t="str">
        <f ca="1">IFERROR(__xludf.DUMMYFUNCTION("""COMPUTED_VALUE"""),"AA001377")</f>
        <v>AA001377</v>
      </c>
      <c r="B168" s="205">
        <f ca="1">IFERROR(__xludf.DUMMYFUNCTION("""COMPUTED_VALUE"""),43490)</f>
        <v>43490</v>
      </c>
      <c r="C168" s="205" t="str">
        <f ca="1">IFERROR(__xludf.DUMMYFUNCTION("""COMPUTED_VALUE"""),"AA000800")</f>
        <v>AA000800</v>
      </c>
      <c r="D168" s="205" t="str">
        <f ca="1">IFERROR(__xludf.DUMMYFUNCTION("""COMPUTED_VALUE"""),"AA000800")</f>
        <v>AA000800</v>
      </c>
    </row>
    <row r="169" spans="1:4" ht="15" customHeight="1">
      <c r="A169" s="205" t="str">
        <f ca="1">IFERROR(__xludf.DUMMYFUNCTION("""COMPUTED_VALUE"""),"AA001388")</f>
        <v>AA001388</v>
      </c>
      <c r="B169" s="205">
        <f ca="1">IFERROR(__xludf.DUMMYFUNCTION("""COMPUTED_VALUE"""),43490)</f>
        <v>43490</v>
      </c>
      <c r="C169" s="205" t="str">
        <f ca="1">IFERROR(__xludf.DUMMYFUNCTION("""COMPUTED_VALUE"""),"AA000800")</f>
        <v>AA000800</v>
      </c>
      <c r="D169" s="205" t="str">
        <f ca="1">IFERROR(__xludf.DUMMYFUNCTION("""COMPUTED_VALUE"""),"AA000800")</f>
        <v>AA000800</v>
      </c>
    </row>
    <row r="170" spans="1:4" ht="15" customHeight="1">
      <c r="A170" s="205" t="str">
        <f ca="1">IFERROR(__xludf.DUMMYFUNCTION("""COMPUTED_VALUE"""),"AA001388")</f>
        <v>AA001388</v>
      </c>
      <c r="B170" s="205">
        <f ca="1">IFERROR(__xludf.DUMMYFUNCTION("""COMPUTED_VALUE"""),43490)</f>
        <v>43490</v>
      </c>
      <c r="C170" s="205" t="str">
        <f ca="1">IFERROR(__xludf.DUMMYFUNCTION("""COMPUTED_VALUE"""),"AA000800")</f>
        <v>AA000800</v>
      </c>
      <c r="D170" s="205" t="str">
        <f ca="1">IFERROR(__xludf.DUMMYFUNCTION("""COMPUTED_VALUE"""),"AA000800")</f>
        <v>AA000800</v>
      </c>
    </row>
    <row r="171" spans="1:4" ht="15" customHeight="1">
      <c r="A171" s="205" t="str">
        <f ca="1">IFERROR(__xludf.DUMMYFUNCTION("""COMPUTED_VALUE"""),"AA001378")</f>
        <v>AA001378</v>
      </c>
      <c r="B171" s="205">
        <f ca="1">IFERROR(__xludf.DUMMYFUNCTION("""COMPUTED_VALUE"""),43489)</f>
        <v>43489</v>
      </c>
      <c r="C171" s="205" t="str">
        <f ca="1">IFERROR(__xludf.DUMMYFUNCTION("""COMPUTED_VALUE"""),"AA000800")</f>
        <v>AA000800</v>
      </c>
      <c r="D171" s="205" t="str">
        <f ca="1">IFERROR(__xludf.DUMMYFUNCTION("""COMPUTED_VALUE"""),"AA000800")</f>
        <v>AA000800</v>
      </c>
    </row>
    <row r="172" spans="1:4" ht="15" customHeight="1">
      <c r="A172" s="205" t="str">
        <f ca="1">IFERROR(__xludf.DUMMYFUNCTION("""COMPUTED_VALUE"""),"AA001378")</f>
        <v>AA001378</v>
      </c>
      <c r="B172" s="205">
        <f ca="1">IFERROR(__xludf.DUMMYFUNCTION("""COMPUTED_VALUE"""),43489)</f>
        <v>43489</v>
      </c>
      <c r="C172" s="205" t="str">
        <f ca="1">IFERROR(__xludf.DUMMYFUNCTION("""COMPUTED_VALUE"""),"AA000800")</f>
        <v>AA000800</v>
      </c>
      <c r="D172" s="205" t="str">
        <f ca="1">IFERROR(__xludf.DUMMYFUNCTION("""COMPUTED_VALUE"""),"AA000800")</f>
        <v>AA000800</v>
      </c>
    </row>
    <row r="173" spans="1:4" ht="15" customHeight="1">
      <c r="A173" s="205" t="str">
        <f ca="1">IFERROR(__xludf.DUMMYFUNCTION("""COMPUTED_VALUE"""),"AA001744")</f>
        <v>AA001744</v>
      </c>
      <c r="B173" s="205">
        <f ca="1">IFERROR(__xludf.DUMMYFUNCTION("""COMPUTED_VALUE"""),43489)</f>
        <v>43489</v>
      </c>
      <c r="C173" s="205" t="str">
        <f ca="1">IFERROR(__xludf.DUMMYFUNCTION("""COMPUTED_VALUE"""),"AA001290")</f>
        <v>AA001290</v>
      </c>
      <c r="D173" s="205" t="str">
        <f ca="1">IFERROR(__xludf.DUMMYFUNCTION("""COMPUTED_VALUE"""),"AA001290")</f>
        <v>AA001290</v>
      </c>
    </row>
    <row r="174" spans="1:4" ht="15" customHeight="1">
      <c r="A174" s="205" t="str">
        <f ca="1">IFERROR(__xludf.DUMMYFUNCTION("""COMPUTED_VALUE"""),"AA001744")</f>
        <v>AA001744</v>
      </c>
      <c r="B174" s="205">
        <f ca="1">IFERROR(__xludf.DUMMYFUNCTION("""COMPUTED_VALUE"""),43489)</f>
        <v>43489</v>
      </c>
      <c r="C174" s="205" t="str">
        <f ca="1">IFERROR(__xludf.DUMMYFUNCTION("""COMPUTED_VALUE"""),"AA001276")</f>
        <v>AA001276</v>
      </c>
      <c r="D174" s="205" t="str">
        <f ca="1">IFERROR(__xludf.DUMMYFUNCTION("""COMPUTED_VALUE"""),"AA001276")</f>
        <v>AA001276</v>
      </c>
    </row>
    <row r="175" spans="1:4" ht="15" customHeight="1">
      <c r="A175" s="205" t="str">
        <f ca="1">IFERROR(__xludf.DUMMYFUNCTION("""COMPUTED_VALUE"""),"AA001392")</f>
        <v>AA001392</v>
      </c>
      <c r="B175" s="205">
        <f ca="1">IFERROR(__xludf.DUMMYFUNCTION("""COMPUTED_VALUE"""),43489)</f>
        <v>43489</v>
      </c>
      <c r="C175" s="205" t="str">
        <f ca="1">IFERROR(__xludf.DUMMYFUNCTION("""COMPUTED_VALUE"""),"AA001276")</f>
        <v>AA001276</v>
      </c>
      <c r="D175" s="205" t="str">
        <f ca="1">IFERROR(__xludf.DUMMYFUNCTION("""COMPUTED_VALUE"""),"AA001276")</f>
        <v>AA001276</v>
      </c>
    </row>
    <row r="176" spans="1:4" ht="15" customHeight="1">
      <c r="A176" s="205" t="str">
        <f ca="1">IFERROR(__xludf.DUMMYFUNCTION("""COMPUTED_VALUE"""),"AA001385")</f>
        <v>AA001385</v>
      </c>
      <c r="B176" s="205">
        <f ca="1">IFERROR(__xludf.DUMMYFUNCTION("""COMPUTED_VALUE"""),43490)</f>
        <v>43490</v>
      </c>
      <c r="C176" s="205" t="str">
        <f ca="1">IFERROR(__xludf.DUMMYFUNCTION("""COMPUTED_VALUE"""),"AA001276")</f>
        <v>AA001276</v>
      </c>
      <c r="D176" s="205" t="str">
        <f ca="1">IFERROR(__xludf.DUMMYFUNCTION("""COMPUTED_VALUE"""),"AA001276")</f>
        <v>AA001276</v>
      </c>
    </row>
    <row r="177" spans="1:4" ht="15" customHeight="1">
      <c r="A177" s="205" t="str">
        <f ca="1">IFERROR(__xludf.DUMMYFUNCTION("""COMPUTED_VALUE"""),"AA001394")</f>
        <v>AA001394</v>
      </c>
      <c r="B177" s="205">
        <f ca="1">IFERROR(__xludf.DUMMYFUNCTION("""COMPUTED_VALUE"""),43490)</f>
        <v>43490</v>
      </c>
      <c r="C177" s="205" t="str">
        <f ca="1">IFERROR(__xludf.DUMMYFUNCTION("""COMPUTED_VALUE"""),"AA001276")</f>
        <v>AA001276</v>
      </c>
      <c r="D177" s="205" t="str">
        <f ca="1">IFERROR(__xludf.DUMMYFUNCTION("""COMPUTED_VALUE"""),"AA001276")</f>
        <v>AA001276</v>
      </c>
    </row>
    <row r="178" spans="1:4" ht="15" customHeight="1">
      <c r="A178" s="205" t="str">
        <f ca="1">IFERROR(__xludf.DUMMYFUNCTION("""COMPUTED_VALUE"""),"AA001394")</f>
        <v>AA001394</v>
      </c>
      <c r="B178" s="205">
        <f ca="1">IFERROR(__xludf.DUMMYFUNCTION("""COMPUTED_VALUE"""),43490)</f>
        <v>43490</v>
      </c>
      <c r="C178" s="205" t="str">
        <f ca="1">IFERROR(__xludf.DUMMYFUNCTION("""COMPUTED_VALUE"""),"AA001291")</f>
        <v>AA001291</v>
      </c>
      <c r="D178" s="205" t="str">
        <f ca="1">IFERROR(__xludf.DUMMYFUNCTION("""COMPUTED_VALUE"""),"AA001291")</f>
        <v>AA001291</v>
      </c>
    </row>
    <row r="179" spans="1:4" ht="15" customHeight="1">
      <c r="A179" s="205" t="str">
        <f ca="1">IFERROR(__xludf.DUMMYFUNCTION("""COMPUTED_VALUE"""),"AA001615")</f>
        <v>AA001615</v>
      </c>
      <c r="B179" s="205">
        <f ca="1">IFERROR(__xludf.DUMMYFUNCTION("""COMPUTED_VALUE"""),43475)</f>
        <v>43475</v>
      </c>
      <c r="C179" s="205" t="str">
        <f ca="1">IFERROR(__xludf.DUMMYFUNCTION("""COMPUTED_VALUE"""),"AA001292")</f>
        <v>AA001292</v>
      </c>
      <c r="D179" s="205" t="str">
        <f ca="1">IFERROR(__xludf.DUMMYFUNCTION("""COMPUTED_VALUE"""),"AA001292")</f>
        <v>AA001292</v>
      </c>
    </row>
    <row r="180" spans="1:4" ht="15" customHeight="1">
      <c r="A180" s="205" t="str">
        <f ca="1">IFERROR(__xludf.DUMMYFUNCTION("""COMPUTED_VALUE"""),"AA001616")</f>
        <v>AA001616</v>
      </c>
      <c r="B180" s="205">
        <f ca="1">IFERROR(__xludf.DUMMYFUNCTION("""COMPUTED_VALUE"""),43516)</f>
        <v>43516</v>
      </c>
      <c r="C180" s="205" t="str">
        <f ca="1">IFERROR(__xludf.DUMMYFUNCTION("""COMPUTED_VALUE"""),"AA000800")</f>
        <v>AA000800</v>
      </c>
      <c r="D180" s="205" t="str">
        <f ca="1">IFERROR(__xludf.DUMMYFUNCTION("""COMPUTED_VALUE"""),"AA000800")</f>
        <v>AA000800</v>
      </c>
    </row>
    <row r="181" spans="1:4" ht="15" customHeight="1">
      <c r="A181" s="205" t="str">
        <f ca="1">IFERROR(__xludf.DUMMYFUNCTION("""COMPUTED_VALUE"""),"AA000000")</f>
        <v>AA000000</v>
      </c>
      <c r="B181" s="205">
        <f ca="1">IFERROR(__xludf.DUMMYFUNCTION("""COMPUTED_VALUE"""),43493)</f>
        <v>43493</v>
      </c>
      <c r="C181" s="205" t="str">
        <f ca="1">IFERROR(__xludf.DUMMYFUNCTION("""COMPUTED_VALUE"""),"AA001517")</f>
        <v>AA001517</v>
      </c>
      <c r="D181" s="205" t="str">
        <f ca="1">IFERROR(__xludf.DUMMYFUNCTION("""COMPUTED_VALUE"""),"AA001517")</f>
        <v>AA001517</v>
      </c>
    </row>
    <row r="182" spans="1:4" ht="15" customHeight="1">
      <c r="A182" s="205" t="str">
        <f ca="1">IFERROR(__xludf.DUMMYFUNCTION("""COMPUTED_VALUE"""),"AA001106")</f>
        <v>AA001106</v>
      </c>
      <c r="B182" s="205">
        <f ca="1">IFERROR(__xludf.DUMMYFUNCTION("""COMPUTED_VALUE"""),43494)</f>
        <v>43494</v>
      </c>
      <c r="C182" s="205" t="str">
        <f ca="1">IFERROR(__xludf.DUMMYFUNCTION("""COMPUTED_VALUE"""),"AA001286")</f>
        <v>AA001286</v>
      </c>
      <c r="D182" s="205" t="str">
        <f ca="1">IFERROR(__xludf.DUMMYFUNCTION("""COMPUTED_VALUE"""),"AA001286")</f>
        <v>AA001286</v>
      </c>
    </row>
    <row r="183" spans="1:4" ht="15" customHeight="1">
      <c r="A183" s="205" t="str">
        <f ca="1">IFERROR(__xludf.DUMMYFUNCTION("""COMPUTED_VALUE"""),"AA001726")</f>
        <v>AA001726</v>
      </c>
      <c r="B183" s="205">
        <f ca="1">IFERROR(__xludf.DUMMYFUNCTION("""COMPUTED_VALUE"""),43494)</f>
        <v>43494</v>
      </c>
      <c r="C183" s="205" t="str">
        <f ca="1">IFERROR(__xludf.DUMMYFUNCTION("""COMPUTED_VALUE"""),"AA001531")</f>
        <v>AA001531</v>
      </c>
      <c r="D183" s="205" t="str">
        <f ca="1">IFERROR(__xludf.DUMMYFUNCTION("""COMPUTED_VALUE"""),"AA001531")</f>
        <v>AA001531</v>
      </c>
    </row>
    <row r="184" spans="1:4" ht="15" customHeight="1">
      <c r="A184" s="205" t="str">
        <f ca="1">IFERROR(__xludf.DUMMYFUNCTION("""COMPUTED_VALUE"""),"AA001726")</f>
        <v>AA001726</v>
      </c>
      <c r="B184" s="205">
        <f ca="1">IFERROR(__xludf.DUMMYFUNCTION("""COMPUTED_VALUE"""),43494)</f>
        <v>43494</v>
      </c>
      <c r="C184" s="205" t="str">
        <f ca="1">IFERROR(__xludf.DUMMYFUNCTION("""COMPUTED_VALUE"""),"AA001467")</f>
        <v>AA001467</v>
      </c>
      <c r="D184" s="205" t="str">
        <f ca="1">IFERROR(__xludf.DUMMYFUNCTION("""COMPUTED_VALUE"""),"AA001467")</f>
        <v>AA001467</v>
      </c>
    </row>
    <row r="185" spans="1:4" ht="15" customHeight="1">
      <c r="A185" s="205" t="str">
        <f ca="1">IFERROR(__xludf.DUMMYFUNCTION("""COMPUTED_VALUE"""),"AA001726")</f>
        <v>AA001726</v>
      </c>
      <c r="B185" s="205">
        <f ca="1">IFERROR(__xludf.DUMMYFUNCTION("""COMPUTED_VALUE"""),43494)</f>
        <v>43494</v>
      </c>
      <c r="C185" s="205" t="str">
        <f ca="1">IFERROR(__xludf.DUMMYFUNCTION("""COMPUTED_VALUE"""),"AA001467")</f>
        <v>AA001467</v>
      </c>
      <c r="D185" s="205" t="str">
        <f ca="1">IFERROR(__xludf.DUMMYFUNCTION("""COMPUTED_VALUE"""),"AA001467")</f>
        <v>AA001467</v>
      </c>
    </row>
    <row r="186" spans="1:4" ht="15" customHeight="1">
      <c r="A186" s="205" t="str">
        <f ca="1">IFERROR(__xludf.DUMMYFUNCTION("""COMPUTED_VALUE"""),"AA001726")</f>
        <v>AA001726</v>
      </c>
      <c r="B186" s="205">
        <f ca="1">IFERROR(__xludf.DUMMYFUNCTION("""COMPUTED_VALUE"""),43494)</f>
        <v>43494</v>
      </c>
      <c r="C186" s="205" t="str">
        <f ca="1">IFERROR(__xludf.DUMMYFUNCTION("""COMPUTED_VALUE"""),"AA001467")</f>
        <v>AA001467</v>
      </c>
      <c r="D186" s="205" t="str">
        <f ca="1">IFERROR(__xludf.DUMMYFUNCTION("""COMPUTED_VALUE"""),"AA001467")</f>
        <v>AA001467</v>
      </c>
    </row>
    <row r="187" spans="1:4" ht="15" customHeight="1">
      <c r="A187" s="205" t="str">
        <f ca="1">IFERROR(__xludf.DUMMYFUNCTION("""COMPUTED_VALUE"""),"AA001634")</f>
        <v>AA001634</v>
      </c>
      <c r="B187" s="205">
        <f ca="1">IFERROR(__xludf.DUMMYFUNCTION("""COMPUTED_VALUE"""),43494)</f>
        <v>43494</v>
      </c>
      <c r="C187" s="205" t="str">
        <f ca="1">IFERROR(__xludf.DUMMYFUNCTION("""COMPUTED_VALUE"""),"AA001467")</f>
        <v>AA001467</v>
      </c>
      <c r="D187" s="205" t="str">
        <f ca="1">IFERROR(__xludf.DUMMYFUNCTION("""COMPUTED_VALUE"""),"AA001467")</f>
        <v>AA001467</v>
      </c>
    </row>
    <row r="188" spans="1:4" ht="15" customHeight="1">
      <c r="A188" s="205" t="str">
        <f ca="1">IFERROR(__xludf.DUMMYFUNCTION("""COMPUTED_VALUE"""),"AA001633")</f>
        <v>AA001633</v>
      </c>
      <c r="B188" s="205">
        <f ca="1">IFERROR(__xludf.DUMMYFUNCTION("""COMPUTED_VALUE"""),43494)</f>
        <v>43494</v>
      </c>
      <c r="C188" s="205" t="str">
        <f ca="1">IFERROR(__xludf.DUMMYFUNCTION("""COMPUTED_VALUE"""),"AA001467")</f>
        <v>AA001467</v>
      </c>
      <c r="D188" s="205" t="str">
        <f ca="1">IFERROR(__xludf.DUMMYFUNCTION("""COMPUTED_VALUE"""),"AA001467")</f>
        <v>AA001467</v>
      </c>
    </row>
    <row r="189" spans="1:4" ht="15" customHeight="1">
      <c r="A189" s="205" t="str">
        <f ca="1">IFERROR(__xludf.DUMMYFUNCTION("""COMPUTED_VALUE"""),"AA001603")</f>
        <v>AA001603</v>
      </c>
      <c r="B189" s="205">
        <f ca="1">IFERROR(__xludf.DUMMYFUNCTION("""COMPUTED_VALUE"""),43494)</f>
        <v>43494</v>
      </c>
      <c r="C189" s="205" t="str">
        <f ca="1">IFERROR(__xludf.DUMMYFUNCTION("""COMPUTED_VALUE"""),"AA001166")</f>
        <v>AA001166</v>
      </c>
      <c r="D189" s="205" t="str">
        <f ca="1">IFERROR(__xludf.DUMMYFUNCTION("""COMPUTED_VALUE"""),"AA001166")</f>
        <v>AA001166</v>
      </c>
    </row>
    <row r="190" spans="1:4" ht="15" customHeight="1">
      <c r="A190" s="205" t="str">
        <f ca="1">IFERROR(__xludf.DUMMYFUNCTION("""COMPUTED_VALUE"""),"AA001667")</f>
        <v>AA001667</v>
      </c>
      <c r="B190" s="205">
        <f ca="1">IFERROR(__xludf.DUMMYFUNCTION("""COMPUTED_VALUE"""),43494)</f>
        <v>43494</v>
      </c>
      <c r="C190" s="205" t="str">
        <f ca="1">IFERROR(__xludf.DUMMYFUNCTION("""COMPUTED_VALUE"""),"AA001474 ")</f>
        <v xml:space="preserve">AA001474 </v>
      </c>
      <c r="D190" s="205" t="str">
        <f ca="1">IFERROR(__xludf.DUMMYFUNCTION("""COMPUTED_VALUE"""),"AA001474 ")</f>
        <v xml:space="preserve">AA001474 </v>
      </c>
    </row>
    <row r="191" spans="1:4" ht="15" customHeight="1">
      <c r="A191" s="205" t="str">
        <f ca="1">IFERROR(__xludf.DUMMYFUNCTION("""COMPUTED_VALUE"""),"AA001749")</f>
        <v>AA001749</v>
      </c>
      <c r="B191" s="205">
        <f ca="1">IFERROR(__xludf.DUMMYFUNCTION("""COMPUTED_VALUE"""),43494)</f>
        <v>43494</v>
      </c>
      <c r="C191" s="205" t="str">
        <f ca="1">IFERROR(__xludf.DUMMYFUNCTION("""COMPUTED_VALUE"""),"AA001474 ")</f>
        <v xml:space="preserve">AA001474 </v>
      </c>
      <c r="D191" s="205" t="str">
        <f ca="1">IFERROR(__xludf.DUMMYFUNCTION("""COMPUTED_VALUE"""),"AA001474 ")</f>
        <v xml:space="preserve">AA001474 </v>
      </c>
    </row>
    <row r="192" spans="1:4" ht="15" customHeight="1">
      <c r="A192" s="205" t="str">
        <f ca="1">IFERROR(__xludf.DUMMYFUNCTION("""COMPUTED_VALUE"""),"AA001399")</f>
        <v>AA001399</v>
      </c>
      <c r="B192" s="205">
        <f ca="1">IFERROR(__xludf.DUMMYFUNCTION("""COMPUTED_VALUE"""),43494)</f>
        <v>43494</v>
      </c>
      <c r="C192" s="205" t="str">
        <f ca="1">IFERROR(__xludf.DUMMYFUNCTION("""COMPUTED_VALUE"""),"AA001474 ")</f>
        <v xml:space="preserve">AA001474 </v>
      </c>
      <c r="D192" s="205" t="str">
        <f ca="1">IFERROR(__xludf.DUMMYFUNCTION("""COMPUTED_VALUE"""),"AA001474 ")</f>
        <v xml:space="preserve">AA001474 </v>
      </c>
    </row>
    <row r="193" spans="1:4" ht="15" customHeight="1">
      <c r="A193" s="205" t="str">
        <f ca="1">IFERROR(__xludf.DUMMYFUNCTION("""COMPUTED_VALUE"""),"AA001399")</f>
        <v>AA001399</v>
      </c>
      <c r="B193" s="205">
        <f ca="1">IFERROR(__xludf.DUMMYFUNCTION("""COMPUTED_VALUE"""),43494)</f>
        <v>43494</v>
      </c>
      <c r="C193" s="205" t="str">
        <f ca="1">IFERROR(__xludf.DUMMYFUNCTION("""COMPUTED_VALUE"""),"AA001474 ")</f>
        <v xml:space="preserve">AA001474 </v>
      </c>
      <c r="D193" s="205" t="str">
        <f ca="1">IFERROR(__xludf.DUMMYFUNCTION("""COMPUTED_VALUE"""),"AA001474 ")</f>
        <v xml:space="preserve">AA001474 </v>
      </c>
    </row>
    <row r="194" spans="1:4" ht="15" customHeight="1">
      <c r="A194" s="205" t="str">
        <f ca="1">IFERROR(__xludf.DUMMYFUNCTION("""COMPUTED_VALUE"""),"AA001698")</f>
        <v>AA001698</v>
      </c>
      <c r="B194" s="205">
        <f ca="1">IFERROR(__xludf.DUMMYFUNCTION("""COMPUTED_VALUE"""),43494)</f>
        <v>43494</v>
      </c>
      <c r="C194" s="205" t="str">
        <f ca="1">IFERROR(__xludf.DUMMYFUNCTION("""COMPUTED_VALUE"""),"AA001537")</f>
        <v>AA001537</v>
      </c>
      <c r="D194" s="205" t="str">
        <f ca="1">IFERROR(__xludf.DUMMYFUNCTION("""COMPUTED_VALUE"""),"AA001537")</f>
        <v>AA001537</v>
      </c>
    </row>
    <row r="195" spans="1:4" ht="15" customHeight="1">
      <c r="A195" s="205" t="str">
        <f ca="1">IFERROR(__xludf.DUMMYFUNCTION("""COMPUTED_VALUE"""),"AA001668")</f>
        <v>AA001668</v>
      </c>
      <c r="B195" s="205">
        <f ca="1">IFERROR(__xludf.DUMMYFUNCTION("""COMPUTED_VALUE"""),43494)</f>
        <v>43494</v>
      </c>
      <c r="C195" s="205" t="str">
        <f ca="1">IFERROR(__xludf.DUMMYFUNCTION("""COMPUTED_VALUE"""),"AA001537")</f>
        <v>AA001537</v>
      </c>
      <c r="D195" s="205" t="str">
        <f ca="1">IFERROR(__xludf.DUMMYFUNCTION("""COMPUTED_VALUE"""),"AA001537")</f>
        <v>AA001537</v>
      </c>
    </row>
    <row r="196" spans="1:4" ht="15" customHeight="1">
      <c r="A196" s="205" t="str">
        <f ca="1">IFERROR(__xludf.DUMMYFUNCTION("""COMPUTED_VALUE"""),"AA001700")</f>
        <v>AA001700</v>
      </c>
      <c r="B196" s="205">
        <f ca="1">IFERROR(__xludf.DUMMYFUNCTION("""COMPUTED_VALUE"""),43494)</f>
        <v>43494</v>
      </c>
      <c r="C196" s="205" t="str">
        <f ca="1">IFERROR(__xludf.DUMMYFUNCTION("""COMPUTED_VALUE"""),"AA001329")</f>
        <v>AA001329</v>
      </c>
      <c r="D196" s="205" t="str">
        <f ca="1">IFERROR(__xludf.DUMMYFUNCTION("""COMPUTED_VALUE"""),"AA001329")</f>
        <v>AA001329</v>
      </c>
    </row>
    <row r="197" spans="1:4" ht="15" customHeight="1">
      <c r="A197" s="205" t="str">
        <f ca="1">IFERROR(__xludf.DUMMYFUNCTION("""COMPUTED_VALUE"""),"AA001700")</f>
        <v>AA001700</v>
      </c>
      <c r="B197" s="205">
        <f ca="1">IFERROR(__xludf.DUMMYFUNCTION("""COMPUTED_VALUE"""),43494)</f>
        <v>43494</v>
      </c>
      <c r="C197" s="205" t="str">
        <f ca="1">IFERROR(__xludf.DUMMYFUNCTION("""COMPUTED_VALUE"""),"AA001469")</f>
        <v>AA001469</v>
      </c>
      <c r="D197" s="205" t="str">
        <f ca="1">IFERROR(__xludf.DUMMYFUNCTION("""COMPUTED_VALUE"""),"AA001469")</f>
        <v>AA001469</v>
      </c>
    </row>
    <row r="198" spans="1:4" ht="15" customHeight="1">
      <c r="A198" s="205" t="str">
        <f ca="1">IFERROR(__xludf.DUMMYFUNCTION("""COMPUTED_VALUE"""),"AA001417")</f>
        <v>AA001417</v>
      </c>
      <c r="B198" s="205">
        <f ca="1">IFERROR(__xludf.DUMMYFUNCTION("""COMPUTED_VALUE"""),43496)</f>
        <v>43496</v>
      </c>
      <c r="C198" s="205" t="str">
        <f ca="1">IFERROR(__xludf.DUMMYFUNCTION("""COMPUTED_VALUE"""),"AA001469")</f>
        <v>AA001469</v>
      </c>
      <c r="D198" s="205" t="str">
        <f ca="1">IFERROR(__xludf.DUMMYFUNCTION("""COMPUTED_VALUE"""),"AA001469")</f>
        <v>AA001469</v>
      </c>
    </row>
    <row r="199" spans="1:4" ht="15" customHeight="1">
      <c r="A199" s="205" t="str">
        <f ca="1">IFERROR(__xludf.DUMMYFUNCTION("""COMPUTED_VALUE"""),"AA001755")</f>
        <v>AA001755</v>
      </c>
      <c r="B199" s="205">
        <f ca="1">IFERROR(__xludf.DUMMYFUNCTION("""COMPUTED_VALUE"""),43496)</f>
        <v>43496</v>
      </c>
      <c r="C199" s="205" t="str">
        <f ca="1">IFERROR(__xludf.DUMMYFUNCTION("""COMPUTED_VALUE"""),"AA001468")</f>
        <v>AA001468</v>
      </c>
      <c r="D199" s="205" t="str">
        <f ca="1">IFERROR(__xludf.DUMMYFUNCTION("""COMPUTED_VALUE"""),"AA001468")</f>
        <v>AA001468</v>
      </c>
    </row>
    <row r="200" spans="1:4" ht="15" customHeight="1">
      <c r="A200" s="205" t="str">
        <f ca="1">IFERROR(__xludf.DUMMYFUNCTION("""COMPUTED_VALUE"""),"AA001756")</f>
        <v>AA001756</v>
      </c>
      <c r="B200" s="205">
        <f ca="1">IFERROR(__xludf.DUMMYFUNCTION("""COMPUTED_VALUE"""),43496)</f>
        <v>43496</v>
      </c>
      <c r="C200" s="205" t="str">
        <f ca="1">IFERROR(__xludf.DUMMYFUNCTION("""COMPUTED_VALUE"""),"AA001468")</f>
        <v>AA001468</v>
      </c>
      <c r="D200" s="205" t="str">
        <f ca="1">IFERROR(__xludf.DUMMYFUNCTION("""COMPUTED_VALUE"""),"AA001468")</f>
        <v>AA001468</v>
      </c>
    </row>
    <row r="201" spans="1:4" ht="15" customHeight="1">
      <c r="A201" s="205" t="str">
        <f ca="1">IFERROR(__xludf.DUMMYFUNCTION("""COMPUTED_VALUE"""),"AA001757")</f>
        <v>AA001757</v>
      </c>
      <c r="B201" s="205">
        <f ca="1">IFERROR(__xludf.DUMMYFUNCTION("""COMPUTED_VALUE"""),43496)</f>
        <v>43496</v>
      </c>
      <c r="C201" s="205" t="str">
        <f ca="1">IFERROR(__xludf.DUMMYFUNCTION("""COMPUTED_VALUE"""),"AA001530")</f>
        <v>AA001530</v>
      </c>
      <c r="D201" s="205" t="str">
        <f ca="1">IFERROR(__xludf.DUMMYFUNCTION("""COMPUTED_VALUE"""),"AA001530")</f>
        <v>AA001530</v>
      </c>
    </row>
    <row r="202" spans="1:4" ht="15" customHeight="1">
      <c r="A202" s="205" t="str">
        <f ca="1">IFERROR(__xludf.DUMMYFUNCTION("""COMPUTED_VALUE"""),"AA001758")</f>
        <v>AA001758</v>
      </c>
      <c r="B202" s="205">
        <f ca="1">IFERROR(__xludf.DUMMYFUNCTION("""COMPUTED_VALUE"""),43496)</f>
        <v>43496</v>
      </c>
      <c r="C202" s="205" t="str">
        <f ca="1">IFERROR(__xludf.DUMMYFUNCTION("""COMPUTED_VALUE"""),"AA001539")</f>
        <v>AA001539</v>
      </c>
      <c r="D202" s="205" t="str">
        <f ca="1">IFERROR(__xludf.DUMMYFUNCTION("""COMPUTED_VALUE"""),"AA001539")</f>
        <v>AA001539</v>
      </c>
    </row>
    <row r="203" spans="1:4" ht="15" customHeight="1">
      <c r="A203" s="205" t="str">
        <f ca="1">IFERROR(__xludf.DUMMYFUNCTION("""COMPUTED_VALUE"""),"AA001759")</f>
        <v>AA001759</v>
      </c>
      <c r="B203" s="205">
        <f ca="1">IFERROR(__xludf.DUMMYFUNCTION("""COMPUTED_VALUE"""),43496)</f>
        <v>43496</v>
      </c>
      <c r="C203" s="205" t="str">
        <f ca="1">IFERROR(__xludf.DUMMYFUNCTION("""COMPUTED_VALUE"""),"AA001518")</f>
        <v>AA001518</v>
      </c>
      <c r="D203" s="205" t="str">
        <f ca="1">IFERROR(__xludf.DUMMYFUNCTION("""COMPUTED_VALUE"""),"AA001518")</f>
        <v>AA001518</v>
      </c>
    </row>
    <row r="204" spans="1:4" ht="15" customHeight="1">
      <c r="A204" s="205" t="str">
        <f ca="1">IFERROR(__xludf.DUMMYFUNCTION("""COMPUTED_VALUE"""),"AA001760")</f>
        <v>AA001760</v>
      </c>
      <c r="B204" s="205">
        <f ca="1">IFERROR(__xludf.DUMMYFUNCTION("""COMPUTED_VALUE"""),43496)</f>
        <v>43496</v>
      </c>
      <c r="C204" s="205" t="str">
        <f ca="1">IFERROR(__xludf.DUMMYFUNCTION("""COMPUTED_VALUE"""),"AA001102")</f>
        <v>AA001102</v>
      </c>
      <c r="D204" s="205" t="str">
        <f ca="1">IFERROR(__xludf.DUMMYFUNCTION("""COMPUTED_VALUE"""),"AA001102")</f>
        <v>AA001102</v>
      </c>
    </row>
    <row r="205" spans="1:4" ht="15" customHeight="1">
      <c r="A205" t="str">
        <f ca="1">IFERROR(__xludf.DUMMYFUNCTION("""COMPUTED_VALUE"""),"AA001420")</f>
        <v>AA001420</v>
      </c>
      <c r="B205" s="205">
        <f ca="1">IFERROR(__xludf.DUMMYFUNCTION("""COMPUTED_VALUE"""),43496)</f>
        <v>43496</v>
      </c>
      <c r="C205" s="205" t="str">
        <f ca="1">IFERROR(__xludf.DUMMYFUNCTION("""COMPUTED_VALUE"""),"AA001102")</f>
        <v>AA001102</v>
      </c>
      <c r="D205" s="205" t="str">
        <f ca="1">IFERROR(__xludf.DUMMYFUNCTION("""COMPUTED_VALUE"""),"AA001102")</f>
        <v>AA001102</v>
      </c>
    </row>
    <row r="206" spans="1:4" ht="15" customHeight="1">
      <c r="A206" s="205" t="str">
        <f ca="1">IFERROR(__xludf.DUMMYFUNCTION("""COMPUTED_VALUE"""),"AA001771")</f>
        <v>AA001771</v>
      </c>
      <c r="B206" s="205">
        <f ca="1">IFERROR(__xludf.DUMMYFUNCTION("""COMPUTED_VALUE"""),43507)</f>
        <v>43507</v>
      </c>
      <c r="C206" s="205" t="str">
        <f ca="1">IFERROR(__xludf.DUMMYFUNCTION("""COMPUTED_VALUE"""),"AA001103")</f>
        <v>AA001103</v>
      </c>
      <c r="D206" s="205" t="str">
        <f ca="1">IFERROR(__xludf.DUMMYFUNCTION("""COMPUTED_VALUE"""),"AA001103")</f>
        <v>AA001103</v>
      </c>
    </row>
    <row r="207" spans="1:4" ht="15" customHeight="1">
      <c r="A207" s="205" t="str">
        <f ca="1">IFERROR(__xludf.DUMMYFUNCTION("""COMPUTED_VALUE"""),"AA001745")</f>
        <v>AA001745</v>
      </c>
      <c r="B207" s="205">
        <f ca="1">IFERROR(__xludf.DUMMYFUNCTION("""COMPUTED_VALUE"""),43507)</f>
        <v>43507</v>
      </c>
      <c r="C207" s="205" t="str">
        <f ca="1">IFERROR(__xludf.DUMMYFUNCTION("""COMPUTED_VALUE"""),"AA001117")</f>
        <v>AA001117</v>
      </c>
      <c r="D207" s="205" t="str">
        <f ca="1">IFERROR(__xludf.DUMMYFUNCTION("""COMPUTED_VALUE"""),"AA001117")</f>
        <v>AA001117</v>
      </c>
    </row>
    <row r="208" spans="1:4" ht="15" customHeight="1">
      <c r="A208" s="205" t="str">
        <f ca="1">IFERROR(__xludf.DUMMYFUNCTION("""COMPUTED_VALUE"""),"AA001761")</f>
        <v>AA001761</v>
      </c>
      <c r="B208" s="205">
        <f ca="1">IFERROR(__xludf.DUMMYFUNCTION("""COMPUTED_VALUE"""),43507)</f>
        <v>43507</v>
      </c>
      <c r="C208" s="205" t="str">
        <f ca="1">IFERROR(__xludf.DUMMYFUNCTION("""COMPUTED_VALUE"""),"AA001117")</f>
        <v>AA001117</v>
      </c>
      <c r="D208" s="205" t="str">
        <f ca="1">IFERROR(__xludf.DUMMYFUNCTION("""COMPUTED_VALUE"""),"AA001117")</f>
        <v>AA001117</v>
      </c>
    </row>
    <row r="209" spans="1:4" ht="15" customHeight="1">
      <c r="A209" s="205" t="str">
        <f ca="1">IFERROR(__xludf.DUMMYFUNCTION("""COMPUTED_VALUE"""),"AA001695")</f>
        <v>AA001695</v>
      </c>
      <c r="B209" s="205">
        <f ca="1">IFERROR(__xludf.DUMMYFUNCTION("""COMPUTED_VALUE"""),43472)</f>
        <v>43472</v>
      </c>
      <c r="C209" s="205" t="str">
        <f ca="1">IFERROR(__xludf.DUMMYFUNCTION("""COMPUTED_VALUE"""),"AA001160")</f>
        <v>AA001160</v>
      </c>
      <c r="D209" s="205" t="str">
        <f ca="1">IFERROR(__xludf.DUMMYFUNCTION("""COMPUTED_VALUE"""),"AA001160")</f>
        <v>AA001160</v>
      </c>
    </row>
    <row r="210" spans="1:4" ht="15" customHeight="1">
      <c r="A210" s="205" t="str">
        <f ca="1">IFERROR(__xludf.DUMMYFUNCTION("""COMPUTED_VALUE"""),"AA001781")</f>
        <v>AA001781</v>
      </c>
      <c r="B210" s="205">
        <f ca="1">IFERROR(__xludf.DUMMYFUNCTION("""COMPUTED_VALUE"""),43509)</f>
        <v>43509</v>
      </c>
      <c r="C210" s="205" t="str">
        <f ca="1">IFERROR(__xludf.DUMMYFUNCTION("""COMPUTED_VALUE"""),"AA001160")</f>
        <v>AA001160</v>
      </c>
      <c r="D210" s="205" t="str">
        <f ca="1">IFERROR(__xludf.DUMMYFUNCTION("""COMPUTED_VALUE"""),"AA001160")</f>
        <v>AA001160</v>
      </c>
    </row>
    <row r="211" spans="1:4" ht="15" customHeight="1">
      <c r="A211" s="205" t="str">
        <f ca="1">IFERROR(__xludf.DUMMYFUNCTION("""COMPUTED_VALUE"""),"AA001767")</f>
        <v>AA001767</v>
      </c>
      <c r="B211" s="205">
        <f ca="1">IFERROR(__xludf.DUMMYFUNCTION("""COMPUTED_VALUE"""),43509)</f>
        <v>43509</v>
      </c>
      <c r="C211" s="205" t="str">
        <f ca="1">IFERROR(__xludf.DUMMYFUNCTION("""COMPUTED_VALUE"""),"AA001160")</f>
        <v>AA001160</v>
      </c>
      <c r="D211" s="205" t="str">
        <f ca="1">IFERROR(__xludf.DUMMYFUNCTION("""COMPUTED_VALUE"""),"AA001160")</f>
        <v>AA001160</v>
      </c>
    </row>
    <row r="212" spans="1:4" ht="15" customHeight="1">
      <c r="A212" s="205" t="str">
        <f ca="1">IFERROR(__xludf.DUMMYFUNCTION("""COMPUTED_VALUE"""),"AA001762")</f>
        <v>AA001762</v>
      </c>
      <c r="B212" s="205">
        <f ca="1">IFERROR(__xludf.DUMMYFUNCTION("""COMPUTED_VALUE"""),43509)</f>
        <v>43509</v>
      </c>
      <c r="C212" s="205" t="str">
        <f ca="1">IFERROR(__xludf.DUMMYFUNCTION("""COMPUTED_VALUE"""),"AA001160")</f>
        <v>AA001160</v>
      </c>
      <c r="D212" s="205" t="str">
        <f ca="1">IFERROR(__xludf.DUMMYFUNCTION("""COMPUTED_VALUE"""),"AA001160")</f>
        <v>AA001160</v>
      </c>
    </row>
    <row r="213" spans="1:4" ht="15" customHeight="1">
      <c r="A213" s="205" t="str">
        <f ca="1">IFERROR(__xludf.DUMMYFUNCTION("""COMPUTED_VALUE"""),"AA001782")</f>
        <v>AA001782</v>
      </c>
      <c r="B213" s="205">
        <f ca="1">IFERROR(__xludf.DUMMYFUNCTION("""COMPUTED_VALUE"""),43509)</f>
        <v>43509</v>
      </c>
      <c r="C213" s="205" t="str">
        <f ca="1">IFERROR(__xludf.DUMMYFUNCTION("""COMPUTED_VALUE"""),"AA001160")</f>
        <v>AA001160</v>
      </c>
      <c r="D213" s="205" t="str">
        <f ca="1">IFERROR(__xludf.DUMMYFUNCTION("""COMPUTED_VALUE"""),"AA001160")</f>
        <v>AA001160</v>
      </c>
    </row>
    <row r="214" spans="1:4" ht="15" customHeight="1">
      <c r="A214" s="205" t="str">
        <f ca="1">IFERROR(__xludf.DUMMYFUNCTION("""COMPUTED_VALUE"""),"AA001804")</f>
        <v>AA001804</v>
      </c>
      <c r="B214" s="205">
        <f ca="1">IFERROR(__xludf.DUMMYFUNCTION("""COMPUTED_VALUE"""),43514)</f>
        <v>43514</v>
      </c>
      <c r="C214" s="205" t="str">
        <f ca="1">IFERROR(__xludf.DUMMYFUNCTION("""COMPUTED_VALUE"""),"AA001160")</f>
        <v>AA001160</v>
      </c>
      <c r="D214" s="205" t="str">
        <f ca="1">IFERROR(__xludf.DUMMYFUNCTION("""COMPUTED_VALUE"""),"AA001160")</f>
        <v>AA001160</v>
      </c>
    </row>
    <row r="215" spans="1:4" ht="15" customHeight="1">
      <c r="A215" s="205" t="str">
        <f ca="1">IFERROR(__xludf.DUMMYFUNCTION("""COMPUTED_VALUE"""),"AA001813")</f>
        <v>AA001813</v>
      </c>
      <c r="B215" s="205">
        <f ca="1">IFERROR(__xludf.DUMMYFUNCTION("""COMPUTED_VALUE"""),43514)</f>
        <v>43514</v>
      </c>
      <c r="C215" s="205" t="str">
        <f ca="1">IFERROR(__xludf.DUMMYFUNCTION("""COMPUTED_VALUE"""),"AA001160")</f>
        <v>AA001160</v>
      </c>
      <c r="D215" s="205" t="str">
        <f ca="1">IFERROR(__xludf.DUMMYFUNCTION("""COMPUTED_VALUE"""),"AA001160")</f>
        <v>AA001160</v>
      </c>
    </row>
    <row r="216" spans="1:4" ht="15" customHeight="1">
      <c r="A216" s="205" t="str">
        <f ca="1">IFERROR(__xludf.DUMMYFUNCTION("""COMPUTED_VALUE"""),"AA001813")</f>
        <v>AA001813</v>
      </c>
      <c r="B216" s="205">
        <f ca="1">IFERROR(__xludf.DUMMYFUNCTION("""COMPUTED_VALUE"""),43514)</f>
        <v>43514</v>
      </c>
      <c r="C216" s="205" t="str">
        <f ca="1">IFERROR(__xludf.DUMMYFUNCTION("""COMPUTED_VALUE"""),"AA001160")</f>
        <v>AA001160</v>
      </c>
      <c r="D216" s="205" t="str">
        <f ca="1">IFERROR(__xludf.DUMMYFUNCTION("""COMPUTED_VALUE"""),"AA001160")</f>
        <v>AA001160</v>
      </c>
    </row>
    <row r="217" spans="1:4" ht="15" customHeight="1">
      <c r="A217" s="205" t="str">
        <f ca="1">IFERROR(__xludf.DUMMYFUNCTION("""COMPUTED_VALUE"""),"AA001812")</f>
        <v>AA001812</v>
      </c>
      <c r="B217" s="205">
        <f ca="1">IFERROR(__xludf.DUMMYFUNCTION("""COMPUTED_VALUE"""),43514)</f>
        <v>43514</v>
      </c>
      <c r="C217" s="205" t="str">
        <f ca="1">IFERROR(__xludf.DUMMYFUNCTION("""COMPUTED_VALUE"""),"AA001160")</f>
        <v>AA001160</v>
      </c>
      <c r="D217" s="205" t="str">
        <f ca="1">IFERROR(__xludf.DUMMYFUNCTION("""COMPUTED_VALUE"""),"AA001160")</f>
        <v>AA001160</v>
      </c>
    </row>
    <row r="218" spans="1:4" ht="15" customHeight="1">
      <c r="A218" s="205" t="str">
        <f ca="1">IFERROR(__xludf.DUMMYFUNCTION("""COMPUTED_VALUE"""),"AA001438")</f>
        <v>AA001438</v>
      </c>
      <c r="B218" s="205">
        <f ca="1">IFERROR(__xludf.DUMMYFUNCTION("""COMPUTED_VALUE"""),43516)</f>
        <v>43516</v>
      </c>
      <c r="C218" s="205" t="str">
        <f ca="1">IFERROR(__xludf.DUMMYFUNCTION("""COMPUTED_VALUE"""),"AA001160")</f>
        <v>AA001160</v>
      </c>
      <c r="D218" s="205" t="str">
        <f ca="1">IFERROR(__xludf.DUMMYFUNCTION("""COMPUTED_VALUE"""),"AA001160")</f>
        <v>AA001160</v>
      </c>
    </row>
    <row r="219" spans="1:4" ht="15" customHeight="1">
      <c r="A219" s="205" t="str">
        <f ca="1">IFERROR(__xludf.DUMMYFUNCTION("""COMPUTED_VALUE"""),"AA001824")</f>
        <v>AA001824</v>
      </c>
      <c r="B219" s="205">
        <f ca="1">IFERROR(__xludf.DUMMYFUNCTION("""COMPUTED_VALUE"""),43516)</f>
        <v>43516</v>
      </c>
      <c r="C219" s="205" t="str">
        <f ca="1">IFERROR(__xludf.DUMMYFUNCTION("""COMPUTED_VALUE"""),"AA001160")</f>
        <v>AA001160</v>
      </c>
      <c r="D219" s="205" t="str">
        <f ca="1">IFERROR(__xludf.DUMMYFUNCTION("""COMPUTED_VALUE"""),"AA001160")</f>
        <v>AA001160</v>
      </c>
    </row>
    <row r="220" spans="1:4" ht="15" customHeight="1">
      <c r="A220" s="205" t="str">
        <f ca="1">IFERROR(__xludf.DUMMYFUNCTION("""COMPUTED_VALUE"""),"AA001828")</f>
        <v>AA001828</v>
      </c>
      <c r="B220" s="205">
        <f ca="1">IFERROR(__xludf.DUMMYFUNCTION("""COMPUTED_VALUE"""),43516)</f>
        <v>43516</v>
      </c>
      <c r="C220" s="205" t="str">
        <f ca="1">IFERROR(__xludf.DUMMYFUNCTION("""COMPUTED_VALUE"""),"AA001160")</f>
        <v>AA001160</v>
      </c>
      <c r="D220" s="205" t="str">
        <f ca="1">IFERROR(__xludf.DUMMYFUNCTION("""COMPUTED_VALUE"""),"AA001160")</f>
        <v>AA001160</v>
      </c>
    </row>
    <row r="221" spans="1:4" ht="15" customHeight="1">
      <c r="A221" s="205" t="str">
        <f ca="1">IFERROR(__xludf.DUMMYFUNCTION("""COMPUTED_VALUE"""),"AA001842")</f>
        <v>AA001842</v>
      </c>
      <c r="B221" s="205">
        <f ca="1">IFERROR(__xludf.DUMMYFUNCTION("""COMPUTED_VALUE"""),43516)</f>
        <v>43516</v>
      </c>
      <c r="C221" s="205" t="str">
        <f ca="1">IFERROR(__xludf.DUMMYFUNCTION("""COMPUTED_VALUE"""),"AA001160")</f>
        <v>AA001160</v>
      </c>
      <c r="D221" s="205" t="str">
        <f ca="1">IFERROR(__xludf.DUMMYFUNCTION("""COMPUTED_VALUE"""),"AA001160")</f>
        <v>AA001160</v>
      </c>
    </row>
    <row r="222" spans="1:4" ht="15" customHeight="1">
      <c r="A222" s="205" t="str">
        <f ca="1">IFERROR(__xludf.DUMMYFUNCTION("""COMPUTED_VALUE"""),"AA001843")</f>
        <v>AA001843</v>
      </c>
      <c r="B222" s="205">
        <f ca="1">IFERROR(__xludf.DUMMYFUNCTION("""COMPUTED_VALUE"""),43516)</f>
        <v>43516</v>
      </c>
      <c r="C222" s="205" t="str">
        <f ca="1">IFERROR(__xludf.DUMMYFUNCTION("""COMPUTED_VALUE"""),"AA001160")</f>
        <v>AA001160</v>
      </c>
      <c r="D222" s="205" t="str">
        <f ca="1">IFERROR(__xludf.DUMMYFUNCTION("""COMPUTED_VALUE"""),"AA001160")</f>
        <v>AA001160</v>
      </c>
    </row>
    <row r="223" spans="1:4" ht="15" customHeight="1">
      <c r="A223" s="205" t="str">
        <f ca="1">IFERROR(__xludf.DUMMYFUNCTION("""COMPUTED_VALUE"""),"AA001844")</f>
        <v>AA001844</v>
      </c>
      <c r="B223" s="205">
        <f ca="1">IFERROR(__xludf.DUMMYFUNCTION("""COMPUTED_VALUE"""),43516)</f>
        <v>43516</v>
      </c>
      <c r="C223" s="205" t="str">
        <f ca="1">IFERROR(__xludf.DUMMYFUNCTION("""COMPUTED_VALUE"""),"AA001160")</f>
        <v>AA001160</v>
      </c>
      <c r="D223" s="205" t="str">
        <f ca="1">IFERROR(__xludf.DUMMYFUNCTION("""COMPUTED_VALUE"""),"AA001160")</f>
        <v>AA001160</v>
      </c>
    </row>
    <row r="224" spans="1:4" ht="15" customHeight="1">
      <c r="A224" s="205" t="str">
        <f ca="1">IFERROR(__xludf.DUMMYFUNCTION("""COMPUTED_VALUE"""),"AA001845")</f>
        <v>AA001845</v>
      </c>
      <c r="B224" s="205">
        <f ca="1">IFERROR(__xludf.DUMMYFUNCTION("""COMPUTED_VALUE"""),43516)</f>
        <v>43516</v>
      </c>
      <c r="C224" s="205" t="str">
        <f ca="1">IFERROR(__xludf.DUMMYFUNCTION("""COMPUTED_VALUE"""),"AA001160")</f>
        <v>AA001160</v>
      </c>
      <c r="D224" s="205" t="str">
        <f ca="1">IFERROR(__xludf.DUMMYFUNCTION("""COMPUTED_VALUE"""),"AA001160")</f>
        <v>AA001160</v>
      </c>
    </row>
    <row r="225" spans="1:4" ht="15" customHeight="1">
      <c r="A225" s="205" t="str">
        <f ca="1">IFERROR(__xludf.DUMMYFUNCTION("""COMPUTED_VALUE"""),"AA001846")</f>
        <v>AA001846</v>
      </c>
      <c r="B225" s="205">
        <f ca="1">IFERROR(__xludf.DUMMYFUNCTION("""COMPUTED_VALUE"""),43516)</f>
        <v>43516</v>
      </c>
      <c r="C225" s="205" t="str">
        <f ca="1">IFERROR(__xludf.DUMMYFUNCTION("""COMPUTED_VALUE"""),"AA001160")</f>
        <v>AA001160</v>
      </c>
      <c r="D225" s="205" t="str">
        <f ca="1">IFERROR(__xludf.DUMMYFUNCTION("""COMPUTED_VALUE"""),"AA001160")</f>
        <v>AA001160</v>
      </c>
    </row>
    <row r="226" spans="1:4" ht="15" customHeight="1">
      <c r="A226" s="205" t="str">
        <f ca="1">IFERROR(__xludf.DUMMYFUNCTION("""COMPUTED_VALUE"""),"AA001847")</f>
        <v>AA001847</v>
      </c>
      <c r="B226" s="205">
        <f ca="1">IFERROR(__xludf.DUMMYFUNCTION("""COMPUTED_VALUE"""),43516)</f>
        <v>43516</v>
      </c>
      <c r="C226" s="205" t="str">
        <f ca="1">IFERROR(__xludf.DUMMYFUNCTION("""COMPUTED_VALUE"""),"AA001572")</f>
        <v>AA001572</v>
      </c>
      <c r="D226" s="205" t="str">
        <f ca="1">IFERROR(__xludf.DUMMYFUNCTION("""COMPUTED_VALUE"""),"AA001572")</f>
        <v>AA001572</v>
      </c>
    </row>
    <row r="227" spans="1:4" ht="15" customHeight="1">
      <c r="A227" s="206" t="str">
        <f ca="1">IFERROR(__xludf.DUMMYFUNCTION("""COMPUTED_VALUE"""),"AA001873")</f>
        <v>AA001873</v>
      </c>
      <c r="B227" s="205">
        <f ca="1">IFERROR(__xludf.DUMMYFUNCTION("""COMPUTED_VALUE"""),43516)</f>
        <v>43516</v>
      </c>
      <c r="C227" s="205" t="str">
        <f ca="1">IFERROR(__xludf.DUMMYFUNCTION("""COMPUTED_VALUE"""),"AA001570")</f>
        <v>AA001570</v>
      </c>
      <c r="D227" s="205" t="str">
        <f ca="1">IFERROR(__xludf.DUMMYFUNCTION("""COMPUTED_VALUE"""),"AA001570")</f>
        <v>AA001570</v>
      </c>
    </row>
    <row r="228" spans="1:4" ht="15" customHeight="1">
      <c r="A228" s="206" t="str">
        <f ca="1">IFERROR(__xludf.DUMMYFUNCTION("""COMPUTED_VALUE"""),"AA001917")</f>
        <v>AA001917</v>
      </c>
      <c r="B228" s="205">
        <f ca="1">IFERROR(__xludf.DUMMYFUNCTION("""COMPUTED_VALUE"""),43516)</f>
        <v>43516</v>
      </c>
      <c r="C228" s="205" t="str">
        <f ca="1">IFERROR(__xludf.DUMMYFUNCTION("""COMPUTED_VALUE"""),"AA001571")</f>
        <v>AA001571</v>
      </c>
      <c r="D228" s="205" t="str">
        <f ca="1">IFERROR(__xludf.DUMMYFUNCTION("""COMPUTED_VALUE"""),"AA001571")</f>
        <v>AA001571</v>
      </c>
    </row>
    <row r="229" spans="1:4" ht="15" customHeight="1">
      <c r="A229" s="206" t="str">
        <f ca="1">IFERROR(__xludf.DUMMYFUNCTION("""COMPUTED_VALUE"""),"AA001917")</f>
        <v>AA001917</v>
      </c>
      <c r="B229" s="205">
        <f ca="1">IFERROR(__xludf.DUMMYFUNCTION("""COMPUTED_VALUE"""),43516)</f>
        <v>43516</v>
      </c>
      <c r="C229" s="206" t="str">
        <f ca="1">IFERROR(__xludf.DUMMYFUNCTION("""COMPUTED_VALUE"""),"AA001116")</f>
        <v>AA001116</v>
      </c>
      <c r="D229" s="206" t="str">
        <f ca="1">IFERROR(__xludf.DUMMYFUNCTION("""COMPUTED_VALUE"""),"AA001116")</f>
        <v>AA001116</v>
      </c>
    </row>
    <row r="230" spans="1:4" ht="15" customHeight="1">
      <c r="A230" s="206" t="str">
        <f ca="1">IFERROR(__xludf.DUMMYFUNCTION("""COMPUTED_VALUE"""),"AA001637")</f>
        <v>AA001637</v>
      </c>
      <c r="B230" s="205">
        <f ca="1">IFERROR(__xludf.DUMMYFUNCTION("""COMPUTED_VALUE"""),43535)</f>
        <v>43535</v>
      </c>
      <c r="C230" s="206" t="str">
        <f ca="1">IFERROR(__xludf.DUMMYFUNCTION("""COMPUTED_VALUE"""),"AA001116")</f>
        <v>AA001116</v>
      </c>
      <c r="D230" s="206" t="str">
        <f ca="1">IFERROR(__xludf.DUMMYFUNCTION("""COMPUTED_VALUE"""),"AA001116")</f>
        <v>AA001116</v>
      </c>
    </row>
    <row r="231" spans="1:4" ht="15" customHeight="1">
      <c r="A231" s="206" t="str">
        <f ca="1">IFERROR(__xludf.DUMMYFUNCTION("""COMPUTED_VALUE"""),"AA001637")</f>
        <v>AA001637</v>
      </c>
      <c r="B231" s="205">
        <f ca="1">IFERROR(__xludf.DUMMYFUNCTION("""COMPUTED_VALUE"""),43535)</f>
        <v>43535</v>
      </c>
      <c r="C231" s="206" t="str">
        <f ca="1">IFERROR(__xludf.DUMMYFUNCTION("""COMPUTED_VALUE"""),"AA001116")</f>
        <v>AA001116</v>
      </c>
      <c r="D231" s="206" t="str">
        <f ca="1">IFERROR(__xludf.DUMMYFUNCTION("""COMPUTED_VALUE"""),"AA001116")</f>
        <v>AA001116</v>
      </c>
    </row>
    <row r="232" spans="1:4" ht="15" customHeight="1">
      <c r="A232" s="206" t="str">
        <f ca="1">IFERROR(__xludf.DUMMYFUNCTION("""COMPUTED_VALUE"""),"AA001637")</f>
        <v>AA001637</v>
      </c>
      <c r="B232" s="205">
        <f ca="1">IFERROR(__xludf.DUMMYFUNCTION("""COMPUTED_VALUE"""),43535)</f>
        <v>43535</v>
      </c>
      <c r="C232" s="206" t="str">
        <f ca="1">IFERROR(__xludf.DUMMYFUNCTION("""COMPUTED_VALUE"""),"AA001116")</f>
        <v>AA001116</v>
      </c>
      <c r="D232" s="206" t="str">
        <f ca="1">IFERROR(__xludf.DUMMYFUNCTION("""COMPUTED_VALUE"""),"AA001116")</f>
        <v>AA001116</v>
      </c>
    </row>
    <row r="233" spans="1:4" ht="15" customHeight="1">
      <c r="A233" s="206" t="str">
        <f ca="1">IFERROR(__xludf.DUMMYFUNCTION("""COMPUTED_VALUE"""),"AA001637")</f>
        <v>AA001637</v>
      </c>
      <c r="B233" s="205">
        <f ca="1">IFERROR(__xludf.DUMMYFUNCTION("""COMPUTED_VALUE"""),43535)</f>
        <v>43535</v>
      </c>
      <c r="C233" s="206" t="str">
        <f ca="1">IFERROR(__xludf.DUMMYFUNCTION("""COMPUTED_VALUE"""),"AA001116")</f>
        <v>AA001116</v>
      </c>
      <c r="D233" s="206" t="str">
        <f ca="1">IFERROR(__xludf.DUMMYFUNCTION("""COMPUTED_VALUE"""),"AA001116")</f>
        <v>AA001116</v>
      </c>
    </row>
    <row r="234" spans="1:4" ht="15" customHeight="1">
      <c r="A234" s="206" t="str">
        <f ca="1">IFERROR(__xludf.DUMMYFUNCTION("""COMPUTED_VALUE"""),"AA001637")</f>
        <v>AA001637</v>
      </c>
      <c r="B234" s="205">
        <f ca="1">IFERROR(__xludf.DUMMYFUNCTION("""COMPUTED_VALUE"""),43535)</f>
        <v>43535</v>
      </c>
      <c r="C234" s="205" t="str">
        <f ca="1">IFERROR(__xludf.DUMMYFUNCTION("""COMPUTED_VALUE"""),"AA0011121")</f>
        <v>AA0011121</v>
      </c>
      <c r="D234" s="205" t="str">
        <f ca="1">IFERROR(__xludf.DUMMYFUNCTION("""COMPUTED_VALUE"""),"AA0011121")</f>
        <v>AA0011121</v>
      </c>
    </row>
    <row r="235" spans="1:4" ht="15" customHeight="1">
      <c r="A235" s="206" t="str">
        <f ca="1">IFERROR(__xludf.DUMMYFUNCTION("""COMPUTED_VALUE"""),"AA001637")</f>
        <v>AA001637</v>
      </c>
      <c r="B235" s="205">
        <f ca="1">IFERROR(__xludf.DUMMYFUNCTION("""COMPUTED_VALUE"""),43535)</f>
        <v>43535</v>
      </c>
      <c r="C235" s="205" t="str">
        <f ca="1">IFERROR(__xludf.DUMMYFUNCTION("""COMPUTED_VALUE"""),"AA001546")</f>
        <v>AA001546</v>
      </c>
      <c r="D235" s="205" t="str">
        <f ca="1">IFERROR(__xludf.DUMMYFUNCTION("""COMPUTED_VALUE"""),"AA001546")</f>
        <v>AA001546</v>
      </c>
    </row>
    <row r="236" spans="1:4" ht="15" customHeight="1">
      <c r="A236" s="206" t="str">
        <f ca="1">IFERROR(__xludf.DUMMYFUNCTION("""COMPUTED_VALUE"""),"AA001637")</f>
        <v>AA001637</v>
      </c>
      <c r="B236" s="205">
        <f ca="1">IFERROR(__xludf.DUMMYFUNCTION("""COMPUTED_VALUE"""),43535)</f>
        <v>43535</v>
      </c>
      <c r="C236" s="205" t="str">
        <f ca="1">IFERROR(__xludf.DUMMYFUNCTION("""COMPUTED_VALUE"""),"AA001104")</f>
        <v>AA001104</v>
      </c>
      <c r="D236" s="205" t="str">
        <f ca="1">IFERROR(__xludf.DUMMYFUNCTION("""COMPUTED_VALUE"""),"AA001104")</f>
        <v>AA001104</v>
      </c>
    </row>
    <row r="237" spans="1:4" ht="15" customHeight="1">
      <c r="A237" s="206" t="str">
        <f ca="1">IFERROR(__xludf.DUMMYFUNCTION("""COMPUTED_VALUE"""),"AA001830")</f>
        <v>AA001830</v>
      </c>
      <c r="B237" s="205">
        <f ca="1">IFERROR(__xludf.DUMMYFUNCTION("""COMPUTED_VALUE"""),43518)</f>
        <v>43518</v>
      </c>
      <c r="C237" s="205" t="str">
        <f ca="1">IFERROR(__xludf.DUMMYFUNCTION("""COMPUTED_VALUE"""),"AA001105")</f>
        <v>AA001105</v>
      </c>
      <c r="D237" s="205" t="str">
        <f ca="1">IFERROR(__xludf.DUMMYFUNCTION("""COMPUTED_VALUE"""),"AA001105")</f>
        <v>AA001105</v>
      </c>
    </row>
    <row r="238" spans="1:4" ht="15" customHeight="1">
      <c r="A238" s="206" t="str">
        <f ca="1">IFERROR(__xludf.DUMMYFUNCTION("""COMPUTED_VALUE"""),"AB001262")</f>
        <v>AB001262</v>
      </c>
      <c r="B238" s="205">
        <f ca="1">IFERROR(__xludf.DUMMYFUNCTION("""COMPUTED_VALUE"""),43608)</f>
        <v>43608</v>
      </c>
      <c r="C238" s="205" t="str">
        <f ca="1">IFERROR(__xludf.DUMMYFUNCTION("""COMPUTED_VALUE"""),"AA001105")</f>
        <v>AA001105</v>
      </c>
      <c r="D238" s="205" t="str">
        <f ca="1">IFERROR(__xludf.DUMMYFUNCTION("""COMPUTED_VALUE"""),"AA001105")</f>
        <v>AA001105</v>
      </c>
    </row>
    <row r="239" spans="1:4" ht="15" customHeight="1">
      <c r="A239" s="206" t="str">
        <f ca="1">IFERROR(__xludf.DUMMYFUNCTION("""COMPUTED_VALUE"""),"AA001956")</f>
        <v>AA001956</v>
      </c>
      <c r="B239" s="205">
        <f ca="1">IFERROR(__xludf.DUMMYFUNCTION("""COMPUTED_VALUE"""),43518)</f>
        <v>43518</v>
      </c>
      <c r="C239" s="205" t="str">
        <f ca="1">IFERROR(__xludf.DUMMYFUNCTION("""COMPUTED_VALUE"""),"AA001138")</f>
        <v>AA001138</v>
      </c>
      <c r="D239" s="205" t="str">
        <f ca="1">IFERROR(__xludf.DUMMYFUNCTION("""COMPUTED_VALUE"""),"AA001138")</f>
        <v>AA001138</v>
      </c>
    </row>
    <row r="240" spans="1:4" ht="15" customHeight="1">
      <c r="A240" s="206" t="str">
        <f ca="1">IFERROR(__xludf.DUMMYFUNCTION("""COMPUTED_VALUE"""),"AA001838")</f>
        <v>AA001838</v>
      </c>
      <c r="B240" s="205">
        <f ca="1">IFERROR(__xludf.DUMMYFUNCTION("""COMPUTED_VALUE"""),43521)</f>
        <v>43521</v>
      </c>
      <c r="C240" s="205" t="str">
        <f ca="1">IFERROR(__xludf.DUMMYFUNCTION("""COMPUTED_VALUE"""),"AA001206")</f>
        <v>AA001206</v>
      </c>
      <c r="D240" s="205" t="str">
        <f ca="1">IFERROR(__xludf.DUMMYFUNCTION("""COMPUTED_VALUE"""),"AA001206")</f>
        <v>AA001206</v>
      </c>
    </row>
    <row r="241" spans="1:4" ht="15" customHeight="1">
      <c r="A241" s="206" t="str">
        <f ca="1">IFERROR(__xludf.DUMMYFUNCTION("""COMPUTED_VALUE"""),"AA001833")</f>
        <v>AA001833</v>
      </c>
      <c r="B241" s="205">
        <f ca="1">IFERROR(__xludf.DUMMYFUNCTION("""COMPUTED_VALUE"""),43521)</f>
        <v>43521</v>
      </c>
      <c r="C241" s="205" t="str">
        <f ca="1">IFERROR(__xludf.DUMMYFUNCTION("""COMPUTED_VALUE"""),"AA001206")</f>
        <v>AA001206</v>
      </c>
      <c r="D241" s="205" t="str">
        <f ca="1">IFERROR(__xludf.DUMMYFUNCTION("""COMPUTED_VALUE"""),"AA001206")</f>
        <v>AA001206</v>
      </c>
    </row>
    <row r="242" spans="1:4" ht="15" customHeight="1">
      <c r="A242" s="206" t="str">
        <f ca="1">IFERROR(__xludf.DUMMYFUNCTION("""COMPUTED_VALUE"""),"AA001973")</f>
        <v>AA001973</v>
      </c>
      <c r="B242" s="205">
        <f ca="1">IFERROR(__xludf.DUMMYFUNCTION("""COMPUTED_VALUE"""),43522)</f>
        <v>43522</v>
      </c>
      <c r="C242" s="205" t="str">
        <f ca="1">IFERROR(__xludf.DUMMYFUNCTION("""COMPUTED_VALUE"""),"AA001206")</f>
        <v>AA001206</v>
      </c>
      <c r="D242" s="205" t="str">
        <f ca="1">IFERROR(__xludf.DUMMYFUNCTION("""COMPUTED_VALUE"""),"AA001206")</f>
        <v>AA001206</v>
      </c>
    </row>
    <row r="243" spans="1:4" ht="15" customHeight="1">
      <c r="A243" s="206" t="str">
        <f ca="1">IFERROR(__xludf.DUMMYFUNCTION("""COMPUTED_VALUE"""),"AA001963")</f>
        <v>AA001963</v>
      </c>
      <c r="B243" s="205">
        <f ca="1">IFERROR(__xludf.DUMMYFUNCTION("""COMPUTED_VALUE"""),43523)</f>
        <v>43523</v>
      </c>
      <c r="C243" s="205" t="str">
        <f ca="1">IFERROR(__xludf.DUMMYFUNCTION("""COMPUTED_VALUE"""),"AA001206")</f>
        <v>AA001206</v>
      </c>
      <c r="D243" s="205" t="str">
        <f ca="1">IFERROR(__xludf.DUMMYFUNCTION("""COMPUTED_VALUE"""),"AA001206")</f>
        <v>AA001206</v>
      </c>
    </row>
    <row r="244" spans="1:4" ht="15" customHeight="1">
      <c r="A244" s="206" t="str">
        <f ca="1">IFERROR(__xludf.DUMMYFUNCTION("""COMPUTED_VALUE"""),"AA001967")</f>
        <v>AA001967</v>
      </c>
      <c r="B244" s="205">
        <f ca="1">IFERROR(__xludf.DUMMYFUNCTION("""COMPUTED_VALUE"""),43522)</f>
        <v>43522</v>
      </c>
      <c r="C244" s="205" t="str">
        <f ca="1">IFERROR(__xludf.DUMMYFUNCTION("""COMPUTED_VALUE"""),"AA001206")</f>
        <v>AA001206</v>
      </c>
      <c r="D244" s="205" t="str">
        <f ca="1">IFERROR(__xludf.DUMMYFUNCTION("""COMPUTED_VALUE"""),"AA001206")</f>
        <v>AA001206</v>
      </c>
    </row>
    <row r="245" spans="1:4" ht="15" customHeight="1">
      <c r="A245" s="206" t="str">
        <f ca="1">IFERROR(__xludf.DUMMYFUNCTION("""COMPUTED_VALUE"""),"AA001967")</f>
        <v>AA001967</v>
      </c>
      <c r="B245" s="205">
        <f ca="1">IFERROR(__xludf.DUMMYFUNCTION("""COMPUTED_VALUE"""),43522)</f>
        <v>43522</v>
      </c>
      <c r="C245" s="205" t="str">
        <f ca="1">IFERROR(__xludf.DUMMYFUNCTION("""COMPUTED_VALUE"""),"AA001206")</f>
        <v>AA001206</v>
      </c>
      <c r="D245" s="205" t="str">
        <f ca="1">IFERROR(__xludf.DUMMYFUNCTION("""COMPUTED_VALUE"""),"AA001206")</f>
        <v>AA001206</v>
      </c>
    </row>
    <row r="246" spans="1:4" ht="15" customHeight="1">
      <c r="A246" s="206" t="str">
        <f ca="1">IFERROR(__xludf.DUMMYFUNCTION("""COMPUTED_VALUE"""),"AA001967")</f>
        <v>AA001967</v>
      </c>
      <c r="B246" s="205">
        <f ca="1">IFERROR(__xludf.DUMMYFUNCTION("""COMPUTED_VALUE"""),43522)</f>
        <v>43522</v>
      </c>
      <c r="C246" s="205" t="str">
        <f ca="1">IFERROR(__xludf.DUMMYFUNCTION("""COMPUTED_VALUE"""),"AA001206")</f>
        <v>AA001206</v>
      </c>
      <c r="D246" s="205" t="str">
        <f ca="1">IFERROR(__xludf.DUMMYFUNCTION("""COMPUTED_VALUE"""),"AA001206")</f>
        <v>AA001206</v>
      </c>
    </row>
    <row r="247" spans="1:4" ht="15" customHeight="1">
      <c r="A247" s="206" t="str">
        <f ca="1">IFERROR(__xludf.DUMMYFUNCTION("""COMPUTED_VALUE"""),"AA001972")</f>
        <v>AA001972</v>
      </c>
      <c r="B247" s="205">
        <f ca="1">IFERROR(__xludf.DUMMYFUNCTION("""COMPUTED_VALUE"""),43522)</f>
        <v>43522</v>
      </c>
      <c r="C247" s="205" t="str">
        <f ca="1">IFERROR(__xludf.DUMMYFUNCTION("""COMPUTED_VALUE"""),"AA001206")</f>
        <v>AA001206</v>
      </c>
      <c r="D247" s="205" t="str">
        <f ca="1">IFERROR(__xludf.DUMMYFUNCTION("""COMPUTED_VALUE"""),"AA001206")</f>
        <v>AA001206</v>
      </c>
    </row>
    <row r="248" spans="1:4" ht="15" customHeight="1">
      <c r="A248" s="206" t="str">
        <f ca="1">IFERROR(__xludf.DUMMYFUNCTION("""COMPUTED_VALUE"""),"AA001972")</f>
        <v>AA001972</v>
      </c>
      <c r="B248" s="205">
        <f ca="1">IFERROR(__xludf.DUMMYFUNCTION("""COMPUTED_VALUE"""),43522)</f>
        <v>43522</v>
      </c>
      <c r="C248" s="205" t="str">
        <f ca="1">IFERROR(__xludf.DUMMYFUNCTION("""COMPUTED_VALUE"""),"AA001206")</f>
        <v>AA001206</v>
      </c>
      <c r="D248" s="205" t="str">
        <f ca="1">IFERROR(__xludf.DUMMYFUNCTION("""COMPUTED_VALUE"""),"AA001206")</f>
        <v>AA001206</v>
      </c>
    </row>
    <row r="249" spans="1:4" ht="15" customHeight="1">
      <c r="A249" s="206" t="str">
        <f ca="1">IFERROR(__xludf.DUMMYFUNCTION("""COMPUTED_VALUE"""),"AA001841")</f>
        <v>AA001841</v>
      </c>
      <c r="B249" s="205">
        <f ca="1">IFERROR(__xludf.DUMMYFUNCTION("""COMPUTED_VALUE"""),43522)</f>
        <v>43522</v>
      </c>
      <c r="C249" s="205" t="str">
        <f ca="1">IFERROR(__xludf.DUMMYFUNCTION("""COMPUTED_VALUE"""),"AA001206")</f>
        <v>AA001206</v>
      </c>
      <c r="D249" s="205" t="str">
        <f ca="1">IFERROR(__xludf.DUMMYFUNCTION("""COMPUTED_VALUE"""),"AA001206")</f>
        <v>AA001206</v>
      </c>
    </row>
    <row r="250" spans="1:4" ht="15" customHeight="1">
      <c r="A250" s="206" t="str">
        <f ca="1">IFERROR(__xludf.DUMMYFUNCTION("""COMPUTED_VALUE"""),"AA001989")</f>
        <v>AA001989</v>
      </c>
      <c r="B250" s="205">
        <f ca="1">IFERROR(__xludf.DUMMYFUNCTION("""COMPUTED_VALUE"""),43523)</f>
        <v>43523</v>
      </c>
      <c r="C250" s="205" t="str">
        <f ca="1">IFERROR(__xludf.DUMMYFUNCTION("""COMPUTED_VALUE"""),"AA001206")</f>
        <v>AA001206</v>
      </c>
      <c r="D250" s="205" t="str">
        <f ca="1">IFERROR(__xludf.DUMMYFUNCTION("""COMPUTED_VALUE"""),"AA001206")</f>
        <v>AA001206</v>
      </c>
    </row>
    <row r="251" spans="1:4" ht="15" customHeight="1">
      <c r="A251" s="206" t="str">
        <f ca="1">IFERROR(__xludf.DUMMYFUNCTION("""COMPUTED_VALUE"""),"AA001994")</f>
        <v>AA001994</v>
      </c>
      <c r="B251" s="205">
        <f ca="1">IFERROR(__xludf.DUMMYFUNCTION("""COMPUTED_VALUE"""),43524)</f>
        <v>43524</v>
      </c>
      <c r="C251" s="205" t="str">
        <f ca="1">IFERROR(__xludf.DUMMYFUNCTION("""COMPUTED_VALUE"""),"AA001206")</f>
        <v>AA001206</v>
      </c>
      <c r="D251" s="205" t="str">
        <f ca="1">IFERROR(__xludf.DUMMYFUNCTION("""COMPUTED_VALUE"""),"AA001206")</f>
        <v>AA001206</v>
      </c>
    </row>
    <row r="252" spans="1:4" ht="15" customHeight="1">
      <c r="A252" s="206" t="str">
        <f ca="1">IFERROR(__xludf.DUMMYFUNCTION("""COMPUTED_VALUE"""),"AA001994")</f>
        <v>AA001994</v>
      </c>
      <c r="B252" s="205">
        <f ca="1">IFERROR(__xludf.DUMMYFUNCTION("""COMPUTED_VALUE"""),43524)</f>
        <v>43524</v>
      </c>
      <c r="C252" s="205" t="str">
        <f ca="1">IFERROR(__xludf.DUMMYFUNCTION("""COMPUTED_VALUE"""),"AA001206")</f>
        <v>AA001206</v>
      </c>
      <c r="D252" s="205" t="str">
        <f ca="1">IFERROR(__xludf.DUMMYFUNCTION("""COMPUTED_VALUE"""),"AA001206")</f>
        <v>AA001206</v>
      </c>
    </row>
    <row r="253" spans="1:4" ht="15" customHeight="1">
      <c r="A253" s="206" t="str">
        <f ca="1">IFERROR(__xludf.DUMMYFUNCTION("""COMPUTED_VALUE"""),"AA001991")</f>
        <v>AA001991</v>
      </c>
      <c r="B253" s="205">
        <f ca="1">IFERROR(__xludf.DUMMYFUNCTION("""COMPUTED_VALUE"""),43524)</f>
        <v>43524</v>
      </c>
      <c r="C253" s="205" t="str">
        <f ca="1">IFERROR(__xludf.DUMMYFUNCTION("""COMPUTED_VALUE"""),"AA001189")</f>
        <v>AA001189</v>
      </c>
      <c r="D253" s="205" t="str">
        <f ca="1">IFERROR(__xludf.DUMMYFUNCTION("""COMPUTED_VALUE"""),"AA001189")</f>
        <v>AA001189</v>
      </c>
    </row>
    <row r="254" spans="1:4" ht="15" customHeight="1">
      <c r="A254" s="206" t="str">
        <f ca="1">IFERROR(__xludf.DUMMYFUNCTION("""COMPUTED_VALUE"""),"AA001995")</f>
        <v>AA001995</v>
      </c>
      <c r="B254" s="205">
        <f ca="1">IFERROR(__xludf.DUMMYFUNCTION("""COMPUTED_VALUE"""),43524)</f>
        <v>43524</v>
      </c>
      <c r="C254" s="205" t="str">
        <f ca="1">IFERROR(__xludf.DUMMYFUNCTION("""COMPUTED_VALUE"""),"AA001189")</f>
        <v>AA001189</v>
      </c>
      <c r="D254" s="205" t="str">
        <f ca="1">IFERROR(__xludf.DUMMYFUNCTION("""COMPUTED_VALUE"""),"AA001189")</f>
        <v>AA001189</v>
      </c>
    </row>
    <row r="255" spans="1:4" ht="15" customHeight="1">
      <c r="A255" s="206" t="str">
        <f ca="1">IFERROR(__xludf.DUMMYFUNCTION("""COMPUTED_VALUE"""),"AA001996")</f>
        <v>AA001996</v>
      </c>
      <c r="B255" s="205">
        <f ca="1">IFERROR(__xludf.DUMMYFUNCTION("""COMPUTED_VALUE"""),43524)</f>
        <v>43524</v>
      </c>
      <c r="C255" s="205" t="str">
        <f ca="1">IFERROR(__xludf.DUMMYFUNCTION("""COMPUTED_VALUE"""),"AA001189")</f>
        <v>AA001189</v>
      </c>
      <c r="D255" s="205" t="str">
        <f ca="1">IFERROR(__xludf.DUMMYFUNCTION("""COMPUTED_VALUE"""),"AA001189")</f>
        <v>AA001189</v>
      </c>
    </row>
    <row r="256" spans="1:4" ht="15" customHeight="1">
      <c r="A256" s="206" t="str">
        <f ca="1">IFERROR(__xludf.DUMMYFUNCTION("""COMPUTED_VALUE"""),"AA001996")</f>
        <v>AA001996</v>
      </c>
      <c r="B256" s="205">
        <f ca="1">IFERROR(__xludf.DUMMYFUNCTION("""COMPUTED_VALUE"""),43524)</f>
        <v>43524</v>
      </c>
      <c r="C256" s="205" t="str">
        <f ca="1">IFERROR(__xludf.DUMMYFUNCTION("""COMPUTED_VALUE"""),"AA001189")</f>
        <v>AA001189</v>
      </c>
      <c r="D256" s="205" t="str">
        <f ca="1">IFERROR(__xludf.DUMMYFUNCTION("""COMPUTED_VALUE"""),"AA001189")</f>
        <v>AA001189</v>
      </c>
    </row>
    <row r="257" spans="1:4" ht="15" customHeight="1">
      <c r="A257" s="206" t="str">
        <f ca="1">IFERROR(__xludf.DUMMYFUNCTION("""COMPUTED_VALUE"""),"AA001997")</f>
        <v>AA001997</v>
      </c>
      <c r="B257" s="205">
        <f ca="1">IFERROR(__xludf.DUMMYFUNCTION("""COMPUTED_VALUE"""),43524)</f>
        <v>43524</v>
      </c>
      <c r="C257" s="205" t="str">
        <f ca="1">IFERROR(__xludf.DUMMYFUNCTION("""COMPUTED_VALUE"""),"AA001189")</f>
        <v>AA001189</v>
      </c>
      <c r="D257" s="205" t="str">
        <f ca="1">IFERROR(__xludf.DUMMYFUNCTION("""COMPUTED_VALUE"""),"AA001189")</f>
        <v>AA001189</v>
      </c>
    </row>
    <row r="258" spans="1:4" ht="15" customHeight="1">
      <c r="A258" s="206" t="str">
        <f ca="1">IFERROR(__xludf.DUMMYFUNCTION("""COMPUTED_VALUE"""),"AA001993")</f>
        <v>AA001993</v>
      </c>
      <c r="B258" s="205">
        <f ca="1">IFERROR(__xludf.DUMMYFUNCTION("""COMPUTED_VALUE"""),43531)</f>
        <v>43531</v>
      </c>
      <c r="C258" s="205" t="str">
        <f ca="1">IFERROR(__xludf.DUMMYFUNCTION("""COMPUTED_VALUE"""),"AA001189")</f>
        <v>AA001189</v>
      </c>
      <c r="D258" s="205" t="str">
        <f ca="1">IFERROR(__xludf.DUMMYFUNCTION("""COMPUTED_VALUE"""),"AA001189")</f>
        <v>AA001189</v>
      </c>
    </row>
    <row r="259" spans="1:4" ht="15" customHeight="1">
      <c r="A259" s="206" t="str">
        <f ca="1">IFERROR(__xludf.DUMMYFUNCTION("""COMPUTED_VALUE"""),"AA001849")</f>
        <v>AA001849</v>
      </c>
      <c r="B259" s="205">
        <f ca="1">IFERROR(__xludf.DUMMYFUNCTION("""COMPUTED_VALUE"""),43529)</f>
        <v>43529</v>
      </c>
      <c r="C259" s="205" t="str">
        <f ca="1">IFERROR(__xludf.DUMMYFUNCTION("""COMPUTED_VALUE"""),"AA001189")</f>
        <v>AA001189</v>
      </c>
      <c r="D259" s="205" t="str">
        <f ca="1">IFERROR(__xludf.DUMMYFUNCTION("""COMPUTED_VALUE"""),"AA001189")</f>
        <v>AA001189</v>
      </c>
    </row>
    <row r="260" spans="1:4" ht="15" customHeight="1">
      <c r="A260" s="206" t="str">
        <f ca="1">IFERROR(__xludf.DUMMYFUNCTION("""COMPUTED_VALUE"""),"AA030507")</f>
        <v>AA030507</v>
      </c>
      <c r="B260" s="205">
        <f ca="1">IFERROR(__xludf.DUMMYFUNCTION("""COMPUTED_VALUE"""),43529)</f>
        <v>43529</v>
      </c>
      <c r="C260" s="205" t="str">
        <f ca="1">IFERROR(__xludf.DUMMYFUNCTION("""COMPUTED_VALUE"""),"AA001189")</f>
        <v>AA001189</v>
      </c>
      <c r="D260" s="205" t="str">
        <f ca="1">IFERROR(__xludf.DUMMYFUNCTION("""COMPUTED_VALUE"""),"AA001189")</f>
        <v>AA001189</v>
      </c>
    </row>
    <row r="261" spans="1:4" ht="15" customHeight="1">
      <c r="A261" s="206" t="str">
        <f ca="1">IFERROR(__xludf.DUMMYFUNCTION("""COMPUTED_VALUE"""),"AA0305")</f>
        <v>AA0305</v>
      </c>
      <c r="B261" t="str">
        <f ca="1">IFERROR(__xludf.DUMMYFUNCTION("""COMPUTED_VALUE"""),"")</f>
        <v/>
      </c>
      <c r="C261" s="205" t="str">
        <f ca="1">IFERROR(__xludf.DUMMYFUNCTION("""COMPUTED_VALUE"""),"AA001189")</f>
        <v>AA001189</v>
      </c>
      <c r="D261" s="205" t="str">
        <f ca="1">IFERROR(__xludf.DUMMYFUNCTION("""COMPUTED_VALUE"""),"AA001189")</f>
        <v>AA001189</v>
      </c>
    </row>
    <row r="262" spans="1:4" ht="15" customHeight="1">
      <c r="A262" s="206" t="str">
        <f ca="1">IFERROR(__xludf.DUMMYFUNCTION("""COMPUTED_VALUE"""),"AA030503")</f>
        <v>AA030503</v>
      </c>
      <c r="B262" s="205">
        <f ca="1">IFERROR(__xludf.DUMMYFUNCTION("""COMPUTED_VALUE"""),43529)</f>
        <v>43529</v>
      </c>
      <c r="C262" s="205" t="str">
        <f ca="1">IFERROR(__xludf.DUMMYFUNCTION("""COMPUTED_VALUE"""),"AA001189")</f>
        <v>AA001189</v>
      </c>
      <c r="D262" s="205" t="str">
        <f ca="1">IFERROR(__xludf.DUMMYFUNCTION("""COMPUTED_VALUE"""),"AA001189")</f>
        <v>AA001189</v>
      </c>
    </row>
    <row r="263" spans="1:4" ht="15" customHeight="1">
      <c r="A263" s="206" t="str">
        <f ca="1">IFERROR(__xludf.DUMMYFUNCTION("""COMPUTED_VALUE"""),"AA030504")</f>
        <v>AA030504</v>
      </c>
      <c r="B263" s="205">
        <f ca="1">IFERROR(__xludf.DUMMYFUNCTION("""COMPUTED_VALUE"""),43529)</f>
        <v>43529</v>
      </c>
      <c r="C263" s="205" t="str">
        <f ca="1">IFERROR(__xludf.DUMMYFUNCTION("""COMPUTED_VALUE"""),"AA001332")</f>
        <v>AA001332</v>
      </c>
      <c r="D263" s="205" t="str">
        <f ca="1">IFERROR(__xludf.DUMMYFUNCTION("""COMPUTED_VALUE"""),"AA001332")</f>
        <v>AA001332</v>
      </c>
    </row>
    <row r="264" spans="1:4" ht="15" customHeight="1">
      <c r="A264" s="206" t="str">
        <f ca="1">IFERROR(__xludf.DUMMYFUNCTION("""COMPUTED_VALUE"""),"AA030504")</f>
        <v>AA030504</v>
      </c>
      <c r="B264" s="205">
        <f ca="1">IFERROR(__xludf.DUMMYFUNCTION("""COMPUTED_VALUE"""),43529)</f>
        <v>43529</v>
      </c>
      <c r="C264" s="205" t="str">
        <f ca="1">IFERROR(__xludf.DUMMYFUNCTION("""COMPUTED_VALUE"""),"AA001676")</f>
        <v>AA001676</v>
      </c>
      <c r="D264" s="205" t="str">
        <f ca="1">IFERROR(__xludf.DUMMYFUNCTION("""COMPUTED_VALUE"""),"AA001676")</f>
        <v>AA001676</v>
      </c>
    </row>
    <row r="265" spans="1:4" ht="15" customHeight="1">
      <c r="A265" s="206" t="str">
        <f ca="1">IFERROR(__xludf.DUMMYFUNCTION("""COMPUTED_VALUE"""),"AA030504")</f>
        <v>AA030504</v>
      </c>
      <c r="B265" s="205">
        <f ca="1">IFERROR(__xludf.DUMMYFUNCTION("""COMPUTED_VALUE"""),43529)</f>
        <v>43529</v>
      </c>
      <c r="C265" s="205" t="str">
        <f ca="1">IFERROR(__xludf.DUMMYFUNCTION("""COMPUTED_VALUE"""),"AA001676")</f>
        <v>AA001676</v>
      </c>
      <c r="D265" s="205" t="str">
        <f ca="1">IFERROR(__xludf.DUMMYFUNCTION("""COMPUTED_VALUE"""),"AA001676")</f>
        <v>AA001676</v>
      </c>
    </row>
    <row r="266" spans="1:4" ht="15" customHeight="1">
      <c r="A266" s="206" t="str">
        <f ca="1">IFERROR(__xludf.DUMMYFUNCTION("""COMPUTED_VALUE"""),"AA030504")</f>
        <v>AA030504</v>
      </c>
      <c r="B266" s="205">
        <f ca="1">IFERROR(__xludf.DUMMYFUNCTION("""COMPUTED_VALUE"""),43529)</f>
        <v>43529</v>
      </c>
      <c r="C266" s="205" t="str">
        <f ca="1">IFERROR(__xludf.DUMMYFUNCTION("""COMPUTED_VALUE"""),"AA001648")</f>
        <v>AA001648</v>
      </c>
      <c r="D266" s="205" t="str">
        <f ca="1">IFERROR(__xludf.DUMMYFUNCTION("""COMPUTED_VALUE"""),"AA001648")</f>
        <v>AA001648</v>
      </c>
    </row>
    <row r="267" spans="1:4" ht="15" customHeight="1">
      <c r="A267" s="206" t="str">
        <f ca="1">IFERROR(__xludf.DUMMYFUNCTION("""COMPUTED_VALUE"""),"AA030505")</f>
        <v>AA030505</v>
      </c>
      <c r="B267" s="205">
        <f ca="1">IFERROR(__xludf.DUMMYFUNCTION("""COMPUTED_VALUE"""),43529)</f>
        <v>43529</v>
      </c>
      <c r="C267" s="205" t="str">
        <f ca="1">IFERROR(__xludf.DUMMYFUNCTION("""COMPUTED_VALUE"""),"AA001628")</f>
        <v>AA001628</v>
      </c>
      <c r="D267" s="205" t="str">
        <f ca="1">IFERROR(__xludf.DUMMYFUNCTION("""COMPUTED_VALUE"""),"AA001628")</f>
        <v>AA001628</v>
      </c>
    </row>
    <row r="268" spans="1:4" ht="15" customHeight="1">
      <c r="A268" s="206" t="str">
        <f ca="1">IFERROR(__xludf.DUMMYFUNCTION("""COMPUTED_VALUE"""),"AA030506")</f>
        <v>AA030506</v>
      </c>
      <c r="B268" s="205">
        <f ca="1">IFERROR(__xludf.DUMMYFUNCTION("""COMPUTED_VALUE"""),43529)</f>
        <v>43529</v>
      </c>
      <c r="C268" s="205" t="str">
        <f ca="1">IFERROR(__xludf.DUMMYFUNCTION("""COMPUTED_VALUE"""),"AA001677")</f>
        <v>AA001677</v>
      </c>
      <c r="D268" s="205" t="str">
        <f ca="1">IFERROR(__xludf.DUMMYFUNCTION("""COMPUTED_VALUE"""),"AA001677")</f>
        <v>AA001677</v>
      </c>
    </row>
    <row r="269" spans="1:4" ht="15" customHeight="1">
      <c r="A269" s="206" t="str">
        <f ca="1">IFERROR(__xludf.DUMMYFUNCTION("""COMPUTED_VALUE"""),"AA030506")</f>
        <v>AA030506</v>
      </c>
      <c r="B269" s="205">
        <f ca="1">IFERROR(__xludf.DUMMYFUNCTION("""COMPUTED_VALUE"""),43529)</f>
        <v>43529</v>
      </c>
      <c r="C269" s="205" t="str">
        <f ca="1">IFERROR(__xludf.DUMMYFUNCTION("""COMPUTED_VALUE"""),"AA001617")</f>
        <v>AA001617</v>
      </c>
      <c r="D269" s="205" t="str">
        <f ca="1">IFERROR(__xludf.DUMMYFUNCTION("""COMPUTED_VALUE"""),"AA001617")</f>
        <v>AA001617</v>
      </c>
    </row>
    <row r="270" spans="1:4" ht="15" customHeight="1">
      <c r="A270" s="206" t="str">
        <f ca="1">IFERROR(__xludf.DUMMYFUNCTION("""COMPUTED_VALUE"""),"AA030511")</f>
        <v>AA030511</v>
      </c>
      <c r="B270" s="205">
        <f ca="1">IFERROR(__xludf.DUMMYFUNCTION("""COMPUTED_VALUE"""),43544)</f>
        <v>43544</v>
      </c>
      <c r="C270" s="205" t="str">
        <f ca="1">IFERROR(__xludf.DUMMYFUNCTION("""COMPUTED_VALUE"""),"AA001617")</f>
        <v>AA001617</v>
      </c>
      <c r="D270" s="205" t="str">
        <f ca="1">IFERROR(__xludf.DUMMYFUNCTION("""COMPUTED_VALUE"""),"AA001617")</f>
        <v>AA001617</v>
      </c>
    </row>
    <row r="271" spans="1:4" ht="15" customHeight="1">
      <c r="A271" s="206" t="str">
        <f ca="1">IFERROR(__xludf.DUMMYFUNCTION("""COMPUTED_VALUE"""),"AA030511")</f>
        <v>AA030511</v>
      </c>
      <c r="B271" s="205">
        <f ca="1">IFERROR(__xludf.DUMMYFUNCTION("""COMPUTED_VALUE"""),43544)</f>
        <v>43544</v>
      </c>
      <c r="C271" s="205" t="str">
        <f ca="1">IFERROR(__xludf.DUMMYFUNCTION("""COMPUTED_VALUE"""),"AA001436")</f>
        <v>AA001436</v>
      </c>
      <c r="D271" s="205" t="str">
        <f ca="1">IFERROR(__xludf.DUMMYFUNCTION("""COMPUTED_VALUE"""),"AA001436")</f>
        <v>AA001436</v>
      </c>
    </row>
    <row r="272" spans="1:4" ht="15" customHeight="1">
      <c r="A272" s="206" t="str">
        <f ca="1">IFERROR(__xludf.DUMMYFUNCTION("""COMPUTED_VALUE"""),"AA030511")</f>
        <v>AA030511</v>
      </c>
      <c r="B272" s="205">
        <f ca="1">IFERROR(__xludf.DUMMYFUNCTION("""COMPUTED_VALUE"""),43544)</f>
        <v>43544</v>
      </c>
      <c r="C272" s="205" t="str">
        <f ca="1">IFERROR(__xludf.DUMMYFUNCTION("""COMPUTED_VALUE"""),"AA001365")</f>
        <v>AA001365</v>
      </c>
      <c r="D272" s="205" t="str">
        <f ca="1">IFERROR(__xludf.DUMMYFUNCTION("""COMPUTED_VALUE"""),"AA001365")</f>
        <v>AA001365</v>
      </c>
    </row>
    <row r="273" spans="1:4" ht="15" customHeight="1">
      <c r="A273" s="206" t="str">
        <f ca="1">IFERROR(__xludf.DUMMYFUNCTION("""COMPUTED_VALUE"""),"AA030511")</f>
        <v>AA030511</v>
      </c>
      <c r="B273" s="205">
        <f ca="1">IFERROR(__xludf.DUMMYFUNCTION("""COMPUTED_VALUE"""),43544)</f>
        <v>43544</v>
      </c>
      <c r="C273" s="205" t="str">
        <f ca="1">IFERROR(__xludf.DUMMYFUNCTION("""COMPUTED_VALUE"""),"AA001365")</f>
        <v>AA001365</v>
      </c>
      <c r="D273" s="205" t="str">
        <f ca="1">IFERROR(__xludf.DUMMYFUNCTION("""COMPUTED_VALUE"""),"AA001365")</f>
        <v>AA001365</v>
      </c>
    </row>
    <row r="274" spans="1:4" ht="15" customHeight="1">
      <c r="A274" s="206" t="str">
        <f ca="1">IFERROR(__xludf.DUMMYFUNCTION("""COMPUTED_VALUE"""),"AA030511")</f>
        <v>AA030511</v>
      </c>
      <c r="B274" s="205">
        <f ca="1">IFERROR(__xludf.DUMMYFUNCTION("""COMPUTED_VALUE"""),43544)</f>
        <v>43544</v>
      </c>
      <c r="C274" s="205" t="str">
        <f ca="1">IFERROR(__xludf.DUMMYFUNCTION("""COMPUTED_VALUE"""),"AA001727")</f>
        <v>AA001727</v>
      </c>
      <c r="D274" s="205" t="str">
        <f ca="1">IFERROR(__xludf.DUMMYFUNCTION("""COMPUTED_VALUE"""),"AA001727")</f>
        <v>AA001727</v>
      </c>
    </row>
    <row r="275" spans="1:4" ht="15" customHeight="1">
      <c r="A275" s="206" t="str">
        <f ca="1">IFERROR(__xludf.DUMMYFUNCTION("""COMPUTED_VALUE"""),"AA030511")</f>
        <v>AA030511</v>
      </c>
      <c r="B275" s="205">
        <f ca="1">IFERROR(__xludf.DUMMYFUNCTION("""COMPUTED_VALUE"""),43544)</f>
        <v>43544</v>
      </c>
      <c r="C275" s="205" t="str">
        <f ca="1">IFERROR(__xludf.DUMMYFUNCTION("""COMPUTED_VALUE"""),"AA001688")</f>
        <v>AA001688</v>
      </c>
      <c r="D275" s="205" t="str">
        <f ca="1">IFERROR(__xludf.DUMMYFUNCTION("""COMPUTED_VALUE"""),"AA001688")</f>
        <v>AA001688</v>
      </c>
    </row>
    <row r="276" spans="1:4" ht="15" customHeight="1">
      <c r="A276" s="206" t="str">
        <f ca="1">IFERROR(__xludf.DUMMYFUNCTION("""COMPUTED_VALUE"""),"AA030511")</f>
        <v>AA030511</v>
      </c>
      <c r="B276" s="205">
        <f ca="1">IFERROR(__xludf.DUMMYFUNCTION("""COMPUTED_VALUE"""),43544)</f>
        <v>43544</v>
      </c>
      <c r="C276" s="205" t="str">
        <f ca="1">IFERROR(__xludf.DUMMYFUNCTION("""COMPUTED_VALUE"""),"AA001688")</f>
        <v>AA001688</v>
      </c>
      <c r="D276" s="205" t="str">
        <f ca="1">IFERROR(__xludf.DUMMYFUNCTION("""COMPUTED_VALUE"""),"AA001688")</f>
        <v>AA001688</v>
      </c>
    </row>
    <row r="277" spans="1:4" ht="15" customHeight="1">
      <c r="A277" s="206" t="str">
        <f ca="1">IFERROR(__xludf.DUMMYFUNCTION("""COMPUTED_VALUE"""),"AA030511")</f>
        <v>AA030511</v>
      </c>
      <c r="B277" s="205">
        <f ca="1">IFERROR(__xludf.DUMMYFUNCTION("""COMPUTED_VALUE"""),43544)</f>
        <v>43544</v>
      </c>
      <c r="C277" s="205" t="str">
        <f ca="1">IFERROR(__xludf.DUMMYFUNCTION("""COMPUTED_VALUE"""),"AA001688")</f>
        <v>AA001688</v>
      </c>
      <c r="D277" s="205" t="str">
        <f ca="1">IFERROR(__xludf.DUMMYFUNCTION("""COMPUTED_VALUE"""),"AA001688")</f>
        <v>AA001688</v>
      </c>
    </row>
    <row r="278" spans="1:4" ht="15" customHeight="1">
      <c r="A278" s="206" t="str">
        <f ca="1">IFERROR(__xludf.DUMMYFUNCTION("""COMPUTED_VALUE"""),"AA002000")</f>
        <v>AA002000</v>
      </c>
      <c r="B278" s="205">
        <f ca="1">IFERROR(__xludf.DUMMYFUNCTION("""COMPUTED_VALUE"""),43544)</f>
        <v>43544</v>
      </c>
      <c r="C278" s="205" t="str">
        <f ca="1">IFERROR(__xludf.DUMMYFUNCTION("""COMPUTED_VALUE"""),"AA001389")</f>
        <v>AA001389</v>
      </c>
      <c r="D278" s="205" t="str">
        <f ca="1">IFERROR(__xludf.DUMMYFUNCTION("""COMPUTED_VALUE"""),"AA001389")</f>
        <v>AA001389</v>
      </c>
    </row>
    <row r="279" spans="1:4" ht="15" customHeight="1">
      <c r="A279" s="206" t="str">
        <f ca="1">IFERROR(__xludf.DUMMYFUNCTION("""COMPUTED_VALUE"""),"AA002000")</f>
        <v>AA002000</v>
      </c>
      <c r="B279" s="205">
        <f ca="1">IFERROR(__xludf.DUMMYFUNCTION("""COMPUTED_VALUE"""),43544)</f>
        <v>43544</v>
      </c>
      <c r="C279" s="205" t="str">
        <f ca="1">IFERROR(__xludf.DUMMYFUNCTION("""COMPUTED_VALUE"""),"AA001389")</f>
        <v>AA001389</v>
      </c>
      <c r="D279" s="205" t="str">
        <f ca="1">IFERROR(__xludf.DUMMYFUNCTION("""COMPUTED_VALUE"""),"AA001389")</f>
        <v>AA001389</v>
      </c>
    </row>
    <row r="280" spans="1:4" ht="15" customHeight="1">
      <c r="A280" s="206" t="str">
        <f ca="1">IFERROR(__xludf.DUMMYFUNCTION("""COMPUTED_VALUE"""),"AA002000")</f>
        <v>AA002000</v>
      </c>
      <c r="B280" s="205">
        <f ca="1">IFERROR(__xludf.DUMMYFUNCTION("""COMPUTED_VALUE"""),43544)</f>
        <v>43544</v>
      </c>
      <c r="C280" s="205" t="str">
        <f ca="1">IFERROR(__xludf.DUMMYFUNCTION("""COMPUTED_VALUE"""),"AA001391")</f>
        <v>AA001391</v>
      </c>
      <c r="D280" s="205" t="str">
        <f ca="1">IFERROR(__xludf.DUMMYFUNCTION("""COMPUTED_VALUE"""),"AA001391")</f>
        <v>AA001391</v>
      </c>
    </row>
    <row r="281" spans="1:4" ht="15" customHeight="1">
      <c r="A281" s="206" t="str">
        <f ca="1">IFERROR(__xludf.DUMMYFUNCTION("""COMPUTED_VALUE"""),"AA002000")</f>
        <v>AA002000</v>
      </c>
      <c r="B281" s="205">
        <f ca="1">IFERROR(__xludf.DUMMYFUNCTION("""COMPUTED_VALUE"""),43544)</f>
        <v>43544</v>
      </c>
      <c r="C281" s="205" t="str">
        <f ca="1">IFERROR(__xludf.DUMMYFUNCTION("""COMPUTED_VALUE"""),"AA001391")</f>
        <v>AA001391</v>
      </c>
      <c r="D281" s="205" t="str">
        <f ca="1">IFERROR(__xludf.DUMMYFUNCTION("""COMPUTED_VALUE"""),"AA001391")</f>
        <v>AA001391</v>
      </c>
    </row>
    <row r="282" spans="1:4" ht="15" customHeight="1">
      <c r="A282" s="206" t="str">
        <f ca="1">IFERROR(__xludf.DUMMYFUNCTION("""COMPUTED_VALUE"""),"AA002000")</f>
        <v>AA002000</v>
      </c>
      <c r="B282" s="205">
        <f ca="1">IFERROR(__xludf.DUMMYFUNCTION("""COMPUTED_VALUE"""),43544)</f>
        <v>43544</v>
      </c>
      <c r="C282" s="205" t="str">
        <f ca="1">IFERROR(__xludf.DUMMYFUNCTION("""COMPUTED_VALUE"""),"AA001391")</f>
        <v>AA001391</v>
      </c>
      <c r="D282" s="205" t="str">
        <f ca="1">IFERROR(__xludf.DUMMYFUNCTION("""COMPUTED_VALUE"""),"AA001391")</f>
        <v>AA001391</v>
      </c>
    </row>
    <row r="283" spans="1:4" ht="15" customHeight="1">
      <c r="A283" s="206" t="str">
        <f ca="1">IFERROR(__xludf.DUMMYFUNCTION("""COMPUTED_VALUE"""),"AA002000")</f>
        <v>AA002000</v>
      </c>
      <c r="B283" s="205">
        <f ca="1">IFERROR(__xludf.DUMMYFUNCTION("""COMPUTED_VALUE"""),43544)</f>
        <v>43544</v>
      </c>
      <c r="C283" s="205" t="str">
        <f ca="1">IFERROR(__xludf.DUMMYFUNCTION("""COMPUTED_VALUE"""),"AA001379")</f>
        <v>AA001379</v>
      </c>
      <c r="D283" s="205" t="str">
        <f ca="1">IFERROR(__xludf.DUMMYFUNCTION("""COMPUTED_VALUE"""),"AA001379")</f>
        <v>AA001379</v>
      </c>
    </row>
    <row r="284" spans="1:4" ht="15" customHeight="1">
      <c r="A284" s="206" t="str">
        <f ca="1">IFERROR(__xludf.DUMMYFUNCTION("""COMPUTED_VALUE"""),"AA002000")</f>
        <v>AA002000</v>
      </c>
      <c r="B284" s="205">
        <f ca="1">IFERROR(__xludf.DUMMYFUNCTION("""COMPUTED_VALUE"""),43544)</f>
        <v>43544</v>
      </c>
      <c r="C284" s="205" t="str">
        <f ca="1">IFERROR(__xludf.DUMMYFUNCTION("""COMPUTED_VALUE"""),"AA001379")</f>
        <v>AA001379</v>
      </c>
      <c r="D284" s="205" t="str">
        <f ca="1">IFERROR(__xludf.DUMMYFUNCTION("""COMPUTED_VALUE"""),"AA001379")</f>
        <v>AA001379</v>
      </c>
    </row>
    <row r="285" spans="1:4" ht="15" customHeight="1">
      <c r="A285" s="206" t="str">
        <f ca="1">IFERROR(__xludf.DUMMYFUNCTION("""COMPUTED_VALUE"""),"AA002000")</f>
        <v>AA002000</v>
      </c>
      <c r="B285" s="205">
        <f ca="1">IFERROR(__xludf.DUMMYFUNCTION("""COMPUTED_VALUE"""),43544)</f>
        <v>43544</v>
      </c>
      <c r="C285" s="205" t="str">
        <f ca="1">IFERROR(__xludf.DUMMYFUNCTION("""COMPUTED_VALUE"""),"AA001379")</f>
        <v>AA001379</v>
      </c>
      <c r="D285" s="205" t="str">
        <f ca="1">IFERROR(__xludf.DUMMYFUNCTION("""COMPUTED_VALUE"""),"AA001379")</f>
        <v>AA001379</v>
      </c>
    </row>
    <row r="286" spans="1:4" ht="15" customHeight="1">
      <c r="A286" s="206" t="str">
        <f ca="1">IFERROR(__xludf.DUMMYFUNCTION("""COMPUTED_VALUE"""),"AA030509")</f>
        <v>AA030509</v>
      </c>
      <c r="B286" s="205">
        <f ca="1">IFERROR(__xludf.DUMMYFUNCTION("""COMPUTED_VALUE"""),43532)</f>
        <v>43532</v>
      </c>
      <c r="C286" s="205" t="str">
        <f ca="1">IFERROR(__xludf.DUMMYFUNCTION("""COMPUTED_VALUE"""),"AA001632")</f>
        <v>AA001632</v>
      </c>
      <c r="D286" s="205" t="str">
        <f ca="1">IFERROR(__xludf.DUMMYFUNCTION("""COMPUTED_VALUE"""),"AA001632")</f>
        <v>AA001632</v>
      </c>
    </row>
    <row r="287" spans="1:4" ht="15" customHeight="1">
      <c r="A287" s="206" t="str">
        <f ca="1">IFERROR(__xludf.DUMMYFUNCTION("""COMPUTED_VALUE"""),"AA030509")</f>
        <v>AA030509</v>
      </c>
      <c r="B287" s="205">
        <f ca="1">IFERROR(__xludf.DUMMYFUNCTION("""COMPUTED_VALUE"""),43532)</f>
        <v>43532</v>
      </c>
      <c r="C287" s="205" t="str">
        <f ca="1">IFERROR(__xludf.DUMMYFUNCTION("""COMPUTED_VALUE"""),"AA001632")</f>
        <v>AA001632</v>
      </c>
      <c r="D287" s="205" t="str">
        <f ca="1">IFERROR(__xludf.DUMMYFUNCTION("""COMPUTED_VALUE"""),"AA001632")</f>
        <v>AA001632</v>
      </c>
    </row>
    <row r="288" spans="1:4" ht="15" customHeight="1">
      <c r="A288" s="206" t="str">
        <f ca="1">IFERROR(__xludf.DUMMYFUNCTION("""COMPUTED_VALUE"""),"AA030509")</f>
        <v>AA030509</v>
      </c>
      <c r="B288" s="205">
        <f ca="1">IFERROR(__xludf.DUMMYFUNCTION("""COMPUTED_VALUE"""),43532)</f>
        <v>43532</v>
      </c>
      <c r="C288" s="205" t="str">
        <f ca="1">IFERROR(__xludf.DUMMYFUNCTION("""COMPUTED_VALUE"""),"AA001632")</f>
        <v>AA001632</v>
      </c>
      <c r="D288" s="205" t="str">
        <f ca="1">IFERROR(__xludf.DUMMYFUNCTION("""COMPUTED_VALUE"""),"AA001632")</f>
        <v>AA001632</v>
      </c>
    </row>
    <row r="289" spans="1:4" ht="15" customHeight="1">
      <c r="A289" s="206" t="str">
        <f ca="1">IFERROR(__xludf.DUMMYFUNCTION("""COMPUTED_VALUE"""),"AA030509")</f>
        <v>AA030509</v>
      </c>
      <c r="B289" s="205">
        <f ca="1">IFERROR(__xludf.DUMMYFUNCTION("""COMPUTED_VALUE"""),43532)</f>
        <v>43532</v>
      </c>
      <c r="C289" s="205" t="str">
        <f ca="1">IFERROR(__xludf.DUMMYFUNCTION("""COMPUTED_VALUE"""),"AA001632")</f>
        <v>AA001632</v>
      </c>
      <c r="D289" s="205" t="str">
        <f ca="1">IFERROR(__xludf.DUMMYFUNCTION("""COMPUTED_VALUE"""),"AA001632")</f>
        <v>AA001632</v>
      </c>
    </row>
    <row r="290" spans="1:4" ht="15" customHeight="1">
      <c r="A290" s="206" t="str">
        <f ca="1">IFERROR(__xludf.DUMMYFUNCTION("""COMPUTED_VALUE"""),"AA030509")</f>
        <v>AA030509</v>
      </c>
      <c r="B290" s="205">
        <f ca="1">IFERROR(__xludf.DUMMYFUNCTION("""COMPUTED_VALUE"""),43532)</f>
        <v>43532</v>
      </c>
      <c r="C290" s="205" t="str">
        <f ca="1">IFERROR(__xludf.DUMMYFUNCTION("""COMPUTED_VALUE"""),"AA001632")</f>
        <v>AA001632</v>
      </c>
      <c r="D290" s="205" t="str">
        <f ca="1">IFERROR(__xludf.DUMMYFUNCTION("""COMPUTED_VALUE"""),"AA001632")</f>
        <v>AA001632</v>
      </c>
    </row>
    <row r="291" spans="1:4" ht="15" customHeight="1">
      <c r="A291" s="206" t="str">
        <f ca="1">IFERROR(__xludf.DUMMYFUNCTION("""COMPUTED_VALUE"""),"AA030509")</f>
        <v>AA030509</v>
      </c>
      <c r="B291" s="205">
        <f ca="1">IFERROR(__xludf.DUMMYFUNCTION("""COMPUTED_VALUE"""),43532)</f>
        <v>43532</v>
      </c>
      <c r="C291" s="205" t="str">
        <f ca="1">IFERROR(__xludf.DUMMYFUNCTION("""COMPUTED_VALUE"""),"AA001632")</f>
        <v>AA001632</v>
      </c>
      <c r="D291" s="205" t="str">
        <f ca="1">IFERROR(__xludf.DUMMYFUNCTION("""COMPUTED_VALUE"""),"AA001632")</f>
        <v>AA001632</v>
      </c>
    </row>
    <row r="292" spans="1:4" ht="15" customHeight="1">
      <c r="A292" s="206" t="str">
        <f ca="1">IFERROR(__xludf.DUMMYFUNCTION("""COMPUTED_VALUE"""),"AA030509")</f>
        <v>AA030509</v>
      </c>
      <c r="B292" s="205">
        <f ca="1">IFERROR(__xludf.DUMMYFUNCTION("""COMPUTED_VALUE"""),43532)</f>
        <v>43532</v>
      </c>
      <c r="C292" s="205" t="str">
        <f ca="1">IFERROR(__xludf.DUMMYFUNCTION("""COMPUTED_VALUE"""),"AA001196")</f>
        <v>AA001196</v>
      </c>
      <c r="D292" s="205" t="str">
        <f ca="1">IFERROR(__xludf.DUMMYFUNCTION("""COMPUTED_VALUE"""),"AA001196")</f>
        <v>AA001196</v>
      </c>
    </row>
    <row r="293" spans="1:4" ht="15" customHeight="1">
      <c r="A293" s="206" t="str">
        <f ca="1">IFERROR(__xludf.DUMMYFUNCTION("""COMPUTED_VALUE"""),"AA030510")</f>
        <v>AA030510</v>
      </c>
      <c r="B293" s="205">
        <f ca="1">IFERROR(__xludf.DUMMYFUNCTION("""COMPUTED_VALUE"""),43532)</f>
        <v>43532</v>
      </c>
      <c r="C293" s="205" t="str">
        <f ca="1">IFERROR(__xludf.DUMMYFUNCTION("""COMPUTED_VALUE"""),"AA001196")</f>
        <v>AA001196</v>
      </c>
      <c r="D293" s="205" t="str">
        <f ca="1">IFERROR(__xludf.DUMMYFUNCTION("""COMPUTED_VALUE"""),"AA001196")</f>
        <v>AA001196</v>
      </c>
    </row>
    <row r="294" spans="1:4" ht="15" customHeight="1">
      <c r="A294" s="206" t="str">
        <f ca="1">IFERROR(__xludf.DUMMYFUNCTION("""COMPUTED_VALUE"""),"AA030712")</f>
        <v>AA030712</v>
      </c>
      <c r="B294" s="205">
        <f ca="1">IFERROR(__xludf.DUMMYFUNCTION("""COMPUTED_VALUE"""),43532)</f>
        <v>43532</v>
      </c>
      <c r="C294" s="205" t="str">
        <f ca="1">IFERROR(__xludf.DUMMYFUNCTION("""COMPUTED_VALUE"""),"AA001196")</f>
        <v>AA001196</v>
      </c>
      <c r="D294" s="205" t="str">
        <f ca="1">IFERROR(__xludf.DUMMYFUNCTION("""COMPUTED_VALUE"""),"AA001196")</f>
        <v>AA001196</v>
      </c>
    </row>
    <row r="295" spans="1:4" ht="15" customHeight="1">
      <c r="A295" s="206" t="str">
        <f ca="1">IFERROR(__xludf.DUMMYFUNCTION("""COMPUTED_VALUE"""),"AA030712")</f>
        <v>AA030712</v>
      </c>
      <c r="B295" s="205">
        <f ca="1">IFERROR(__xludf.DUMMYFUNCTION("""COMPUTED_VALUE"""),43532)</f>
        <v>43532</v>
      </c>
      <c r="C295" s="205" t="str">
        <f ca="1">IFERROR(__xludf.DUMMYFUNCTION("""COMPUTED_VALUE"""),"AA001196")</f>
        <v>AA001196</v>
      </c>
      <c r="D295" s="205" t="str">
        <f ca="1">IFERROR(__xludf.DUMMYFUNCTION("""COMPUTED_VALUE"""),"AA001196")</f>
        <v>AA001196</v>
      </c>
    </row>
    <row r="296" spans="1:4" ht="15" customHeight="1">
      <c r="A296" s="206" t="str">
        <f ca="1">IFERROR(__xludf.DUMMYFUNCTION("""COMPUTED_VALUE"""),"AA030708")</f>
        <v>AA030708</v>
      </c>
      <c r="B296" s="205">
        <f ca="1">IFERROR(__xludf.DUMMYFUNCTION("""COMPUTED_VALUE"""),43532)</f>
        <v>43532</v>
      </c>
      <c r="C296" s="205" t="str">
        <f ca="1">IFERROR(__xludf.DUMMYFUNCTION("""COMPUTED_VALUE"""),"AA001196")</f>
        <v>AA001196</v>
      </c>
      <c r="D296" s="205" t="str">
        <f ca="1">IFERROR(__xludf.DUMMYFUNCTION("""COMPUTED_VALUE"""),"AA001196")</f>
        <v>AA001196</v>
      </c>
    </row>
    <row r="297" spans="1:4" ht="15" customHeight="1">
      <c r="A297" s="206" t="str">
        <f ca="1">IFERROR(__xludf.DUMMYFUNCTION("""COMPUTED_VALUE"""),"AA030710")</f>
        <v>AA030710</v>
      </c>
      <c r="B297" s="205">
        <f ca="1">IFERROR(__xludf.DUMMYFUNCTION("""COMPUTED_VALUE"""),43532)</f>
        <v>43532</v>
      </c>
      <c r="C297" s="205" t="str">
        <f ca="1">IFERROR(__xludf.DUMMYFUNCTION("""COMPUTED_VALUE"""),"AA001196")</f>
        <v>AA001196</v>
      </c>
      <c r="D297" s="205" t="str">
        <f ca="1">IFERROR(__xludf.DUMMYFUNCTION("""COMPUTED_VALUE"""),"AA001196")</f>
        <v>AA001196</v>
      </c>
    </row>
    <row r="298" spans="1:4" ht="15" customHeight="1">
      <c r="A298" s="206" t="str">
        <f ca="1">IFERROR(__xludf.DUMMYFUNCTION("""COMPUTED_VALUE"""),"AA030711")</f>
        <v>AA030711</v>
      </c>
      <c r="B298" s="205">
        <f ca="1">IFERROR(__xludf.DUMMYFUNCTION("""COMPUTED_VALUE"""),43535)</f>
        <v>43535</v>
      </c>
      <c r="C298" s="205" t="str">
        <f ca="1">IFERROR(__xludf.DUMMYFUNCTION("""COMPUTED_VALUE"""),"AA001196")</f>
        <v>AA001196</v>
      </c>
      <c r="D298" s="205" t="str">
        <f ca="1">IFERROR(__xludf.DUMMYFUNCTION("""COMPUTED_VALUE"""),"AA001196")</f>
        <v>AA001196</v>
      </c>
    </row>
    <row r="299" spans="1:4" ht="15" customHeight="1">
      <c r="A299" s="206" t="str">
        <f ca="1">IFERROR(__xludf.DUMMYFUNCTION("""COMPUTED_VALUE"""),"AA030711")</f>
        <v>AA030711</v>
      </c>
      <c r="B299" s="205" t="str">
        <f ca="1">IFERROR(__xludf.DUMMYFUNCTION("""COMPUTED_VALUE"""),"作廢")</f>
        <v>作廢</v>
      </c>
      <c r="C299" s="205" t="str">
        <f ca="1">IFERROR(__xludf.DUMMYFUNCTION("""COMPUTED_VALUE"""),"AA001196")</f>
        <v>AA001196</v>
      </c>
      <c r="D299" s="205" t="str">
        <f ca="1">IFERROR(__xludf.DUMMYFUNCTION("""COMPUTED_VALUE"""),"AA001196")</f>
        <v>AA001196</v>
      </c>
    </row>
    <row r="300" spans="1:4" ht="15" customHeight="1">
      <c r="A300" s="206" t="str">
        <f ca="1">IFERROR(__xludf.DUMMYFUNCTION("""COMPUTED_VALUE"""),"AA030711")</f>
        <v>AA030711</v>
      </c>
      <c r="B300" s="205">
        <f ca="1">IFERROR(__xludf.DUMMYFUNCTION("""COMPUTED_VALUE"""),43535)</f>
        <v>43535</v>
      </c>
      <c r="C300" s="205" t="str">
        <f ca="1">IFERROR(__xludf.DUMMYFUNCTION("""COMPUTED_VALUE"""),"AA001196")</f>
        <v>AA001196</v>
      </c>
      <c r="D300" s="205" t="str">
        <f ca="1">IFERROR(__xludf.DUMMYFUNCTION("""COMPUTED_VALUE"""),"AA001196")</f>
        <v>AA001196</v>
      </c>
    </row>
    <row r="301" spans="1:4" ht="15" customHeight="1">
      <c r="A301" s="206" t="str">
        <f ca="1">IFERROR(__xludf.DUMMYFUNCTION("""COMPUTED_VALUE"""),"AA030702")</f>
        <v>AA030702</v>
      </c>
      <c r="B301" s="205">
        <f ca="1">IFERROR(__xludf.DUMMYFUNCTION("""COMPUTED_VALUE"""),43531)</f>
        <v>43531</v>
      </c>
      <c r="C301" s="205" t="str">
        <f ca="1">IFERROR(__xludf.DUMMYFUNCTION("""COMPUTED_VALUE"""),"AA001196")</f>
        <v>AA001196</v>
      </c>
      <c r="D301" s="205" t="str">
        <f ca="1">IFERROR(__xludf.DUMMYFUNCTION("""COMPUTED_VALUE"""),"AA001196")</f>
        <v>AA001196</v>
      </c>
    </row>
    <row r="302" spans="1:4" ht="15" customHeight="1">
      <c r="A302" s="206" t="str">
        <f ca="1">IFERROR(__xludf.DUMMYFUNCTION("""COMPUTED_VALUE"""),"AA0307")</f>
        <v>AA0307</v>
      </c>
      <c r="B302" s="205">
        <f ca="1">IFERROR(__xludf.DUMMYFUNCTION("""COMPUTED_VALUE"""),43532)</f>
        <v>43532</v>
      </c>
      <c r="C302" s="205" t="str">
        <f ca="1">IFERROR(__xludf.DUMMYFUNCTION("""COMPUTED_VALUE"""),"AA001196")</f>
        <v>AA001196</v>
      </c>
      <c r="D302" s="205" t="str">
        <f ca="1">IFERROR(__xludf.DUMMYFUNCTION("""COMPUTED_VALUE"""),"AA001196")</f>
        <v>AA001196</v>
      </c>
    </row>
    <row r="303" spans="1:4" ht="15" customHeight="1">
      <c r="A303" s="206" t="str">
        <f ca="1">IFERROR(__xludf.DUMMYFUNCTION("""COMPUTED_VALUE"""),"AA030508")</f>
        <v>AA030508</v>
      </c>
      <c r="B303" s="205">
        <f ca="1">IFERROR(__xludf.DUMMYFUNCTION("""COMPUTED_VALUE"""),43532)</f>
        <v>43532</v>
      </c>
      <c r="C303" s="205" t="str">
        <f ca="1">IFERROR(__xludf.DUMMYFUNCTION("""COMPUTED_VALUE"""),"AA001196")</f>
        <v>AA001196</v>
      </c>
      <c r="D303" s="205" t="str">
        <f ca="1">IFERROR(__xludf.DUMMYFUNCTION("""COMPUTED_VALUE"""),"AA001196")</f>
        <v>AA001196</v>
      </c>
    </row>
    <row r="304" spans="1:4" ht="15" customHeight="1">
      <c r="A304" s="206" t="str">
        <f ca="1">IFERROR(__xludf.DUMMYFUNCTION("""COMPUTED_VALUE"""),"AA030703")</f>
        <v>AA030703</v>
      </c>
      <c r="B304" s="205">
        <f ca="1">IFERROR(__xludf.DUMMYFUNCTION("""COMPUTED_VALUE"""),43532)</f>
        <v>43532</v>
      </c>
      <c r="C304" s="205" t="str">
        <f ca="1">IFERROR(__xludf.DUMMYFUNCTION("""COMPUTED_VALUE"""),"AA001196")</f>
        <v>AA001196</v>
      </c>
      <c r="D304" s="205" t="str">
        <f ca="1">IFERROR(__xludf.DUMMYFUNCTION("""COMPUTED_VALUE"""),"AA001196")</f>
        <v>AA001196</v>
      </c>
    </row>
    <row r="305" spans="1:4" ht="15" customHeight="1">
      <c r="A305" s="206" t="str">
        <f ca="1">IFERROR(__xludf.DUMMYFUNCTION("""COMPUTED_VALUE"""),"AA030703")</f>
        <v>AA030703</v>
      </c>
      <c r="B305" s="205">
        <f ca="1">IFERROR(__xludf.DUMMYFUNCTION("""COMPUTED_VALUE"""),43532)</f>
        <v>43532</v>
      </c>
      <c r="C305" s="205" t="str">
        <f ca="1">IFERROR(__xludf.DUMMYFUNCTION("""COMPUTED_VALUE"""),"AA001196")</f>
        <v>AA001196</v>
      </c>
      <c r="D305" s="205" t="str">
        <f ca="1">IFERROR(__xludf.DUMMYFUNCTION("""COMPUTED_VALUE"""),"AA001196")</f>
        <v>AA001196</v>
      </c>
    </row>
    <row r="306" spans="1:4" ht="15" customHeight="1">
      <c r="A306" s="206" t="str">
        <f ca="1">IFERROR(__xludf.DUMMYFUNCTION("""COMPUTED_VALUE"""),"AA030803")</f>
        <v>AA030803</v>
      </c>
      <c r="B306" s="205">
        <f ca="1">IFERROR(__xludf.DUMMYFUNCTION("""COMPUTED_VALUE"""),43535)</f>
        <v>43535</v>
      </c>
      <c r="C306" s="205" t="str">
        <f ca="1">IFERROR(__xludf.DUMMYFUNCTION("""COMPUTED_VALUE"""),"AA001196")</f>
        <v>AA001196</v>
      </c>
      <c r="D306" s="205" t="str">
        <f ca="1">IFERROR(__xludf.DUMMYFUNCTION("""COMPUTED_VALUE"""),"AA001196")</f>
        <v>AA001196</v>
      </c>
    </row>
    <row r="307" spans="1:4" ht="15" customHeight="1">
      <c r="A307" s="206" t="str">
        <f ca="1">IFERROR(__xludf.DUMMYFUNCTION("""COMPUTED_VALUE"""),"AA030802")</f>
        <v>AA030802</v>
      </c>
      <c r="B307" s="205">
        <f ca="1">IFERROR(__xludf.DUMMYFUNCTION("""COMPUTED_VALUE"""),43535)</f>
        <v>43535</v>
      </c>
      <c r="C307" s="205" t="str">
        <f ca="1">IFERROR(__xludf.DUMMYFUNCTION("""COMPUTED_VALUE"""),"AA001196")</f>
        <v>AA001196</v>
      </c>
      <c r="D307" s="205" t="str">
        <f ca="1">IFERROR(__xludf.DUMMYFUNCTION("""COMPUTED_VALUE"""),"AA001196")</f>
        <v>AA001196</v>
      </c>
    </row>
    <row r="308" spans="1:4" ht="15" customHeight="1">
      <c r="A308" s="206" t="str">
        <f ca="1">IFERROR(__xludf.DUMMYFUNCTION("""COMPUTED_VALUE"""),"AA031105")</f>
        <v>AA031105</v>
      </c>
      <c r="B308" s="205">
        <f ca="1">IFERROR(__xludf.DUMMYFUNCTION("""COMPUTED_VALUE"""),43544)</f>
        <v>43544</v>
      </c>
      <c r="C308" s="205" t="str">
        <f ca="1">IFERROR(__xludf.DUMMYFUNCTION("""COMPUTED_VALUE"""),"AA001196")</f>
        <v>AA001196</v>
      </c>
      <c r="D308" s="205" t="str">
        <f ca="1">IFERROR(__xludf.DUMMYFUNCTION("""COMPUTED_VALUE"""),"AA001196")</f>
        <v>AA001196</v>
      </c>
    </row>
    <row r="309" spans="1:4" ht="15" customHeight="1">
      <c r="A309" s="206" t="str">
        <f ca="1">IFERROR(__xludf.DUMMYFUNCTION("""COMPUTED_VALUE"""),"AA031105")</f>
        <v>AA031105</v>
      </c>
      <c r="B309" s="205">
        <f ca="1">IFERROR(__xludf.DUMMYFUNCTION("""COMPUTED_VALUE"""),43544)</f>
        <v>43544</v>
      </c>
      <c r="C309" s="205" t="str">
        <f ca="1">IFERROR(__xludf.DUMMYFUNCTION("""COMPUTED_VALUE"""),"AA001196")</f>
        <v>AA001196</v>
      </c>
      <c r="D309" s="205" t="str">
        <f ca="1">IFERROR(__xludf.DUMMYFUNCTION("""COMPUTED_VALUE"""),"AA001196")</f>
        <v>AA001196</v>
      </c>
    </row>
    <row r="310" spans="1:4" ht="15" customHeight="1">
      <c r="A310" s="206" t="str">
        <f ca="1">IFERROR(__xludf.DUMMYFUNCTION("""COMPUTED_VALUE"""),"AA031107")</f>
        <v>AA031107</v>
      </c>
      <c r="B310" s="205">
        <f ca="1">IFERROR(__xludf.DUMMYFUNCTION("""COMPUTED_VALUE"""),43533)</f>
        <v>43533</v>
      </c>
      <c r="C310" s="205" t="str">
        <f ca="1">IFERROR(__xludf.DUMMYFUNCTION("""COMPUTED_VALUE"""),"AA001196")</f>
        <v>AA001196</v>
      </c>
      <c r="D310" s="205" t="str">
        <f ca="1">IFERROR(__xludf.DUMMYFUNCTION("""COMPUTED_VALUE"""),"AA001196")</f>
        <v>AA001196</v>
      </c>
    </row>
    <row r="311" spans="1:4" ht="15" customHeight="1">
      <c r="A311" s="206" t="str">
        <f ca="1">IFERROR(__xludf.DUMMYFUNCTION("""COMPUTED_VALUE"""),"AA031109")</f>
        <v>AA031109</v>
      </c>
      <c r="B311" s="205">
        <f ca="1">IFERROR(__xludf.DUMMYFUNCTION("""COMPUTED_VALUE"""),43533)</f>
        <v>43533</v>
      </c>
      <c r="C311" s="205" t="str">
        <f ca="1">IFERROR(__xludf.DUMMYFUNCTION("""COMPUTED_VALUE"""),"AA001196")</f>
        <v>AA001196</v>
      </c>
      <c r="D311" s="205" t="str">
        <f ca="1">IFERROR(__xludf.DUMMYFUNCTION("""COMPUTED_VALUE"""),"AA001196")</f>
        <v>AA001196</v>
      </c>
    </row>
    <row r="312" spans="1:4" ht="15" customHeight="1">
      <c r="A312" s="206" t="str">
        <f ca="1">IFERROR(__xludf.DUMMYFUNCTION("""COMPUTED_VALUE"""),"AA031106")</f>
        <v>AA031106</v>
      </c>
      <c r="B312" s="205">
        <f ca="1">IFERROR(__xludf.DUMMYFUNCTION("""COMPUTED_VALUE"""),43544)</f>
        <v>43544</v>
      </c>
      <c r="C312" s="205" t="str">
        <f ca="1">IFERROR(__xludf.DUMMYFUNCTION("""COMPUTED_VALUE"""),"AA001748")</f>
        <v>AA001748</v>
      </c>
      <c r="D312" s="205" t="str">
        <f ca="1">IFERROR(__xludf.DUMMYFUNCTION("""COMPUTED_VALUE"""),"AA001748")</f>
        <v>AA001748</v>
      </c>
    </row>
    <row r="313" spans="1:4" ht="15" customHeight="1">
      <c r="A313" s="206" t="str">
        <f ca="1">IFERROR(__xludf.DUMMYFUNCTION("""COMPUTED_VALUE"""),"AA031104")</f>
        <v>AA031104</v>
      </c>
      <c r="B313" s="205">
        <f ca="1">IFERROR(__xludf.DUMMYFUNCTION("""COMPUTED_VALUE"""),43544)</f>
        <v>43544</v>
      </c>
      <c r="C313" s="205" t="str">
        <f ca="1">IFERROR(__xludf.DUMMYFUNCTION("""COMPUTED_VALUE"""),"AA001748")</f>
        <v>AA001748</v>
      </c>
      <c r="D313" s="205" t="str">
        <f ca="1">IFERROR(__xludf.DUMMYFUNCTION("""COMPUTED_VALUE"""),"AA001748")</f>
        <v>AA001748</v>
      </c>
    </row>
    <row r="314" spans="1:4" ht="15" customHeight="1">
      <c r="A314" s="206" t="str">
        <f ca="1">IFERROR(__xludf.DUMMYFUNCTION("""COMPUTED_VALUE"""),"AA031108")</f>
        <v>AA031108</v>
      </c>
      <c r="B314" s="205">
        <f ca="1">IFERROR(__xludf.DUMMYFUNCTION("""COMPUTED_VALUE"""),43533)</f>
        <v>43533</v>
      </c>
      <c r="C314" s="205" t="str">
        <f ca="1">IFERROR(__xludf.DUMMYFUNCTION("""COMPUTED_VALUE"""),"AA001107")</f>
        <v>AA001107</v>
      </c>
      <c r="D314" s="205" t="str">
        <f ca="1">IFERROR(__xludf.DUMMYFUNCTION("""COMPUTED_VALUE"""),"AA001107")</f>
        <v>AA001107</v>
      </c>
    </row>
    <row r="315" spans="1:4" ht="15" customHeight="1">
      <c r="A315" s="206" t="str">
        <f ca="1">IFERROR(__xludf.DUMMYFUNCTION("""COMPUTED_VALUE"""),"AA031103")</f>
        <v>AA031103</v>
      </c>
      <c r="B315" s="205">
        <f ca="1">IFERROR(__xludf.DUMMYFUNCTION("""COMPUTED_VALUE"""),43535)</f>
        <v>43535</v>
      </c>
      <c r="C315" s="205" t="str">
        <f ca="1">IFERROR(__xludf.DUMMYFUNCTION("""COMPUTED_VALUE"""),"AA001107")</f>
        <v>AA001107</v>
      </c>
      <c r="D315" s="205" t="str">
        <f ca="1">IFERROR(__xludf.DUMMYFUNCTION("""COMPUTED_VALUE"""),"AA001107")</f>
        <v>AA001107</v>
      </c>
    </row>
    <row r="316" spans="1:4" ht="15" customHeight="1">
      <c r="A316" s="206" t="str">
        <f ca="1">IFERROR(__xludf.DUMMYFUNCTION("""COMPUTED_VALUE"""),"AA031102")</f>
        <v>AA031102</v>
      </c>
      <c r="B316" s="205">
        <f ca="1">IFERROR(__xludf.DUMMYFUNCTION("""COMPUTED_VALUE"""),43535)</f>
        <v>43535</v>
      </c>
      <c r="C316" s="205" t="str">
        <f ca="1">IFERROR(__xludf.DUMMYFUNCTION("""COMPUTED_VALUE"""),"AA001418")</f>
        <v>AA001418</v>
      </c>
      <c r="D316" s="205" t="str">
        <f ca="1">IFERROR(__xludf.DUMMYFUNCTION("""COMPUTED_VALUE"""),"AA001418")</f>
        <v>AA001418</v>
      </c>
    </row>
    <row r="317" spans="1:4" ht="15" customHeight="1">
      <c r="A317" s="206" t="str">
        <f ca="1">IFERROR(__xludf.DUMMYFUNCTION("""COMPUTED_VALUE"""),"AA031114")</f>
        <v>AA031114</v>
      </c>
      <c r="B317" s="205">
        <f ca="1">IFERROR(__xludf.DUMMYFUNCTION("""COMPUTED_VALUE"""),43534)</f>
        <v>43534</v>
      </c>
      <c r="C317" s="205" t="str">
        <f ca="1">IFERROR(__xludf.DUMMYFUNCTION("""COMPUTED_VALUE"""),"AA001418")</f>
        <v>AA001418</v>
      </c>
      <c r="D317" s="205" t="str">
        <f ca="1">IFERROR(__xludf.DUMMYFUNCTION("""COMPUTED_VALUE"""),"AA001418")</f>
        <v>AA001418</v>
      </c>
    </row>
    <row r="318" spans="1:4" ht="15" customHeight="1">
      <c r="A318" s="206" t="str">
        <f ca="1">IFERROR(__xludf.DUMMYFUNCTION("""COMPUTED_VALUE"""),"AA0311")</f>
        <v>AA0311</v>
      </c>
      <c r="B318" t="str">
        <f ca="1">IFERROR(__xludf.DUMMYFUNCTION("""COMPUTED_VALUE"""),"")</f>
        <v/>
      </c>
      <c r="C318" s="205" t="str">
        <f ca="1">IFERROR(__xludf.DUMMYFUNCTION("""COMPUTED_VALUE"""),"AA001418")</f>
        <v>AA001418</v>
      </c>
      <c r="D318" s="205" t="str">
        <f ca="1">IFERROR(__xludf.DUMMYFUNCTION("""COMPUTED_VALUE"""),"AA001418")</f>
        <v>AA001418</v>
      </c>
    </row>
    <row r="319" spans="1:4" ht="15" customHeight="1">
      <c r="A319" s="206" t="str">
        <f ca="1">IFERROR(__xludf.DUMMYFUNCTION("""COMPUTED_VALUE"""),"AA031203")</f>
        <v>AA031203</v>
      </c>
      <c r="B319" s="205">
        <f ca="1">IFERROR(__xludf.DUMMYFUNCTION("""COMPUTED_VALUE"""),43537)</f>
        <v>43537</v>
      </c>
      <c r="C319" s="205" t="str">
        <f ca="1">IFERROR(__xludf.DUMMYFUNCTION("""COMPUTED_VALUE"""),"AA001418")</f>
        <v>AA001418</v>
      </c>
      <c r="D319" s="205" t="str">
        <f ca="1">IFERROR(__xludf.DUMMYFUNCTION("""COMPUTED_VALUE"""),"AA001418")</f>
        <v>AA001418</v>
      </c>
    </row>
    <row r="320" spans="1:4" ht="15" customHeight="1">
      <c r="A320" s="206" t="str">
        <f ca="1">IFERROR(__xludf.DUMMYFUNCTION("""COMPUTED_VALUE"""),"AA031201")</f>
        <v>AA031201</v>
      </c>
      <c r="B320" s="205">
        <f ca="1">IFERROR(__xludf.DUMMYFUNCTION("""COMPUTED_VALUE"""),43536)</f>
        <v>43536</v>
      </c>
      <c r="C320" s="205" t="str">
        <f ca="1">IFERROR(__xludf.DUMMYFUNCTION("""COMPUTED_VALUE"""),"AA001418")</f>
        <v>AA001418</v>
      </c>
      <c r="D320" s="205" t="str">
        <f ca="1">IFERROR(__xludf.DUMMYFUNCTION("""COMPUTED_VALUE"""),"AA001418")</f>
        <v>AA001418</v>
      </c>
    </row>
    <row r="321" spans="1:4" ht="15" customHeight="1">
      <c r="A321" s="206" t="str">
        <f ca="1">IFERROR(__xludf.DUMMYFUNCTION("""COMPUTED_VALUE"""),"AA031111")</f>
        <v>AA031111</v>
      </c>
      <c r="B321" s="205">
        <f ca="1">IFERROR(__xludf.DUMMYFUNCTION("""COMPUTED_VALUE"""),43536)</f>
        <v>43536</v>
      </c>
      <c r="C321" s="205" t="str">
        <f ca="1">IFERROR(__xludf.DUMMYFUNCTION("""COMPUTED_VALUE"""),"AA001669")</f>
        <v>AA001669</v>
      </c>
      <c r="D321" s="205" t="str">
        <f ca="1">IFERROR(__xludf.DUMMYFUNCTION("""COMPUTED_VALUE"""),"AA001669")</f>
        <v>AA001669</v>
      </c>
    </row>
    <row r="322" spans="1:4" ht="15" customHeight="1">
      <c r="A322" s="206" t="str">
        <f ca="1">IFERROR(__xludf.DUMMYFUNCTION("""COMPUTED_VALUE"""),"AA0311")</f>
        <v>AA0311</v>
      </c>
      <c r="B322" s="205">
        <f ca="1">IFERROR(__xludf.DUMMYFUNCTION("""COMPUTED_VALUE"""),43537)</f>
        <v>43537</v>
      </c>
      <c r="C322" s="205" t="str">
        <f ca="1">IFERROR(__xludf.DUMMYFUNCTION("""COMPUTED_VALUE"""),"AA001669")</f>
        <v>AA001669</v>
      </c>
      <c r="D322" s="205" t="str">
        <f ca="1">IFERROR(__xludf.DUMMYFUNCTION("""COMPUTED_VALUE"""),"AA001669")</f>
        <v>AA001669</v>
      </c>
    </row>
    <row r="323" spans="1:4" ht="15" customHeight="1">
      <c r="A323" s="206" t="str">
        <f ca="1">IFERROR(__xludf.DUMMYFUNCTION("""COMPUTED_VALUE"""),"AA0311")</f>
        <v>AA0311</v>
      </c>
      <c r="B323" s="205">
        <f ca="1">IFERROR(__xludf.DUMMYFUNCTION("""COMPUTED_VALUE"""),43537)</f>
        <v>43537</v>
      </c>
      <c r="C323" s="205" t="str">
        <f ca="1">IFERROR(__xludf.DUMMYFUNCTION("""COMPUTED_VALUE"""),"AA001686")</f>
        <v>AA001686</v>
      </c>
      <c r="D323" s="205" t="str">
        <f ca="1">IFERROR(__xludf.DUMMYFUNCTION("""COMPUTED_VALUE"""),"AA001686")</f>
        <v>AA001686</v>
      </c>
    </row>
    <row r="324" spans="1:4" ht="15" customHeight="1">
      <c r="A324" s="206" t="str">
        <f ca="1">IFERROR(__xludf.DUMMYFUNCTION("""COMPUTED_VALUE"""),"AA0311")</f>
        <v>AA0311</v>
      </c>
      <c r="B324" s="205">
        <f ca="1">IFERROR(__xludf.DUMMYFUNCTION("""COMPUTED_VALUE"""),43537)</f>
        <v>43537</v>
      </c>
      <c r="C324" s="205" t="str">
        <f ca="1">IFERROR(__xludf.DUMMYFUNCTION("""COMPUTED_VALUE"""),"AA001772")</f>
        <v>AA001772</v>
      </c>
      <c r="D324" s="205" t="str">
        <f ca="1">IFERROR(__xludf.DUMMYFUNCTION("""COMPUTED_VALUE"""),"AA001772")</f>
        <v>AA001772</v>
      </c>
    </row>
    <row r="325" spans="1:4" ht="15" customHeight="1">
      <c r="A325" s="206" t="str">
        <f ca="1">IFERROR(__xludf.DUMMYFUNCTION("""COMPUTED_VALUE"""),"AA031113")</f>
        <v>AA031113</v>
      </c>
      <c r="B325" s="205">
        <f ca="1">IFERROR(__xludf.DUMMYFUNCTION("""COMPUTED_VALUE"""),43537)</f>
        <v>43537</v>
      </c>
      <c r="C325" s="205" t="str">
        <f ca="1">IFERROR(__xludf.DUMMYFUNCTION("""COMPUTED_VALUE"""),"AA001772")</f>
        <v>AA001772</v>
      </c>
      <c r="D325" s="205" t="str">
        <f ca="1">IFERROR(__xludf.DUMMYFUNCTION("""COMPUTED_VALUE"""),"AA001772")</f>
        <v>AA001772</v>
      </c>
    </row>
    <row r="326" spans="1:4" ht="15" customHeight="1">
      <c r="A326" s="206" t="str">
        <f ca="1">IFERROR(__xludf.DUMMYFUNCTION("""COMPUTED_VALUE"""),"AA031113")</f>
        <v>AA031113</v>
      </c>
      <c r="B326" s="205">
        <f ca="1">IFERROR(__xludf.DUMMYFUNCTION("""COMPUTED_VALUE"""),43537)</f>
        <v>43537</v>
      </c>
      <c r="C326" s="205" t="str">
        <f ca="1">IFERROR(__xludf.DUMMYFUNCTION("""COMPUTED_VALUE"""),"AA001772")</f>
        <v>AA001772</v>
      </c>
      <c r="D326" s="205" t="str">
        <f ca="1">IFERROR(__xludf.DUMMYFUNCTION("""COMPUTED_VALUE"""),"AA001772")</f>
        <v>AA001772</v>
      </c>
    </row>
    <row r="327" spans="1:4" ht="15" customHeight="1">
      <c r="A327" s="206" t="str">
        <f ca="1">IFERROR(__xludf.DUMMYFUNCTION("""COMPUTED_VALUE"""),"AA031110")</f>
        <v>AA031110</v>
      </c>
      <c r="B327" s="205">
        <f ca="1">IFERROR(__xludf.DUMMYFUNCTION("""COMPUTED_VALUE"""),43536)</f>
        <v>43536</v>
      </c>
      <c r="C327" s="205" t="str">
        <f ca="1">IFERROR(__xludf.DUMMYFUNCTION("""COMPUTED_VALUE"""),"AA001609")</f>
        <v>AA001609</v>
      </c>
      <c r="D327" s="205" t="str">
        <f ca="1">IFERROR(__xludf.DUMMYFUNCTION("""COMPUTED_VALUE"""),"AA001609")</f>
        <v>AA001609</v>
      </c>
    </row>
    <row r="328" spans="1:4" ht="15" customHeight="1">
      <c r="A328" s="206" t="str">
        <f ca="1">IFERROR(__xludf.DUMMYFUNCTION("""COMPUTED_VALUE"""),"AA031110")</f>
        <v>AA031110</v>
      </c>
      <c r="B328" s="205">
        <f ca="1">IFERROR(__xludf.DUMMYFUNCTION("""COMPUTED_VALUE"""),43536)</f>
        <v>43536</v>
      </c>
      <c r="C328" s="205" t="str">
        <f ca="1">IFERROR(__xludf.DUMMYFUNCTION("""COMPUTED_VALUE"""),"AA001780")</f>
        <v>AA001780</v>
      </c>
      <c r="D328" s="205" t="str">
        <f ca="1">IFERROR(__xludf.DUMMYFUNCTION("""COMPUTED_VALUE"""),"AA001780")</f>
        <v>AA001780</v>
      </c>
    </row>
    <row r="329" spans="1:4" ht="15" customHeight="1">
      <c r="A329" s="206" t="str">
        <f ca="1">IFERROR(__xludf.DUMMYFUNCTION("""COMPUTED_VALUE"""),"AA031110")</f>
        <v>AA031110</v>
      </c>
      <c r="B329" s="205">
        <f ca="1">IFERROR(__xludf.DUMMYFUNCTION("""COMPUTED_VALUE"""),43536)</f>
        <v>43536</v>
      </c>
      <c r="C329" s="205" t="str">
        <f ca="1">IFERROR(__xludf.DUMMYFUNCTION("""COMPUTED_VALUE"""),"AA001780")</f>
        <v>AA001780</v>
      </c>
      <c r="D329" s="205" t="str">
        <f ca="1">IFERROR(__xludf.DUMMYFUNCTION("""COMPUTED_VALUE"""),"AA001780")</f>
        <v>AA001780</v>
      </c>
    </row>
    <row r="330" spans="1:4" ht="15" customHeight="1">
      <c r="A330" s="206" t="str">
        <f ca="1">IFERROR(__xludf.DUMMYFUNCTION("""COMPUTED_VALUE"""),"AA000966")</f>
        <v>AA000966</v>
      </c>
      <c r="B330" s="205">
        <f ca="1">IFERROR(__xludf.DUMMYFUNCTION("""COMPUTED_VALUE"""),43571)</f>
        <v>43571</v>
      </c>
      <c r="C330" s="205" t="str">
        <f ca="1">IFERROR(__xludf.DUMMYFUNCTION("""COMPUTED_VALUE"""),"AA001780")</f>
        <v>AA001780</v>
      </c>
      <c r="D330" s="205" t="str">
        <f ca="1">IFERROR(__xludf.DUMMYFUNCTION("""COMPUTED_VALUE"""),"AA001780")</f>
        <v>AA001780</v>
      </c>
    </row>
    <row r="331" spans="1:4" ht="15" customHeight="1">
      <c r="A331" s="206" t="str">
        <f ca="1">IFERROR(__xludf.DUMMYFUNCTION("""COMPUTED_VALUE""")," AA0311")</f>
        <v xml:space="preserve"> AA0311</v>
      </c>
      <c r="B331" t="str">
        <f ca="1">IFERROR(__xludf.DUMMYFUNCTION("""COMPUTED_VALUE"""),"")</f>
        <v/>
      </c>
      <c r="C331" s="205" t="str">
        <f ca="1">IFERROR(__xludf.DUMMYFUNCTION("""COMPUTED_VALUE"""),"AA001780")</f>
        <v>AA001780</v>
      </c>
      <c r="D331" s="205" t="str">
        <f ca="1">IFERROR(__xludf.DUMMYFUNCTION("""COMPUTED_VALUE"""),"AA001780")</f>
        <v>AA001780</v>
      </c>
    </row>
    <row r="332" spans="1:4" ht="15" customHeight="1">
      <c r="A332" s="206" t="str">
        <f ca="1">IFERROR(__xludf.DUMMYFUNCTION("""COMPUTED_VALUE"""),"AA031301")</f>
        <v>AA031301</v>
      </c>
      <c r="B332" s="205">
        <f ca="1">IFERROR(__xludf.DUMMYFUNCTION("""COMPUTED_VALUE"""),43545)</f>
        <v>43545</v>
      </c>
      <c r="C332" s="205" t="str">
        <f ca="1">IFERROR(__xludf.DUMMYFUNCTION("""COMPUTED_VALUE"""),"AA001780")</f>
        <v>AA001780</v>
      </c>
      <c r="D332" s="205" t="str">
        <f ca="1">IFERROR(__xludf.DUMMYFUNCTION("""COMPUTED_VALUE"""),"AA001780")</f>
        <v>AA001780</v>
      </c>
    </row>
    <row r="333" spans="1:4" ht="15" customHeight="1">
      <c r="A333" s="206" t="str">
        <f ca="1">IFERROR(__xludf.DUMMYFUNCTION("""COMPUTED_VALUE"""),"AB001001")</f>
        <v>AB001001</v>
      </c>
      <c r="B333" s="205">
        <f ca="1">IFERROR(__xludf.DUMMYFUNCTION("""COMPUTED_VALUE"""),43550)</f>
        <v>43550</v>
      </c>
      <c r="C333" s="205" t="str">
        <f ca="1">IFERROR(__xludf.DUMMYFUNCTION("""COMPUTED_VALUE"""),"AA001773")</f>
        <v>AA001773</v>
      </c>
      <c r="D333" s="205" t="str">
        <f ca="1">IFERROR(__xludf.DUMMYFUNCTION("""COMPUTED_VALUE"""),"AA001773")</f>
        <v>AA001773</v>
      </c>
    </row>
    <row r="334" spans="1:4" ht="15" customHeight="1">
      <c r="A334" s="206" t="str">
        <f ca="1">IFERROR(__xludf.DUMMYFUNCTION("""COMPUTED_VALUE"""),"AB000041")</f>
        <v>AB000041</v>
      </c>
      <c r="B334" s="205">
        <f ca="1">IFERROR(__xludf.DUMMYFUNCTION("""COMPUTED_VALUE"""),43538)</f>
        <v>43538</v>
      </c>
      <c r="C334" s="205" t="str">
        <f ca="1">IFERROR(__xludf.DUMMYFUNCTION("""COMPUTED_VALUE"""),"AA001206")</f>
        <v>AA001206</v>
      </c>
      <c r="D334" s="205" t="str">
        <f ca="1">IFERROR(__xludf.DUMMYFUNCTION("""COMPUTED_VALUE"""),"AA001206")</f>
        <v>AA001206</v>
      </c>
    </row>
    <row r="335" spans="1:4" ht="15" customHeight="1">
      <c r="A335" s="206" t="str">
        <f ca="1">IFERROR(__xludf.DUMMYFUNCTION("""COMPUTED_VALUE"""),"AB000011")</f>
        <v>AB000011</v>
      </c>
      <c r="B335" s="205">
        <f ca="1">IFERROR(__xludf.DUMMYFUNCTION("""COMPUTED_VALUE"""),43538)</f>
        <v>43538</v>
      </c>
      <c r="C335" s="205" t="str">
        <f ca="1">IFERROR(__xludf.DUMMYFUNCTION("""COMPUTED_VALUE"""),"AA001788")</f>
        <v>AA001788</v>
      </c>
      <c r="D335" s="205" t="str">
        <f ca="1">IFERROR(__xludf.DUMMYFUNCTION("""COMPUTED_VALUE"""),"AA001788")</f>
        <v>AA001788</v>
      </c>
    </row>
    <row r="336" spans="1:4" ht="15" customHeight="1">
      <c r="A336" s="206" t="str">
        <f ca="1">IFERROR(__xludf.DUMMYFUNCTION("""COMPUTED_VALUE"""),"AB000019")</f>
        <v>AB000019</v>
      </c>
      <c r="B336" s="205">
        <f ca="1">IFERROR(__xludf.DUMMYFUNCTION("""COMPUTED_VALUE"""),43538)</f>
        <v>43538</v>
      </c>
      <c r="C336" s="205" t="str">
        <f ca="1">IFERROR(__xludf.DUMMYFUNCTION("""COMPUTED_VALUE"""),"AA001788")</f>
        <v>AA001788</v>
      </c>
      <c r="D336" s="205" t="str">
        <f ca="1">IFERROR(__xludf.DUMMYFUNCTION("""COMPUTED_VALUE"""),"AA001788")</f>
        <v>AA001788</v>
      </c>
    </row>
    <row r="337" spans="1:4" ht="15" customHeight="1">
      <c r="A337" s="206" t="str">
        <f ca="1">IFERROR(__xludf.DUMMYFUNCTION("""COMPUTED_VALUE"""),"AB000003")</f>
        <v>AB000003</v>
      </c>
      <c r="B337" s="205">
        <f ca="1">IFERROR(__xludf.DUMMYFUNCTION("""COMPUTED_VALUE"""),43538)</f>
        <v>43538</v>
      </c>
      <c r="C337" s="205" t="str">
        <f ca="1">IFERROR(__xludf.DUMMYFUNCTION("""COMPUTED_VALUE"""),"AA001788")</f>
        <v>AA001788</v>
      </c>
      <c r="D337" s="205" t="str">
        <f ca="1">IFERROR(__xludf.DUMMYFUNCTION("""COMPUTED_VALUE"""),"AA001788")</f>
        <v>AA001788</v>
      </c>
    </row>
    <row r="338" spans="1:4" ht="15" customHeight="1">
      <c r="A338" s="206" t="str">
        <f ca="1">IFERROR(__xludf.DUMMYFUNCTION("""COMPUTED_VALUE"""),"AB000033")</f>
        <v>AB000033</v>
      </c>
      <c r="B338" s="205">
        <f ca="1">IFERROR(__xludf.DUMMYFUNCTION("""COMPUTED_VALUE"""),43538)</f>
        <v>43538</v>
      </c>
      <c r="C338" s="205" t="str">
        <f ca="1">IFERROR(__xludf.DUMMYFUNCTION("""COMPUTED_VALUE"""),"AA001788")</f>
        <v>AA001788</v>
      </c>
      <c r="D338" s="205" t="str">
        <f ca="1">IFERROR(__xludf.DUMMYFUNCTION("""COMPUTED_VALUE"""),"AA001788")</f>
        <v>AA001788</v>
      </c>
    </row>
    <row r="339" spans="1:4" ht="15" customHeight="1">
      <c r="A339" s="206" t="str">
        <f ca="1">IFERROR(__xludf.DUMMYFUNCTION("""COMPUTED_VALUE"""),"AB000042")</f>
        <v>AB000042</v>
      </c>
      <c r="B339" s="205">
        <f ca="1">IFERROR(__xludf.DUMMYFUNCTION("""COMPUTED_VALUE"""),43538)</f>
        <v>43538</v>
      </c>
      <c r="C339" s="205" t="str">
        <f ca="1">IFERROR(__xludf.DUMMYFUNCTION("""COMPUTED_VALUE"""),"AA001788")</f>
        <v>AA001788</v>
      </c>
      <c r="D339" s="205" t="str">
        <f ca="1">IFERROR(__xludf.DUMMYFUNCTION("""COMPUTED_VALUE"""),"AA001788")</f>
        <v>AA001788</v>
      </c>
    </row>
    <row r="340" spans="1:4" ht="15" customHeight="1">
      <c r="A340" s="206" t="str">
        <f ca="1">IFERROR(__xludf.DUMMYFUNCTION("""COMPUTED_VALUE"""),"AB000042")</f>
        <v>AB000042</v>
      </c>
      <c r="B340" s="205">
        <f ca="1">IFERROR(__xludf.DUMMYFUNCTION("""COMPUTED_VALUE"""),43538)</f>
        <v>43538</v>
      </c>
      <c r="C340" s="205" t="str">
        <f ca="1">IFERROR(__xludf.DUMMYFUNCTION("""COMPUTED_VALUE"""),"AA001763")</f>
        <v>AA001763</v>
      </c>
      <c r="D340" s="205" t="str">
        <f ca="1">IFERROR(__xludf.DUMMYFUNCTION("""COMPUTED_VALUE"""),"AA001763")</f>
        <v>AA001763</v>
      </c>
    </row>
    <row r="341" spans="1:4" ht="15" customHeight="1">
      <c r="A341" s="206" t="str">
        <f ca="1">IFERROR(__xludf.DUMMYFUNCTION("""COMPUTED_VALUE"""),"AB000042")</f>
        <v>AB000042</v>
      </c>
      <c r="B341" s="205">
        <f ca="1">IFERROR(__xludf.DUMMYFUNCTION("""COMPUTED_VALUE"""),43538)</f>
        <v>43538</v>
      </c>
      <c r="C341" s="205" t="str">
        <f ca="1">IFERROR(__xludf.DUMMYFUNCTION("""COMPUTED_VALUE"""),"AA001109")</f>
        <v>AA001109</v>
      </c>
      <c r="D341" s="205" t="str">
        <f ca="1">IFERROR(__xludf.DUMMYFUNCTION("""COMPUTED_VALUE"""),"AA001109")</f>
        <v>AA001109</v>
      </c>
    </row>
    <row r="342" spans="1:4" ht="15" customHeight="1">
      <c r="A342" s="206" t="str">
        <f ca="1">IFERROR(__xludf.DUMMYFUNCTION("""COMPUTED_VALUE"""),"AB000012")</f>
        <v>AB000012</v>
      </c>
      <c r="B342" s="205">
        <f ca="1">IFERROR(__xludf.DUMMYFUNCTION("""COMPUTED_VALUE"""),43538)</f>
        <v>43538</v>
      </c>
      <c r="C342" s="205" t="str">
        <f ca="1">IFERROR(__xludf.DUMMYFUNCTION("""COMPUTED_VALUE"""),"AA001764")</f>
        <v>AA001764</v>
      </c>
      <c r="D342" s="205" t="str">
        <f ca="1">IFERROR(__xludf.DUMMYFUNCTION("""COMPUTED_VALUE"""),"AA001764")</f>
        <v>AA001764</v>
      </c>
    </row>
    <row r="343" spans="1:4" ht="15" customHeight="1">
      <c r="A343" s="206" t="str">
        <f ca="1">IFERROR(__xludf.DUMMYFUNCTION("""COMPUTED_VALUE"""),"AB000004")</f>
        <v>AB000004</v>
      </c>
      <c r="B343" s="205">
        <f ca="1">IFERROR(__xludf.DUMMYFUNCTION("""COMPUTED_VALUE"""),43538)</f>
        <v>43538</v>
      </c>
      <c r="C343" s="205" t="str">
        <f ca="1">IFERROR(__xludf.DUMMYFUNCTION("""COMPUTED_VALUE"""),"AA001764")</f>
        <v>AA001764</v>
      </c>
      <c r="D343" s="205" t="str">
        <f ca="1">IFERROR(__xludf.DUMMYFUNCTION("""COMPUTED_VALUE"""),"AA001764")</f>
        <v>AA001764</v>
      </c>
    </row>
    <row r="344" spans="1:4" ht="15" customHeight="1">
      <c r="A344" s="206" t="str">
        <f ca="1">IFERROR(__xludf.DUMMYFUNCTION("""COMPUTED_VALUE"""),"AB000015")</f>
        <v>AB000015</v>
      </c>
      <c r="B344" s="205">
        <f ca="1">IFERROR(__xludf.DUMMYFUNCTION("""COMPUTED_VALUE"""),43538)</f>
        <v>43538</v>
      </c>
      <c r="C344" s="205" t="str">
        <f ca="1">IFERROR(__xludf.DUMMYFUNCTION("""COMPUTED_VALUE"""),"AA001670")</f>
        <v>AA001670</v>
      </c>
      <c r="D344" s="205" t="str">
        <f ca="1">IFERROR(__xludf.DUMMYFUNCTION("""COMPUTED_VALUE"""),"AA001670")</f>
        <v>AA001670</v>
      </c>
    </row>
    <row r="345" spans="1:4" ht="15" customHeight="1">
      <c r="A345" s="206" t="str">
        <f ca="1">IFERROR(__xludf.DUMMYFUNCTION("""COMPUTED_VALUE"""),"AB000136")</f>
        <v>AB000136</v>
      </c>
      <c r="B345" s="205">
        <f ca="1">IFERROR(__xludf.DUMMYFUNCTION("""COMPUTED_VALUE"""),43538)</f>
        <v>43538</v>
      </c>
      <c r="C345" s="205" t="str">
        <f ca="1">IFERROR(__xludf.DUMMYFUNCTION("""COMPUTED_VALUE"""),"AA001811")</f>
        <v>AA001811</v>
      </c>
      <c r="D345" s="205" t="str">
        <f ca="1">IFERROR(__xludf.DUMMYFUNCTION("""COMPUTED_VALUE"""),"AA001811")</f>
        <v>AA001811</v>
      </c>
    </row>
    <row r="346" spans="1:4" ht="15" customHeight="1">
      <c r="A346" s="206" t="str">
        <f ca="1">IFERROR(__xludf.DUMMYFUNCTION("""COMPUTED_VALUE"""),"AB000016")</f>
        <v>AB000016</v>
      </c>
      <c r="B346" s="205">
        <f ca="1">IFERROR(__xludf.DUMMYFUNCTION("""COMPUTED_VALUE"""),43539)</f>
        <v>43539</v>
      </c>
      <c r="C346" s="205" t="str">
        <f ca="1">IFERROR(__xludf.DUMMYFUNCTION("""COMPUTED_VALUE"""),"AA001805")</f>
        <v>AA001805</v>
      </c>
      <c r="D346" s="205" t="str">
        <f ca="1">IFERROR(__xludf.DUMMYFUNCTION("""COMPUTED_VALUE"""),"AA001805")</f>
        <v>AA001805</v>
      </c>
    </row>
    <row r="347" spans="1:4" ht="15" customHeight="1">
      <c r="A347" s="206" t="str">
        <f ca="1">IFERROR(__xludf.DUMMYFUNCTION("""COMPUTED_VALUE"""),"AB000137")</f>
        <v>AB000137</v>
      </c>
      <c r="B347" s="205">
        <f ca="1">IFERROR(__xludf.DUMMYFUNCTION("""COMPUTED_VALUE"""),43539)</f>
        <v>43539</v>
      </c>
      <c r="C347" s="205" t="str">
        <f ca="1">IFERROR(__xludf.DUMMYFUNCTION("""COMPUTED_VALUE"""),"AA001808")</f>
        <v>AA001808</v>
      </c>
      <c r="D347" s="205" t="str">
        <f ca="1">IFERROR(__xludf.DUMMYFUNCTION("""COMPUTED_VALUE"""),"AA001808")</f>
        <v>AA001808</v>
      </c>
    </row>
    <row r="348" spans="1:4" ht="15" customHeight="1">
      <c r="A348" s="206" t="str">
        <f ca="1">IFERROR(__xludf.DUMMYFUNCTION("""COMPUTED_VALUE"""),"AB000023")</f>
        <v>AB000023</v>
      </c>
      <c r="B348" s="205">
        <f ca="1">IFERROR(__xludf.DUMMYFUNCTION("""COMPUTED_VALUE"""),43539)</f>
        <v>43539</v>
      </c>
      <c r="C348" s="205" t="str">
        <f ca="1">IFERROR(__xludf.DUMMYFUNCTION("""COMPUTED_VALUE"""),"AA001110")</f>
        <v>AA001110</v>
      </c>
      <c r="D348" s="205" t="str">
        <f ca="1">IFERROR(__xludf.DUMMYFUNCTION("""COMPUTED_VALUE"""),"AA001110")</f>
        <v>AA001110</v>
      </c>
    </row>
    <row r="349" spans="1:4" ht="15" customHeight="1">
      <c r="A349" s="206" t="str">
        <f ca="1">IFERROR(__xludf.DUMMYFUNCTION("""COMPUTED_VALUE"""),"AB001004")</f>
        <v>AB001004</v>
      </c>
      <c r="B349" s="205">
        <f ca="1">IFERROR(__xludf.DUMMYFUNCTION("""COMPUTED_VALUE"""),43539)</f>
        <v>43539</v>
      </c>
      <c r="C349" s="205" t="str">
        <f ca="1">IFERROR(__xludf.DUMMYFUNCTION("""COMPUTED_VALUE"""),"AA001110")</f>
        <v>AA001110</v>
      </c>
      <c r="D349" s="205" t="str">
        <f ca="1">IFERROR(__xludf.DUMMYFUNCTION("""COMPUTED_VALUE"""),"AA001110")</f>
        <v>AA001110</v>
      </c>
    </row>
    <row r="350" spans="1:4" ht="15" customHeight="1">
      <c r="A350" s="206" t="str">
        <f ca="1">IFERROR(__xludf.DUMMYFUNCTION("""COMPUTED_VALUE"""),"AB001005")</f>
        <v>AB001005</v>
      </c>
      <c r="B350" s="205">
        <f ca="1">IFERROR(__xludf.DUMMYFUNCTION("""COMPUTED_VALUE"""),43539)</f>
        <v>43539</v>
      </c>
      <c r="C350" s="205" t="str">
        <f ca="1">IFERROR(__xludf.DUMMYFUNCTION("""COMPUTED_VALUE"""),"AA001110")</f>
        <v>AA001110</v>
      </c>
      <c r="D350" s="205" t="str">
        <f ca="1">IFERROR(__xludf.DUMMYFUNCTION("""COMPUTED_VALUE"""),"AA001110")</f>
        <v>AA001110</v>
      </c>
    </row>
    <row r="351" spans="1:4" ht="15" customHeight="1">
      <c r="A351" s="206" t="str">
        <f ca="1">IFERROR(__xludf.DUMMYFUNCTION("""COMPUTED_VALUE"""),"AB000091")</f>
        <v>AB000091</v>
      </c>
      <c r="B351" s="205">
        <f ca="1">IFERROR(__xludf.DUMMYFUNCTION("""COMPUTED_VALUE"""),43539)</f>
        <v>43539</v>
      </c>
      <c r="C351" s="205" t="str">
        <f ca="1">IFERROR(__xludf.DUMMYFUNCTION("""COMPUTED_VALUE"""),"AA001110")</f>
        <v>AA001110</v>
      </c>
      <c r="D351" s="205" t="str">
        <f ca="1">IFERROR(__xludf.DUMMYFUNCTION("""COMPUTED_VALUE"""),"AA001110")</f>
        <v>AA001110</v>
      </c>
    </row>
    <row r="352" spans="1:4" ht="15" customHeight="1">
      <c r="A352" s="206" t="str">
        <f ca="1">IFERROR(__xludf.DUMMYFUNCTION("""COMPUTED_VALUE"""),"AB001007")</f>
        <v>AB001007</v>
      </c>
      <c r="B352" s="205">
        <f ca="1">IFERROR(__xludf.DUMMYFUNCTION("""COMPUTED_VALUE"""),43539)</f>
        <v>43539</v>
      </c>
      <c r="C352" s="205" t="str">
        <f ca="1">IFERROR(__xludf.DUMMYFUNCTION("""COMPUTED_VALUE"""),"AA001110")</f>
        <v>AA001110</v>
      </c>
      <c r="D352" s="205" t="str">
        <f ca="1">IFERROR(__xludf.DUMMYFUNCTION("""COMPUTED_VALUE"""),"AA001110")</f>
        <v>AA001110</v>
      </c>
    </row>
    <row r="353" spans="1:4" ht="15" customHeight="1">
      <c r="A353" s="206" t="str">
        <f ca="1">IFERROR(__xludf.DUMMYFUNCTION("""COMPUTED_VALUE"""),"AB001007")</f>
        <v>AB001007</v>
      </c>
      <c r="B353" s="205">
        <f ca="1">IFERROR(__xludf.DUMMYFUNCTION("""COMPUTED_VALUE"""),43539)</f>
        <v>43539</v>
      </c>
      <c r="C353" s="205" t="str">
        <f ca="1">IFERROR(__xludf.DUMMYFUNCTION("""COMPUTED_VALUE"""),"AA001110")</f>
        <v>AA001110</v>
      </c>
      <c r="D353" s="205" t="str">
        <f ca="1">IFERROR(__xludf.DUMMYFUNCTION("""COMPUTED_VALUE"""),"AA001110")</f>
        <v>AA001110</v>
      </c>
    </row>
    <row r="354" spans="1:4" ht="15" customHeight="1">
      <c r="A354" s="206" t="str">
        <f ca="1">IFERROR(__xludf.DUMMYFUNCTION("""COMPUTED_VALUE"""),"AB001008")</f>
        <v>AB001008</v>
      </c>
      <c r="B354" s="205">
        <f ca="1">IFERROR(__xludf.DUMMYFUNCTION("""COMPUTED_VALUE"""),43539)</f>
        <v>43539</v>
      </c>
      <c r="C354" s="205" t="str">
        <f ca="1">IFERROR(__xludf.DUMMYFUNCTION("""COMPUTED_VALUE"""),"AA001825")</f>
        <v>AA001825</v>
      </c>
      <c r="D354" s="205" t="str">
        <f ca="1">IFERROR(__xludf.DUMMYFUNCTION("""COMPUTED_VALUE"""),"AA001825")</f>
        <v>AA001825</v>
      </c>
    </row>
    <row r="355" spans="1:4" ht="15" customHeight="1">
      <c r="A355" s="206" t="str">
        <f ca="1">IFERROR(__xludf.DUMMYFUNCTION("""COMPUTED_VALUE"""),"AB001008")</f>
        <v>AB001008</v>
      </c>
      <c r="B355" s="205">
        <f ca="1">IFERROR(__xludf.DUMMYFUNCTION("""COMPUTED_VALUE"""),43539)</f>
        <v>43539</v>
      </c>
      <c r="C355" s="205" t="str">
        <f ca="1">IFERROR(__xludf.DUMMYFUNCTION("""COMPUTED_VALUE"""),"AA001825")</f>
        <v>AA001825</v>
      </c>
      <c r="D355" s="205" t="str">
        <f ca="1">IFERROR(__xludf.DUMMYFUNCTION("""COMPUTED_VALUE"""),"AA001825")</f>
        <v>AA001825</v>
      </c>
    </row>
    <row r="356" spans="1:4" ht="15" customHeight="1">
      <c r="A356" s="206" t="str">
        <f ca="1">IFERROR(__xludf.DUMMYFUNCTION("""COMPUTED_VALUE"""),"AB001008")</f>
        <v>AB001008</v>
      </c>
      <c r="B356" s="205">
        <f ca="1">IFERROR(__xludf.DUMMYFUNCTION("""COMPUTED_VALUE"""),43539)</f>
        <v>43539</v>
      </c>
      <c r="C356" s="205" t="str">
        <f ca="1">IFERROR(__xludf.DUMMYFUNCTION("""COMPUTED_VALUE"""),"AA001825")</f>
        <v>AA001825</v>
      </c>
      <c r="D356" s="205" t="str">
        <f ca="1">IFERROR(__xludf.DUMMYFUNCTION("""COMPUTED_VALUE"""),"AA001825")</f>
        <v>AA001825</v>
      </c>
    </row>
    <row r="357" spans="1:4" ht="15" customHeight="1">
      <c r="A357" s="206" t="str">
        <f ca="1">IFERROR(__xludf.DUMMYFUNCTION("""COMPUTED_VALUE"""),"AB001008")</f>
        <v>AB001008</v>
      </c>
      <c r="B357" s="205">
        <f ca="1">IFERROR(__xludf.DUMMYFUNCTION("""COMPUTED_VALUE"""),43539)</f>
        <v>43539</v>
      </c>
      <c r="C357" s="205" t="str">
        <f ca="1">IFERROR(__xludf.DUMMYFUNCTION("""COMPUTED_VALUE"""),"AA001825")</f>
        <v>AA001825</v>
      </c>
      <c r="D357" s="205" t="str">
        <f ca="1">IFERROR(__xludf.DUMMYFUNCTION("""COMPUTED_VALUE"""),"AA001825")</f>
        <v>AA001825</v>
      </c>
    </row>
    <row r="358" spans="1:4" ht="15" customHeight="1">
      <c r="A358" s="206" t="str">
        <f ca="1">IFERROR(__xludf.DUMMYFUNCTION("""COMPUTED_VALUE"""),"AB000027")</f>
        <v>AB000027</v>
      </c>
      <c r="B358" s="205">
        <f ca="1">IFERROR(__xludf.DUMMYFUNCTION("""COMPUTED_VALUE"""),43540)</f>
        <v>43540</v>
      </c>
      <c r="C358" s="205" t="str">
        <f ca="1">IFERROR(__xludf.DUMMYFUNCTION("""COMPUTED_VALUE"""),"AA001825")</f>
        <v>AA001825</v>
      </c>
      <c r="D358" s="205" t="str">
        <f ca="1">IFERROR(__xludf.DUMMYFUNCTION("""COMPUTED_VALUE"""),"AA001825")</f>
        <v>AA001825</v>
      </c>
    </row>
    <row r="359" spans="1:4" ht="15" customHeight="1">
      <c r="A359" s="206" t="str">
        <f ca="1">IFERROR(__xludf.DUMMYFUNCTION("""COMPUTED_VALUE"""),"AB001009")</f>
        <v>AB001009</v>
      </c>
      <c r="B359" s="205">
        <f ca="1">IFERROR(__xludf.DUMMYFUNCTION("""COMPUTED_VALUE"""),43540)</f>
        <v>43540</v>
      </c>
      <c r="C359" s="205" t="str">
        <f ca="1">IFERROR(__xludf.DUMMYFUNCTION("""COMPUTED_VALUE"""),"AA001636")</f>
        <v>AA001636</v>
      </c>
      <c r="D359" s="205" t="str">
        <f ca="1">IFERROR(__xludf.DUMMYFUNCTION("""COMPUTED_VALUE"""),"AA001636")</f>
        <v>AA001636</v>
      </c>
    </row>
    <row r="360" spans="1:4" ht="15" customHeight="1">
      <c r="A360" s="206" t="str">
        <f ca="1">IFERROR(__xludf.DUMMYFUNCTION("""COMPUTED_VALUE"""),"AB001010")</f>
        <v>AB001010</v>
      </c>
      <c r="B360" s="205">
        <f ca="1">IFERROR(__xludf.DUMMYFUNCTION("""COMPUTED_VALUE"""),43540)</f>
        <v>43540</v>
      </c>
      <c r="C360" s="205" t="str">
        <f ca="1">IFERROR(__xludf.DUMMYFUNCTION("""COMPUTED_VALUE"""),"AA001636")</f>
        <v>AA001636</v>
      </c>
      <c r="D360" s="205" t="str">
        <f ca="1">IFERROR(__xludf.DUMMYFUNCTION("""COMPUTED_VALUE"""),"AA001636")</f>
        <v>AA001636</v>
      </c>
    </row>
    <row r="361" spans="1:4" ht="15" customHeight="1">
      <c r="A361" s="206" t="str">
        <f ca="1">IFERROR(__xludf.DUMMYFUNCTION("""COMPUTED_VALUE"""),"AB001011")</f>
        <v>AB001011</v>
      </c>
      <c r="B361" s="205">
        <f ca="1">IFERROR(__xludf.DUMMYFUNCTION("""COMPUTED_VALUE"""),43540)</f>
        <v>43540</v>
      </c>
      <c r="C361" s="205" t="str">
        <f ca="1">IFERROR(__xludf.DUMMYFUNCTION("""COMPUTED_VALUE"""),"AA001636")</f>
        <v>AA001636</v>
      </c>
      <c r="D361" s="205" t="str">
        <f ca="1">IFERROR(__xludf.DUMMYFUNCTION("""COMPUTED_VALUE"""),"AA001636")</f>
        <v>AA001636</v>
      </c>
    </row>
    <row r="362" spans="1:4" ht="15" customHeight="1">
      <c r="A362" s="206" t="str">
        <f ca="1">IFERROR(__xludf.DUMMYFUNCTION("""COMPUTED_VALUE"""),"AB001011")</f>
        <v>AB001011</v>
      </c>
      <c r="B362" s="205">
        <f ca="1">IFERROR(__xludf.DUMMYFUNCTION("""COMPUTED_VALUE"""),43540)</f>
        <v>43540</v>
      </c>
      <c r="C362" s="205" t="str">
        <f ca="1">IFERROR(__xludf.DUMMYFUNCTION("""COMPUTED_VALUE"""),"AA001636")</f>
        <v>AA001636</v>
      </c>
      <c r="D362" s="205" t="str">
        <f ca="1">IFERROR(__xludf.DUMMYFUNCTION("""COMPUTED_VALUE"""),"AA001636")</f>
        <v>AA001636</v>
      </c>
    </row>
    <row r="363" spans="1:4" ht="15" customHeight="1">
      <c r="A363" s="206" t="str">
        <f ca="1">IFERROR(__xludf.DUMMYFUNCTION("""COMPUTED_VALUE"""),"AB001011")</f>
        <v>AB001011</v>
      </c>
      <c r="B363" s="205">
        <f ca="1">IFERROR(__xludf.DUMMYFUNCTION("""COMPUTED_VALUE"""),43540)</f>
        <v>43540</v>
      </c>
      <c r="C363" s="205" t="str">
        <f ca="1">IFERROR(__xludf.DUMMYFUNCTION("""COMPUTED_VALUE"""),"AA001636")</f>
        <v>AA001636</v>
      </c>
      <c r="D363" s="205" t="str">
        <f ca="1">IFERROR(__xludf.DUMMYFUNCTION("""COMPUTED_VALUE"""),"AA001636")</f>
        <v>AA001636</v>
      </c>
    </row>
    <row r="364" spans="1:4" ht="15" customHeight="1">
      <c r="A364" s="206" t="str">
        <f ca="1">IFERROR(__xludf.DUMMYFUNCTION("""COMPUTED_VALUE"""),"AB001011")</f>
        <v>AB001011</v>
      </c>
      <c r="B364" s="205">
        <f ca="1">IFERROR(__xludf.DUMMYFUNCTION("""COMPUTED_VALUE"""),43540)</f>
        <v>43540</v>
      </c>
      <c r="C364" s="205" t="str">
        <f ca="1">IFERROR(__xludf.DUMMYFUNCTION("""COMPUTED_VALUE"""),"AA001636")</f>
        <v>AA001636</v>
      </c>
      <c r="D364" s="205" t="str">
        <f ca="1">IFERROR(__xludf.DUMMYFUNCTION("""COMPUTED_VALUE"""),"AA001636")</f>
        <v>AA001636</v>
      </c>
    </row>
    <row r="365" spans="1:4" ht="15" customHeight="1">
      <c r="A365" s="206" t="str">
        <f ca="1">IFERROR(__xludf.DUMMYFUNCTION("""COMPUTED_VALUE"""),"AB000092")</f>
        <v>AB000092</v>
      </c>
      <c r="B365" s="205">
        <f ca="1">IFERROR(__xludf.DUMMYFUNCTION("""COMPUTED_VALUE"""),43540)</f>
        <v>43540</v>
      </c>
      <c r="C365" s="205" t="str">
        <f ca="1">IFERROR(__xludf.DUMMYFUNCTION("""COMPUTED_VALUE"""),"AA001636")</f>
        <v>AA001636</v>
      </c>
      <c r="D365" s="205" t="str">
        <f ca="1">IFERROR(__xludf.DUMMYFUNCTION("""COMPUTED_VALUE"""),"AA001636")</f>
        <v>AA001636</v>
      </c>
    </row>
    <row r="366" spans="1:4" ht="15" customHeight="1">
      <c r="A366" s="206" t="str">
        <f ca="1">IFERROR(__xludf.DUMMYFUNCTION("""COMPUTED_VALUE"""),"AB000092")</f>
        <v>AB000092</v>
      </c>
      <c r="B366" s="205">
        <f ca="1">IFERROR(__xludf.DUMMYFUNCTION("""COMPUTED_VALUE"""),43540)</f>
        <v>43540</v>
      </c>
      <c r="C366" s="205" t="str">
        <f ca="1">IFERROR(__xludf.DUMMYFUNCTION("""COMPUTED_VALUE"""),"AA001636")</f>
        <v>AA001636</v>
      </c>
      <c r="D366" s="205" t="str">
        <f ca="1">IFERROR(__xludf.DUMMYFUNCTION("""COMPUTED_VALUE"""),"AA001636")</f>
        <v>AA001636</v>
      </c>
    </row>
    <row r="367" spans="1:4" ht="15" customHeight="1">
      <c r="A367" s="206" t="str">
        <f ca="1">IFERROR(__xludf.DUMMYFUNCTION("""COMPUTED_VALUE"""),"AB001012")</f>
        <v>AB001012</v>
      </c>
      <c r="B367" s="205">
        <f ca="1">IFERROR(__xludf.DUMMYFUNCTION("""COMPUTED_VALUE"""),43540)</f>
        <v>43540</v>
      </c>
      <c r="C367" s="205" t="str">
        <f ca="1">IFERROR(__xludf.DUMMYFUNCTION("""COMPUTED_VALUE"""),"AA001636")</f>
        <v>AA001636</v>
      </c>
      <c r="D367" s="205" t="str">
        <f ca="1">IFERROR(__xludf.DUMMYFUNCTION("""COMPUTED_VALUE"""),"AA001636")</f>
        <v>AA001636</v>
      </c>
    </row>
    <row r="368" spans="1:4" ht="15" customHeight="1">
      <c r="A368" s="206" t="str">
        <f ca="1">IFERROR(__xludf.DUMMYFUNCTION("""COMPUTED_VALUE"""),"AB001013")</f>
        <v>AB001013</v>
      </c>
      <c r="B368" s="205">
        <f ca="1">IFERROR(__xludf.DUMMYFUNCTION("""COMPUTED_VALUE"""),43540)</f>
        <v>43540</v>
      </c>
      <c r="C368" s="205" t="str">
        <f ca="1">IFERROR(__xludf.DUMMYFUNCTION("""COMPUTED_VALUE"""),"AA001636")</f>
        <v>AA001636</v>
      </c>
      <c r="D368" s="205" t="str">
        <f ca="1">IFERROR(__xludf.DUMMYFUNCTION("""COMPUTED_VALUE"""),"AA001636")</f>
        <v>AA001636</v>
      </c>
    </row>
    <row r="369" spans="1:4" ht="15" customHeight="1">
      <c r="A369" s="206" t="str">
        <f ca="1">IFERROR(__xludf.DUMMYFUNCTION("""COMPUTED_VALUE"""),"AB001014")</f>
        <v>AB001014</v>
      </c>
      <c r="B369" s="205">
        <f ca="1">IFERROR(__xludf.DUMMYFUNCTION("""COMPUTED_VALUE"""),43540)</f>
        <v>43540</v>
      </c>
      <c r="C369" s="205" t="str">
        <f ca="1">IFERROR(__xludf.DUMMYFUNCTION("""COMPUTED_VALUE"""),"AA001636")</f>
        <v>AA001636</v>
      </c>
      <c r="D369" s="205" t="str">
        <f ca="1">IFERROR(__xludf.DUMMYFUNCTION("""COMPUTED_VALUE"""),"AA001636")</f>
        <v>AA001636</v>
      </c>
    </row>
    <row r="370" spans="1:4" ht="15" customHeight="1">
      <c r="A370" s="206" t="str">
        <f ca="1">IFERROR(__xludf.DUMMYFUNCTION("""COMPUTED_VALUE"""),"AB001015")</f>
        <v>AB001015</v>
      </c>
      <c r="B370" s="205">
        <f ca="1">IFERROR(__xludf.DUMMYFUNCTION("""COMPUTED_VALUE"""),43540)</f>
        <v>43540</v>
      </c>
      <c r="C370" s="205" t="str">
        <f ca="1">IFERROR(__xludf.DUMMYFUNCTION("""COMPUTED_VALUE"""),"AA001636")</f>
        <v>AA001636</v>
      </c>
      <c r="D370" s="205" t="str">
        <f ca="1">IFERROR(__xludf.DUMMYFUNCTION("""COMPUTED_VALUE"""),"AA001636")</f>
        <v>AA001636</v>
      </c>
    </row>
    <row r="371" spans="1:4" ht="15" customHeight="1">
      <c r="A371" s="206" t="str">
        <f ca="1">IFERROR(__xludf.DUMMYFUNCTION("""COMPUTED_VALUE"""),"AB001016")</f>
        <v>AB001016</v>
      </c>
      <c r="B371" s="205">
        <f ca="1">IFERROR(__xludf.DUMMYFUNCTION("""COMPUTED_VALUE"""),43540)</f>
        <v>43540</v>
      </c>
      <c r="C371" s="205" t="str">
        <f ca="1">IFERROR(__xludf.DUMMYFUNCTION("""COMPUTED_VALUE"""),"AA001636")</f>
        <v>AA001636</v>
      </c>
      <c r="D371" s="205" t="str">
        <f ca="1">IFERROR(__xludf.DUMMYFUNCTION("""COMPUTED_VALUE"""),"AA001636")</f>
        <v>AA001636</v>
      </c>
    </row>
    <row r="372" spans="1:4" ht="15" customHeight="1">
      <c r="A372" s="206" t="str">
        <f ca="1">IFERROR(__xludf.DUMMYFUNCTION("""COMPUTED_VALUE"""),"AB000028")</f>
        <v>AB000028</v>
      </c>
      <c r="B372" s="205">
        <f ca="1">IFERROR(__xludf.DUMMYFUNCTION("""COMPUTED_VALUE"""),43540)</f>
        <v>43540</v>
      </c>
      <c r="C372" s="205" t="str">
        <f ca="1">IFERROR(__xludf.DUMMYFUNCTION("""COMPUTED_VALUE"""),"AA001636")</f>
        <v>AA001636</v>
      </c>
      <c r="D372" s="205" t="str">
        <f ca="1">IFERROR(__xludf.DUMMYFUNCTION("""COMPUTED_VALUE"""),"AA001636")</f>
        <v>AA001636</v>
      </c>
    </row>
    <row r="373" spans="1:4" ht="15" customHeight="1">
      <c r="A373" s="206" t="str">
        <f ca="1">IFERROR(__xludf.DUMMYFUNCTION("""COMPUTED_VALUE"""),"AB001017")</f>
        <v>AB001017</v>
      </c>
      <c r="B373" s="205">
        <f ca="1">IFERROR(__xludf.DUMMYFUNCTION("""COMPUTED_VALUE"""),43540)</f>
        <v>43540</v>
      </c>
      <c r="C373" s="205" t="str">
        <f ca="1">IFERROR(__xludf.DUMMYFUNCTION("""COMPUTED_VALUE"""),"AA001636")</f>
        <v>AA001636</v>
      </c>
      <c r="D373" s="205" t="str">
        <f ca="1">IFERROR(__xludf.DUMMYFUNCTION("""COMPUTED_VALUE"""),"AA001636")</f>
        <v>AA001636</v>
      </c>
    </row>
    <row r="374" spans="1:4" ht="15" customHeight="1">
      <c r="A374" s="206" t="str">
        <f ca="1">IFERROR(__xludf.DUMMYFUNCTION("""COMPUTED_VALUE"""),"AB000010")</f>
        <v>AB000010</v>
      </c>
      <c r="B374" s="205">
        <f ca="1">IFERROR(__xludf.DUMMYFUNCTION("""COMPUTED_VALUE"""),43540)</f>
        <v>43540</v>
      </c>
      <c r="C374" s="205" t="str">
        <f ca="1">IFERROR(__xludf.DUMMYFUNCTION("""COMPUTED_VALUE"""),"AA001636")</f>
        <v>AA001636</v>
      </c>
      <c r="D374" s="205" t="str">
        <f ca="1">IFERROR(__xludf.DUMMYFUNCTION("""COMPUTED_VALUE"""),"AA001636")</f>
        <v>AA001636</v>
      </c>
    </row>
    <row r="375" spans="1:4" ht="15" customHeight="1">
      <c r="A375" s="206" t="str">
        <f ca="1">IFERROR(__xludf.DUMMYFUNCTION("""COMPUTED_VALUE"""),"AB001018")</f>
        <v>AB001018</v>
      </c>
      <c r="B375" s="205">
        <f ca="1">IFERROR(__xludf.DUMMYFUNCTION("""COMPUTED_VALUE"""),43540)</f>
        <v>43540</v>
      </c>
      <c r="C375" s="205" t="str">
        <f ca="1">IFERROR(__xludf.DUMMYFUNCTION("""COMPUTED_VALUE"""),"AA001636")</f>
        <v>AA001636</v>
      </c>
      <c r="D375" s="205" t="str">
        <f ca="1">IFERROR(__xludf.DUMMYFUNCTION("""COMPUTED_VALUE"""),"AA001636")</f>
        <v>AA001636</v>
      </c>
    </row>
    <row r="376" spans="1:4" ht="15" customHeight="1">
      <c r="A376" s="206" t="str">
        <f ca="1">IFERROR(__xludf.DUMMYFUNCTION("""COMPUTED_VALUE"""),"AB001039")</f>
        <v>AB001039</v>
      </c>
      <c r="B376" s="205">
        <f ca="1">IFERROR(__xludf.DUMMYFUNCTION("""COMPUTED_VALUE"""),43540)</f>
        <v>43540</v>
      </c>
      <c r="C376" s="205" t="str">
        <f ca="1">IFERROR(__xludf.DUMMYFUNCTION("""COMPUTED_VALUE"""),"AA001636")</f>
        <v>AA001636</v>
      </c>
      <c r="D376" s="205" t="str">
        <f ca="1">IFERROR(__xludf.DUMMYFUNCTION("""COMPUTED_VALUE"""),"AA001636")</f>
        <v>AA001636</v>
      </c>
    </row>
    <row r="377" spans="1:4" ht="15" customHeight="1">
      <c r="A377" s="206" t="str">
        <f ca="1">IFERROR(__xludf.DUMMYFUNCTION("""COMPUTED_VALUE"""),"AB001039")</f>
        <v>AB001039</v>
      </c>
      <c r="B377" s="205">
        <f ca="1">IFERROR(__xludf.DUMMYFUNCTION("""COMPUTED_VALUE"""),43540)</f>
        <v>43540</v>
      </c>
      <c r="C377" s="205" t="str">
        <f ca="1">IFERROR(__xludf.DUMMYFUNCTION("""COMPUTED_VALUE"""),"AA001636")</f>
        <v>AA001636</v>
      </c>
      <c r="D377" s="205" t="str">
        <f ca="1">IFERROR(__xludf.DUMMYFUNCTION("""COMPUTED_VALUE"""),"AA001636")</f>
        <v>AA001636</v>
      </c>
    </row>
    <row r="378" spans="1:4" ht="15" customHeight="1">
      <c r="A378" s="206" t="str">
        <f ca="1">IFERROR(__xludf.DUMMYFUNCTION("""COMPUTED_VALUE"""),"AB001039")</f>
        <v>AB001039</v>
      </c>
      <c r="B378" s="205">
        <f ca="1">IFERROR(__xludf.DUMMYFUNCTION("""COMPUTED_VALUE"""),43540)</f>
        <v>43540</v>
      </c>
      <c r="C378" s="205" t="str">
        <f ca="1">IFERROR(__xludf.DUMMYFUNCTION("""COMPUTED_VALUE"""),"AA001636")</f>
        <v>AA001636</v>
      </c>
      <c r="D378" s="205" t="str">
        <f ca="1">IFERROR(__xludf.DUMMYFUNCTION("""COMPUTED_VALUE"""),"AA001636")</f>
        <v>AA001636</v>
      </c>
    </row>
    <row r="379" spans="1:4" ht="15" customHeight="1">
      <c r="A379" s="206" t="str">
        <f ca="1">IFERROR(__xludf.DUMMYFUNCTION("""COMPUTED_VALUE"""),"AA001020")</f>
        <v>AA001020</v>
      </c>
      <c r="B379" s="205">
        <f ca="1">IFERROR(__xludf.DUMMYFUNCTION("""COMPUTED_VALUE"""),43541)</f>
        <v>43541</v>
      </c>
      <c r="C379" s="205" t="str">
        <f ca="1">IFERROR(__xludf.DUMMYFUNCTION("""COMPUTED_VALUE"""),"AA001636")</f>
        <v>AA001636</v>
      </c>
      <c r="D379" s="205" t="str">
        <f ca="1">IFERROR(__xludf.DUMMYFUNCTION("""COMPUTED_VALUE"""),"AA001636")</f>
        <v>AA001636</v>
      </c>
    </row>
    <row r="380" spans="1:4" ht="15" customHeight="1">
      <c r="A380" s="206" t="str">
        <f ca="1">IFERROR(__xludf.DUMMYFUNCTION("""COMPUTED_VALUE"""),"AB001021")</f>
        <v>AB001021</v>
      </c>
      <c r="B380" s="205">
        <f ca="1">IFERROR(__xludf.DUMMYFUNCTION("""COMPUTED_VALUE"""),43541)</f>
        <v>43541</v>
      </c>
      <c r="C380" s="205" t="str">
        <f ca="1">IFERROR(__xludf.DUMMYFUNCTION("""COMPUTED_VALUE"""),"AA001636")</f>
        <v>AA001636</v>
      </c>
      <c r="D380" s="205" t="str">
        <f ca="1">IFERROR(__xludf.DUMMYFUNCTION("""COMPUTED_VALUE"""),"AA001636")</f>
        <v>AA001636</v>
      </c>
    </row>
    <row r="381" spans="1:4" ht="15" customHeight="1">
      <c r="A381" s="206" t="str">
        <f ca="1">IFERROR(__xludf.DUMMYFUNCTION("""COMPUTED_VALUE"""),"AB000049")</f>
        <v>AB000049</v>
      </c>
      <c r="B381" s="205">
        <f ca="1">IFERROR(__xludf.DUMMYFUNCTION("""COMPUTED_VALUE"""),43541)</f>
        <v>43541</v>
      </c>
      <c r="C381" s="205" t="str">
        <f ca="1">IFERROR(__xludf.DUMMYFUNCTION("""COMPUTED_VALUE"""),"AA001636")</f>
        <v>AA001636</v>
      </c>
      <c r="D381" s="205" t="str">
        <f ca="1">IFERROR(__xludf.DUMMYFUNCTION("""COMPUTED_VALUE"""),"AA001636")</f>
        <v>AA001636</v>
      </c>
    </row>
    <row r="382" spans="1:4" ht="15" customHeight="1">
      <c r="A382" s="206" t="str">
        <f ca="1">IFERROR(__xludf.DUMMYFUNCTION("""COMPUTED_VALUE"""),"AB000021")</f>
        <v>AB000021</v>
      </c>
      <c r="B382" s="205">
        <f ca="1">IFERROR(__xludf.DUMMYFUNCTION("""COMPUTED_VALUE"""),43541)</f>
        <v>43541</v>
      </c>
      <c r="C382" s="205" t="str">
        <f ca="1">IFERROR(__xludf.DUMMYFUNCTION("""COMPUTED_VALUE"""),"AA000007")</f>
        <v>AA000007</v>
      </c>
      <c r="D382" s="205" t="str">
        <f ca="1">IFERROR(__xludf.DUMMYFUNCTION("""COMPUTED_VALUE"""),"AA000007")</f>
        <v>AA000007</v>
      </c>
    </row>
    <row r="383" spans="1:4" ht="15" customHeight="1">
      <c r="A383" s="206" t="str">
        <f ca="1">IFERROR(__xludf.DUMMYFUNCTION("""COMPUTED_VALUE"""),"AB001022")</f>
        <v>AB001022</v>
      </c>
      <c r="B383" s="205">
        <f ca="1">IFERROR(__xludf.DUMMYFUNCTION("""COMPUTED_VALUE"""),43541)</f>
        <v>43541</v>
      </c>
      <c r="C383" s="205" t="str">
        <f ca="1">IFERROR(__xludf.DUMMYFUNCTION("""COMPUTED_VALUE"""),"AA000007")</f>
        <v>AA000007</v>
      </c>
      <c r="D383" s="205" t="str">
        <f ca="1">IFERROR(__xludf.DUMMYFUNCTION("""COMPUTED_VALUE"""),"AA000007")</f>
        <v>AA000007</v>
      </c>
    </row>
    <row r="384" spans="1:4" ht="15" customHeight="1">
      <c r="A384" s="206" t="str">
        <f ca="1">IFERROR(__xludf.DUMMYFUNCTION("""COMPUTED_VALUE"""),"AB001023")</f>
        <v>AB001023</v>
      </c>
      <c r="B384" s="205">
        <f ca="1">IFERROR(__xludf.DUMMYFUNCTION("""COMPUTED_VALUE"""),43541)</f>
        <v>43541</v>
      </c>
      <c r="C384" s="205" t="str">
        <f ca="1">IFERROR(__xludf.DUMMYFUNCTION("""COMPUTED_VALUE"""),"AA001952")</f>
        <v>AA001952</v>
      </c>
      <c r="D384" s="205" t="str">
        <f ca="1">IFERROR(__xludf.DUMMYFUNCTION("""COMPUTED_VALUE"""),"AA001952")</f>
        <v>AA001952</v>
      </c>
    </row>
    <row r="385" spans="1:4" ht="15" customHeight="1">
      <c r="A385" s="206" t="str">
        <f ca="1">IFERROR(__xludf.DUMMYFUNCTION("""COMPUTED_VALUE"""),"AB000022")</f>
        <v>AB000022</v>
      </c>
      <c r="B385" s="205">
        <f ca="1">IFERROR(__xludf.DUMMYFUNCTION("""COMPUTED_VALUE"""),43541)</f>
        <v>43541</v>
      </c>
      <c r="C385" s="205" t="str">
        <f ca="1">IFERROR(__xludf.DUMMYFUNCTION("""COMPUTED_VALUE"""),"AA001952")</f>
        <v>AA001952</v>
      </c>
      <c r="D385" s="205" t="str">
        <f ca="1">IFERROR(__xludf.DUMMYFUNCTION("""COMPUTED_VALUE"""),"AA001952")</f>
        <v>AA001952</v>
      </c>
    </row>
    <row r="386" spans="1:4" ht="15" customHeight="1">
      <c r="A386" s="206" t="str">
        <f ca="1">IFERROR(__xludf.DUMMYFUNCTION("""COMPUTED_VALUE"""),"AB001024")</f>
        <v>AB001024</v>
      </c>
      <c r="B386" s="205">
        <f ca="1">IFERROR(__xludf.DUMMYFUNCTION("""COMPUTED_VALUE"""),43541)</f>
        <v>43541</v>
      </c>
      <c r="C386" s="205" t="str">
        <f ca="1">IFERROR(__xludf.DUMMYFUNCTION("""COMPUTED_VALUE"""),"AA001952")</f>
        <v>AA001952</v>
      </c>
      <c r="D386" s="205" t="str">
        <f ca="1">IFERROR(__xludf.DUMMYFUNCTION("""COMPUTED_VALUE"""),"AA001952")</f>
        <v>AA001952</v>
      </c>
    </row>
    <row r="387" spans="1:4" ht="15" customHeight="1">
      <c r="A387" s="206" t="str">
        <f ca="1">IFERROR(__xludf.DUMMYFUNCTION("""COMPUTED_VALUE"""),"AB001024")</f>
        <v>AB001024</v>
      </c>
      <c r="B387" s="205">
        <f ca="1">IFERROR(__xludf.DUMMYFUNCTION("""COMPUTED_VALUE"""),43541)</f>
        <v>43541</v>
      </c>
      <c r="C387" s="205" t="str">
        <f ca="1">IFERROR(__xludf.DUMMYFUNCTION("""COMPUTED_VALUE"""),"AA001952")</f>
        <v>AA001952</v>
      </c>
      <c r="D387" s="205" t="str">
        <f ca="1">IFERROR(__xludf.DUMMYFUNCTION("""COMPUTED_VALUE"""),"AA001952")</f>
        <v>AA001952</v>
      </c>
    </row>
    <row r="388" spans="1:4" ht="15" customHeight="1">
      <c r="A388" s="206" t="str">
        <f ca="1">IFERROR(__xludf.DUMMYFUNCTION("""COMPUTED_VALUE"""),"AB001024")</f>
        <v>AB001024</v>
      </c>
      <c r="B388" s="205">
        <f ca="1">IFERROR(__xludf.DUMMYFUNCTION("""COMPUTED_VALUE"""),43541)</f>
        <v>43541</v>
      </c>
      <c r="C388" s="205" t="str">
        <f ca="1">IFERROR(__xludf.DUMMYFUNCTION("""COMPUTED_VALUE"""),"AA001952")</f>
        <v>AA001952</v>
      </c>
      <c r="D388" s="205" t="str">
        <f ca="1">IFERROR(__xludf.DUMMYFUNCTION("""COMPUTED_VALUE"""),"AA001952")</f>
        <v>AA001952</v>
      </c>
    </row>
    <row r="389" spans="1:4" ht="15" customHeight="1">
      <c r="A389" s="206" t="str">
        <f ca="1">IFERROR(__xludf.DUMMYFUNCTION("""COMPUTED_VALUE"""),"AB001024")</f>
        <v>AB001024</v>
      </c>
      <c r="B389" s="205">
        <f ca="1">IFERROR(__xludf.DUMMYFUNCTION("""COMPUTED_VALUE"""),43541)</f>
        <v>43541</v>
      </c>
      <c r="C389" s="205" t="str">
        <f ca="1">IFERROR(__xludf.DUMMYFUNCTION("""COMPUTED_VALUE"""),"AA001952")</f>
        <v>AA001952</v>
      </c>
      <c r="D389" s="205" t="str">
        <f ca="1">IFERROR(__xludf.DUMMYFUNCTION("""COMPUTED_VALUE"""),"AA001952")</f>
        <v>AA001952</v>
      </c>
    </row>
    <row r="390" spans="1:4" ht="15" customHeight="1">
      <c r="A390" s="206" t="str">
        <f ca="1">IFERROR(__xludf.DUMMYFUNCTION("""COMPUTED_VALUE"""),"AB001027")</f>
        <v>AB001027</v>
      </c>
      <c r="B390" s="205">
        <f ca="1">IFERROR(__xludf.DUMMYFUNCTION("""COMPUTED_VALUE"""),43541)</f>
        <v>43541</v>
      </c>
      <c r="C390" s="205" t="str">
        <f ca="1">IFERROR(__xludf.DUMMYFUNCTION("""COMPUTED_VALUE"""),"AA001952")</f>
        <v>AA001952</v>
      </c>
      <c r="D390" s="205" t="str">
        <f ca="1">IFERROR(__xludf.DUMMYFUNCTION("""COMPUTED_VALUE"""),"AA001952")</f>
        <v>AA001952</v>
      </c>
    </row>
    <row r="391" spans="1:4" ht="15" customHeight="1">
      <c r="A391" s="206" t="str">
        <f ca="1">IFERROR(__xludf.DUMMYFUNCTION("""COMPUTED_VALUE"""),"AB001027")</f>
        <v>AB001027</v>
      </c>
      <c r="B391" s="205">
        <f ca="1">IFERROR(__xludf.DUMMYFUNCTION("""COMPUTED_VALUE"""),43541)</f>
        <v>43541</v>
      </c>
      <c r="C391" s="205" t="str">
        <f ca="1">IFERROR(__xludf.DUMMYFUNCTION("""COMPUTED_VALUE"""),"AA001952")</f>
        <v>AA001952</v>
      </c>
      <c r="D391" s="205" t="str">
        <f ca="1">IFERROR(__xludf.DUMMYFUNCTION("""COMPUTED_VALUE"""),"AA001952")</f>
        <v>AA001952</v>
      </c>
    </row>
    <row r="392" spans="1:4" ht="15" customHeight="1">
      <c r="A392" s="206" t="str">
        <f ca="1">IFERROR(__xludf.DUMMYFUNCTION("""COMPUTED_VALUE"""),"AB001028")</f>
        <v>AB001028</v>
      </c>
      <c r="B392" s="205">
        <f ca="1">IFERROR(__xludf.DUMMYFUNCTION("""COMPUTED_VALUE"""),43541)</f>
        <v>43541</v>
      </c>
      <c r="C392" s="205" t="str">
        <f ca="1">IFERROR(__xludf.DUMMYFUNCTION("""COMPUTED_VALUE"""),"AA001952")</f>
        <v>AA001952</v>
      </c>
      <c r="D392" s="205" t="str">
        <f ca="1">IFERROR(__xludf.DUMMYFUNCTION("""COMPUTED_VALUE"""),"AA001952")</f>
        <v>AA001952</v>
      </c>
    </row>
    <row r="393" spans="1:4" ht="15" customHeight="1">
      <c r="A393" s="206" t="str">
        <f ca="1">IFERROR(__xludf.DUMMYFUNCTION("""COMPUTED_VALUE"""),"AB000009")</f>
        <v>AB000009</v>
      </c>
      <c r="B393" s="205">
        <f ca="1">IFERROR(__xludf.DUMMYFUNCTION("""COMPUTED_VALUE"""),43541)</f>
        <v>43541</v>
      </c>
      <c r="C393" s="205" t="str">
        <f ca="1">IFERROR(__xludf.DUMMYFUNCTION("""COMPUTED_VALUE"""),"AA001952")</f>
        <v>AA001952</v>
      </c>
      <c r="D393" s="205" t="str">
        <f ca="1">IFERROR(__xludf.DUMMYFUNCTION("""COMPUTED_VALUE"""),"AA001952")</f>
        <v>AA001952</v>
      </c>
    </row>
    <row r="394" spans="1:4" ht="15" customHeight="1">
      <c r="A394" s="206" t="str">
        <f ca="1">IFERROR(__xludf.DUMMYFUNCTION("""COMPUTED_VALUE"""),"AB001083")</f>
        <v>AB001083</v>
      </c>
      <c r="B394" s="205">
        <f ca="1">IFERROR(__xludf.DUMMYFUNCTION("""COMPUTED_VALUE"""),43541)</f>
        <v>43541</v>
      </c>
      <c r="C394" s="205" t="str">
        <f ca="1">IFERROR(__xludf.DUMMYFUNCTION("""COMPUTED_VALUE"""),"AA001952")</f>
        <v>AA001952</v>
      </c>
      <c r="D394" s="205" t="str">
        <f ca="1">IFERROR(__xludf.DUMMYFUNCTION("""COMPUTED_VALUE"""),"AA001952")</f>
        <v>AA001952</v>
      </c>
    </row>
    <row r="395" spans="1:4" ht="15" customHeight="1">
      <c r="A395" s="206" t="str">
        <f ca="1">IFERROR(__xludf.DUMMYFUNCTION("""COMPUTED_VALUE"""),"AB001037")</f>
        <v>AB001037</v>
      </c>
      <c r="B395" s="205">
        <f ca="1">IFERROR(__xludf.DUMMYFUNCTION("""COMPUTED_VALUE"""),43541)</f>
        <v>43541</v>
      </c>
      <c r="C395" s="205" t="str">
        <f ca="1">IFERROR(__xludf.DUMMYFUNCTION("""COMPUTED_VALUE"""),"AA001953")</f>
        <v>AA001953</v>
      </c>
      <c r="D395" s="205" t="str">
        <f ca="1">IFERROR(__xludf.DUMMYFUNCTION("""COMPUTED_VALUE"""),"AA001953")</f>
        <v>AA001953</v>
      </c>
    </row>
    <row r="396" spans="1:4" ht="15" customHeight="1">
      <c r="A396" s="206" t="str">
        <f ca="1">IFERROR(__xludf.DUMMYFUNCTION("""COMPUTED_VALUE"""),"AB001036")</f>
        <v>AB001036</v>
      </c>
      <c r="B396" s="205">
        <f ca="1">IFERROR(__xludf.DUMMYFUNCTION("""COMPUTED_VALUE"""),43541)</f>
        <v>43541</v>
      </c>
      <c r="C396" s="205" t="str">
        <f ca="1">IFERROR(__xludf.DUMMYFUNCTION("""COMPUTED_VALUE"""),"AA001953")</f>
        <v>AA001953</v>
      </c>
      <c r="D396" s="205" t="str">
        <f ca="1">IFERROR(__xludf.DUMMYFUNCTION("""COMPUTED_VALUE"""),"AA001953")</f>
        <v>AA001953</v>
      </c>
    </row>
    <row r="397" spans="1:4" ht="15" customHeight="1">
      <c r="A397" s="206" t="str">
        <f ca="1">IFERROR(__xludf.DUMMYFUNCTION("""COMPUTED_VALUE"""),"AB001025")</f>
        <v>AB001025</v>
      </c>
      <c r="B397" s="205">
        <f ca="1">IFERROR(__xludf.DUMMYFUNCTION("""COMPUTED_VALUE"""),43541)</f>
        <v>43541</v>
      </c>
      <c r="C397" s="205" t="str">
        <f ca="1">IFERROR(__xludf.DUMMYFUNCTION("""COMPUTED_VALUE"""),"AA001953")</f>
        <v>AA001953</v>
      </c>
      <c r="D397" s="205" t="str">
        <f ca="1">IFERROR(__xludf.DUMMYFUNCTION("""COMPUTED_VALUE"""),"AA001953")</f>
        <v>AA001953</v>
      </c>
    </row>
    <row r="398" spans="1:4" ht="15" customHeight="1">
      <c r="A398" s="206" t="str">
        <f ca="1">IFERROR(__xludf.DUMMYFUNCTION("""COMPUTED_VALUE"""),"AB001035")</f>
        <v>AB001035</v>
      </c>
      <c r="B398" s="205">
        <f ca="1">IFERROR(__xludf.DUMMYFUNCTION("""COMPUTED_VALUE"""),43541)</f>
        <v>43541</v>
      </c>
      <c r="C398" s="205" t="str">
        <f ca="1">IFERROR(__xludf.DUMMYFUNCTION("""COMPUTED_VALUE"""),"AA001953")</f>
        <v>AA001953</v>
      </c>
      <c r="D398" s="205" t="str">
        <f ca="1">IFERROR(__xludf.DUMMYFUNCTION("""COMPUTED_VALUE"""),"AA001953")</f>
        <v>AA001953</v>
      </c>
    </row>
    <row r="399" spans="1:4" ht="15" customHeight="1">
      <c r="A399" s="206" t="str">
        <f ca="1">IFERROR(__xludf.DUMMYFUNCTION("""COMPUTED_VALUE"""),"AB001033")</f>
        <v>AB001033</v>
      </c>
      <c r="B399" s="205">
        <f ca="1">IFERROR(__xludf.DUMMYFUNCTION("""COMPUTED_VALUE"""),43541)</f>
        <v>43541</v>
      </c>
      <c r="C399" s="205" t="str">
        <f ca="1">IFERROR(__xludf.DUMMYFUNCTION("""COMPUTED_VALUE"""),"AA001953")</f>
        <v>AA001953</v>
      </c>
      <c r="D399" s="205" t="str">
        <f ca="1">IFERROR(__xludf.DUMMYFUNCTION("""COMPUTED_VALUE"""),"AA001953")</f>
        <v>AA001953</v>
      </c>
    </row>
    <row r="400" spans="1:4" ht="15" customHeight="1">
      <c r="A400" s="206" t="str">
        <f ca="1">IFERROR(__xludf.DUMMYFUNCTION("""COMPUTED_VALUE"""),"AB001031")</f>
        <v>AB001031</v>
      </c>
      <c r="B400" s="205">
        <f ca="1">IFERROR(__xludf.DUMMYFUNCTION("""COMPUTED_VALUE"""),43541)</f>
        <v>43541</v>
      </c>
      <c r="C400" s="205" t="str">
        <f ca="1">IFERROR(__xludf.DUMMYFUNCTION("""COMPUTED_VALUE"""),"AA001953")</f>
        <v>AA001953</v>
      </c>
      <c r="D400" s="205" t="str">
        <f ca="1">IFERROR(__xludf.DUMMYFUNCTION("""COMPUTED_VALUE"""),"AA001953")</f>
        <v>AA001953</v>
      </c>
    </row>
    <row r="401" spans="1:4" ht="15" customHeight="1">
      <c r="A401" s="206" t="str">
        <f ca="1">IFERROR(__xludf.DUMMYFUNCTION("""COMPUTED_VALUE"""),"AB001032")</f>
        <v>AB001032</v>
      </c>
      <c r="B401" s="205">
        <f ca="1">IFERROR(__xludf.DUMMYFUNCTION("""COMPUTED_VALUE"""),43541)</f>
        <v>43541</v>
      </c>
      <c r="C401" s="205" t="str">
        <f ca="1">IFERROR(__xludf.DUMMYFUNCTION("""COMPUTED_VALUE"""),"AA001953")</f>
        <v>AA001953</v>
      </c>
      <c r="D401" s="205" t="str">
        <f ca="1">IFERROR(__xludf.DUMMYFUNCTION("""COMPUTED_VALUE"""),"AA001953")</f>
        <v>AA001953</v>
      </c>
    </row>
    <row r="402" spans="1:4" ht="15" customHeight="1">
      <c r="A402" s="206" t="str">
        <f ca="1">IFERROR(__xludf.DUMMYFUNCTION("""COMPUTED_VALUE"""),"AB001030")</f>
        <v>AB001030</v>
      </c>
      <c r="B402" s="205">
        <f ca="1">IFERROR(__xludf.DUMMYFUNCTION("""COMPUTED_VALUE"""),43541)</f>
        <v>43541</v>
      </c>
      <c r="C402" t="str">
        <f ca="1">IFERROR(__xludf.DUMMYFUNCTION("""COMPUTED_VALUE"""),"AA001954")</f>
        <v>AA001954</v>
      </c>
      <c r="D402" t="str">
        <f ca="1">IFERROR(__xludf.DUMMYFUNCTION("""COMPUTED_VALUE"""),"AA001954")</f>
        <v>AA001954</v>
      </c>
    </row>
    <row r="403" spans="1:4" ht="15" customHeight="1">
      <c r="A403" s="206" t="str">
        <f ca="1">IFERROR(__xludf.DUMMYFUNCTION("""COMPUTED_VALUE"""),"AB000018")</f>
        <v>AB000018</v>
      </c>
      <c r="B403" s="205">
        <f ca="1">IFERROR(__xludf.DUMMYFUNCTION("""COMPUTED_VALUE"""),43541)</f>
        <v>43541</v>
      </c>
      <c r="C403" t="str">
        <f ca="1">IFERROR(__xludf.DUMMYFUNCTION("""COMPUTED_VALUE"""),"AA001954")</f>
        <v>AA001954</v>
      </c>
      <c r="D403" t="str">
        <f ca="1">IFERROR(__xludf.DUMMYFUNCTION("""COMPUTED_VALUE"""),"AA001954")</f>
        <v>AA001954</v>
      </c>
    </row>
    <row r="404" spans="1:4" ht="15" customHeight="1">
      <c r="A404" s="206" t="str">
        <f ca="1">IFERROR(__xludf.DUMMYFUNCTION("""COMPUTED_VALUE"""),"AB001029")</f>
        <v>AB001029</v>
      </c>
      <c r="B404" s="205">
        <f ca="1">IFERROR(__xludf.DUMMYFUNCTION("""COMPUTED_VALUE"""),43541)</f>
        <v>43541</v>
      </c>
      <c r="C404" t="str">
        <f ca="1">IFERROR(__xludf.DUMMYFUNCTION("""COMPUTED_VALUE"""),"AA001954")</f>
        <v>AA001954</v>
      </c>
      <c r="D404" t="str">
        <f ca="1">IFERROR(__xludf.DUMMYFUNCTION("""COMPUTED_VALUE"""),"AA001954")</f>
        <v>AA001954</v>
      </c>
    </row>
    <row r="405" spans="1:4" ht="15" customHeight="1">
      <c r="A405" s="206" t="str">
        <f ca="1">IFERROR(__xludf.DUMMYFUNCTION("""COMPUTED_VALUE"""),"AB000017")</f>
        <v>AB000017</v>
      </c>
      <c r="B405" s="205">
        <f ca="1">IFERROR(__xludf.DUMMYFUNCTION("""COMPUTED_VALUE"""),43541)</f>
        <v>43541</v>
      </c>
      <c r="C405" t="str">
        <f ca="1">IFERROR(__xludf.DUMMYFUNCTION("""COMPUTED_VALUE"""),"AA001954")</f>
        <v>AA001954</v>
      </c>
      <c r="D405" t="str">
        <f ca="1">IFERROR(__xludf.DUMMYFUNCTION("""COMPUTED_VALUE"""),"AA001954")</f>
        <v>AA001954</v>
      </c>
    </row>
    <row r="406" spans="1:4" ht="15" customHeight="1">
      <c r="A406" s="206" t="str">
        <f ca="1">IFERROR(__xludf.DUMMYFUNCTION("""COMPUTED_VALUE"""),"AB000106")</f>
        <v>AB000106</v>
      </c>
      <c r="B406" s="205">
        <f ca="1">IFERROR(__xludf.DUMMYFUNCTION("""COMPUTED_VALUE"""),43541)</f>
        <v>43541</v>
      </c>
      <c r="C406" t="str">
        <f ca="1">IFERROR(__xludf.DUMMYFUNCTION("""COMPUTED_VALUE"""),"AA001954")</f>
        <v>AA001954</v>
      </c>
      <c r="D406" t="str">
        <f ca="1">IFERROR(__xludf.DUMMYFUNCTION("""COMPUTED_VALUE"""),"AA001954")</f>
        <v>AA001954</v>
      </c>
    </row>
    <row r="407" spans="1:4" ht="15" customHeight="1">
      <c r="A407" s="206" t="str">
        <f ca="1">IFERROR(__xludf.DUMMYFUNCTION("""COMPUTED_VALUE"""),"AB001040-1")</f>
        <v>AB001040-1</v>
      </c>
      <c r="B407" s="205">
        <f ca="1">IFERROR(__xludf.DUMMYFUNCTION("""COMPUTED_VALUE"""),43541)</f>
        <v>43541</v>
      </c>
      <c r="C407" t="str">
        <f ca="1">IFERROR(__xludf.DUMMYFUNCTION("""COMPUTED_VALUE"""),"AA001954")</f>
        <v>AA001954</v>
      </c>
      <c r="D407" t="str">
        <f ca="1">IFERROR(__xludf.DUMMYFUNCTION("""COMPUTED_VALUE"""),"AA001954")</f>
        <v>AA001954</v>
      </c>
    </row>
    <row r="408" spans="1:4" ht="15" customHeight="1">
      <c r="A408" s="206" t="str">
        <f ca="1">IFERROR(__xludf.DUMMYFUNCTION("""COMPUTED_VALUE"""),"AB000001")</f>
        <v>AB000001</v>
      </c>
      <c r="B408" s="205">
        <f ca="1">IFERROR(__xludf.DUMMYFUNCTION("""COMPUTED_VALUE"""),43541)</f>
        <v>43541</v>
      </c>
      <c r="C408" t="str">
        <f ca="1">IFERROR(__xludf.DUMMYFUNCTION("""COMPUTED_VALUE"""),"AA001954")</f>
        <v>AA001954</v>
      </c>
      <c r="D408" t="str">
        <f ca="1">IFERROR(__xludf.DUMMYFUNCTION("""COMPUTED_VALUE"""),"AA001954")</f>
        <v>AA001954</v>
      </c>
    </row>
    <row r="409" spans="1:4" ht="15" customHeight="1">
      <c r="A409" s="206" t="str">
        <f ca="1">IFERROR(__xludf.DUMMYFUNCTION("""COMPUTED_VALUE"""),"AB001026")</f>
        <v>AB001026</v>
      </c>
      <c r="B409" s="205">
        <f ca="1">IFERROR(__xludf.DUMMYFUNCTION("""COMPUTED_VALUE"""),43541)</f>
        <v>43541</v>
      </c>
      <c r="C409" t="str">
        <f ca="1">IFERROR(__xludf.DUMMYFUNCTION("""COMPUTED_VALUE"""),"AA001954")</f>
        <v>AA001954</v>
      </c>
      <c r="D409" t="str">
        <f ca="1">IFERROR(__xludf.DUMMYFUNCTION("""COMPUTED_VALUE"""),"AA001954")</f>
        <v>AA001954</v>
      </c>
    </row>
    <row r="410" spans="1:4" ht="15" customHeight="1">
      <c r="A410" s="206" t="str">
        <f ca="1">IFERROR(__xludf.DUMMYFUNCTION("""COMPUTED_VALUE"""),"AB001026")</f>
        <v>AB001026</v>
      </c>
      <c r="B410" s="205">
        <f ca="1">IFERROR(__xludf.DUMMYFUNCTION("""COMPUTED_VALUE"""),43541)</f>
        <v>43541</v>
      </c>
      <c r="C410" t="str">
        <f ca="1">IFERROR(__xludf.DUMMYFUNCTION("""COMPUTED_VALUE"""),"AA001954")</f>
        <v>AA001954</v>
      </c>
      <c r="D410" t="str">
        <f ca="1">IFERROR(__xludf.DUMMYFUNCTION("""COMPUTED_VALUE"""),"AA001954")</f>
        <v>AA001954</v>
      </c>
    </row>
    <row r="411" spans="1:4" ht="15" customHeight="1">
      <c r="A411" s="206" t="str">
        <f ca="1">IFERROR(__xludf.DUMMYFUNCTION("""COMPUTED_VALUE"""),"AB000117")</f>
        <v>AB000117</v>
      </c>
      <c r="B411" s="205">
        <f ca="1">IFERROR(__xludf.DUMMYFUNCTION("""COMPUTED_VALUE"""),43541)</f>
        <v>43541</v>
      </c>
      <c r="C411" s="205" t="str">
        <f ca="1">IFERROR(__xludf.DUMMYFUNCTION("""COMPUTED_VALUE"""),"AA001848")</f>
        <v>AA001848</v>
      </c>
      <c r="D411" s="205" t="str">
        <f ca="1">IFERROR(__xludf.DUMMYFUNCTION("""COMPUTED_VALUE"""),"AA001848")</f>
        <v>AA001848</v>
      </c>
    </row>
    <row r="412" spans="1:4" ht="15" customHeight="1">
      <c r="A412" s="206" t="str">
        <f ca="1">IFERROR(__xludf.DUMMYFUNCTION("""COMPUTED_VALUE"""),"AB000006")</f>
        <v>AB000006</v>
      </c>
      <c r="B412" s="205">
        <f ca="1">IFERROR(__xludf.DUMMYFUNCTION("""COMPUTED_VALUE"""),43541)</f>
        <v>43541</v>
      </c>
      <c r="C412" s="205" t="str">
        <f ca="1">IFERROR(__xludf.DUMMYFUNCTION("""COMPUTED_VALUE"""),"AA001990")</f>
        <v>AA001990</v>
      </c>
      <c r="D412" s="205" t="str">
        <f ca="1">IFERROR(__xludf.DUMMYFUNCTION("""COMPUTED_VALUE"""),"AA001990")</f>
        <v>AA001990</v>
      </c>
    </row>
    <row r="413" spans="1:4" ht="15" customHeight="1">
      <c r="A413" s="206" t="str">
        <f ca="1">IFERROR(__xludf.DUMMYFUNCTION("""COMPUTED_VALUE"""),"AB000005")</f>
        <v>AB000005</v>
      </c>
      <c r="B413" s="205">
        <f ca="1">IFERROR(__xludf.DUMMYFUNCTION("""COMPUTED_VALUE"""),43541)</f>
        <v>43541</v>
      </c>
      <c r="C413" s="205" t="str">
        <f ca="1">IFERROR(__xludf.DUMMYFUNCTION("""COMPUTED_VALUE"""),"AA001990")</f>
        <v>AA001990</v>
      </c>
      <c r="D413" s="205" t="str">
        <f ca="1">IFERROR(__xludf.DUMMYFUNCTION("""COMPUTED_VALUE"""),"AA001990")</f>
        <v>AA001990</v>
      </c>
    </row>
    <row r="414" spans="1:4" ht="15" customHeight="1">
      <c r="A414" s="206" t="str">
        <f ca="1">IFERROR(__xludf.DUMMYFUNCTION("""COMPUTED_VALUE"""),"AB000050")</f>
        <v>AB000050</v>
      </c>
      <c r="B414" s="205">
        <f ca="1">IFERROR(__xludf.DUMMYFUNCTION("""COMPUTED_VALUE"""),43542)</f>
        <v>43542</v>
      </c>
      <c r="C414" s="205" t="str">
        <f ca="1">IFERROR(__xludf.DUMMYFUNCTION("""COMPUTED_VALUE"""),"A001965")</f>
        <v>A001965</v>
      </c>
      <c r="D414" s="205" t="str">
        <f ca="1">IFERROR(__xludf.DUMMYFUNCTION("""COMPUTED_VALUE"""),"A001965")</f>
        <v>A001965</v>
      </c>
    </row>
    <row r="415" spans="1:4" ht="15" customHeight="1">
      <c r="A415" s="206" t="str">
        <f ca="1">IFERROR(__xludf.DUMMYFUNCTION("""COMPUTED_VALUE"""),"AB000120")</f>
        <v>AB000120</v>
      </c>
      <c r="B415" s="205">
        <f ca="1">IFERROR(__xludf.DUMMYFUNCTION("""COMPUTED_VALUE"""),43542)</f>
        <v>43542</v>
      </c>
      <c r="C415" s="205" t="str">
        <f ca="1">IFERROR(__xludf.DUMMYFUNCTION("""COMPUTED_VALUE"""),"AA030501")</f>
        <v>AA030501</v>
      </c>
      <c r="D415" s="205" t="str">
        <f ca="1">IFERROR(__xludf.DUMMYFUNCTION("""COMPUTED_VALUE"""),"AA030501")</f>
        <v>AA030501</v>
      </c>
    </row>
    <row r="416" spans="1:4" ht="15" customHeight="1">
      <c r="A416" s="206" t="str">
        <f ca="1">IFERROR(__xludf.DUMMYFUNCTION("""COMPUTED_VALUE"""),"AB001043")</f>
        <v>AB001043</v>
      </c>
      <c r="B416" s="205">
        <f ca="1">IFERROR(__xludf.DUMMYFUNCTION("""COMPUTED_VALUE"""),43542)</f>
        <v>43542</v>
      </c>
      <c r="C416" s="205" t="str">
        <f ca="1">IFERROR(__xludf.DUMMYFUNCTION("""COMPUTED_VALUE"""),"AA030502")</f>
        <v>AA030502</v>
      </c>
      <c r="D416" s="205" t="str">
        <f ca="1">IFERROR(__xludf.DUMMYFUNCTION("""COMPUTED_VALUE"""),"AA030502")</f>
        <v>AA030502</v>
      </c>
    </row>
    <row r="417" spans="1:4" ht="15" customHeight="1">
      <c r="A417" s="206" t="str">
        <f ca="1">IFERROR(__xludf.DUMMYFUNCTION("""COMPUTED_VALUE"""),"AB001044")</f>
        <v>AB001044</v>
      </c>
      <c r="B417" s="205">
        <f ca="1">IFERROR(__xludf.DUMMYFUNCTION("""COMPUTED_VALUE"""),43542)</f>
        <v>43542</v>
      </c>
      <c r="C417" s="206" t="str">
        <f ca="1">IFERROR(__xludf.DUMMYFUNCTION("""COMPUTED_VALUE"""),"AA030701")</f>
        <v>AA030701</v>
      </c>
      <c r="D417" s="206" t="str">
        <f ca="1">IFERROR(__xludf.DUMMYFUNCTION("""COMPUTED_VALUE"""),"AA030701")</f>
        <v>AA030701</v>
      </c>
    </row>
    <row r="418" spans="1:4" ht="15" customHeight="1">
      <c r="A418" s="206" t="str">
        <f ca="1">IFERROR(__xludf.DUMMYFUNCTION("""COMPUTED_VALUE"""),"AB000031")</f>
        <v>AB000031</v>
      </c>
      <c r="B418" s="205">
        <f ca="1">IFERROR(__xludf.DUMMYFUNCTION("""COMPUTED_VALUE"""),43542)</f>
        <v>43542</v>
      </c>
      <c r="C418" s="205" t="str">
        <f ca="1">IFERROR(__xludf.DUMMYFUNCTION("""COMPUTED_VALUE"""),"AA030709")</f>
        <v>AA030709</v>
      </c>
      <c r="D418" s="205" t="str">
        <f ca="1">IFERROR(__xludf.DUMMYFUNCTION("""COMPUTED_VALUE"""),"AA030709")</f>
        <v>AA030709</v>
      </c>
    </row>
    <row r="419" spans="1:4" ht="15" customHeight="1">
      <c r="A419" s="206" t="str">
        <f ca="1">IFERROR(__xludf.DUMMYFUNCTION("""COMPUTED_VALUE"""),"AB000032")</f>
        <v>AB000032</v>
      </c>
      <c r="B419" s="205">
        <f ca="1">IFERROR(__xludf.DUMMYFUNCTION("""COMPUTED_VALUE"""),43542)</f>
        <v>43542</v>
      </c>
      <c r="C419" s="205" t="str">
        <f ca="1">IFERROR(__xludf.DUMMYFUNCTION("""COMPUTED_VALUE"""),"AA030709")</f>
        <v>AA030709</v>
      </c>
      <c r="D419" s="205" t="str">
        <f ca="1">IFERROR(__xludf.DUMMYFUNCTION("""COMPUTED_VALUE"""),"AA030709")</f>
        <v>AA030709</v>
      </c>
    </row>
    <row r="420" spans="1:4" ht="15" customHeight="1">
      <c r="A420" s="206" t="str">
        <f ca="1">IFERROR(__xludf.DUMMYFUNCTION("""COMPUTED_VALUE"""),"AB000119")</f>
        <v>AB000119</v>
      </c>
      <c r="B420" s="205">
        <f ca="1">IFERROR(__xludf.DUMMYFUNCTION("""COMPUTED_VALUE"""),43542)</f>
        <v>43542</v>
      </c>
      <c r="C420" s="206" t="str">
        <f ca="1">IFERROR(__xludf.DUMMYFUNCTION("""COMPUTED_VALUE"""),"AA001992")</f>
        <v>AA001992</v>
      </c>
      <c r="D420" s="206" t="str">
        <f ca="1">IFERROR(__xludf.DUMMYFUNCTION("""COMPUTED_VALUE"""),"AA001992")</f>
        <v>AA001992</v>
      </c>
    </row>
    <row r="421" spans="1:4" ht="15" customHeight="1">
      <c r="A421" s="206" t="str">
        <f ca="1">IFERROR(__xludf.DUMMYFUNCTION("""COMPUTED_VALUE"""),"AB001046")</f>
        <v>AB001046</v>
      </c>
      <c r="B421" s="205">
        <f ca="1">IFERROR(__xludf.DUMMYFUNCTION("""COMPUTED_VALUE"""),43542)</f>
        <v>43542</v>
      </c>
      <c r="C421" s="205" t="str">
        <f ca="1">IFERROR(__xludf.DUMMYFUNCTION("""COMPUTED_VALUE"""),"AA030704")</f>
        <v>AA030704</v>
      </c>
      <c r="D421" s="205" t="str">
        <f ca="1">IFERROR(__xludf.DUMMYFUNCTION("""COMPUTED_VALUE"""),"AA030704")</f>
        <v>AA030704</v>
      </c>
    </row>
    <row r="422" spans="1:4" ht="15" customHeight="1">
      <c r="A422" s="206" t="str">
        <f ca="1">IFERROR(__xludf.DUMMYFUNCTION("""COMPUTED_VALUE"""),"AB001045")</f>
        <v>AB001045</v>
      </c>
      <c r="B422" s="205">
        <f ca="1">IFERROR(__xludf.DUMMYFUNCTION("""COMPUTED_VALUE"""),43542)</f>
        <v>43542</v>
      </c>
      <c r="C422" s="205" t="str">
        <f ca="1">IFERROR(__xludf.DUMMYFUNCTION("""COMPUTED_VALUE"""),"AA030707")</f>
        <v>AA030707</v>
      </c>
      <c r="D422" s="205" t="str">
        <f ca="1">IFERROR(__xludf.DUMMYFUNCTION("""COMPUTED_VALUE"""),"AA030707")</f>
        <v>AA030707</v>
      </c>
    </row>
    <row r="423" spans="1:4" ht="15" customHeight="1">
      <c r="A423" s="206" t="str">
        <f ca="1">IFERROR(__xludf.DUMMYFUNCTION("""COMPUTED_VALUE"""),"AB001045")</f>
        <v>AB001045</v>
      </c>
      <c r="B423" s="205">
        <f ca="1">IFERROR(__xludf.DUMMYFUNCTION("""COMPUTED_VALUE"""),43542)</f>
        <v>43542</v>
      </c>
      <c r="C423" s="205" t="str">
        <f ca="1">IFERROR(__xludf.DUMMYFUNCTION("""COMPUTED_VALUE"""),"AA030705")</f>
        <v>AA030705</v>
      </c>
      <c r="D423" s="205" t="str">
        <f ca="1">IFERROR(__xludf.DUMMYFUNCTION("""COMPUTED_VALUE"""),"AA030705")</f>
        <v>AA030705</v>
      </c>
    </row>
    <row r="424" spans="1:4" ht="15" customHeight="1">
      <c r="A424" s="206" t="str">
        <f ca="1">IFERROR(__xludf.DUMMYFUNCTION("""COMPUTED_VALUE"""),"AB001045")</f>
        <v>AB001045</v>
      </c>
      <c r="B424" s="205">
        <f ca="1">IFERROR(__xludf.DUMMYFUNCTION("""COMPUTED_VALUE"""),43542)</f>
        <v>43542</v>
      </c>
      <c r="C424" s="205" t="str">
        <f ca="1">IFERROR(__xludf.DUMMYFUNCTION("""COMPUTED_VALUE"""),"AA030706")</f>
        <v>AA030706</v>
      </c>
      <c r="D424" s="205" t="str">
        <f ca="1">IFERROR(__xludf.DUMMYFUNCTION("""COMPUTED_VALUE"""),"AA030706")</f>
        <v>AA030706</v>
      </c>
    </row>
    <row r="425" spans="1:4" ht="15" customHeight="1">
      <c r="A425" s="206" t="str">
        <f ca="1">IFERROR(__xludf.DUMMYFUNCTION("""COMPUTED_VALUE"""),"AB001045")</f>
        <v>AB001045</v>
      </c>
      <c r="B425" s="205">
        <f ca="1">IFERROR(__xludf.DUMMYFUNCTION("""COMPUTED_VALUE"""),43542)</f>
        <v>43542</v>
      </c>
      <c r="C425" s="205" t="str">
        <f ca="1">IFERROR(__xludf.DUMMYFUNCTION("""COMPUTED_VALUE"""),"AA030801")</f>
        <v>AA030801</v>
      </c>
      <c r="D425" s="205" t="str">
        <f ca="1">IFERROR(__xludf.DUMMYFUNCTION("""COMPUTED_VALUE"""),"AA030801")</f>
        <v>AA030801</v>
      </c>
    </row>
    <row r="426" spans="1:4" ht="15" customHeight="1">
      <c r="A426" s="206" t="str">
        <f ca="1">IFERROR(__xludf.DUMMYFUNCTION("""COMPUTED_VALUE"""),"AB001045")</f>
        <v>AB001045</v>
      </c>
      <c r="B426" s="205">
        <f ca="1">IFERROR(__xludf.DUMMYFUNCTION("""COMPUTED_VALUE"""),43542)</f>
        <v>43542</v>
      </c>
      <c r="C426" s="206" t="str">
        <f ca="1">IFERROR(__xludf.DUMMYFUNCTION("""COMPUTED_VALUE"""),"AA031101")</f>
        <v>AA031101</v>
      </c>
      <c r="D426" s="206" t="str">
        <f ca="1">IFERROR(__xludf.DUMMYFUNCTION("""COMPUTED_VALUE"""),"AA031101")</f>
        <v>AA031101</v>
      </c>
    </row>
    <row r="427" spans="1:4" ht="15" customHeight="1">
      <c r="A427" s="206" t="str">
        <f ca="1">IFERROR(__xludf.DUMMYFUNCTION("""COMPUTED_VALUE"""),"AB001045")</f>
        <v>AB001045</v>
      </c>
      <c r="B427" s="205">
        <f ca="1">IFERROR(__xludf.DUMMYFUNCTION("""COMPUTED_VALUE"""),43542)</f>
        <v>43542</v>
      </c>
      <c r="C427" s="206" t="str">
        <f ca="1">IFERROR(__xludf.DUMMYFUNCTION("""COMPUTED_VALUE"""),"AA031101")</f>
        <v>AA031101</v>
      </c>
      <c r="D427" s="206" t="str">
        <f ca="1">IFERROR(__xludf.DUMMYFUNCTION("""COMPUTED_VALUE"""),"AA031101")</f>
        <v>AA031101</v>
      </c>
    </row>
    <row r="428" spans="1:4" ht="15" customHeight="1">
      <c r="A428" s="206" t="str">
        <f ca="1">IFERROR(__xludf.DUMMYFUNCTION("""COMPUTED_VALUE"""),"AB000118")</f>
        <v>AB000118</v>
      </c>
      <c r="B428" s="205">
        <f ca="1">IFERROR(__xludf.DUMMYFUNCTION("""COMPUTED_VALUE"""),43542)</f>
        <v>43542</v>
      </c>
      <c r="C428" s="206" t="str">
        <f ca="1">IFERROR(__xludf.DUMMYFUNCTION("""COMPUTED_VALUE"""),"AA031101")</f>
        <v>AA031101</v>
      </c>
      <c r="D428" s="206" t="str">
        <f ca="1">IFERROR(__xludf.DUMMYFUNCTION("""COMPUTED_VALUE"""),"AA031101")</f>
        <v>AA031101</v>
      </c>
    </row>
    <row r="429" spans="1:4" ht="15" customHeight="1">
      <c r="A429" s="206" t="str">
        <f ca="1">IFERROR(__xludf.DUMMYFUNCTION("""COMPUTED_VALUE"""),"AB000024")</f>
        <v>AB000024</v>
      </c>
      <c r="B429" s="205">
        <f ca="1">IFERROR(__xludf.DUMMYFUNCTION("""COMPUTED_VALUE"""),43542)</f>
        <v>43542</v>
      </c>
      <c r="C429" s="205" t="str">
        <f ca="1">IFERROR(__xludf.DUMMYFUNCTION("""COMPUTED_VALUE"""),"AA0311")</f>
        <v>AA0311</v>
      </c>
      <c r="D429" s="205" t="str">
        <f ca="1">IFERROR(__xludf.DUMMYFUNCTION("""COMPUTED_VALUE"""),"AA0311")</f>
        <v>AA0311</v>
      </c>
    </row>
    <row r="430" spans="1:4" ht="15" customHeight="1">
      <c r="A430" s="206" t="str">
        <f ca="1">IFERROR(__xludf.DUMMYFUNCTION("""COMPUTED_VALUE"""),"AB000116")</f>
        <v>AB000116</v>
      </c>
      <c r="B430" s="205">
        <f ca="1">IFERROR(__xludf.DUMMYFUNCTION("""COMPUTED_VALUE"""),43542)</f>
        <v>43542</v>
      </c>
      <c r="C430" s="205" t="str">
        <f ca="1">IFERROR(__xludf.DUMMYFUNCTION("""COMPUTED_VALUE"""),"AA031202")</f>
        <v>AA031202</v>
      </c>
      <c r="D430" s="205" t="str">
        <f ca="1">IFERROR(__xludf.DUMMYFUNCTION("""COMPUTED_VALUE"""),"AA031202")</f>
        <v>AA031202</v>
      </c>
    </row>
    <row r="431" spans="1:4" ht="15" customHeight="1">
      <c r="A431" s="206" t="str">
        <f ca="1">IFERROR(__xludf.DUMMYFUNCTION("""COMPUTED_VALUE"""),"AB000116")</f>
        <v>AB000116</v>
      </c>
      <c r="B431" s="205">
        <f ca="1">IFERROR(__xludf.DUMMYFUNCTION("""COMPUTED_VALUE"""),43542)</f>
        <v>43542</v>
      </c>
      <c r="C431" s="205" t="str">
        <f ca="1">IFERROR(__xludf.DUMMYFUNCTION("""COMPUTED_VALUE"""),"AA031202")</f>
        <v>AA031202</v>
      </c>
      <c r="D431" s="205" t="str">
        <f ca="1">IFERROR(__xludf.DUMMYFUNCTION("""COMPUTED_VALUE"""),"AA031202")</f>
        <v>AA031202</v>
      </c>
    </row>
    <row r="432" spans="1:4" ht="15" customHeight="1">
      <c r="A432" s="206" t="str">
        <f ca="1">IFERROR(__xludf.DUMMYFUNCTION("""COMPUTED_VALUE"""),"AB000116")</f>
        <v>AB000116</v>
      </c>
      <c r="B432" s="205">
        <f ca="1">IFERROR(__xludf.DUMMYFUNCTION("""COMPUTED_VALUE"""),43542)</f>
        <v>43542</v>
      </c>
      <c r="C432" s="205" t="str">
        <f ca="1">IFERROR(__xludf.DUMMYFUNCTION("""COMPUTED_VALUE"""),"AA031202")</f>
        <v>AA031202</v>
      </c>
      <c r="D432" s="205" t="str">
        <f ca="1">IFERROR(__xludf.DUMMYFUNCTION("""COMPUTED_VALUE"""),"AA031202")</f>
        <v>AA031202</v>
      </c>
    </row>
    <row r="433" spans="1:4" ht="15" customHeight="1">
      <c r="A433" s="206" t="str">
        <f ca="1">IFERROR(__xludf.DUMMYFUNCTION("""COMPUTED_VALUE"""),"AB000116")</f>
        <v>AB000116</v>
      </c>
      <c r="B433" s="205">
        <f ca="1">IFERROR(__xludf.DUMMYFUNCTION("""COMPUTED_VALUE"""),43542)</f>
        <v>43542</v>
      </c>
      <c r="C433" s="205" t="str">
        <f ca="1">IFERROR(__xludf.DUMMYFUNCTION("""COMPUTED_VALUE"""),"AA031202")</f>
        <v>AA031202</v>
      </c>
      <c r="D433" s="205" t="str">
        <f ca="1">IFERROR(__xludf.DUMMYFUNCTION("""COMPUTED_VALUE"""),"AA031202")</f>
        <v>AA031202</v>
      </c>
    </row>
    <row r="434" spans="1:4" ht="15" customHeight="1">
      <c r="A434" s="206" t="str">
        <f ca="1">IFERROR(__xludf.DUMMYFUNCTION("""COMPUTED_VALUE"""),"AB001048")</f>
        <v>AB001048</v>
      </c>
      <c r="B434" s="205">
        <f ca="1">IFERROR(__xludf.DUMMYFUNCTION("""COMPUTED_VALUE"""),43542)</f>
        <v>43542</v>
      </c>
      <c r="C434" s="205" t="str">
        <f ca="1">IFERROR(__xludf.DUMMYFUNCTION("""COMPUTED_VALUE"""),"AA031202")</f>
        <v>AA031202</v>
      </c>
      <c r="D434" s="205" t="str">
        <f ca="1">IFERROR(__xludf.DUMMYFUNCTION("""COMPUTED_VALUE"""),"AA031202")</f>
        <v>AA031202</v>
      </c>
    </row>
    <row r="435" spans="1:4" ht="15" customHeight="1">
      <c r="A435" s="206" t="str">
        <f ca="1">IFERROR(__xludf.DUMMYFUNCTION("""COMPUTED_VALUE"""),"AB001047")</f>
        <v>AB001047</v>
      </c>
      <c r="B435" s="205">
        <f ca="1">IFERROR(__xludf.DUMMYFUNCTION("""COMPUTED_VALUE"""),43542)</f>
        <v>43542</v>
      </c>
      <c r="C435" s="205" t="str">
        <f ca="1">IFERROR(__xludf.DUMMYFUNCTION("""COMPUTED_VALUE"""),"AA031202")</f>
        <v>AA031202</v>
      </c>
      <c r="D435" s="205" t="str">
        <f ca="1">IFERROR(__xludf.DUMMYFUNCTION("""COMPUTED_VALUE"""),"AA031202")</f>
        <v>AA031202</v>
      </c>
    </row>
    <row r="436" spans="1:4" ht="15" customHeight="1">
      <c r="A436" s="206" t="str">
        <f ca="1">IFERROR(__xludf.DUMMYFUNCTION("""COMPUTED_VALUE"""),"AB000002")</f>
        <v>AB000002</v>
      </c>
      <c r="B436" s="205">
        <f ca="1">IFERROR(__xludf.DUMMYFUNCTION("""COMPUTED_VALUE"""),43542)</f>
        <v>43542</v>
      </c>
      <c r="C436" s="205" t="str">
        <f ca="1">IFERROR(__xludf.DUMMYFUNCTION("""COMPUTED_VALUE"""),"AA031202")</f>
        <v>AA031202</v>
      </c>
      <c r="D436" s="205" t="str">
        <f ca="1">IFERROR(__xludf.DUMMYFUNCTION("""COMPUTED_VALUE"""),"AA031202")</f>
        <v>AA031202</v>
      </c>
    </row>
    <row r="437" spans="1:4" ht="15" customHeight="1">
      <c r="A437" s="206" t="str">
        <f ca="1">IFERROR(__xludf.DUMMYFUNCTION("""COMPUTED_VALUE"""),"AB001050")</f>
        <v>AB001050</v>
      </c>
      <c r="B437" s="205">
        <f ca="1">IFERROR(__xludf.DUMMYFUNCTION("""COMPUTED_VALUE"""),43542)</f>
        <v>43542</v>
      </c>
      <c r="C437" s="205" t="str">
        <f ca="1">IFERROR(__xludf.DUMMYFUNCTION("""COMPUTED_VALUE"""),"AA031202")</f>
        <v>AA031202</v>
      </c>
      <c r="D437" s="205" t="str">
        <f ca="1">IFERROR(__xludf.DUMMYFUNCTION("""COMPUTED_VALUE"""),"AA031202")</f>
        <v>AA031202</v>
      </c>
    </row>
    <row r="438" spans="1:4" ht="15" customHeight="1">
      <c r="A438" s="206" t="str">
        <f ca="1">IFERROR(__xludf.DUMMYFUNCTION("""COMPUTED_VALUE"""),"AB000110")</f>
        <v>AB000110</v>
      </c>
      <c r="B438" s="205">
        <f ca="1">IFERROR(__xludf.DUMMYFUNCTION("""COMPUTED_VALUE"""),43542)</f>
        <v>43542</v>
      </c>
      <c r="C438" s="205" t="str">
        <f ca="1">IFERROR(__xludf.DUMMYFUNCTION("""COMPUTED_VALUE"""),"AA031202")</f>
        <v>AA031202</v>
      </c>
      <c r="D438" s="205" t="str">
        <f ca="1">IFERROR(__xludf.DUMMYFUNCTION("""COMPUTED_VALUE"""),"AA031202")</f>
        <v>AA031202</v>
      </c>
    </row>
    <row r="439" spans="1:4" ht="15" customHeight="1">
      <c r="A439" s="206" t="str">
        <f ca="1">IFERROR(__xludf.DUMMYFUNCTION("""COMPUTED_VALUE"""),"AB001042")</f>
        <v>AB001042</v>
      </c>
      <c r="B439" s="205">
        <f ca="1">IFERROR(__xludf.DUMMYFUNCTION("""COMPUTED_VALUE"""),43542)</f>
        <v>43542</v>
      </c>
      <c r="C439" s="205" t="str">
        <f ca="1">IFERROR(__xludf.DUMMYFUNCTION("""COMPUTED_VALUE"""),"AA031202")</f>
        <v>AA031202</v>
      </c>
      <c r="D439" s="205" t="str">
        <f ca="1">IFERROR(__xludf.DUMMYFUNCTION("""COMPUTED_VALUE"""),"AA031202")</f>
        <v>AA031202</v>
      </c>
    </row>
    <row r="440" spans="1:4" ht="15" customHeight="1">
      <c r="A440" s="206" t="str">
        <f ca="1">IFERROR(__xludf.DUMMYFUNCTION("""COMPUTED_VALUE"""),"AB000107")</f>
        <v>AB000107</v>
      </c>
      <c r="B440" s="205">
        <f ca="1">IFERROR(__xludf.DUMMYFUNCTION("""COMPUTED_VALUE"""),43542)</f>
        <v>43542</v>
      </c>
      <c r="C440" s="205" t="str">
        <f ca="1">IFERROR(__xludf.DUMMYFUNCTION("""COMPUTED_VALUE"""),"AB001051")</f>
        <v>AB001051</v>
      </c>
      <c r="D440" s="205" t="str">
        <f ca="1">IFERROR(__xludf.DUMMYFUNCTION("""COMPUTED_VALUE"""),"AB001051")</f>
        <v>AB001051</v>
      </c>
    </row>
    <row r="441" spans="1:4" ht="15" customHeight="1">
      <c r="A441" s="206" t="str">
        <f ca="1">IFERROR(__xludf.DUMMYFUNCTION("""COMPUTED_VALUE"""),"AB000108")</f>
        <v>AB000108</v>
      </c>
      <c r="B441" s="205">
        <f ca="1">IFERROR(__xludf.DUMMYFUNCTION("""COMPUTED_VALUE"""),43542)</f>
        <v>43542</v>
      </c>
      <c r="C441" s="205" t="str">
        <f ca="1">IFERROR(__xludf.DUMMYFUNCTION("""COMPUTED_VALUE"""),"AA032001")</f>
        <v>AA032001</v>
      </c>
      <c r="D441" s="205" t="str">
        <f ca="1">IFERROR(__xludf.DUMMYFUNCTION("""COMPUTED_VALUE"""),"AA032001")</f>
        <v>AA032001</v>
      </c>
    </row>
    <row r="442" spans="1:4" ht="15" customHeight="1">
      <c r="A442" s="206" t="str">
        <f ca="1">IFERROR(__xludf.DUMMYFUNCTION("""COMPUTED_VALUE"""),"AB000035")</f>
        <v>AB000035</v>
      </c>
      <c r="B442" s="205">
        <f ca="1">IFERROR(__xludf.DUMMYFUNCTION("""COMPUTED_VALUE"""),43542)</f>
        <v>43542</v>
      </c>
      <c r="C442" s="205" t="str">
        <f ca="1">IFERROR(__xludf.DUMMYFUNCTION("""COMPUTED_VALUE"""),"PA000051")</f>
        <v>PA000051</v>
      </c>
      <c r="D442" s="205" t="str">
        <f ca="1">IFERROR(__xludf.DUMMYFUNCTION("""COMPUTED_VALUE"""),"PA000051")</f>
        <v>PA000051</v>
      </c>
    </row>
    <row r="443" spans="1:4" ht="15" customHeight="1">
      <c r="A443" s="206" t="str">
        <f ca="1">IFERROR(__xludf.DUMMYFUNCTION("""COMPUTED_VALUE"""),"AB000109")</f>
        <v>AB000109</v>
      </c>
      <c r="B443" s="205">
        <f ca="1">IFERROR(__xludf.DUMMYFUNCTION("""COMPUTED_VALUE"""),43542)</f>
        <v>43542</v>
      </c>
      <c r="C443" s="205" t="str">
        <f ca="1">IFERROR(__xludf.DUMMYFUNCTION("""COMPUTED_VALUE"""),"PA000052")</f>
        <v>PA000052</v>
      </c>
      <c r="D443" s="205" t="str">
        <f ca="1">IFERROR(__xludf.DUMMYFUNCTION("""COMPUTED_VALUE"""),"PA000052")</f>
        <v>PA000052</v>
      </c>
    </row>
    <row r="444" spans="1:4" ht="15" customHeight="1">
      <c r="A444" s="206" t="str">
        <f ca="1">IFERROR(__xludf.DUMMYFUNCTION("""COMPUTED_VALUE"""),"AB000036")</f>
        <v>AB000036</v>
      </c>
      <c r="B444" s="205">
        <f ca="1">IFERROR(__xludf.DUMMYFUNCTION("""COMPUTED_VALUE"""),43542)</f>
        <v>43542</v>
      </c>
      <c r="C444" s="206" t="str">
        <f ca="1">IFERROR(__xludf.DUMMYFUNCTION("""COMPUTED_VALUE"""),"PA000007")</f>
        <v>PA000007</v>
      </c>
      <c r="D444" s="206" t="str">
        <f ca="1">IFERROR(__xludf.DUMMYFUNCTION("""COMPUTED_VALUE"""),"PA000007")</f>
        <v>PA000007</v>
      </c>
    </row>
    <row r="445" spans="1:4" ht="15" customHeight="1">
      <c r="A445" s="206" t="str">
        <f ca="1">IFERROR(__xludf.DUMMYFUNCTION("""COMPUTED_VALUE"""),"AB000036")</f>
        <v>AB000036</v>
      </c>
      <c r="B445" s="205">
        <f ca="1">IFERROR(__xludf.DUMMYFUNCTION("""COMPUTED_VALUE"""),43542)</f>
        <v>43542</v>
      </c>
      <c r="C445" s="206" t="str">
        <f ca="1">IFERROR(__xludf.DUMMYFUNCTION("""COMPUTED_VALUE"""),"PA000007")</f>
        <v>PA000007</v>
      </c>
      <c r="D445" s="206" t="str">
        <f ca="1">IFERROR(__xludf.DUMMYFUNCTION("""COMPUTED_VALUE"""),"PA000007")</f>
        <v>PA000007</v>
      </c>
    </row>
    <row r="446" spans="1:4" ht="15" customHeight="1">
      <c r="A446" s="206" t="str">
        <f ca="1">IFERROR(__xludf.DUMMYFUNCTION("""COMPUTED_VALUE"""),"AB000036")</f>
        <v>AB000036</v>
      </c>
      <c r="B446" s="205">
        <f ca="1">IFERROR(__xludf.DUMMYFUNCTION("""COMPUTED_VALUE"""),43542)</f>
        <v>43542</v>
      </c>
      <c r="C446" s="206" t="str">
        <f ca="1">IFERROR(__xludf.DUMMYFUNCTION("""COMPUTED_VALUE"""),"PA000007")</f>
        <v>PA000007</v>
      </c>
      <c r="D446" s="206" t="str">
        <f ca="1">IFERROR(__xludf.DUMMYFUNCTION("""COMPUTED_VALUE"""),"PA000007")</f>
        <v>PA000007</v>
      </c>
    </row>
    <row r="447" spans="1:4" ht="15" customHeight="1">
      <c r="A447" s="206" t="str">
        <f ca="1">IFERROR(__xludf.DUMMYFUNCTION("""COMPUTED_VALUE"""),"AB000036")</f>
        <v>AB000036</v>
      </c>
      <c r="B447" s="205">
        <f ca="1">IFERROR(__xludf.DUMMYFUNCTION("""COMPUTED_VALUE"""),43542)</f>
        <v>43542</v>
      </c>
      <c r="C447" s="206" t="str">
        <f ca="1">IFERROR(__xludf.DUMMYFUNCTION("""COMPUTED_VALUE"""),"PA000007")</f>
        <v>PA000007</v>
      </c>
      <c r="D447" s="206" t="str">
        <f ca="1">IFERROR(__xludf.DUMMYFUNCTION("""COMPUTED_VALUE"""),"PA000007")</f>
        <v>PA000007</v>
      </c>
    </row>
    <row r="448" spans="1:4" ht="15" customHeight="1">
      <c r="A448" s="206" t="str">
        <f ca="1">IFERROR(__xludf.DUMMYFUNCTION("""COMPUTED_VALUE"""),"AB000045")</f>
        <v>AB000045</v>
      </c>
      <c r="B448" s="205">
        <f ca="1">IFERROR(__xludf.DUMMYFUNCTION("""COMPUTED_VALUE"""),43542)</f>
        <v>43542</v>
      </c>
      <c r="C448" s="206" t="str">
        <f ca="1">IFERROR(__xludf.DUMMYFUNCTION("""COMPUTED_VALUE"""),"PA000007")</f>
        <v>PA000007</v>
      </c>
      <c r="D448" s="206" t="str">
        <f ca="1">IFERROR(__xludf.DUMMYFUNCTION("""COMPUTED_VALUE"""),"PA000007")</f>
        <v>PA000007</v>
      </c>
    </row>
    <row r="449" spans="1:4" ht="15" customHeight="1">
      <c r="A449" s="206" t="str">
        <f ca="1">IFERROR(__xludf.DUMMYFUNCTION("""COMPUTED_VALUE"""),"AB001049")</f>
        <v>AB001049</v>
      </c>
      <c r="B449" s="205">
        <f ca="1">IFERROR(__xludf.DUMMYFUNCTION("""COMPUTED_VALUE"""),43542)</f>
        <v>43542</v>
      </c>
      <c r="C449" s="206" t="str">
        <f ca="1">IFERROR(__xludf.DUMMYFUNCTION("""COMPUTED_VALUE"""),"PA000007")</f>
        <v>PA000007</v>
      </c>
      <c r="D449" s="206" t="str">
        <f ca="1">IFERROR(__xludf.DUMMYFUNCTION("""COMPUTED_VALUE"""),"PA000007")</f>
        <v>PA000007</v>
      </c>
    </row>
    <row r="450" spans="1:4" ht="15" customHeight="1">
      <c r="A450" s="206" t="str">
        <f ca="1">IFERROR(__xludf.DUMMYFUNCTION("""COMPUTED_VALUE"""),"AB001049")</f>
        <v>AB001049</v>
      </c>
      <c r="B450" s="205">
        <f ca="1">IFERROR(__xludf.DUMMYFUNCTION("""COMPUTED_VALUE"""),43542)</f>
        <v>43542</v>
      </c>
      <c r="C450" s="206" t="str">
        <f ca="1">IFERROR(__xludf.DUMMYFUNCTION("""COMPUTED_VALUE"""),"PA000007")</f>
        <v>PA000007</v>
      </c>
      <c r="D450" s="206" t="str">
        <f ca="1">IFERROR(__xludf.DUMMYFUNCTION("""COMPUTED_VALUE"""),"PA000007")</f>
        <v>PA000007</v>
      </c>
    </row>
    <row r="451" spans="1:4" ht="15" customHeight="1">
      <c r="A451" s="206" t="str">
        <f ca="1">IFERROR(__xludf.DUMMYFUNCTION("""COMPUTED_VALUE"""),"AB001002")</f>
        <v>AB001002</v>
      </c>
      <c r="B451" s="205">
        <f ca="1">IFERROR(__xludf.DUMMYFUNCTION("""COMPUTED_VALUE"""),43545)</f>
        <v>43545</v>
      </c>
      <c r="C451" s="206" t="str">
        <f ca="1">IFERROR(__xludf.DUMMYFUNCTION("""COMPUTED_VALUE"""),"PA000007")</f>
        <v>PA000007</v>
      </c>
      <c r="D451" s="206" t="str">
        <f ca="1">IFERROR(__xludf.DUMMYFUNCTION("""COMPUTED_VALUE"""),"PA000007")</f>
        <v>PA000007</v>
      </c>
    </row>
    <row r="452" spans="1:4" ht="15" customHeight="1">
      <c r="A452" s="206" t="str">
        <f ca="1">IFERROR(__xludf.DUMMYFUNCTION("""COMPUTED_VALUE"""),"AB001003")</f>
        <v>AB001003</v>
      </c>
      <c r="B452" s="205">
        <f ca="1">IFERROR(__xludf.DUMMYFUNCTION("""COMPUTED_VALUE"""),43545)</f>
        <v>43545</v>
      </c>
      <c r="C452" s="206" t="str">
        <f ca="1">IFERROR(__xludf.DUMMYFUNCTION("""COMPUTED_VALUE"""),"PA000007")</f>
        <v>PA000007</v>
      </c>
      <c r="D452" s="206" t="str">
        <f ca="1">IFERROR(__xludf.DUMMYFUNCTION("""COMPUTED_VALUE"""),"PA000007")</f>
        <v>PA000007</v>
      </c>
    </row>
    <row r="453" spans="1:4" ht="15" customHeight="1">
      <c r="A453" s="206" t="str">
        <f ca="1">IFERROR(__xludf.DUMMYFUNCTION("""COMPUTED_VALUE"""),"AB001003")</f>
        <v>AB001003</v>
      </c>
      <c r="B453" s="205">
        <f ca="1">IFERROR(__xludf.DUMMYFUNCTION("""COMPUTED_VALUE"""),43545)</f>
        <v>43545</v>
      </c>
      <c r="C453" s="206" t="str">
        <f ca="1">IFERROR(__xludf.DUMMYFUNCTION("""COMPUTED_VALUE"""),"PA000007")</f>
        <v>PA000007</v>
      </c>
      <c r="D453" s="206" t="str">
        <f ca="1">IFERROR(__xludf.DUMMYFUNCTION("""COMPUTED_VALUE"""),"PA000007")</f>
        <v>PA000007</v>
      </c>
    </row>
    <row r="454" spans="1:4" ht="15" customHeight="1">
      <c r="A454" s="206" t="str">
        <f ca="1">IFERROR(__xludf.DUMMYFUNCTION("""COMPUTED_VALUE"""),"AB000155")</f>
        <v>AB000155</v>
      </c>
      <c r="B454" s="205">
        <f ca="1">IFERROR(__xludf.DUMMYFUNCTION("""COMPUTED_VALUE"""),43545)</f>
        <v>43545</v>
      </c>
      <c r="C454" s="206" t="str">
        <f ca="1">IFERROR(__xludf.DUMMYFUNCTION("""COMPUTED_VALUE"""),"PA000007")</f>
        <v>PA000007</v>
      </c>
      <c r="D454" s="206" t="str">
        <f ca="1">IFERROR(__xludf.DUMMYFUNCTION("""COMPUTED_VALUE"""),"PA000007")</f>
        <v>PA000007</v>
      </c>
    </row>
    <row r="455" spans="1:4" ht="15" customHeight="1">
      <c r="A455" s="206" t="str">
        <f ca="1">IFERROR(__xludf.DUMMYFUNCTION("""COMPUTED_VALUE"""),"AB000156")</f>
        <v>AB000156</v>
      </c>
      <c r="B455" s="205">
        <f ca="1">IFERROR(__xludf.DUMMYFUNCTION("""COMPUTED_VALUE"""),43545)</f>
        <v>43545</v>
      </c>
      <c r="C455" s="206" t="str">
        <f ca="1">IFERROR(__xludf.DUMMYFUNCTION("""COMPUTED_VALUE"""),"PA000007")</f>
        <v>PA000007</v>
      </c>
      <c r="D455" s="206" t="str">
        <f ca="1">IFERROR(__xludf.DUMMYFUNCTION("""COMPUTED_VALUE"""),"PA000007")</f>
        <v>PA000007</v>
      </c>
    </row>
    <row r="456" spans="1:4" ht="15" customHeight="1">
      <c r="A456" s="206" t="str">
        <f ca="1">IFERROR(__xludf.DUMMYFUNCTION("""COMPUTED_VALUE"""),"AA031112")</f>
        <v>AA031112</v>
      </c>
      <c r="B456" s="205">
        <f ca="1">IFERROR(__xludf.DUMMYFUNCTION("""COMPUTED_VALUE"""),43536)</f>
        <v>43536</v>
      </c>
      <c r="C456" s="206" t="str">
        <f ca="1">IFERROR(__xludf.DUMMYFUNCTION("""COMPUTED_VALUE"""),"PA000007")</f>
        <v>PA000007</v>
      </c>
      <c r="D456" s="206" t="str">
        <f ca="1">IFERROR(__xludf.DUMMYFUNCTION("""COMPUTED_VALUE"""),"PA000007")</f>
        <v>PA000007</v>
      </c>
    </row>
    <row r="457" spans="1:4" ht="15" customHeight="1">
      <c r="A457" s="206" t="str">
        <f ca="1">IFERROR(__xludf.DUMMYFUNCTION("""COMPUTED_VALUE"""),"PA000002")</f>
        <v>PA000002</v>
      </c>
      <c r="B457" s="205">
        <f ca="1">IFERROR(__xludf.DUMMYFUNCTION("""COMPUTED_VALUE"""),43551)</f>
        <v>43551</v>
      </c>
      <c r="C457" s="206" t="str">
        <f ca="1">IFERROR(__xludf.DUMMYFUNCTION("""COMPUTED_VALUE"""),"PA000007")</f>
        <v>PA000007</v>
      </c>
      <c r="D457" s="206" t="str">
        <f ca="1">IFERROR(__xludf.DUMMYFUNCTION("""COMPUTED_VALUE"""),"PA000007")</f>
        <v>PA000007</v>
      </c>
    </row>
    <row r="458" spans="1:4" ht="15" customHeight="1">
      <c r="A458" s="206" t="str">
        <f ca="1">IFERROR(__xludf.DUMMYFUNCTION("""COMPUTED_VALUE"""),"PA000002")</f>
        <v>PA000002</v>
      </c>
      <c r="B458" s="205">
        <f ca="1">IFERROR(__xludf.DUMMYFUNCTION("""COMPUTED_VALUE"""),43551)</f>
        <v>43551</v>
      </c>
      <c r="C458" s="205" t="str">
        <f ca="1">IFERROR(__xludf.DUMMYFUNCTION("""COMPUTED_VALUE"""),"PA000005")</f>
        <v>PA000005</v>
      </c>
      <c r="D458" s="205" t="str">
        <f ca="1">IFERROR(__xludf.DUMMYFUNCTION("""COMPUTED_VALUE"""),"PA000005")</f>
        <v>PA000005</v>
      </c>
    </row>
    <row r="459" spans="1:4" ht="15" customHeight="1">
      <c r="A459" s="206" t="str">
        <f ca="1">IFERROR(__xludf.DUMMYFUNCTION("""COMPUTED_VALUE"""),"AB001004")</f>
        <v>AB001004</v>
      </c>
      <c r="B459" s="205">
        <f ca="1">IFERROR(__xludf.DUMMYFUNCTION("""COMPUTED_VALUE"""),43550)</f>
        <v>43550</v>
      </c>
      <c r="C459" s="205" t="str">
        <f ca="1">IFERROR(__xludf.DUMMYFUNCTION("""COMPUTED_VALUE"""),"PA000053")</f>
        <v>PA000053</v>
      </c>
      <c r="D459" s="205" t="str">
        <f ca="1">IFERROR(__xludf.DUMMYFUNCTION("""COMPUTED_VALUE"""),"PA000053")</f>
        <v>PA000053</v>
      </c>
    </row>
    <row r="460" spans="1:4" ht="15" customHeight="1">
      <c r="A460" s="206" t="str">
        <f ca="1">IFERROR(__xludf.DUMMYFUNCTION("""COMPUTED_VALUE"""),"AB001005")</f>
        <v>AB001005</v>
      </c>
      <c r="B460" s="205">
        <f ca="1">IFERROR(__xludf.DUMMYFUNCTION("""COMPUTED_VALUE"""),43550)</f>
        <v>43550</v>
      </c>
      <c r="C460" s="205" t="str">
        <f ca="1">IFERROR(__xludf.DUMMYFUNCTION("""COMPUTED_VALUE"""),"PA000053")</f>
        <v>PA000053</v>
      </c>
      <c r="D460" s="205" t="str">
        <f ca="1">IFERROR(__xludf.DUMMYFUNCTION("""COMPUTED_VALUE"""),"PA000053")</f>
        <v>PA000053</v>
      </c>
    </row>
    <row r="461" spans="1:4" ht="15" customHeight="1">
      <c r="A461" s="206" t="str">
        <f ca="1">IFERROR(__xludf.DUMMYFUNCTION("""COMPUTED_VALUE"""),"AB001006")</f>
        <v>AB001006</v>
      </c>
      <c r="B461" s="205">
        <f ca="1">IFERROR(__xludf.DUMMYFUNCTION("""COMPUTED_VALUE"""),43550)</f>
        <v>43550</v>
      </c>
      <c r="C461" s="205" t="str">
        <f ca="1">IFERROR(__xludf.DUMMYFUNCTION("""COMPUTED_VALUE"""),"PA000053")</f>
        <v>PA000053</v>
      </c>
      <c r="D461" s="205" t="str">
        <f ca="1">IFERROR(__xludf.DUMMYFUNCTION("""COMPUTED_VALUE"""),"PA000053")</f>
        <v>PA000053</v>
      </c>
    </row>
    <row r="462" spans="1:4" ht="15" customHeight="1">
      <c r="A462" s="206" t="str">
        <f ca="1">IFERROR(__xludf.DUMMYFUNCTION("""COMPUTED_VALUE"""),"AB001007")</f>
        <v>AB001007</v>
      </c>
      <c r="B462" s="205">
        <f ca="1">IFERROR(__xludf.DUMMYFUNCTION("""COMPUTED_VALUE"""),43550)</f>
        <v>43550</v>
      </c>
      <c r="C462" s="205" t="str">
        <f ca="1">IFERROR(__xludf.DUMMYFUNCTION("""COMPUTED_VALUE"""),"AB000153")</f>
        <v>AB000153</v>
      </c>
      <c r="D462" s="205" t="str">
        <f ca="1">IFERROR(__xludf.DUMMYFUNCTION("""COMPUTED_VALUE"""),"AB000153")</f>
        <v>AB000153</v>
      </c>
    </row>
    <row r="463" spans="1:4" ht="15" customHeight="1">
      <c r="A463" s="206" t="str">
        <f ca="1">IFERROR(__xludf.DUMMYFUNCTION("""COMPUTED_VALUE"""),"AB000158")</f>
        <v>AB000158</v>
      </c>
      <c r="B463" s="205">
        <f ca="1">IFERROR(__xludf.DUMMYFUNCTION("""COMPUTED_VALUE"""),43550)</f>
        <v>43550</v>
      </c>
      <c r="C463" s="205" t="str">
        <f ca="1">IFERROR(__xludf.DUMMYFUNCTION("""COMPUTED_VALUE"""),"AB000153")</f>
        <v>AB000153</v>
      </c>
      <c r="D463" s="205" t="str">
        <f ca="1">IFERROR(__xludf.DUMMYFUNCTION("""COMPUTED_VALUE"""),"AB000153")</f>
        <v>AB000153</v>
      </c>
    </row>
    <row r="464" spans="1:4" ht="15" customHeight="1">
      <c r="A464" s="206" t="str">
        <f ca="1">IFERROR(__xludf.DUMMYFUNCTION("""COMPUTED_VALUE"""),"AB000158")</f>
        <v>AB000158</v>
      </c>
      <c r="B464" s="205">
        <f ca="1">IFERROR(__xludf.DUMMYFUNCTION("""COMPUTED_VALUE"""),43550)</f>
        <v>43550</v>
      </c>
      <c r="C464" s="205" t="str">
        <f ca="1">IFERROR(__xludf.DUMMYFUNCTION("""COMPUTED_VALUE"""),"PA000008")</f>
        <v>PA000008</v>
      </c>
      <c r="D464" s="205" t="str">
        <f ca="1">IFERROR(__xludf.DUMMYFUNCTION("""COMPUTED_VALUE"""),"PA000008")</f>
        <v>PA000008</v>
      </c>
    </row>
    <row r="465" spans="1:4" ht="15" customHeight="1">
      <c r="A465" s="206" t="str">
        <f ca="1">IFERROR(__xludf.DUMMYFUNCTION("""COMPUTED_VALUE"""),"AB000158")</f>
        <v>AB000158</v>
      </c>
      <c r="B465" s="205">
        <f ca="1">IFERROR(__xludf.DUMMYFUNCTION("""COMPUTED_VALUE"""),43550)</f>
        <v>43550</v>
      </c>
      <c r="C465" s="205" t="str">
        <f ca="1">IFERROR(__xludf.DUMMYFUNCTION("""COMPUTED_VALUE"""),"AA032901")</f>
        <v>AA032901</v>
      </c>
      <c r="D465" s="205" t="str">
        <f ca="1">IFERROR(__xludf.DUMMYFUNCTION("""COMPUTED_VALUE"""),"AA032901")</f>
        <v>AA032901</v>
      </c>
    </row>
    <row r="466" spans="1:4" ht="15" customHeight="1">
      <c r="A466" s="206" t="str">
        <f ca="1">IFERROR(__xludf.DUMMYFUNCTION("""COMPUTED_VALUE"""),"AB000158")</f>
        <v>AB000158</v>
      </c>
      <c r="B466" s="205">
        <f ca="1">IFERROR(__xludf.DUMMYFUNCTION("""COMPUTED_VALUE"""),43550)</f>
        <v>43550</v>
      </c>
      <c r="C466" s="205" t="str">
        <f ca="1">IFERROR(__xludf.DUMMYFUNCTION("""COMPUTED_VALUE"""),"PA00011")</f>
        <v>PA00011</v>
      </c>
      <c r="D466" s="205" t="str">
        <f ca="1">IFERROR(__xludf.DUMMYFUNCTION("""COMPUTED_VALUE"""),"PA00011")</f>
        <v>PA00011</v>
      </c>
    </row>
    <row r="467" spans="1:4" ht="15" customHeight="1">
      <c r="A467" s="206" t="str">
        <f ca="1">IFERROR(__xludf.DUMMYFUNCTION("""COMPUTED_VALUE"""),"AB000158")</f>
        <v>AB000158</v>
      </c>
      <c r="B467" s="205">
        <f ca="1">IFERROR(__xludf.DUMMYFUNCTION("""COMPUTED_VALUE"""),43550)</f>
        <v>43550</v>
      </c>
      <c r="C467" s="205" t="str">
        <f ca="1">IFERROR(__xludf.DUMMYFUNCTION("""COMPUTED_VALUE"""),"PA00011")</f>
        <v>PA00011</v>
      </c>
      <c r="D467" s="205" t="str">
        <f ca="1">IFERROR(__xludf.DUMMYFUNCTION("""COMPUTED_VALUE"""),"PA00011")</f>
        <v>PA00011</v>
      </c>
    </row>
    <row r="468" spans="1:4" ht="15" customHeight="1">
      <c r="A468" s="206" t="str">
        <f ca="1">IFERROR(__xludf.DUMMYFUNCTION("""COMPUTED_VALUE"""),"AB000158")</f>
        <v>AB000158</v>
      </c>
      <c r="B468" s="205">
        <f ca="1">IFERROR(__xludf.DUMMYFUNCTION("""COMPUTED_VALUE"""),43550)</f>
        <v>43550</v>
      </c>
      <c r="C468" s="205" t="str">
        <f ca="1">IFERROR(__xludf.DUMMYFUNCTION("""COMPUTED_VALUE"""),"PA00011")</f>
        <v>PA00011</v>
      </c>
      <c r="D468" s="205" t="str">
        <f ca="1">IFERROR(__xludf.DUMMYFUNCTION("""COMPUTED_VALUE"""),"PA00011")</f>
        <v>PA00011</v>
      </c>
    </row>
    <row r="469" spans="1:4" ht="15" customHeight="1">
      <c r="A469" s="206" t="str">
        <f ca="1">IFERROR(__xludf.DUMMYFUNCTION("""COMPUTED_VALUE"""),"AB000158")</f>
        <v>AB000158</v>
      </c>
      <c r="B469" s="205">
        <f ca="1">IFERROR(__xludf.DUMMYFUNCTION("""COMPUTED_VALUE"""),43550)</f>
        <v>43550</v>
      </c>
      <c r="C469" s="205" t="str">
        <f ca="1">IFERROR(__xludf.DUMMYFUNCTION("""COMPUTED_VALUE"""),"PA00011")</f>
        <v>PA00011</v>
      </c>
      <c r="D469" s="205" t="str">
        <f ca="1">IFERROR(__xludf.DUMMYFUNCTION("""COMPUTED_VALUE"""),"PA00011")</f>
        <v>PA00011</v>
      </c>
    </row>
    <row r="470" spans="1:4" ht="15" customHeight="1">
      <c r="A470" s="206" t="str">
        <f ca="1">IFERROR(__xludf.DUMMYFUNCTION("""COMPUTED_VALUE"""),"AB000158")</f>
        <v>AB000158</v>
      </c>
      <c r="B470" s="205">
        <f ca="1">IFERROR(__xludf.DUMMYFUNCTION("""COMPUTED_VALUE"""),43550)</f>
        <v>43550</v>
      </c>
      <c r="C470" s="205" t="str">
        <f ca="1">IFERROR(__xludf.DUMMYFUNCTION("""COMPUTED_VALUE"""),"PA00011")</f>
        <v>PA00011</v>
      </c>
      <c r="D470" s="205" t="str">
        <f ca="1">IFERROR(__xludf.DUMMYFUNCTION("""COMPUTED_VALUE"""),"PA00011")</f>
        <v>PA00011</v>
      </c>
    </row>
    <row r="471" spans="1:4" ht="15" customHeight="1">
      <c r="A471" s="206" t="str">
        <f ca="1">IFERROR(__xludf.DUMMYFUNCTION("""COMPUTED_VALUE"""),"AB000152")</f>
        <v>AB000152</v>
      </c>
      <c r="B471" s="205">
        <f ca="1">IFERROR(__xludf.DUMMYFUNCTION("""COMPUTED_VALUE"""),43550)</f>
        <v>43550</v>
      </c>
      <c r="C471" s="205" t="str">
        <f ca="1">IFERROR(__xludf.DUMMYFUNCTION("""COMPUTED_VALUE"""),"PA00011")</f>
        <v>PA00011</v>
      </c>
      <c r="D471" s="205" t="str">
        <f ca="1">IFERROR(__xludf.DUMMYFUNCTION("""COMPUTED_VALUE"""),"PA00011")</f>
        <v>PA00011</v>
      </c>
    </row>
    <row r="472" spans="1:4" ht="15" customHeight="1">
      <c r="A472" s="206" t="str">
        <f ca="1">IFERROR(__xludf.DUMMYFUNCTION("""COMPUTED_VALUE"""),"AB000157")</f>
        <v>AB000157</v>
      </c>
      <c r="B472" s="205">
        <f ca="1">IFERROR(__xludf.DUMMYFUNCTION("""COMPUTED_VALUE"""),43551)</f>
        <v>43551</v>
      </c>
      <c r="C472" s="205" t="str">
        <f ca="1">IFERROR(__xludf.DUMMYFUNCTION("""COMPUTED_VALUE"""),"PA00012")</f>
        <v>PA00012</v>
      </c>
      <c r="D472" s="205" t="str">
        <f ca="1">IFERROR(__xludf.DUMMYFUNCTION("""COMPUTED_VALUE"""),"PA00012")</f>
        <v>PA00012</v>
      </c>
    </row>
    <row r="473" spans="1:4" ht="15" customHeight="1">
      <c r="A473" s="206" t="str">
        <f ca="1">IFERROR(__xludf.DUMMYFUNCTION("""COMPUTED_VALUE"""),"AB001052")</f>
        <v>AB001052</v>
      </c>
      <c r="B473" s="205">
        <f ca="1">IFERROR(__xludf.DUMMYFUNCTION("""COMPUTED_VALUE"""),43550)</f>
        <v>43550</v>
      </c>
      <c r="C473" s="205" t="str">
        <f ca="1">IFERROR(__xludf.DUMMYFUNCTION("""COMPUTED_VALUE"""),"PA000054")</f>
        <v>PA000054</v>
      </c>
      <c r="D473" s="205" t="str">
        <f ca="1">IFERROR(__xludf.DUMMYFUNCTION("""COMPUTED_VALUE"""),"PA000054")</f>
        <v>PA000054</v>
      </c>
    </row>
    <row r="474" spans="1:4" ht="15" customHeight="1">
      <c r="A474" s="206" t="str">
        <f ca="1">IFERROR(__xludf.DUMMYFUNCTION("""COMPUTED_VALUE"""),"PA000004")</f>
        <v>PA000004</v>
      </c>
      <c r="B474" s="205">
        <f ca="1">IFERROR(__xludf.DUMMYFUNCTION("""COMPUTED_VALUE"""),43550)</f>
        <v>43550</v>
      </c>
      <c r="C474" s="205" t="str">
        <f ca="1">IFERROR(__xludf.DUMMYFUNCTION("""COMPUTED_VALUE"""),"PA000054")</f>
        <v>PA000054</v>
      </c>
      <c r="D474" s="205" t="str">
        <f ca="1">IFERROR(__xludf.DUMMYFUNCTION("""COMPUTED_VALUE"""),"PA000054")</f>
        <v>PA000054</v>
      </c>
    </row>
    <row r="475" spans="1:4" ht="15" customHeight="1">
      <c r="A475" s="206" t="str">
        <f ca="1">IFERROR(__xludf.DUMMYFUNCTION("""COMPUTED_VALUE"""),"AB000159")</f>
        <v>AB000159</v>
      </c>
      <c r="B475" s="205">
        <f ca="1">IFERROR(__xludf.DUMMYFUNCTION("""COMPUTED_VALUE"""),43551)</f>
        <v>43551</v>
      </c>
      <c r="C475" s="205" t="str">
        <f ca="1">IFERROR(__xludf.DUMMYFUNCTION("""COMPUTED_VALUE"""),"PA000054")</f>
        <v>PA000054</v>
      </c>
      <c r="D475" s="205" t="str">
        <f ca="1">IFERROR(__xludf.DUMMYFUNCTION("""COMPUTED_VALUE"""),"PA000054")</f>
        <v>PA000054</v>
      </c>
    </row>
    <row r="476" spans="1:4" ht="15" customHeight="1">
      <c r="A476" s="206" t="str">
        <f ca="1">IFERROR(__xludf.DUMMYFUNCTION("""COMPUTED_VALUE"""),"AB001101")</f>
        <v>AB001101</v>
      </c>
      <c r="B476" s="205">
        <f ca="1">IFERROR(__xludf.DUMMYFUNCTION("""COMPUTED_VALUE"""),43551)</f>
        <v>43551</v>
      </c>
      <c r="C476" s="205" t="str">
        <f ca="1">IFERROR(__xludf.DUMMYFUNCTION("""COMPUTED_VALUE"""),"PA000019")</f>
        <v>PA000019</v>
      </c>
      <c r="D476" s="205" t="str">
        <f ca="1">IFERROR(__xludf.DUMMYFUNCTION("""COMPUTED_VALUE"""),"PA000019")</f>
        <v>PA000019</v>
      </c>
    </row>
    <row r="477" spans="1:4" ht="15" customHeight="1">
      <c r="A477" s="206" t="str">
        <f ca="1">IFERROR(__xludf.DUMMYFUNCTION("""COMPUTED_VALUE"""),"AB001102")</f>
        <v>AB001102</v>
      </c>
      <c r="B477" s="205">
        <f ca="1">IFERROR(__xludf.DUMMYFUNCTION("""COMPUTED_VALUE"""),43551)</f>
        <v>43551</v>
      </c>
      <c r="C477" s="205" t="str">
        <f ca="1">IFERROR(__xludf.DUMMYFUNCTION("""COMPUTED_VALUE"""),"PA000055")</f>
        <v>PA000055</v>
      </c>
      <c r="D477" s="205" t="str">
        <f ca="1">IFERROR(__xludf.DUMMYFUNCTION("""COMPUTED_VALUE"""),"PA000055")</f>
        <v>PA000055</v>
      </c>
    </row>
    <row r="478" spans="1:4" ht="15" customHeight="1">
      <c r="A478" s="206" t="str">
        <f ca="1">IFERROR(__xludf.DUMMYFUNCTION("""COMPUTED_VALUE"""),"AB001103")</f>
        <v>AB001103</v>
      </c>
      <c r="B478" s="205">
        <f ca="1">IFERROR(__xludf.DUMMYFUNCTION("""COMPUTED_VALUE"""),43551)</f>
        <v>43551</v>
      </c>
      <c r="C478" s="205" t="str">
        <f ca="1">IFERROR(__xludf.DUMMYFUNCTION("""COMPUTED_VALUE"""),"PA000056")</f>
        <v>PA000056</v>
      </c>
      <c r="D478" s="205" t="str">
        <f ca="1">IFERROR(__xludf.DUMMYFUNCTION("""COMPUTED_VALUE"""),"PA000056")</f>
        <v>PA000056</v>
      </c>
    </row>
    <row r="479" spans="1:4" ht="15" customHeight="1">
      <c r="A479" s="206" t="str">
        <f ca="1">IFERROR(__xludf.DUMMYFUNCTION("""COMPUTED_VALUE"""),"AB001104")</f>
        <v>AB001104</v>
      </c>
      <c r="B479" s="205">
        <f ca="1">IFERROR(__xludf.DUMMYFUNCTION("""COMPUTED_VALUE"""),43551)</f>
        <v>43551</v>
      </c>
      <c r="C479" s="205" t="str">
        <f ca="1">IFERROR(__xludf.DUMMYFUNCTION("""COMPUTED_VALUE"""),"PA000057")</f>
        <v>PA000057</v>
      </c>
      <c r="D479" s="205" t="str">
        <f ca="1">IFERROR(__xludf.DUMMYFUNCTION("""COMPUTED_VALUE"""),"PA000057")</f>
        <v>PA000057</v>
      </c>
    </row>
    <row r="480" spans="1:4" ht="15" customHeight="1">
      <c r="A480" s="206" t="str">
        <f ca="1">IFERROR(__xludf.DUMMYFUNCTION("""COMPUTED_VALUE"""),"AB001104")</f>
        <v>AB001104</v>
      </c>
      <c r="B480" s="205">
        <f ca="1">IFERROR(__xludf.DUMMYFUNCTION("""COMPUTED_VALUE"""),43551)</f>
        <v>43551</v>
      </c>
      <c r="C480" s="205" t="str">
        <f ca="1">IFERROR(__xludf.DUMMYFUNCTION("""COMPUTED_VALUE"""),"PA000057")</f>
        <v>PA000057</v>
      </c>
      <c r="D480" s="205" t="str">
        <f ca="1">IFERROR(__xludf.DUMMYFUNCTION("""COMPUTED_VALUE"""),"PA000057")</f>
        <v>PA000057</v>
      </c>
    </row>
    <row r="481" spans="1:4" ht="15" customHeight="1">
      <c r="A481" s="206" t="str">
        <f ca="1">IFERROR(__xludf.DUMMYFUNCTION("""COMPUTED_VALUE"""),"AB001105")</f>
        <v>AB001105</v>
      </c>
      <c r="B481" s="205">
        <f ca="1">IFERROR(__xludf.DUMMYFUNCTION("""COMPUTED_VALUE"""),43551)</f>
        <v>43551</v>
      </c>
      <c r="C481" s="205" t="str">
        <f ca="1">IFERROR(__xludf.DUMMYFUNCTION("""COMPUTED_VALUE"""),"PA000057")</f>
        <v>PA000057</v>
      </c>
      <c r="D481" s="205" t="str">
        <f ca="1">IFERROR(__xludf.DUMMYFUNCTION("""COMPUTED_VALUE"""),"PA000057")</f>
        <v>PA000057</v>
      </c>
    </row>
    <row r="482" spans="1:4" ht="15" customHeight="1">
      <c r="A482" s="206" t="str">
        <f ca="1">IFERROR(__xludf.DUMMYFUNCTION("""COMPUTED_VALUE"""),"AB001109")</f>
        <v>AB001109</v>
      </c>
      <c r="B482" s="205">
        <f ca="1">IFERROR(__xludf.DUMMYFUNCTION("""COMPUTED_VALUE"""),43551)</f>
        <v>43551</v>
      </c>
      <c r="C482" s="205" t="str">
        <f ca="1">IFERROR(__xludf.DUMMYFUNCTION("""COMPUTED_VALUE"""),"PA000057")</f>
        <v>PA000057</v>
      </c>
      <c r="D482" s="205" t="str">
        <f ca="1">IFERROR(__xludf.DUMMYFUNCTION("""COMPUTED_VALUE"""),"PA000057")</f>
        <v>PA000057</v>
      </c>
    </row>
    <row r="483" spans="1:4" ht="15" customHeight="1">
      <c r="A483" s="206" t="str">
        <f ca="1">IFERROR(__xludf.DUMMYFUNCTION("""COMPUTED_VALUE"""),"AB001008")</f>
        <v>AB001008</v>
      </c>
      <c r="B483" s="205">
        <f ca="1">IFERROR(__xludf.DUMMYFUNCTION("""COMPUTED_VALUE"""),43551)</f>
        <v>43551</v>
      </c>
      <c r="C483" s="205" t="str">
        <f ca="1">IFERROR(__xludf.DUMMYFUNCTION("""COMPUTED_VALUE"""),"PA000057")</f>
        <v>PA000057</v>
      </c>
      <c r="D483" s="205" t="str">
        <f ca="1">IFERROR(__xludf.DUMMYFUNCTION("""COMPUTED_VALUE"""),"PA000057")</f>
        <v>PA000057</v>
      </c>
    </row>
    <row r="484" spans="1:4" ht="15" customHeight="1">
      <c r="A484" s="206" t="str">
        <f ca="1">IFERROR(__xludf.DUMMYFUNCTION("""COMPUTED_VALUE"""),"AB001009")</f>
        <v>AB001009</v>
      </c>
      <c r="B484" s="205">
        <f ca="1">IFERROR(__xludf.DUMMYFUNCTION("""COMPUTED_VALUE"""),43551)</f>
        <v>43551</v>
      </c>
      <c r="C484" s="205" t="str">
        <f ca="1">IFERROR(__xludf.DUMMYFUNCTION("""COMPUTED_VALUE"""),"PA000057")</f>
        <v>PA000057</v>
      </c>
      <c r="D484" s="205" t="str">
        <f ca="1">IFERROR(__xludf.DUMMYFUNCTION("""COMPUTED_VALUE"""),"PA000057")</f>
        <v>PA000057</v>
      </c>
    </row>
    <row r="485" spans="1:4" ht="15" customHeight="1">
      <c r="A485" s="206" t="str">
        <f ca="1">IFERROR(__xludf.DUMMYFUNCTION("""COMPUTED_VALUE"""),"AB001010")</f>
        <v>AB001010</v>
      </c>
      <c r="B485" s="205">
        <f ca="1">IFERROR(__xludf.DUMMYFUNCTION("""COMPUTED_VALUE"""),43551)</f>
        <v>43551</v>
      </c>
      <c r="C485" s="205" t="str">
        <f ca="1">IFERROR(__xludf.DUMMYFUNCTION("""COMPUTED_VALUE"""),"PA000057")</f>
        <v>PA000057</v>
      </c>
      <c r="D485" s="205" t="str">
        <f ca="1">IFERROR(__xludf.DUMMYFUNCTION("""COMPUTED_VALUE"""),"PA000057")</f>
        <v>PA000057</v>
      </c>
    </row>
    <row r="486" spans="1:4" ht="15" customHeight="1">
      <c r="A486" s="206" t="str">
        <f ca="1">IFERROR(__xludf.DUMMYFUNCTION("""COMPUTED_VALUE"""),"AB001011")</f>
        <v>AB001011</v>
      </c>
      <c r="B486" s="205">
        <f ca="1">IFERROR(__xludf.DUMMYFUNCTION("""COMPUTED_VALUE"""),43552)</f>
        <v>43552</v>
      </c>
      <c r="C486" s="205" t="str">
        <f ca="1">IFERROR(__xludf.DUMMYFUNCTION("""COMPUTED_VALUE"""),"PA000057")</f>
        <v>PA000057</v>
      </c>
      <c r="D486" s="205" t="str">
        <f ca="1">IFERROR(__xludf.DUMMYFUNCTION("""COMPUTED_VALUE"""),"PA000057")</f>
        <v>PA000057</v>
      </c>
    </row>
    <row r="487" spans="1:4" ht="15" customHeight="1">
      <c r="A487" s="206" t="str">
        <f ca="1">IFERROR(__xludf.DUMMYFUNCTION("""COMPUTED_VALUE"""),"AB000151")</f>
        <v>AB000151</v>
      </c>
      <c r="B487" s="205">
        <f ca="1">IFERROR(__xludf.DUMMYFUNCTION("""COMPUTED_VALUE"""),43552)</f>
        <v>43552</v>
      </c>
      <c r="C487" s="205" t="str">
        <f ca="1">IFERROR(__xludf.DUMMYFUNCTION("""COMPUTED_VALUE"""),"PA000057")</f>
        <v>PA000057</v>
      </c>
      <c r="D487" s="205" t="str">
        <f ca="1">IFERROR(__xludf.DUMMYFUNCTION("""COMPUTED_VALUE"""),"PA000057")</f>
        <v>PA000057</v>
      </c>
    </row>
    <row r="488" spans="1:4" ht="15" customHeight="1">
      <c r="A488" s="206" t="str">
        <f ca="1">IFERROR(__xludf.DUMMYFUNCTION("""COMPUTED_VALUE"""),"AB000151")</f>
        <v>AB000151</v>
      </c>
      <c r="B488" s="205">
        <f ca="1">IFERROR(__xludf.DUMMYFUNCTION("""COMPUTED_VALUE"""),43552)</f>
        <v>43552</v>
      </c>
      <c r="C488" s="205" t="str">
        <f ca="1">IFERROR(__xludf.DUMMYFUNCTION("""COMPUTED_VALUE"""),"PA000057")</f>
        <v>PA000057</v>
      </c>
      <c r="D488" s="205" t="str">
        <f ca="1">IFERROR(__xludf.DUMMYFUNCTION("""COMPUTED_VALUE"""),"PA000057")</f>
        <v>PA000057</v>
      </c>
    </row>
    <row r="489" spans="1:4" ht="15" customHeight="1">
      <c r="A489" s="206" t="str">
        <f ca="1">IFERROR(__xludf.DUMMYFUNCTION("""COMPUTED_VALUE"""),"AB001111")</f>
        <v>AB001111</v>
      </c>
      <c r="B489" s="205">
        <f ca="1">IFERROR(__xludf.DUMMYFUNCTION("""COMPUTED_VALUE"""),43553)</f>
        <v>43553</v>
      </c>
      <c r="C489" s="205" t="str">
        <f ca="1">IFERROR(__xludf.DUMMYFUNCTION("""COMPUTED_VALUE"""),"PA000021")</f>
        <v>PA000021</v>
      </c>
      <c r="D489" s="205" t="str">
        <f ca="1">IFERROR(__xludf.DUMMYFUNCTION("""COMPUTED_VALUE"""),"PA000021")</f>
        <v>PA000021</v>
      </c>
    </row>
    <row r="490" spans="1:4" ht="15" customHeight="1">
      <c r="A490" s="206" t="str">
        <f ca="1">IFERROR(__xludf.DUMMYFUNCTION("""COMPUTED_VALUE"""),"AB001113")</f>
        <v>AB001113</v>
      </c>
      <c r="B490" s="205">
        <f ca="1">IFERROR(__xludf.DUMMYFUNCTION("""COMPUTED_VALUE"""),43553)</f>
        <v>43553</v>
      </c>
      <c r="C490" s="205" t="str">
        <f ca="1">IFERROR(__xludf.DUMMYFUNCTION("""COMPUTED_VALUE"""),"PA000021")</f>
        <v>PA000021</v>
      </c>
      <c r="D490" s="205" t="str">
        <f ca="1">IFERROR(__xludf.DUMMYFUNCTION("""COMPUTED_VALUE"""),"PA000021")</f>
        <v>PA000021</v>
      </c>
    </row>
    <row r="491" spans="1:4" ht="15" customHeight="1">
      <c r="A491" s="206" t="str">
        <f ca="1">IFERROR(__xludf.DUMMYFUNCTION("""COMPUTED_VALUE"""),"AB001013")</f>
        <v>AB001013</v>
      </c>
      <c r="B491" s="205">
        <f ca="1">IFERROR(__xludf.DUMMYFUNCTION("""COMPUTED_VALUE"""),43553)</f>
        <v>43553</v>
      </c>
      <c r="C491" s="205" t="str">
        <f ca="1">IFERROR(__xludf.DUMMYFUNCTION("""COMPUTED_VALUE"""),"PA000021")</f>
        <v>PA000021</v>
      </c>
      <c r="D491" s="205" t="str">
        <f ca="1">IFERROR(__xludf.DUMMYFUNCTION("""COMPUTED_VALUE"""),"PA000021")</f>
        <v>PA000021</v>
      </c>
    </row>
    <row r="492" spans="1:4" ht="15" customHeight="1">
      <c r="A492" s="206" t="str">
        <f ca="1">IFERROR(__xludf.DUMMYFUNCTION("""COMPUTED_VALUE"""),"AB001114")</f>
        <v>AB001114</v>
      </c>
      <c r="B492" s="205">
        <f ca="1">IFERROR(__xludf.DUMMYFUNCTION("""COMPUTED_VALUE"""),43553)</f>
        <v>43553</v>
      </c>
      <c r="C492" s="205" t="str">
        <f ca="1">IFERROR(__xludf.DUMMYFUNCTION("""COMPUTED_VALUE"""),"PA000021")</f>
        <v>PA000021</v>
      </c>
      <c r="D492" s="205" t="str">
        <f ca="1">IFERROR(__xludf.DUMMYFUNCTION("""COMPUTED_VALUE"""),"PA000021")</f>
        <v>PA000021</v>
      </c>
    </row>
    <row r="493" spans="1:4" ht="15" customHeight="1">
      <c r="A493" s="206" t="str">
        <f ca="1">IFERROR(__xludf.DUMMYFUNCTION("""COMPUTED_VALUE"""),"AB001116")</f>
        <v>AB001116</v>
      </c>
      <c r="B493" s="205">
        <f ca="1">IFERROR(__xludf.DUMMYFUNCTION("""COMPUTED_VALUE"""),43558)</f>
        <v>43558</v>
      </c>
      <c r="C493" s="205" t="str">
        <f ca="1">IFERROR(__xludf.DUMMYFUNCTION("""COMPUTED_VALUE"""),"PA000021")</f>
        <v>PA000021</v>
      </c>
      <c r="D493" s="205" t="str">
        <f ca="1">IFERROR(__xludf.DUMMYFUNCTION("""COMPUTED_VALUE"""),"PA000021")</f>
        <v>PA000021</v>
      </c>
    </row>
    <row r="494" spans="1:4" ht="15" customHeight="1">
      <c r="A494" s="206" t="str">
        <f ca="1">IFERROR(__xludf.DUMMYFUNCTION("""COMPUTED_VALUE"""),"AB001116")</f>
        <v>AB001116</v>
      </c>
      <c r="B494" s="205">
        <f ca="1">IFERROR(__xludf.DUMMYFUNCTION("""COMPUTED_VALUE"""),43558)</f>
        <v>43558</v>
      </c>
      <c r="C494" t="str">
        <f ca="1">IFERROR(__xludf.DUMMYFUNCTION("""COMPUTED_VALUE"""),"PA000023")</f>
        <v>PA000023</v>
      </c>
      <c r="D494" t="str">
        <f ca="1">IFERROR(__xludf.DUMMYFUNCTION("""COMPUTED_VALUE"""),"PA000023")</f>
        <v>PA000023</v>
      </c>
    </row>
    <row r="495" spans="1:4" ht="15" customHeight="1">
      <c r="A495" s="206" t="str">
        <f ca="1">IFERROR(__xludf.DUMMYFUNCTION("""COMPUTED_VALUE"""),"AB001118")</f>
        <v>AB001118</v>
      </c>
      <c r="B495" s="205">
        <f ca="1">IFERROR(__xludf.DUMMYFUNCTION("""COMPUTED_VALUE"""),43558)</f>
        <v>43558</v>
      </c>
      <c r="C495" t="str">
        <f ca="1">IFERROR(__xludf.DUMMYFUNCTION("""COMPUTED_VALUE"""),"PA000023")</f>
        <v>PA000023</v>
      </c>
      <c r="D495" t="str">
        <f ca="1">IFERROR(__xludf.DUMMYFUNCTION("""COMPUTED_VALUE"""),"PA000023")</f>
        <v>PA000023</v>
      </c>
    </row>
    <row r="496" spans="1:4" ht="15" customHeight="1">
      <c r="A496" s="206" t="str">
        <f ca="1">IFERROR(__xludf.DUMMYFUNCTION("""COMPUTED_VALUE"""),"AB001151")</f>
        <v>AB001151</v>
      </c>
      <c r="B496" t="str">
        <f ca="1">IFERROR(__xludf.DUMMYFUNCTION("""COMPUTED_VALUE"""),"")</f>
        <v/>
      </c>
      <c r="C496" t="str">
        <f ca="1">IFERROR(__xludf.DUMMYFUNCTION("""COMPUTED_VALUE"""),"PA000023")</f>
        <v>PA000023</v>
      </c>
      <c r="D496" t="str">
        <f ca="1">IFERROR(__xludf.DUMMYFUNCTION("""COMPUTED_VALUE"""),"PA000023")</f>
        <v>PA000023</v>
      </c>
    </row>
    <row r="497" spans="1:4" ht="15" customHeight="1">
      <c r="A497" s="206" t="str">
        <f ca="1">IFERROR(__xludf.DUMMYFUNCTION("""COMPUTED_VALUE"""),"AB001151")</f>
        <v>AB001151</v>
      </c>
      <c r="B497" t="str">
        <f ca="1">IFERROR(__xludf.DUMMYFUNCTION("""COMPUTED_VALUE"""),"")</f>
        <v/>
      </c>
      <c r="C497" t="str">
        <f ca="1">IFERROR(__xludf.DUMMYFUNCTION("""COMPUTED_VALUE"""),"PA000023")</f>
        <v>PA000023</v>
      </c>
      <c r="D497" t="str">
        <f ca="1">IFERROR(__xludf.DUMMYFUNCTION("""COMPUTED_VALUE"""),"PA000023")</f>
        <v>PA000023</v>
      </c>
    </row>
    <row r="498" spans="1:4" ht="15" customHeight="1">
      <c r="A498" s="206" t="str">
        <f ca="1">IFERROR(__xludf.DUMMYFUNCTION("""COMPUTED_VALUE"""),"AB001151")</f>
        <v>AB001151</v>
      </c>
      <c r="B498" t="str">
        <f ca="1">IFERROR(__xludf.DUMMYFUNCTION("""COMPUTED_VALUE"""),"")</f>
        <v/>
      </c>
      <c r="C498" t="str">
        <f ca="1">IFERROR(__xludf.DUMMYFUNCTION("""COMPUTED_VALUE"""),"PA000023")</f>
        <v>PA000023</v>
      </c>
      <c r="D498" t="str">
        <f ca="1">IFERROR(__xludf.DUMMYFUNCTION("""COMPUTED_VALUE"""),"PA000023")</f>
        <v>PA000023</v>
      </c>
    </row>
    <row r="499" spans="1:4" ht="15" customHeight="1">
      <c r="A499" s="206" t="str">
        <f ca="1">IFERROR(__xludf.DUMMYFUNCTION("""COMPUTED_VALUE"""),"AB001014")</f>
        <v>AB001014</v>
      </c>
      <c r="B499" s="205">
        <f ca="1">IFERROR(__xludf.DUMMYFUNCTION("""COMPUTED_VALUE"""),43558)</f>
        <v>43558</v>
      </c>
      <c r="C499" t="str">
        <f ca="1">IFERROR(__xludf.DUMMYFUNCTION("""COMPUTED_VALUE"""),"PA000023")</f>
        <v>PA000023</v>
      </c>
      <c r="D499" t="str">
        <f ca="1">IFERROR(__xludf.DUMMYFUNCTION("""COMPUTED_VALUE"""),"PA000023")</f>
        <v>PA000023</v>
      </c>
    </row>
    <row r="500" spans="1:4" ht="15" customHeight="1">
      <c r="A500" s="206" t="str">
        <f ca="1">IFERROR(__xludf.DUMMYFUNCTION("""COMPUTED_VALUE"""),"AB001014")</f>
        <v>AB001014</v>
      </c>
      <c r="B500" s="205">
        <f ca="1">IFERROR(__xludf.DUMMYFUNCTION("""COMPUTED_VALUE"""),43558)</f>
        <v>43558</v>
      </c>
      <c r="C500" t="str">
        <f ca="1">IFERROR(__xludf.DUMMYFUNCTION("""COMPUTED_VALUE"""),"PA000023")</f>
        <v>PA000023</v>
      </c>
      <c r="D500" t="str">
        <f ca="1">IFERROR(__xludf.DUMMYFUNCTION("""COMPUTED_VALUE"""),"PA000023")</f>
        <v>PA000023</v>
      </c>
    </row>
    <row r="501" spans="1:4" ht="15" customHeight="1">
      <c r="A501" s="206" t="str">
        <f ca="1">IFERROR(__xludf.DUMMYFUNCTION("""COMPUTED_VALUE"""),"AB001014")</f>
        <v>AB001014</v>
      </c>
      <c r="B501" s="205">
        <f ca="1">IFERROR(__xludf.DUMMYFUNCTION("""COMPUTED_VALUE"""),43558)</f>
        <v>43558</v>
      </c>
      <c r="C501" t="str">
        <f ca="1">IFERROR(__xludf.DUMMYFUNCTION("""COMPUTED_VALUE"""),"PA000023")</f>
        <v>PA000023</v>
      </c>
      <c r="D501" t="str">
        <f ca="1">IFERROR(__xludf.DUMMYFUNCTION("""COMPUTED_VALUE"""),"PA000023")</f>
        <v>PA000023</v>
      </c>
    </row>
    <row r="502" spans="1:4" ht="15" customHeight="1">
      <c r="A502" s="206" t="str">
        <f ca="1">IFERROR(__xludf.DUMMYFUNCTION("""COMPUTED_VALUE"""),"AB001014")</f>
        <v>AB001014</v>
      </c>
      <c r="B502" s="205">
        <f ca="1">IFERROR(__xludf.DUMMYFUNCTION("""COMPUTED_VALUE"""),43558)</f>
        <v>43558</v>
      </c>
      <c r="C502" t="str">
        <f ca="1">IFERROR(__xludf.DUMMYFUNCTION("""COMPUTED_VALUE"""),"PA000023")</f>
        <v>PA000023</v>
      </c>
      <c r="D502" t="str">
        <f ca="1">IFERROR(__xludf.DUMMYFUNCTION("""COMPUTED_VALUE"""),"PA000023")</f>
        <v>PA000023</v>
      </c>
    </row>
    <row r="503" spans="1:4" ht="15" customHeight="1">
      <c r="A503" s="206" t="str">
        <f ca="1">IFERROR(__xludf.DUMMYFUNCTION("""COMPUTED_VALUE"""),"AB001015")</f>
        <v>AB001015</v>
      </c>
      <c r="B503" t="str">
        <f ca="1">IFERROR(__xludf.DUMMYFUNCTION("""COMPUTED_VALUE"""),"")</f>
        <v/>
      </c>
      <c r="C503" t="str">
        <f ca="1">IFERROR(__xludf.DUMMYFUNCTION("""COMPUTED_VALUE"""),"PA000023")</f>
        <v>PA000023</v>
      </c>
      <c r="D503" t="str">
        <f ca="1">IFERROR(__xludf.DUMMYFUNCTION("""COMPUTED_VALUE"""),"PA000023")</f>
        <v>PA000023</v>
      </c>
    </row>
    <row r="504" spans="1:4" ht="15" customHeight="1">
      <c r="A504" s="206" t="str">
        <f ca="1">IFERROR(__xludf.DUMMYFUNCTION("""COMPUTED_VALUE"""),"AB001152")</f>
        <v>AB001152</v>
      </c>
      <c r="B504" t="str">
        <f ca="1">IFERROR(__xludf.DUMMYFUNCTION("""COMPUTED_VALUE"""),"")</f>
        <v/>
      </c>
      <c r="C504" t="str">
        <f ca="1">IFERROR(__xludf.DUMMYFUNCTION("""COMPUTED_VALUE"""),"PA000023")</f>
        <v>PA000023</v>
      </c>
      <c r="D504" t="str">
        <f ca="1">IFERROR(__xludf.DUMMYFUNCTION("""COMPUTED_VALUE"""),"PA000023")</f>
        <v>PA000023</v>
      </c>
    </row>
    <row r="505" spans="1:4" ht="15" customHeight="1">
      <c r="A505" s="206" t="str">
        <f ca="1">IFERROR(__xludf.DUMMYFUNCTION("""COMPUTED_VALUE"""),"AB001152")</f>
        <v>AB001152</v>
      </c>
      <c r="B505" t="str">
        <f ca="1">IFERROR(__xludf.DUMMYFUNCTION("""COMPUTED_VALUE"""),"")</f>
        <v/>
      </c>
      <c r="C505" t="str">
        <f ca="1">IFERROR(__xludf.DUMMYFUNCTION("""COMPUTED_VALUE"""),"PA000023")</f>
        <v>PA000023</v>
      </c>
      <c r="D505" t="str">
        <f ca="1">IFERROR(__xludf.DUMMYFUNCTION("""COMPUTED_VALUE"""),"PA000023")</f>
        <v>PA000023</v>
      </c>
    </row>
    <row r="506" spans="1:4" ht="15" customHeight="1">
      <c r="A506" s="206" t="str">
        <f ca="1">IFERROR(__xludf.DUMMYFUNCTION("""COMPUTED_VALUE"""),"AB001153")</f>
        <v>AB001153</v>
      </c>
      <c r="B506" t="str">
        <f ca="1">IFERROR(__xludf.DUMMYFUNCTION("""COMPUTED_VALUE"""),"")</f>
        <v/>
      </c>
      <c r="C506" t="str">
        <f ca="1">IFERROR(__xludf.DUMMYFUNCTION("""COMPUTED_VALUE"""),"PA000023")</f>
        <v>PA000023</v>
      </c>
      <c r="D506" t="str">
        <f ca="1">IFERROR(__xludf.DUMMYFUNCTION("""COMPUTED_VALUE"""),"PA000023")</f>
        <v>PA000023</v>
      </c>
    </row>
    <row r="507" spans="1:4" ht="15" customHeight="1">
      <c r="A507" s="206" t="str">
        <f ca="1">IFERROR(__xludf.DUMMYFUNCTION("""COMPUTED_VALUE"""),"AB001119")</f>
        <v>AB001119</v>
      </c>
      <c r="B507" s="205">
        <f ca="1">IFERROR(__xludf.DUMMYFUNCTION("""COMPUTED_VALUE"""),43580)</f>
        <v>43580</v>
      </c>
      <c r="C507" t="str">
        <f ca="1">IFERROR(__xludf.DUMMYFUNCTION("""COMPUTED_VALUE"""),"PA000023")</f>
        <v>PA000023</v>
      </c>
      <c r="D507" t="str">
        <f ca="1">IFERROR(__xludf.DUMMYFUNCTION("""COMPUTED_VALUE"""),"PA000023")</f>
        <v>PA000023</v>
      </c>
    </row>
    <row r="508" spans="1:4" ht="15" customHeight="1">
      <c r="A508" s="206" t="str">
        <f ca="1">IFERROR(__xludf.DUMMYFUNCTION("""COMPUTED_VALUE"""),"AB001119")</f>
        <v>AB001119</v>
      </c>
      <c r="B508" s="205">
        <f ca="1">IFERROR(__xludf.DUMMYFUNCTION("""COMPUTED_VALUE"""),43580)</f>
        <v>43580</v>
      </c>
      <c r="C508" t="str">
        <f ca="1">IFERROR(__xludf.DUMMYFUNCTION("""COMPUTED_VALUE"""),"PA000023")</f>
        <v>PA000023</v>
      </c>
      <c r="D508" t="str">
        <f ca="1">IFERROR(__xludf.DUMMYFUNCTION("""COMPUTED_VALUE"""),"PA000023")</f>
        <v>PA000023</v>
      </c>
    </row>
    <row r="509" spans="1:4" ht="15" customHeight="1">
      <c r="A509" s="206" t="str">
        <f ca="1">IFERROR(__xludf.DUMMYFUNCTION("""COMPUTED_VALUE"""),"AB001119")</f>
        <v>AB001119</v>
      </c>
      <c r="B509" s="205">
        <f ca="1">IFERROR(__xludf.DUMMYFUNCTION("""COMPUTED_VALUE"""),43580)</f>
        <v>43580</v>
      </c>
      <c r="C509" t="str">
        <f ca="1">IFERROR(__xludf.DUMMYFUNCTION("""COMPUTED_VALUE"""),"PA000023")</f>
        <v>PA000023</v>
      </c>
      <c r="D509" t="str">
        <f ca="1">IFERROR(__xludf.DUMMYFUNCTION("""COMPUTED_VALUE"""),"PA000023")</f>
        <v>PA000023</v>
      </c>
    </row>
    <row r="510" spans="1:4" ht="15" customHeight="1">
      <c r="A510" s="206" t="str">
        <f ca="1">IFERROR(__xludf.DUMMYFUNCTION("""COMPUTED_VALUE"""),"AB001119")</f>
        <v>AB001119</v>
      </c>
      <c r="B510" s="205">
        <f ca="1">IFERROR(__xludf.DUMMYFUNCTION("""COMPUTED_VALUE"""),43580)</f>
        <v>43580</v>
      </c>
      <c r="C510" t="str">
        <f ca="1">IFERROR(__xludf.DUMMYFUNCTION("""COMPUTED_VALUE"""),"PA000023")</f>
        <v>PA000023</v>
      </c>
      <c r="D510" t="str">
        <f ca="1">IFERROR(__xludf.DUMMYFUNCTION("""COMPUTED_VALUE"""),"PA000023")</f>
        <v>PA000023</v>
      </c>
    </row>
    <row r="511" spans="1:4" ht="15" customHeight="1">
      <c r="A511" s="206" t="str">
        <f ca="1">IFERROR(__xludf.DUMMYFUNCTION("""COMPUTED_VALUE"""),"AB001119")</f>
        <v>AB001119</v>
      </c>
      <c r="B511" s="205">
        <f ca="1">IFERROR(__xludf.DUMMYFUNCTION("""COMPUTED_VALUE"""),43580)</f>
        <v>43580</v>
      </c>
      <c r="C511" t="str">
        <f ca="1">IFERROR(__xludf.DUMMYFUNCTION("""COMPUTED_VALUE"""),"PA000023")</f>
        <v>PA000023</v>
      </c>
      <c r="D511" t="str">
        <f ca="1">IFERROR(__xludf.DUMMYFUNCTION("""COMPUTED_VALUE"""),"PA000023")</f>
        <v>PA000023</v>
      </c>
    </row>
    <row r="512" spans="1:4" ht="15" customHeight="1">
      <c r="A512" s="206" t="str">
        <f ca="1">IFERROR(__xludf.DUMMYFUNCTION("""COMPUTED_VALUE"""),"AB001119")</f>
        <v>AB001119</v>
      </c>
      <c r="B512" s="205">
        <f ca="1">IFERROR(__xludf.DUMMYFUNCTION("""COMPUTED_VALUE"""),43580)</f>
        <v>43580</v>
      </c>
      <c r="C512" t="str">
        <f ca="1">IFERROR(__xludf.DUMMYFUNCTION("""COMPUTED_VALUE"""),"PA000023")</f>
        <v>PA000023</v>
      </c>
      <c r="D512" t="str">
        <f ca="1">IFERROR(__xludf.DUMMYFUNCTION("""COMPUTED_VALUE"""),"PA000023")</f>
        <v>PA000023</v>
      </c>
    </row>
    <row r="513" spans="1:4" ht="15" customHeight="1">
      <c r="A513" s="206" t="str">
        <f ca="1">IFERROR(__xludf.DUMMYFUNCTION("""COMPUTED_VALUE"""),"AB001119")</f>
        <v>AB001119</v>
      </c>
      <c r="B513" s="205">
        <f ca="1">IFERROR(__xludf.DUMMYFUNCTION("""COMPUTED_VALUE"""),43580)</f>
        <v>43580</v>
      </c>
      <c r="C513" t="str">
        <f ca="1">IFERROR(__xludf.DUMMYFUNCTION("""COMPUTED_VALUE"""),"PA000023")</f>
        <v>PA000023</v>
      </c>
      <c r="D513" t="str">
        <f ca="1">IFERROR(__xludf.DUMMYFUNCTION("""COMPUTED_VALUE"""),"PA000023")</f>
        <v>PA000023</v>
      </c>
    </row>
    <row r="514" spans="1:4" ht="15" customHeight="1">
      <c r="A514" s="206" t="str">
        <f ca="1">IFERROR(__xludf.DUMMYFUNCTION("""COMPUTED_VALUE"""),"AB001119")</f>
        <v>AB001119</v>
      </c>
      <c r="B514" s="205">
        <f ca="1">IFERROR(__xludf.DUMMYFUNCTION("""COMPUTED_VALUE"""),43580)</f>
        <v>43580</v>
      </c>
      <c r="C514" t="str">
        <f ca="1">IFERROR(__xludf.DUMMYFUNCTION("""COMPUTED_VALUE"""),"PA000023")</f>
        <v>PA000023</v>
      </c>
      <c r="D514" t="str">
        <f ca="1">IFERROR(__xludf.DUMMYFUNCTION("""COMPUTED_VALUE"""),"PA000023")</f>
        <v>PA000023</v>
      </c>
    </row>
    <row r="515" spans="1:4" ht="15" customHeight="1">
      <c r="A515" s="206" t="str">
        <f ca="1">IFERROR(__xludf.DUMMYFUNCTION("""COMPUTED_VALUE"""),"AB001119")</f>
        <v>AB001119</v>
      </c>
      <c r="B515" s="205">
        <f ca="1">IFERROR(__xludf.DUMMYFUNCTION("""COMPUTED_VALUE"""),43580)</f>
        <v>43580</v>
      </c>
      <c r="C515" t="str">
        <f ca="1">IFERROR(__xludf.DUMMYFUNCTION("""COMPUTED_VALUE"""),"PA000023")</f>
        <v>PA000023</v>
      </c>
      <c r="D515" t="str">
        <f ca="1">IFERROR(__xludf.DUMMYFUNCTION("""COMPUTED_VALUE"""),"PA000023")</f>
        <v>PA000023</v>
      </c>
    </row>
    <row r="516" spans="1:4" ht="15" customHeight="1">
      <c r="A516" s="206" t="str">
        <f ca="1">IFERROR(__xludf.DUMMYFUNCTION("""COMPUTED_VALUE"""),"AB001119")</f>
        <v>AB001119</v>
      </c>
      <c r="B516" s="205">
        <f ca="1">IFERROR(__xludf.DUMMYFUNCTION("""COMPUTED_VALUE"""),43580)</f>
        <v>43580</v>
      </c>
      <c r="C516" t="str">
        <f ca="1">IFERROR(__xludf.DUMMYFUNCTION("""COMPUTED_VALUE"""),"PA000023")</f>
        <v>PA000023</v>
      </c>
      <c r="D516" t="str">
        <f ca="1">IFERROR(__xludf.DUMMYFUNCTION("""COMPUTED_VALUE"""),"PA000023")</f>
        <v>PA000023</v>
      </c>
    </row>
    <row r="517" spans="1:4" ht="15" customHeight="1">
      <c r="A517" s="206" t="str">
        <f ca="1">IFERROR(__xludf.DUMMYFUNCTION("""COMPUTED_VALUE"""),"AB001053")</f>
        <v>AB001053</v>
      </c>
      <c r="B517" s="205">
        <f ca="1">IFERROR(__xludf.DUMMYFUNCTION("""COMPUTED_VALUE"""),43558)</f>
        <v>43558</v>
      </c>
      <c r="C517" t="str">
        <f ca="1">IFERROR(__xludf.DUMMYFUNCTION("""COMPUTED_VALUE"""),"PA000023")</f>
        <v>PA000023</v>
      </c>
      <c r="D517" t="str">
        <f ca="1">IFERROR(__xludf.DUMMYFUNCTION("""COMPUTED_VALUE"""),"PA000023")</f>
        <v>PA000023</v>
      </c>
    </row>
    <row r="518" spans="1:4" ht="15" customHeight="1">
      <c r="A518" s="206" t="str">
        <f ca="1">IFERROR(__xludf.DUMMYFUNCTION("""COMPUTED_VALUE"""),"AB001112")</f>
        <v>AB001112</v>
      </c>
      <c r="B518" s="205">
        <f ca="1">IFERROR(__xludf.DUMMYFUNCTION("""COMPUTED_VALUE"""),43558)</f>
        <v>43558</v>
      </c>
      <c r="C518" t="str">
        <f ca="1">IFERROR(__xludf.DUMMYFUNCTION("""COMPUTED_VALUE"""),"PA000023")</f>
        <v>PA000023</v>
      </c>
      <c r="D518" t="str">
        <f ca="1">IFERROR(__xludf.DUMMYFUNCTION("""COMPUTED_VALUE"""),"PA000023")</f>
        <v>PA000023</v>
      </c>
    </row>
    <row r="519" spans="1:4" ht="15" customHeight="1">
      <c r="A519" s="206" t="str">
        <f ca="1">IFERROR(__xludf.DUMMYFUNCTION("""COMPUTED_VALUE"""),"AB001112")</f>
        <v>AB001112</v>
      </c>
      <c r="B519" s="205">
        <f ca="1">IFERROR(__xludf.DUMMYFUNCTION("""COMPUTED_VALUE"""),43558)</f>
        <v>43558</v>
      </c>
      <c r="C519" t="str">
        <f ca="1">IFERROR(__xludf.DUMMYFUNCTION("""COMPUTED_VALUE"""),"PA000023")</f>
        <v>PA000023</v>
      </c>
      <c r="D519" t="str">
        <f ca="1">IFERROR(__xludf.DUMMYFUNCTION("""COMPUTED_VALUE"""),"PA000023")</f>
        <v>PA000023</v>
      </c>
    </row>
    <row r="520" spans="1:4" ht="15" customHeight="1">
      <c r="A520" s="206" t="str">
        <f ca="1">IFERROR(__xludf.DUMMYFUNCTION("""COMPUTED_VALUE"""),"AB001112")</f>
        <v>AB001112</v>
      </c>
      <c r="B520" s="205">
        <f ca="1">IFERROR(__xludf.DUMMYFUNCTION("""COMPUTED_VALUE"""),43558)</f>
        <v>43558</v>
      </c>
      <c r="C520" t="str">
        <f ca="1">IFERROR(__xludf.DUMMYFUNCTION("""COMPUTED_VALUE"""),"PA000023")</f>
        <v>PA000023</v>
      </c>
      <c r="D520" t="str">
        <f ca="1">IFERROR(__xludf.DUMMYFUNCTION("""COMPUTED_VALUE"""),"PA000023")</f>
        <v>PA000023</v>
      </c>
    </row>
    <row r="521" spans="1:4" ht="15" customHeight="1">
      <c r="A521" s="206" t="str">
        <f ca="1">IFERROR(__xludf.DUMMYFUNCTION("""COMPUTED_VALUE"""),"AB001110")</f>
        <v>AB001110</v>
      </c>
      <c r="B521" s="205">
        <f ca="1">IFERROR(__xludf.DUMMYFUNCTION("""COMPUTED_VALUE"""),43558)</f>
        <v>43558</v>
      </c>
      <c r="C521" t="str">
        <f ca="1">IFERROR(__xludf.DUMMYFUNCTION("""COMPUTED_VALUE"""),"PA000023")</f>
        <v>PA000023</v>
      </c>
      <c r="D521" t="str">
        <f ca="1">IFERROR(__xludf.DUMMYFUNCTION("""COMPUTED_VALUE"""),"PA000023")</f>
        <v>PA000023</v>
      </c>
    </row>
    <row r="522" spans="1:4" ht="15" customHeight="1">
      <c r="A522" s="206" t="str">
        <f ca="1">IFERROR(__xludf.DUMMYFUNCTION("""COMPUTED_VALUE"""),"AB001122")</f>
        <v>AB001122</v>
      </c>
      <c r="B522" s="205">
        <f ca="1">IFERROR(__xludf.DUMMYFUNCTION("""COMPUTED_VALUE"""),43571)</f>
        <v>43571</v>
      </c>
      <c r="C522" t="str">
        <f ca="1">IFERROR(__xludf.DUMMYFUNCTION("""COMPUTED_VALUE"""),"PA000023")</f>
        <v>PA000023</v>
      </c>
      <c r="D522" t="str">
        <f ca="1">IFERROR(__xludf.DUMMYFUNCTION("""COMPUTED_VALUE"""),"PA000023")</f>
        <v>PA000023</v>
      </c>
    </row>
    <row r="523" spans="1:4" ht="15" customHeight="1">
      <c r="A523" s="206" t="str">
        <f ca="1">IFERROR(__xludf.DUMMYFUNCTION("""COMPUTED_VALUE"""),"AB001122")</f>
        <v>AB001122</v>
      </c>
      <c r="B523" s="205">
        <f ca="1">IFERROR(__xludf.DUMMYFUNCTION("""COMPUTED_VALUE"""),43571)</f>
        <v>43571</v>
      </c>
      <c r="C523" t="str">
        <f ca="1">IFERROR(__xludf.DUMMYFUNCTION("""COMPUTED_VALUE"""),"PA000023")</f>
        <v>PA000023</v>
      </c>
      <c r="D523" t="str">
        <f ca="1">IFERROR(__xludf.DUMMYFUNCTION("""COMPUTED_VALUE"""),"PA000023")</f>
        <v>PA000023</v>
      </c>
    </row>
    <row r="524" spans="1:4" ht="15" customHeight="1">
      <c r="A524" s="206" t="str">
        <f ca="1">IFERROR(__xludf.DUMMYFUNCTION("""COMPUTED_VALUE"""),"AB001122")</f>
        <v>AB001122</v>
      </c>
      <c r="B524" s="205">
        <f ca="1">IFERROR(__xludf.DUMMYFUNCTION("""COMPUTED_VALUE"""),43571)</f>
        <v>43571</v>
      </c>
      <c r="C524" t="str">
        <f ca="1">IFERROR(__xludf.DUMMYFUNCTION("""COMPUTED_VALUE"""),"PA000023")</f>
        <v>PA000023</v>
      </c>
      <c r="D524" t="str">
        <f ca="1">IFERROR(__xludf.DUMMYFUNCTION("""COMPUTED_VALUE"""),"PA000023")</f>
        <v>PA000023</v>
      </c>
    </row>
    <row r="525" spans="1:4" ht="15" customHeight="1">
      <c r="A525" s="206" t="str">
        <f ca="1">IFERROR(__xludf.DUMMYFUNCTION("""COMPUTED_VALUE"""),"AB001122")</f>
        <v>AB001122</v>
      </c>
      <c r="B525" s="205">
        <f ca="1">IFERROR(__xludf.DUMMYFUNCTION("""COMPUTED_VALUE"""),43571)</f>
        <v>43571</v>
      </c>
      <c r="C525" s="205" t="str">
        <f ca="1">IFERROR(__xludf.DUMMYFUNCTION("""COMPUTED_VALUE"""),"PA000013")</f>
        <v>PA000013</v>
      </c>
      <c r="D525" s="205" t="str">
        <f ca="1">IFERROR(__xludf.DUMMYFUNCTION("""COMPUTED_VALUE"""),"PA000013")</f>
        <v>PA000013</v>
      </c>
    </row>
    <row r="526" spans="1:4" ht="15" customHeight="1">
      <c r="A526" s="206" t="str">
        <f ca="1">IFERROR(__xludf.DUMMYFUNCTION("""COMPUTED_VALUE"""),"AB001122")</f>
        <v>AB001122</v>
      </c>
      <c r="B526" s="205">
        <f ca="1">IFERROR(__xludf.DUMMYFUNCTION("""COMPUTED_VALUE"""),43571)</f>
        <v>43571</v>
      </c>
      <c r="C526" s="205" t="str">
        <f ca="1">IFERROR(__xludf.DUMMYFUNCTION("""COMPUTED_VALUE"""),"PA000024")</f>
        <v>PA000024</v>
      </c>
      <c r="D526" s="205" t="str">
        <f ca="1">IFERROR(__xludf.DUMMYFUNCTION("""COMPUTED_VALUE"""),"PA000024")</f>
        <v>PA000024</v>
      </c>
    </row>
    <row r="527" spans="1:4" ht="15" customHeight="1">
      <c r="A527" s="206" t="str">
        <f ca="1">IFERROR(__xludf.DUMMYFUNCTION("""COMPUTED_VALUE"""),"AB001016")</f>
        <v>AB001016</v>
      </c>
      <c r="B527" s="205">
        <f ca="1">IFERROR(__xludf.DUMMYFUNCTION("""COMPUTED_VALUE"""),43558)</f>
        <v>43558</v>
      </c>
      <c r="C527" s="205" t="str">
        <f ca="1">IFERROR(__xludf.DUMMYFUNCTION("""COMPUTED_VALUE"""),"PA000028")</f>
        <v>PA000028</v>
      </c>
      <c r="D527" s="205" t="str">
        <f ca="1">IFERROR(__xludf.DUMMYFUNCTION("""COMPUTED_VALUE"""),"PA000028")</f>
        <v>PA000028</v>
      </c>
    </row>
    <row r="528" spans="1:4" ht="15" customHeight="1">
      <c r="A528" s="206" t="str">
        <f ca="1">IFERROR(__xludf.DUMMYFUNCTION("""COMPUTED_VALUE"""),"AB001060")</f>
        <v>AB001060</v>
      </c>
      <c r="B528" s="205">
        <f ca="1">IFERROR(__xludf.DUMMYFUNCTION("""COMPUTED_VALUE"""),43564)</f>
        <v>43564</v>
      </c>
      <c r="C528" s="205" t="str">
        <f ca="1">IFERROR(__xludf.DUMMYFUNCTION("""COMPUTED_VALUE"""),"PA000029")</f>
        <v>PA000029</v>
      </c>
      <c r="D528" s="205" t="str">
        <f ca="1">IFERROR(__xludf.DUMMYFUNCTION("""COMPUTED_VALUE"""),"PA000029")</f>
        <v>PA000029</v>
      </c>
    </row>
    <row r="529" spans="1:4" ht="15" customHeight="1">
      <c r="A529" s="206" t="str">
        <f ca="1">IFERROR(__xludf.DUMMYFUNCTION("""COMPUTED_VALUE"""),"AB001121")</f>
        <v>AB001121</v>
      </c>
      <c r="B529" s="205">
        <f ca="1">IFERROR(__xludf.DUMMYFUNCTION("""COMPUTED_VALUE"""),43564)</f>
        <v>43564</v>
      </c>
      <c r="C529" s="205" t="str">
        <f ca="1">IFERROR(__xludf.DUMMYFUNCTION("""COMPUTED_VALUE"""),"PA000027")</f>
        <v>PA000027</v>
      </c>
      <c r="D529" s="205" t="str">
        <f ca="1">IFERROR(__xludf.DUMMYFUNCTION("""COMPUTED_VALUE"""),"PA000027")</f>
        <v>PA000027</v>
      </c>
    </row>
    <row r="530" spans="1:4" ht="15" customHeight="1">
      <c r="A530" s="206" t="str">
        <f ca="1">IFERROR(__xludf.DUMMYFUNCTION("""COMPUTED_VALUE"""),"AB001120")</f>
        <v>AB001120</v>
      </c>
      <c r="B530" s="205">
        <f ca="1">IFERROR(__xludf.DUMMYFUNCTION("""COMPUTED_VALUE"""),43564)</f>
        <v>43564</v>
      </c>
      <c r="C530" s="205" t="str">
        <f ca="1">IFERROR(__xludf.DUMMYFUNCTION("""COMPUTED_VALUE"""),"PA000030")</f>
        <v>PA000030</v>
      </c>
      <c r="D530" s="205" t="str">
        <f ca="1">IFERROR(__xludf.DUMMYFUNCTION("""COMPUTED_VALUE"""),"PA000030")</f>
        <v>PA000030</v>
      </c>
    </row>
    <row r="531" spans="1:4" ht="15" customHeight="1">
      <c r="A531" s="206" t="str">
        <f ca="1">IFERROR(__xludf.DUMMYFUNCTION("""COMPUTED_VALUE"""),"AB001120")</f>
        <v>AB001120</v>
      </c>
      <c r="B531" s="205">
        <f ca="1">IFERROR(__xludf.DUMMYFUNCTION("""COMPUTED_VALUE"""),43564)</f>
        <v>43564</v>
      </c>
      <c r="C531" s="205" t="str">
        <f ca="1">IFERROR(__xludf.DUMMYFUNCTION("""COMPUTED_VALUE"""),"PA000060")</f>
        <v>PA000060</v>
      </c>
      <c r="D531" s="205" t="str">
        <f ca="1">IFERROR(__xludf.DUMMYFUNCTION("""COMPUTED_VALUE"""),"PA000060")</f>
        <v>PA000060</v>
      </c>
    </row>
    <row r="532" spans="1:4" ht="15" customHeight="1">
      <c r="A532" s="206" t="str">
        <f ca="1">IFERROR(__xludf.DUMMYFUNCTION("""COMPUTED_VALUE"""),"AB001120")</f>
        <v>AB001120</v>
      </c>
      <c r="B532" s="205">
        <f ca="1">IFERROR(__xludf.DUMMYFUNCTION("""COMPUTED_VALUE"""),43564)</f>
        <v>43564</v>
      </c>
      <c r="C532" s="206" t="str">
        <f ca="1">IFERROR(__xludf.DUMMYFUNCTION("""COMPUTED_VALUE"""),"PA000025")</f>
        <v>PA000025</v>
      </c>
      <c r="D532" s="206" t="str">
        <f ca="1">IFERROR(__xludf.DUMMYFUNCTION("""COMPUTED_VALUE"""),"PA000025")</f>
        <v>PA000025</v>
      </c>
    </row>
    <row r="533" spans="1:4" ht="15" customHeight="1">
      <c r="A533" s="206" t="str">
        <f ca="1">IFERROR(__xludf.DUMMYFUNCTION("""COMPUTED_VALUE"""),"AB001123")</f>
        <v>AB001123</v>
      </c>
      <c r="B533" s="205">
        <f ca="1">IFERROR(__xludf.DUMMYFUNCTION("""COMPUTED_VALUE"""),43564)</f>
        <v>43564</v>
      </c>
      <c r="C533" s="206" t="str">
        <f ca="1">IFERROR(__xludf.DUMMYFUNCTION("""COMPUTED_VALUE"""),"PA000025")</f>
        <v>PA000025</v>
      </c>
      <c r="D533" s="206" t="str">
        <f ca="1">IFERROR(__xludf.DUMMYFUNCTION("""COMPUTED_VALUE"""),"PA000025")</f>
        <v>PA000025</v>
      </c>
    </row>
    <row r="534" spans="1:4" ht="15" customHeight="1">
      <c r="A534" s="206" t="str">
        <f ca="1">IFERROR(__xludf.DUMMYFUNCTION("""COMPUTED_VALUE"""),"AB001017")</f>
        <v>AB001017</v>
      </c>
      <c r="B534" s="205">
        <f ca="1">IFERROR(__xludf.DUMMYFUNCTION("""COMPUTED_VALUE"""),43564)</f>
        <v>43564</v>
      </c>
      <c r="C534" s="205" t="str">
        <f ca="1">IFERROR(__xludf.DUMMYFUNCTION("""COMPUTED_VALUE"""),"PA000031")</f>
        <v>PA000031</v>
      </c>
      <c r="D534" s="205" t="str">
        <f ca="1">IFERROR(__xludf.DUMMYFUNCTION("""COMPUTED_VALUE"""),"PA000031")</f>
        <v>PA000031</v>
      </c>
    </row>
    <row r="535" spans="1:4" ht="15" customHeight="1">
      <c r="A535" s="206" t="str">
        <f ca="1">IFERROR(__xludf.DUMMYFUNCTION("""COMPUTED_VALUE"""),"AB001017")</f>
        <v>AB001017</v>
      </c>
      <c r="B535" s="205">
        <f ca="1">IFERROR(__xludf.DUMMYFUNCTION("""COMPUTED_VALUE"""),43564)</f>
        <v>43564</v>
      </c>
      <c r="C535" s="205" t="str">
        <f ca="1">IFERROR(__xludf.DUMMYFUNCTION("""COMPUTED_VALUE"""),"PA000031")</f>
        <v>PA000031</v>
      </c>
      <c r="D535" s="205" t="str">
        <f ca="1">IFERROR(__xludf.DUMMYFUNCTION("""COMPUTED_VALUE"""),"PA000031")</f>
        <v>PA000031</v>
      </c>
    </row>
    <row r="536" spans="1:4" ht="15" customHeight="1">
      <c r="A536" s="206" t="str">
        <f ca="1">IFERROR(__xludf.DUMMYFUNCTION("""COMPUTED_VALUE"""),"AB001018")</f>
        <v>AB001018</v>
      </c>
      <c r="B536" s="205">
        <f ca="1">IFERROR(__xludf.DUMMYFUNCTION("""COMPUTED_VALUE"""),43564)</f>
        <v>43564</v>
      </c>
      <c r="C536" s="205" t="str">
        <f ca="1">IFERROR(__xludf.DUMMYFUNCTION("""COMPUTED_VALUE"""),"PA000031")</f>
        <v>PA000031</v>
      </c>
      <c r="D536" s="205" t="str">
        <f ca="1">IFERROR(__xludf.DUMMYFUNCTION("""COMPUTED_VALUE"""),"PA000031")</f>
        <v>PA000031</v>
      </c>
    </row>
    <row r="537" spans="1:4" ht="15" customHeight="1">
      <c r="A537" s="206" t="str">
        <f ca="1">IFERROR(__xludf.DUMMYFUNCTION("""COMPUTED_VALUE"""),"AB001054")</f>
        <v>AB001054</v>
      </c>
      <c r="B537" s="205">
        <f ca="1">IFERROR(__xludf.DUMMYFUNCTION("""COMPUTED_VALUE"""),43564)</f>
        <v>43564</v>
      </c>
      <c r="C537" s="205" t="str">
        <f ca="1">IFERROR(__xludf.DUMMYFUNCTION("""COMPUTED_VALUE"""),"PA000031")</f>
        <v>PA000031</v>
      </c>
      <c r="D537" s="205" t="str">
        <f ca="1">IFERROR(__xludf.DUMMYFUNCTION("""COMPUTED_VALUE"""),"PA000031")</f>
        <v>PA000031</v>
      </c>
    </row>
    <row r="538" spans="1:4" ht="15" customHeight="1">
      <c r="A538" s="206" t="str">
        <f ca="1">IFERROR(__xludf.DUMMYFUNCTION("""COMPUTED_VALUE"""),"AB001055")</f>
        <v>AB001055</v>
      </c>
      <c r="B538" s="205">
        <f ca="1">IFERROR(__xludf.DUMMYFUNCTION("""COMPUTED_VALUE"""),43564)</f>
        <v>43564</v>
      </c>
      <c r="C538" s="205" t="str">
        <f ca="1">IFERROR(__xludf.DUMMYFUNCTION("""COMPUTED_VALUE"""),"PA000031")</f>
        <v>PA000031</v>
      </c>
      <c r="D538" s="205" t="str">
        <f ca="1">IFERROR(__xludf.DUMMYFUNCTION("""COMPUTED_VALUE"""),"PA000031")</f>
        <v>PA000031</v>
      </c>
    </row>
    <row r="539" spans="1:4" ht="15" customHeight="1">
      <c r="A539" s="206" t="str">
        <f ca="1">IFERROR(__xludf.DUMMYFUNCTION("""COMPUTED_VALUE"""),"AB001106")</f>
        <v>AB001106</v>
      </c>
      <c r="B539" s="205">
        <f ca="1">IFERROR(__xludf.DUMMYFUNCTION("""COMPUTED_VALUE"""),43581)</f>
        <v>43581</v>
      </c>
      <c r="C539" s="205" t="str">
        <f ca="1">IFERROR(__xludf.DUMMYFUNCTION("""COMPUTED_VALUE"""),"PA000031")</f>
        <v>PA000031</v>
      </c>
      <c r="D539" s="205" t="str">
        <f ca="1">IFERROR(__xludf.DUMMYFUNCTION("""COMPUTED_VALUE"""),"PA000031")</f>
        <v>PA000031</v>
      </c>
    </row>
    <row r="540" spans="1:4" ht="15" customHeight="1">
      <c r="A540" s="206" t="str">
        <f ca="1">IFERROR(__xludf.DUMMYFUNCTION("""COMPUTED_VALUE"""),"AB001056")</f>
        <v>AB001056</v>
      </c>
      <c r="B540" s="205">
        <f ca="1">IFERROR(__xludf.DUMMYFUNCTION("""COMPUTED_VALUE"""),43581)</f>
        <v>43581</v>
      </c>
      <c r="C540" s="205" t="str">
        <f ca="1">IFERROR(__xludf.DUMMYFUNCTION("""COMPUTED_VALUE"""),"PA000041")</f>
        <v>PA000041</v>
      </c>
      <c r="D540" s="205" t="str">
        <f ca="1">IFERROR(__xludf.DUMMYFUNCTION("""COMPUTED_VALUE"""),"PA000041")</f>
        <v>PA000041</v>
      </c>
    </row>
    <row r="541" spans="1:4" ht="15" customHeight="1">
      <c r="A541" s="206" t="str">
        <f ca="1">IFERROR(__xludf.DUMMYFUNCTION("""COMPUTED_VALUE"""),"AB001131")</f>
        <v>AB001131</v>
      </c>
      <c r="B541" s="205">
        <f ca="1">IFERROR(__xludf.DUMMYFUNCTION("""COMPUTED_VALUE"""),43566)</f>
        <v>43566</v>
      </c>
      <c r="C541" s="205" t="str">
        <f ca="1">IFERROR(__xludf.DUMMYFUNCTION("""COMPUTED_VALUE"""),"PA000014")</f>
        <v>PA000014</v>
      </c>
      <c r="D541" s="205" t="str">
        <f ca="1">IFERROR(__xludf.DUMMYFUNCTION("""COMPUTED_VALUE"""),"PA000014")</f>
        <v>PA000014</v>
      </c>
    </row>
    <row r="542" spans="1:4" ht="15" customHeight="1">
      <c r="A542" s="206" t="str">
        <f ca="1">IFERROR(__xludf.DUMMYFUNCTION("""COMPUTED_VALUE"""),"AB001130")</f>
        <v>AB001130</v>
      </c>
      <c r="B542" s="205">
        <f ca="1">IFERROR(__xludf.DUMMYFUNCTION("""COMPUTED_VALUE"""),43566)</f>
        <v>43566</v>
      </c>
      <c r="C542" s="205" t="str">
        <f ca="1">IFERROR(__xludf.DUMMYFUNCTION("""COMPUTED_VALUE"""),"PA000014")</f>
        <v>PA000014</v>
      </c>
      <c r="D542" s="205" t="str">
        <f ca="1">IFERROR(__xludf.DUMMYFUNCTION("""COMPUTED_VALUE"""),"PA000014")</f>
        <v>PA000014</v>
      </c>
    </row>
    <row r="543" spans="1:4" ht="15" customHeight="1">
      <c r="A543" s="206" t="str">
        <f ca="1">IFERROR(__xludf.DUMMYFUNCTION("""COMPUTED_VALUE"""),"AB001127")</f>
        <v>AB001127</v>
      </c>
      <c r="B543" s="205">
        <f ca="1">IFERROR(__xludf.DUMMYFUNCTION("""COMPUTED_VALUE"""),43566)</f>
        <v>43566</v>
      </c>
      <c r="C543" s="205" t="str">
        <f ca="1">IFERROR(__xludf.DUMMYFUNCTION("""COMPUTED_VALUE"""),"PA000014")</f>
        <v>PA000014</v>
      </c>
      <c r="D543" s="205" t="str">
        <f ca="1">IFERROR(__xludf.DUMMYFUNCTION("""COMPUTED_VALUE"""),"PA000014")</f>
        <v>PA000014</v>
      </c>
    </row>
    <row r="544" spans="1:4" ht="15" customHeight="1">
      <c r="A544" s="206" t="str">
        <f ca="1">IFERROR(__xludf.DUMMYFUNCTION("""COMPUTED_VALUE"""),"AB001019")</f>
        <v>AB001019</v>
      </c>
      <c r="B544" s="205">
        <f ca="1">IFERROR(__xludf.DUMMYFUNCTION("""COMPUTED_VALUE"""),43572)</f>
        <v>43572</v>
      </c>
      <c r="C544" s="205" t="str">
        <f ca="1">IFERROR(__xludf.DUMMYFUNCTION("""COMPUTED_VALUE"""),"PA000014")</f>
        <v>PA000014</v>
      </c>
      <c r="D544" s="205" t="str">
        <f ca="1">IFERROR(__xludf.DUMMYFUNCTION("""COMPUTED_VALUE"""),"PA000014")</f>
        <v>PA000014</v>
      </c>
    </row>
    <row r="545" spans="1:4" ht="15" customHeight="1">
      <c r="A545" s="206" t="str">
        <f ca="1">IFERROR(__xludf.DUMMYFUNCTION("""COMPUTED_VALUE"""),"PA000026")</f>
        <v>PA000026</v>
      </c>
      <c r="B545" s="205">
        <f ca="1">IFERROR(__xludf.DUMMYFUNCTION("""COMPUTED_VALUE"""),43581)</f>
        <v>43581</v>
      </c>
      <c r="C545" s="205" t="str">
        <f ca="1">IFERROR(__xludf.DUMMYFUNCTION("""COMPUTED_VALUE"""),"PA000014")</f>
        <v>PA000014</v>
      </c>
      <c r="D545" s="205" t="str">
        <f ca="1">IFERROR(__xludf.DUMMYFUNCTION("""COMPUTED_VALUE"""),"PA000014")</f>
        <v>PA000014</v>
      </c>
    </row>
    <row r="546" spans="1:4" ht="15" customHeight="1">
      <c r="A546" s="206" t="str">
        <f ca="1">IFERROR(__xludf.DUMMYFUNCTION("""COMPUTED_VALUE"""),"PA000026")</f>
        <v>PA000026</v>
      </c>
      <c r="B546" s="205">
        <f ca="1">IFERROR(__xludf.DUMMYFUNCTION("""COMPUTED_VALUE"""),43581)</f>
        <v>43581</v>
      </c>
      <c r="C546" s="205" t="str">
        <f ca="1">IFERROR(__xludf.DUMMYFUNCTION("""COMPUTED_VALUE"""),"PA000014")</f>
        <v>PA000014</v>
      </c>
      <c r="D546" s="205" t="str">
        <f ca="1">IFERROR(__xludf.DUMMYFUNCTION("""COMPUTED_VALUE"""),"PA000014")</f>
        <v>PA000014</v>
      </c>
    </row>
    <row r="547" spans="1:4" ht="15" customHeight="1">
      <c r="A547" s="206" t="str">
        <f ca="1">IFERROR(__xludf.DUMMYFUNCTION("""COMPUTED_VALUE"""),"AB001132")</f>
        <v>AB001132</v>
      </c>
      <c r="B547" s="205">
        <f ca="1">IFERROR(__xludf.DUMMYFUNCTION("""COMPUTED_VALUE"""),43566)</f>
        <v>43566</v>
      </c>
      <c r="C547" s="205" t="str">
        <f ca="1">IFERROR(__xludf.DUMMYFUNCTION("""COMPUTED_VALUE"""),"PA000014")</f>
        <v>PA000014</v>
      </c>
      <c r="D547" s="205" t="str">
        <f ca="1">IFERROR(__xludf.DUMMYFUNCTION("""COMPUTED_VALUE"""),"PA000014")</f>
        <v>PA000014</v>
      </c>
    </row>
    <row r="548" spans="1:4" ht="15" customHeight="1">
      <c r="A548" s="206" t="str">
        <f ca="1">IFERROR(__xludf.DUMMYFUNCTION("""COMPUTED_VALUE"""),"AB001132")</f>
        <v>AB001132</v>
      </c>
      <c r="B548" s="205">
        <f ca="1">IFERROR(__xludf.DUMMYFUNCTION("""COMPUTED_VALUE"""),43566)</f>
        <v>43566</v>
      </c>
      <c r="C548" s="205" t="str">
        <f ca="1">IFERROR(__xludf.DUMMYFUNCTION("""COMPUTED_VALUE"""),"PA000014")</f>
        <v>PA000014</v>
      </c>
      <c r="D548" s="205" t="str">
        <f ca="1">IFERROR(__xludf.DUMMYFUNCTION("""COMPUTED_VALUE"""),"PA000014")</f>
        <v>PA000014</v>
      </c>
    </row>
    <row r="549" spans="1:4" ht="15" customHeight="1">
      <c r="A549" s="206" t="str">
        <f ca="1">IFERROR(__xludf.DUMMYFUNCTION("""COMPUTED_VALUE"""),"AB001132")</f>
        <v>AB001132</v>
      </c>
      <c r="B549" s="205">
        <f ca="1">IFERROR(__xludf.DUMMYFUNCTION("""COMPUTED_VALUE"""),43566)</f>
        <v>43566</v>
      </c>
      <c r="C549" s="205" t="str">
        <f ca="1">IFERROR(__xludf.DUMMYFUNCTION("""COMPUTED_VALUE"""),"PA000014")</f>
        <v>PA000014</v>
      </c>
      <c r="D549" s="205" t="str">
        <f ca="1">IFERROR(__xludf.DUMMYFUNCTION("""COMPUTED_VALUE"""),"PA000014")</f>
        <v>PA000014</v>
      </c>
    </row>
    <row r="550" spans="1:4" ht="15" customHeight="1">
      <c r="A550" s="206" t="str">
        <f ca="1">IFERROR(__xludf.DUMMYFUNCTION("""COMPUTED_VALUE"""),"AB001132")</f>
        <v>AB001132</v>
      </c>
      <c r="B550" s="205">
        <f ca="1">IFERROR(__xludf.DUMMYFUNCTION("""COMPUTED_VALUE"""),43566)</f>
        <v>43566</v>
      </c>
      <c r="C550" s="205" t="str">
        <f ca="1">IFERROR(__xludf.DUMMYFUNCTION("""COMPUTED_VALUE"""),"PA000014")</f>
        <v>PA000014</v>
      </c>
      <c r="D550" s="205" t="str">
        <f ca="1">IFERROR(__xludf.DUMMYFUNCTION("""COMPUTED_VALUE"""),"PA000014")</f>
        <v>PA000014</v>
      </c>
    </row>
    <row r="551" spans="1:4" ht="15" customHeight="1">
      <c r="A551" s="206" t="str">
        <f ca="1">IFERROR(__xludf.DUMMYFUNCTION("""COMPUTED_VALUE"""),"AB001107")</f>
        <v>AB001107</v>
      </c>
      <c r="B551" s="205">
        <f ca="1">IFERROR(__xludf.DUMMYFUNCTION("""COMPUTED_VALUE"""),43566)</f>
        <v>43566</v>
      </c>
      <c r="C551" t="str">
        <f ca="1">IFERROR(__xludf.DUMMYFUNCTION("""COMPUTED_VALUE"""),"PA000061")</f>
        <v>PA000061</v>
      </c>
      <c r="D551" t="str">
        <f ca="1">IFERROR(__xludf.DUMMYFUNCTION("""COMPUTED_VALUE"""),"PA000061")</f>
        <v>PA000061</v>
      </c>
    </row>
    <row r="552" spans="1:4" ht="15" customHeight="1">
      <c r="A552" s="206" t="str">
        <f ca="1">IFERROR(__xludf.DUMMYFUNCTION("""COMPUTED_VALUE"""),"AB001124")</f>
        <v>AB001124</v>
      </c>
      <c r="B552" s="205">
        <f ca="1">IFERROR(__xludf.DUMMYFUNCTION("""COMPUTED_VALUE"""),43566)</f>
        <v>43566</v>
      </c>
      <c r="C552" t="str">
        <f ca="1">IFERROR(__xludf.DUMMYFUNCTION("""COMPUTED_VALUE"""),"PA000042")</f>
        <v>PA000042</v>
      </c>
      <c r="D552" t="str">
        <f ca="1">IFERROR(__xludf.DUMMYFUNCTION("""COMPUTED_VALUE"""),"PA000042")</f>
        <v>PA000042</v>
      </c>
    </row>
    <row r="553" spans="1:4" ht="15" customHeight="1">
      <c r="A553" s="206" t="str">
        <f ca="1">IFERROR(__xludf.DUMMYFUNCTION("""COMPUTED_VALUE"""),"AB001124")</f>
        <v>AB001124</v>
      </c>
      <c r="B553" s="205">
        <f ca="1">IFERROR(__xludf.DUMMYFUNCTION("""COMPUTED_VALUE"""),43566)</f>
        <v>43566</v>
      </c>
      <c r="C553" t="str">
        <f ca="1">IFERROR(__xludf.DUMMYFUNCTION("""COMPUTED_VALUE"""),"PA000042")</f>
        <v>PA000042</v>
      </c>
      <c r="D553" t="str">
        <f ca="1">IFERROR(__xludf.DUMMYFUNCTION("""COMPUTED_VALUE"""),"PA000042")</f>
        <v>PA000042</v>
      </c>
    </row>
    <row r="554" spans="1:4" ht="15" customHeight="1">
      <c r="A554" s="206" t="str">
        <f ca="1">IFERROR(__xludf.DUMMYFUNCTION("""COMPUTED_VALUE"""),"AB001124")</f>
        <v>AB001124</v>
      </c>
      <c r="B554" s="205">
        <f ca="1">IFERROR(__xludf.DUMMYFUNCTION("""COMPUTED_VALUE"""),43566)</f>
        <v>43566</v>
      </c>
      <c r="C554" t="str">
        <f ca="1">IFERROR(__xludf.DUMMYFUNCTION("""COMPUTED_VALUE"""),"PA000015")</f>
        <v>PA000015</v>
      </c>
      <c r="D554" t="str">
        <f ca="1">IFERROR(__xludf.DUMMYFUNCTION("""COMPUTED_VALUE"""),"PA000015")</f>
        <v>PA000015</v>
      </c>
    </row>
    <row r="555" spans="1:4" ht="15" customHeight="1">
      <c r="A555" s="206" t="str">
        <f ca="1">IFERROR(__xludf.DUMMYFUNCTION("""COMPUTED_VALUE"""),"AB001124")</f>
        <v>AB001124</v>
      </c>
      <c r="B555" s="205">
        <f ca="1">IFERROR(__xludf.DUMMYFUNCTION("""COMPUTED_VALUE"""),43566)</f>
        <v>43566</v>
      </c>
      <c r="C555" t="str">
        <f ca="1">IFERROR(__xludf.DUMMYFUNCTION("""COMPUTED_VALUE"""),"PA000015")</f>
        <v>PA000015</v>
      </c>
      <c r="D555" t="str">
        <f ca="1">IFERROR(__xludf.DUMMYFUNCTION("""COMPUTED_VALUE"""),"PA000015")</f>
        <v>PA000015</v>
      </c>
    </row>
    <row r="556" spans="1:4" ht="15" customHeight="1">
      <c r="A556" s="206" t="str">
        <f ca="1">IFERROR(__xludf.DUMMYFUNCTION("""COMPUTED_VALUE"""),"AB001124")</f>
        <v>AB001124</v>
      </c>
      <c r="B556" s="205">
        <f ca="1">IFERROR(__xludf.DUMMYFUNCTION("""COMPUTED_VALUE"""),43566)</f>
        <v>43566</v>
      </c>
      <c r="C556" t="str">
        <f ca="1">IFERROR(__xludf.DUMMYFUNCTION("""COMPUTED_VALUE"""),"PA000015")</f>
        <v>PA000015</v>
      </c>
      <c r="D556" t="str">
        <f ca="1">IFERROR(__xludf.DUMMYFUNCTION("""COMPUTED_VALUE"""),"PA000015")</f>
        <v>PA000015</v>
      </c>
    </row>
    <row r="557" spans="1:4" ht="15" customHeight="1">
      <c r="A557" s="206" t="str">
        <f ca="1">IFERROR(__xludf.DUMMYFUNCTION("""COMPUTED_VALUE"""),"AB001124")</f>
        <v>AB001124</v>
      </c>
      <c r="B557" s="205">
        <f ca="1">IFERROR(__xludf.DUMMYFUNCTION("""COMPUTED_VALUE"""),43566)</f>
        <v>43566</v>
      </c>
      <c r="C557" t="str">
        <f ca="1">IFERROR(__xludf.DUMMYFUNCTION("""COMPUTED_VALUE"""),"PA000015")</f>
        <v>PA000015</v>
      </c>
      <c r="D557" t="str">
        <f ca="1">IFERROR(__xludf.DUMMYFUNCTION("""COMPUTED_VALUE"""),"PA000015")</f>
        <v>PA000015</v>
      </c>
    </row>
    <row r="558" spans="1:4" ht="15" customHeight="1">
      <c r="A558" s="206" t="str">
        <f ca="1">IFERROR(__xludf.DUMMYFUNCTION("""COMPUTED_VALUE"""),"AB001124")</f>
        <v>AB001124</v>
      </c>
      <c r="B558" s="205">
        <f ca="1">IFERROR(__xludf.DUMMYFUNCTION("""COMPUTED_VALUE"""),43566)</f>
        <v>43566</v>
      </c>
      <c r="C558" t="str">
        <f ca="1">IFERROR(__xludf.DUMMYFUNCTION("""COMPUTED_VALUE"""),"PA000044")</f>
        <v>PA000044</v>
      </c>
      <c r="D558" t="str">
        <f ca="1">IFERROR(__xludf.DUMMYFUNCTION("""COMPUTED_VALUE"""),"PA000044")</f>
        <v>PA000044</v>
      </c>
    </row>
    <row r="559" spans="1:4" ht="15" customHeight="1">
      <c r="A559" s="206" t="str">
        <f ca="1">IFERROR(__xludf.DUMMYFUNCTION("""COMPUTED_VALUE"""),"AB001124")</f>
        <v>AB001124</v>
      </c>
      <c r="B559" s="205">
        <f ca="1">IFERROR(__xludf.DUMMYFUNCTION("""COMPUTED_VALUE"""),43566)</f>
        <v>43566</v>
      </c>
      <c r="C559" t="str">
        <f ca="1">IFERROR(__xludf.DUMMYFUNCTION("""COMPUTED_VALUE"""),"PA000043")</f>
        <v>PA000043</v>
      </c>
      <c r="D559" t="str">
        <f ca="1">IFERROR(__xludf.DUMMYFUNCTION("""COMPUTED_VALUE"""),"PA000043")</f>
        <v>PA000043</v>
      </c>
    </row>
    <row r="560" spans="1:4" ht="15" customHeight="1">
      <c r="A560" s="206" t="str">
        <f ca="1">IFERROR(__xludf.DUMMYFUNCTION("""COMPUTED_VALUE"""),"AB001124")</f>
        <v>AB001124</v>
      </c>
      <c r="B560" s="205">
        <f ca="1">IFERROR(__xludf.DUMMYFUNCTION("""COMPUTED_VALUE"""),43566)</f>
        <v>43566</v>
      </c>
      <c r="C560" t="str">
        <f ca="1">IFERROR(__xludf.DUMMYFUNCTION("""COMPUTED_VALUE"""),"PA000043")</f>
        <v>PA000043</v>
      </c>
      <c r="D560" t="str">
        <f ca="1">IFERROR(__xludf.DUMMYFUNCTION("""COMPUTED_VALUE"""),"PA000043")</f>
        <v>PA000043</v>
      </c>
    </row>
    <row r="561" spans="1:4" ht="15" customHeight="1">
      <c r="A561" s="206" t="str">
        <f ca="1">IFERROR(__xludf.DUMMYFUNCTION("""COMPUTED_VALUE"""),"AB001124")</f>
        <v>AB001124</v>
      </c>
      <c r="B561" s="205">
        <f ca="1">IFERROR(__xludf.DUMMYFUNCTION("""COMPUTED_VALUE"""),43566)</f>
        <v>43566</v>
      </c>
      <c r="C561" t="str">
        <f ca="1">IFERROR(__xludf.DUMMYFUNCTION("""COMPUTED_VALUE"""),"PA000062")</f>
        <v>PA000062</v>
      </c>
      <c r="D561" t="str">
        <f ca="1">IFERROR(__xludf.DUMMYFUNCTION("""COMPUTED_VALUE"""),"PA000062")</f>
        <v>PA000062</v>
      </c>
    </row>
    <row r="562" spans="1:4" ht="15" customHeight="1">
      <c r="A562" s="206" t="str">
        <f ca="1">IFERROR(__xludf.DUMMYFUNCTION("""COMPUTED_VALUE"""),"AB001124")</f>
        <v>AB001124</v>
      </c>
      <c r="B562" s="205">
        <f ca="1">IFERROR(__xludf.DUMMYFUNCTION("""COMPUTED_VALUE"""),43566)</f>
        <v>43566</v>
      </c>
      <c r="C562" t="str">
        <f ca="1">IFERROR(__xludf.DUMMYFUNCTION("""COMPUTED_VALUE"""),"PA000017")</f>
        <v>PA000017</v>
      </c>
      <c r="D562" t="str">
        <f ca="1">IFERROR(__xludf.DUMMYFUNCTION("""COMPUTED_VALUE"""),"PA000017")</f>
        <v>PA000017</v>
      </c>
    </row>
    <row r="563" spans="1:4" ht="15" customHeight="1">
      <c r="A563" s="206" t="str">
        <f ca="1">IFERROR(__xludf.DUMMYFUNCTION("""COMPUTED_VALUE"""),"AB001124")</f>
        <v>AB001124</v>
      </c>
      <c r="B563" s="205">
        <f ca="1">IFERROR(__xludf.DUMMYFUNCTION("""COMPUTED_VALUE"""),43566)</f>
        <v>43566</v>
      </c>
      <c r="C563" t="str">
        <f ca="1">IFERROR(__xludf.DUMMYFUNCTION("""COMPUTED_VALUE"""),"PA000016")</f>
        <v>PA000016</v>
      </c>
      <c r="D563" t="str">
        <f ca="1">IFERROR(__xludf.DUMMYFUNCTION("""COMPUTED_VALUE"""),"PA000016")</f>
        <v>PA000016</v>
      </c>
    </row>
    <row r="564" spans="1:4" ht="15" customHeight="1">
      <c r="A564" s="206" t="str">
        <f ca="1">IFERROR(__xludf.DUMMYFUNCTION("""COMPUTED_VALUE"""),"AB001124")</f>
        <v>AB001124</v>
      </c>
      <c r="B564" s="205">
        <f ca="1">IFERROR(__xludf.DUMMYFUNCTION("""COMPUTED_VALUE"""),43566)</f>
        <v>43566</v>
      </c>
      <c r="C564" t="str">
        <f ca="1">IFERROR(__xludf.DUMMYFUNCTION("""COMPUTED_VALUE"""),"PA000016")</f>
        <v>PA000016</v>
      </c>
      <c r="D564" t="str">
        <f ca="1">IFERROR(__xludf.DUMMYFUNCTION("""COMPUTED_VALUE"""),"PA000016")</f>
        <v>PA000016</v>
      </c>
    </row>
    <row r="565" spans="1:4" ht="15" customHeight="1">
      <c r="A565" s="206" t="str">
        <f ca="1">IFERROR(__xludf.DUMMYFUNCTION("""COMPUTED_VALUE"""),"AB001124")</f>
        <v>AB001124</v>
      </c>
      <c r="B565" s="205">
        <f ca="1">IFERROR(__xludf.DUMMYFUNCTION("""COMPUTED_VALUE"""),43566)</f>
        <v>43566</v>
      </c>
      <c r="C565" t="str">
        <f ca="1">IFERROR(__xludf.DUMMYFUNCTION("""COMPUTED_VALUE"""),"PA000063")</f>
        <v>PA000063</v>
      </c>
      <c r="D565" t="str">
        <f ca="1">IFERROR(__xludf.DUMMYFUNCTION("""COMPUTED_VALUE"""),"PA000063")</f>
        <v>PA000063</v>
      </c>
    </row>
    <row r="566" spans="1:4" ht="15" customHeight="1">
      <c r="A566" s="206" t="str">
        <f ca="1">IFERROR(__xludf.DUMMYFUNCTION("""COMPUTED_VALUE"""),"AB001124")</f>
        <v>AB001124</v>
      </c>
      <c r="B566" s="205">
        <f ca="1">IFERROR(__xludf.DUMMYFUNCTION("""COMPUTED_VALUE"""),43566)</f>
        <v>43566</v>
      </c>
      <c r="C566" t="str">
        <f ca="1">IFERROR(__xludf.DUMMYFUNCTION("""COMPUTED_VALUE"""),"PA000045")</f>
        <v>PA000045</v>
      </c>
      <c r="D566" t="str">
        <f ca="1">IFERROR(__xludf.DUMMYFUNCTION("""COMPUTED_VALUE"""),"PA000045")</f>
        <v>PA000045</v>
      </c>
    </row>
    <row r="567" spans="1:4" ht="15" customHeight="1">
      <c r="A567" s="206" t="str">
        <f ca="1">IFERROR(__xludf.DUMMYFUNCTION("""COMPUTED_VALUE"""),"AB001124")</f>
        <v>AB001124</v>
      </c>
      <c r="B567" s="205">
        <f ca="1">IFERROR(__xludf.DUMMYFUNCTION("""COMPUTED_VALUE"""),43566)</f>
        <v>43566</v>
      </c>
      <c r="C567" t="str">
        <f ca="1">IFERROR(__xludf.DUMMYFUNCTION("""COMPUTED_VALUE"""),"PA000045")</f>
        <v>PA000045</v>
      </c>
      <c r="D567" t="str">
        <f ca="1">IFERROR(__xludf.DUMMYFUNCTION("""COMPUTED_VALUE"""),"PA000045")</f>
        <v>PA000045</v>
      </c>
    </row>
    <row r="568" spans="1:4" ht="15" customHeight="1">
      <c r="A568" s="206" t="str">
        <f ca="1">IFERROR(__xludf.DUMMYFUNCTION("""COMPUTED_VALUE"""),"AB001124")</f>
        <v>AB001124</v>
      </c>
      <c r="B568" s="205">
        <f ca="1">IFERROR(__xludf.DUMMYFUNCTION("""COMPUTED_VALUE"""),43566)</f>
        <v>43566</v>
      </c>
      <c r="C568" t="str">
        <f ca="1">IFERROR(__xludf.DUMMYFUNCTION("""COMPUTED_VALUE"""),"PA000065")</f>
        <v>PA000065</v>
      </c>
      <c r="D568" t="str">
        <f ca="1">IFERROR(__xludf.DUMMYFUNCTION("""COMPUTED_VALUE"""),"PA000065")</f>
        <v>PA000065</v>
      </c>
    </row>
    <row r="569" spans="1:4" ht="15" customHeight="1">
      <c r="A569" s="206" t="str">
        <f ca="1">IFERROR(__xludf.DUMMYFUNCTION("""COMPUTED_VALUE"""),"AB001124")</f>
        <v>AB001124</v>
      </c>
      <c r="B569" s="205">
        <f ca="1">IFERROR(__xludf.DUMMYFUNCTION("""COMPUTED_VALUE"""),43566)</f>
        <v>43566</v>
      </c>
      <c r="C569" t="str">
        <f ca="1">IFERROR(__xludf.DUMMYFUNCTION("""COMPUTED_VALUE"""),"PA000046")</f>
        <v>PA000046</v>
      </c>
      <c r="D569" t="str">
        <f ca="1">IFERROR(__xludf.DUMMYFUNCTION("""COMPUTED_VALUE"""),"PA000046")</f>
        <v>PA000046</v>
      </c>
    </row>
    <row r="570" spans="1:4" ht="15" customHeight="1">
      <c r="A570" s="206" t="str">
        <f ca="1">IFERROR(__xludf.DUMMYFUNCTION("""COMPUTED_VALUE"""),"AB001124")</f>
        <v>AB001124</v>
      </c>
      <c r="B570" s="205">
        <f ca="1">IFERROR(__xludf.DUMMYFUNCTION("""COMPUTED_VALUE"""),43566)</f>
        <v>43566</v>
      </c>
      <c r="C570" t="str">
        <f ca="1">IFERROR(__xludf.DUMMYFUNCTION("""COMPUTED_VALUE"""),"PA000046")</f>
        <v>PA000046</v>
      </c>
      <c r="D570" t="str">
        <f ca="1">IFERROR(__xludf.DUMMYFUNCTION("""COMPUTED_VALUE"""),"PA000046")</f>
        <v>PA000046</v>
      </c>
    </row>
    <row r="571" spans="1:4" ht="15" customHeight="1">
      <c r="A571" s="206" t="str">
        <f ca="1">IFERROR(__xludf.DUMMYFUNCTION("""COMPUTED_VALUE"""),"AB001124")</f>
        <v>AB001124</v>
      </c>
      <c r="B571" s="205">
        <f ca="1">IFERROR(__xludf.DUMMYFUNCTION("""COMPUTED_VALUE"""),43566)</f>
        <v>43566</v>
      </c>
      <c r="C571" t="str">
        <f ca="1">IFERROR(__xludf.DUMMYFUNCTION("""COMPUTED_VALUE"""),"PA000046")</f>
        <v>PA000046</v>
      </c>
      <c r="D571" t="str">
        <f ca="1">IFERROR(__xludf.DUMMYFUNCTION("""COMPUTED_VALUE"""),"PA000046")</f>
        <v>PA000046</v>
      </c>
    </row>
    <row r="572" spans="1:4" ht="15" customHeight="1">
      <c r="A572" s="206" t="str">
        <f ca="1">IFERROR(__xludf.DUMMYFUNCTION("""COMPUTED_VALUE"""),"AB001124")</f>
        <v>AB001124</v>
      </c>
      <c r="B572" s="205">
        <f ca="1">IFERROR(__xludf.DUMMYFUNCTION("""COMPUTED_VALUE"""),43566)</f>
        <v>43566</v>
      </c>
      <c r="C572" t="str">
        <f ca="1">IFERROR(__xludf.DUMMYFUNCTION("""COMPUTED_VALUE"""),"PA000046")</f>
        <v>PA000046</v>
      </c>
      <c r="D572" t="str">
        <f ca="1">IFERROR(__xludf.DUMMYFUNCTION("""COMPUTED_VALUE"""),"PA000046")</f>
        <v>PA000046</v>
      </c>
    </row>
    <row r="573" spans="1:4" ht="15" customHeight="1">
      <c r="A573" s="206" t="str">
        <f ca="1">IFERROR(__xludf.DUMMYFUNCTION("""COMPUTED_VALUE"""),"AB001124")</f>
        <v>AB001124</v>
      </c>
      <c r="B573" s="205">
        <f ca="1">IFERROR(__xludf.DUMMYFUNCTION("""COMPUTED_VALUE"""),43566)</f>
        <v>43566</v>
      </c>
      <c r="C573" t="str">
        <f ca="1">IFERROR(__xludf.DUMMYFUNCTION("""COMPUTED_VALUE"""),"PA000046")</f>
        <v>PA000046</v>
      </c>
      <c r="D573" t="str">
        <f ca="1">IFERROR(__xludf.DUMMYFUNCTION("""COMPUTED_VALUE"""),"PA000046")</f>
        <v>PA000046</v>
      </c>
    </row>
    <row r="574" spans="1:4" ht="15" customHeight="1">
      <c r="A574" s="206" t="str">
        <f ca="1">IFERROR(__xludf.DUMMYFUNCTION("""COMPUTED_VALUE"""),"AB001124")</f>
        <v>AB001124</v>
      </c>
      <c r="B574" s="205">
        <f ca="1">IFERROR(__xludf.DUMMYFUNCTION("""COMPUTED_VALUE"""),43566)</f>
        <v>43566</v>
      </c>
      <c r="C574" t="str">
        <f ca="1">IFERROR(__xludf.DUMMYFUNCTION("""COMPUTED_VALUE"""),"PA000046")</f>
        <v>PA000046</v>
      </c>
      <c r="D574" t="str">
        <f ca="1">IFERROR(__xludf.DUMMYFUNCTION("""COMPUTED_VALUE"""),"PA000046")</f>
        <v>PA000046</v>
      </c>
    </row>
    <row r="575" spans="1:4" ht="15" customHeight="1">
      <c r="A575" s="206" t="str">
        <f ca="1">IFERROR(__xludf.DUMMYFUNCTION("""COMPUTED_VALUE"""),"AB001124")</f>
        <v>AB001124</v>
      </c>
      <c r="B575" s="205">
        <f ca="1">IFERROR(__xludf.DUMMYFUNCTION("""COMPUTED_VALUE"""),43566)</f>
        <v>43566</v>
      </c>
      <c r="C575" t="str">
        <f ca="1">IFERROR(__xludf.DUMMYFUNCTION("""COMPUTED_VALUE"""),"PA000066")</f>
        <v>PA000066</v>
      </c>
      <c r="D575" t="str">
        <f ca="1">IFERROR(__xludf.DUMMYFUNCTION("""COMPUTED_VALUE"""),"PA000066")</f>
        <v>PA000066</v>
      </c>
    </row>
    <row r="576" spans="1:4" ht="15" customHeight="1">
      <c r="A576" s="206" t="str">
        <f ca="1">IFERROR(__xludf.DUMMYFUNCTION("""COMPUTED_VALUE"""),"AB001124")</f>
        <v>AB001124</v>
      </c>
      <c r="B576" s="205">
        <f ca="1">IFERROR(__xludf.DUMMYFUNCTION("""COMPUTED_VALUE"""),43566)</f>
        <v>43566</v>
      </c>
      <c r="C576" t="str">
        <f ca="1">IFERROR(__xludf.DUMMYFUNCTION("""COMPUTED_VALUE"""),"PA000032")</f>
        <v>PA000032</v>
      </c>
      <c r="D576" t="str">
        <f ca="1">IFERROR(__xludf.DUMMYFUNCTION("""COMPUTED_VALUE"""),"PA000032")</f>
        <v>PA000032</v>
      </c>
    </row>
    <row r="577" spans="1:4" ht="15" customHeight="1">
      <c r="A577" s="206" t="str">
        <f ca="1">IFERROR(__xludf.DUMMYFUNCTION("""COMPUTED_VALUE"""),"AB001020")</f>
        <v>AB001020</v>
      </c>
      <c r="B577" s="205">
        <f ca="1">IFERROR(__xludf.DUMMYFUNCTION("""COMPUTED_VALUE"""),43571)</f>
        <v>43571</v>
      </c>
      <c r="C577" t="str">
        <f ca="1">IFERROR(__xludf.DUMMYFUNCTION("""COMPUTED_VALUE"""),"PA000032")</f>
        <v>PA000032</v>
      </c>
      <c r="D577" t="str">
        <f ca="1">IFERROR(__xludf.DUMMYFUNCTION("""COMPUTED_VALUE"""),"PA000032")</f>
        <v>PA000032</v>
      </c>
    </row>
    <row r="578" spans="1:4" ht="15" customHeight="1">
      <c r="A578" s="206" t="str">
        <f ca="1">IFERROR(__xludf.DUMMYFUNCTION("""COMPUTED_VALUE"""),"AB001061")</f>
        <v>AB001061</v>
      </c>
      <c r="B578" s="205">
        <f ca="1">IFERROR(__xludf.DUMMYFUNCTION("""COMPUTED_VALUE"""),43574)</f>
        <v>43574</v>
      </c>
      <c r="C578" t="str">
        <f ca="1">IFERROR(__xludf.DUMMYFUNCTION("""COMPUTED_VALUE"""),"PA000033")</f>
        <v>PA000033</v>
      </c>
      <c r="D578" t="str">
        <f ca="1">IFERROR(__xludf.DUMMYFUNCTION("""COMPUTED_VALUE"""),"PA000033")</f>
        <v>PA000033</v>
      </c>
    </row>
    <row r="579" spans="1:4" ht="15" customHeight="1">
      <c r="A579" s="206" t="str">
        <f ca="1">IFERROR(__xludf.DUMMYFUNCTION("""COMPUTED_VALUE"""),"AB001063")</f>
        <v>AB001063</v>
      </c>
      <c r="B579" s="205">
        <f ca="1">IFERROR(__xludf.DUMMYFUNCTION("""COMPUTED_VALUE"""),43572)</f>
        <v>43572</v>
      </c>
      <c r="C579" t="str">
        <f ca="1">IFERROR(__xludf.DUMMYFUNCTION("""COMPUTED_VALUE"""),"PA000033")</f>
        <v>PA000033</v>
      </c>
      <c r="D579" t="str">
        <f ca="1">IFERROR(__xludf.DUMMYFUNCTION("""COMPUTED_VALUE"""),"PA000033")</f>
        <v>PA000033</v>
      </c>
    </row>
    <row r="580" spans="1:4" ht="15" customHeight="1">
      <c r="A580" s="206" t="str">
        <f ca="1">IFERROR(__xludf.DUMMYFUNCTION("""COMPUTED_VALUE"""),"AB001064")</f>
        <v>AB001064</v>
      </c>
      <c r="B580" s="205">
        <f ca="1">IFERROR(__xludf.DUMMYFUNCTION("""COMPUTED_VALUE"""),43572)</f>
        <v>43572</v>
      </c>
      <c r="C580" t="str">
        <f ca="1">IFERROR(__xludf.DUMMYFUNCTION("""COMPUTED_VALUE"""),"PA000047")</f>
        <v>PA000047</v>
      </c>
      <c r="D580" t="str">
        <f ca="1">IFERROR(__xludf.DUMMYFUNCTION("""COMPUTED_VALUE"""),"PA000047")</f>
        <v>PA000047</v>
      </c>
    </row>
    <row r="581" spans="1:4" ht="15" customHeight="1">
      <c r="A581" s="206" t="str">
        <f ca="1">IFERROR(__xludf.DUMMYFUNCTION("""COMPUTED_VALUE"""),"AB001021")</f>
        <v>AB001021</v>
      </c>
      <c r="B581" s="205">
        <f ca="1">IFERROR(__xludf.DUMMYFUNCTION("""COMPUTED_VALUE"""),43574)</f>
        <v>43574</v>
      </c>
      <c r="C581" t="str">
        <f ca="1">IFERROR(__xludf.DUMMYFUNCTION("""COMPUTED_VALUE"""),"PA000049")</f>
        <v>PA000049</v>
      </c>
      <c r="D581" t="str">
        <f ca="1">IFERROR(__xludf.DUMMYFUNCTION("""COMPUTED_VALUE"""),"PA000049")</f>
        <v>PA000049</v>
      </c>
    </row>
    <row r="582" spans="1:4" ht="15" customHeight="1">
      <c r="A582" s="206" t="str">
        <f ca="1">IFERROR(__xludf.DUMMYFUNCTION("""COMPUTED_VALUE"""),"AB001065")</f>
        <v>AB001065</v>
      </c>
      <c r="B582" s="205">
        <f ca="1">IFERROR(__xludf.DUMMYFUNCTION("""COMPUTED_VALUE"""),43574)</f>
        <v>43574</v>
      </c>
      <c r="C582" t="str">
        <f ca="1">IFERROR(__xludf.DUMMYFUNCTION("""COMPUTED_VALUE"""),"PA000050")</f>
        <v>PA000050</v>
      </c>
      <c r="D582" t="str">
        <f ca="1">IFERROR(__xludf.DUMMYFUNCTION("""COMPUTED_VALUE"""),"PA000050")</f>
        <v>PA000050</v>
      </c>
    </row>
    <row r="583" spans="1:4" ht="15" customHeight="1">
      <c r="A583" s="206" t="str">
        <f ca="1">IFERROR(__xludf.DUMMYFUNCTION("""COMPUTED_VALUE"""),"AB001143")</f>
        <v>AB001143</v>
      </c>
      <c r="B583" s="205">
        <f ca="1">IFERROR(__xludf.DUMMYFUNCTION("""COMPUTED_VALUE"""),43572)</f>
        <v>43572</v>
      </c>
      <c r="C583" t="str">
        <f ca="1">IFERROR(__xludf.DUMMYFUNCTION("""COMPUTED_VALUE"""),"PA000101")</f>
        <v>PA000101</v>
      </c>
      <c r="D583" t="str">
        <f ca="1">IFERROR(__xludf.DUMMYFUNCTION("""COMPUTED_VALUE"""),"PA000101")</f>
        <v>PA000101</v>
      </c>
    </row>
    <row r="584" spans="1:4" ht="15" customHeight="1">
      <c r="A584" s="206" t="str">
        <f ca="1">IFERROR(__xludf.DUMMYFUNCTION("""COMPUTED_VALUE"""),"AB001144")</f>
        <v>AB001144</v>
      </c>
      <c r="B584" s="205">
        <f ca="1">IFERROR(__xludf.DUMMYFUNCTION("""COMPUTED_VALUE"""),43572)</f>
        <v>43572</v>
      </c>
      <c r="C584" t="str">
        <f ca="1">IFERROR(__xludf.DUMMYFUNCTION("""COMPUTED_VALUE"""),"PA000101")</f>
        <v>PA000101</v>
      </c>
      <c r="D584" t="str">
        <f ca="1">IFERROR(__xludf.DUMMYFUNCTION("""COMPUTED_VALUE"""),"PA000101")</f>
        <v>PA000101</v>
      </c>
    </row>
    <row r="585" spans="1:4" ht="15" customHeight="1">
      <c r="A585" s="206" t="str">
        <f ca="1">IFERROR(__xludf.DUMMYFUNCTION("""COMPUTED_VALUE"""),"AB001057")</f>
        <v>AB001057</v>
      </c>
      <c r="B585" s="205">
        <f ca="1">IFERROR(__xludf.DUMMYFUNCTION("""COMPUTED_VALUE"""),43572)</f>
        <v>43572</v>
      </c>
      <c r="C585" t="str">
        <f ca="1">IFERROR(__xludf.DUMMYFUNCTION("""COMPUTED_VALUE"""),"PA000101")</f>
        <v>PA000101</v>
      </c>
      <c r="D585" t="str">
        <f ca="1">IFERROR(__xludf.DUMMYFUNCTION("""COMPUTED_VALUE"""),"PA000101")</f>
        <v>PA000101</v>
      </c>
    </row>
    <row r="586" spans="1:4" ht="15" customHeight="1">
      <c r="A586" s="206" t="str">
        <f ca="1">IFERROR(__xludf.DUMMYFUNCTION("""COMPUTED_VALUE"""),"AB001022")</f>
        <v>AB001022</v>
      </c>
      <c r="B586" s="205">
        <f ca="1">IFERROR(__xludf.DUMMYFUNCTION("""COMPUTED_VALUE"""),43574)</f>
        <v>43574</v>
      </c>
      <c r="C586" t="str">
        <f ca="1">IFERROR(__xludf.DUMMYFUNCTION("""COMPUTED_VALUE"""),"PA000102")</f>
        <v>PA000102</v>
      </c>
      <c r="D586" t="str">
        <f ca="1">IFERROR(__xludf.DUMMYFUNCTION("""COMPUTED_VALUE"""),"PA000102")</f>
        <v>PA000102</v>
      </c>
    </row>
    <row r="587" spans="1:4" ht="15" customHeight="1">
      <c r="A587" s="206" t="str">
        <f ca="1">IFERROR(__xludf.DUMMYFUNCTION("""COMPUTED_VALUE"""),"AB001146")</f>
        <v>AB001146</v>
      </c>
      <c r="B587" s="205">
        <f ca="1">IFERROR(__xludf.DUMMYFUNCTION("""COMPUTED_VALUE"""),43573)</f>
        <v>43573</v>
      </c>
      <c r="C587" t="str">
        <f ca="1">IFERROR(__xludf.DUMMYFUNCTION("""COMPUTED_VALUE"""),"PA000102")</f>
        <v>PA000102</v>
      </c>
      <c r="D587" t="str">
        <f ca="1">IFERROR(__xludf.DUMMYFUNCTION("""COMPUTED_VALUE"""),"PA000102")</f>
        <v>PA000102</v>
      </c>
    </row>
    <row r="588" spans="1:4" ht="15" customHeight="1">
      <c r="A588" s="206" t="str">
        <f ca="1">IFERROR(__xludf.DUMMYFUNCTION("""COMPUTED_VALUE"""),"AB001147")</f>
        <v>AB001147</v>
      </c>
      <c r="B588" s="205">
        <f ca="1">IFERROR(__xludf.DUMMYFUNCTION("""COMPUTED_VALUE"""),43573)</f>
        <v>43573</v>
      </c>
      <c r="C588" t="str">
        <f ca="1">IFERROR(__xludf.DUMMYFUNCTION("""COMPUTED_VALUE"""),"PA000103")</f>
        <v>PA000103</v>
      </c>
      <c r="D588" t="str">
        <f ca="1">IFERROR(__xludf.DUMMYFUNCTION("""COMPUTED_VALUE"""),"PA000103")</f>
        <v>PA000103</v>
      </c>
    </row>
    <row r="589" spans="1:4" ht="15" customHeight="1">
      <c r="A589" s="206" t="str">
        <f ca="1">IFERROR(__xludf.DUMMYFUNCTION("""COMPUTED_VALUE"""),"AB001066")</f>
        <v>AB001066</v>
      </c>
      <c r="B589" s="205">
        <f ca="1">IFERROR(__xludf.DUMMYFUNCTION("""COMPUTED_VALUE"""),43574)</f>
        <v>43574</v>
      </c>
      <c r="C589" t="str">
        <f ca="1">IFERROR(__xludf.DUMMYFUNCTION("""COMPUTED_VALUE"""),"PA000103")</f>
        <v>PA000103</v>
      </c>
      <c r="D589" t="str">
        <f ca="1">IFERROR(__xludf.DUMMYFUNCTION("""COMPUTED_VALUE"""),"PA000103")</f>
        <v>PA000103</v>
      </c>
    </row>
    <row r="590" spans="1:4" ht="15" customHeight="1">
      <c r="A590" s="206" t="str">
        <f ca="1">IFERROR(__xludf.DUMMYFUNCTION("""COMPUTED_VALUE"""),"AB001145")</f>
        <v>AB001145</v>
      </c>
      <c r="B590" s="205">
        <f ca="1">IFERROR(__xludf.DUMMYFUNCTION("""COMPUTED_VALUE"""),43573)</f>
        <v>43573</v>
      </c>
      <c r="C590" t="str">
        <f ca="1">IFERROR(__xludf.DUMMYFUNCTION("""COMPUTED_VALUE"""),"PA000103")</f>
        <v>PA000103</v>
      </c>
      <c r="D590" t="str">
        <f ca="1">IFERROR(__xludf.DUMMYFUNCTION("""COMPUTED_VALUE"""),"PA000103")</f>
        <v>PA000103</v>
      </c>
    </row>
    <row r="591" spans="1:4" ht="15" customHeight="1">
      <c r="A591" s="206" t="str">
        <f ca="1">IFERROR(__xludf.DUMMYFUNCTION("""COMPUTED_VALUE"""),"AB001067")</f>
        <v>AB001067</v>
      </c>
      <c r="B591" s="205">
        <f ca="1">IFERROR(__xludf.DUMMYFUNCTION("""COMPUTED_VALUE"""),43577)</f>
        <v>43577</v>
      </c>
      <c r="C591" t="str">
        <f ca="1">IFERROR(__xludf.DUMMYFUNCTION("""COMPUTED_VALUE"""),"PA000103")</f>
        <v>PA000103</v>
      </c>
      <c r="D591" t="str">
        <f ca="1">IFERROR(__xludf.DUMMYFUNCTION("""COMPUTED_VALUE"""),"PA000103")</f>
        <v>PA000103</v>
      </c>
    </row>
    <row r="592" spans="1:4" ht="15" customHeight="1">
      <c r="A592" s="206" t="str">
        <f ca="1">IFERROR(__xludf.DUMMYFUNCTION("""COMPUTED_VALUE"""),"AB001023")</f>
        <v>AB001023</v>
      </c>
      <c r="B592" s="205">
        <f ca="1">IFERROR(__xludf.DUMMYFUNCTION("""COMPUTED_VALUE"""),43573)</f>
        <v>43573</v>
      </c>
      <c r="C592" t="str">
        <f ca="1">IFERROR(__xludf.DUMMYFUNCTION("""COMPUTED_VALUE"""),"PA000103")</f>
        <v>PA000103</v>
      </c>
      <c r="D592" t="str">
        <f ca="1">IFERROR(__xludf.DUMMYFUNCTION("""COMPUTED_VALUE"""),"PA000103")</f>
        <v>PA000103</v>
      </c>
    </row>
    <row r="593" spans="1:4" ht="15" customHeight="1">
      <c r="A593" s="206" t="str">
        <f ca="1">IFERROR(__xludf.DUMMYFUNCTION("""COMPUTED_VALUE"""),"AB001149")</f>
        <v>AB001149</v>
      </c>
      <c r="B593" s="205">
        <f ca="1">IFERROR(__xludf.DUMMYFUNCTION("""COMPUTED_VALUE"""),43577)</f>
        <v>43577</v>
      </c>
      <c r="C593" t="str">
        <f ca="1">IFERROR(__xludf.DUMMYFUNCTION("""COMPUTED_VALUE"""),"PA000103")</f>
        <v>PA000103</v>
      </c>
      <c r="D593" t="str">
        <f ca="1">IFERROR(__xludf.DUMMYFUNCTION("""COMPUTED_VALUE"""),"PA000103")</f>
        <v>PA000103</v>
      </c>
    </row>
    <row r="594" spans="1:4" ht="15" customHeight="1">
      <c r="A594" s="206" t="str">
        <f ca="1">IFERROR(__xludf.DUMMYFUNCTION("""COMPUTED_VALUE"""),"AB001149")</f>
        <v>AB001149</v>
      </c>
      <c r="B594" s="205">
        <f ca="1">IFERROR(__xludf.DUMMYFUNCTION("""COMPUTED_VALUE"""),43577)</f>
        <v>43577</v>
      </c>
      <c r="C594" t="str">
        <f ca="1">IFERROR(__xludf.DUMMYFUNCTION("""COMPUTED_VALUE"""),"PA000103")</f>
        <v>PA000103</v>
      </c>
      <c r="D594" t="str">
        <f ca="1">IFERROR(__xludf.DUMMYFUNCTION("""COMPUTED_VALUE"""),"PA000103")</f>
        <v>PA000103</v>
      </c>
    </row>
    <row r="595" spans="1:4" ht="15" customHeight="1">
      <c r="A595" s="206" t="str">
        <f ca="1">IFERROR(__xludf.DUMMYFUNCTION("""COMPUTED_VALUE"""),"AB001025")</f>
        <v>AB001025</v>
      </c>
      <c r="B595" s="205">
        <f ca="1">IFERROR(__xludf.DUMMYFUNCTION("""COMPUTED_VALUE"""),43577)</f>
        <v>43577</v>
      </c>
      <c r="C595" t="str">
        <f ca="1">IFERROR(__xludf.DUMMYFUNCTION("""COMPUTED_VALUE"""),"PA000103")</f>
        <v>PA000103</v>
      </c>
      <c r="D595" t="str">
        <f ca="1">IFERROR(__xludf.DUMMYFUNCTION("""COMPUTED_VALUE"""),"PA000103")</f>
        <v>PA000103</v>
      </c>
    </row>
    <row r="596" spans="1:4" ht="15" customHeight="1">
      <c r="A596" s="206" t="str">
        <f ca="1">IFERROR(__xludf.DUMMYFUNCTION("""COMPUTED_VALUE"""),"AB001027")</f>
        <v>AB001027</v>
      </c>
      <c r="B596" s="205">
        <f ca="1">IFERROR(__xludf.DUMMYFUNCTION("""COMPUTED_VALUE"""),43577)</f>
        <v>43577</v>
      </c>
      <c r="C596" t="str">
        <f ca="1">IFERROR(__xludf.DUMMYFUNCTION("""COMPUTED_VALUE"""),"PA000103")</f>
        <v>PA000103</v>
      </c>
      <c r="D596" t="str">
        <f ca="1">IFERROR(__xludf.DUMMYFUNCTION("""COMPUTED_VALUE"""),"PA000103")</f>
        <v>PA000103</v>
      </c>
    </row>
    <row r="597" spans="1:4" ht="15" customHeight="1">
      <c r="A597" s="206" t="str">
        <f ca="1">IFERROR(__xludf.DUMMYFUNCTION("""COMPUTED_VALUE"""),"AB001026")</f>
        <v>AB001026</v>
      </c>
      <c r="B597" s="205">
        <f ca="1">IFERROR(__xludf.DUMMYFUNCTION("""COMPUTED_VALUE"""),43577)</f>
        <v>43577</v>
      </c>
      <c r="C597" t="str">
        <f ca="1">IFERROR(__xludf.DUMMYFUNCTION("""COMPUTED_VALUE"""),"PA000103")</f>
        <v>PA000103</v>
      </c>
      <c r="D597" t="str">
        <f ca="1">IFERROR(__xludf.DUMMYFUNCTION("""COMPUTED_VALUE"""),"PA000103")</f>
        <v>PA000103</v>
      </c>
    </row>
    <row r="598" spans="1:4" ht="15" customHeight="1">
      <c r="A598" s="206" t="str">
        <f ca="1">IFERROR(__xludf.DUMMYFUNCTION("""COMPUTED_VALUE"""),"AB001028-2")</f>
        <v>AB001028-2</v>
      </c>
      <c r="B598" s="205">
        <f ca="1">IFERROR(__xludf.DUMMYFUNCTION("""COMPUTED_VALUE"""),43577)</f>
        <v>43577</v>
      </c>
      <c r="C598" t="str">
        <f ca="1">IFERROR(__xludf.DUMMYFUNCTION("""COMPUTED_VALUE"""),"PA000068")</f>
        <v>PA000068</v>
      </c>
      <c r="D598" t="str">
        <f ca="1">IFERROR(__xludf.DUMMYFUNCTION("""COMPUTED_VALUE"""),"PA000068")</f>
        <v>PA000068</v>
      </c>
    </row>
    <row r="599" spans="1:4" ht="15" customHeight="1">
      <c r="A599" s="206" t="str">
        <f ca="1">IFERROR(__xludf.DUMMYFUNCTION("""COMPUTED_VALUE"""),"AB001150")</f>
        <v>AB001150</v>
      </c>
      <c r="B599" s="205">
        <f ca="1">IFERROR(__xludf.DUMMYFUNCTION("""COMPUTED_VALUE"""),43579)</f>
        <v>43579</v>
      </c>
      <c r="C599" t="str">
        <f ca="1">IFERROR(__xludf.DUMMYFUNCTION("""COMPUTED_VALUE"""),"PA000104")</f>
        <v>PA000104</v>
      </c>
      <c r="D599" t="str">
        <f ca="1">IFERROR(__xludf.DUMMYFUNCTION("""COMPUTED_VALUE"""),"PA000104")</f>
        <v>PA000104</v>
      </c>
    </row>
    <row r="600" spans="1:4" ht="15" customHeight="1">
      <c r="A600" s="206" t="str">
        <f ca="1">IFERROR(__xludf.DUMMYFUNCTION("""COMPUTED_VALUE"""),"AB001069")</f>
        <v>AB001069</v>
      </c>
      <c r="B600" s="205">
        <f ca="1">IFERROR(__xludf.DUMMYFUNCTION("""COMPUTED_VALUE"""),43579)</f>
        <v>43579</v>
      </c>
      <c r="C600" s="206" t="str">
        <f ca="1">IFERROR(__xludf.DUMMYFUNCTION("""COMPUTED_VALUE"""),"PA000105")</f>
        <v>PA000105</v>
      </c>
      <c r="D600" s="206" t="str">
        <f ca="1">IFERROR(__xludf.DUMMYFUNCTION("""COMPUTED_VALUE"""),"PA000105")</f>
        <v>PA000105</v>
      </c>
    </row>
    <row r="601" spans="1:4" ht="15" customHeight="1">
      <c r="A601" s="206" t="str">
        <f ca="1">IFERROR(__xludf.DUMMYFUNCTION("""COMPUTED_VALUE"""),"AB001068")</f>
        <v>AB001068</v>
      </c>
      <c r="B601" s="205">
        <f ca="1">IFERROR(__xludf.DUMMYFUNCTION("""COMPUTED_VALUE"""),43580)</f>
        <v>43580</v>
      </c>
      <c r="C601" t="str">
        <f ca="1">IFERROR(__xludf.DUMMYFUNCTION("""COMPUTED_VALUE"""),"AA001935")</f>
        <v>AA001935</v>
      </c>
      <c r="D601" t="str">
        <f ca="1">IFERROR(__xludf.DUMMYFUNCTION("""COMPUTED_VALUE"""),"AA001935")</f>
        <v>AA001935</v>
      </c>
    </row>
    <row r="602" spans="1:4" ht="15" customHeight="1">
      <c r="A602" s="206" t="str">
        <f ca="1">IFERROR(__xludf.DUMMYFUNCTION("""COMPUTED_VALUE"""),"AB001070")</f>
        <v>AB001070</v>
      </c>
      <c r="B602" s="205">
        <f ca="1">IFERROR(__xludf.DUMMYFUNCTION("""COMPUTED_VALUE"""),43579)</f>
        <v>43579</v>
      </c>
      <c r="C602" t="str">
        <f ca="1">IFERROR(__xludf.DUMMYFUNCTION("""COMPUTED_VALUE"""),"AA001935")</f>
        <v>AA001935</v>
      </c>
      <c r="D602" t="str">
        <f ca="1">IFERROR(__xludf.DUMMYFUNCTION("""COMPUTED_VALUE"""),"AA001935")</f>
        <v>AA001935</v>
      </c>
    </row>
    <row r="603" spans="1:4" ht="15" customHeight="1">
      <c r="A603" s="206" t="str">
        <f ca="1">IFERROR(__xludf.DUMMYFUNCTION("""COMPUTED_VALUE"""),"AB001071")</f>
        <v>AB001071</v>
      </c>
      <c r="B603" s="205">
        <f ca="1">IFERROR(__xludf.DUMMYFUNCTION("""COMPUTED_VALUE"""),43579)</f>
        <v>43579</v>
      </c>
      <c r="C603" t="str">
        <f ca="1">IFERROR(__xludf.DUMMYFUNCTION("""COMPUTED_VALUE"""),"AA001935")</f>
        <v>AA001935</v>
      </c>
      <c r="D603" t="str">
        <f ca="1">IFERROR(__xludf.DUMMYFUNCTION("""COMPUTED_VALUE"""),"AA001935")</f>
        <v>AA001935</v>
      </c>
    </row>
    <row r="604" spans="1:4" ht="15" customHeight="1">
      <c r="A604" s="206" t="str">
        <f ca="1">IFERROR(__xludf.DUMMYFUNCTION("""COMPUTED_VALUE"""),"AA001932")</f>
        <v>AA001932</v>
      </c>
      <c r="B604" s="205">
        <f ca="1">IFERROR(__xludf.DUMMYFUNCTION("""COMPUTED_VALUE"""),43579)</f>
        <v>43579</v>
      </c>
      <c r="C604" t="str">
        <f ca="1">IFERROR(__xludf.DUMMYFUNCTION("""COMPUTED_VALUE"""),"AA001935")</f>
        <v>AA001935</v>
      </c>
      <c r="D604" t="str">
        <f ca="1">IFERROR(__xludf.DUMMYFUNCTION("""COMPUTED_VALUE"""),"AA001935")</f>
        <v>AA001935</v>
      </c>
    </row>
    <row r="605" spans="1:4" ht="15" customHeight="1">
      <c r="A605" s="206" t="str">
        <f ca="1">IFERROR(__xludf.DUMMYFUNCTION("""COMPUTED_VALUE"""),"AA001932")</f>
        <v>AA001932</v>
      </c>
      <c r="B605" s="205">
        <f ca="1">IFERROR(__xludf.DUMMYFUNCTION("""COMPUTED_VALUE"""),43579)</f>
        <v>43579</v>
      </c>
      <c r="C605" t="str">
        <f ca="1">IFERROR(__xludf.DUMMYFUNCTION("""COMPUTED_VALUE"""),"AA001935")</f>
        <v>AA001935</v>
      </c>
      <c r="D605" t="str">
        <f ca="1">IFERROR(__xludf.DUMMYFUNCTION("""COMPUTED_VALUE"""),"AA001935")</f>
        <v>AA001935</v>
      </c>
    </row>
    <row r="606" spans="1:4" ht="15" customHeight="1">
      <c r="A606" s="206" t="str">
        <f ca="1">IFERROR(__xludf.DUMMYFUNCTION("""COMPUTED_VALUE"""),"AA001932")</f>
        <v>AA001932</v>
      </c>
      <c r="B606" s="205">
        <f ca="1">IFERROR(__xludf.DUMMYFUNCTION("""COMPUTED_VALUE"""),43579)</f>
        <v>43579</v>
      </c>
      <c r="C606" t="str">
        <f ca="1">IFERROR(__xludf.DUMMYFUNCTION("""COMPUTED_VALUE"""),"AA001935")</f>
        <v>AA001935</v>
      </c>
      <c r="D606" t="str">
        <f ca="1">IFERROR(__xludf.DUMMYFUNCTION("""COMPUTED_VALUE"""),"AA001935")</f>
        <v>AA001935</v>
      </c>
    </row>
    <row r="607" spans="1:4" ht="15" customHeight="1">
      <c r="A607" s="206" t="str">
        <f ca="1">IFERROR(__xludf.DUMMYFUNCTION("""COMPUTED_VALUE"""),"AA001932")</f>
        <v>AA001932</v>
      </c>
      <c r="B607" s="205">
        <f ca="1">IFERROR(__xludf.DUMMYFUNCTION("""COMPUTED_VALUE"""),43579)</f>
        <v>43579</v>
      </c>
      <c r="C607" t="str">
        <f ca="1">IFERROR(__xludf.DUMMYFUNCTION("""COMPUTED_VALUE"""),"AA001935")</f>
        <v>AA001935</v>
      </c>
      <c r="D607" t="str">
        <f ca="1">IFERROR(__xludf.DUMMYFUNCTION("""COMPUTED_VALUE"""),"AA001935")</f>
        <v>AA001935</v>
      </c>
    </row>
    <row r="608" spans="1:4" ht="15" customHeight="1">
      <c r="A608" s="206" t="str">
        <f ca="1">IFERROR(__xludf.DUMMYFUNCTION("""COMPUTED_VALUE"""),"AA001932")</f>
        <v>AA001932</v>
      </c>
      <c r="B608" s="205">
        <f ca="1">IFERROR(__xludf.DUMMYFUNCTION("""COMPUTED_VALUE"""),43579)</f>
        <v>43579</v>
      </c>
      <c r="C608" t="str">
        <f ca="1">IFERROR(__xludf.DUMMYFUNCTION("""COMPUTED_VALUE"""),"AA001935")</f>
        <v>AA001935</v>
      </c>
      <c r="D608" t="str">
        <f ca="1">IFERROR(__xludf.DUMMYFUNCTION("""COMPUTED_VALUE"""),"AA001935")</f>
        <v>AA001935</v>
      </c>
    </row>
    <row r="609" spans="1:4" ht="15" customHeight="1">
      <c r="A609" s="206" t="str">
        <f ca="1">IFERROR(__xludf.DUMMYFUNCTION("""COMPUTED_VALUE"""),"AA001932")</f>
        <v>AA001932</v>
      </c>
      <c r="B609" s="205">
        <f ca="1">IFERROR(__xludf.DUMMYFUNCTION("""COMPUTED_VALUE"""),43579)</f>
        <v>43579</v>
      </c>
      <c r="C609" t="str">
        <f ca="1">IFERROR(__xludf.DUMMYFUNCTION("""COMPUTED_VALUE"""),"AA001935")</f>
        <v>AA001935</v>
      </c>
      <c r="D609" t="str">
        <f ca="1">IFERROR(__xludf.DUMMYFUNCTION("""COMPUTED_VALUE"""),"AA001935")</f>
        <v>AA001935</v>
      </c>
    </row>
    <row r="610" spans="1:4" ht="15" customHeight="1">
      <c r="A610" s="206" t="str">
        <f ca="1">IFERROR(__xludf.DUMMYFUNCTION("""COMPUTED_VALUE"""),"AA001932")</f>
        <v>AA001932</v>
      </c>
      <c r="B610" s="205">
        <f ca="1">IFERROR(__xludf.DUMMYFUNCTION("""COMPUTED_VALUE"""),43579)</f>
        <v>43579</v>
      </c>
      <c r="C610" t="str">
        <f ca="1">IFERROR(__xludf.DUMMYFUNCTION("""COMPUTED_VALUE"""),"AA001935")</f>
        <v>AA001935</v>
      </c>
      <c r="D610" t="str">
        <f ca="1">IFERROR(__xludf.DUMMYFUNCTION("""COMPUTED_VALUE"""),"AA001935")</f>
        <v>AA001935</v>
      </c>
    </row>
    <row r="611" spans="1:4" ht="15" customHeight="1">
      <c r="A611" s="206" t="str">
        <f ca="1">IFERROR(__xludf.DUMMYFUNCTION("""COMPUTED_VALUE"""),"AA001932")</f>
        <v>AA001932</v>
      </c>
      <c r="B611" s="205">
        <f ca="1">IFERROR(__xludf.DUMMYFUNCTION("""COMPUTED_VALUE"""),43579)</f>
        <v>43579</v>
      </c>
      <c r="C611" t="str">
        <f ca="1">IFERROR(__xludf.DUMMYFUNCTION("""COMPUTED_VALUE"""),"AA001935")</f>
        <v>AA001935</v>
      </c>
      <c r="D611" t="str">
        <f ca="1">IFERROR(__xludf.DUMMYFUNCTION("""COMPUTED_VALUE"""),"AA001935")</f>
        <v>AA001935</v>
      </c>
    </row>
    <row r="612" spans="1:4" ht="15" customHeight="1">
      <c r="A612" s="206" t="str">
        <f ca="1">IFERROR(__xludf.DUMMYFUNCTION("""COMPUTED_VALUE"""),"AA001932")</f>
        <v>AA001932</v>
      </c>
      <c r="B612" s="205">
        <f ca="1">IFERROR(__xludf.DUMMYFUNCTION("""COMPUTED_VALUE"""),43579)</f>
        <v>43579</v>
      </c>
      <c r="C612" t="str">
        <f ca="1">IFERROR(__xludf.DUMMYFUNCTION("""COMPUTED_VALUE"""),"AA001935")</f>
        <v>AA001935</v>
      </c>
      <c r="D612" t="str">
        <f ca="1">IFERROR(__xludf.DUMMYFUNCTION("""COMPUTED_VALUE"""),"AA001935")</f>
        <v>AA001935</v>
      </c>
    </row>
    <row r="613" spans="1:4" ht="15" customHeight="1">
      <c r="A613" s="206" t="str">
        <f ca="1">IFERROR(__xludf.DUMMYFUNCTION("""COMPUTED_VALUE"""),"AA001933")</f>
        <v>AA001933</v>
      </c>
      <c r="B613" s="205">
        <f ca="1">IFERROR(__xludf.DUMMYFUNCTION("""COMPUTED_VALUE"""),43579)</f>
        <v>43579</v>
      </c>
      <c r="C613" t="str">
        <f ca="1">IFERROR(__xludf.DUMMYFUNCTION("""COMPUTED_VALUE"""),"AA001935")</f>
        <v>AA001935</v>
      </c>
      <c r="D613" t="str">
        <f ca="1">IFERROR(__xludf.DUMMYFUNCTION("""COMPUTED_VALUE"""),"AA001935")</f>
        <v>AA001935</v>
      </c>
    </row>
    <row r="614" spans="1:4" ht="15" customHeight="1">
      <c r="A614" s="206" t="str">
        <f ca="1">IFERROR(__xludf.DUMMYFUNCTION("""COMPUTED_VALUE"""),"AB001030")</f>
        <v>AB001030</v>
      </c>
      <c r="B614" s="205">
        <f ca="1">IFERROR(__xludf.DUMMYFUNCTION("""COMPUTED_VALUE"""),43579)</f>
        <v>43579</v>
      </c>
      <c r="C614" t="str">
        <f ca="1">IFERROR(__xludf.DUMMYFUNCTION("""COMPUTED_VALUE"""),"AA001935")</f>
        <v>AA001935</v>
      </c>
      <c r="D614" t="str">
        <f ca="1">IFERROR(__xludf.DUMMYFUNCTION("""COMPUTED_VALUE"""),"AA001935")</f>
        <v>AA001935</v>
      </c>
    </row>
    <row r="615" spans="1:4" ht="15" customHeight="1">
      <c r="A615" s="206" t="str">
        <f ca="1">IFERROR(__xludf.DUMMYFUNCTION("""COMPUTED_VALUE"""),"AB001030")</f>
        <v>AB001030</v>
      </c>
      <c r="B615" s="205">
        <f ca="1">IFERROR(__xludf.DUMMYFUNCTION("""COMPUTED_VALUE"""),43579)</f>
        <v>43579</v>
      </c>
      <c r="C615" t="str">
        <f ca="1">IFERROR(__xludf.DUMMYFUNCTION("""COMPUTED_VALUE"""),"PA000018")</f>
        <v>PA000018</v>
      </c>
      <c r="D615" t="str">
        <f ca="1">IFERROR(__xludf.DUMMYFUNCTION("""COMPUTED_VALUE"""),"PA000018")</f>
        <v>PA000018</v>
      </c>
    </row>
    <row r="616" spans="1:4" ht="15" customHeight="1">
      <c r="A616" s="206" t="str">
        <f ca="1">IFERROR(__xludf.DUMMYFUNCTION("""COMPUTED_VALUE"""),"AB001201")</f>
        <v>AB001201</v>
      </c>
      <c r="B616" s="205">
        <f ca="1">IFERROR(__xludf.DUMMYFUNCTION("""COMPUTED_VALUE"""),43593)</f>
        <v>43593</v>
      </c>
      <c r="C616" t="str">
        <f ca="1">IFERROR(__xludf.DUMMYFUNCTION("""COMPUTED_VALUE"""),"PA000018")</f>
        <v>PA000018</v>
      </c>
      <c r="D616" t="str">
        <f ca="1">IFERROR(__xludf.DUMMYFUNCTION("""COMPUTED_VALUE"""),"PA000018")</f>
        <v>PA000018</v>
      </c>
    </row>
    <row r="617" spans="1:4" ht="15" customHeight="1">
      <c r="A617" s="206" t="str">
        <f ca="1">IFERROR(__xludf.DUMMYFUNCTION("""COMPUTED_VALUE"""),"AB001201")</f>
        <v>AB001201</v>
      </c>
      <c r="B617" s="205">
        <f ca="1">IFERROR(__xludf.DUMMYFUNCTION("""COMPUTED_VALUE"""),43593)</f>
        <v>43593</v>
      </c>
      <c r="C617" t="str">
        <f ca="1">IFERROR(__xludf.DUMMYFUNCTION("""COMPUTED_VALUE"""),"PA000018")</f>
        <v>PA000018</v>
      </c>
      <c r="D617" t="str">
        <f ca="1">IFERROR(__xludf.DUMMYFUNCTION("""COMPUTED_VALUE"""),"PA000018")</f>
        <v>PA000018</v>
      </c>
    </row>
    <row r="618" spans="1:4" ht="15" customHeight="1">
      <c r="A618" s="206" t="str">
        <f ca="1">IFERROR(__xludf.DUMMYFUNCTION("""COMPUTED_VALUE"""),"AB001031")</f>
        <v>AB001031</v>
      </c>
      <c r="B618" s="205">
        <f ca="1">IFERROR(__xludf.DUMMYFUNCTION("""COMPUTED_VALUE"""),43579)</f>
        <v>43579</v>
      </c>
      <c r="C618" t="str">
        <f ca="1">IFERROR(__xludf.DUMMYFUNCTION("""COMPUTED_VALUE"""),"PA000069")</f>
        <v>PA000069</v>
      </c>
      <c r="D618" t="str">
        <f ca="1">IFERROR(__xludf.DUMMYFUNCTION("""COMPUTED_VALUE"""),"PA000069")</f>
        <v>PA000069</v>
      </c>
    </row>
    <row r="619" spans="1:4" ht="15" customHeight="1">
      <c r="A619" s="206" t="str">
        <f ca="1">IFERROR(__xludf.DUMMYFUNCTION("""COMPUTED_VALUE"""),"AB001148")</f>
        <v>AB001148</v>
      </c>
      <c r="B619" s="205">
        <f ca="1">IFERROR(__xludf.DUMMYFUNCTION("""COMPUTED_VALUE"""),43579)</f>
        <v>43579</v>
      </c>
      <c r="C619" t="str">
        <f ca="1">IFERROR(__xludf.DUMMYFUNCTION("""COMPUTED_VALUE"""),"PA000034")</f>
        <v>PA000034</v>
      </c>
      <c r="D619" t="str">
        <f ca="1">IFERROR(__xludf.DUMMYFUNCTION("""COMPUTED_VALUE"""),"PA000034")</f>
        <v>PA000034</v>
      </c>
    </row>
    <row r="620" spans="1:4" ht="15" customHeight="1">
      <c r="A620" s="206" t="str">
        <f ca="1">IFERROR(__xludf.DUMMYFUNCTION("""COMPUTED_VALUE"""),"AB001148")</f>
        <v>AB001148</v>
      </c>
      <c r="B620" s="205">
        <f ca="1">IFERROR(__xludf.DUMMYFUNCTION("""COMPUTED_VALUE"""),43579)</f>
        <v>43579</v>
      </c>
      <c r="C620" t="str">
        <f ca="1">IFERROR(__xludf.DUMMYFUNCTION("""COMPUTED_VALUE"""),"PA000034")</f>
        <v>PA000034</v>
      </c>
      <c r="D620" t="str">
        <f ca="1">IFERROR(__xludf.DUMMYFUNCTION("""COMPUTED_VALUE"""),"PA000034")</f>
        <v>PA000034</v>
      </c>
    </row>
    <row r="621" spans="1:4" ht="15" customHeight="1">
      <c r="A621" s="206" t="str">
        <f ca="1">IFERROR(__xludf.DUMMYFUNCTION("""COMPUTED_VALUE"""),"AB001148")</f>
        <v>AB001148</v>
      </c>
      <c r="B621" s="205">
        <f ca="1">IFERROR(__xludf.DUMMYFUNCTION("""COMPUTED_VALUE"""),43579)</f>
        <v>43579</v>
      </c>
      <c r="C621" t="str">
        <f ca="1">IFERROR(__xludf.DUMMYFUNCTION("""COMPUTED_VALUE"""),"PA000107")</f>
        <v>PA000107</v>
      </c>
      <c r="D621" t="str">
        <f ca="1">IFERROR(__xludf.DUMMYFUNCTION("""COMPUTED_VALUE"""),"PA000107")</f>
        <v>PA000107</v>
      </c>
    </row>
    <row r="622" spans="1:4" ht="15" customHeight="1">
      <c r="A622" s="206" t="str">
        <f ca="1">IFERROR(__xludf.DUMMYFUNCTION("""COMPUTED_VALUE"""),"PA000064")</f>
        <v>PA000064</v>
      </c>
      <c r="B622" s="205">
        <f ca="1">IFERROR(__xludf.DUMMYFUNCTION("""COMPUTED_VALUE"""),43579)</f>
        <v>43579</v>
      </c>
      <c r="C622" t="str">
        <f ca="1">IFERROR(__xludf.DUMMYFUNCTION("""COMPUTED_VALUE"""),"PA000107")</f>
        <v>PA000107</v>
      </c>
      <c r="D622" t="str">
        <f ca="1">IFERROR(__xludf.DUMMYFUNCTION("""COMPUTED_VALUE"""),"PA000107")</f>
        <v>PA000107</v>
      </c>
    </row>
    <row r="623" spans="1:4" ht="15" customHeight="1">
      <c r="A623" s="206" t="str">
        <f ca="1">IFERROR(__xludf.DUMMYFUNCTION("""COMPUTED_VALUE"""),"AB001029")</f>
        <v>AB001029</v>
      </c>
      <c r="B623" s="205">
        <f ca="1">IFERROR(__xludf.DUMMYFUNCTION("""COMPUTED_VALUE"""),43579)</f>
        <v>43579</v>
      </c>
      <c r="C623" t="str">
        <f ca="1">IFERROR(__xludf.DUMMYFUNCTION("""COMPUTED_VALUE"""),"PA000035")</f>
        <v>PA000035</v>
      </c>
      <c r="D623" t="str">
        <f ca="1">IFERROR(__xludf.DUMMYFUNCTION("""COMPUTED_VALUE"""),"PA000035")</f>
        <v>PA000035</v>
      </c>
    </row>
    <row r="624" spans="1:4" ht="15" customHeight="1">
      <c r="A624" s="206" t="str">
        <f ca="1">IFERROR(__xludf.DUMMYFUNCTION("""COMPUTED_VALUE"""),"AB001072")</f>
        <v>AB001072</v>
      </c>
      <c r="B624" s="205">
        <f ca="1">IFERROR(__xludf.DUMMYFUNCTION("""COMPUTED_VALUE"""),43584)</f>
        <v>43584</v>
      </c>
      <c r="C624" t="str">
        <f ca="1">IFERROR(__xludf.DUMMYFUNCTION("""COMPUTED_VALUE"""),"PA000109")</f>
        <v>PA000109</v>
      </c>
      <c r="D624" t="str">
        <f ca="1">IFERROR(__xludf.DUMMYFUNCTION("""COMPUTED_VALUE"""),"PA000109")</f>
        <v>PA000109</v>
      </c>
    </row>
    <row r="625" spans="1:4" ht="15" customHeight="1">
      <c r="A625" s="206" t="str">
        <f ca="1">IFERROR(__xludf.DUMMYFUNCTION("""COMPUTED_VALUE"""),"AB001032")</f>
        <v>AB001032</v>
      </c>
      <c r="B625" s="205">
        <f ca="1">IFERROR(__xludf.DUMMYFUNCTION("""COMPUTED_VALUE"""),43581)</f>
        <v>43581</v>
      </c>
      <c r="C625" t="str">
        <f ca="1">IFERROR(__xludf.DUMMYFUNCTION("""COMPUTED_VALUE"""),"PA000108")</f>
        <v>PA000108</v>
      </c>
      <c r="D625" t="str">
        <f ca="1">IFERROR(__xludf.DUMMYFUNCTION("""COMPUTED_VALUE"""),"PA000108")</f>
        <v>PA000108</v>
      </c>
    </row>
    <row r="626" spans="1:4" ht="15" customHeight="1">
      <c r="A626" s="206" t="str">
        <f ca="1">IFERROR(__xludf.DUMMYFUNCTION("""COMPUTED_VALUE"""),"AB001202")</f>
        <v>AB001202</v>
      </c>
      <c r="B626" s="205">
        <f ca="1">IFERROR(__xludf.DUMMYFUNCTION("""COMPUTED_VALUE"""),43581)</f>
        <v>43581</v>
      </c>
      <c r="C626" t="str">
        <f ca="1">IFERROR(__xludf.DUMMYFUNCTION("""COMPUTED_VALUE"""),"PA000110")</f>
        <v>PA000110</v>
      </c>
      <c r="D626" t="str">
        <f ca="1">IFERROR(__xludf.DUMMYFUNCTION("""COMPUTED_VALUE"""),"PA000110")</f>
        <v>PA000110</v>
      </c>
    </row>
    <row r="627" spans="1:4" ht="15" customHeight="1">
      <c r="A627" s="206" t="str">
        <f ca="1">IFERROR(__xludf.DUMMYFUNCTION("""COMPUTED_VALUE"""),"10705-0074")</f>
        <v>10705-0074</v>
      </c>
      <c r="B627" s="205">
        <f ca="1">IFERROR(__xludf.DUMMYFUNCTION("""COMPUTED_VALUE"""),43558)</f>
        <v>43558</v>
      </c>
      <c r="C627" t="str">
        <f ca="1">IFERROR(__xludf.DUMMYFUNCTION("""COMPUTED_VALUE"""),"PA000111")</f>
        <v>PA000111</v>
      </c>
      <c r="D627" t="str">
        <f ca="1">IFERROR(__xludf.DUMMYFUNCTION("""COMPUTED_VALUE"""),"PA000111")</f>
        <v>PA000111</v>
      </c>
    </row>
    <row r="628" spans="1:4" ht="15" customHeight="1">
      <c r="A628" s="206" t="str">
        <f ca="1">IFERROR(__xludf.DUMMYFUNCTION("""COMPUTED_VALUE"""),"10705-0074")</f>
        <v>10705-0074</v>
      </c>
      <c r="B628" s="205">
        <f ca="1">IFERROR(__xludf.DUMMYFUNCTION("""COMPUTED_VALUE"""),43558)</f>
        <v>43558</v>
      </c>
      <c r="C628" t="str">
        <f ca="1">IFERROR(__xludf.DUMMYFUNCTION("""COMPUTED_VALUE"""),"PA000071")</f>
        <v>PA000071</v>
      </c>
      <c r="D628" t="str">
        <f ca="1">IFERROR(__xludf.DUMMYFUNCTION("""COMPUTED_VALUE"""),"PA000071")</f>
        <v>PA000071</v>
      </c>
    </row>
    <row r="629" spans="1:4" ht="15" customHeight="1">
      <c r="A629" s="205" t="str">
        <f ca="1">IFERROR(__xludf.DUMMYFUNCTION("""COMPUTED_VALUE"""),"AA001425")</f>
        <v>AA001425</v>
      </c>
      <c r="B629" s="205">
        <f ca="1">IFERROR(__xludf.DUMMYFUNCTION("""COMPUTED_VALUE"""),43581)</f>
        <v>43581</v>
      </c>
      <c r="C629" t="str">
        <f ca="1">IFERROR(__xludf.DUMMYFUNCTION("""COMPUTED_VALUE"""),"PA000036")</f>
        <v>PA000036</v>
      </c>
      <c r="D629" t="str">
        <f ca="1">IFERROR(__xludf.DUMMYFUNCTION("""COMPUTED_VALUE"""),"PA000036")</f>
        <v>PA000036</v>
      </c>
    </row>
    <row r="630" spans="1:4" ht="15" customHeight="1">
      <c r="A630" s="206" t="str">
        <f ca="1">IFERROR(__xludf.DUMMYFUNCTION("""COMPUTED_VALUE"""),"AA001934")</f>
        <v>AA001934</v>
      </c>
      <c r="B630" s="205">
        <f ca="1">IFERROR(__xludf.DUMMYFUNCTION("""COMPUTED_VALUE"""),43584)</f>
        <v>43584</v>
      </c>
      <c r="C630" t="str">
        <f ca="1">IFERROR(__xludf.DUMMYFUNCTION("""COMPUTED_VALUE"""),"PA000036")</f>
        <v>PA000036</v>
      </c>
      <c r="D630" t="str">
        <f ca="1">IFERROR(__xludf.DUMMYFUNCTION("""COMPUTED_VALUE"""),"PA000036")</f>
        <v>PA000036</v>
      </c>
    </row>
    <row r="631" spans="1:4" ht="15" customHeight="1">
      <c r="A631" s="206" t="str">
        <f ca="1">IFERROR(__xludf.DUMMYFUNCTION("""COMPUTED_VALUE"""),"AB001204")</f>
        <v>AB001204</v>
      </c>
      <c r="B631" s="205">
        <f ca="1">IFERROR(__xludf.DUMMYFUNCTION("""COMPUTED_VALUE"""),43584)</f>
        <v>43584</v>
      </c>
      <c r="C631" t="str">
        <f ca="1">IFERROR(__xludf.DUMMYFUNCTION("""COMPUTED_VALUE"""),"PA000036")</f>
        <v>PA000036</v>
      </c>
      <c r="D631" t="str">
        <f ca="1">IFERROR(__xludf.DUMMYFUNCTION("""COMPUTED_VALUE"""),"PA000036")</f>
        <v>PA000036</v>
      </c>
    </row>
    <row r="632" spans="1:4" ht="15" customHeight="1">
      <c r="A632" s="206" t="str">
        <f ca="1">IFERROR(__xludf.DUMMYFUNCTION("""COMPUTED_VALUE"""),"AB001203")</f>
        <v>AB001203</v>
      </c>
      <c r="B632" s="205">
        <f ca="1">IFERROR(__xludf.DUMMYFUNCTION("""COMPUTED_VALUE"""),43584)</f>
        <v>43584</v>
      </c>
      <c r="C632" t="str">
        <f ca="1">IFERROR(__xludf.DUMMYFUNCTION("""COMPUTED_VALUE"""),"PA000112")</f>
        <v>PA000112</v>
      </c>
      <c r="D632" t="str">
        <f ca="1">IFERROR(__xludf.DUMMYFUNCTION("""COMPUTED_VALUE"""),"PA000112")</f>
        <v>PA000112</v>
      </c>
    </row>
    <row r="633" spans="1:4" ht="15" customHeight="1">
      <c r="A633" s="206" t="str">
        <f ca="1">IFERROR(__xludf.DUMMYFUNCTION("""COMPUTED_VALUE"""),"AB001073")</f>
        <v>AB001073</v>
      </c>
      <c r="B633" s="205">
        <f ca="1">IFERROR(__xludf.DUMMYFUNCTION("""COMPUTED_VALUE"""),43585)</f>
        <v>43585</v>
      </c>
      <c r="C633" t="str">
        <f ca="1">IFERROR(__xludf.DUMMYFUNCTION("""COMPUTED_VALUE"""),"PA000112")</f>
        <v>PA000112</v>
      </c>
      <c r="D633" t="str">
        <f ca="1">IFERROR(__xludf.DUMMYFUNCTION("""COMPUTED_VALUE"""),"PA000112")</f>
        <v>PA000112</v>
      </c>
    </row>
    <row r="634" spans="1:4" ht="15" customHeight="1">
      <c r="A634" s="207" t="str">
        <f ca="1">IFERROR(__xludf.DUMMYFUNCTION("""COMPUTED_VALUE"""),"AB001074")</f>
        <v>AB001074</v>
      </c>
      <c r="B634" s="205">
        <f ca="1">IFERROR(__xludf.DUMMYFUNCTION("""COMPUTED_VALUE"""),43585)</f>
        <v>43585</v>
      </c>
      <c r="C634" t="str">
        <f ca="1">IFERROR(__xludf.DUMMYFUNCTION("""COMPUTED_VALUE"""),"PA000106")</f>
        <v>PA000106</v>
      </c>
      <c r="D634" t="str">
        <f ca="1">IFERROR(__xludf.DUMMYFUNCTION("""COMPUTED_VALUE"""),"PA000106")</f>
        <v>PA000106</v>
      </c>
    </row>
    <row r="635" spans="1:4" ht="15" customHeight="1">
      <c r="A635" s="207" t="str">
        <f ca="1">IFERROR(__xludf.DUMMYFUNCTION("""COMPUTED_VALUE"""),"AB001033")</f>
        <v>AB001033</v>
      </c>
      <c r="B635" s="205">
        <f ca="1">IFERROR(__xludf.DUMMYFUNCTION("""COMPUTED_VALUE"""),43585)</f>
        <v>43585</v>
      </c>
      <c r="C635" t="str">
        <f ca="1">IFERROR(__xludf.DUMMYFUNCTION("""COMPUTED_VALUE"""),"PA000114")</f>
        <v>PA000114</v>
      </c>
      <c r="D635" t="str">
        <f ca="1">IFERROR(__xludf.DUMMYFUNCTION("""COMPUTED_VALUE"""),"PA000114")</f>
        <v>PA000114</v>
      </c>
    </row>
    <row r="636" spans="1:4" ht="15" customHeight="1">
      <c r="A636" s="207" t="str">
        <f ca="1">IFERROR(__xludf.DUMMYFUNCTION("""COMPUTED_VALUE"""),"AB001034")</f>
        <v>AB001034</v>
      </c>
      <c r="B636" s="205">
        <f ca="1">IFERROR(__xludf.DUMMYFUNCTION("""COMPUTED_VALUE"""),43585)</f>
        <v>43585</v>
      </c>
      <c r="C636" t="str">
        <f ca="1">IFERROR(__xludf.DUMMYFUNCTION("""COMPUTED_VALUE"""),"PA000114")</f>
        <v>PA000114</v>
      </c>
      <c r="D636" t="str">
        <f ca="1">IFERROR(__xludf.DUMMYFUNCTION("""COMPUTED_VALUE"""),"PA000114")</f>
        <v>PA000114</v>
      </c>
    </row>
    <row r="637" spans="1:4" ht="15" customHeight="1">
      <c r="A637" s="206" t="str">
        <f ca="1">IFERROR(__xludf.DUMMYFUNCTION("""COMPUTED_VALUE"""),"AB001035")</f>
        <v>AB001035</v>
      </c>
      <c r="B637" s="205">
        <f ca="1">IFERROR(__xludf.DUMMYFUNCTION("""COMPUTED_VALUE"""),43585)</f>
        <v>43585</v>
      </c>
      <c r="C637" t="str">
        <f ca="1">IFERROR(__xludf.DUMMYFUNCTION("""COMPUTED_VALUE"""),"PA000115")</f>
        <v>PA000115</v>
      </c>
      <c r="D637" t="str">
        <f ca="1">IFERROR(__xludf.DUMMYFUNCTION("""COMPUTED_VALUE"""),"PA000115")</f>
        <v>PA000115</v>
      </c>
    </row>
    <row r="638" spans="1:4" ht="15" customHeight="1">
      <c r="A638" s="206" t="str">
        <f ca="1">IFERROR(__xludf.DUMMYFUNCTION("""COMPUTED_VALUE"""),"AB001076-1")</f>
        <v>AB001076-1</v>
      </c>
      <c r="B638" s="205">
        <f ca="1">IFERROR(__xludf.DUMMYFUNCTION("""COMPUTED_VALUE"""),43585)</f>
        <v>43585</v>
      </c>
      <c r="C638" t="str">
        <f ca="1">IFERROR(__xludf.DUMMYFUNCTION("""COMPUTED_VALUE"""),"PA000115")</f>
        <v>PA000115</v>
      </c>
      <c r="D638" t="str">
        <f ca="1">IFERROR(__xludf.DUMMYFUNCTION("""COMPUTED_VALUE"""),"PA000115")</f>
        <v>PA000115</v>
      </c>
    </row>
    <row r="639" spans="1:4" ht="15" customHeight="1">
      <c r="A639" s="206" t="str">
        <f ca="1">IFERROR(__xludf.DUMMYFUNCTION("""COMPUTED_VALUE"""),"AB001206")</f>
        <v>AB001206</v>
      </c>
      <c r="B639" s="205">
        <f ca="1">IFERROR(__xludf.DUMMYFUNCTION("""COMPUTED_VALUE"""),43585)</f>
        <v>43585</v>
      </c>
      <c r="C639" t="str">
        <f ca="1">IFERROR(__xludf.DUMMYFUNCTION("""COMPUTED_VALUE"""),"PA000115")</f>
        <v>PA000115</v>
      </c>
      <c r="D639" t="str">
        <f ca="1">IFERROR(__xludf.DUMMYFUNCTION("""COMPUTED_VALUE"""),"PA000115")</f>
        <v>PA000115</v>
      </c>
    </row>
    <row r="640" spans="1:4" ht="15" customHeight="1">
      <c r="A640" s="206" t="str">
        <f ca="1">IFERROR(__xludf.DUMMYFUNCTION("""COMPUTED_VALUE"""),"AB001206")</f>
        <v>AB001206</v>
      </c>
      <c r="B640" s="205">
        <f ca="1">IFERROR(__xludf.DUMMYFUNCTION("""COMPUTED_VALUE"""),43585)</f>
        <v>43585</v>
      </c>
      <c r="C640" t="str">
        <f ca="1">IFERROR(__xludf.DUMMYFUNCTION("""COMPUTED_VALUE"""),"AB001211")</f>
        <v>AB001211</v>
      </c>
      <c r="D640" t="str">
        <f ca="1">IFERROR(__xludf.DUMMYFUNCTION("""COMPUTED_VALUE"""),"AB001211")</f>
        <v>AB001211</v>
      </c>
    </row>
    <row r="641" spans="1:4" ht="15" customHeight="1">
      <c r="A641" s="206" t="str">
        <f ca="1">IFERROR(__xludf.DUMMYFUNCTION("""COMPUTED_VALUE"""),"AB001036")</f>
        <v>AB001036</v>
      </c>
      <c r="B641" s="205">
        <f ca="1">IFERROR(__xludf.DUMMYFUNCTION("""COMPUTED_VALUE"""),43585)</f>
        <v>43585</v>
      </c>
      <c r="C641" t="str">
        <f ca="1">IFERROR(__xludf.DUMMYFUNCTION("""COMPUTED_VALUE"""),"AB001211")</f>
        <v>AB001211</v>
      </c>
      <c r="D641" t="str">
        <f ca="1">IFERROR(__xludf.DUMMYFUNCTION("""COMPUTED_VALUE"""),"AB001211")</f>
        <v>AB001211</v>
      </c>
    </row>
    <row r="642" spans="1:4" ht="15" customHeight="1">
      <c r="A642" s="206" t="str">
        <f ca="1">IFERROR(__xludf.DUMMYFUNCTION("""COMPUTED_VALUE"""),"AB000155")</f>
        <v>AB000155</v>
      </c>
      <c r="B642" s="205">
        <f ca="1">IFERROR(__xludf.DUMMYFUNCTION("""COMPUTED_VALUE"""),43585)</f>
        <v>43585</v>
      </c>
      <c r="C642" t="str">
        <f ca="1">IFERROR(__xludf.DUMMYFUNCTION("""COMPUTED_VALUE"""),"PA000072")</f>
        <v>PA000072</v>
      </c>
      <c r="D642" t="str">
        <f ca="1">IFERROR(__xludf.DUMMYFUNCTION("""COMPUTED_VALUE"""),"PA000072")</f>
        <v>PA000072</v>
      </c>
    </row>
    <row r="643" spans="1:4" ht="15" customHeight="1">
      <c r="A643" s="206" t="str">
        <f ca="1">IFERROR(__xludf.DUMMYFUNCTION("""COMPUTED_VALUE"""),"AB000155")</f>
        <v>AB000155</v>
      </c>
      <c r="B643" s="205">
        <f ca="1">IFERROR(__xludf.DUMMYFUNCTION("""COMPUTED_VALUE"""),43585)</f>
        <v>43585</v>
      </c>
      <c r="C643" t="str">
        <f ca="1">IFERROR(__xludf.DUMMYFUNCTION("""COMPUTED_VALUE"""),"PA000072")</f>
        <v>PA000072</v>
      </c>
      <c r="D643" t="str">
        <f ca="1">IFERROR(__xludf.DUMMYFUNCTION("""COMPUTED_VALUE"""),"PA000072")</f>
        <v>PA000072</v>
      </c>
    </row>
    <row r="644" spans="1:4" ht="15" customHeight="1">
      <c r="A644" s="206" t="str">
        <f ca="1">IFERROR(__xludf.DUMMYFUNCTION("""COMPUTED_VALUE"""),"AB001058")</f>
        <v>AB001058</v>
      </c>
      <c r="B644" s="205">
        <f ca="1">IFERROR(__xludf.DUMMYFUNCTION("""COMPUTED_VALUE"""),43588)</f>
        <v>43588</v>
      </c>
      <c r="C644" t="str">
        <f ca="1">IFERROR(__xludf.DUMMYFUNCTION("""COMPUTED_VALUE"""),"PA000072")</f>
        <v>PA000072</v>
      </c>
      <c r="D644" t="str">
        <f ca="1">IFERROR(__xludf.DUMMYFUNCTION("""COMPUTED_VALUE"""),"PA000072")</f>
        <v>PA000072</v>
      </c>
    </row>
    <row r="645" spans="1:4" ht="15" customHeight="1">
      <c r="A645" s="206" t="str">
        <f ca="1">IFERROR(__xludf.DUMMYFUNCTION("""COMPUTED_VALUE"""),"AB001059")</f>
        <v>AB001059</v>
      </c>
      <c r="B645" s="205">
        <f ca="1">IFERROR(__xludf.DUMMYFUNCTION("""COMPUTED_VALUE"""),43587)</f>
        <v>43587</v>
      </c>
      <c r="C645" t="str">
        <f ca="1">IFERROR(__xludf.DUMMYFUNCTION("""COMPUTED_VALUE"""),"PA000072")</f>
        <v>PA000072</v>
      </c>
      <c r="D645" t="str">
        <f ca="1">IFERROR(__xludf.DUMMYFUNCTION("""COMPUTED_VALUE"""),"PA000072")</f>
        <v>PA000072</v>
      </c>
    </row>
    <row r="646" spans="1:4" ht="15" customHeight="1">
      <c r="A646" s="206" t="str">
        <f ca="1">IFERROR(__xludf.DUMMYFUNCTION("""COMPUTED_VALUE"""),"AB001133")</f>
        <v>AB001133</v>
      </c>
      <c r="B646" s="205">
        <f ca="1">IFERROR(__xludf.DUMMYFUNCTION("""COMPUTED_VALUE"""),43588)</f>
        <v>43588</v>
      </c>
      <c r="C646" t="str">
        <f ca="1">IFERROR(__xludf.DUMMYFUNCTION("""COMPUTED_VALUE"""),"PA000072")</f>
        <v>PA000072</v>
      </c>
      <c r="D646" t="str">
        <f ca="1">IFERROR(__xludf.DUMMYFUNCTION("""COMPUTED_VALUE"""),"PA000072")</f>
        <v>PA000072</v>
      </c>
    </row>
    <row r="647" spans="1:4" ht="15" customHeight="1">
      <c r="A647" s="206" t="str">
        <f ca="1">IFERROR(__xludf.DUMMYFUNCTION("""COMPUTED_VALUE"""),"AB001037")</f>
        <v>AB001037</v>
      </c>
      <c r="B647" s="205">
        <f ca="1">IFERROR(__xludf.DUMMYFUNCTION("""COMPUTED_VALUE"""),43588)</f>
        <v>43588</v>
      </c>
      <c r="C647" t="str">
        <f ca="1">IFERROR(__xludf.DUMMYFUNCTION("""COMPUTED_VALUE"""),"PA000073")</f>
        <v>PA000073</v>
      </c>
      <c r="D647" t="str">
        <f ca="1">IFERROR(__xludf.DUMMYFUNCTION("""COMPUTED_VALUE"""),"PA000073")</f>
        <v>PA000073</v>
      </c>
    </row>
    <row r="648" spans="1:4" ht="15" customHeight="1">
      <c r="A648" s="206" t="str">
        <f ca="1">IFERROR(__xludf.DUMMYFUNCTION("""COMPUTED_VALUE"""),"AB001077-1")</f>
        <v>AB001077-1</v>
      </c>
      <c r="B648" s="205">
        <f ca="1">IFERROR(__xludf.DUMMYFUNCTION("""COMPUTED_VALUE"""),43588)</f>
        <v>43588</v>
      </c>
      <c r="C648" t="str">
        <f ca="1">IFERROR(__xludf.DUMMYFUNCTION("""COMPUTED_VALUE"""),"PA000074")</f>
        <v>PA000074</v>
      </c>
      <c r="D648" t="str">
        <f ca="1">IFERROR(__xludf.DUMMYFUNCTION("""COMPUTED_VALUE"""),"PA000074")</f>
        <v>PA000074</v>
      </c>
    </row>
    <row r="649" spans="1:4" ht="15" customHeight="1">
      <c r="A649" s="206" t="str">
        <f ca="1">IFERROR(__xludf.DUMMYFUNCTION("""COMPUTED_VALUE"""),"AB001207")</f>
        <v>AB001207</v>
      </c>
      <c r="B649" s="205">
        <f ca="1">IFERROR(__xludf.DUMMYFUNCTION("""COMPUTED_VALUE"""),43589)</f>
        <v>43589</v>
      </c>
      <c r="C649" t="str">
        <f ca="1">IFERROR(__xludf.DUMMYFUNCTION("""COMPUTED_VALUE"""),"PA000126")</f>
        <v>PA000126</v>
      </c>
      <c r="D649" t="str">
        <f ca="1">IFERROR(__xludf.DUMMYFUNCTION("""COMPUTED_VALUE"""),"PA000126")</f>
        <v>PA000126</v>
      </c>
    </row>
    <row r="650" spans="1:4" ht="15" customHeight="1">
      <c r="A650" s="206" t="str">
        <f ca="1">IFERROR(__xludf.DUMMYFUNCTION("""COMPUTED_VALUE"""),"AB001078")</f>
        <v>AB001078</v>
      </c>
      <c r="B650" s="205">
        <f ca="1">IFERROR(__xludf.DUMMYFUNCTION("""COMPUTED_VALUE"""),43591)</f>
        <v>43591</v>
      </c>
      <c r="C650" t="str">
        <f ca="1">IFERROR(__xludf.DUMMYFUNCTION("""COMPUTED_VALUE"""),"PA000127")</f>
        <v>PA000127</v>
      </c>
      <c r="D650" t="str">
        <f ca="1">IFERROR(__xludf.DUMMYFUNCTION("""COMPUTED_VALUE"""),"PA000127")</f>
        <v>PA000127</v>
      </c>
    </row>
    <row r="651" spans="1:4" ht="15" customHeight="1">
      <c r="A651" s="206" t="str">
        <f ca="1">IFERROR(__xludf.DUMMYFUNCTION("""COMPUTED_VALUE"""),"AB001039")</f>
        <v>AB001039</v>
      </c>
      <c r="B651" s="205">
        <f ca="1">IFERROR(__xludf.DUMMYFUNCTION("""COMPUTED_VALUE"""),43591)</f>
        <v>43591</v>
      </c>
      <c r="C651" t="str">
        <f ca="1">IFERROR(__xludf.DUMMYFUNCTION("""COMPUTED_VALUE"""),"PA000076")</f>
        <v>PA000076</v>
      </c>
      <c r="D651" t="str">
        <f ca="1">IFERROR(__xludf.DUMMYFUNCTION("""COMPUTED_VALUE"""),"PA000076")</f>
        <v>PA000076</v>
      </c>
    </row>
    <row r="652" spans="1:4" ht="15" customHeight="1">
      <c r="A652" s="206" t="str">
        <f ca="1">IFERROR(__xludf.DUMMYFUNCTION("""COMPUTED_VALUE"""),"AB001040")</f>
        <v>AB001040</v>
      </c>
      <c r="B652" s="205">
        <f ca="1">IFERROR(__xludf.DUMMYFUNCTION("""COMPUTED_VALUE"""),43593)</f>
        <v>43593</v>
      </c>
      <c r="C652" t="str">
        <f ca="1">IFERROR(__xludf.DUMMYFUNCTION("""COMPUTED_VALUE"""),"PA000128")</f>
        <v>PA000128</v>
      </c>
      <c r="D652" t="str">
        <f ca="1">IFERROR(__xludf.DUMMYFUNCTION("""COMPUTED_VALUE"""),"PA000128")</f>
        <v>PA000128</v>
      </c>
    </row>
    <row r="653" spans="1:4" ht="15" customHeight="1">
      <c r="A653" s="206" t="str">
        <f ca="1">IFERROR(__xludf.DUMMYFUNCTION("""COMPUTED_VALUE"""),"AB001040")</f>
        <v>AB001040</v>
      </c>
      <c r="B653" s="205">
        <f ca="1">IFERROR(__xludf.DUMMYFUNCTION("""COMPUTED_VALUE"""),43593)</f>
        <v>43593</v>
      </c>
      <c r="C653" t="str">
        <f ca="1">IFERROR(__xludf.DUMMYFUNCTION("""COMPUTED_VALUE"""),"PA000077")</f>
        <v>PA000077</v>
      </c>
      <c r="D653" t="str">
        <f ca="1">IFERROR(__xludf.DUMMYFUNCTION("""COMPUTED_VALUE"""),"PA000077")</f>
        <v>PA000077</v>
      </c>
    </row>
    <row r="654" spans="1:4" ht="15" customHeight="1">
      <c r="A654" s="206" t="str">
        <f ca="1">IFERROR(__xludf.DUMMYFUNCTION("""COMPUTED_VALUE"""),"AB001040")</f>
        <v>AB001040</v>
      </c>
      <c r="B654" s="205">
        <f ca="1">IFERROR(__xludf.DUMMYFUNCTION("""COMPUTED_VALUE"""),43593)</f>
        <v>43593</v>
      </c>
      <c r="C654" t="str">
        <f ca="1">IFERROR(__xludf.DUMMYFUNCTION("""COMPUTED_VALUE"""),"PA000129")</f>
        <v>PA000129</v>
      </c>
      <c r="D654" t="str">
        <f ca="1">IFERROR(__xludf.DUMMYFUNCTION("""COMPUTED_VALUE"""),"PA000129")</f>
        <v>PA000129</v>
      </c>
    </row>
    <row r="655" spans="1:4" ht="15" customHeight="1">
      <c r="A655" s="206" t="str">
        <f ca="1">IFERROR(__xludf.DUMMYFUNCTION("""COMPUTED_VALUE"""),"AB001040")</f>
        <v>AB001040</v>
      </c>
      <c r="B655" s="205">
        <f ca="1">IFERROR(__xludf.DUMMYFUNCTION("""COMPUTED_VALUE"""),43593)</f>
        <v>43593</v>
      </c>
      <c r="C655" t="str">
        <f ca="1">IFERROR(__xludf.DUMMYFUNCTION("""COMPUTED_VALUE"""),"PA000078")</f>
        <v>PA000078</v>
      </c>
      <c r="D655" t="str">
        <f ca="1">IFERROR(__xludf.DUMMYFUNCTION("""COMPUTED_VALUE"""),"PA000078")</f>
        <v>PA000078</v>
      </c>
    </row>
    <row r="656" spans="1:4" ht="15" customHeight="1">
      <c r="A656" s="206" t="str">
        <f ca="1">IFERROR(__xludf.DUMMYFUNCTION("""COMPUTED_VALUE"""),"AB001040")</f>
        <v>AB001040</v>
      </c>
      <c r="B656" s="205">
        <f ca="1">IFERROR(__xludf.DUMMYFUNCTION("""COMPUTED_VALUE"""),43593)</f>
        <v>43593</v>
      </c>
      <c r="C656" t="str">
        <f ca="1">IFERROR(__xludf.DUMMYFUNCTION("""COMPUTED_VALUE"""),"PA000151")</f>
        <v>PA000151</v>
      </c>
      <c r="D656" t="str">
        <f ca="1">IFERROR(__xludf.DUMMYFUNCTION("""COMPUTED_VALUE"""),"PA000151")</f>
        <v>PA000151</v>
      </c>
    </row>
    <row r="657" spans="1:4" ht="15" customHeight="1">
      <c r="A657" s="206" t="str">
        <f ca="1">IFERROR(__xludf.DUMMYFUNCTION("""COMPUTED_VALUE"""),"AB001040")</f>
        <v>AB001040</v>
      </c>
      <c r="B657" s="205">
        <f ca="1">IFERROR(__xludf.DUMMYFUNCTION("""COMPUTED_VALUE"""),43593)</f>
        <v>43593</v>
      </c>
      <c r="C657" t="str">
        <f ca="1">IFERROR(__xludf.DUMMYFUNCTION("""COMPUTED_VALUE"""),"PA000079")</f>
        <v>PA000079</v>
      </c>
      <c r="D657" t="str">
        <f ca="1">IFERROR(__xludf.DUMMYFUNCTION("""COMPUTED_VALUE"""),"PA000079")</f>
        <v>PA000079</v>
      </c>
    </row>
    <row r="658" spans="1:4" ht="15" customHeight="1">
      <c r="A658" s="206" t="str">
        <f ca="1">IFERROR(__xludf.DUMMYFUNCTION("""COMPUTED_VALUE"""),"AB001040")</f>
        <v>AB001040</v>
      </c>
      <c r="B658" s="205">
        <f ca="1">IFERROR(__xludf.DUMMYFUNCTION("""COMPUTED_VALUE"""),43593)</f>
        <v>43593</v>
      </c>
      <c r="C658" t="str">
        <f ca="1">IFERROR(__xludf.DUMMYFUNCTION("""COMPUTED_VALUE"""),"PA000131")</f>
        <v>PA000131</v>
      </c>
      <c r="D658" t="str">
        <f ca="1">IFERROR(__xludf.DUMMYFUNCTION("""COMPUTED_VALUE"""),"PA000131")</f>
        <v>PA000131</v>
      </c>
    </row>
    <row r="659" spans="1:4" ht="15" customHeight="1">
      <c r="A659" s="206" t="str">
        <f ca="1">IFERROR(__xludf.DUMMYFUNCTION("""COMPUTED_VALUE"""),"AB001040")</f>
        <v>AB001040</v>
      </c>
      <c r="B659" s="205">
        <f ca="1">IFERROR(__xludf.DUMMYFUNCTION("""COMPUTED_VALUE"""),43593)</f>
        <v>43593</v>
      </c>
      <c r="C659" t="str">
        <f ca="1">IFERROR(__xludf.DUMMYFUNCTION("""COMPUTED_VALUE"""),"PA000152")</f>
        <v>PA000152</v>
      </c>
      <c r="D659" t="str">
        <f ca="1">IFERROR(__xludf.DUMMYFUNCTION("""COMPUTED_VALUE"""),"PA000152")</f>
        <v>PA000152</v>
      </c>
    </row>
    <row r="660" spans="1:4" ht="15" customHeight="1">
      <c r="A660" s="206" t="str">
        <f ca="1">IFERROR(__xludf.DUMMYFUNCTION("""COMPUTED_VALUE"""),"AB001040")</f>
        <v>AB001040</v>
      </c>
      <c r="B660" s="205">
        <f ca="1">IFERROR(__xludf.DUMMYFUNCTION("""COMPUTED_VALUE"""),43593)</f>
        <v>43593</v>
      </c>
      <c r="C660" t="str">
        <f ca="1">IFERROR(__xludf.DUMMYFUNCTION("""COMPUTED_VALUE"""),"PA000152")</f>
        <v>PA000152</v>
      </c>
      <c r="D660" t="str">
        <f ca="1">IFERROR(__xludf.DUMMYFUNCTION("""COMPUTED_VALUE"""),"PA000152")</f>
        <v>PA000152</v>
      </c>
    </row>
    <row r="661" spans="1:4" ht="15" customHeight="1">
      <c r="A661" s="206" t="str">
        <f ca="1">IFERROR(__xludf.DUMMYFUNCTION("""COMPUTED_VALUE"""),"AB001040")</f>
        <v>AB001040</v>
      </c>
      <c r="B661" s="205">
        <f ca="1">IFERROR(__xludf.DUMMYFUNCTION("""COMPUTED_VALUE"""),43593)</f>
        <v>43593</v>
      </c>
      <c r="C661" t="str">
        <f ca="1">IFERROR(__xludf.DUMMYFUNCTION("""COMPUTED_VALUE"""),"PA000152")</f>
        <v>PA000152</v>
      </c>
      <c r="D661" t="str">
        <f ca="1">IFERROR(__xludf.DUMMYFUNCTION("""COMPUTED_VALUE"""),"PA000152")</f>
        <v>PA000152</v>
      </c>
    </row>
    <row r="662" spans="1:4" ht="15" customHeight="1">
      <c r="A662" s="206" t="str">
        <f ca="1">IFERROR(__xludf.DUMMYFUNCTION("""COMPUTED_VALUE"""),"AB001040")</f>
        <v>AB001040</v>
      </c>
      <c r="B662" s="205">
        <f ca="1">IFERROR(__xludf.DUMMYFUNCTION("""COMPUTED_VALUE"""),43593)</f>
        <v>43593</v>
      </c>
      <c r="C662" t="str">
        <f ca="1">IFERROR(__xludf.DUMMYFUNCTION("""COMPUTED_VALUE"""),"PA000152")</f>
        <v>PA000152</v>
      </c>
      <c r="D662" t="str">
        <f ca="1">IFERROR(__xludf.DUMMYFUNCTION("""COMPUTED_VALUE"""),"PA000152")</f>
        <v>PA000152</v>
      </c>
    </row>
    <row r="663" spans="1:4" ht="15" customHeight="1">
      <c r="A663" s="206" t="str">
        <f ca="1">IFERROR(__xludf.DUMMYFUNCTION("""COMPUTED_VALUE"""),"AB001040")</f>
        <v>AB001040</v>
      </c>
      <c r="B663" s="205">
        <f ca="1">IFERROR(__xludf.DUMMYFUNCTION("""COMPUTED_VALUE"""),43593)</f>
        <v>43593</v>
      </c>
      <c r="C663" t="str">
        <f ca="1">IFERROR(__xludf.DUMMYFUNCTION("""COMPUTED_VALUE"""),"PA000152")</f>
        <v>PA000152</v>
      </c>
      <c r="D663" t="str">
        <f ca="1">IFERROR(__xludf.DUMMYFUNCTION("""COMPUTED_VALUE"""),"PA000152")</f>
        <v>PA000152</v>
      </c>
    </row>
    <row r="664" spans="1:4" ht="15" customHeight="1">
      <c r="A664" s="206" t="str">
        <f ca="1">IFERROR(__xludf.DUMMYFUNCTION("""COMPUTED_VALUE"""),"AB001040")</f>
        <v>AB001040</v>
      </c>
      <c r="B664" s="205">
        <f ca="1">IFERROR(__xludf.DUMMYFUNCTION("""COMPUTED_VALUE"""),43593)</f>
        <v>43593</v>
      </c>
      <c r="C664" t="str">
        <f ca="1">IFERROR(__xludf.DUMMYFUNCTION("""COMPUTED_VALUE"""),"PA000152")</f>
        <v>PA000152</v>
      </c>
      <c r="D664" t="str">
        <f ca="1">IFERROR(__xludf.DUMMYFUNCTION("""COMPUTED_VALUE"""),"PA000152")</f>
        <v>PA000152</v>
      </c>
    </row>
    <row r="665" spans="1:4" ht="15" customHeight="1">
      <c r="A665" s="206" t="str">
        <f ca="1">IFERROR(__xludf.DUMMYFUNCTION("""COMPUTED_VALUE"""),"AB001040")</f>
        <v>AB001040</v>
      </c>
      <c r="B665" s="205">
        <f ca="1">IFERROR(__xludf.DUMMYFUNCTION("""COMPUTED_VALUE"""),43593)</f>
        <v>43593</v>
      </c>
      <c r="C665" t="str">
        <f ca="1">IFERROR(__xludf.DUMMYFUNCTION("""COMPUTED_VALUE"""),"PA000152")</f>
        <v>PA000152</v>
      </c>
      <c r="D665" t="str">
        <f ca="1">IFERROR(__xludf.DUMMYFUNCTION("""COMPUTED_VALUE"""),"PA000152")</f>
        <v>PA000152</v>
      </c>
    </row>
    <row r="666" spans="1:4" ht="15" customHeight="1">
      <c r="A666" s="206" t="str">
        <f ca="1">IFERROR(__xludf.DUMMYFUNCTION("""COMPUTED_VALUE"""),"AB001040")</f>
        <v>AB001040</v>
      </c>
      <c r="B666" s="205">
        <f ca="1">IFERROR(__xludf.DUMMYFUNCTION("""COMPUTED_VALUE"""),43593)</f>
        <v>43593</v>
      </c>
      <c r="C666" t="str">
        <f ca="1">IFERROR(__xludf.DUMMYFUNCTION("""COMPUTED_VALUE"""),"PA000152")</f>
        <v>PA000152</v>
      </c>
      <c r="D666" t="str">
        <f ca="1">IFERROR(__xludf.DUMMYFUNCTION("""COMPUTED_VALUE"""),"PA000152")</f>
        <v>PA000152</v>
      </c>
    </row>
    <row r="667" spans="1:4" ht="15" customHeight="1">
      <c r="A667" s="206" t="str">
        <f ca="1">IFERROR(__xludf.DUMMYFUNCTION("""COMPUTED_VALUE"""),"AB001040")</f>
        <v>AB001040</v>
      </c>
      <c r="B667" s="205">
        <f ca="1">IFERROR(__xludf.DUMMYFUNCTION("""COMPUTED_VALUE"""),43593)</f>
        <v>43593</v>
      </c>
      <c r="C667" t="str">
        <f ca="1">IFERROR(__xludf.DUMMYFUNCTION("""COMPUTED_VALUE"""),"PA000152")</f>
        <v>PA000152</v>
      </c>
      <c r="D667" t="str">
        <f ca="1">IFERROR(__xludf.DUMMYFUNCTION("""COMPUTED_VALUE"""),"PA000152")</f>
        <v>PA000152</v>
      </c>
    </row>
    <row r="668" spans="1:4" ht="15" customHeight="1">
      <c r="A668" s="206" t="str">
        <f ca="1">IFERROR(__xludf.DUMMYFUNCTION("""COMPUTED_VALUE"""),"AB001040")</f>
        <v>AB001040</v>
      </c>
      <c r="B668" s="205">
        <f ca="1">IFERROR(__xludf.DUMMYFUNCTION("""COMPUTED_VALUE"""),43593)</f>
        <v>43593</v>
      </c>
      <c r="C668" t="str">
        <f ca="1">IFERROR(__xludf.DUMMYFUNCTION("""COMPUTED_VALUE"""),"PA000152")</f>
        <v>PA000152</v>
      </c>
      <c r="D668" t="str">
        <f ca="1">IFERROR(__xludf.DUMMYFUNCTION("""COMPUTED_VALUE"""),"PA000152")</f>
        <v>PA000152</v>
      </c>
    </row>
    <row r="669" spans="1:4" ht="15" customHeight="1">
      <c r="A669" s="206" t="str">
        <f ca="1">IFERROR(__xludf.DUMMYFUNCTION("""COMPUTED_VALUE"""),"AB001040")</f>
        <v>AB001040</v>
      </c>
      <c r="B669" s="205">
        <f ca="1">IFERROR(__xludf.DUMMYFUNCTION("""COMPUTED_VALUE"""),43593)</f>
        <v>43593</v>
      </c>
      <c r="C669" t="str">
        <f ca="1">IFERROR(__xludf.DUMMYFUNCTION("""COMPUTED_VALUE"""),"PA000116")</f>
        <v>PA000116</v>
      </c>
      <c r="D669" t="str">
        <f ca="1">IFERROR(__xludf.DUMMYFUNCTION("""COMPUTED_VALUE"""),"PA000116")</f>
        <v>PA000116</v>
      </c>
    </row>
    <row r="670" spans="1:4" ht="15" customHeight="1">
      <c r="A670" s="206" t="str">
        <f ca="1">IFERROR(__xludf.DUMMYFUNCTION("""COMPUTED_VALUE"""),"AB001040")</f>
        <v>AB001040</v>
      </c>
      <c r="B670" s="205">
        <f ca="1">IFERROR(__xludf.DUMMYFUNCTION("""COMPUTED_VALUE"""),43593)</f>
        <v>43593</v>
      </c>
      <c r="C670" t="str">
        <f ca="1">IFERROR(__xludf.DUMMYFUNCTION("""COMPUTED_VALUE"""),"PA000116")</f>
        <v>PA000116</v>
      </c>
      <c r="D670" t="str">
        <f ca="1">IFERROR(__xludf.DUMMYFUNCTION("""COMPUTED_VALUE"""),"PA000116")</f>
        <v>PA000116</v>
      </c>
    </row>
    <row r="671" spans="1:4" ht="15" customHeight="1">
      <c r="A671" s="206" t="str">
        <f ca="1">IFERROR(__xludf.DUMMYFUNCTION("""COMPUTED_VALUE"""),"AB001040")</f>
        <v>AB001040</v>
      </c>
      <c r="B671" s="205">
        <f ca="1">IFERROR(__xludf.DUMMYFUNCTION("""COMPUTED_VALUE"""),43593)</f>
        <v>43593</v>
      </c>
      <c r="C671" t="str">
        <f ca="1">IFERROR(__xludf.DUMMYFUNCTION("""COMPUTED_VALUE"""),"PA000116")</f>
        <v>PA000116</v>
      </c>
      <c r="D671" t="str">
        <f ca="1">IFERROR(__xludf.DUMMYFUNCTION("""COMPUTED_VALUE"""),"PA000116")</f>
        <v>PA000116</v>
      </c>
    </row>
    <row r="672" spans="1:4" ht="15" customHeight="1">
      <c r="A672" s="206" t="str">
        <f ca="1">IFERROR(__xludf.DUMMYFUNCTION("""COMPUTED_VALUE"""),"AB001040")</f>
        <v>AB001040</v>
      </c>
      <c r="B672" s="205">
        <f ca="1">IFERROR(__xludf.DUMMYFUNCTION("""COMPUTED_VALUE"""),43593)</f>
        <v>43593</v>
      </c>
      <c r="C672" t="str">
        <f ca="1">IFERROR(__xludf.DUMMYFUNCTION("""COMPUTED_VALUE"""),"PA000130")</f>
        <v>PA000130</v>
      </c>
      <c r="D672" t="str">
        <f ca="1">IFERROR(__xludf.DUMMYFUNCTION("""COMPUTED_VALUE"""),"PA000130")</f>
        <v>PA000130</v>
      </c>
    </row>
    <row r="673" spans="1:4" ht="15" customHeight="1">
      <c r="A673" s="206" t="str">
        <f ca="1">IFERROR(__xludf.DUMMYFUNCTION("""COMPUTED_VALUE"""),"AB001040")</f>
        <v>AB001040</v>
      </c>
      <c r="B673" s="205">
        <f ca="1">IFERROR(__xludf.DUMMYFUNCTION("""COMPUTED_VALUE"""),43593)</f>
        <v>43593</v>
      </c>
      <c r="C673" t="str">
        <f ca="1">IFERROR(__xludf.DUMMYFUNCTION("""COMPUTED_VALUE"""),"PA000130")</f>
        <v>PA000130</v>
      </c>
      <c r="D673" t="str">
        <f ca="1">IFERROR(__xludf.DUMMYFUNCTION("""COMPUTED_VALUE"""),"PA000130")</f>
        <v>PA000130</v>
      </c>
    </row>
    <row r="674" spans="1:4" ht="15" customHeight="1">
      <c r="A674" s="206" t="str">
        <f ca="1">IFERROR(__xludf.DUMMYFUNCTION("""COMPUTED_VALUE"""),"AB001040")</f>
        <v>AB001040</v>
      </c>
      <c r="B674" s="205">
        <f ca="1">IFERROR(__xludf.DUMMYFUNCTION("""COMPUTED_VALUE"""),43593)</f>
        <v>43593</v>
      </c>
      <c r="C674" t="str">
        <f ca="1">IFERROR(__xludf.DUMMYFUNCTION("""COMPUTED_VALUE"""),"PA000130")</f>
        <v>PA000130</v>
      </c>
      <c r="D674" t="str">
        <f ca="1">IFERROR(__xludf.DUMMYFUNCTION("""COMPUTED_VALUE"""),"PA000130")</f>
        <v>PA000130</v>
      </c>
    </row>
    <row r="675" spans="1:4" ht="15" customHeight="1">
      <c r="A675" s="206" t="str">
        <f ca="1">IFERROR(__xludf.DUMMYFUNCTION("""COMPUTED_VALUE"""),"AB001040")</f>
        <v>AB001040</v>
      </c>
      <c r="B675" s="205">
        <f ca="1">IFERROR(__xludf.DUMMYFUNCTION("""COMPUTED_VALUE"""),43593)</f>
        <v>43593</v>
      </c>
      <c r="C675" t="str">
        <f ca="1">IFERROR(__xludf.DUMMYFUNCTION("""COMPUTED_VALUE"""),"PA000130")</f>
        <v>PA000130</v>
      </c>
      <c r="D675" t="str">
        <f ca="1">IFERROR(__xludf.DUMMYFUNCTION("""COMPUTED_VALUE"""),"PA000130")</f>
        <v>PA000130</v>
      </c>
    </row>
    <row r="676" spans="1:4" ht="15" customHeight="1">
      <c r="A676" s="206" t="str">
        <f ca="1">IFERROR(__xludf.DUMMYFUNCTION("""COMPUTED_VALUE"""),"AB001040")</f>
        <v>AB001040</v>
      </c>
      <c r="B676" s="205">
        <f ca="1">IFERROR(__xludf.DUMMYFUNCTION("""COMPUTED_VALUE"""),43593)</f>
        <v>43593</v>
      </c>
      <c r="C676" t="str">
        <f ca="1">IFERROR(__xludf.DUMMYFUNCTION("""COMPUTED_VALUE"""),"PA000130")</f>
        <v>PA000130</v>
      </c>
      <c r="D676" t="str">
        <f ca="1">IFERROR(__xludf.DUMMYFUNCTION("""COMPUTED_VALUE"""),"PA000130")</f>
        <v>PA000130</v>
      </c>
    </row>
    <row r="677" spans="1:4" ht="15" customHeight="1">
      <c r="A677" s="206" t="str">
        <f ca="1">IFERROR(__xludf.DUMMYFUNCTION("""COMPUTED_VALUE"""),"AB001040")</f>
        <v>AB001040</v>
      </c>
      <c r="B677" s="205">
        <f ca="1">IFERROR(__xludf.DUMMYFUNCTION("""COMPUTED_VALUE"""),43593)</f>
        <v>43593</v>
      </c>
      <c r="C677" t="str">
        <f ca="1">IFERROR(__xludf.DUMMYFUNCTION("""COMPUTED_VALUE"""),"PA000130")</f>
        <v>PA000130</v>
      </c>
      <c r="D677" t="str">
        <f ca="1">IFERROR(__xludf.DUMMYFUNCTION("""COMPUTED_VALUE"""),"PA000130")</f>
        <v>PA000130</v>
      </c>
    </row>
    <row r="678" spans="1:4" ht="15" customHeight="1">
      <c r="A678" s="206" t="str">
        <f ca="1">IFERROR(__xludf.DUMMYFUNCTION("""COMPUTED_VALUE"""),"AB001040")</f>
        <v>AB001040</v>
      </c>
      <c r="B678" s="205">
        <f ca="1">IFERROR(__xludf.DUMMYFUNCTION("""COMPUTED_VALUE"""),43593)</f>
        <v>43593</v>
      </c>
      <c r="C678" t="str">
        <f ca="1">IFERROR(__xludf.DUMMYFUNCTION("""COMPUTED_VALUE"""),"PA000130")</f>
        <v>PA000130</v>
      </c>
      <c r="D678" t="str">
        <f ca="1">IFERROR(__xludf.DUMMYFUNCTION("""COMPUTED_VALUE"""),"PA000130")</f>
        <v>PA000130</v>
      </c>
    </row>
    <row r="679" spans="1:4" ht="15" customHeight="1">
      <c r="A679" s="206" t="str">
        <f ca="1">IFERROR(__xludf.DUMMYFUNCTION("""COMPUTED_VALUE"""),"AB001040")</f>
        <v>AB001040</v>
      </c>
      <c r="B679" s="205">
        <f ca="1">IFERROR(__xludf.DUMMYFUNCTION("""COMPUTED_VALUE"""),43593)</f>
        <v>43593</v>
      </c>
      <c r="C679" t="str">
        <f ca="1">IFERROR(__xludf.DUMMYFUNCTION("""COMPUTED_VALUE"""),"PA000130")</f>
        <v>PA000130</v>
      </c>
      <c r="D679" t="str">
        <f ca="1">IFERROR(__xludf.DUMMYFUNCTION("""COMPUTED_VALUE"""),"PA000130")</f>
        <v>PA000130</v>
      </c>
    </row>
    <row r="680" spans="1:4" ht="15" customHeight="1">
      <c r="A680" s="206" t="str">
        <f ca="1">IFERROR(__xludf.DUMMYFUNCTION("""COMPUTED_VALUE"""),"AB001040")</f>
        <v>AB001040</v>
      </c>
      <c r="B680" s="205">
        <f ca="1">IFERROR(__xludf.DUMMYFUNCTION("""COMPUTED_VALUE"""),43593)</f>
        <v>43593</v>
      </c>
      <c r="C680" t="str">
        <f ca="1">IFERROR(__xludf.DUMMYFUNCTION("""COMPUTED_VALUE"""),"PA000080")</f>
        <v>PA000080</v>
      </c>
      <c r="D680" t="str">
        <f ca="1">IFERROR(__xludf.DUMMYFUNCTION("""COMPUTED_VALUE"""),"PA000080")</f>
        <v>PA000080</v>
      </c>
    </row>
    <row r="681" spans="1:4" ht="15" customHeight="1">
      <c r="A681" s="206" t="str">
        <f ca="1">IFERROR(__xludf.DUMMYFUNCTION("""COMPUTED_VALUE"""),"AB001040")</f>
        <v>AB001040</v>
      </c>
      <c r="B681" s="205">
        <f ca="1">IFERROR(__xludf.DUMMYFUNCTION("""COMPUTED_VALUE"""),43593)</f>
        <v>43593</v>
      </c>
      <c r="C681" t="str">
        <f ca="1">IFERROR(__xludf.DUMMYFUNCTION("""COMPUTED_VALUE"""),"PA000080")</f>
        <v>PA000080</v>
      </c>
      <c r="D681" t="str">
        <f ca="1">IFERROR(__xludf.DUMMYFUNCTION("""COMPUTED_VALUE"""),"PA000080")</f>
        <v>PA000080</v>
      </c>
    </row>
    <row r="682" spans="1:4" ht="15" customHeight="1">
      <c r="A682" s="206" t="str">
        <f ca="1">IFERROR(__xludf.DUMMYFUNCTION("""COMPUTED_VALUE"""),"AB001040")</f>
        <v>AB001040</v>
      </c>
      <c r="B682" s="205">
        <f ca="1">IFERROR(__xludf.DUMMYFUNCTION("""COMPUTED_VALUE"""),43593)</f>
        <v>43593</v>
      </c>
      <c r="C682" t="str">
        <f ca="1">IFERROR(__xludf.DUMMYFUNCTION("""COMPUTED_VALUE"""),"PA000080")</f>
        <v>PA000080</v>
      </c>
      <c r="D682" t="str">
        <f ca="1">IFERROR(__xludf.DUMMYFUNCTION("""COMPUTED_VALUE"""),"PA000080")</f>
        <v>PA000080</v>
      </c>
    </row>
    <row r="683" spans="1:4" ht="15" customHeight="1">
      <c r="A683" s="206" t="str">
        <f ca="1">IFERROR(__xludf.DUMMYFUNCTION("""COMPUTED_VALUE"""),"AB001040")</f>
        <v>AB001040</v>
      </c>
      <c r="B683" s="205">
        <f ca="1">IFERROR(__xludf.DUMMYFUNCTION("""COMPUTED_VALUE"""),43593)</f>
        <v>43593</v>
      </c>
      <c r="C683" t="str">
        <f ca="1">IFERROR(__xludf.DUMMYFUNCTION("""COMPUTED_VALUE"""),"PA000080")</f>
        <v>PA000080</v>
      </c>
      <c r="D683" t="str">
        <f ca="1">IFERROR(__xludf.DUMMYFUNCTION("""COMPUTED_VALUE"""),"PA000080")</f>
        <v>PA000080</v>
      </c>
    </row>
    <row r="684" spans="1:4" ht="15" customHeight="1">
      <c r="A684" s="206" t="str">
        <f ca="1">IFERROR(__xludf.DUMMYFUNCTION("""COMPUTED_VALUE"""),"AB001040")</f>
        <v>AB001040</v>
      </c>
      <c r="B684" s="205">
        <f ca="1">IFERROR(__xludf.DUMMYFUNCTION("""COMPUTED_VALUE"""),43593)</f>
        <v>43593</v>
      </c>
      <c r="C684" t="str">
        <f ca="1">IFERROR(__xludf.DUMMYFUNCTION("""COMPUTED_VALUE"""),"PA000080")</f>
        <v>PA000080</v>
      </c>
      <c r="D684" t="str">
        <f ca="1">IFERROR(__xludf.DUMMYFUNCTION("""COMPUTED_VALUE"""),"PA000080")</f>
        <v>PA000080</v>
      </c>
    </row>
    <row r="685" spans="1:4" ht="15" customHeight="1">
      <c r="A685" s="206" t="str">
        <f ca="1">IFERROR(__xludf.DUMMYFUNCTION("""COMPUTED_VALUE"""),"AB001040")</f>
        <v>AB001040</v>
      </c>
      <c r="B685" s="205">
        <f ca="1">IFERROR(__xludf.DUMMYFUNCTION("""COMPUTED_VALUE"""),43593)</f>
        <v>43593</v>
      </c>
      <c r="C685" t="str">
        <f ca="1">IFERROR(__xludf.DUMMYFUNCTION("""COMPUTED_VALUE"""),"PA000154")</f>
        <v>PA000154</v>
      </c>
      <c r="D685" t="str">
        <f ca="1">IFERROR(__xludf.DUMMYFUNCTION("""COMPUTED_VALUE"""),"PA000154")</f>
        <v>PA000154</v>
      </c>
    </row>
    <row r="686" spans="1:4" ht="15" customHeight="1">
      <c r="A686" s="206" t="str">
        <f ca="1">IFERROR(__xludf.DUMMYFUNCTION("""COMPUTED_VALUE"""),"AB001040")</f>
        <v>AB001040</v>
      </c>
      <c r="B686" s="205">
        <f ca="1">IFERROR(__xludf.DUMMYFUNCTION("""COMPUTED_VALUE"""),43593)</f>
        <v>43593</v>
      </c>
      <c r="C686" t="str">
        <f ca="1">IFERROR(__xludf.DUMMYFUNCTION("""COMPUTED_VALUE"""),"PA000156")</f>
        <v>PA000156</v>
      </c>
      <c r="D686" t="str">
        <f ca="1">IFERROR(__xludf.DUMMYFUNCTION("""COMPUTED_VALUE"""),"PA000156")</f>
        <v>PA000156</v>
      </c>
    </row>
    <row r="687" spans="1:4" ht="15" customHeight="1">
      <c r="A687" s="206" t="str">
        <f ca="1">IFERROR(__xludf.DUMMYFUNCTION("""COMPUTED_VALUE"""),"AB001040")</f>
        <v>AB001040</v>
      </c>
      <c r="B687" s="205">
        <f ca="1">IFERROR(__xludf.DUMMYFUNCTION("""COMPUTED_VALUE"""),43593)</f>
        <v>43593</v>
      </c>
      <c r="C687" t="str">
        <f ca="1">IFERROR(__xludf.DUMMYFUNCTION("""COMPUTED_VALUE"""),"PA000155")</f>
        <v>PA000155</v>
      </c>
      <c r="D687" t="str">
        <f ca="1">IFERROR(__xludf.DUMMYFUNCTION("""COMPUTED_VALUE"""),"PA000155")</f>
        <v>PA000155</v>
      </c>
    </row>
    <row r="688" spans="1:4" ht="15" customHeight="1">
      <c r="A688" s="206" t="str">
        <f ca="1">IFERROR(__xludf.DUMMYFUNCTION("""COMPUTED_VALUE"""),"AB001040")</f>
        <v>AB001040</v>
      </c>
      <c r="B688" s="205">
        <f ca="1">IFERROR(__xludf.DUMMYFUNCTION("""COMPUTED_VALUE"""),43593)</f>
        <v>43593</v>
      </c>
      <c r="C688" t="str">
        <f ca="1">IFERROR(__xludf.DUMMYFUNCTION("""COMPUTED_VALUE"""),"PA000155")</f>
        <v>PA000155</v>
      </c>
      <c r="D688" t="str">
        <f ca="1">IFERROR(__xludf.DUMMYFUNCTION("""COMPUTED_VALUE"""),"PA000155")</f>
        <v>PA000155</v>
      </c>
    </row>
    <row r="689" spans="1:4" ht="15" customHeight="1">
      <c r="A689" s="206" t="str">
        <f ca="1">IFERROR(__xludf.DUMMYFUNCTION("""COMPUTED_VALUE"""),"AB001040")</f>
        <v>AB001040</v>
      </c>
      <c r="B689" s="205">
        <f ca="1">IFERROR(__xludf.DUMMYFUNCTION("""COMPUTED_VALUE"""),43593)</f>
        <v>43593</v>
      </c>
      <c r="C689" t="str">
        <f ca="1">IFERROR(__xludf.DUMMYFUNCTION("""COMPUTED_VALUE"""),"PA000081")</f>
        <v>PA000081</v>
      </c>
      <c r="D689" t="str">
        <f ca="1">IFERROR(__xludf.DUMMYFUNCTION("""COMPUTED_VALUE"""),"PA000081")</f>
        <v>PA000081</v>
      </c>
    </row>
    <row r="690" spans="1:4" ht="15" customHeight="1">
      <c r="A690" s="206" t="str">
        <f ca="1">IFERROR(__xludf.DUMMYFUNCTION("""COMPUTED_VALUE"""),"AB001040")</f>
        <v>AB001040</v>
      </c>
      <c r="B690" s="205">
        <f ca="1">IFERROR(__xludf.DUMMYFUNCTION("""COMPUTED_VALUE"""),43593)</f>
        <v>43593</v>
      </c>
      <c r="C690" t="str">
        <f ca="1">IFERROR(__xludf.DUMMYFUNCTION("""COMPUTED_VALUE"""),"PA000132")</f>
        <v>PA000132</v>
      </c>
      <c r="D690" t="str">
        <f ca="1">IFERROR(__xludf.DUMMYFUNCTION("""COMPUTED_VALUE"""),"PA000132")</f>
        <v>PA000132</v>
      </c>
    </row>
    <row r="691" spans="1:4" ht="15" customHeight="1">
      <c r="A691" s="206" t="str">
        <f ca="1">IFERROR(__xludf.DUMMYFUNCTION("""COMPUTED_VALUE"""),"AB001040")</f>
        <v>AB001040</v>
      </c>
      <c r="B691" s="205">
        <f ca="1">IFERROR(__xludf.DUMMYFUNCTION("""COMPUTED_VALUE"""),43593)</f>
        <v>43593</v>
      </c>
      <c r="C691" t="str">
        <f ca="1">IFERROR(__xludf.DUMMYFUNCTION("""COMPUTED_VALUE"""),"PA000132")</f>
        <v>PA000132</v>
      </c>
      <c r="D691" t="str">
        <f ca="1">IFERROR(__xludf.DUMMYFUNCTION("""COMPUTED_VALUE"""),"PA000132")</f>
        <v>PA000132</v>
      </c>
    </row>
    <row r="692" spans="1:4" ht="15" customHeight="1">
      <c r="A692" s="206" t="str">
        <f ca="1">IFERROR(__xludf.DUMMYFUNCTION("""COMPUTED_VALUE"""),"AB001040")</f>
        <v>AB001040</v>
      </c>
      <c r="B692" s="205">
        <f ca="1">IFERROR(__xludf.DUMMYFUNCTION("""COMPUTED_VALUE"""),43593)</f>
        <v>43593</v>
      </c>
      <c r="C692" t="str">
        <f ca="1">IFERROR(__xludf.DUMMYFUNCTION("""COMPUTED_VALUE"""),"PA000132")</f>
        <v>PA000132</v>
      </c>
      <c r="D692" t="str">
        <f ca="1">IFERROR(__xludf.DUMMYFUNCTION("""COMPUTED_VALUE"""),"PA000132")</f>
        <v>PA000132</v>
      </c>
    </row>
    <row r="693" spans="1:4" ht="15" customHeight="1">
      <c r="A693" s="206" t="str">
        <f ca="1">IFERROR(__xludf.DUMMYFUNCTION("""COMPUTED_VALUE"""),"AB001040")</f>
        <v>AB001040</v>
      </c>
      <c r="B693" s="205">
        <f ca="1">IFERROR(__xludf.DUMMYFUNCTION("""COMPUTED_VALUE"""),43593)</f>
        <v>43593</v>
      </c>
      <c r="C693" t="str">
        <f ca="1">IFERROR(__xludf.DUMMYFUNCTION("""COMPUTED_VALUE"""),"PA000132")</f>
        <v>PA000132</v>
      </c>
      <c r="D693" t="str">
        <f ca="1">IFERROR(__xludf.DUMMYFUNCTION("""COMPUTED_VALUE"""),"PA000132")</f>
        <v>PA000132</v>
      </c>
    </row>
    <row r="694" spans="1:4" ht="15" customHeight="1">
      <c r="A694" s="206" t="str">
        <f ca="1">IFERROR(__xludf.DUMMYFUNCTION("""COMPUTED_VALUE"""),"AB001040")</f>
        <v>AB001040</v>
      </c>
      <c r="B694" s="205">
        <f ca="1">IFERROR(__xludf.DUMMYFUNCTION("""COMPUTED_VALUE"""),43593)</f>
        <v>43593</v>
      </c>
      <c r="C694" t="str">
        <f ca="1">IFERROR(__xludf.DUMMYFUNCTION("""COMPUTED_VALUE"""),"PA000132")</f>
        <v>PA000132</v>
      </c>
      <c r="D694" t="str">
        <f ca="1">IFERROR(__xludf.DUMMYFUNCTION("""COMPUTED_VALUE"""),"PA000132")</f>
        <v>PA000132</v>
      </c>
    </row>
    <row r="695" spans="1:4" ht="15" customHeight="1">
      <c r="A695" s="206" t="str">
        <f ca="1">IFERROR(__xludf.DUMMYFUNCTION("""COMPUTED_VALUE"""),"AB001040")</f>
        <v>AB001040</v>
      </c>
      <c r="B695" s="205">
        <f ca="1">IFERROR(__xludf.DUMMYFUNCTION("""COMPUTED_VALUE"""),43593)</f>
        <v>43593</v>
      </c>
      <c r="C695" t="str">
        <f ca="1">IFERROR(__xludf.DUMMYFUNCTION("""COMPUTED_VALUE"""),"PA000132")</f>
        <v>PA000132</v>
      </c>
      <c r="D695" t="str">
        <f ca="1">IFERROR(__xludf.DUMMYFUNCTION("""COMPUTED_VALUE"""),"PA000132")</f>
        <v>PA000132</v>
      </c>
    </row>
    <row r="696" spans="1:4" ht="15" customHeight="1">
      <c r="A696" s="206" t="str">
        <f ca="1">IFERROR(__xludf.DUMMYFUNCTION("""COMPUTED_VALUE"""),"AB001040")</f>
        <v>AB001040</v>
      </c>
      <c r="B696" s="205">
        <f ca="1">IFERROR(__xludf.DUMMYFUNCTION("""COMPUTED_VALUE"""),43593)</f>
        <v>43593</v>
      </c>
      <c r="C696" t="str">
        <f ca="1">IFERROR(__xludf.DUMMYFUNCTION("""COMPUTED_VALUE"""),"PA000132")</f>
        <v>PA000132</v>
      </c>
      <c r="D696" t="str">
        <f ca="1">IFERROR(__xludf.DUMMYFUNCTION("""COMPUTED_VALUE"""),"PA000132")</f>
        <v>PA000132</v>
      </c>
    </row>
    <row r="697" spans="1:4" ht="15" customHeight="1">
      <c r="A697" s="206" t="str">
        <f ca="1">IFERROR(__xludf.DUMMYFUNCTION("""COMPUTED_VALUE"""),"AB001040")</f>
        <v>AB001040</v>
      </c>
      <c r="B697" s="205">
        <f ca="1">IFERROR(__xludf.DUMMYFUNCTION("""COMPUTED_VALUE"""),43593)</f>
        <v>43593</v>
      </c>
      <c r="C697" t="str">
        <f ca="1">IFERROR(__xludf.DUMMYFUNCTION("""COMPUTED_VALUE"""),"PA000132")</f>
        <v>PA000132</v>
      </c>
      <c r="D697" t="str">
        <f ca="1">IFERROR(__xludf.DUMMYFUNCTION("""COMPUTED_VALUE"""),"PA000132")</f>
        <v>PA000132</v>
      </c>
    </row>
    <row r="698" spans="1:4" ht="15" customHeight="1">
      <c r="A698" s="206" t="str">
        <f ca="1">IFERROR(__xludf.DUMMYFUNCTION("""COMPUTED_VALUE"""),"AB001040")</f>
        <v>AB001040</v>
      </c>
      <c r="B698" s="205">
        <f ca="1">IFERROR(__xludf.DUMMYFUNCTION("""COMPUTED_VALUE"""),43593)</f>
        <v>43593</v>
      </c>
      <c r="C698" t="str">
        <f ca="1">IFERROR(__xludf.DUMMYFUNCTION("""COMPUTED_VALUE"""),"PA000132")</f>
        <v>PA000132</v>
      </c>
      <c r="D698" t="str">
        <f ca="1">IFERROR(__xludf.DUMMYFUNCTION("""COMPUTED_VALUE"""),"PA000132")</f>
        <v>PA000132</v>
      </c>
    </row>
    <row r="699" spans="1:4" ht="15" customHeight="1">
      <c r="A699" s="206" t="str">
        <f ca="1">IFERROR(__xludf.DUMMYFUNCTION("""COMPUTED_VALUE"""),"AB001040")</f>
        <v>AB001040</v>
      </c>
      <c r="B699" s="205">
        <f ca="1">IFERROR(__xludf.DUMMYFUNCTION("""COMPUTED_VALUE"""),43593)</f>
        <v>43593</v>
      </c>
      <c r="C699" t="str">
        <f ca="1">IFERROR(__xludf.DUMMYFUNCTION("""COMPUTED_VALUE"""),"PA000132")</f>
        <v>PA000132</v>
      </c>
      <c r="D699" t="str">
        <f ca="1">IFERROR(__xludf.DUMMYFUNCTION("""COMPUTED_VALUE"""),"PA000132")</f>
        <v>PA000132</v>
      </c>
    </row>
    <row r="700" spans="1:4" ht="15" customHeight="1">
      <c r="A700" s="206" t="str">
        <f ca="1">IFERROR(__xludf.DUMMYFUNCTION("""COMPUTED_VALUE"""),"AB001040")</f>
        <v>AB001040</v>
      </c>
      <c r="B700" s="205">
        <f ca="1">IFERROR(__xludf.DUMMYFUNCTION("""COMPUTED_VALUE"""),43593)</f>
        <v>43593</v>
      </c>
      <c r="C700" t="str">
        <f ca="1">IFERROR(__xludf.DUMMYFUNCTION("""COMPUTED_VALUE"""),"PA000132")</f>
        <v>PA000132</v>
      </c>
      <c r="D700" t="str">
        <f ca="1">IFERROR(__xludf.DUMMYFUNCTION("""COMPUTED_VALUE"""),"PA000132")</f>
        <v>PA000132</v>
      </c>
    </row>
    <row r="701" spans="1:4" ht="15" customHeight="1">
      <c r="A701" s="206" t="str">
        <f ca="1">IFERROR(__xludf.DUMMYFUNCTION("""COMPUTED_VALUE"""),"AB001040")</f>
        <v>AB001040</v>
      </c>
      <c r="B701" s="205">
        <f ca="1">IFERROR(__xludf.DUMMYFUNCTION("""COMPUTED_VALUE"""),43593)</f>
        <v>43593</v>
      </c>
      <c r="C701" t="str">
        <f ca="1">IFERROR(__xludf.DUMMYFUNCTION("""COMPUTED_VALUE"""),"PA000132")</f>
        <v>PA000132</v>
      </c>
      <c r="D701" t="str">
        <f ca="1">IFERROR(__xludf.DUMMYFUNCTION("""COMPUTED_VALUE"""),"PA000132")</f>
        <v>PA000132</v>
      </c>
    </row>
    <row r="702" spans="1:4" ht="15" customHeight="1">
      <c r="A702" s="206" t="str">
        <f ca="1">IFERROR(__xludf.DUMMYFUNCTION("""COMPUTED_VALUE"""),"AB001040")</f>
        <v>AB001040</v>
      </c>
      <c r="B702" s="205">
        <f ca="1">IFERROR(__xludf.DUMMYFUNCTION("""COMPUTED_VALUE"""),43593)</f>
        <v>43593</v>
      </c>
      <c r="C702" t="str">
        <f ca="1">IFERROR(__xludf.DUMMYFUNCTION("""COMPUTED_VALUE"""),"PA000132")</f>
        <v>PA000132</v>
      </c>
      <c r="D702" t="str">
        <f ca="1">IFERROR(__xludf.DUMMYFUNCTION("""COMPUTED_VALUE"""),"PA000132")</f>
        <v>PA000132</v>
      </c>
    </row>
    <row r="703" spans="1:4" ht="15" customHeight="1">
      <c r="A703" s="206" t="str">
        <f ca="1">IFERROR(__xludf.DUMMYFUNCTION("""COMPUTED_VALUE"""),"AB001040")</f>
        <v>AB001040</v>
      </c>
      <c r="B703" s="205">
        <f ca="1">IFERROR(__xludf.DUMMYFUNCTION("""COMPUTED_VALUE"""),43593)</f>
        <v>43593</v>
      </c>
      <c r="C703" t="str">
        <f ca="1">IFERROR(__xludf.DUMMYFUNCTION("""COMPUTED_VALUE"""),"PA000132")</f>
        <v>PA000132</v>
      </c>
      <c r="D703" t="str">
        <f ca="1">IFERROR(__xludf.DUMMYFUNCTION("""COMPUTED_VALUE"""),"PA000132")</f>
        <v>PA000132</v>
      </c>
    </row>
    <row r="704" spans="1:4" ht="15" customHeight="1">
      <c r="A704" s="206" t="str">
        <f ca="1">IFERROR(__xludf.DUMMYFUNCTION("""COMPUTED_VALUE"""),"AB001040")</f>
        <v>AB001040</v>
      </c>
      <c r="B704" s="205">
        <f ca="1">IFERROR(__xludf.DUMMYFUNCTION("""COMPUTED_VALUE"""),43593)</f>
        <v>43593</v>
      </c>
      <c r="C704" t="str">
        <f ca="1">IFERROR(__xludf.DUMMYFUNCTION("""COMPUTED_VALUE"""),"PA000132")</f>
        <v>PA000132</v>
      </c>
      <c r="D704" t="str">
        <f ca="1">IFERROR(__xludf.DUMMYFUNCTION("""COMPUTED_VALUE"""),"PA000132")</f>
        <v>PA000132</v>
      </c>
    </row>
    <row r="705" spans="1:4" ht="15" customHeight="1">
      <c r="A705" s="206" t="str">
        <f ca="1">IFERROR(__xludf.DUMMYFUNCTION("""COMPUTED_VALUE"""),"AB001040")</f>
        <v>AB001040</v>
      </c>
      <c r="B705" s="205">
        <f ca="1">IFERROR(__xludf.DUMMYFUNCTION("""COMPUTED_VALUE"""),43593)</f>
        <v>43593</v>
      </c>
      <c r="C705" t="str">
        <f ca="1">IFERROR(__xludf.DUMMYFUNCTION("""COMPUTED_VALUE"""),"PA000132")</f>
        <v>PA000132</v>
      </c>
      <c r="D705" t="str">
        <f ca="1">IFERROR(__xludf.DUMMYFUNCTION("""COMPUTED_VALUE"""),"PA000132")</f>
        <v>PA000132</v>
      </c>
    </row>
    <row r="706" spans="1:4" ht="15" customHeight="1">
      <c r="A706" s="206" t="str">
        <f ca="1">IFERROR(__xludf.DUMMYFUNCTION("""COMPUTED_VALUE"""),"AB001039")</f>
        <v>AB001039</v>
      </c>
      <c r="B706" s="205">
        <f ca="1">IFERROR(__xludf.DUMMYFUNCTION("""COMPUTED_VALUE"""),43588)</f>
        <v>43588</v>
      </c>
      <c r="C706" t="str">
        <f ca="1">IFERROR(__xludf.DUMMYFUNCTION("""COMPUTED_VALUE"""),"PA000132")</f>
        <v>PA000132</v>
      </c>
      <c r="D706" t="str">
        <f ca="1">IFERROR(__xludf.DUMMYFUNCTION("""COMPUTED_VALUE"""),"PA000132")</f>
        <v>PA000132</v>
      </c>
    </row>
    <row r="707" spans="1:4" ht="15" customHeight="1">
      <c r="A707" s="206" t="str">
        <f ca="1">IFERROR(__xludf.DUMMYFUNCTION("""COMPUTED_VALUE"""),"AB001041")</f>
        <v>AB001041</v>
      </c>
      <c r="B707" s="205">
        <f ca="1">IFERROR(__xludf.DUMMYFUNCTION("""COMPUTED_VALUE"""),43592)</f>
        <v>43592</v>
      </c>
      <c r="C707" t="str">
        <f ca="1">IFERROR(__xludf.DUMMYFUNCTION("""COMPUTED_VALUE"""),"PA000132")</f>
        <v>PA000132</v>
      </c>
      <c r="D707" t="str">
        <f ca="1">IFERROR(__xludf.DUMMYFUNCTION("""COMPUTED_VALUE"""),"PA000132")</f>
        <v>PA000132</v>
      </c>
    </row>
    <row r="708" spans="1:4" ht="15" customHeight="1">
      <c r="A708" s="206" t="str">
        <f ca="1">IFERROR(__xludf.DUMMYFUNCTION("""COMPUTED_VALUE"""),"AB001041")</f>
        <v>AB001041</v>
      </c>
      <c r="B708" s="205">
        <f ca="1">IFERROR(__xludf.DUMMYFUNCTION("""COMPUTED_VALUE"""),43592)</f>
        <v>43592</v>
      </c>
      <c r="C708" t="str">
        <f ca="1">IFERROR(__xludf.DUMMYFUNCTION("""COMPUTED_VALUE"""),"PA000132")</f>
        <v>PA000132</v>
      </c>
      <c r="D708" t="str">
        <f ca="1">IFERROR(__xludf.DUMMYFUNCTION("""COMPUTED_VALUE"""),"PA000132")</f>
        <v>PA000132</v>
      </c>
    </row>
    <row r="709" spans="1:4" ht="15" customHeight="1">
      <c r="A709" s="206" t="str">
        <f ca="1">IFERROR(__xludf.DUMMYFUNCTION("""COMPUTED_VALUE"""),"AB001209")</f>
        <v>AB001209</v>
      </c>
      <c r="B709" s="205">
        <f ca="1">IFERROR(__xludf.DUMMYFUNCTION("""COMPUTED_VALUE"""),43593)</f>
        <v>43593</v>
      </c>
      <c r="C709" t="str">
        <f ca="1">IFERROR(__xludf.DUMMYFUNCTION("""COMPUTED_VALUE"""),"PA000132")</f>
        <v>PA000132</v>
      </c>
      <c r="D709" t="str">
        <f ca="1">IFERROR(__xludf.DUMMYFUNCTION("""COMPUTED_VALUE"""),"PA000132")</f>
        <v>PA000132</v>
      </c>
    </row>
    <row r="710" spans="1:4" ht="15" customHeight="1">
      <c r="A710" s="206" t="str">
        <f ca="1">IFERROR(__xludf.DUMMYFUNCTION("""COMPUTED_VALUE"""),"AB001042")</f>
        <v>AB001042</v>
      </c>
      <c r="B710" s="205">
        <f ca="1">IFERROR(__xludf.DUMMYFUNCTION("""COMPUTED_VALUE"""),43593)</f>
        <v>43593</v>
      </c>
      <c r="C710" t="str">
        <f ca="1">IFERROR(__xludf.DUMMYFUNCTION("""COMPUTED_VALUE"""),"PA000132")</f>
        <v>PA000132</v>
      </c>
      <c r="D710" t="str">
        <f ca="1">IFERROR(__xludf.DUMMYFUNCTION("""COMPUTED_VALUE"""),"PA000132")</f>
        <v>PA000132</v>
      </c>
    </row>
    <row r="711" spans="1:4" ht="15" customHeight="1">
      <c r="A711" s="206" t="str">
        <f ca="1">IFERROR(__xludf.DUMMYFUNCTION("""COMPUTED_VALUE"""),"AA001936")</f>
        <v>AA001936</v>
      </c>
      <c r="B711" s="205">
        <f ca="1">IFERROR(__xludf.DUMMYFUNCTION("""COMPUTED_VALUE"""),43593)</f>
        <v>43593</v>
      </c>
      <c r="C711" t="str">
        <f ca="1">IFERROR(__xludf.DUMMYFUNCTION("""COMPUTED_VALUE"""),"PA000132")</f>
        <v>PA000132</v>
      </c>
      <c r="D711" t="str">
        <f ca="1">IFERROR(__xludf.DUMMYFUNCTION("""COMPUTED_VALUE"""),"PA000132")</f>
        <v>PA000132</v>
      </c>
    </row>
    <row r="712" spans="1:4" ht="15" customHeight="1">
      <c r="A712" s="206" t="str">
        <f ca="1">IFERROR(__xludf.DUMMYFUNCTION("""COMPUTED_VALUE"""),"AA001936")</f>
        <v>AA001936</v>
      </c>
      <c r="B712" s="205">
        <f ca="1">IFERROR(__xludf.DUMMYFUNCTION("""COMPUTED_VALUE"""),43593)</f>
        <v>43593</v>
      </c>
      <c r="C712" t="str">
        <f ca="1">IFERROR(__xludf.DUMMYFUNCTION("""COMPUTED_VALUE"""),"PA000132")</f>
        <v>PA000132</v>
      </c>
      <c r="D712" t="str">
        <f ca="1">IFERROR(__xludf.DUMMYFUNCTION("""COMPUTED_VALUE"""),"PA000132")</f>
        <v>PA000132</v>
      </c>
    </row>
    <row r="713" spans="1:4" ht="15" customHeight="1">
      <c r="A713" s="206" t="str">
        <f ca="1">IFERROR(__xludf.DUMMYFUNCTION("""COMPUTED_VALUE"""),"AA001936")</f>
        <v>AA001936</v>
      </c>
      <c r="B713" s="205">
        <f ca="1">IFERROR(__xludf.DUMMYFUNCTION("""COMPUTED_VALUE"""),43593)</f>
        <v>43593</v>
      </c>
      <c r="C713" t="str">
        <f ca="1">IFERROR(__xludf.DUMMYFUNCTION("""COMPUTED_VALUE"""),"PA000132")</f>
        <v>PA000132</v>
      </c>
      <c r="D713" t="str">
        <f ca="1">IFERROR(__xludf.DUMMYFUNCTION("""COMPUTED_VALUE"""),"PA000132")</f>
        <v>PA000132</v>
      </c>
    </row>
    <row r="714" spans="1:4" ht="15" customHeight="1">
      <c r="A714" s="206" t="str">
        <f ca="1">IFERROR(__xludf.DUMMYFUNCTION("""COMPUTED_VALUE"""),"AA001936")</f>
        <v>AA001936</v>
      </c>
      <c r="B714" s="205">
        <f ca="1">IFERROR(__xludf.DUMMYFUNCTION("""COMPUTED_VALUE"""),43593)</f>
        <v>43593</v>
      </c>
      <c r="C714" t="str">
        <f ca="1">IFERROR(__xludf.DUMMYFUNCTION("""COMPUTED_VALUE"""),"PA000132")</f>
        <v>PA000132</v>
      </c>
      <c r="D714" t="str">
        <f ca="1">IFERROR(__xludf.DUMMYFUNCTION("""COMPUTED_VALUE"""),"PA000132")</f>
        <v>PA000132</v>
      </c>
    </row>
    <row r="715" spans="1:4" ht="15" customHeight="1">
      <c r="A715" s="206" t="str">
        <f ca="1">IFERROR(__xludf.DUMMYFUNCTION("""COMPUTED_VALUE"""),"AA001936")</f>
        <v>AA001936</v>
      </c>
      <c r="B715" s="205">
        <f ca="1">IFERROR(__xludf.DUMMYFUNCTION("""COMPUTED_VALUE"""),43593)</f>
        <v>43593</v>
      </c>
      <c r="C715" t="str">
        <f ca="1">IFERROR(__xludf.DUMMYFUNCTION("""COMPUTED_VALUE"""),"PA000132")</f>
        <v>PA000132</v>
      </c>
      <c r="D715" t="str">
        <f ca="1">IFERROR(__xludf.DUMMYFUNCTION("""COMPUTED_VALUE"""),"PA000132")</f>
        <v>PA000132</v>
      </c>
    </row>
    <row r="716" spans="1:4" ht="15" customHeight="1">
      <c r="A716" s="206" t="str">
        <f ca="1">IFERROR(__xludf.DUMMYFUNCTION("""COMPUTED_VALUE"""),"AA001936")</f>
        <v>AA001936</v>
      </c>
      <c r="B716" s="205">
        <f ca="1">IFERROR(__xludf.DUMMYFUNCTION("""COMPUTED_VALUE"""),43593)</f>
        <v>43593</v>
      </c>
      <c r="C716" t="str">
        <f ca="1">IFERROR(__xludf.DUMMYFUNCTION("""COMPUTED_VALUE"""),"PA000132")</f>
        <v>PA000132</v>
      </c>
      <c r="D716" t="str">
        <f ca="1">IFERROR(__xludf.DUMMYFUNCTION("""COMPUTED_VALUE"""),"PA000132")</f>
        <v>PA000132</v>
      </c>
    </row>
    <row r="717" spans="1:4" ht="15" customHeight="1">
      <c r="A717" s="206" t="str">
        <f ca="1">IFERROR(__xludf.DUMMYFUNCTION("""COMPUTED_VALUE"""),"AA001936")</f>
        <v>AA001936</v>
      </c>
      <c r="B717" s="205">
        <f ca="1">IFERROR(__xludf.DUMMYFUNCTION("""COMPUTED_VALUE"""),43593)</f>
        <v>43593</v>
      </c>
      <c r="C717" t="str">
        <f ca="1">IFERROR(__xludf.DUMMYFUNCTION("""COMPUTED_VALUE"""),"PA000106")</f>
        <v>PA000106</v>
      </c>
      <c r="D717" t="str">
        <f ca="1">IFERROR(__xludf.DUMMYFUNCTION("""COMPUTED_VALUE"""),"PA000106")</f>
        <v>PA000106</v>
      </c>
    </row>
    <row r="718" spans="1:4" ht="15" customHeight="1">
      <c r="A718" s="206" t="str">
        <f ca="1">IFERROR(__xludf.DUMMYFUNCTION("""COMPUTED_VALUE"""),"AA001936")</f>
        <v>AA001936</v>
      </c>
      <c r="B718" s="205">
        <f ca="1">IFERROR(__xludf.DUMMYFUNCTION("""COMPUTED_VALUE"""),43593)</f>
        <v>43593</v>
      </c>
      <c r="C718" t="str">
        <f ca="1">IFERROR(__xludf.DUMMYFUNCTION("""COMPUTED_VALUE"""),"PA000117")</f>
        <v>PA000117</v>
      </c>
      <c r="D718" t="str">
        <f ca="1">IFERROR(__xludf.DUMMYFUNCTION("""COMPUTED_VALUE"""),"PA000117")</f>
        <v>PA000117</v>
      </c>
    </row>
    <row r="719" spans="1:4" ht="15" customHeight="1">
      <c r="A719" s="206" t="str">
        <f ca="1">IFERROR(__xludf.DUMMYFUNCTION("""COMPUTED_VALUE"""),"AA001936")</f>
        <v>AA001936</v>
      </c>
      <c r="B719" s="205">
        <f ca="1">IFERROR(__xludf.DUMMYFUNCTION("""COMPUTED_VALUE"""),43593)</f>
        <v>43593</v>
      </c>
      <c r="C719" t="str">
        <f ca="1">IFERROR(__xludf.DUMMYFUNCTION("""COMPUTED_VALUE"""),"PA000117")</f>
        <v>PA000117</v>
      </c>
      <c r="D719" t="str">
        <f ca="1">IFERROR(__xludf.DUMMYFUNCTION("""COMPUTED_VALUE"""),"PA000117")</f>
        <v>PA000117</v>
      </c>
    </row>
    <row r="720" spans="1:4" ht="15" customHeight="1">
      <c r="A720" s="206" t="str">
        <f ca="1">IFERROR(__xludf.DUMMYFUNCTION("""COMPUTED_VALUE"""),"AA001937")</f>
        <v>AA001937</v>
      </c>
      <c r="B720" s="205">
        <f ca="1">IFERROR(__xludf.DUMMYFUNCTION("""COMPUTED_VALUE"""),43593)</f>
        <v>43593</v>
      </c>
      <c r="C720" t="str">
        <f ca="1">IFERROR(__xludf.DUMMYFUNCTION("""COMPUTED_VALUE"""),"PA000117")</f>
        <v>PA000117</v>
      </c>
      <c r="D720" t="str">
        <f ca="1">IFERROR(__xludf.DUMMYFUNCTION("""COMPUTED_VALUE"""),"PA000117")</f>
        <v>PA000117</v>
      </c>
    </row>
    <row r="721" spans="1:4" ht="15" customHeight="1">
      <c r="A721" s="206" t="str">
        <f ca="1">IFERROR(__xludf.DUMMYFUNCTION("""COMPUTED_VALUE"""),"AA001937")</f>
        <v>AA001937</v>
      </c>
      <c r="B721" s="205">
        <f ca="1">IFERROR(__xludf.DUMMYFUNCTION("""COMPUTED_VALUE"""),43593)</f>
        <v>43593</v>
      </c>
      <c r="C721" t="str">
        <f ca="1">IFERROR(__xludf.DUMMYFUNCTION("""COMPUTED_VALUE"""),"PA000084")</f>
        <v>PA000084</v>
      </c>
      <c r="D721" t="str">
        <f ca="1">IFERROR(__xludf.DUMMYFUNCTION("""COMPUTED_VALUE"""),"PA000084")</f>
        <v>PA000084</v>
      </c>
    </row>
    <row r="722" spans="1:4" ht="15" customHeight="1">
      <c r="A722" s="206" t="str">
        <f ca="1">IFERROR(__xludf.DUMMYFUNCTION("""COMPUTED_VALUE"""),"AA001937")</f>
        <v>AA001937</v>
      </c>
      <c r="B722" s="205">
        <f ca="1">IFERROR(__xludf.DUMMYFUNCTION("""COMPUTED_VALUE"""),43593)</f>
        <v>43593</v>
      </c>
      <c r="C722" t="str">
        <f ca="1">IFERROR(__xludf.DUMMYFUNCTION("""COMPUTED_VALUE"""),"PA000084")</f>
        <v>PA000084</v>
      </c>
      <c r="D722" t="str">
        <f ca="1">IFERROR(__xludf.DUMMYFUNCTION("""COMPUTED_VALUE"""),"PA000084")</f>
        <v>PA000084</v>
      </c>
    </row>
    <row r="723" spans="1:4" ht="15" customHeight="1">
      <c r="A723" s="206" t="str">
        <f ca="1">IFERROR(__xludf.DUMMYFUNCTION("""COMPUTED_VALUE"""),"AA001937")</f>
        <v>AA001937</v>
      </c>
      <c r="B723" s="205">
        <f ca="1">IFERROR(__xludf.DUMMYFUNCTION("""COMPUTED_VALUE"""),43593)</f>
        <v>43593</v>
      </c>
      <c r="C723" t="str">
        <f ca="1">IFERROR(__xludf.DUMMYFUNCTION("""COMPUTED_VALUE"""),"PA000084")</f>
        <v>PA000084</v>
      </c>
      <c r="D723" t="str">
        <f ca="1">IFERROR(__xludf.DUMMYFUNCTION("""COMPUTED_VALUE"""),"PA000084")</f>
        <v>PA000084</v>
      </c>
    </row>
    <row r="724" spans="1:4" ht="15" customHeight="1">
      <c r="A724" s="206" t="str">
        <f ca="1">IFERROR(__xludf.DUMMYFUNCTION("""COMPUTED_VALUE"""),"AA001937")</f>
        <v>AA001937</v>
      </c>
      <c r="B724" s="205">
        <f ca="1">IFERROR(__xludf.DUMMYFUNCTION("""COMPUTED_VALUE"""),43593)</f>
        <v>43593</v>
      </c>
      <c r="C724" t="str">
        <f ca="1">IFERROR(__xludf.DUMMYFUNCTION("""COMPUTED_VALUE"""),"PA000084")</f>
        <v>PA000084</v>
      </c>
      <c r="D724" t="str">
        <f ca="1">IFERROR(__xludf.DUMMYFUNCTION("""COMPUTED_VALUE"""),"PA000084")</f>
        <v>PA000084</v>
      </c>
    </row>
    <row r="725" spans="1:4" ht="15" customHeight="1">
      <c r="A725" s="206" t="str">
        <f ca="1">IFERROR(__xludf.DUMMYFUNCTION("""COMPUTED_VALUE"""),"AA001937")</f>
        <v>AA001937</v>
      </c>
      <c r="B725" s="205">
        <f ca="1">IFERROR(__xludf.DUMMYFUNCTION("""COMPUTED_VALUE"""),43593)</f>
        <v>43593</v>
      </c>
      <c r="C725" t="str">
        <f ca="1">IFERROR(__xludf.DUMMYFUNCTION("""COMPUTED_VALUE"""),"PA000086")</f>
        <v>PA000086</v>
      </c>
      <c r="D725" t="str">
        <f ca="1">IFERROR(__xludf.DUMMYFUNCTION("""COMPUTED_VALUE"""),"PA000086")</f>
        <v>PA000086</v>
      </c>
    </row>
    <row r="726" spans="1:4" ht="15" customHeight="1">
      <c r="A726" s="206" t="str">
        <f ca="1">IFERROR(__xludf.DUMMYFUNCTION("""COMPUTED_VALUE"""),"AA001937")</f>
        <v>AA001937</v>
      </c>
      <c r="B726" s="205">
        <f ca="1">IFERROR(__xludf.DUMMYFUNCTION("""COMPUTED_VALUE"""),43593)</f>
        <v>43593</v>
      </c>
      <c r="C726" t="str">
        <f ca="1">IFERROR(__xludf.DUMMYFUNCTION("""COMPUTED_VALUE"""),"PA000086")</f>
        <v>PA000086</v>
      </c>
      <c r="D726" t="str">
        <f ca="1">IFERROR(__xludf.DUMMYFUNCTION("""COMPUTED_VALUE"""),"PA000086")</f>
        <v>PA000086</v>
      </c>
    </row>
    <row r="727" spans="1:4" ht="15" customHeight="1">
      <c r="A727" s="206" t="str">
        <f ca="1">IFERROR(__xludf.DUMMYFUNCTION("""COMPUTED_VALUE"""),"AA001937")</f>
        <v>AA001937</v>
      </c>
      <c r="B727" s="205">
        <f ca="1">IFERROR(__xludf.DUMMYFUNCTION("""COMPUTED_VALUE"""),43593)</f>
        <v>43593</v>
      </c>
      <c r="C727" t="str">
        <f ca="1">IFERROR(__xludf.DUMMYFUNCTION("""COMPUTED_VALUE"""),"PA000159")</f>
        <v>PA000159</v>
      </c>
      <c r="D727" t="str">
        <f ca="1">IFERROR(__xludf.DUMMYFUNCTION("""COMPUTED_VALUE"""),"PA000159")</f>
        <v>PA000159</v>
      </c>
    </row>
    <row r="728" spans="1:4" ht="15" customHeight="1">
      <c r="A728" s="206" t="str">
        <f ca="1">IFERROR(__xludf.DUMMYFUNCTION("""COMPUTED_VALUE"""),"AB001212")</f>
        <v>AB001212</v>
      </c>
      <c r="B728" s="205">
        <f ca="1">IFERROR(__xludf.DUMMYFUNCTION("""COMPUTED_VALUE"""),43593)</f>
        <v>43593</v>
      </c>
      <c r="C728" t="str">
        <f ca="1">IFERROR(__xludf.DUMMYFUNCTION("""COMPUTED_VALUE"""),"PA000135")</f>
        <v>PA000135</v>
      </c>
      <c r="D728" t="str">
        <f ca="1">IFERROR(__xludf.DUMMYFUNCTION("""COMPUTED_VALUE"""),"PA000135")</f>
        <v>PA000135</v>
      </c>
    </row>
    <row r="729" spans="1:4" ht="15" customHeight="1">
      <c r="A729" s="206" t="str">
        <f ca="1">IFERROR(__xludf.DUMMYFUNCTION("""COMPUTED_VALUE"""),"AB001212")</f>
        <v>AB001212</v>
      </c>
      <c r="B729" s="205">
        <f ca="1">IFERROR(__xludf.DUMMYFUNCTION("""COMPUTED_VALUE"""),43593)</f>
        <v>43593</v>
      </c>
      <c r="C729" t="str">
        <f ca="1">IFERROR(__xludf.DUMMYFUNCTION("""COMPUTED_VALUE"""),"PA000085")</f>
        <v>PA000085</v>
      </c>
      <c r="D729" t="str">
        <f ca="1">IFERROR(__xludf.DUMMYFUNCTION("""COMPUTED_VALUE"""),"PA000085")</f>
        <v>PA000085</v>
      </c>
    </row>
    <row r="730" spans="1:4" ht="15" customHeight="1">
      <c r="A730" s="206" t="str">
        <f ca="1">IFERROR(__xludf.DUMMYFUNCTION("""COMPUTED_VALUE"""),"AB001213")</f>
        <v>AB001213</v>
      </c>
      <c r="B730" s="205">
        <f ca="1">IFERROR(__xludf.DUMMYFUNCTION("""COMPUTED_VALUE"""),43593)</f>
        <v>43593</v>
      </c>
      <c r="C730" t="str">
        <f ca="1">IFERROR(__xludf.DUMMYFUNCTION("""COMPUTED_VALUE"""),"PA000085")</f>
        <v>PA000085</v>
      </c>
      <c r="D730" t="str">
        <f ca="1">IFERROR(__xludf.DUMMYFUNCTION("""COMPUTED_VALUE"""),"PA000085")</f>
        <v>PA000085</v>
      </c>
    </row>
    <row r="731" spans="1:4" ht="15" customHeight="1">
      <c r="A731" s="206" t="str">
        <f ca="1">IFERROR(__xludf.DUMMYFUNCTION("""COMPUTED_VALUE"""),"AB001210")</f>
        <v>AB001210</v>
      </c>
      <c r="B731" s="205">
        <f ca="1">IFERROR(__xludf.DUMMYFUNCTION("""COMPUTED_VALUE"""),43595)</f>
        <v>43595</v>
      </c>
      <c r="C731" t="str">
        <f ca="1">IFERROR(__xludf.DUMMYFUNCTION("""COMPUTED_VALUE"""),"PA000118")</f>
        <v>PA000118</v>
      </c>
      <c r="D731" t="str">
        <f ca="1">IFERROR(__xludf.DUMMYFUNCTION("""COMPUTED_VALUE"""),"PA000118")</f>
        <v>PA000118</v>
      </c>
    </row>
    <row r="732" spans="1:4" ht="15" customHeight="1">
      <c r="A732" s="206" t="str">
        <f ca="1">IFERROR(__xludf.DUMMYFUNCTION("""COMPUTED_VALUE"""),"AB001043")</f>
        <v>AB001043</v>
      </c>
      <c r="B732" s="205">
        <f ca="1">IFERROR(__xludf.DUMMYFUNCTION("""COMPUTED_VALUE"""),43593)</f>
        <v>43593</v>
      </c>
      <c r="C732" t="str">
        <f ca="1">IFERROR(__xludf.DUMMYFUNCTION("""COMPUTED_VALUE"""),"PA000118")</f>
        <v>PA000118</v>
      </c>
      <c r="D732" t="str">
        <f ca="1">IFERROR(__xludf.DUMMYFUNCTION("""COMPUTED_VALUE"""),"PA000118")</f>
        <v>PA000118</v>
      </c>
    </row>
    <row r="733" spans="1:4" ht="15" customHeight="1">
      <c r="A733" s="206" t="str">
        <f ca="1">IFERROR(__xludf.DUMMYFUNCTION("""COMPUTED_VALUE"""),"AB001214")</f>
        <v>AB001214</v>
      </c>
      <c r="B733" s="205">
        <f ca="1">IFERROR(__xludf.DUMMYFUNCTION("""COMPUTED_VALUE"""),43598)</f>
        <v>43598</v>
      </c>
      <c r="C733" t="str">
        <f ca="1">IFERROR(__xludf.DUMMYFUNCTION("""COMPUTED_VALUE"""),"PA000118")</f>
        <v>PA000118</v>
      </c>
      <c r="D733" t="str">
        <f ca="1">IFERROR(__xludf.DUMMYFUNCTION("""COMPUTED_VALUE"""),"PA000118")</f>
        <v>PA000118</v>
      </c>
    </row>
    <row r="734" spans="1:4" ht="15" customHeight="1">
      <c r="A734" s="206" t="str">
        <f ca="1">IFERROR(__xludf.DUMMYFUNCTION("""COMPUTED_VALUE"""),"AB001048")</f>
        <v>AB001048</v>
      </c>
      <c r="B734" s="205">
        <f ca="1">IFERROR(__xludf.DUMMYFUNCTION("""COMPUTED_VALUE"""),43598)</f>
        <v>43598</v>
      </c>
      <c r="C734" t="str">
        <f ca="1">IFERROR(__xludf.DUMMYFUNCTION("""COMPUTED_VALUE"""),"PA000161")</f>
        <v>PA000161</v>
      </c>
      <c r="D734" t="str">
        <f ca="1">IFERROR(__xludf.DUMMYFUNCTION("""COMPUTED_VALUE"""),"PA000161")</f>
        <v>PA000161</v>
      </c>
    </row>
    <row r="735" spans="1:4" ht="15" customHeight="1">
      <c r="A735" s="206" t="str">
        <f ca="1">IFERROR(__xludf.DUMMYFUNCTION("""COMPUTED_VALUE"""),"AB001215")</f>
        <v>AB001215</v>
      </c>
      <c r="B735" s="205">
        <f ca="1">IFERROR(__xludf.DUMMYFUNCTION("""COMPUTED_VALUE"""),43598)</f>
        <v>43598</v>
      </c>
      <c r="C735" t="str">
        <f ca="1">IFERROR(__xludf.DUMMYFUNCTION("""COMPUTED_VALUE"""),"PA000087")</f>
        <v>PA000087</v>
      </c>
      <c r="D735" t="str">
        <f ca="1">IFERROR(__xludf.DUMMYFUNCTION("""COMPUTED_VALUE"""),"PA000087")</f>
        <v>PA000087</v>
      </c>
    </row>
    <row r="736" spans="1:4" ht="15" customHeight="1">
      <c r="A736" s="206" t="str">
        <f ca="1">IFERROR(__xludf.DUMMYFUNCTION("""COMPUTED_VALUE"""),"AB001215")</f>
        <v>AB001215</v>
      </c>
      <c r="B736" s="205">
        <f ca="1">IFERROR(__xludf.DUMMYFUNCTION("""COMPUTED_VALUE"""),43598)</f>
        <v>43598</v>
      </c>
      <c r="C736" t="str">
        <f ca="1">IFERROR(__xludf.DUMMYFUNCTION("""COMPUTED_VALUE"""),"PA000037")</f>
        <v>PA000037</v>
      </c>
      <c r="D736" t="str">
        <f ca="1">IFERROR(__xludf.DUMMYFUNCTION("""COMPUTED_VALUE"""),"PA000037")</f>
        <v>PA000037</v>
      </c>
    </row>
    <row r="737" spans="1:4" ht="15" customHeight="1">
      <c r="A737" s="206" t="str">
        <f ca="1">IFERROR(__xludf.DUMMYFUNCTION("""COMPUTED_VALUE"""),"AB001045")</f>
        <v>AB001045</v>
      </c>
      <c r="B737" s="205">
        <f ca="1">IFERROR(__xludf.DUMMYFUNCTION("""COMPUTED_VALUE"""),43598)</f>
        <v>43598</v>
      </c>
      <c r="C737" t="str">
        <f ca="1">IFERROR(__xludf.DUMMYFUNCTION("""COMPUTED_VALUE"""),"PA000037")</f>
        <v>PA000037</v>
      </c>
      <c r="D737" t="str">
        <f ca="1">IFERROR(__xludf.DUMMYFUNCTION("""COMPUTED_VALUE"""),"PA000037")</f>
        <v>PA000037</v>
      </c>
    </row>
    <row r="738" spans="1:4" ht="15" customHeight="1">
      <c r="A738" s="206" t="str">
        <f ca="1">IFERROR(__xludf.DUMMYFUNCTION("""COMPUTED_VALUE"""),"AB001046")</f>
        <v>AB001046</v>
      </c>
      <c r="B738" s="205">
        <f ca="1">IFERROR(__xludf.DUMMYFUNCTION("""COMPUTED_VALUE"""),43598)</f>
        <v>43598</v>
      </c>
      <c r="C738" t="str">
        <f ca="1">IFERROR(__xludf.DUMMYFUNCTION("""COMPUTED_VALUE"""),"PA000119")</f>
        <v>PA000119</v>
      </c>
      <c r="D738" t="str">
        <f ca="1">IFERROR(__xludf.DUMMYFUNCTION("""COMPUTED_VALUE"""),"PA000119")</f>
        <v>PA000119</v>
      </c>
    </row>
    <row r="739" spans="1:4" ht="15" customHeight="1">
      <c r="A739" s="206" t="str">
        <f ca="1">IFERROR(__xludf.DUMMYFUNCTION("""COMPUTED_VALUE"""),"AB001253")</f>
        <v>AB001253</v>
      </c>
      <c r="B739" s="205">
        <f ca="1">IFERROR(__xludf.DUMMYFUNCTION("""COMPUTED_VALUE"""),43598)</f>
        <v>43598</v>
      </c>
      <c r="C739" t="str">
        <f ca="1">IFERROR(__xludf.DUMMYFUNCTION("""COMPUTED_VALUE"""),"PA000119")</f>
        <v>PA000119</v>
      </c>
      <c r="D739" t="str">
        <f ca="1">IFERROR(__xludf.DUMMYFUNCTION("""COMPUTED_VALUE"""),"PA000119")</f>
        <v>PA000119</v>
      </c>
    </row>
    <row r="740" spans="1:4" ht="15" customHeight="1">
      <c r="A740" s="206" t="str">
        <f ca="1">IFERROR(__xludf.DUMMYFUNCTION("""COMPUTED_VALUE"""),"AB001253")</f>
        <v>AB001253</v>
      </c>
      <c r="B740" s="205">
        <f ca="1">IFERROR(__xludf.DUMMYFUNCTION("""COMPUTED_VALUE"""),43598)</f>
        <v>43598</v>
      </c>
      <c r="C740" t="str">
        <f ca="1">IFERROR(__xludf.DUMMYFUNCTION("""COMPUTED_VALUE"""),"PA000119")</f>
        <v>PA000119</v>
      </c>
      <c r="D740" t="str">
        <f ca="1">IFERROR(__xludf.DUMMYFUNCTION("""COMPUTED_VALUE"""),"PA000119")</f>
        <v>PA000119</v>
      </c>
    </row>
    <row r="741" spans="1:4" ht="15" customHeight="1">
      <c r="A741" s="206" t="str">
        <f ca="1">IFERROR(__xludf.DUMMYFUNCTION("""COMPUTED_VALUE"""),"AB001253")</f>
        <v>AB001253</v>
      </c>
      <c r="B741" s="205">
        <f ca="1">IFERROR(__xludf.DUMMYFUNCTION("""COMPUTED_VALUE"""),43598)</f>
        <v>43598</v>
      </c>
      <c r="C741" t="str">
        <f ca="1">IFERROR(__xludf.DUMMYFUNCTION("""COMPUTED_VALUE"""),"PA000158")</f>
        <v>PA000158</v>
      </c>
      <c r="D741" t="str">
        <f ca="1">IFERROR(__xludf.DUMMYFUNCTION("""COMPUTED_VALUE"""),"PA000158")</f>
        <v>PA000158</v>
      </c>
    </row>
    <row r="742" spans="1:4" ht="15" customHeight="1">
      <c r="A742" s="206" t="str">
        <f ca="1">IFERROR(__xludf.DUMMYFUNCTION("""COMPUTED_VALUE"""),"AB001253")</f>
        <v>AB001253</v>
      </c>
      <c r="B742" s="205">
        <f ca="1">IFERROR(__xludf.DUMMYFUNCTION("""COMPUTED_VALUE"""),43598)</f>
        <v>43598</v>
      </c>
      <c r="C742" t="str">
        <f ca="1">IFERROR(__xludf.DUMMYFUNCTION("""COMPUTED_VALUE"""),"PA000120")</f>
        <v>PA000120</v>
      </c>
      <c r="D742" t="str">
        <f ca="1">IFERROR(__xludf.DUMMYFUNCTION("""COMPUTED_VALUE"""),"PA000120")</f>
        <v>PA000120</v>
      </c>
    </row>
    <row r="743" spans="1:4" ht="15" customHeight="1">
      <c r="A743" s="206" t="str">
        <f ca="1">IFERROR(__xludf.DUMMYFUNCTION("""COMPUTED_VALUE"""),"AB001253")</f>
        <v>AB001253</v>
      </c>
      <c r="B743" s="205">
        <f ca="1">IFERROR(__xludf.DUMMYFUNCTION("""COMPUTED_VALUE"""),43598)</f>
        <v>43598</v>
      </c>
      <c r="C743" t="str">
        <f ca="1">IFERROR(__xludf.DUMMYFUNCTION("""COMPUTED_VALUE"""),"PA000157")</f>
        <v>PA000157</v>
      </c>
      <c r="D743" t="str">
        <f ca="1">IFERROR(__xludf.DUMMYFUNCTION("""COMPUTED_VALUE"""),"PA000157")</f>
        <v>PA000157</v>
      </c>
    </row>
    <row r="744" spans="1:4" ht="15" customHeight="1">
      <c r="A744" s="206" t="str">
        <f ca="1">IFERROR(__xludf.DUMMYFUNCTION("""COMPUTED_VALUE"""),"AB001253")</f>
        <v>AB001253</v>
      </c>
      <c r="B744" s="205">
        <f ca="1">IFERROR(__xludf.DUMMYFUNCTION("""COMPUTED_VALUE"""),43598)</f>
        <v>43598</v>
      </c>
      <c r="C744" t="str">
        <f ca="1">IFERROR(__xludf.DUMMYFUNCTION("""COMPUTED_VALUE"""),"PA000162")</f>
        <v>PA000162</v>
      </c>
      <c r="D744" t="str">
        <f ca="1">IFERROR(__xludf.DUMMYFUNCTION("""COMPUTED_VALUE"""),"PA000162")</f>
        <v>PA000162</v>
      </c>
    </row>
    <row r="745" spans="1:4" ht="15" customHeight="1">
      <c r="A745" s="206" t="str">
        <f ca="1">IFERROR(__xludf.DUMMYFUNCTION("""COMPUTED_VALUE"""),"AB001253")</f>
        <v>AB001253</v>
      </c>
      <c r="B745" s="205">
        <f ca="1">IFERROR(__xludf.DUMMYFUNCTION("""COMPUTED_VALUE"""),43598)</f>
        <v>43598</v>
      </c>
      <c r="C745" t="str">
        <f ca="1">IFERROR(__xludf.DUMMYFUNCTION("""COMPUTED_VALUE"""),"PA000163")</f>
        <v>PA000163</v>
      </c>
      <c r="D745" t="str">
        <f ca="1">IFERROR(__xludf.DUMMYFUNCTION("""COMPUTED_VALUE"""),"PA000163")</f>
        <v>PA000163</v>
      </c>
    </row>
    <row r="746" spans="1:4" ht="15" customHeight="1">
      <c r="A746" s="206" t="str">
        <f ca="1">IFERROR(__xludf.DUMMYFUNCTION("""COMPUTED_VALUE"""),"AB001252")</f>
        <v>AB001252</v>
      </c>
      <c r="B746" s="205">
        <f ca="1">IFERROR(__xludf.DUMMYFUNCTION("""COMPUTED_VALUE"""),43598)</f>
        <v>43598</v>
      </c>
      <c r="C746" t="str">
        <f ca="1">IFERROR(__xludf.DUMMYFUNCTION("""COMPUTED_VALUE"""),"AB001359")</f>
        <v>AB001359</v>
      </c>
      <c r="D746" t="str">
        <f ca="1">IFERROR(__xludf.DUMMYFUNCTION("""COMPUTED_VALUE"""),"AB001359")</f>
        <v>AB001359</v>
      </c>
    </row>
    <row r="747" spans="1:4" ht="15" customHeight="1">
      <c r="A747" s="206" t="str">
        <f ca="1">IFERROR(__xludf.DUMMYFUNCTION("""COMPUTED_VALUE"""),"AB001135")</f>
        <v>AB001135</v>
      </c>
      <c r="B747" s="205">
        <f ca="1">IFERROR(__xludf.DUMMYFUNCTION("""COMPUTED_VALUE"""),43598)</f>
        <v>43598</v>
      </c>
      <c r="C747" t="str">
        <f ca="1">IFERROR(__xludf.DUMMYFUNCTION("""COMPUTED_VALUE"""),"AB001359")</f>
        <v>AB001359</v>
      </c>
      <c r="D747" t="str">
        <f ca="1">IFERROR(__xludf.DUMMYFUNCTION("""COMPUTED_VALUE"""),"AB001359")</f>
        <v>AB001359</v>
      </c>
    </row>
    <row r="748" spans="1:4" ht="15" customHeight="1">
      <c r="A748" s="206" t="str">
        <f ca="1">IFERROR(__xludf.DUMMYFUNCTION("""COMPUTED_VALUE"""),"AB001079")</f>
        <v>AB001079</v>
      </c>
      <c r="B748" s="205">
        <f ca="1">IFERROR(__xludf.DUMMYFUNCTION("""COMPUTED_VALUE"""),43600)</f>
        <v>43600</v>
      </c>
      <c r="C748" t="str">
        <f ca="1">IFERROR(__xludf.DUMMYFUNCTION("""COMPUTED_VALUE"""),"AB001359")</f>
        <v>AB001359</v>
      </c>
      <c r="D748" t="str">
        <f ca="1">IFERROR(__xludf.DUMMYFUNCTION("""COMPUTED_VALUE"""),"AB001359")</f>
        <v>AB001359</v>
      </c>
    </row>
    <row r="749" spans="1:4" ht="15" customHeight="1">
      <c r="A749" s="206" t="str">
        <f ca="1">IFERROR(__xludf.DUMMYFUNCTION("""COMPUTED_VALUE"""),"AB001137")</f>
        <v>AB001137</v>
      </c>
      <c r="B749" s="205">
        <f ca="1">IFERROR(__xludf.DUMMYFUNCTION("""COMPUTED_VALUE"""),43601)</f>
        <v>43601</v>
      </c>
      <c r="C749" t="str">
        <f ca="1">IFERROR(__xludf.DUMMYFUNCTION("""COMPUTED_VALUE"""),"AB001359")</f>
        <v>AB001359</v>
      </c>
      <c r="D749" t="str">
        <f ca="1">IFERROR(__xludf.DUMMYFUNCTION("""COMPUTED_VALUE"""),"AB001359")</f>
        <v>AB001359</v>
      </c>
    </row>
    <row r="750" spans="1:4" ht="15" customHeight="1">
      <c r="A750" s="206" t="str">
        <f ca="1">IFERROR(__xludf.DUMMYFUNCTION("""COMPUTED_VALUE"""),"AB001216")</f>
        <v>AB001216</v>
      </c>
      <c r="B750" s="205">
        <f ca="1">IFERROR(__xludf.DUMMYFUNCTION("""COMPUTED_VALUE"""),43600)</f>
        <v>43600</v>
      </c>
      <c r="C750" t="str">
        <f ca="1">IFERROR(__xludf.DUMMYFUNCTION("""COMPUTED_VALUE"""),"AB001359")</f>
        <v>AB001359</v>
      </c>
      <c r="D750" t="str">
        <f ca="1">IFERROR(__xludf.DUMMYFUNCTION("""COMPUTED_VALUE"""),"AB001359")</f>
        <v>AB001359</v>
      </c>
    </row>
    <row r="751" spans="1:4" ht="15" customHeight="1">
      <c r="A751" s="206" t="str">
        <f ca="1">IFERROR(__xludf.DUMMYFUNCTION("""COMPUTED_VALUE"""),"AB001217")</f>
        <v>AB001217</v>
      </c>
      <c r="B751" s="205">
        <f ca="1">IFERROR(__xludf.DUMMYFUNCTION("""COMPUTED_VALUE"""),43601)</f>
        <v>43601</v>
      </c>
      <c r="C751" t="str">
        <f ca="1">IFERROR(__xludf.DUMMYFUNCTION("""COMPUTED_VALUE"""),"AB001359")</f>
        <v>AB001359</v>
      </c>
      <c r="D751" t="str">
        <f ca="1">IFERROR(__xludf.DUMMYFUNCTION("""COMPUTED_VALUE"""),"AB001359")</f>
        <v>AB001359</v>
      </c>
    </row>
    <row r="752" spans="1:4" ht="15" customHeight="1">
      <c r="A752" s="206" t="str">
        <f ca="1">IFERROR(__xludf.DUMMYFUNCTION("""COMPUTED_VALUE"""),"AB001138")</f>
        <v>AB001138</v>
      </c>
      <c r="B752" s="205">
        <f ca="1">IFERROR(__xludf.DUMMYFUNCTION("""COMPUTED_VALUE"""),43601)</f>
        <v>43601</v>
      </c>
      <c r="C752" t="str">
        <f ca="1">IFERROR(__xludf.DUMMYFUNCTION("""COMPUTED_VALUE"""),"AB001359")</f>
        <v>AB001359</v>
      </c>
      <c r="D752" t="str">
        <f ca="1">IFERROR(__xludf.DUMMYFUNCTION("""COMPUTED_VALUE"""),"AB001359")</f>
        <v>AB001359</v>
      </c>
    </row>
    <row r="753" spans="1:4" ht="15" customHeight="1">
      <c r="A753" s="206" t="str">
        <f ca="1">IFERROR(__xludf.DUMMYFUNCTION("""COMPUTED_VALUE"""),"AB001138")</f>
        <v>AB001138</v>
      </c>
      <c r="B753" s="205">
        <f ca="1">IFERROR(__xludf.DUMMYFUNCTION("""COMPUTED_VALUE"""),43601)</f>
        <v>43601</v>
      </c>
      <c r="C753" t="str">
        <f ca="1">IFERROR(__xludf.DUMMYFUNCTION("""COMPUTED_VALUE"""),"AB001359")</f>
        <v>AB001359</v>
      </c>
      <c r="D753" t="str">
        <f ca="1">IFERROR(__xludf.DUMMYFUNCTION("""COMPUTED_VALUE"""),"AB001359")</f>
        <v>AB001359</v>
      </c>
    </row>
    <row r="754" spans="1:4" ht="15" customHeight="1">
      <c r="A754" s="206" t="str">
        <f ca="1">IFERROR(__xludf.DUMMYFUNCTION("""COMPUTED_VALUE"""),"AB001139")</f>
        <v>AB001139</v>
      </c>
      <c r="B754" s="205">
        <f ca="1">IFERROR(__xludf.DUMMYFUNCTION("""COMPUTED_VALUE"""),43601)</f>
        <v>43601</v>
      </c>
      <c r="C754" t="str">
        <f ca="1">IFERROR(__xludf.DUMMYFUNCTION("""COMPUTED_VALUE"""),"AB001359")</f>
        <v>AB001359</v>
      </c>
      <c r="D754" t="str">
        <f ca="1">IFERROR(__xludf.DUMMYFUNCTION("""COMPUTED_VALUE"""),"AB001359")</f>
        <v>AB001359</v>
      </c>
    </row>
    <row r="755" spans="1:4" ht="15" customHeight="1">
      <c r="A755" s="206" t="str">
        <f ca="1">IFERROR(__xludf.DUMMYFUNCTION("""COMPUTED_VALUE"""),"AB001255")</f>
        <v>AB001255</v>
      </c>
      <c r="B755" s="205">
        <f ca="1">IFERROR(__xludf.DUMMYFUNCTION("""COMPUTED_VALUE"""),43601)</f>
        <v>43601</v>
      </c>
      <c r="C755" t="str">
        <f ca="1">IFERROR(__xludf.DUMMYFUNCTION("""COMPUTED_VALUE"""),"AB001359")</f>
        <v>AB001359</v>
      </c>
      <c r="D755" t="str">
        <f ca="1">IFERROR(__xludf.DUMMYFUNCTION("""COMPUTED_VALUE"""),"AB001359")</f>
        <v>AB001359</v>
      </c>
    </row>
    <row r="756" spans="1:4" ht="15" customHeight="1">
      <c r="A756" s="206" t="str">
        <f ca="1">IFERROR(__xludf.DUMMYFUNCTION("""COMPUTED_VALUE"""),"AB001218")</f>
        <v>AB001218</v>
      </c>
      <c r="B756" s="205">
        <f ca="1">IFERROR(__xludf.DUMMYFUNCTION("""COMPUTED_VALUE"""),43601)</f>
        <v>43601</v>
      </c>
      <c r="C756" t="str">
        <f ca="1">IFERROR(__xludf.DUMMYFUNCTION("""COMPUTED_VALUE"""),"AB001359")</f>
        <v>AB001359</v>
      </c>
      <c r="D756" t="str">
        <f ca="1">IFERROR(__xludf.DUMMYFUNCTION("""COMPUTED_VALUE"""),"AB001359")</f>
        <v>AB001359</v>
      </c>
    </row>
    <row r="757" spans="1:4" ht="15" customHeight="1">
      <c r="A757" s="206" t="str">
        <f ca="1">IFERROR(__xludf.DUMMYFUNCTION("""COMPUTED_VALUE"""),"AB001219")</f>
        <v>AB001219</v>
      </c>
      <c r="B757" s="205">
        <f ca="1">IFERROR(__xludf.DUMMYFUNCTION("""COMPUTED_VALUE"""),43601)</f>
        <v>43601</v>
      </c>
      <c r="C757" t="str">
        <f ca="1">IFERROR(__xludf.DUMMYFUNCTION("""COMPUTED_VALUE"""),"AB001359")</f>
        <v>AB001359</v>
      </c>
      <c r="D757" t="str">
        <f ca="1">IFERROR(__xludf.DUMMYFUNCTION("""COMPUTED_VALUE"""),"AB001359")</f>
        <v>AB001359</v>
      </c>
    </row>
    <row r="758" spans="1:4" ht="15" customHeight="1">
      <c r="A758" s="206" t="str">
        <f ca="1">IFERROR(__xludf.DUMMYFUNCTION("""COMPUTED_VALUE"""),"AB001080")</f>
        <v>AB001080</v>
      </c>
      <c r="B758" s="205">
        <f ca="1">IFERROR(__xludf.DUMMYFUNCTION("""COMPUTED_VALUE"""),43601)</f>
        <v>43601</v>
      </c>
      <c r="C758" t="str">
        <f ca="1">IFERROR(__xludf.DUMMYFUNCTION("""COMPUTED_VALUE"""),"AB001359")</f>
        <v>AB001359</v>
      </c>
      <c r="D758" t="str">
        <f ca="1">IFERROR(__xludf.DUMMYFUNCTION("""COMPUTED_VALUE"""),"AB001359")</f>
        <v>AB001359</v>
      </c>
    </row>
    <row r="759" spans="1:4" ht="15" customHeight="1">
      <c r="A759" s="206" t="str">
        <f ca="1">IFERROR(__xludf.DUMMYFUNCTION("""COMPUTED_VALUE"""),"AB001257")</f>
        <v>AB001257</v>
      </c>
      <c r="B759" s="205">
        <f ca="1">IFERROR(__xludf.DUMMYFUNCTION("""COMPUTED_VALUE"""),43602)</f>
        <v>43602</v>
      </c>
      <c r="C759" t="str">
        <f ca="1">IFERROR(__xludf.DUMMYFUNCTION("""COMPUTED_VALUE"""),"AB001359")</f>
        <v>AB001359</v>
      </c>
      <c r="D759" t="str">
        <f ca="1">IFERROR(__xludf.DUMMYFUNCTION("""COMPUTED_VALUE"""),"AB001359")</f>
        <v>AB001359</v>
      </c>
    </row>
    <row r="760" spans="1:4" ht="15" customHeight="1">
      <c r="A760" s="206" t="str">
        <f ca="1">IFERROR(__xludf.DUMMYFUNCTION("""COMPUTED_VALUE"""),"AB001257")</f>
        <v>AB001257</v>
      </c>
      <c r="B760" s="205">
        <f ca="1">IFERROR(__xludf.DUMMYFUNCTION("""COMPUTED_VALUE"""),43602)</f>
        <v>43602</v>
      </c>
      <c r="C760" t="str">
        <f ca="1">IFERROR(__xludf.DUMMYFUNCTION("""COMPUTED_VALUE"""),"AB001359")</f>
        <v>AB001359</v>
      </c>
      <c r="D760" t="str">
        <f ca="1">IFERROR(__xludf.DUMMYFUNCTION("""COMPUTED_VALUE"""),"AB001359")</f>
        <v>AB001359</v>
      </c>
    </row>
    <row r="761" spans="1:4" ht="15" customHeight="1">
      <c r="A761" s="206" t="str">
        <f ca="1">IFERROR(__xludf.DUMMYFUNCTION("""COMPUTED_VALUE"""),"AB001258")</f>
        <v>AB001258</v>
      </c>
      <c r="B761" s="205">
        <f ca="1">IFERROR(__xludf.DUMMYFUNCTION("""COMPUTED_VALUE"""),43602)</f>
        <v>43602</v>
      </c>
      <c r="C761" t="str">
        <f ca="1">IFERROR(__xludf.DUMMYFUNCTION("""COMPUTED_VALUE"""),"AB001359")</f>
        <v>AB001359</v>
      </c>
      <c r="D761" t="str">
        <f ca="1">IFERROR(__xludf.DUMMYFUNCTION("""COMPUTED_VALUE"""),"AB001359")</f>
        <v>AB001359</v>
      </c>
    </row>
    <row r="762" spans="1:4" ht="15" customHeight="1">
      <c r="A762" s="206" t="str">
        <f ca="1">IFERROR(__xludf.DUMMYFUNCTION("""COMPUTED_VALUE"""),"AB001254")</f>
        <v>AB001254</v>
      </c>
      <c r="B762" s="205">
        <f ca="1">IFERROR(__xludf.DUMMYFUNCTION("""COMPUTED_VALUE"""),43602)</f>
        <v>43602</v>
      </c>
      <c r="C762" t="str">
        <f ca="1">IFERROR(__xludf.DUMMYFUNCTION("""COMPUTED_VALUE"""),"AB001359")</f>
        <v>AB001359</v>
      </c>
      <c r="D762" t="str">
        <f ca="1">IFERROR(__xludf.DUMMYFUNCTION("""COMPUTED_VALUE"""),"AB001359")</f>
        <v>AB001359</v>
      </c>
    </row>
    <row r="763" spans="1:4" ht="15" customHeight="1">
      <c r="A763" s="206" t="str">
        <f ca="1">IFERROR(__xludf.DUMMYFUNCTION("""COMPUTED_VALUE"""),"AB001220")</f>
        <v>AB001220</v>
      </c>
      <c r="B763" s="205">
        <f ca="1">IFERROR(__xludf.DUMMYFUNCTION("""COMPUTED_VALUE"""),43602)</f>
        <v>43602</v>
      </c>
      <c r="C763" t="str">
        <f ca="1">IFERROR(__xludf.DUMMYFUNCTION("""COMPUTED_VALUE"""),"PA000164")</f>
        <v>PA000164</v>
      </c>
      <c r="D763" t="str">
        <f ca="1">IFERROR(__xludf.DUMMYFUNCTION("""COMPUTED_VALUE"""),"PA000164")</f>
        <v>PA000164</v>
      </c>
    </row>
    <row r="764" spans="1:4" ht="15" customHeight="1">
      <c r="A764" s="206" t="str">
        <f ca="1">IFERROR(__xludf.DUMMYFUNCTION("""COMPUTED_VALUE"""),"AB001221")</f>
        <v>AB001221</v>
      </c>
      <c r="B764" s="205">
        <f ca="1">IFERROR(__xludf.DUMMYFUNCTION("""COMPUTED_VALUE"""),43607)</f>
        <v>43607</v>
      </c>
      <c r="C764" t="str">
        <f ca="1">IFERROR(__xludf.DUMMYFUNCTION("""COMPUTED_VALUE"""),"PA000165")</f>
        <v>PA000165</v>
      </c>
      <c r="D764" t="str">
        <f ca="1">IFERROR(__xludf.DUMMYFUNCTION("""COMPUTED_VALUE"""),"PA000165")</f>
        <v>PA000165</v>
      </c>
    </row>
    <row r="765" spans="1:4" ht="15" customHeight="1">
      <c r="A765" s="206" t="str">
        <f ca="1">IFERROR(__xludf.DUMMYFUNCTION("""COMPUTED_VALUE"""),"AA030508")</f>
        <v>AA030508</v>
      </c>
      <c r="B765" s="205">
        <f ca="1">IFERROR(__xludf.DUMMYFUNCTION("""COMPUTED_VALUE"""),43605)</f>
        <v>43605</v>
      </c>
      <c r="C765" t="str">
        <f ca="1">IFERROR(__xludf.DUMMYFUNCTION("""COMPUTED_VALUE"""),"PA000166")</f>
        <v>PA000166</v>
      </c>
      <c r="D765" t="str">
        <f ca="1">IFERROR(__xludf.DUMMYFUNCTION("""COMPUTED_VALUE"""),"PA000166")</f>
        <v>PA000166</v>
      </c>
    </row>
    <row r="766" spans="1:4" ht="15" customHeight="1">
      <c r="A766" s="206" t="str">
        <f ca="1">IFERROR(__xludf.DUMMYFUNCTION("""COMPUTED_VALUE"""),"AB001224")</f>
        <v>AB001224</v>
      </c>
      <c r="B766" s="205">
        <f ca="1">IFERROR(__xludf.DUMMYFUNCTION("""COMPUTED_VALUE"""),43605)</f>
        <v>43605</v>
      </c>
      <c r="C766" t="str">
        <f ca="1">IFERROR(__xludf.DUMMYFUNCTION("""COMPUTED_VALUE"""),"PA000167")</f>
        <v>PA000167</v>
      </c>
      <c r="D766" t="str">
        <f ca="1">IFERROR(__xludf.DUMMYFUNCTION("""COMPUTED_VALUE"""),"PA000167")</f>
        <v>PA000167</v>
      </c>
    </row>
    <row r="767" spans="1:4" ht="15" customHeight="1">
      <c r="A767" s="206" t="str">
        <f ca="1">IFERROR(__xludf.DUMMYFUNCTION("""COMPUTED_VALUE"""),"AB001227")</f>
        <v>AB001227</v>
      </c>
      <c r="B767" s="205">
        <f ca="1">IFERROR(__xludf.DUMMYFUNCTION("""COMPUTED_VALUE"""),43605)</f>
        <v>43605</v>
      </c>
      <c r="C767" t="str">
        <f ca="1">IFERROR(__xludf.DUMMYFUNCTION("""COMPUTED_VALUE"""),"PA000089")</f>
        <v>PA000089</v>
      </c>
      <c r="D767" t="str">
        <f ca="1">IFERROR(__xludf.DUMMYFUNCTION("""COMPUTED_VALUE"""),"PA000089")</f>
        <v>PA000089</v>
      </c>
    </row>
    <row r="768" spans="1:4" ht="15" customHeight="1">
      <c r="A768" s="206" t="str">
        <f ca="1">IFERROR(__xludf.DUMMYFUNCTION("""COMPUTED_VALUE"""),"AB001251")</f>
        <v>AB001251</v>
      </c>
      <c r="B768" s="205">
        <f ca="1">IFERROR(__xludf.DUMMYFUNCTION("""COMPUTED_VALUE"""),43605)</f>
        <v>43605</v>
      </c>
      <c r="C768" t="str">
        <f ca="1">IFERROR(__xludf.DUMMYFUNCTION("""COMPUTED_VALUE"""),"PA000089")</f>
        <v>PA000089</v>
      </c>
      <c r="D768" t="str">
        <f ca="1">IFERROR(__xludf.DUMMYFUNCTION("""COMPUTED_VALUE"""),"PA000089")</f>
        <v>PA000089</v>
      </c>
    </row>
    <row r="769" spans="1:4" ht="15" customHeight="1">
      <c r="A769" s="206" t="str">
        <f ca="1">IFERROR(__xludf.DUMMYFUNCTION("""COMPUTED_VALUE"""),"AB001228")</f>
        <v>AB001228</v>
      </c>
      <c r="B769" s="205">
        <f ca="1">IFERROR(__xludf.DUMMYFUNCTION("""COMPUTED_VALUE"""),43605)</f>
        <v>43605</v>
      </c>
      <c r="C769" t="str">
        <f ca="1">IFERROR(__xludf.DUMMYFUNCTION("""COMPUTED_VALUE"""),"PA000168")</f>
        <v>PA000168</v>
      </c>
      <c r="D769" t="str">
        <f ca="1">IFERROR(__xludf.DUMMYFUNCTION("""COMPUTED_VALUE"""),"PA000168")</f>
        <v>PA000168</v>
      </c>
    </row>
    <row r="770" spans="1:4" ht="15" customHeight="1">
      <c r="A770" s="206" t="str">
        <f ca="1">IFERROR(__xludf.DUMMYFUNCTION("""COMPUTED_VALUE"""),"AA001938")</f>
        <v>AA001938</v>
      </c>
      <c r="B770" s="205">
        <f ca="1">IFERROR(__xludf.DUMMYFUNCTION("""COMPUTED_VALUE"""),43605)</f>
        <v>43605</v>
      </c>
      <c r="C770" t="str">
        <f ca="1">IFERROR(__xludf.DUMMYFUNCTION("""COMPUTED_VALUE"""),"PA000168")</f>
        <v>PA000168</v>
      </c>
      <c r="D770" t="str">
        <f ca="1">IFERROR(__xludf.DUMMYFUNCTION("""COMPUTED_VALUE"""),"PA000168")</f>
        <v>PA000168</v>
      </c>
    </row>
    <row r="771" spans="1:4" ht="15" customHeight="1">
      <c r="A771" s="206" t="str">
        <f ca="1">IFERROR(__xludf.DUMMYFUNCTION("""COMPUTED_VALUE"""),"AA001938")</f>
        <v>AA001938</v>
      </c>
      <c r="B771" s="205">
        <f ca="1">IFERROR(__xludf.DUMMYFUNCTION("""COMPUTED_VALUE"""),43605)</f>
        <v>43605</v>
      </c>
      <c r="C771" t="str">
        <f ca="1">IFERROR(__xludf.DUMMYFUNCTION("""COMPUTED_VALUE"""),"PA000168")</f>
        <v>PA000168</v>
      </c>
      <c r="D771" t="str">
        <f ca="1">IFERROR(__xludf.DUMMYFUNCTION("""COMPUTED_VALUE"""),"PA000168")</f>
        <v>PA000168</v>
      </c>
    </row>
    <row r="772" spans="1:4" ht="15" customHeight="1">
      <c r="A772" s="206" t="str">
        <f ca="1">IFERROR(__xludf.DUMMYFUNCTION("""COMPUTED_VALUE"""),"AA001938")</f>
        <v>AA001938</v>
      </c>
      <c r="B772" s="205">
        <f ca="1">IFERROR(__xludf.DUMMYFUNCTION("""COMPUTED_VALUE"""),43607)</f>
        <v>43607</v>
      </c>
      <c r="C772" t="str">
        <f ca="1">IFERROR(__xludf.DUMMYFUNCTION("""COMPUTED_VALUE"""),"PA000168")</f>
        <v>PA000168</v>
      </c>
      <c r="D772" t="str">
        <f ca="1">IFERROR(__xludf.DUMMYFUNCTION("""COMPUTED_VALUE"""),"PA000168")</f>
        <v>PA000168</v>
      </c>
    </row>
    <row r="773" spans="1:4" ht="15" customHeight="1">
      <c r="A773" s="206" t="str">
        <f ca="1">IFERROR(__xludf.DUMMYFUNCTION("""COMPUTED_VALUE"""),"AB001259")</f>
        <v>AB001259</v>
      </c>
      <c r="B773" s="205">
        <f ca="1">IFERROR(__xludf.DUMMYFUNCTION("""COMPUTED_VALUE"""),43605)</f>
        <v>43605</v>
      </c>
      <c r="C773" t="str">
        <f ca="1">IFERROR(__xludf.DUMMYFUNCTION("""COMPUTED_VALUE"""),"PA000168")</f>
        <v>PA000168</v>
      </c>
      <c r="D773" t="str">
        <f ca="1">IFERROR(__xludf.DUMMYFUNCTION("""COMPUTED_VALUE"""),"PA000168")</f>
        <v>PA000168</v>
      </c>
    </row>
    <row r="774" spans="1:4" ht="15" customHeight="1">
      <c r="A774" s="206" t="str">
        <f ca="1">IFERROR(__xludf.DUMMYFUNCTION("""COMPUTED_VALUE"""),"AB001140")</f>
        <v>AB001140</v>
      </c>
      <c r="B774" s="205">
        <f ca="1">IFERROR(__xludf.DUMMYFUNCTION("""COMPUTED_VALUE"""),43605)</f>
        <v>43605</v>
      </c>
      <c r="C774" t="str">
        <f ca="1">IFERROR(__xludf.DUMMYFUNCTION("""COMPUTED_VALUE"""),"PA000121")</f>
        <v>PA000121</v>
      </c>
      <c r="D774" t="str">
        <f ca="1">IFERROR(__xludf.DUMMYFUNCTION("""COMPUTED_VALUE"""),"PA000121")</f>
        <v>PA000121</v>
      </c>
    </row>
    <row r="775" spans="1:4" ht="15" customHeight="1">
      <c r="A775" s="206" t="str">
        <f ca="1">IFERROR(__xludf.DUMMYFUNCTION("""COMPUTED_VALUE"""),"AB001038")</f>
        <v>AB001038</v>
      </c>
      <c r="B775" s="205">
        <f ca="1">IFERROR(__xludf.DUMMYFUNCTION("""COMPUTED_VALUE"""),43606)</f>
        <v>43606</v>
      </c>
      <c r="C775" t="str">
        <f ca="1">IFERROR(__xludf.DUMMYFUNCTION("""COMPUTED_VALUE"""),"PA000121")</f>
        <v>PA000121</v>
      </c>
      <c r="D775" t="str">
        <f ca="1">IFERROR(__xludf.DUMMYFUNCTION("""COMPUTED_VALUE"""),"PA000121")</f>
        <v>PA000121</v>
      </c>
    </row>
    <row r="776" spans="1:4" ht="15" customHeight="1">
      <c r="A776" s="206" t="str">
        <f ca="1">IFERROR(__xludf.DUMMYFUNCTION("""COMPUTED_VALUE"""),"AB001229")</f>
        <v>AB001229</v>
      </c>
      <c r="B776" s="205">
        <f ca="1">IFERROR(__xludf.DUMMYFUNCTION("""COMPUTED_VALUE"""),43606)</f>
        <v>43606</v>
      </c>
      <c r="C776" t="str">
        <f ca="1">IFERROR(__xludf.DUMMYFUNCTION("""COMPUTED_VALUE"""),"PA000121")</f>
        <v>PA000121</v>
      </c>
      <c r="D776" t="str">
        <f ca="1">IFERROR(__xludf.DUMMYFUNCTION("""COMPUTED_VALUE"""),"PA000121")</f>
        <v>PA000121</v>
      </c>
    </row>
    <row r="777" spans="1:4" ht="15" customHeight="1">
      <c r="A777" s="206" t="str">
        <f ca="1">IFERROR(__xludf.DUMMYFUNCTION("""COMPUTED_VALUE"""),"AB001260")</f>
        <v>AB001260</v>
      </c>
      <c r="B777" s="205">
        <f ca="1">IFERROR(__xludf.DUMMYFUNCTION("""COMPUTED_VALUE"""),43606)</f>
        <v>43606</v>
      </c>
      <c r="C777" t="str">
        <f ca="1">IFERROR(__xludf.DUMMYFUNCTION("""COMPUTED_VALUE"""),"PA000137")</f>
        <v>PA000137</v>
      </c>
      <c r="D777" t="str">
        <f ca="1">IFERROR(__xludf.DUMMYFUNCTION("""COMPUTED_VALUE"""),"PA000137")</f>
        <v>PA000137</v>
      </c>
    </row>
    <row r="778" spans="1:4" ht="15" customHeight="1">
      <c r="A778" s="206" t="str">
        <f ca="1">IFERROR(__xludf.DUMMYFUNCTION("""COMPUTED_VALUE"""),"AB001081")</f>
        <v>AB001081</v>
      </c>
      <c r="B778" s="205">
        <f ca="1">IFERROR(__xludf.DUMMYFUNCTION("""COMPUTED_VALUE"""),43606)</f>
        <v>43606</v>
      </c>
      <c r="C778" t="str">
        <f ca="1">IFERROR(__xludf.DUMMYFUNCTION("""COMPUTED_VALUE"""),"PA000138")</f>
        <v>PA000138</v>
      </c>
      <c r="D778" t="str">
        <f ca="1">IFERROR(__xludf.DUMMYFUNCTION("""COMPUTED_VALUE"""),"PA000138")</f>
        <v>PA000138</v>
      </c>
    </row>
    <row r="779" spans="1:4" ht="15" customHeight="1">
      <c r="A779" s="206" t="str">
        <f ca="1">IFERROR(__xludf.DUMMYFUNCTION("""COMPUTED_VALUE"""),"AB001082")</f>
        <v>AB001082</v>
      </c>
      <c r="B779" s="205">
        <f ca="1">IFERROR(__xludf.DUMMYFUNCTION("""COMPUTED_VALUE"""),43606)</f>
        <v>43606</v>
      </c>
      <c r="C779" t="str">
        <f ca="1">IFERROR(__xludf.DUMMYFUNCTION("""COMPUTED_VALUE"""),"PA000138")</f>
        <v>PA000138</v>
      </c>
      <c r="D779" t="str">
        <f ca="1">IFERROR(__xludf.DUMMYFUNCTION("""COMPUTED_VALUE"""),"PA000138")</f>
        <v>PA000138</v>
      </c>
    </row>
    <row r="780" spans="1:4" ht="15" customHeight="1">
      <c r="A780" s="206" t="str">
        <f ca="1">IFERROR(__xludf.DUMMYFUNCTION("""COMPUTED_VALUE"""),"AB001083")</f>
        <v>AB001083</v>
      </c>
      <c r="B780" s="205">
        <f ca="1">IFERROR(__xludf.DUMMYFUNCTION("""COMPUTED_VALUE"""),43606)</f>
        <v>43606</v>
      </c>
      <c r="C780" t="str">
        <f ca="1">IFERROR(__xludf.DUMMYFUNCTION("""COMPUTED_VALUE"""),"PA000138")</f>
        <v>PA000138</v>
      </c>
      <c r="D780" t="str">
        <f ca="1">IFERROR(__xludf.DUMMYFUNCTION("""COMPUTED_VALUE"""),"PA000138")</f>
        <v>PA000138</v>
      </c>
    </row>
    <row r="781" spans="1:4" ht="15" customHeight="1">
      <c r="A781" s="206" t="str">
        <f ca="1">IFERROR(__xludf.DUMMYFUNCTION("""COMPUTED_VALUE"""),"AB001084")</f>
        <v>AB001084</v>
      </c>
      <c r="B781" s="205">
        <f ca="1">IFERROR(__xludf.DUMMYFUNCTION("""COMPUTED_VALUE"""),43606)</f>
        <v>43606</v>
      </c>
      <c r="C781" t="str">
        <f ca="1">IFERROR(__xludf.DUMMYFUNCTION("""COMPUTED_VALUE"""),"PA000138")</f>
        <v>PA000138</v>
      </c>
      <c r="D781" t="str">
        <f ca="1">IFERROR(__xludf.DUMMYFUNCTION("""COMPUTED_VALUE"""),"PA000138")</f>
        <v>PA000138</v>
      </c>
    </row>
    <row r="782" spans="1:4" ht="15" customHeight="1">
      <c r="A782" s="206" t="str">
        <f ca="1">IFERROR(__xludf.DUMMYFUNCTION("""COMPUTED_VALUE"""),"AB001085")</f>
        <v>AB001085</v>
      </c>
      <c r="B782" s="205">
        <f ca="1">IFERROR(__xludf.DUMMYFUNCTION("""COMPUTED_VALUE"""),43606)</f>
        <v>43606</v>
      </c>
      <c r="C782" t="str">
        <f ca="1">IFERROR(__xludf.DUMMYFUNCTION("""COMPUTED_VALUE"""),"PA000138")</f>
        <v>PA000138</v>
      </c>
      <c r="D782" t="str">
        <f ca="1">IFERROR(__xludf.DUMMYFUNCTION("""COMPUTED_VALUE"""),"PA000138")</f>
        <v>PA000138</v>
      </c>
    </row>
    <row r="783" spans="1:4" ht="15" customHeight="1">
      <c r="A783" s="206" t="str">
        <f ca="1">IFERROR(__xludf.DUMMYFUNCTION("""COMPUTED_VALUE"""),"AB001086")</f>
        <v>AB001086</v>
      </c>
      <c r="B783" s="205">
        <f ca="1">IFERROR(__xludf.DUMMYFUNCTION("""COMPUTED_VALUE"""),43606)</f>
        <v>43606</v>
      </c>
      <c r="C783" t="str">
        <f ca="1">IFERROR(__xludf.DUMMYFUNCTION("""COMPUTED_VALUE"""),"PA000138")</f>
        <v>PA000138</v>
      </c>
      <c r="D783" t="str">
        <f ca="1">IFERROR(__xludf.DUMMYFUNCTION("""COMPUTED_VALUE"""),"PA000138")</f>
        <v>PA000138</v>
      </c>
    </row>
    <row r="784" spans="1:4" ht="15" customHeight="1">
      <c r="A784" s="206" t="str">
        <f ca="1">IFERROR(__xludf.DUMMYFUNCTION("""COMPUTED_VALUE"""),"AB001087")</f>
        <v>AB001087</v>
      </c>
      <c r="B784" s="205">
        <f ca="1">IFERROR(__xludf.DUMMYFUNCTION("""COMPUTED_VALUE"""),43606)</f>
        <v>43606</v>
      </c>
      <c r="C784" t="str">
        <f ca="1">IFERROR(__xludf.DUMMYFUNCTION("""COMPUTED_VALUE"""),"PA000138")</f>
        <v>PA000138</v>
      </c>
      <c r="D784" t="str">
        <f ca="1">IFERROR(__xludf.DUMMYFUNCTION("""COMPUTED_VALUE"""),"PA000138")</f>
        <v>PA000138</v>
      </c>
    </row>
    <row r="785" spans="1:4" ht="15" customHeight="1">
      <c r="A785" s="206" t="str">
        <f ca="1">IFERROR(__xludf.DUMMYFUNCTION("""COMPUTED_VALUE"""),"AB001049")</f>
        <v>AB001049</v>
      </c>
      <c r="B785" s="205">
        <f ca="1">IFERROR(__xludf.DUMMYFUNCTION("""COMPUTED_VALUE"""),43607)</f>
        <v>43607</v>
      </c>
      <c r="C785" t="str">
        <f ca="1">IFERROR(__xludf.DUMMYFUNCTION("""COMPUTED_VALUE"""),"PA000138")</f>
        <v>PA000138</v>
      </c>
      <c r="D785" t="str">
        <f ca="1">IFERROR(__xludf.DUMMYFUNCTION("""COMPUTED_VALUE"""),"PA000138")</f>
        <v>PA000138</v>
      </c>
    </row>
    <row r="786" spans="1:4" ht="15" customHeight="1">
      <c r="A786" s="206" t="str">
        <f ca="1">IFERROR(__xludf.DUMMYFUNCTION("""COMPUTED_VALUE"""),"AB001049")</f>
        <v>AB001049</v>
      </c>
      <c r="B786" s="205">
        <f ca="1">IFERROR(__xludf.DUMMYFUNCTION("""COMPUTED_VALUE"""),43607)</f>
        <v>43607</v>
      </c>
      <c r="C786" t="str">
        <f ca="1">IFERROR(__xludf.DUMMYFUNCTION("""COMPUTED_VALUE"""),"PA000138")</f>
        <v>PA000138</v>
      </c>
      <c r="D786" t="str">
        <f ca="1">IFERROR(__xludf.DUMMYFUNCTION("""COMPUTED_VALUE"""),"PA000138")</f>
        <v>PA000138</v>
      </c>
    </row>
    <row r="787" spans="1:4" ht="15" customHeight="1">
      <c r="A787" s="206" t="str">
        <f ca="1">IFERROR(__xludf.DUMMYFUNCTION("""COMPUTED_VALUE"""),"AB001262")</f>
        <v>AB001262</v>
      </c>
      <c r="B787" s="205">
        <f ca="1">IFERROR(__xludf.DUMMYFUNCTION("""COMPUTED_VALUE"""),43608)</f>
        <v>43608</v>
      </c>
      <c r="C787" t="str">
        <f ca="1">IFERROR(__xludf.DUMMYFUNCTION("""COMPUTED_VALUE"""),"PA000091")</f>
        <v>PA000091</v>
      </c>
      <c r="D787" t="str">
        <f ca="1">IFERROR(__xludf.DUMMYFUNCTION("""COMPUTED_VALUE"""),"PA000091")</f>
        <v>PA000091</v>
      </c>
    </row>
    <row r="788" spans="1:4" ht="15" customHeight="1">
      <c r="A788" s="206" t="str">
        <f ca="1">IFERROR(__xludf.DUMMYFUNCTION("""COMPUTED_VALUE"""),"AB001261")</f>
        <v>AB001261</v>
      </c>
      <c r="B788" s="205">
        <f ca="1">IFERROR(__xludf.DUMMYFUNCTION("""COMPUTED_VALUE"""),43607)</f>
        <v>43607</v>
      </c>
      <c r="C788" t="str">
        <f ca="1">IFERROR(__xludf.DUMMYFUNCTION("""COMPUTED_VALUE"""),"PA000038")</f>
        <v>PA000038</v>
      </c>
      <c r="D788" t="str">
        <f ca="1">IFERROR(__xludf.DUMMYFUNCTION("""COMPUTED_VALUE"""),"PA000038")</f>
        <v>PA000038</v>
      </c>
    </row>
    <row r="789" spans="1:4" ht="15" customHeight="1">
      <c r="A789" s="206" t="str">
        <f ca="1">IFERROR(__xludf.DUMMYFUNCTION("""COMPUTED_VALUE"""),"AB001301")</f>
        <v>AB001301</v>
      </c>
      <c r="B789" s="205">
        <f ca="1">IFERROR(__xludf.DUMMYFUNCTION("""COMPUTED_VALUE"""),43607)</f>
        <v>43607</v>
      </c>
      <c r="C789" t="str">
        <f ca="1">IFERROR(__xludf.DUMMYFUNCTION("""COMPUTED_VALUE"""),"PA000038")</f>
        <v>PA000038</v>
      </c>
      <c r="D789" t="str">
        <f ca="1">IFERROR(__xludf.DUMMYFUNCTION("""COMPUTED_VALUE"""),"PA000038")</f>
        <v>PA000038</v>
      </c>
    </row>
    <row r="790" spans="1:4" ht="15" customHeight="1">
      <c r="A790" s="206" t="str">
        <f ca="1">IFERROR(__xludf.DUMMYFUNCTION("""COMPUTED_VALUE"""),"AB001263")</f>
        <v>AB001263</v>
      </c>
      <c r="B790" s="205">
        <f ca="1">IFERROR(__xludf.DUMMYFUNCTION("""COMPUTED_VALUE"""),43607)</f>
        <v>43607</v>
      </c>
      <c r="C790" t="str">
        <f ca="1">IFERROR(__xludf.DUMMYFUNCTION("""COMPUTED_VALUE"""),"")</f>
        <v/>
      </c>
      <c r="D790" t="str">
        <f ca="1">IFERROR(__xludf.DUMMYFUNCTION("""COMPUTED_VALUE"""),"")</f>
        <v/>
      </c>
    </row>
    <row r="791" spans="1:4" ht="15" customHeight="1">
      <c r="A791" s="206" t="str">
        <f ca="1">IFERROR(__xludf.DUMMYFUNCTION("""COMPUTED_VALUE"""),"AB001264")</f>
        <v>AB001264</v>
      </c>
      <c r="B791" s="205">
        <f ca="1">IFERROR(__xludf.DUMMYFUNCTION("""COMPUTED_VALUE"""),43607)</f>
        <v>43607</v>
      </c>
      <c r="C791" t="str">
        <f ca="1">IFERROR(__xludf.DUMMYFUNCTION("""COMPUTED_VALUE"""),"PA000141")</f>
        <v>PA000141</v>
      </c>
      <c r="D791" t="str">
        <f ca="1">IFERROR(__xludf.DUMMYFUNCTION("""COMPUTED_VALUE"""),"PA000141")</f>
        <v>PA000141</v>
      </c>
    </row>
    <row r="792" spans="1:4" ht="15" customHeight="1">
      <c r="A792" s="206" t="str">
        <f ca="1">IFERROR(__xludf.DUMMYFUNCTION("""COMPUTED_VALUE"""),"AB001265")</f>
        <v>AB001265</v>
      </c>
      <c r="B792" s="205">
        <f ca="1">IFERROR(__xludf.DUMMYFUNCTION("""COMPUTED_VALUE"""),43608)</f>
        <v>43608</v>
      </c>
      <c r="C792" t="str">
        <f ca="1">IFERROR(__xludf.DUMMYFUNCTION("""COMPUTED_VALUE"""),"PA000141")</f>
        <v>PA000141</v>
      </c>
      <c r="D792" t="str">
        <f ca="1">IFERROR(__xludf.DUMMYFUNCTION("""COMPUTED_VALUE"""),"PA000141")</f>
        <v>PA000141</v>
      </c>
    </row>
    <row r="793" spans="1:4" ht="15" customHeight="1">
      <c r="A793" s="206" t="str">
        <f ca="1">IFERROR(__xludf.DUMMYFUNCTION("""COMPUTED_VALUE"""),"AB001267")</f>
        <v>AB001267</v>
      </c>
      <c r="B793" s="205">
        <f ca="1">IFERROR(__xludf.DUMMYFUNCTION("""COMPUTED_VALUE"""),43608)</f>
        <v>43608</v>
      </c>
      <c r="C793" t="str">
        <f ca="1">IFERROR(__xludf.DUMMYFUNCTION("""COMPUTED_VALUE"""),"PA000141")</f>
        <v>PA000141</v>
      </c>
      <c r="D793" t="str">
        <f ca="1">IFERROR(__xludf.DUMMYFUNCTION("""COMPUTED_VALUE"""),"PA000141")</f>
        <v>PA000141</v>
      </c>
    </row>
    <row r="794" spans="1:4" ht="15" customHeight="1">
      <c r="A794" s="206" t="str">
        <f ca="1">IFERROR(__xludf.DUMMYFUNCTION("""COMPUTED_VALUE"""),"AB001267")</f>
        <v>AB001267</v>
      </c>
      <c r="B794" s="205">
        <f ca="1">IFERROR(__xludf.DUMMYFUNCTION("""COMPUTED_VALUE"""),43608)</f>
        <v>43608</v>
      </c>
      <c r="C794" t="str">
        <f ca="1">IFERROR(__xludf.DUMMYFUNCTION("""COMPUTED_VALUE"""),"PA000141")</f>
        <v>PA000141</v>
      </c>
      <c r="D794" t="str">
        <f ca="1">IFERROR(__xludf.DUMMYFUNCTION("""COMPUTED_VALUE"""),"PA000141")</f>
        <v>PA000141</v>
      </c>
    </row>
    <row r="795" spans="1:4" ht="15" customHeight="1">
      <c r="A795" s="206" t="str">
        <f ca="1">IFERROR(__xludf.DUMMYFUNCTION("""COMPUTED_VALUE"""),"AB001267")</f>
        <v>AB001267</v>
      </c>
      <c r="B795" s="205">
        <f ca="1">IFERROR(__xludf.DUMMYFUNCTION("""COMPUTED_VALUE"""),43608)</f>
        <v>43608</v>
      </c>
      <c r="C795" t="str">
        <f ca="1">IFERROR(__xludf.DUMMYFUNCTION("""COMPUTED_VALUE"""),"PA000141")</f>
        <v>PA000141</v>
      </c>
      <c r="D795" t="str">
        <f ca="1">IFERROR(__xludf.DUMMYFUNCTION("""COMPUTED_VALUE"""),"PA000141")</f>
        <v>PA000141</v>
      </c>
    </row>
    <row r="796" spans="1:4" ht="15" customHeight="1">
      <c r="A796" s="206" t="str">
        <f ca="1">IFERROR(__xludf.DUMMYFUNCTION("""COMPUTED_VALUE"""),"AB001267")</f>
        <v>AB001267</v>
      </c>
      <c r="B796" s="205">
        <f ca="1">IFERROR(__xludf.DUMMYFUNCTION("""COMPUTED_VALUE"""),43608)</f>
        <v>43608</v>
      </c>
      <c r="C796" t="str">
        <f ca="1">IFERROR(__xludf.DUMMYFUNCTION("""COMPUTED_VALUE"""),"PA000141")</f>
        <v>PA000141</v>
      </c>
      <c r="D796" t="str">
        <f ca="1">IFERROR(__xludf.DUMMYFUNCTION("""COMPUTED_VALUE"""),"PA000141")</f>
        <v>PA000141</v>
      </c>
    </row>
    <row r="797" spans="1:4" ht="15" customHeight="1">
      <c r="A797" s="206" t="str">
        <f ca="1">IFERROR(__xludf.DUMMYFUNCTION("""COMPUTED_VALUE"""),"AB001267")</f>
        <v>AB001267</v>
      </c>
      <c r="B797" s="205">
        <f ca="1">IFERROR(__xludf.DUMMYFUNCTION("""COMPUTED_VALUE"""),43608)</f>
        <v>43608</v>
      </c>
      <c r="C797" t="str">
        <f ca="1">IFERROR(__xludf.DUMMYFUNCTION("""COMPUTED_VALUE"""),"PA000141")</f>
        <v>PA000141</v>
      </c>
      <c r="D797" t="str">
        <f ca="1">IFERROR(__xludf.DUMMYFUNCTION("""COMPUTED_VALUE"""),"PA000141")</f>
        <v>PA000141</v>
      </c>
    </row>
    <row r="798" spans="1:4" ht="15" customHeight="1">
      <c r="A798" s="206" t="str">
        <f ca="1">IFERROR(__xludf.DUMMYFUNCTION("""COMPUTED_VALUE"""),"AB001267")</f>
        <v>AB001267</v>
      </c>
      <c r="B798" s="205">
        <f ca="1">IFERROR(__xludf.DUMMYFUNCTION("""COMPUTED_VALUE"""),43608)</f>
        <v>43608</v>
      </c>
      <c r="C798" t="str">
        <f ca="1">IFERROR(__xludf.DUMMYFUNCTION("""COMPUTED_VALUE"""),"PA000090")</f>
        <v>PA000090</v>
      </c>
      <c r="D798" t="str">
        <f ca="1">IFERROR(__xludf.DUMMYFUNCTION("""COMPUTED_VALUE"""),"PA000090")</f>
        <v>PA000090</v>
      </c>
    </row>
    <row r="799" spans="1:4" ht="15" customHeight="1">
      <c r="A799" s="206" t="str">
        <f ca="1">IFERROR(__xludf.DUMMYFUNCTION("""COMPUTED_VALUE"""),"AB001267")</f>
        <v>AB001267</v>
      </c>
      <c r="B799" s="205">
        <f ca="1">IFERROR(__xludf.DUMMYFUNCTION("""COMPUTED_VALUE"""),43608)</f>
        <v>43608</v>
      </c>
      <c r="C799" t="str">
        <f ca="1">IFERROR(__xludf.DUMMYFUNCTION("""COMPUTED_VALUE"""),"PA000144")</f>
        <v>PA000144</v>
      </c>
      <c r="D799" t="str">
        <f ca="1">IFERROR(__xludf.DUMMYFUNCTION("""COMPUTED_VALUE"""),"PA000144")</f>
        <v>PA000144</v>
      </c>
    </row>
    <row r="800" spans="1:4" ht="15" customHeight="1">
      <c r="A800" s="206" t="str">
        <f ca="1">IFERROR(__xludf.DUMMYFUNCTION("""COMPUTED_VALUE"""),"AB001230")</f>
        <v>AB001230</v>
      </c>
      <c r="B800" s="205">
        <f ca="1">IFERROR(__xludf.DUMMYFUNCTION("""COMPUTED_VALUE"""),43612)</f>
        <v>43612</v>
      </c>
      <c r="C800" t="str">
        <f ca="1">IFERROR(__xludf.DUMMYFUNCTION("""COMPUTED_VALUE"""),"PA000094")</f>
        <v>PA000094</v>
      </c>
      <c r="D800" t="str">
        <f ca="1">IFERROR(__xludf.DUMMYFUNCTION("""COMPUTED_VALUE"""),"PA000094")</f>
        <v>PA000094</v>
      </c>
    </row>
    <row r="801" spans="1:4" ht="15" customHeight="1">
      <c r="A801" s="206" t="str">
        <f ca="1">IFERROR(__xludf.DUMMYFUNCTION("""COMPUTED_VALUE"""),"AB001075")</f>
        <v>AB001075</v>
      </c>
      <c r="B801" s="205">
        <f ca="1">IFERROR(__xludf.DUMMYFUNCTION("""COMPUTED_VALUE"""),43609)</f>
        <v>43609</v>
      </c>
      <c r="C801" t="str">
        <f ca="1">IFERROR(__xludf.DUMMYFUNCTION("""COMPUTED_VALUE"""),"PA000094")</f>
        <v>PA000094</v>
      </c>
      <c r="D801" t="str">
        <f ca="1">IFERROR(__xludf.DUMMYFUNCTION("""COMPUTED_VALUE"""),"PA000094")</f>
        <v>PA000094</v>
      </c>
    </row>
    <row r="802" spans="1:4" ht="15" customHeight="1">
      <c r="A802" s="206" t="str">
        <f ca="1">IFERROR(__xludf.DUMMYFUNCTION("""COMPUTED_VALUE"""),"AB001076")</f>
        <v>AB001076</v>
      </c>
      <c r="B802" s="205">
        <f ca="1">IFERROR(__xludf.DUMMYFUNCTION("""COMPUTED_VALUE"""),43609)</f>
        <v>43609</v>
      </c>
      <c r="C802" t="str">
        <f ca="1">IFERROR(__xludf.DUMMYFUNCTION("""COMPUTED_VALUE"""),"PA000094")</f>
        <v>PA000094</v>
      </c>
      <c r="D802" t="str">
        <f ca="1">IFERROR(__xludf.DUMMYFUNCTION("""COMPUTED_VALUE"""),"PA000094")</f>
        <v>PA000094</v>
      </c>
    </row>
    <row r="803" spans="1:4" ht="15" customHeight="1">
      <c r="A803" s="206" t="str">
        <f ca="1">IFERROR(__xludf.DUMMYFUNCTION("""COMPUTED_VALUE"""),"AB001077")</f>
        <v>AB001077</v>
      </c>
      <c r="B803" s="205">
        <f ca="1">IFERROR(__xludf.DUMMYFUNCTION("""COMPUTED_VALUE"""),43609)</f>
        <v>43609</v>
      </c>
      <c r="C803" t="str">
        <f ca="1">IFERROR(__xludf.DUMMYFUNCTION("""COMPUTED_VALUE"""),"PA000094")</f>
        <v>PA000094</v>
      </c>
      <c r="D803" t="str">
        <f ca="1">IFERROR(__xludf.DUMMYFUNCTION("""COMPUTED_VALUE"""),"PA000094")</f>
        <v>PA000094</v>
      </c>
    </row>
    <row r="804" spans="1:4" ht="15" customHeight="1">
      <c r="A804" s="206" t="str">
        <f ca="1">IFERROR(__xludf.DUMMYFUNCTION("""COMPUTED_VALUE"""),"AB001268")</f>
        <v>AB001268</v>
      </c>
      <c r="B804" s="205">
        <f ca="1">IFERROR(__xludf.DUMMYFUNCTION("""COMPUTED_VALUE"""),43609)</f>
        <v>43609</v>
      </c>
      <c r="C804" t="str">
        <f ca="1">IFERROR(__xludf.DUMMYFUNCTION("""COMPUTED_VALUE"""),"PA000094")</f>
        <v>PA000094</v>
      </c>
      <c r="D804" t="str">
        <f ca="1">IFERROR(__xludf.DUMMYFUNCTION("""COMPUTED_VALUE"""),"PA000094")</f>
        <v>PA000094</v>
      </c>
    </row>
    <row r="805" spans="1:4" ht="15" customHeight="1">
      <c r="A805" s="206" t="str">
        <f ca="1">IFERROR(__xludf.DUMMYFUNCTION("""COMPUTED_VALUE"""),"AB001268")</f>
        <v>AB001268</v>
      </c>
      <c r="B805" s="205">
        <f ca="1">IFERROR(__xludf.DUMMYFUNCTION("""COMPUTED_VALUE"""),43609)</f>
        <v>43609</v>
      </c>
      <c r="C805" t="str">
        <f ca="1">IFERROR(__xludf.DUMMYFUNCTION("""COMPUTED_VALUE"""),"PA000145")</f>
        <v>PA000145</v>
      </c>
      <c r="D805" t="str">
        <f ca="1">IFERROR(__xludf.DUMMYFUNCTION("""COMPUTED_VALUE"""),"PA000145")</f>
        <v>PA000145</v>
      </c>
    </row>
    <row r="806" spans="1:4" ht="15" customHeight="1">
      <c r="A806" s="206" t="str">
        <f ca="1">IFERROR(__xludf.DUMMYFUNCTION("""COMPUTED_VALUE"""),"AB001231")</f>
        <v>AB001231</v>
      </c>
      <c r="B806" s="205">
        <f ca="1">IFERROR(__xludf.DUMMYFUNCTION("""COMPUTED_VALUE"""),43613)</f>
        <v>43613</v>
      </c>
      <c r="C806" t="str">
        <f ca="1">IFERROR(__xludf.DUMMYFUNCTION("""COMPUTED_VALUE"""),"PA000093")</f>
        <v>PA000093</v>
      </c>
      <c r="D806" t="str">
        <f ca="1">IFERROR(__xludf.DUMMYFUNCTION("""COMPUTED_VALUE"""),"PA000093")</f>
        <v>PA000093</v>
      </c>
    </row>
    <row r="807" spans="1:4" ht="15" customHeight="1">
      <c r="A807" s="206" t="str">
        <f ca="1">IFERROR(__xludf.DUMMYFUNCTION("""COMPUTED_VALUE"""),"AB001226")</f>
        <v>AB001226</v>
      </c>
      <c r="B807" s="205">
        <f ca="1">IFERROR(__xludf.DUMMYFUNCTION("""COMPUTED_VALUE"""),43613)</f>
        <v>43613</v>
      </c>
      <c r="C807" t="str">
        <f ca="1">IFERROR(__xludf.DUMMYFUNCTION("""COMPUTED_VALUE"""),"PA000093")</f>
        <v>PA000093</v>
      </c>
      <c r="D807" t="str">
        <f ca="1">IFERROR(__xludf.DUMMYFUNCTION("""COMPUTED_VALUE"""),"PA000093")</f>
        <v>PA000093</v>
      </c>
    </row>
    <row r="808" spans="1:4" ht="15" customHeight="1">
      <c r="A808" s="206" t="str">
        <f ca="1">IFERROR(__xludf.DUMMYFUNCTION("""COMPUTED_VALUE"""),"AB001222")</f>
        <v>AB001222</v>
      </c>
      <c r="B808" s="205">
        <f ca="1">IFERROR(__xludf.DUMMYFUNCTION("""COMPUTED_VALUE"""),43613)</f>
        <v>43613</v>
      </c>
      <c r="C808" t="str">
        <f ca="1">IFERROR(__xludf.DUMMYFUNCTION("""COMPUTED_VALUE"""),"PA000093")</f>
        <v>PA000093</v>
      </c>
      <c r="D808" t="str">
        <f ca="1">IFERROR(__xludf.DUMMYFUNCTION("""COMPUTED_VALUE"""),"PA000093")</f>
        <v>PA000093</v>
      </c>
    </row>
    <row r="809" spans="1:4" ht="15" customHeight="1">
      <c r="A809" s="206" t="str">
        <f ca="1">IFERROR(__xludf.DUMMYFUNCTION("""COMPUTED_VALUE"""),"AB001256")</f>
        <v>AB001256</v>
      </c>
      <c r="B809" s="205">
        <f ca="1">IFERROR(__xludf.DUMMYFUNCTION("""COMPUTED_VALUE"""),43615)</f>
        <v>43615</v>
      </c>
      <c r="C809" t="str">
        <f ca="1">IFERROR(__xludf.DUMMYFUNCTION("""COMPUTED_VALUE"""),"PA000093")</f>
        <v>PA000093</v>
      </c>
      <c r="D809" t="str">
        <f ca="1">IFERROR(__xludf.DUMMYFUNCTION("""COMPUTED_VALUE"""),"PA000093")</f>
        <v>PA000093</v>
      </c>
    </row>
    <row r="810" spans="1:4" ht="15" customHeight="1">
      <c r="A810" s="206" t="str">
        <f ca="1">IFERROR(__xludf.DUMMYFUNCTION("""COMPUTED_VALUE"""),"AB001232")</f>
        <v>AB001232</v>
      </c>
      <c r="B810" s="205">
        <f ca="1">IFERROR(__xludf.DUMMYFUNCTION("""COMPUTED_VALUE"""),43614)</f>
        <v>43614</v>
      </c>
      <c r="C810" t="str">
        <f ca="1">IFERROR(__xludf.DUMMYFUNCTION("""COMPUTED_VALUE"""),"PA000146")</f>
        <v>PA000146</v>
      </c>
      <c r="D810" t="str">
        <f ca="1">IFERROR(__xludf.DUMMYFUNCTION("""COMPUTED_VALUE"""),"PA000146")</f>
        <v>PA000146</v>
      </c>
    </row>
    <row r="811" spans="1:4" ht="15" customHeight="1">
      <c r="A811" s="206" t="str">
        <f ca="1">IFERROR(__xludf.DUMMYFUNCTION("""COMPUTED_VALUE"""),"AB001269")</f>
        <v>AB001269</v>
      </c>
      <c r="B811" s="205">
        <f ca="1">IFERROR(__xludf.DUMMYFUNCTION("""COMPUTED_VALUE"""),43614)</f>
        <v>43614</v>
      </c>
      <c r="C811" t="str">
        <f ca="1">IFERROR(__xludf.DUMMYFUNCTION("""COMPUTED_VALUE"""),"PA000146")</f>
        <v>PA000146</v>
      </c>
      <c r="D811" t="str">
        <f ca="1">IFERROR(__xludf.DUMMYFUNCTION("""COMPUTED_VALUE"""),"PA000146")</f>
        <v>PA000146</v>
      </c>
    </row>
    <row r="812" spans="1:4" ht="15" customHeight="1">
      <c r="A812" s="206" t="str">
        <f ca="1">IFERROR(__xludf.DUMMYFUNCTION("""COMPUTED_VALUE"""),"AB001303")</f>
        <v>AB001303</v>
      </c>
      <c r="B812" s="205">
        <f ca="1">IFERROR(__xludf.DUMMYFUNCTION("""COMPUTED_VALUE"""),43627)</f>
        <v>43627</v>
      </c>
      <c r="C812" t="str">
        <f ca="1">IFERROR(__xludf.DUMMYFUNCTION("""COMPUTED_VALUE"""),"PA000147")</f>
        <v>PA000147</v>
      </c>
      <c r="D812" t="str">
        <f ca="1">IFERROR(__xludf.DUMMYFUNCTION("""COMPUTED_VALUE"""),"PA000147")</f>
        <v>PA000147</v>
      </c>
    </row>
    <row r="813" spans="1:4" ht="15" customHeight="1">
      <c r="A813" s="206" t="str">
        <f ca="1">IFERROR(__xludf.DUMMYFUNCTION("""COMPUTED_VALUE"""),"AB001234")</f>
        <v>AB001234</v>
      </c>
      <c r="B813" s="205">
        <f ca="1">IFERROR(__xludf.DUMMYFUNCTION("""COMPUTED_VALUE"""),43616)</f>
        <v>43616</v>
      </c>
      <c r="C813" t="str">
        <f ca="1">IFERROR(__xludf.DUMMYFUNCTION("""COMPUTED_VALUE"""),"PA000148")</f>
        <v>PA000148</v>
      </c>
      <c r="D813" t="str">
        <f ca="1">IFERROR(__xludf.DUMMYFUNCTION("""COMPUTED_VALUE"""),"PA000148")</f>
        <v>PA000148</v>
      </c>
    </row>
    <row r="814" spans="1:4" ht="15" customHeight="1">
      <c r="A814" s="206" t="str">
        <f ca="1">IFERROR(__xludf.DUMMYFUNCTION("""COMPUTED_VALUE"""),"AB001235")</f>
        <v>AB001235</v>
      </c>
      <c r="B814" s="205">
        <f ca="1">IFERROR(__xludf.DUMMYFUNCTION("""COMPUTED_VALUE"""),43616)</f>
        <v>43616</v>
      </c>
      <c r="C814" t="str">
        <f ca="1">IFERROR(__xludf.DUMMYFUNCTION("""COMPUTED_VALUE"""),"PA000148")</f>
        <v>PA000148</v>
      </c>
      <c r="D814" t="str">
        <f ca="1">IFERROR(__xludf.DUMMYFUNCTION("""COMPUTED_VALUE"""),"PA000148")</f>
        <v>PA000148</v>
      </c>
    </row>
    <row r="815" spans="1:4" ht="15" customHeight="1">
      <c r="A815" s="206" t="str">
        <f ca="1">IFERROR(__xludf.DUMMYFUNCTION("""COMPUTED_VALUE"""),"AB001270")</f>
        <v>AB001270</v>
      </c>
      <c r="B815" s="205">
        <f ca="1">IFERROR(__xludf.DUMMYFUNCTION("""COMPUTED_VALUE"""),43616)</f>
        <v>43616</v>
      </c>
      <c r="C815" t="str">
        <f ca="1">IFERROR(__xludf.DUMMYFUNCTION("""COMPUTED_VALUE"""),"PA000148")</f>
        <v>PA000148</v>
      </c>
      <c r="D815" t="str">
        <f ca="1">IFERROR(__xludf.DUMMYFUNCTION("""COMPUTED_VALUE"""),"PA000148")</f>
        <v>PA000148</v>
      </c>
    </row>
    <row r="816" spans="1:4" ht="15" customHeight="1">
      <c r="A816" s="206" t="str">
        <f ca="1">IFERROR(__xludf.DUMMYFUNCTION("""COMPUTED_VALUE"""),"AB001270")</f>
        <v>AB001270</v>
      </c>
      <c r="B816" s="205">
        <f ca="1">IFERROR(__xludf.DUMMYFUNCTION("""COMPUTED_VALUE"""),43616)</f>
        <v>43616</v>
      </c>
      <c r="C816" t="str">
        <f ca="1">IFERROR(__xludf.DUMMYFUNCTION("""COMPUTED_VALUE"""),"PA000148")</f>
        <v>PA000148</v>
      </c>
      <c r="D816" t="str">
        <f ca="1">IFERROR(__xludf.DUMMYFUNCTION("""COMPUTED_VALUE"""),"PA000148")</f>
        <v>PA000148</v>
      </c>
    </row>
    <row r="817" spans="1:4" ht="15" customHeight="1">
      <c r="A817" t="str">
        <f ca="1">IFERROR(__xludf.DUMMYFUNCTION("""COMPUTED_VALUE"""),"AB001236")</f>
        <v>AB001236</v>
      </c>
      <c r="B817" s="205">
        <f ca="1">IFERROR(__xludf.DUMMYFUNCTION("""COMPUTED_VALUE"""),43616)</f>
        <v>43616</v>
      </c>
      <c r="C817" t="str">
        <f ca="1">IFERROR(__xludf.DUMMYFUNCTION("""COMPUTED_VALUE"""),"PA000148")</f>
        <v>PA000148</v>
      </c>
      <c r="D817" t="str">
        <f ca="1">IFERROR(__xludf.DUMMYFUNCTION("""COMPUTED_VALUE"""),"PA000148")</f>
        <v>PA000148</v>
      </c>
    </row>
    <row r="818" spans="1:4" ht="15" customHeight="1">
      <c r="A818" t="str">
        <f ca="1">IFERROR(__xludf.DUMMYFUNCTION("""COMPUTED_VALUE"""),"AB001236")</f>
        <v>AB001236</v>
      </c>
      <c r="B818" s="205">
        <f ca="1">IFERROR(__xludf.DUMMYFUNCTION("""COMPUTED_VALUE"""),43616)</f>
        <v>43616</v>
      </c>
      <c r="C818" t="str">
        <f ca="1">IFERROR(__xludf.DUMMYFUNCTION("""COMPUTED_VALUE"""),"PA000095")</f>
        <v>PA000095</v>
      </c>
      <c r="D818" t="str">
        <f ca="1">IFERROR(__xludf.DUMMYFUNCTION("""COMPUTED_VALUE"""),"PA000095")</f>
        <v>PA000095</v>
      </c>
    </row>
    <row r="819" spans="1:4" ht="15" customHeight="1">
      <c r="A819" t="str">
        <f ca="1">IFERROR(__xludf.DUMMYFUNCTION("""COMPUTED_VALUE"""),"AB001237")</f>
        <v>AB001237</v>
      </c>
      <c r="B819" s="205">
        <f ca="1">IFERROR(__xludf.DUMMYFUNCTION("""COMPUTED_VALUE"""),43616)</f>
        <v>43616</v>
      </c>
      <c r="C819" t="str">
        <f ca="1">IFERROR(__xludf.DUMMYFUNCTION("""COMPUTED_VALUE"""),"PA000122")</f>
        <v>PA000122</v>
      </c>
      <c r="D819" t="str">
        <f ca="1">IFERROR(__xludf.DUMMYFUNCTION("""COMPUTED_VALUE"""),"PA000122")</f>
        <v>PA000122</v>
      </c>
    </row>
    <row r="820" spans="1:4" ht="15" customHeight="1">
      <c r="A820" t="str">
        <f ca="1">IFERROR(__xludf.DUMMYFUNCTION("""COMPUTED_VALUE"""),"AB001271")</f>
        <v>AB001271</v>
      </c>
      <c r="B820" s="205">
        <f ca="1">IFERROR(__xludf.DUMMYFUNCTION("""COMPUTED_VALUE"""),43616)</f>
        <v>43616</v>
      </c>
      <c r="C820" t="str">
        <f ca="1">IFERROR(__xludf.DUMMYFUNCTION("""COMPUTED_VALUE"""),"PA000122")</f>
        <v>PA000122</v>
      </c>
      <c r="D820" t="str">
        <f ca="1">IFERROR(__xludf.DUMMYFUNCTION("""COMPUTED_VALUE"""),"PA000122")</f>
        <v>PA000122</v>
      </c>
    </row>
    <row r="821" spans="1:4" ht="15" customHeight="1">
      <c r="A821" t="str">
        <f ca="1">IFERROR(__xludf.DUMMYFUNCTION("""COMPUTED_VALUE"""),"AB001238")</f>
        <v>AB001238</v>
      </c>
      <c r="B821" s="205">
        <f ca="1">IFERROR(__xludf.DUMMYFUNCTION("""COMPUTED_VALUE"""),43616)</f>
        <v>43616</v>
      </c>
      <c r="C821" t="str">
        <f ca="1">IFERROR(__xludf.DUMMYFUNCTION("""COMPUTED_VALUE"""),"PA000122")</f>
        <v>PA000122</v>
      </c>
      <c r="D821" t="str">
        <f ca="1">IFERROR(__xludf.DUMMYFUNCTION("""COMPUTED_VALUE"""),"PA000122")</f>
        <v>PA000122</v>
      </c>
    </row>
    <row r="822" spans="1:4" ht="15" customHeight="1">
      <c r="A822" t="str">
        <f ca="1">IFERROR(__xludf.DUMMYFUNCTION("""COMPUTED_VALUE"""),"AB001141")</f>
        <v>AB001141</v>
      </c>
      <c r="B822" s="205">
        <f ca="1">IFERROR(__xludf.DUMMYFUNCTION("""COMPUTED_VALUE"""),43616)</f>
        <v>43616</v>
      </c>
      <c r="C822" t="str">
        <f ca="1">IFERROR(__xludf.DUMMYFUNCTION("""COMPUTED_VALUE"""),"PA000122")</f>
        <v>PA000122</v>
      </c>
      <c r="D822" t="str">
        <f ca="1">IFERROR(__xludf.DUMMYFUNCTION("""COMPUTED_VALUE"""),"PA000122")</f>
        <v>PA000122</v>
      </c>
    </row>
    <row r="823" spans="1:4" ht="15" customHeight="1">
      <c r="A823" t="str">
        <f ca="1">IFERROR(__xludf.DUMMYFUNCTION("""COMPUTED_VALUE"""),"AB001141")</f>
        <v>AB001141</v>
      </c>
      <c r="B823" s="205">
        <f ca="1">IFERROR(__xludf.DUMMYFUNCTION("""COMPUTED_VALUE"""),43616)</f>
        <v>43616</v>
      </c>
      <c r="C823" t="str">
        <f ca="1">IFERROR(__xludf.DUMMYFUNCTION("""COMPUTED_VALUE"""),"PA000122")</f>
        <v>PA000122</v>
      </c>
      <c r="D823" t="str">
        <f ca="1">IFERROR(__xludf.DUMMYFUNCTION("""COMPUTED_VALUE"""),"PA000122")</f>
        <v>PA000122</v>
      </c>
    </row>
    <row r="824" spans="1:4" ht="15" customHeight="1">
      <c r="A824" t="str">
        <f ca="1">IFERROR(__xludf.DUMMYFUNCTION("""COMPUTED_VALUE"""),"AB001142")</f>
        <v>AB001142</v>
      </c>
      <c r="B824" s="205">
        <f ca="1">IFERROR(__xludf.DUMMYFUNCTION("""COMPUTED_VALUE"""),43616)</f>
        <v>43616</v>
      </c>
      <c r="C824" t="str">
        <f ca="1">IFERROR(__xludf.DUMMYFUNCTION("""COMPUTED_VALUE"""),"PA000096")</f>
        <v>PA000096</v>
      </c>
      <c r="D824" t="str">
        <f ca="1">IFERROR(__xludf.DUMMYFUNCTION("""COMPUTED_VALUE"""),"PA000096")</f>
        <v>PA000096</v>
      </c>
    </row>
    <row r="825" spans="1:4" ht="15" customHeight="1">
      <c r="A825" t="str">
        <f ca="1">IFERROR(__xludf.DUMMYFUNCTION("""COMPUTED_VALUE"""),"AB001138")</f>
        <v>AB001138</v>
      </c>
      <c r="B825" s="205">
        <f ca="1">IFERROR(__xludf.DUMMYFUNCTION("""COMPUTED_VALUE"""),43616)</f>
        <v>43616</v>
      </c>
      <c r="C825" t="str">
        <f ca="1">IFERROR(__xludf.DUMMYFUNCTION("""COMPUTED_VALUE"""),"PA000096")</f>
        <v>PA000096</v>
      </c>
      <c r="D825" t="str">
        <f ca="1">IFERROR(__xludf.DUMMYFUNCTION("""COMPUTED_VALUE"""),"PA000096")</f>
        <v>PA000096</v>
      </c>
    </row>
    <row r="826" spans="1:4" ht="15" customHeight="1">
      <c r="A826" t="str">
        <f ca="1">IFERROR(__xludf.DUMMYFUNCTION("""COMPUTED_VALUE"""),"AB001138")</f>
        <v>AB001138</v>
      </c>
      <c r="B826" s="205">
        <f ca="1">IFERROR(__xludf.DUMMYFUNCTION("""COMPUTED_VALUE"""),43616)</f>
        <v>43616</v>
      </c>
      <c r="C826" t="str">
        <f ca="1">IFERROR(__xludf.DUMMYFUNCTION("""COMPUTED_VALUE"""),"PA000170")</f>
        <v>PA000170</v>
      </c>
      <c r="D826" t="str">
        <f ca="1">IFERROR(__xludf.DUMMYFUNCTION("""COMPUTED_VALUE"""),"PA000170")</f>
        <v>PA000170</v>
      </c>
    </row>
    <row r="827" spans="1:4" ht="15" customHeight="1">
      <c r="A827" t="str">
        <f ca="1">IFERROR(__xludf.DUMMYFUNCTION("""COMPUTED_VALUE"""),"AB001239")</f>
        <v>AB001239</v>
      </c>
      <c r="B827" s="205">
        <f ca="1">IFERROR(__xludf.DUMMYFUNCTION("""COMPUTED_VALUE"""),43616)</f>
        <v>43616</v>
      </c>
      <c r="C827" t="str">
        <f ca="1">IFERROR(__xludf.DUMMYFUNCTION("""COMPUTED_VALUE"""),"PA000097")</f>
        <v>PA000097</v>
      </c>
      <c r="D827" t="str">
        <f ca="1">IFERROR(__xludf.DUMMYFUNCTION("""COMPUTED_VALUE"""),"PA000097")</f>
        <v>PA000097</v>
      </c>
    </row>
    <row r="828" spans="1:4" ht="15" customHeight="1">
      <c r="A828" t="str">
        <f ca="1">IFERROR(__xludf.DUMMYFUNCTION("""COMPUTED_VALUE"""),"AB001273")</f>
        <v>AB001273</v>
      </c>
      <c r="B828" s="205">
        <f ca="1">IFERROR(__xludf.DUMMYFUNCTION("""COMPUTED_VALUE"""),43619)</f>
        <v>43619</v>
      </c>
      <c r="C828" t="str">
        <f ca="1">IFERROR(__xludf.DUMMYFUNCTION("""COMPUTED_VALUE"""),"PA000150")</f>
        <v>PA000150</v>
      </c>
      <c r="D828" t="str">
        <f ca="1">IFERROR(__xludf.DUMMYFUNCTION("""COMPUTED_VALUE"""),"PA000150")</f>
        <v>PA000150</v>
      </c>
    </row>
    <row r="829" spans="1:4" ht="15" customHeight="1">
      <c r="A829" t="str">
        <f ca="1">IFERROR(__xludf.DUMMYFUNCTION("""COMPUTED_VALUE"""),"AB001272")</f>
        <v>AB001272</v>
      </c>
      <c r="B829" s="205">
        <f ca="1">IFERROR(__xludf.DUMMYFUNCTION("""COMPUTED_VALUE"""),43619)</f>
        <v>43619</v>
      </c>
      <c r="C829" t="str">
        <f ca="1">IFERROR(__xludf.DUMMYFUNCTION("""COMPUTED_VALUE"""),"PA000171")</f>
        <v>PA000171</v>
      </c>
      <c r="D829" t="str">
        <f ca="1">IFERROR(__xludf.DUMMYFUNCTION("""COMPUTED_VALUE"""),"PA000171")</f>
        <v>PA000171</v>
      </c>
    </row>
    <row r="830" spans="1:4" ht="15" customHeight="1">
      <c r="A830">
        <f ca="1">IFERROR(__xludf.DUMMYFUNCTION("""COMPUTED_VALUE"""),20190603)</f>
        <v>20190603</v>
      </c>
      <c r="B830" s="205">
        <f ca="1">IFERROR(__xludf.DUMMYFUNCTION("""COMPUTED_VALUE"""),43619)</f>
        <v>43619</v>
      </c>
      <c r="C830" t="str">
        <f ca="1">IFERROR(__xludf.DUMMYFUNCTION("""COMPUTED_VALUE"""),"PA000172")</f>
        <v>PA000172</v>
      </c>
      <c r="D830" t="str">
        <f ca="1">IFERROR(__xludf.DUMMYFUNCTION("""COMPUTED_VALUE"""),"PA000172")</f>
        <v>PA000172</v>
      </c>
    </row>
    <row r="831" spans="1:4" ht="15" customHeight="1">
      <c r="A831" t="str">
        <f ca="1">IFERROR(__xludf.DUMMYFUNCTION("""COMPUTED_VALUE"""),"AB001240")</f>
        <v>AB001240</v>
      </c>
      <c r="B831" s="205">
        <f ca="1">IFERROR(__xludf.DUMMYFUNCTION("""COMPUTED_VALUE"""),43619)</f>
        <v>43619</v>
      </c>
      <c r="C831" t="str">
        <f ca="1">IFERROR(__xludf.DUMMYFUNCTION("""COMPUTED_VALUE"""),"PA000172")</f>
        <v>PA000172</v>
      </c>
      <c r="D831" t="str">
        <f ca="1">IFERROR(__xludf.DUMMYFUNCTION("""COMPUTED_VALUE"""),"PA000172")</f>
        <v>PA000172</v>
      </c>
    </row>
    <row r="832" spans="1:4" ht="15" customHeight="1">
      <c r="A832" t="str">
        <f ca="1">IFERROR(__xludf.DUMMYFUNCTION("""COMPUTED_VALUE"""),"AB001243")</f>
        <v>AB001243</v>
      </c>
      <c r="B832" s="205">
        <f ca="1">IFERROR(__xludf.DUMMYFUNCTION("""COMPUTED_VALUE"""),43619)</f>
        <v>43619</v>
      </c>
      <c r="C832" t="str">
        <f ca="1">IFERROR(__xludf.DUMMYFUNCTION("""COMPUTED_VALUE"""),"PA000172")</f>
        <v>PA000172</v>
      </c>
      <c r="D832" t="str">
        <f ca="1">IFERROR(__xludf.DUMMYFUNCTION("""COMPUTED_VALUE"""),"PA000172")</f>
        <v>PA000172</v>
      </c>
    </row>
    <row r="833" spans="1:4" ht="15" customHeight="1">
      <c r="A833" t="str">
        <f ca="1">IFERROR(__xludf.DUMMYFUNCTION("""COMPUTED_VALUE"""),"AB001242")</f>
        <v>AB001242</v>
      </c>
      <c r="B833" s="205">
        <f ca="1">IFERROR(__xludf.DUMMYFUNCTION("""COMPUTED_VALUE"""),43619)</f>
        <v>43619</v>
      </c>
      <c r="C833" t="str">
        <f ca="1">IFERROR(__xludf.DUMMYFUNCTION("""COMPUTED_VALUE"""),"PA000172")</f>
        <v>PA000172</v>
      </c>
      <c r="D833" t="str">
        <f ca="1">IFERROR(__xludf.DUMMYFUNCTION("""COMPUTED_VALUE"""),"PA000172")</f>
        <v>PA000172</v>
      </c>
    </row>
    <row r="834" spans="1:4" ht="15" customHeight="1">
      <c r="A834" t="str">
        <f ca="1">IFERROR(__xludf.DUMMYFUNCTION("""COMPUTED_VALUE"""),"AB001242")</f>
        <v>AB001242</v>
      </c>
      <c r="B834" s="205">
        <f ca="1">IFERROR(__xludf.DUMMYFUNCTION("""COMPUTED_VALUE"""),43619)</f>
        <v>43619</v>
      </c>
      <c r="C834" t="str">
        <f ca="1">IFERROR(__xludf.DUMMYFUNCTION("""COMPUTED_VALUE"""),"PA000172")</f>
        <v>PA000172</v>
      </c>
      <c r="D834" t="str">
        <f ca="1">IFERROR(__xludf.DUMMYFUNCTION("""COMPUTED_VALUE"""),"PA000172")</f>
        <v>PA000172</v>
      </c>
    </row>
    <row r="835" spans="1:4" ht="15" customHeight="1">
      <c r="A835" t="str">
        <f ca="1">IFERROR(__xludf.DUMMYFUNCTION("""COMPUTED_VALUE"""),"AB001241")</f>
        <v>AB001241</v>
      </c>
      <c r="B835" s="205">
        <f ca="1">IFERROR(__xludf.DUMMYFUNCTION("""COMPUTED_VALUE"""),43619)</f>
        <v>43619</v>
      </c>
      <c r="C835" t="str">
        <f ca="1">IFERROR(__xludf.DUMMYFUNCTION("""COMPUTED_VALUE"""),"PA000172")</f>
        <v>PA000172</v>
      </c>
      <c r="D835" t="str">
        <f ca="1">IFERROR(__xludf.DUMMYFUNCTION("""COMPUTED_VALUE"""),"PA000172")</f>
        <v>PA000172</v>
      </c>
    </row>
    <row r="836" spans="1:4" ht="15" customHeight="1">
      <c r="A836" t="str">
        <f ca="1">IFERROR(__xludf.DUMMYFUNCTION("""COMPUTED_VALUE"""),"AB001241")</f>
        <v>AB001241</v>
      </c>
      <c r="B836" s="205">
        <f ca="1">IFERROR(__xludf.DUMMYFUNCTION("""COMPUTED_VALUE"""),43619)</f>
        <v>43619</v>
      </c>
      <c r="C836" t="str">
        <f ca="1">IFERROR(__xludf.DUMMYFUNCTION("""COMPUTED_VALUE"""),"PA000172")</f>
        <v>PA000172</v>
      </c>
      <c r="D836" t="str">
        <f ca="1">IFERROR(__xludf.DUMMYFUNCTION("""COMPUTED_VALUE"""),"PA000172")</f>
        <v>PA000172</v>
      </c>
    </row>
    <row r="837" spans="1:4" ht="15" customHeight="1">
      <c r="A837" t="str">
        <f ca="1">IFERROR(__xludf.DUMMYFUNCTION("""COMPUTED_VALUE"""),"AB001244")</f>
        <v>AB001244</v>
      </c>
      <c r="B837" s="205">
        <f ca="1">IFERROR(__xludf.DUMMYFUNCTION("""COMPUTED_VALUE"""),43619)</f>
        <v>43619</v>
      </c>
      <c r="C837" t="str">
        <f ca="1">IFERROR(__xludf.DUMMYFUNCTION("""COMPUTED_VALUE"""),"PA000172")</f>
        <v>PA000172</v>
      </c>
      <c r="D837" t="str">
        <f ca="1">IFERROR(__xludf.DUMMYFUNCTION("""COMPUTED_VALUE"""),"PA000172")</f>
        <v>PA000172</v>
      </c>
    </row>
    <row r="838" spans="1:4" ht="15" customHeight="1">
      <c r="A838" t="str">
        <f ca="1">IFERROR(__xludf.DUMMYFUNCTION("""COMPUTED_VALUE"""),"AB001304")</f>
        <v>AB001304</v>
      </c>
      <c r="B838" s="205">
        <f ca="1">IFERROR(__xludf.DUMMYFUNCTION("""COMPUTED_VALUE"""),43619)</f>
        <v>43619</v>
      </c>
      <c r="C838" t="str">
        <f ca="1">IFERROR(__xludf.DUMMYFUNCTION("""COMPUTED_VALUE"""),"PA000172")</f>
        <v>PA000172</v>
      </c>
      <c r="D838" t="str">
        <f ca="1">IFERROR(__xludf.DUMMYFUNCTION("""COMPUTED_VALUE"""),"PA000172")</f>
        <v>PA000172</v>
      </c>
    </row>
    <row r="839" spans="1:4" ht="15" customHeight="1">
      <c r="A839" t="str">
        <f ca="1">IFERROR(__xludf.DUMMYFUNCTION("""COMPUTED_VALUE"""),"AB001304")</f>
        <v>AB001304</v>
      </c>
      <c r="B839" s="205">
        <f ca="1">IFERROR(__xludf.DUMMYFUNCTION("""COMPUTED_VALUE"""),43619)</f>
        <v>43619</v>
      </c>
      <c r="C839" t="str">
        <f ca="1">IFERROR(__xludf.DUMMYFUNCTION("""COMPUTED_VALUE"""),"PA000172")</f>
        <v>PA000172</v>
      </c>
      <c r="D839" t="str">
        <f ca="1">IFERROR(__xludf.DUMMYFUNCTION("""COMPUTED_VALUE"""),"PA000172")</f>
        <v>PA000172</v>
      </c>
    </row>
    <row r="840" spans="1:4" ht="15" customHeight="1">
      <c r="A840" t="str">
        <f ca="1">IFERROR(__xludf.DUMMYFUNCTION("""COMPUTED_VALUE"""),"AB001304")</f>
        <v>AB001304</v>
      </c>
      <c r="B840" s="205">
        <f ca="1">IFERROR(__xludf.DUMMYFUNCTION("""COMPUTED_VALUE"""),43619)</f>
        <v>43619</v>
      </c>
      <c r="C840" t="str">
        <f ca="1">IFERROR(__xludf.DUMMYFUNCTION("""COMPUTED_VALUE"""),"PA000040")</f>
        <v>PA000040</v>
      </c>
      <c r="D840" t="str">
        <f ca="1">IFERROR(__xludf.DUMMYFUNCTION("""COMPUTED_VALUE"""),"PA000040")</f>
        <v>PA000040</v>
      </c>
    </row>
    <row r="841" spans="1:4" ht="15" customHeight="1">
      <c r="A841" t="str">
        <f ca="1">IFERROR(__xludf.DUMMYFUNCTION("""COMPUTED_VALUE"""),"AB001304")</f>
        <v>AB001304</v>
      </c>
      <c r="B841" s="205">
        <f ca="1">IFERROR(__xludf.DUMMYFUNCTION("""COMPUTED_VALUE"""),43619)</f>
        <v>43619</v>
      </c>
      <c r="C841" t="str">
        <f ca="1">IFERROR(__xludf.DUMMYFUNCTION("""COMPUTED_VALUE"""),"PA000099")</f>
        <v>PA000099</v>
      </c>
      <c r="D841" t="str">
        <f ca="1">IFERROR(__xludf.DUMMYFUNCTION("""COMPUTED_VALUE"""),"PA000099")</f>
        <v>PA000099</v>
      </c>
    </row>
    <row r="842" spans="1:4" ht="15" customHeight="1">
      <c r="A842" t="str">
        <f ca="1">IFERROR(__xludf.DUMMYFUNCTION("""COMPUTED_VALUE"""),"AB001304")</f>
        <v>AB001304</v>
      </c>
      <c r="B842" s="205">
        <f ca="1">IFERROR(__xludf.DUMMYFUNCTION("""COMPUTED_VALUE"""),43619)</f>
        <v>43619</v>
      </c>
      <c r="C842" t="str">
        <f ca="1">IFERROR(__xludf.DUMMYFUNCTION("""COMPUTED_VALUE"""),"PA000099")</f>
        <v>PA000099</v>
      </c>
      <c r="D842" t="str">
        <f ca="1">IFERROR(__xludf.DUMMYFUNCTION("""COMPUTED_VALUE"""),"PA000099")</f>
        <v>PA000099</v>
      </c>
    </row>
    <row r="843" spans="1:4" ht="15" customHeight="1">
      <c r="A843" t="str">
        <f ca="1">IFERROR(__xludf.DUMMYFUNCTION("""COMPUTED_VALUE"""),"AB001304")</f>
        <v>AB001304</v>
      </c>
      <c r="B843" s="205">
        <f ca="1">IFERROR(__xludf.DUMMYFUNCTION("""COMPUTED_VALUE"""),43619)</f>
        <v>43619</v>
      </c>
      <c r="C843" t="str">
        <f ca="1">IFERROR(__xludf.DUMMYFUNCTION("""COMPUTED_VALUE"""),"PA000098")</f>
        <v>PA000098</v>
      </c>
      <c r="D843" t="str">
        <f ca="1">IFERROR(__xludf.DUMMYFUNCTION("""COMPUTED_VALUE"""),"PA000098")</f>
        <v>PA000098</v>
      </c>
    </row>
    <row r="844" spans="1:4" ht="15" customHeight="1">
      <c r="A844" t="str">
        <f ca="1">IFERROR(__xludf.DUMMYFUNCTION("""COMPUTED_VALUE"""),"AB001304")</f>
        <v>AB001304</v>
      </c>
      <c r="B844" s="205">
        <f ca="1">IFERROR(__xludf.DUMMYFUNCTION("""COMPUTED_VALUE"""),43619)</f>
        <v>43619</v>
      </c>
      <c r="C844" t="str">
        <f ca="1">IFERROR(__xludf.DUMMYFUNCTION("""COMPUTED_VALUE"""),"PA000100")</f>
        <v>PA000100</v>
      </c>
      <c r="D844" t="str">
        <f ca="1">IFERROR(__xludf.DUMMYFUNCTION("""COMPUTED_VALUE"""),"PA000100")</f>
        <v>PA000100</v>
      </c>
    </row>
    <row r="845" spans="1:4" ht="15" customHeight="1">
      <c r="A845" t="str">
        <f ca="1">IFERROR(__xludf.DUMMYFUNCTION("""COMPUTED_VALUE"""),"AB001304")</f>
        <v>AB001304</v>
      </c>
      <c r="B845" s="205">
        <f ca="1">IFERROR(__xludf.DUMMYFUNCTION("""COMPUTED_VALUE"""),43619)</f>
        <v>43619</v>
      </c>
      <c r="C845" t="str">
        <f ca="1">IFERROR(__xludf.DUMMYFUNCTION("""COMPUTED_VALUE"""),"PA000100")</f>
        <v>PA000100</v>
      </c>
      <c r="D845" t="str">
        <f ca="1">IFERROR(__xludf.DUMMYFUNCTION("""COMPUTED_VALUE"""),"PA000100")</f>
        <v>PA000100</v>
      </c>
    </row>
    <row r="846" spans="1:4" ht="15" customHeight="1">
      <c r="A846" t="str">
        <f ca="1">IFERROR(__xludf.DUMMYFUNCTION("""COMPUTED_VALUE"""),"AB001245")</f>
        <v>AB001245</v>
      </c>
      <c r="B846" s="205">
        <f ca="1">IFERROR(__xludf.DUMMYFUNCTION("""COMPUTED_VALUE"""),43622)</f>
        <v>43622</v>
      </c>
      <c r="C846" t="str">
        <f ca="1">IFERROR(__xludf.DUMMYFUNCTION("""COMPUTED_VALUE"""),"PA000100")</f>
        <v>PA000100</v>
      </c>
      <c r="D846" t="str">
        <f ca="1">IFERROR(__xludf.DUMMYFUNCTION("""COMPUTED_VALUE"""),"PA000100")</f>
        <v>PA000100</v>
      </c>
    </row>
    <row r="847" spans="1:4" ht="15" customHeight="1">
      <c r="A847" t="str">
        <f ca="1">IFERROR(__xludf.DUMMYFUNCTION("""COMPUTED_VALUE"""),"AB001246")</f>
        <v>AB001246</v>
      </c>
      <c r="B847" s="205">
        <f ca="1">IFERROR(__xludf.DUMMYFUNCTION("""COMPUTED_VALUE"""),43622)</f>
        <v>43622</v>
      </c>
      <c r="C847" t="str">
        <f ca="1">IFERROR(__xludf.DUMMYFUNCTION("""COMPUTED_VALUE"""),"PA000100")</f>
        <v>PA000100</v>
      </c>
      <c r="D847" t="str">
        <f ca="1">IFERROR(__xludf.DUMMYFUNCTION("""COMPUTED_VALUE"""),"PA000100")</f>
        <v>PA000100</v>
      </c>
    </row>
    <row r="848" spans="1:4" ht="15" customHeight="1">
      <c r="A848" t="str">
        <f ca="1">IFERROR(__xludf.DUMMYFUNCTION("""COMPUTED_VALUE"""),"AB001247")</f>
        <v>AB001247</v>
      </c>
      <c r="B848" s="205">
        <f ca="1">IFERROR(__xludf.DUMMYFUNCTION("""COMPUTED_VALUE"""),43622)</f>
        <v>43622</v>
      </c>
      <c r="C848" t="str">
        <f ca="1">IFERROR(__xludf.DUMMYFUNCTION("""COMPUTED_VALUE"""),"PA000100")</f>
        <v>PA000100</v>
      </c>
      <c r="D848" t="str">
        <f ca="1">IFERROR(__xludf.DUMMYFUNCTION("""COMPUTED_VALUE"""),"PA000100")</f>
        <v>PA000100</v>
      </c>
    </row>
    <row r="849" spans="1:4" ht="15" customHeight="1">
      <c r="A849" t="str">
        <f ca="1">IFERROR(__xludf.DUMMYFUNCTION("""COMPUTED_VALUE"""),"AB001248")</f>
        <v>AB001248</v>
      </c>
      <c r="B849" s="205">
        <f ca="1">IFERROR(__xludf.DUMMYFUNCTION("""COMPUTED_VALUE"""),43622)</f>
        <v>43622</v>
      </c>
      <c r="C849" t="str">
        <f ca="1">IFERROR(__xludf.DUMMYFUNCTION("""COMPUTED_VALUE"""),"PA000202")</f>
        <v>PA000202</v>
      </c>
      <c r="D849" t="str">
        <f ca="1">IFERROR(__xludf.DUMMYFUNCTION("""COMPUTED_VALUE"""),"PA000202")</f>
        <v>PA000202</v>
      </c>
    </row>
    <row r="850" spans="1:4" ht="15" customHeight="1">
      <c r="A850" t="str">
        <f ca="1">IFERROR(__xludf.DUMMYFUNCTION("""COMPUTED_VALUE"""),"AB001275")</f>
        <v>AB001275</v>
      </c>
      <c r="B850" s="205">
        <f ca="1">IFERROR(__xludf.DUMMYFUNCTION("""COMPUTED_VALUE"""),43622)</f>
        <v>43622</v>
      </c>
      <c r="C850" t="str">
        <f ca="1">IFERROR(__xludf.DUMMYFUNCTION("""COMPUTED_VALUE"""),"PA000203")</f>
        <v>PA000203</v>
      </c>
      <c r="D850" t="str">
        <f ca="1">IFERROR(__xludf.DUMMYFUNCTION("""COMPUTED_VALUE"""),"PA000203")</f>
        <v>PA000203</v>
      </c>
    </row>
    <row r="851" spans="1:4" ht="15" customHeight="1">
      <c r="A851" t="str">
        <f ca="1">IFERROR(__xludf.DUMMYFUNCTION("""COMPUTED_VALUE"""),"AB001249")</f>
        <v>AB001249</v>
      </c>
      <c r="B851" s="205">
        <f ca="1">IFERROR(__xludf.DUMMYFUNCTION("""COMPUTED_VALUE"""),43622)</f>
        <v>43622</v>
      </c>
      <c r="C851" t="str">
        <f ca="1">IFERROR(__xludf.DUMMYFUNCTION("""COMPUTED_VALUE"""),"PA000204")</f>
        <v>PA000204</v>
      </c>
      <c r="D851" t="str">
        <f ca="1">IFERROR(__xludf.DUMMYFUNCTION("""COMPUTED_VALUE"""),"PA000204")</f>
        <v>PA000204</v>
      </c>
    </row>
    <row r="852" spans="1:4" ht="15" customHeight="1">
      <c r="A852" t="str">
        <f ca="1">IFERROR(__xludf.DUMMYFUNCTION("""COMPUTED_VALUE"""),"AB001249")</f>
        <v>AB001249</v>
      </c>
      <c r="B852" s="205">
        <f ca="1">IFERROR(__xludf.DUMMYFUNCTION("""COMPUTED_VALUE"""),43622)</f>
        <v>43622</v>
      </c>
      <c r="C852" t="str">
        <f ca="1">IFERROR(__xludf.DUMMYFUNCTION("""COMPUTED_VALUE"""),"PA000179")</f>
        <v>PA000179</v>
      </c>
      <c r="D852" t="str">
        <f ca="1">IFERROR(__xludf.DUMMYFUNCTION("""COMPUTED_VALUE"""),"PA000179")</f>
        <v>PA000179</v>
      </c>
    </row>
    <row r="853" spans="1:4" ht="15" customHeight="1">
      <c r="A853" t="str">
        <f ca="1">IFERROR(__xludf.DUMMYFUNCTION("""COMPUTED_VALUE"""),"AB001305")</f>
        <v>AB001305</v>
      </c>
      <c r="B853" s="205">
        <f ca="1">IFERROR(__xludf.DUMMYFUNCTION("""COMPUTED_VALUE"""),43627)</f>
        <v>43627</v>
      </c>
      <c r="C853" t="str">
        <f ca="1">IFERROR(__xludf.DUMMYFUNCTION("""COMPUTED_VALUE"""),"PA000142")</f>
        <v>PA000142</v>
      </c>
      <c r="D853" t="str">
        <f ca="1">IFERROR(__xludf.DUMMYFUNCTION("""COMPUTED_VALUE"""),"PA000142")</f>
        <v>PA000142</v>
      </c>
    </row>
    <row r="854" spans="1:4" ht="15" customHeight="1">
      <c r="A854" t="str">
        <f ca="1">IFERROR(__xludf.DUMMYFUNCTION("""COMPUTED_VALUE"""),"AB001305")</f>
        <v>AB001305</v>
      </c>
      <c r="B854" s="205">
        <f ca="1">IFERROR(__xludf.DUMMYFUNCTION("""COMPUTED_VALUE"""),43627)</f>
        <v>43627</v>
      </c>
      <c r="C854" t="str">
        <f ca="1">IFERROR(__xludf.DUMMYFUNCTION("""COMPUTED_VALUE"""),"PA000143")</f>
        <v>PA000143</v>
      </c>
      <c r="D854" t="str">
        <f ca="1">IFERROR(__xludf.DUMMYFUNCTION("""COMPUTED_VALUE"""),"PA000143")</f>
        <v>PA000143</v>
      </c>
    </row>
    <row r="855" spans="1:4" ht="15" customHeight="1">
      <c r="A855" t="str">
        <f ca="1">IFERROR(__xludf.DUMMYFUNCTION("""COMPUTED_VALUE"""),"AB001305")</f>
        <v>AB001305</v>
      </c>
      <c r="B855" s="205">
        <f ca="1">IFERROR(__xludf.DUMMYFUNCTION("""COMPUTED_VALUE"""),43627)</f>
        <v>43627</v>
      </c>
      <c r="C855" t="str">
        <f ca="1">IFERROR(__xludf.DUMMYFUNCTION("""COMPUTED_VALUE"""),"PA000143")</f>
        <v>PA000143</v>
      </c>
      <c r="D855" t="str">
        <f ca="1">IFERROR(__xludf.DUMMYFUNCTION("""COMPUTED_VALUE"""),"PA000143")</f>
        <v>PA000143</v>
      </c>
    </row>
    <row r="856" spans="1:4" ht="15" customHeight="1">
      <c r="A856" t="str">
        <f ca="1">IFERROR(__xludf.DUMMYFUNCTION("""COMPUTED_VALUE"""),"AB001305")</f>
        <v>AB001305</v>
      </c>
      <c r="B856" s="205">
        <f ca="1">IFERROR(__xludf.DUMMYFUNCTION("""COMPUTED_VALUE"""),43627)</f>
        <v>43627</v>
      </c>
      <c r="C856" t="str">
        <f ca="1">IFERROR(__xludf.DUMMYFUNCTION("""COMPUTED_VALUE"""),"PA000143")</f>
        <v>PA000143</v>
      </c>
      <c r="D856" t="str">
        <f ca="1">IFERROR(__xludf.DUMMYFUNCTION("""COMPUTED_VALUE"""),"PA000143")</f>
        <v>PA000143</v>
      </c>
    </row>
    <row r="857" spans="1:4" ht="15" customHeight="1">
      <c r="A857" t="str">
        <f ca="1">IFERROR(__xludf.DUMMYFUNCTION("""COMPUTED_VALUE"""),"AB001305")</f>
        <v>AB001305</v>
      </c>
      <c r="B857" s="205">
        <f ca="1">IFERROR(__xludf.DUMMYFUNCTION("""COMPUTED_VALUE"""),43627)</f>
        <v>43627</v>
      </c>
      <c r="C857" t="str">
        <f ca="1">IFERROR(__xludf.DUMMYFUNCTION("""COMPUTED_VALUE"""),"PA000124")</f>
        <v>PA000124</v>
      </c>
      <c r="D857" t="str">
        <f ca="1">IFERROR(__xludf.DUMMYFUNCTION("""COMPUTED_VALUE"""),"PA000124")</f>
        <v>PA000124</v>
      </c>
    </row>
    <row r="858" spans="1:4" ht="15" customHeight="1">
      <c r="A858" t="str">
        <f ca="1">IFERROR(__xludf.DUMMYFUNCTION("""COMPUTED_VALUE"""),"AB001305")</f>
        <v>AB001305</v>
      </c>
      <c r="B858" s="205">
        <f ca="1">IFERROR(__xludf.DUMMYFUNCTION("""COMPUTED_VALUE"""),43627)</f>
        <v>43627</v>
      </c>
      <c r="C858" t="str">
        <f ca="1">IFERROR(__xludf.DUMMYFUNCTION("""COMPUTED_VALUE"""),"PA000124")</f>
        <v>PA000124</v>
      </c>
      <c r="D858" t="str">
        <f ca="1">IFERROR(__xludf.DUMMYFUNCTION("""COMPUTED_VALUE"""),"PA000124")</f>
        <v>PA000124</v>
      </c>
    </row>
    <row r="859" spans="1:4" ht="15" customHeight="1">
      <c r="A859" t="str">
        <f ca="1">IFERROR(__xludf.DUMMYFUNCTION("""COMPUTED_VALUE"""),"AB001305")</f>
        <v>AB001305</v>
      </c>
      <c r="B859" s="205">
        <f ca="1">IFERROR(__xludf.DUMMYFUNCTION("""COMPUTED_VALUE"""),43627)</f>
        <v>43627</v>
      </c>
      <c r="C859" t="str">
        <f ca="1">IFERROR(__xludf.DUMMYFUNCTION("""COMPUTED_VALUE"""),"PA000124")</f>
        <v>PA000124</v>
      </c>
      <c r="D859" t="str">
        <f ca="1">IFERROR(__xludf.DUMMYFUNCTION("""COMPUTED_VALUE"""),"PA000124")</f>
        <v>PA000124</v>
      </c>
    </row>
    <row r="860" spans="1:4" ht="15" customHeight="1">
      <c r="A860" t="str">
        <f ca="1">IFERROR(__xludf.DUMMYFUNCTION("""COMPUTED_VALUE"""),"AB001305")</f>
        <v>AB001305</v>
      </c>
      <c r="B860" s="205">
        <f ca="1">IFERROR(__xludf.DUMMYFUNCTION("""COMPUTED_VALUE"""),43627)</f>
        <v>43627</v>
      </c>
      <c r="C860" t="str">
        <f ca="1">IFERROR(__xludf.DUMMYFUNCTION("""COMPUTED_VALUE"""),"PA000205")</f>
        <v>PA000205</v>
      </c>
      <c r="D860" t="str">
        <f ca="1">IFERROR(__xludf.DUMMYFUNCTION("""COMPUTED_VALUE"""),"PA000205")</f>
        <v>PA000205</v>
      </c>
    </row>
    <row r="861" spans="1:4" ht="15" customHeight="1">
      <c r="A861" t="str">
        <f ca="1">IFERROR(__xludf.DUMMYFUNCTION("""COMPUTED_VALUE"""),"AB001312")</f>
        <v>AB001312</v>
      </c>
      <c r="B861" s="205">
        <f ca="1">IFERROR(__xludf.DUMMYFUNCTION("""COMPUTED_VALUE"""),43627)</f>
        <v>43627</v>
      </c>
      <c r="C861" t="str">
        <f ca="1">IFERROR(__xludf.DUMMYFUNCTION("""COMPUTED_VALUE"""),"PA000205")</f>
        <v>PA000205</v>
      </c>
      <c r="D861" t="str">
        <f ca="1">IFERROR(__xludf.DUMMYFUNCTION("""COMPUTED_VALUE"""),"PA000205")</f>
        <v>PA000205</v>
      </c>
    </row>
    <row r="862" spans="1:4" ht="15" customHeight="1">
      <c r="A862" t="str">
        <f ca="1">IFERROR(__xludf.DUMMYFUNCTION("""COMPUTED_VALUE"""),"AB001313")</f>
        <v>AB001313</v>
      </c>
      <c r="B862" s="205">
        <f ca="1">IFERROR(__xludf.DUMMYFUNCTION("""COMPUTED_VALUE"""),43627)</f>
        <v>43627</v>
      </c>
      <c r="C862" t="str">
        <f ca="1">IFERROR(__xludf.DUMMYFUNCTION("""COMPUTED_VALUE"""),"PA000205")</f>
        <v>PA000205</v>
      </c>
      <c r="D862" t="str">
        <f ca="1">IFERROR(__xludf.DUMMYFUNCTION("""COMPUTED_VALUE"""),"PA000205")</f>
        <v>PA000205</v>
      </c>
    </row>
    <row r="863" spans="1:4" ht="15" customHeight="1">
      <c r="A863" t="str">
        <f ca="1">IFERROR(__xludf.DUMMYFUNCTION("""COMPUTED_VALUE"""),"AB001274")</f>
        <v>AB001274</v>
      </c>
      <c r="B863" s="205">
        <f ca="1">IFERROR(__xludf.DUMMYFUNCTION("""COMPUTED_VALUE"""),43627)</f>
        <v>43627</v>
      </c>
      <c r="C863" t="str">
        <f ca="1">IFERROR(__xludf.DUMMYFUNCTION("""COMPUTED_VALUE"""),"PA000181")</f>
        <v>PA000181</v>
      </c>
      <c r="D863" t="str">
        <f ca="1">IFERROR(__xludf.DUMMYFUNCTION("""COMPUTED_VALUE"""),"PA000181")</f>
        <v>PA000181</v>
      </c>
    </row>
    <row r="864" spans="1:4" ht="15" customHeight="1">
      <c r="A864" t="str">
        <f ca="1">IFERROR(__xludf.DUMMYFUNCTION("""COMPUTED_VALUE"""),"AB001306")</f>
        <v>AB001306</v>
      </c>
      <c r="B864" s="205">
        <f ca="1">IFERROR(__xludf.DUMMYFUNCTION("""COMPUTED_VALUE"""),43630)</f>
        <v>43630</v>
      </c>
      <c r="C864" t="str">
        <f ca="1">IFERROR(__xludf.DUMMYFUNCTION("""COMPUTED_VALUE"""),"PA000180")</f>
        <v>PA000180</v>
      </c>
      <c r="D864" t="str">
        <f ca="1">IFERROR(__xludf.DUMMYFUNCTION("""COMPUTED_VALUE"""),"PA000180")</f>
        <v>PA000180</v>
      </c>
    </row>
    <row r="865" spans="1:4" ht="15" customHeight="1">
      <c r="A865" t="str">
        <f ca="1">IFERROR(__xludf.DUMMYFUNCTION("""COMPUTED_VALUE"""),"AB001306")</f>
        <v>AB001306</v>
      </c>
      <c r="B865" s="205">
        <f ca="1">IFERROR(__xludf.DUMMYFUNCTION("""COMPUTED_VALUE"""),43630)</f>
        <v>43630</v>
      </c>
      <c r="C865" t="str">
        <f ca="1">IFERROR(__xludf.DUMMYFUNCTION("""COMPUTED_VALUE"""),"PA000186")</f>
        <v>PA000186</v>
      </c>
      <c r="D865" t="str">
        <f ca="1">IFERROR(__xludf.DUMMYFUNCTION("""COMPUTED_VALUE"""),"PA000186")</f>
        <v>PA000186</v>
      </c>
    </row>
    <row r="866" spans="1:4" ht="15" customHeight="1">
      <c r="A866" t="str">
        <f ca="1">IFERROR(__xludf.DUMMYFUNCTION("""COMPUTED_VALUE"""),"AB001277")</f>
        <v>AB001277</v>
      </c>
      <c r="B866" s="205">
        <f ca="1">IFERROR(__xludf.DUMMYFUNCTION("""COMPUTED_VALUE"""),43633)</f>
        <v>43633</v>
      </c>
      <c r="C866" t="str">
        <f ca="1">IFERROR(__xludf.DUMMYFUNCTION("""COMPUTED_VALUE"""),"PA000187")</f>
        <v>PA000187</v>
      </c>
      <c r="D866" t="str">
        <f ca="1">IFERROR(__xludf.DUMMYFUNCTION("""COMPUTED_VALUE"""),"PA000187")</f>
        <v>PA000187</v>
      </c>
    </row>
    <row r="867" spans="1:4" ht="15" customHeight="1">
      <c r="A867" t="str">
        <f ca="1">IFERROR(__xludf.DUMMYFUNCTION("""COMPUTED_VALUE"""),"AB001318")</f>
        <v>AB001318</v>
      </c>
      <c r="B867" s="205">
        <f ca="1">IFERROR(__xludf.DUMMYFUNCTION("""COMPUTED_VALUE"""),43628)</f>
        <v>43628</v>
      </c>
      <c r="C867" t="str">
        <f ca="1">IFERROR(__xludf.DUMMYFUNCTION("""COMPUTED_VALUE"""),"PA000123")</f>
        <v>PA000123</v>
      </c>
      <c r="D867" t="str">
        <f ca="1">IFERROR(__xludf.DUMMYFUNCTION("""COMPUTED_VALUE"""),"PA000123")</f>
        <v>PA000123</v>
      </c>
    </row>
    <row r="868" spans="1:4" ht="15" customHeight="1">
      <c r="A868" t="str">
        <f ca="1">IFERROR(__xludf.DUMMYFUNCTION("""COMPUTED_VALUE"""),"AA001940")</f>
        <v>AA001940</v>
      </c>
      <c r="B868" s="205">
        <f ca="1">IFERROR(__xludf.DUMMYFUNCTION("""COMPUTED_VALUE"""),43628)</f>
        <v>43628</v>
      </c>
      <c r="C868" t="str">
        <f ca="1">IFERROR(__xludf.DUMMYFUNCTION("""COMPUTED_VALUE"""),"PA000123")</f>
        <v>PA000123</v>
      </c>
      <c r="D868" t="str">
        <f ca="1">IFERROR(__xludf.DUMMYFUNCTION("""COMPUTED_VALUE"""),"PA000123")</f>
        <v>PA000123</v>
      </c>
    </row>
    <row r="869" spans="1:4" ht="15" customHeight="1">
      <c r="A869" t="str">
        <f ca="1">IFERROR(__xludf.DUMMYFUNCTION("""COMPUTED_VALUE"""),"AA001940")</f>
        <v>AA001940</v>
      </c>
      <c r="B869" s="205">
        <f ca="1">IFERROR(__xludf.DUMMYFUNCTION("""COMPUTED_VALUE"""),43628)</f>
        <v>43628</v>
      </c>
      <c r="C869" t="str">
        <f ca="1">IFERROR(__xludf.DUMMYFUNCTION("""COMPUTED_VALUE"""),"PA000123")</f>
        <v>PA000123</v>
      </c>
      <c r="D869" t="str">
        <f ca="1">IFERROR(__xludf.DUMMYFUNCTION("""COMPUTED_VALUE"""),"PA000123")</f>
        <v>PA000123</v>
      </c>
    </row>
    <row r="870" spans="1:4" ht="15" customHeight="1">
      <c r="A870" t="str">
        <f ca="1">IFERROR(__xludf.DUMMYFUNCTION("""COMPUTED_VALUE"""),"AA001940")</f>
        <v>AA001940</v>
      </c>
      <c r="B870" s="205">
        <f ca="1">IFERROR(__xludf.DUMMYFUNCTION("""COMPUTED_VALUE"""),43628)</f>
        <v>43628</v>
      </c>
      <c r="C870" t="str">
        <f ca="1">IFERROR(__xludf.DUMMYFUNCTION("""COMPUTED_VALUE"""),"PA000123")</f>
        <v>PA000123</v>
      </c>
      <c r="D870" t="str">
        <f ca="1">IFERROR(__xludf.DUMMYFUNCTION("""COMPUTED_VALUE"""),"PA000123")</f>
        <v>PA000123</v>
      </c>
    </row>
    <row r="871" spans="1:4" ht="15" customHeight="1">
      <c r="A871" t="str">
        <f ca="1">IFERROR(__xludf.DUMMYFUNCTION("""COMPUTED_VALUE"""),"AA001940")</f>
        <v>AA001940</v>
      </c>
      <c r="B871" s="205">
        <f ca="1">IFERROR(__xludf.DUMMYFUNCTION("""COMPUTED_VALUE"""),43628)</f>
        <v>43628</v>
      </c>
      <c r="C871" t="str">
        <f ca="1">IFERROR(__xludf.DUMMYFUNCTION("""COMPUTED_VALUE"""),"PA000182")</f>
        <v>PA000182</v>
      </c>
      <c r="D871" t="str">
        <f ca="1">IFERROR(__xludf.DUMMYFUNCTION("""COMPUTED_VALUE"""),"PA000182")</f>
        <v>PA000182</v>
      </c>
    </row>
    <row r="872" spans="1:4" ht="15" customHeight="1">
      <c r="A872" t="str">
        <f ca="1">IFERROR(__xludf.DUMMYFUNCTION("""COMPUTED_VALUE"""),"AA001940")</f>
        <v>AA001940</v>
      </c>
      <c r="B872" s="205">
        <f ca="1">IFERROR(__xludf.DUMMYFUNCTION("""COMPUTED_VALUE"""),43628)</f>
        <v>43628</v>
      </c>
      <c r="C872" t="str">
        <f ca="1">IFERROR(__xludf.DUMMYFUNCTION("""COMPUTED_VALUE"""),"PA000182")</f>
        <v>PA000182</v>
      </c>
      <c r="D872" t="str">
        <f ca="1">IFERROR(__xludf.DUMMYFUNCTION("""COMPUTED_VALUE"""),"PA000182")</f>
        <v>PA000182</v>
      </c>
    </row>
    <row r="873" spans="1:4" ht="15" customHeight="1">
      <c r="A873" t="str">
        <f ca="1">IFERROR(__xludf.DUMMYFUNCTION("""COMPUTED_VALUE"""),"AA001940")</f>
        <v>AA001940</v>
      </c>
      <c r="B873" s="205">
        <f ca="1">IFERROR(__xludf.DUMMYFUNCTION("""COMPUTED_VALUE"""),43628)</f>
        <v>43628</v>
      </c>
      <c r="C873" t="str">
        <f ca="1">IFERROR(__xludf.DUMMYFUNCTION("""COMPUTED_VALUE"""),"PA000182")</f>
        <v>PA000182</v>
      </c>
      <c r="D873" t="str">
        <f ca="1">IFERROR(__xludf.DUMMYFUNCTION("""COMPUTED_VALUE"""),"PA000182")</f>
        <v>PA000182</v>
      </c>
    </row>
    <row r="874" spans="1:4" ht="15" customHeight="1">
      <c r="A874" t="str">
        <f ca="1">IFERROR(__xludf.DUMMYFUNCTION("""COMPUTED_VALUE"""),"AA001940")</f>
        <v>AA001940</v>
      </c>
      <c r="B874" s="205">
        <f ca="1">IFERROR(__xludf.DUMMYFUNCTION("""COMPUTED_VALUE"""),43628)</f>
        <v>43628</v>
      </c>
      <c r="C874" t="str">
        <f ca="1">IFERROR(__xludf.DUMMYFUNCTION("""COMPUTED_VALUE"""),"PA000182")</f>
        <v>PA000182</v>
      </c>
      <c r="D874" t="str">
        <f ca="1">IFERROR(__xludf.DUMMYFUNCTION("""COMPUTED_VALUE"""),"PA000182")</f>
        <v>PA000182</v>
      </c>
    </row>
    <row r="875" spans="1:4" ht="15" customHeight="1">
      <c r="A875" t="str">
        <f ca="1">IFERROR(__xludf.DUMMYFUNCTION("""COMPUTED_VALUE"""),"AA001940")</f>
        <v>AA001940</v>
      </c>
      <c r="B875" s="205">
        <f ca="1">IFERROR(__xludf.DUMMYFUNCTION("""COMPUTED_VALUE"""),43628)</f>
        <v>43628</v>
      </c>
      <c r="C875" t="str">
        <f ca="1">IFERROR(__xludf.DUMMYFUNCTION("""COMPUTED_VALUE"""),"PA000182")</f>
        <v>PA000182</v>
      </c>
      <c r="D875" t="str">
        <f ca="1">IFERROR(__xludf.DUMMYFUNCTION("""COMPUTED_VALUE"""),"PA000182")</f>
        <v>PA000182</v>
      </c>
    </row>
    <row r="876" spans="1:4" ht="15" customHeight="1">
      <c r="A876" t="str">
        <f ca="1">IFERROR(__xludf.DUMMYFUNCTION("""COMPUTED_VALUE"""),"AA001940")</f>
        <v>AA001940</v>
      </c>
      <c r="B876" s="205">
        <f ca="1">IFERROR(__xludf.DUMMYFUNCTION("""COMPUTED_VALUE"""),43628)</f>
        <v>43628</v>
      </c>
      <c r="C876" t="str">
        <f ca="1">IFERROR(__xludf.DUMMYFUNCTION("""COMPUTED_VALUE"""),"PA000182")</f>
        <v>PA000182</v>
      </c>
      <c r="D876" t="str">
        <f ca="1">IFERROR(__xludf.DUMMYFUNCTION("""COMPUTED_VALUE"""),"PA000182")</f>
        <v>PA000182</v>
      </c>
    </row>
    <row r="877" spans="1:4" ht="15" customHeight="1">
      <c r="A877" t="str">
        <f ca="1">IFERROR(__xludf.DUMMYFUNCTION("""COMPUTED_VALUE"""),"AA001940")</f>
        <v>AA001940</v>
      </c>
      <c r="B877" s="205">
        <f ca="1">IFERROR(__xludf.DUMMYFUNCTION("""COMPUTED_VALUE"""),43628)</f>
        <v>43628</v>
      </c>
      <c r="C877" t="str">
        <f ca="1">IFERROR(__xludf.DUMMYFUNCTION("""COMPUTED_VALUE"""),"PA000182")</f>
        <v>PA000182</v>
      </c>
      <c r="D877" t="str">
        <f ca="1">IFERROR(__xludf.DUMMYFUNCTION("""COMPUTED_VALUE"""),"PA000182")</f>
        <v>PA000182</v>
      </c>
    </row>
    <row r="878" spans="1:4" ht="15" customHeight="1">
      <c r="A878" t="str">
        <f ca="1">IFERROR(__xludf.DUMMYFUNCTION("""COMPUTED_VALUE"""),"AA001940")</f>
        <v>AA001940</v>
      </c>
      <c r="B878" s="205">
        <f ca="1">IFERROR(__xludf.DUMMYFUNCTION("""COMPUTED_VALUE"""),43628)</f>
        <v>43628</v>
      </c>
      <c r="C878" t="str">
        <f ca="1">IFERROR(__xludf.DUMMYFUNCTION("""COMPUTED_VALUE"""),"PA000182")</f>
        <v>PA000182</v>
      </c>
      <c r="D878" t="str">
        <f ca="1">IFERROR(__xludf.DUMMYFUNCTION("""COMPUTED_VALUE"""),"PA000182")</f>
        <v>PA000182</v>
      </c>
    </row>
    <row r="879" spans="1:4" ht="15" customHeight="1">
      <c r="A879" t="str">
        <f ca="1">IFERROR(__xludf.DUMMYFUNCTION("""COMPUTED_VALUE"""),"AA001940")</f>
        <v>AA001940</v>
      </c>
      <c r="B879" s="205">
        <f ca="1">IFERROR(__xludf.DUMMYFUNCTION("""COMPUTED_VALUE"""),43628)</f>
        <v>43628</v>
      </c>
      <c r="C879" t="str">
        <f ca="1">IFERROR(__xludf.DUMMYFUNCTION("""COMPUTED_VALUE"""),"PA000182")</f>
        <v>PA000182</v>
      </c>
      <c r="D879" t="str">
        <f ca="1">IFERROR(__xludf.DUMMYFUNCTION("""COMPUTED_VALUE"""),"PA000182")</f>
        <v>PA000182</v>
      </c>
    </row>
    <row r="880" spans="1:4" ht="15" customHeight="1">
      <c r="A880" t="str">
        <f ca="1">IFERROR(__xludf.DUMMYFUNCTION("""COMPUTED_VALUE"""),"AA001939")</f>
        <v>AA001939</v>
      </c>
      <c r="B880" s="205">
        <f ca="1">IFERROR(__xludf.DUMMYFUNCTION("""COMPUTED_VALUE"""),43628)</f>
        <v>43628</v>
      </c>
      <c r="C880" t="str">
        <f ca="1">IFERROR(__xludf.DUMMYFUNCTION("""COMPUTED_VALUE"""),"PA000182")</f>
        <v>PA000182</v>
      </c>
      <c r="D880" t="str">
        <f ca="1">IFERROR(__xludf.DUMMYFUNCTION("""COMPUTED_VALUE"""),"PA000182")</f>
        <v>PA000182</v>
      </c>
    </row>
    <row r="881" spans="1:4" ht="15" customHeight="1">
      <c r="A881" t="str">
        <f ca="1">IFERROR(__xludf.DUMMYFUNCTION("""COMPUTED_VALUE"""),"AA001939")</f>
        <v>AA001939</v>
      </c>
      <c r="B881" s="205">
        <f ca="1">IFERROR(__xludf.DUMMYFUNCTION("""COMPUTED_VALUE"""),43628)</f>
        <v>43628</v>
      </c>
      <c r="C881" t="str">
        <f ca="1">IFERROR(__xludf.DUMMYFUNCTION("""COMPUTED_VALUE"""),"PA000182")</f>
        <v>PA000182</v>
      </c>
      <c r="D881" t="str">
        <f ca="1">IFERROR(__xludf.DUMMYFUNCTION("""COMPUTED_VALUE"""),"PA000182")</f>
        <v>PA000182</v>
      </c>
    </row>
    <row r="882" spans="1:4" ht="15" customHeight="1">
      <c r="A882" t="str">
        <f ca="1">IFERROR(__xludf.DUMMYFUNCTION("""COMPUTED_VALUE"""),"AA001939")</f>
        <v>AA001939</v>
      </c>
      <c r="B882" s="205">
        <f ca="1">IFERROR(__xludf.DUMMYFUNCTION("""COMPUTED_VALUE"""),43628)</f>
        <v>43628</v>
      </c>
      <c r="C882" t="str">
        <f ca="1">IFERROR(__xludf.DUMMYFUNCTION("""COMPUTED_VALUE"""),"PA000182")</f>
        <v>PA000182</v>
      </c>
      <c r="D882" t="str">
        <f ca="1">IFERROR(__xludf.DUMMYFUNCTION("""COMPUTED_VALUE"""),"PA000182")</f>
        <v>PA000182</v>
      </c>
    </row>
    <row r="883" spans="1:4" ht="15" customHeight="1">
      <c r="A883" t="str">
        <f ca="1">IFERROR(__xludf.DUMMYFUNCTION("""COMPUTED_VALUE"""),"AA001939")</f>
        <v>AA001939</v>
      </c>
      <c r="B883" s="205">
        <f ca="1">IFERROR(__xludf.DUMMYFUNCTION("""COMPUTED_VALUE"""),43628)</f>
        <v>43628</v>
      </c>
      <c r="C883" t="str">
        <f ca="1">IFERROR(__xludf.DUMMYFUNCTION("""COMPUTED_VALUE"""),"PA000182")</f>
        <v>PA000182</v>
      </c>
      <c r="D883" t="str">
        <f ca="1">IFERROR(__xludf.DUMMYFUNCTION("""COMPUTED_VALUE"""),"PA000182")</f>
        <v>PA000182</v>
      </c>
    </row>
    <row r="884" spans="1:4" ht="15" customHeight="1">
      <c r="A884" t="str">
        <f ca="1">IFERROR(__xludf.DUMMYFUNCTION("""COMPUTED_VALUE"""),"AA001939")</f>
        <v>AA001939</v>
      </c>
      <c r="B884" s="205">
        <f ca="1">IFERROR(__xludf.DUMMYFUNCTION("""COMPUTED_VALUE"""),43628)</f>
        <v>43628</v>
      </c>
      <c r="C884" t="str">
        <f ca="1">IFERROR(__xludf.DUMMYFUNCTION("""COMPUTED_VALUE"""),"PA000182")</f>
        <v>PA000182</v>
      </c>
      <c r="D884" t="str">
        <f ca="1">IFERROR(__xludf.DUMMYFUNCTION("""COMPUTED_VALUE"""),"PA000182")</f>
        <v>PA000182</v>
      </c>
    </row>
    <row r="885" spans="1:4" ht="15" customHeight="1">
      <c r="A885" t="str">
        <f ca="1">IFERROR(__xludf.DUMMYFUNCTION("""COMPUTED_VALUE"""),"AA001939")</f>
        <v>AA001939</v>
      </c>
      <c r="B885" s="205">
        <f ca="1">IFERROR(__xludf.DUMMYFUNCTION("""COMPUTED_VALUE"""),43628)</f>
        <v>43628</v>
      </c>
      <c r="C885" t="str">
        <f ca="1">IFERROR(__xludf.DUMMYFUNCTION("""COMPUTED_VALUE"""),"PA000182")</f>
        <v>PA000182</v>
      </c>
      <c r="D885" t="str">
        <f ca="1">IFERROR(__xludf.DUMMYFUNCTION("""COMPUTED_VALUE"""),"PA000182")</f>
        <v>PA000182</v>
      </c>
    </row>
    <row r="886" spans="1:4" ht="15" customHeight="1">
      <c r="A886" t="str">
        <f ca="1">IFERROR(__xludf.DUMMYFUNCTION("""COMPUTED_VALUE"""),"AA001939")</f>
        <v>AA001939</v>
      </c>
      <c r="B886" s="205">
        <f ca="1">IFERROR(__xludf.DUMMYFUNCTION("""COMPUTED_VALUE"""),43628)</f>
        <v>43628</v>
      </c>
      <c r="C886" t="str">
        <f ca="1">IFERROR(__xludf.DUMMYFUNCTION("""COMPUTED_VALUE"""),"PA000182")</f>
        <v>PA000182</v>
      </c>
      <c r="D886" t="str">
        <f ca="1">IFERROR(__xludf.DUMMYFUNCTION("""COMPUTED_VALUE"""),"PA000182")</f>
        <v>PA000182</v>
      </c>
    </row>
    <row r="887" spans="1:4" ht="15" customHeight="1">
      <c r="A887" t="str">
        <f ca="1">IFERROR(__xludf.DUMMYFUNCTION("""COMPUTED_VALUE"""),"AA001939")</f>
        <v>AA001939</v>
      </c>
      <c r="B887" s="205">
        <f ca="1">IFERROR(__xludf.DUMMYFUNCTION("""COMPUTED_VALUE"""),43628)</f>
        <v>43628</v>
      </c>
      <c r="C887" t="str">
        <f ca="1">IFERROR(__xludf.DUMMYFUNCTION("""COMPUTED_VALUE"""),"PA000182")</f>
        <v>PA000182</v>
      </c>
      <c r="D887" t="str">
        <f ca="1">IFERROR(__xludf.DUMMYFUNCTION("""COMPUTED_VALUE"""),"PA000182")</f>
        <v>PA000182</v>
      </c>
    </row>
    <row r="888" spans="1:4" ht="15" customHeight="1">
      <c r="A888" t="str">
        <f ca="1">IFERROR(__xludf.DUMMYFUNCTION("""COMPUTED_VALUE"""),"AB001326")</f>
        <v>AB001326</v>
      </c>
      <c r="B888" s="205">
        <f ca="1">IFERROR(__xludf.DUMMYFUNCTION("""COMPUTED_VALUE"""),43628)</f>
        <v>43628</v>
      </c>
      <c r="C888" t="str">
        <f ca="1">IFERROR(__xludf.DUMMYFUNCTION("""COMPUTED_VALUE"""),"PA000182")</f>
        <v>PA000182</v>
      </c>
      <c r="D888" t="str">
        <f ca="1">IFERROR(__xludf.DUMMYFUNCTION("""COMPUTED_VALUE"""),"PA000182")</f>
        <v>PA000182</v>
      </c>
    </row>
    <row r="889" spans="1:4" ht="15" customHeight="1">
      <c r="A889" t="str">
        <f ca="1">IFERROR(__xludf.DUMMYFUNCTION("""COMPUTED_VALUE"""),"AB001320-1")</f>
        <v>AB001320-1</v>
      </c>
      <c r="B889" s="205">
        <f ca="1">IFERROR(__xludf.DUMMYFUNCTION("""COMPUTED_VALUE"""),43629)</f>
        <v>43629</v>
      </c>
      <c r="C889" t="str">
        <f ca="1">IFERROR(__xludf.DUMMYFUNCTION("""COMPUTED_VALUE"""),"PA000182")</f>
        <v>PA000182</v>
      </c>
      <c r="D889" t="str">
        <f ca="1">IFERROR(__xludf.DUMMYFUNCTION("""COMPUTED_VALUE"""),"PA000182")</f>
        <v>PA000182</v>
      </c>
    </row>
    <row r="890" spans="1:4" ht="15" customHeight="1">
      <c r="A890" t="str">
        <f ca="1">IFERROR(__xludf.DUMMYFUNCTION("""COMPUTED_VALUE"""),"AB001320")</f>
        <v>AB001320</v>
      </c>
      <c r="B890" s="205">
        <f ca="1">IFERROR(__xludf.DUMMYFUNCTION("""COMPUTED_VALUE"""),43629)</f>
        <v>43629</v>
      </c>
      <c r="C890" t="str">
        <f ca="1">IFERROR(__xludf.DUMMYFUNCTION("""COMPUTED_VALUE"""),"PA000182")</f>
        <v>PA000182</v>
      </c>
      <c r="D890" t="str">
        <f ca="1">IFERROR(__xludf.DUMMYFUNCTION("""COMPUTED_VALUE"""),"PA000182")</f>
        <v>PA000182</v>
      </c>
    </row>
    <row r="891" spans="1:4" ht="15" customHeight="1">
      <c r="A891" t="str">
        <f ca="1">IFERROR(__xludf.DUMMYFUNCTION("""COMPUTED_VALUE"""),"AB001320")</f>
        <v>AB001320</v>
      </c>
      <c r="B891" s="205">
        <f ca="1">IFERROR(__xludf.DUMMYFUNCTION("""COMPUTED_VALUE"""),43629)</f>
        <v>43629</v>
      </c>
      <c r="C891" t="str">
        <f ca="1">IFERROR(__xludf.DUMMYFUNCTION("""COMPUTED_VALUE"""),"PA000182")</f>
        <v>PA000182</v>
      </c>
      <c r="D891" t="str">
        <f ca="1">IFERROR(__xludf.DUMMYFUNCTION("""COMPUTED_VALUE"""),"PA000182")</f>
        <v>PA000182</v>
      </c>
    </row>
    <row r="892" spans="1:4" ht="15" customHeight="1">
      <c r="A892" t="str">
        <f ca="1">IFERROR(__xludf.DUMMYFUNCTION("""COMPUTED_VALUE"""),"AB001278")</f>
        <v>AB001278</v>
      </c>
      <c r="B892" s="205">
        <f ca="1">IFERROR(__xludf.DUMMYFUNCTION("""COMPUTED_VALUE"""),43629)</f>
        <v>43629</v>
      </c>
      <c r="C892" t="str">
        <f ca="1">IFERROR(__xludf.DUMMYFUNCTION("""COMPUTED_VALUE"""),"PA000182")</f>
        <v>PA000182</v>
      </c>
      <c r="D892" t="str">
        <f ca="1">IFERROR(__xludf.DUMMYFUNCTION("""COMPUTED_VALUE"""),"PA000182")</f>
        <v>PA000182</v>
      </c>
    </row>
    <row r="893" spans="1:4" ht="15" customHeight="1">
      <c r="A893" t="str">
        <f ca="1">IFERROR(__xludf.DUMMYFUNCTION("""COMPUTED_VALUE"""),"AB001279")</f>
        <v>AB001279</v>
      </c>
      <c r="B893" s="205">
        <f ca="1">IFERROR(__xludf.DUMMYFUNCTION("""COMPUTED_VALUE"""),43630)</f>
        <v>43630</v>
      </c>
      <c r="C893" t="str">
        <f ca="1">IFERROR(__xludf.DUMMYFUNCTION("""COMPUTED_VALUE"""),"PA000182")</f>
        <v>PA000182</v>
      </c>
      <c r="D893" t="str">
        <f ca="1">IFERROR(__xludf.DUMMYFUNCTION("""COMPUTED_VALUE"""),"PA000182")</f>
        <v>PA000182</v>
      </c>
    </row>
    <row r="894" spans="1:4" ht="15" customHeight="1">
      <c r="A894" t="str">
        <f ca="1">IFERROR(__xludf.DUMMYFUNCTION("""COMPUTED_VALUE"""),"AB001280")</f>
        <v>AB001280</v>
      </c>
      <c r="B894" s="205">
        <f ca="1">IFERROR(__xludf.DUMMYFUNCTION("""COMPUTED_VALUE"""),43630)</f>
        <v>43630</v>
      </c>
      <c r="C894" t="str">
        <f ca="1">IFERROR(__xludf.DUMMYFUNCTION("""COMPUTED_VALUE"""),"PA000182")</f>
        <v>PA000182</v>
      </c>
      <c r="D894" t="str">
        <f ca="1">IFERROR(__xludf.DUMMYFUNCTION("""COMPUTED_VALUE"""),"PA000182")</f>
        <v>PA000182</v>
      </c>
    </row>
    <row r="895" spans="1:4" ht="15" customHeight="1">
      <c r="A895" t="str">
        <f ca="1">IFERROR(__xludf.DUMMYFUNCTION("""COMPUTED_VALUE"""),"AB001281")</f>
        <v>AB001281</v>
      </c>
      <c r="B895" s="205">
        <f ca="1">IFERROR(__xludf.DUMMYFUNCTION("""COMPUTED_VALUE"""),43630)</f>
        <v>43630</v>
      </c>
      <c r="C895" t="str">
        <f ca="1">IFERROR(__xludf.DUMMYFUNCTION("""COMPUTED_VALUE"""),"PA000182")</f>
        <v>PA000182</v>
      </c>
      <c r="D895" t="str">
        <f ca="1">IFERROR(__xludf.DUMMYFUNCTION("""COMPUTED_VALUE"""),"PA000182")</f>
        <v>PA000182</v>
      </c>
    </row>
    <row r="896" spans="1:4" ht="15" customHeight="1">
      <c r="A896" t="str">
        <f ca="1">IFERROR(__xludf.DUMMYFUNCTION("""COMPUTED_VALUE"""),"AB001281")</f>
        <v>AB001281</v>
      </c>
      <c r="B896" s="205">
        <f ca="1">IFERROR(__xludf.DUMMYFUNCTION("""COMPUTED_VALUE"""),43630)</f>
        <v>43630</v>
      </c>
      <c r="C896" t="str">
        <f ca="1">IFERROR(__xludf.DUMMYFUNCTION("""COMPUTED_VALUE"""),"PA000197")</f>
        <v>PA000197</v>
      </c>
      <c r="D896" t="str">
        <f ca="1">IFERROR(__xludf.DUMMYFUNCTION("""COMPUTED_VALUE"""),"PA000197")</f>
        <v>PA000197</v>
      </c>
    </row>
    <row r="897" spans="1:4" ht="15" customHeight="1">
      <c r="A897" t="str">
        <f ca="1">IFERROR(__xludf.DUMMYFUNCTION("""COMPUTED_VALUE"""),"AB001321")</f>
        <v>AB001321</v>
      </c>
      <c r="B897" s="205">
        <f ca="1">IFERROR(__xludf.DUMMYFUNCTION("""COMPUTED_VALUE"""),43630)</f>
        <v>43630</v>
      </c>
      <c r="C897" t="str">
        <f ca="1">IFERROR(__xludf.DUMMYFUNCTION("""COMPUTED_VALUE"""),"PA000198")</f>
        <v>PA000198</v>
      </c>
      <c r="D897" t="str">
        <f ca="1">IFERROR(__xludf.DUMMYFUNCTION("""COMPUTED_VALUE"""),"PA000198")</f>
        <v>PA000198</v>
      </c>
    </row>
    <row r="898" spans="1:4" ht="15" customHeight="1">
      <c r="A898" t="str">
        <f ca="1">IFERROR(__xludf.DUMMYFUNCTION("""COMPUTED_VALUE"""),"AB001321")</f>
        <v>AB001321</v>
      </c>
      <c r="B898" s="205">
        <f ca="1">IFERROR(__xludf.DUMMYFUNCTION("""COMPUTED_VALUE"""),43630)</f>
        <v>43630</v>
      </c>
      <c r="C898" t="str">
        <f ca="1">IFERROR(__xludf.DUMMYFUNCTION("""COMPUTED_VALUE"""),"PA000206")</f>
        <v>PA000206</v>
      </c>
      <c r="D898" t="str">
        <f ca="1">IFERROR(__xludf.DUMMYFUNCTION("""COMPUTED_VALUE"""),"PA000206")</f>
        <v>PA000206</v>
      </c>
    </row>
    <row r="899" spans="1:4" ht="15" customHeight="1">
      <c r="A899" t="str">
        <f ca="1">IFERROR(__xludf.DUMMYFUNCTION("""COMPUTED_VALUE"""),"AB001321")</f>
        <v>AB001321</v>
      </c>
      <c r="B899" s="205">
        <f ca="1">IFERROR(__xludf.DUMMYFUNCTION("""COMPUTED_VALUE"""),43630)</f>
        <v>43630</v>
      </c>
      <c r="C899" t="str">
        <f ca="1">IFERROR(__xludf.DUMMYFUNCTION("""COMPUTED_VALUE"""),"PA000199")</f>
        <v>PA000199</v>
      </c>
      <c r="D899" t="str">
        <f ca="1">IFERROR(__xludf.DUMMYFUNCTION("""COMPUTED_VALUE"""),"PA000199")</f>
        <v>PA000199</v>
      </c>
    </row>
    <row r="900" spans="1:4" ht="15" customHeight="1">
      <c r="A900" t="str">
        <f ca="1">IFERROR(__xludf.DUMMYFUNCTION("""COMPUTED_VALUE"""),"AB001302")</f>
        <v>AB001302</v>
      </c>
      <c r="B900" s="205">
        <f ca="1">IFERROR(__xludf.DUMMYFUNCTION("""COMPUTED_VALUE"""),43630)</f>
        <v>43630</v>
      </c>
      <c r="C900" t="str">
        <f ca="1">IFERROR(__xludf.DUMMYFUNCTION("""COMPUTED_VALUE"""),"PA000199")</f>
        <v>PA000199</v>
      </c>
      <c r="D900" t="str">
        <f ca="1">IFERROR(__xludf.DUMMYFUNCTION("""COMPUTED_VALUE"""),"PA000199")</f>
        <v>PA000199</v>
      </c>
    </row>
    <row r="901" spans="1:4" ht="15" customHeight="1">
      <c r="A901" t="str">
        <f ca="1">IFERROR(__xludf.DUMMYFUNCTION("""COMPUTED_VALUE"""),"AB001282")</f>
        <v>AB001282</v>
      </c>
      <c r="B901" s="205">
        <f ca="1">IFERROR(__xludf.DUMMYFUNCTION("""COMPUTED_VALUE"""),43630)</f>
        <v>43630</v>
      </c>
      <c r="C901" t="str">
        <f ca="1">IFERROR(__xludf.DUMMYFUNCTION("""COMPUTED_VALUE"""),"PA000188")</f>
        <v>PA000188</v>
      </c>
      <c r="D901" t="str">
        <f ca="1">IFERROR(__xludf.DUMMYFUNCTION("""COMPUTED_VALUE"""),"PA000188")</f>
        <v>PA000188</v>
      </c>
    </row>
    <row r="902" spans="1:4" ht="15" customHeight="1">
      <c r="A902" t="str">
        <f ca="1">IFERROR(__xludf.DUMMYFUNCTION("""COMPUTED_VALUE"""),"AB001282")</f>
        <v>AB001282</v>
      </c>
      <c r="B902" s="205">
        <f ca="1">IFERROR(__xludf.DUMMYFUNCTION("""COMPUTED_VALUE"""),43630)</f>
        <v>43630</v>
      </c>
      <c r="C902" t="str">
        <f ca="1">IFERROR(__xludf.DUMMYFUNCTION("""COMPUTED_VALUE"""),"PA000188")</f>
        <v>PA000188</v>
      </c>
      <c r="D902" t="str">
        <f ca="1">IFERROR(__xludf.DUMMYFUNCTION("""COMPUTED_VALUE"""),"PA000188")</f>
        <v>PA000188</v>
      </c>
    </row>
    <row r="903" spans="1:4" ht="15" customHeight="1">
      <c r="A903" t="str">
        <f ca="1">IFERROR(__xludf.DUMMYFUNCTION("""COMPUTED_VALUE"""),"AB001307")</f>
        <v>AB001307</v>
      </c>
      <c r="B903" s="205">
        <f ca="1">IFERROR(__xludf.DUMMYFUNCTION("""COMPUTED_VALUE"""),43633)</f>
        <v>43633</v>
      </c>
      <c r="C903" t="str">
        <f ca="1">IFERROR(__xludf.DUMMYFUNCTION("""COMPUTED_VALUE"""),"PA000188")</f>
        <v>PA000188</v>
      </c>
      <c r="D903" t="str">
        <f ca="1">IFERROR(__xludf.DUMMYFUNCTION("""COMPUTED_VALUE"""),"PA000188")</f>
        <v>PA000188</v>
      </c>
    </row>
    <row r="904" spans="1:4" ht="15" customHeight="1">
      <c r="A904" t="str">
        <f ca="1">IFERROR(__xludf.DUMMYFUNCTION("""COMPUTED_VALUE"""),"AB001307")</f>
        <v>AB001307</v>
      </c>
      <c r="B904" s="205">
        <f ca="1">IFERROR(__xludf.DUMMYFUNCTION("""COMPUTED_VALUE"""),43633)</f>
        <v>43633</v>
      </c>
      <c r="C904" t="str">
        <f ca="1">IFERROR(__xludf.DUMMYFUNCTION("""COMPUTED_VALUE"""),"PA000188")</f>
        <v>PA000188</v>
      </c>
      <c r="D904" t="str">
        <f ca="1">IFERROR(__xludf.DUMMYFUNCTION("""COMPUTED_VALUE"""),"PA000188")</f>
        <v>PA000188</v>
      </c>
    </row>
    <row r="905" spans="1:4" ht="15" customHeight="1">
      <c r="A905" t="str">
        <f ca="1">IFERROR(__xludf.DUMMYFUNCTION("""COMPUTED_VALUE"""),"AB001307")</f>
        <v>AB001307</v>
      </c>
      <c r="B905" s="205">
        <f ca="1">IFERROR(__xludf.DUMMYFUNCTION("""COMPUTED_VALUE"""),43633)</f>
        <v>43633</v>
      </c>
      <c r="C905" t="str">
        <f ca="1">IFERROR(__xludf.DUMMYFUNCTION("""COMPUTED_VALUE"""),"PA000189")</f>
        <v>PA000189</v>
      </c>
      <c r="D905" t="str">
        <f ca="1">IFERROR(__xludf.DUMMYFUNCTION("""COMPUTED_VALUE"""),"PA000189")</f>
        <v>PA000189</v>
      </c>
    </row>
    <row r="906" spans="1:4" ht="15" customHeight="1">
      <c r="A906" t="str">
        <f ca="1">IFERROR(__xludf.DUMMYFUNCTION("""COMPUTED_VALUE"""),"AB001307")</f>
        <v>AB001307</v>
      </c>
      <c r="B906" s="205">
        <f ca="1">IFERROR(__xludf.DUMMYFUNCTION("""COMPUTED_VALUE"""),43633)</f>
        <v>43633</v>
      </c>
      <c r="C906" t="str">
        <f ca="1">IFERROR(__xludf.DUMMYFUNCTION("""COMPUTED_VALUE"""),"PA000200")</f>
        <v>PA000200</v>
      </c>
      <c r="D906" t="str">
        <f ca="1">IFERROR(__xludf.DUMMYFUNCTION("""COMPUTED_VALUE"""),"PA000200")</f>
        <v>PA000200</v>
      </c>
    </row>
    <row r="907" spans="1:4" ht="15" customHeight="1">
      <c r="A907" t="str">
        <f ca="1">IFERROR(__xludf.DUMMYFUNCTION("""COMPUTED_VALUE"""),"AB001307")</f>
        <v>AB001307</v>
      </c>
      <c r="B907" s="205">
        <f ca="1">IFERROR(__xludf.DUMMYFUNCTION("""COMPUTED_VALUE"""),43633)</f>
        <v>43633</v>
      </c>
      <c r="C907" t="str">
        <f ca="1">IFERROR(__xludf.DUMMYFUNCTION("""COMPUTED_VALUE"""),"PA000200")</f>
        <v>PA000200</v>
      </c>
      <c r="D907" t="str">
        <f ca="1">IFERROR(__xludf.DUMMYFUNCTION("""COMPUTED_VALUE"""),"PA000200")</f>
        <v>PA000200</v>
      </c>
    </row>
    <row r="908" spans="1:4" ht="15" customHeight="1">
      <c r="A908" t="str">
        <f ca="1">IFERROR(__xludf.DUMMYFUNCTION("""COMPUTED_VALUE"""),"AB001307")</f>
        <v>AB001307</v>
      </c>
      <c r="B908" s="205">
        <f ca="1">IFERROR(__xludf.DUMMYFUNCTION("""COMPUTED_VALUE"""),43633)</f>
        <v>43633</v>
      </c>
      <c r="C908" t="str">
        <f ca="1">IFERROR(__xludf.DUMMYFUNCTION("""COMPUTED_VALUE"""),"PA000200")</f>
        <v>PA000200</v>
      </c>
      <c r="D908" t="str">
        <f ca="1">IFERROR(__xludf.DUMMYFUNCTION("""COMPUTED_VALUE"""),"PA000200")</f>
        <v>PA000200</v>
      </c>
    </row>
    <row r="909" spans="1:4" ht="15" customHeight="1">
      <c r="A909" t="str">
        <f ca="1">IFERROR(__xludf.DUMMYFUNCTION("""COMPUTED_VALUE"""),"AB001307")</f>
        <v>AB001307</v>
      </c>
      <c r="B909" s="205">
        <f ca="1">IFERROR(__xludf.DUMMYFUNCTION("""COMPUTED_VALUE"""),43633)</f>
        <v>43633</v>
      </c>
      <c r="C909" t="str">
        <f ca="1">IFERROR(__xludf.DUMMYFUNCTION("""COMPUTED_VALUE"""),"PA000251")</f>
        <v>PA000251</v>
      </c>
      <c r="D909" t="str">
        <f ca="1">IFERROR(__xludf.DUMMYFUNCTION("""COMPUTED_VALUE"""),"PA000251")</f>
        <v>PA000251</v>
      </c>
    </row>
    <row r="910" spans="1:4" ht="15" customHeight="1">
      <c r="A910" t="str">
        <f ca="1">IFERROR(__xludf.DUMMYFUNCTION("""COMPUTED_VALUE"""),"AB001306")</f>
        <v>AB001306</v>
      </c>
      <c r="B910" s="205">
        <f ca="1">IFERROR(__xludf.DUMMYFUNCTION("""COMPUTED_VALUE"""),43630)</f>
        <v>43630</v>
      </c>
      <c r="C910" t="str">
        <f ca="1">IFERROR(__xludf.DUMMYFUNCTION("""COMPUTED_VALUE"""),"PA000173")</f>
        <v>PA000173</v>
      </c>
      <c r="D910" t="str">
        <f ca="1">IFERROR(__xludf.DUMMYFUNCTION("""COMPUTED_VALUE"""),"PA000173")</f>
        <v>PA000173</v>
      </c>
    </row>
    <row r="911" spans="1:4" ht="15" customHeight="1">
      <c r="A911" t="str">
        <f ca="1">IFERROR(__xludf.DUMMYFUNCTION("""COMPUTED_VALUE"""),"AB001306")</f>
        <v>AB001306</v>
      </c>
      <c r="B911" s="205">
        <f ca="1">IFERROR(__xludf.DUMMYFUNCTION("""COMPUTED_VALUE"""),43630)</f>
        <v>43630</v>
      </c>
      <c r="C911" t="str">
        <f ca="1">IFERROR(__xludf.DUMMYFUNCTION("""COMPUTED_VALUE"""),"PA000173")</f>
        <v>PA000173</v>
      </c>
      <c r="D911" t="str">
        <f ca="1">IFERROR(__xludf.DUMMYFUNCTION("""COMPUTED_VALUE"""),"PA000173")</f>
        <v>PA000173</v>
      </c>
    </row>
    <row r="912" spans="1:4" ht="15" customHeight="1">
      <c r="A912" t="str">
        <f ca="1">IFERROR(__xludf.DUMMYFUNCTION("""COMPUTED_VALUE"""),"AB001284")</f>
        <v>AB001284</v>
      </c>
      <c r="B912" s="205">
        <f ca="1">IFERROR(__xludf.DUMMYFUNCTION("""COMPUTED_VALUE"""),43633)</f>
        <v>43633</v>
      </c>
      <c r="C912" t="str">
        <f ca="1">IFERROR(__xludf.DUMMYFUNCTION("""COMPUTED_VALUE"""),"PA000173")</f>
        <v>PA000173</v>
      </c>
      <c r="D912" t="str">
        <f ca="1">IFERROR(__xludf.DUMMYFUNCTION("""COMPUTED_VALUE"""),"PA000173")</f>
        <v>PA000173</v>
      </c>
    </row>
    <row r="913" spans="1:4" ht="15" customHeight="1">
      <c r="A913" t="str">
        <f ca="1">IFERROR(__xludf.DUMMYFUNCTION("""COMPUTED_VALUE"""),"AB001285")</f>
        <v>AB001285</v>
      </c>
      <c r="B913" s="205">
        <f ca="1">IFERROR(__xludf.DUMMYFUNCTION("""COMPUTED_VALUE"""),43633)</f>
        <v>43633</v>
      </c>
      <c r="C913" t="str">
        <f ca="1">IFERROR(__xludf.DUMMYFUNCTION("""COMPUTED_VALUE"""),"PA000173")</f>
        <v>PA000173</v>
      </c>
      <c r="D913" t="str">
        <f ca="1">IFERROR(__xludf.DUMMYFUNCTION("""COMPUTED_VALUE"""),"PA000173")</f>
        <v>PA000173</v>
      </c>
    </row>
    <row r="914" spans="1:4" ht="15" customHeight="1">
      <c r="A914" t="str">
        <f ca="1">IFERROR(__xludf.DUMMYFUNCTION("""COMPUTED_VALUE"""),"AB001283")</f>
        <v>AB001283</v>
      </c>
      <c r="B914" s="205">
        <f ca="1">IFERROR(__xludf.DUMMYFUNCTION("""COMPUTED_VALUE"""),43635)</f>
        <v>43635</v>
      </c>
      <c r="C914" t="str">
        <f ca="1">IFERROR(__xludf.DUMMYFUNCTION("""COMPUTED_VALUE"""),"PA000173")</f>
        <v>PA000173</v>
      </c>
      <c r="D914" t="str">
        <f ca="1">IFERROR(__xludf.DUMMYFUNCTION("""COMPUTED_VALUE"""),"PA000173")</f>
        <v>PA000173</v>
      </c>
    </row>
    <row r="915" spans="1:4" ht="15" customHeight="1">
      <c r="A915" t="str">
        <f ca="1">IFERROR(__xludf.DUMMYFUNCTION("""COMPUTED_VALUE"""),"AB001276")</f>
        <v>AB001276</v>
      </c>
      <c r="B915" s="205">
        <f ca="1">IFERROR(__xludf.DUMMYFUNCTION("""COMPUTED_VALUE"""),43635)</f>
        <v>43635</v>
      </c>
      <c r="C915" t="str">
        <f ca="1">IFERROR(__xludf.DUMMYFUNCTION("""COMPUTED_VALUE"""),"PA000173")</f>
        <v>PA000173</v>
      </c>
      <c r="D915" t="str">
        <f ca="1">IFERROR(__xludf.DUMMYFUNCTION("""COMPUTED_VALUE"""),"PA000173")</f>
        <v>PA000173</v>
      </c>
    </row>
    <row r="916" spans="1:4" ht="15" customHeight="1">
      <c r="A916" t="str">
        <f ca="1">IFERROR(__xludf.DUMMYFUNCTION("""COMPUTED_VALUE"""),"PA000133")</f>
        <v>PA000133</v>
      </c>
      <c r="B916" s="205">
        <f ca="1">IFERROR(__xludf.DUMMYFUNCTION("""COMPUTED_VALUE"""),43633)</f>
        <v>43633</v>
      </c>
      <c r="C916" t="str">
        <f ca="1">IFERROR(__xludf.DUMMYFUNCTION("""COMPUTED_VALUE"""),"PA000252")</f>
        <v>PA000252</v>
      </c>
      <c r="D916" t="str">
        <f ca="1">IFERROR(__xludf.DUMMYFUNCTION("""COMPUTED_VALUE"""),"PA000252")</f>
        <v>PA000252</v>
      </c>
    </row>
    <row r="917" spans="1:4" ht="15" customHeight="1">
      <c r="A917" t="str">
        <f ca="1">IFERROR(__xludf.DUMMYFUNCTION("""COMPUTED_VALUE"""),"AB001088")</f>
        <v>AB001088</v>
      </c>
      <c r="B917" s="205">
        <f ca="1">IFERROR(__xludf.DUMMYFUNCTION("""COMPUTED_VALUE"""),43641)</f>
        <v>43641</v>
      </c>
      <c r="C917" t="str">
        <f ca="1">IFERROR(__xludf.DUMMYFUNCTION("""COMPUTED_VALUE"""),"PA000253")</f>
        <v>PA000253</v>
      </c>
      <c r="D917" t="str">
        <f ca="1">IFERROR(__xludf.DUMMYFUNCTION("""COMPUTED_VALUE"""),"PA000253")</f>
        <v>PA000253</v>
      </c>
    </row>
    <row r="918" spans="1:4" ht="15" customHeight="1">
      <c r="A918" t="str">
        <f ca="1">IFERROR(__xludf.DUMMYFUNCTION("""COMPUTED_VALUE"""),"AB001322")</f>
        <v>AB001322</v>
      </c>
      <c r="B918" s="205">
        <f ca="1">IFERROR(__xludf.DUMMYFUNCTION("""COMPUTED_VALUE"""),43633)</f>
        <v>43633</v>
      </c>
      <c r="C918" t="str">
        <f ca="1">IFERROR(__xludf.DUMMYFUNCTION("""COMPUTED_VALUE"""),"PA000254")</f>
        <v>PA000254</v>
      </c>
      <c r="D918" t="str">
        <f ca="1">IFERROR(__xludf.DUMMYFUNCTION("""COMPUTED_VALUE"""),"PA000254")</f>
        <v>PA000254</v>
      </c>
    </row>
    <row r="919" spans="1:4" ht="15" customHeight="1">
      <c r="A919" t="str">
        <f ca="1">IFERROR(__xludf.DUMMYFUNCTION("""COMPUTED_VALUE"""),"AB001323")</f>
        <v>AB001323</v>
      </c>
      <c r="B919" s="205">
        <f ca="1">IFERROR(__xludf.DUMMYFUNCTION("""COMPUTED_VALUE"""),43634)</f>
        <v>43634</v>
      </c>
      <c r="C919" t="str">
        <f ca="1">IFERROR(__xludf.DUMMYFUNCTION("""COMPUTED_VALUE"""),"PA000190")</f>
        <v>PA000190</v>
      </c>
      <c r="D919" t="str">
        <f ca="1">IFERROR(__xludf.DUMMYFUNCTION("""COMPUTED_VALUE"""),"PA000190")</f>
        <v>PA000190</v>
      </c>
    </row>
    <row r="920" spans="1:4" ht="15" customHeight="1">
      <c r="A920" t="str">
        <f ca="1">IFERROR(__xludf.DUMMYFUNCTION("""COMPUTED_VALUE"""),"AB001286")</f>
        <v>AB001286</v>
      </c>
      <c r="B920" s="205">
        <f ca="1">IFERROR(__xludf.DUMMYFUNCTION("""COMPUTED_VALUE"""),43634)</f>
        <v>43634</v>
      </c>
      <c r="C920" t="str">
        <f ca="1">IFERROR(__xludf.DUMMYFUNCTION("""COMPUTED_VALUE"""),"PA000190")</f>
        <v>PA000190</v>
      </c>
      <c r="D920" t="str">
        <f ca="1">IFERROR(__xludf.DUMMYFUNCTION("""COMPUTED_VALUE"""),"PA000190")</f>
        <v>PA000190</v>
      </c>
    </row>
    <row r="921" spans="1:4" ht="15" customHeight="1">
      <c r="A921" t="str">
        <f ca="1">IFERROR(__xludf.DUMMYFUNCTION("""COMPUTED_VALUE"""),"AB001324")</f>
        <v>AB001324</v>
      </c>
      <c r="B921" s="205">
        <f ca="1">IFERROR(__xludf.DUMMYFUNCTION("""COMPUTED_VALUE"""),43634)</f>
        <v>43634</v>
      </c>
      <c r="C921" t="str">
        <f ca="1">IFERROR(__xludf.DUMMYFUNCTION("""COMPUTED_VALUE"""),"PA000190")</f>
        <v>PA000190</v>
      </c>
      <c r="D921" t="str">
        <f ca="1">IFERROR(__xludf.DUMMYFUNCTION("""COMPUTED_VALUE"""),"PA000190")</f>
        <v>PA000190</v>
      </c>
    </row>
    <row r="922" spans="1:4" ht="15" customHeight="1">
      <c r="A922" t="str">
        <f ca="1">IFERROR(__xludf.DUMMYFUNCTION("""COMPUTED_VALUE"""),"AB001351")</f>
        <v>AB001351</v>
      </c>
      <c r="B922" s="205">
        <f ca="1">IFERROR(__xludf.DUMMYFUNCTION("""COMPUTED_VALUE"""),43634)</f>
        <v>43634</v>
      </c>
      <c r="C922" t="str">
        <f ca="1">IFERROR(__xludf.DUMMYFUNCTION("""COMPUTED_VALUE"""),"PA000190")</f>
        <v>PA000190</v>
      </c>
      <c r="D922" t="str">
        <f ca="1">IFERROR(__xludf.DUMMYFUNCTION("""COMPUTED_VALUE"""),"PA000190")</f>
        <v>PA000190</v>
      </c>
    </row>
    <row r="923" spans="1:4" ht="15" customHeight="1">
      <c r="A923" t="str">
        <f ca="1">IFERROR(__xludf.DUMMYFUNCTION("""COMPUTED_VALUE"""),"PA000133")</f>
        <v>PA000133</v>
      </c>
      <c r="B923" s="205">
        <f ca="1">IFERROR(__xludf.DUMMYFUNCTION("""COMPUTED_VALUE"""),43633)</f>
        <v>43633</v>
      </c>
      <c r="C923" t="str">
        <f ca="1">IFERROR(__xludf.DUMMYFUNCTION("""COMPUTED_VALUE"""),"PA000190")</f>
        <v>PA000190</v>
      </c>
      <c r="D923" t="str">
        <f ca="1">IFERROR(__xludf.DUMMYFUNCTION("""COMPUTED_VALUE"""),"PA000190")</f>
        <v>PA000190</v>
      </c>
    </row>
    <row r="924" spans="1:4" ht="15" customHeight="1">
      <c r="A924" t="str">
        <f ca="1">IFERROR(__xludf.DUMMYFUNCTION("""COMPUTED_VALUE"""),"AB001352")</f>
        <v>AB001352</v>
      </c>
      <c r="B924" s="205">
        <f ca="1">IFERROR(__xludf.DUMMYFUNCTION("""COMPUTED_VALUE"""),43637)</f>
        <v>43637</v>
      </c>
      <c r="C924" t="str">
        <f ca="1">IFERROR(__xludf.DUMMYFUNCTION("""COMPUTED_VALUE"""),"PA000190")</f>
        <v>PA000190</v>
      </c>
      <c r="D924" t="str">
        <f ca="1">IFERROR(__xludf.DUMMYFUNCTION("""COMPUTED_VALUE"""),"PA000190")</f>
        <v>PA000190</v>
      </c>
    </row>
    <row r="925" spans="1:4" ht="15" customHeight="1">
      <c r="A925" t="str">
        <f ca="1">IFERROR(__xludf.DUMMYFUNCTION("""COMPUTED_VALUE"""),"AB001352")</f>
        <v>AB001352</v>
      </c>
      <c r="B925" s="205">
        <f ca="1">IFERROR(__xludf.DUMMYFUNCTION("""COMPUTED_VALUE"""),43637)</f>
        <v>43637</v>
      </c>
      <c r="C925" t="str">
        <f ca="1">IFERROR(__xludf.DUMMYFUNCTION("""COMPUTED_VALUE"""),"PA000190")</f>
        <v>PA000190</v>
      </c>
      <c r="D925" t="str">
        <f ca="1">IFERROR(__xludf.DUMMYFUNCTION("""COMPUTED_VALUE"""),"PA000190")</f>
        <v>PA000190</v>
      </c>
    </row>
    <row r="926" spans="1:4" ht="15" customHeight="1">
      <c r="A926" t="str">
        <f ca="1">IFERROR(__xludf.DUMMYFUNCTION("""COMPUTED_VALUE"""),"AB001352")</f>
        <v>AB001352</v>
      </c>
      <c r="B926" s="205">
        <f ca="1">IFERROR(__xludf.DUMMYFUNCTION("""COMPUTED_VALUE"""),43637)</f>
        <v>43637</v>
      </c>
      <c r="C926" t="str">
        <f ca="1">IFERROR(__xludf.DUMMYFUNCTION("""COMPUTED_VALUE"""),"PA000190")</f>
        <v>PA000190</v>
      </c>
      <c r="D926" t="str">
        <f ca="1">IFERROR(__xludf.DUMMYFUNCTION("""COMPUTED_VALUE"""),"PA000190")</f>
        <v>PA000190</v>
      </c>
    </row>
    <row r="927" spans="1:4" ht="15" customHeight="1">
      <c r="A927" t="str">
        <f ca="1">IFERROR(__xludf.DUMMYFUNCTION("""COMPUTED_VALUE"""),"AB001287")</f>
        <v>AB001287</v>
      </c>
      <c r="B927" s="205">
        <f ca="1">IFERROR(__xludf.DUMMYFUNCTION("""COMPUTED_VALUE"""),43641)</f>
        <v>43641</v>
      </c>
      <c r="C927" t="str">
        <f ca="1">IFERROR(__xludf.DUMMYFUNCTION("""COMPUTED_VALUE"""),"PA000174")</f>
        <v>PA000174</v>
      </c>
      <c r="D927" t="str">
        <f ca="1">IFERROR(__xludf.DUMMYFUNCTION("""COMPUTED_VALUE"""),"PA000174")</f>
        <v>PA000174</v>
      </c>
    </row>
    <row r="928" spans="1:4" ht="15" customHeight="1">
      <c r="A928" t="str">
        <f ca="1">IFERROR(__xludf.DUMMYFUNCTION("""COMPUTED_VALUE"""),"AB001288")</f>
        <v>AB001288</v>
      </c>
      <c r="B928" s="205">
        <f ca="1">IFERROR(__xludf.DUMMYFUNCTION("""COMPUTED_VALUE"""),43637)</f>
        <v>43637</v>
      </c>
      <c r="C928" t="str">
        <f ca="1">IFERROR(__xludf.DUMMYFUNCTION("""COMPUTED_VALUE"""),"PA000174")</f>
        <v>PA000174</v>
      </c>
      <c r="D928" t="str">
        <f ca="1">IFERROR(__xludf.DUMMYFUNCTION("""COMPUTED_VALUE"""),"PA000174")</f>
        <v>PA000174</v>
      </c>
    </row>
    <row r="929" spans="1:4" ht="15" customHeight="1">
      <c r="A929" t="str">
        <f ca="1">IFERROR(__xludf.DUMMYFUNCTION("""COMPUTED_VALUE"""),"AB001290")</f>
        <v>AB001290</v>
      </c>
      <c r="B929" s="205">
        <f ca="1">IFERROR(__xludf.DUMMYFUNCTION("""COMPUTED_VALUE"""),43637)</f>
        <v>43637</v>
      </c>
      <c r="C929" t="str">
        <f ca="1">IFERROR(__xludf.DUMMYFUNCTION("""COMPUTED_VALUE"""),"PA000174")</f>
        <v>PA000174</v>
      </c>
      <c r="D929" t="str">
        <f ca="1">IFERROR(__xludf.DUMMYFUNCTION("""COMPUTED_VALUE"""),"PA000174")</f>
        <v>PA000174</v>
      </c>
    </row>
    <row r="930" spans="1:4" ht="15" customHeight="1">
      <c r="A930" t="str">
        <f ca="1">IFERROR(__xludf.DUMMYFUNCTION("""COMPUTED_VALUE"""),"AB001353")</f>
        <v>AB001353</v>
      </c>
      <c r="B930" s="205">
        <f ca="1">IFERROR(__xludf.DUMMYFUNCTION("""COMPUTED_VALUE"""),43637)</f>
        <v>43637</v>
      </c>
      <c r="C930" t="str">
        <f ca="1">IFERROR(__xludf.DUMMYFUNCTION("""COMPUTED_VALUE"""),"PA000191")</f>
        <v>PA000191</v>
      </c>
      <c r="D930" t="str">
        <f ca="1">IFERROR(__xludf.DUMMYFUNCTION("""COMPUTED_VALUE"""),"PA000191")</f>
        <v>PA000191</v>
      </c>
    </row>
    <row r="931" spans="1:4" ht="15" customHeight="1">
      <c r="A931" t="str">
        <f ca="1">IFERROR(__xludf.DUMMYFUNCTION("""COMPUTED_VALUE"""),"AB001282")</f>
        <v>AB001282</v>
      </c>
      <c r="B931" s="205">
        <f ca="1">IFERROR(__xludf.DUMMYFUNCTION("""COMPUTED_VALUE"""),43637)</f>
        <v>43637</v>
      </c>
      <c r="C931" t="str">
        <f ca="1">IFERROR(__xludf.DUMMYFUNCTION("""COMPUTED_VALUE"""),"PA000191")</f>
        <v>PA000191</v>
      </c>
      <c r="D931" t="str">
        <f ca="1">IFERROR(__xludf.DUMMYFUNCTION("""COMPUTED_VALUE"""),"PA000191")</f>
        <v>PA000191</v>
      </c>
    </row>
    <row r="932" spans="1:4" ht="15" customHeight="1">
      <c r="A932" t="str">
        <f ca="1">IFERROR(__xludf.DUMMYFUNCTION("""COMPUTED_VALUE"""),"AB001282")</f>
        <v>AB001282</v>
      </c>
      <c r="B932" s="205">
        <f ca="1">IFERROR(__xludf.DUMMYFUNCTION("""COMPUTED_VALUE"""),43637)</f>
        <v>43637</v>
      </c>
      <c r="C932" t="str">
        <f ca="1">IFERROR(__xludf.DUMMYFUNCTION("""COMPUTED_VALUE"""),"PA000191")</f>
        <v>PA000191</v>
      </c>
      <c r="D932" t="str">
        <f ca="1">IFERROR(__xludf.DUMMYFUNCTION("""COMPUTED_VALUE"""),"PA000191")</f>
        <v>PA000191</v>
      </c>
    </row>
    <row r="933" spans="1:4" ht="15" customHeight="1">
      <c r="A933" t="str">
        <f ca="1">IFERROR(__xludf.DUMMYFUNCTION("""COMPUTED_VALUE"""),"AA001941")</f>
        <v>AA001941</v>
      </c>
      <c r="B933" s="205">
        <f ca="1">IFERROR(__xludf.DUMMYFUNCTION("""COMPUTED_VALUE"""),43640)</f>
        <v>43640</v>
      </c>
      <c r="C933" t="str">
        <f ca="1">IFERROR(__xludf.DUMMYFUNCTION("""COMPUTED_VALUE"""),"PA000009")</f>
        <v>PA000009</v>
      </c>
      <c r="D933" t="str">
        <f ca="1">IFERROR(__xludf.DUMMYFUNCTION("""COMPUTED_VALUE"""),"PA000009")</f>
        <v>PA000009</v>
      </c>
    </row>
    <row r="934" spans="1:4" ht="15" customHeight="1">
      <c r="A934" t="str">
        <f ca="1">IFERROR(__xludf.DUMMYFUNCTION("""COMPUTED_VALUE"""),"AA001941")</f>
        <v>AA001941</v>
      </c>
      <c r="B934" s="205">
        <f ca="1">IFERROR(__xludf.DUMMYFUNCTION("""COMPUTED_VALUE"""),43640)</f>
        <v>43640</v>
      </c>
      <c r="C934" t="str">
        <f ca="1">IFERROR(__xludf.DUMMYFUNCTION("""COMPUTED_VALUE"""),"PA000009")</f>
        <v>PA000009</v>
      </c>
      <c r="D934" t="str">
        <f ca="1">IFERROR(__xludf.DUMMYFUNCTION("""COMPUTED_VALUE"""),"PA000009")</f>
        <v>PA000009</v>
      </c>
    </row>
    <row r="935" spans="1:4" ht="15" customHeight="1">
      <c r="A935" t="str">
        <f ca="1">IFERROR(__xludf.DUMMYFUNCTION("""COMPUTED_VALUE"""),"AA001941")</f>
        <v>AA001941</v>
      </c>
      <c r="B935" s="205">
        <f ca="1">IFERROR(__xludf.DUMMYFUNCTION("""COMPUTED_VALUE"""),43640)</f>
        <v>43640</v>
      </c>
      <c r="C935" t="str">
        <f ca="1">IFERROR(__xludf.DUMMYFUNCTION("""COMPUTED_VALUE"""),"PA000256")</f>
        <v>PA000256</v>
      </c>
      <c r="D935" t="str">
        <f ca="1">IFERROR(__xludf.DUMMYFUNCTION("""COMPUTED_VALUE"""),"PA000256")</f>
        <v>PA000256</v>
      </c>
    </row>
    <row r="936" spans="1:4" ht="15" customHeight="1">
      <c r="A936" t="str">
        <f ca="1">IFERROR(__xludf.DUMMYFUNCTION("""COMPUTED_VALUE"""),"AB001292")</f>
        <v>AB001292</v>
      </c>
      <c r="B936" s="205">
        <f ca="1">IFERROR(__xludf.DUMMYFUNCTION("""COMPUTED_VALUE"""),43642)</f>
        <v>43642</v>
      </c>
      <c r="C936" t="str">
        <f ca="1">IFERROR(__xludf.DUMMYFUNCTION("""COMPUTED_VALUE"""),"PA000256")</f>
        <v>PA000256</v>
      </c>
      <c r="D936" t="str">
        <f ca="1">IFERROR(__xludf.DUMMYFUNCTION("""COMPUTED_VALUE"""),"PA000256")</f>
        <v>PA000256</v>
      </c>
    </row>
    <row r="937" spans="1:4" ht="15" customHeight="1">
      <c r="A937" t="str">
        <f ca="1">IFERROR(__xludf.DUMMYFUNCTION("""COMPUTED_VALUE"""),"AB001293")</f>
        <v>AB001293</v>
      </c>
      <c r="B937" s="205">
        <f ca="1">IFERROR(__xludf.DUMMYFUNCTION("""COMPUTED_VALUE"""),43644)</f>
        <v>43644</v>
      </c>
      <c r="C937" t="str">
        <f ca="1">IFERROR(__xludf.DUMMYFUNCTION("""COMPUTED_VALUE"""),"PA000256")</f>
        <v>PA000256</v>
      </c>
      <c r="D937" t="str">
        <f ca="1">IFERROR(__xludf.DUMMYFUNCTION("""COMPUTED_VALUE"""),"PA000256")</f>
        <v>PA000256</v>
      </c>
    </row>
    <row r="938" spans="1:4" ht="15" customHeight="1">
      <c r="A938" t="str">
        <f ca="1">IFERROR(__xludf.DUMMYFUNCTION("""COMPUTED_VALUE"""),"AB001291")</f>
        <v>AB001291</v>
      </c>
      <c r="B938" s="205">
        <f ca="1">IFERROR(__xludf.DUMMYFUNCTION("""COMPUTED_VALUE"""),43641)</f>
        <v>43641</v>
      </c>
      <c r="C938" t="str">
        <f ca="1">IFERROR(__xludf.DUMMYFUNCTION("""COMPUTED_VALUE"""),"PA000256")</f>
        <v>PA000256</v>
      </c>
      <c r="D938" t="str">
        <f ca="1">IFERROR(__xludf.DUMMYFUNCTION("""COMPUTED_VALUE"""),"PA000256")</f>
        <v>PA000256</v>
      </c>
    </row>
    <row r="939" spans="1:4" ht="15" customHeight="1">
      <c r="A939" t="str">
        <f ca="1">IFERROR(__xludf.DUMMYFUNCTION("""COMPUTED_VALUE"""),"AB001089")</f>
        <v>AB001089</v>
      </c>
      <c r="B939" s="205">
        <f ca="1">IFERROR(__xludf.DUMMYFUNCTION("""COMPUTED_VALUE"""),43640)</f>
        <v>43640</v>
      </c>
      <c r="C939" t="str">
        <f ca="1">IFERROR(__xludf.DUMMYFUNCTION("""COMPUTED_VALUE"""),"PA000256")</f>
        <v>PA000256</v>
      </c>
      <c r="D939" t="str">
        <f ca="1">IFERROR(__xludf.DUMMYFUNCTION("""COMPUTED_VALUE"""),"PA000256")</f>
        <v>PA000256</v>
      </c>
    </row>
    <row r="940" spans="1:4" ht="15" customHeight="1">
      <c r="A940" t="str">
        <f ca="1">IFERROR(__xludf.DUMMYFUNCTION("""COMPUTED_VALUE"""),"AB001090")</f>
        <v>AB001090</v>
      </c>
      <c r="B940" s="205">
        <f ca="1">IFERROR(__xludf.DUMMYFUNCTION("""COMPUTED_VALUE"""),43648)</f>
        <v>43648</v>
      </c>
      <c r="C940" t="str">
        <f ca="1">IFERROR(__xludf.DUMMYFUNCTION("""COMPUTED_VALUE"""),"PA000256")</f>
        <v>PA000256</v>
      </c>
      <c r="D940" t="str">
        <f ca="1">IFERROR(__xludf.DUMMYFUNCTION("""COMPUTED_VALUE"""),"PA000256")</f>
        <v>PA000256</v>
      </c>
    </row>
    <row r="941" spans="1:4" ht="15" customHeight="1">
      <c r="A941" t="str">
        <f ca="1">IFERROR(__xludf.DUMMYFUNCTION("""COMPUTED_VALUE"""),"AB001354")</f>
        <v>AB001354</v>
      </c>
      <c r="B941" s="205">
        <f ca="1">IFERROR(__xludf.DUMMYFUNCTION("""COMPUTED_VALUE"""),43642)</f>
        <v>43642</v>
      </c>
      <c r="C941" t="str">
        <f ca="1">IFERROR(__xludf.DUMMYFUNCTION("""COMPUTED_VALUE"""),"PA000257")</f>
        <v>PA000257</v>
      </c>
      <c r="D941" t="str">
        <f ca="1">IFERROR(__xludf.DUMMYFUNCTION("""COMPUTED_VALUE"""),"PA000257")</f>
        <v>PA000257</v>
      </c>
    </row>
    <row r="942" spans="1:4" ht="15" customHeight="1">
      <c r="A942" t="str">
        <f ca="1">IFERROR(__xludf.DUMMYFUNCTION("""COMPUTED_VALUE"""),"AB001355")</f>
        <v>AB001355</v>
      </c>
      <c r="B942" s="205">
        <f ca="1">IFERROR(__xludf.DUMMYFUNCTION("""COMPUTED_VALUE"""),43642)</f>
        <v>43642</v>
      </c>
      <c r="C942" t="str">
        <f ca="1">IFERROR(__xludf.DUMMYFUNCTION("""COMPUTED_VALUE"""),"PA000257")</f>
        <v>PA000257</v>
      </c>
      <c r="D942" t="str">
        <f ca="1">IFERROR(__xludf.DUMMYFUNCTION("""COMPUTED_VALUE"""),"PA000257")</f>
        <v>PA000257</v>
      </c>
    </row>
    <row r="943" spans="1:4" ht="15" customHeight="1">
      <c r="A943" t="str">
        <f ca="1">IFERROR(__xludf.DUMMYFUNCTION("""COMPUTED_VALUE"""),"AB001294")</f>
        <v>AB001294</v>
      </c>
      <c r="B943" s="205">
        <f ca="1">IFERROR(__xludf.DUMMYFUNCTION("""COMPUTED_VALUE"""),43643)</f>
        <v>43643</v>
      </c>
      <c r="C943" s="205" t="str">
        <f ca="1">IFERROR(__xludf.DUMMYFUNCTION("""COMPUTED_VALUE"""),"PA000257")</f>
        <v>PA000257</v>
      </c>
      <c r="D943" s="205" t="str">
        <f ca="1">IFERROR(__xludf.DUMMYFUNCTION("""COMPUTED_VALUE"""),"PA000257")</f>
        <v>PA000257</v>
      </c>
    </row>
    <row r="944" spans="1:4" ht="15" customHeight="1">
      <c r="A944" t="str">
        <f ca="1">IFERROR(__xludf.DUMMYFUNCTION("""COMPUTED_VALUE"""),"AB001357")</f>
        <v>AB001357</v>
      </c>
      <c r="B944" s="205">
        <f ca="1">IFERROR(__xludf.DUMMYFUNCTION("""COMPUTED_VALUE"""),43643)</f>
        <v>43643</v>
      </c>
      <c r="C944" s="205" t="str">
        <f ca="1">IFERROR(__xludf.DUMMYFUNCTION("""COMPUTED_VALUE"""),"PA000257")</f>
        <v>PA000257</v>
      </c>
      <c r="D944" s="205" t="str">
        <f ca="1">IFERROR(__xludf.DUMMYFUNCTION("""COMPUTED_VALUE"""),"PA000257")</f>
        <v>PA000257</v>
      </c>
    </row>
    <row r="945" spans="1:4" ht="15" customHeight="1">
      <c r="A945" t="str">
        <f ca="1">IFERROR(__xludf.DUMMYFUNCTION("""COMPUTED_VALUE"""),"AB001358")</f>
        <v>AB001358</v>
      </c>
      <c r="B945" s="205">
        <f ca="1">IFERROR(__xludf.DUMMYFUNCTION("""COMPUTED_VALUE"""),43643)</f>
        <v>43643</v>
      </c>
      <c r="C945" s="205" t="str">
        <f ca="1">IFERROR(__xludf.DUMMYFUNCTION("""COMPUTED_VALUE"""),"PA000257")</f>
        <v>PA000257</v>
      </c>
      <c r="D945" s="205" t="str">
        <f ca="1">IFERROR(__xludf.DUMMYFUNCTION("""COMPUTED_VALUE"""),"PA000257")</f>
        <v>PA000257</v>
      </c>
    </row>
    <row r="946" spans="1:4" ht="15" customHeight="1">
      <c r="A946" t="str">
        <f ca="1">IFERROR(__xludf.DUMMYFUNCTION("""COMPUTED_VALUE"""),"AB001356")</f>
        <v>AB001356</v>
      </c>
      <c r="B946" s="205">
        <f ca="1">IFERROR(__xludf.DUMMYFUNCTION("""COMPUTED_VALUE"""),43643)</f>
        <v>43643</v>
      </c>
      <c r="C946" s="205" t="str">
        <f ca="1">IFERROR(__xludf.DUMMYFUNCTION("""COMPUTED_VALUE"""),"PA000257")</f>
        <v>PA000257</v>
      </c>
      <c r="D946" s="205" t="str">
        <f ca="1">IFERROR(__xludf.DUMMYFUNCTION("""COMPUTED_VALUE"""),"PA000257")</f>
        <v>PA000257</v>
      </c>
    </row>
    <row r="947" spans="1:4" ht="15" customHeight="1">
      <c r="A947" t="str">
        <f ca="1">IFERROR(__xludf.DUMMYFUNCTION("""COMPUTED_VALUE"""),"AB001225")</f>
        <v>AB001225</v>
      </c>
      <c r="B947" s="205">
        <f ca="1">IFERROR(__xludf.DUMMYFUNCTION("""COMPUTED_VALUE"""),43644)</f>
        <v>43644</v>
      </c>
      <c r="C947" s="205" t="str">
        <f ca="1">IFERROR(__xludf.DUMMYFUNCTION("""COMPUTED_VALUE"""),"PA000257")</f>
        <v>PA000257</v>
      </c>
      <c r="D947" s="205" t="str">
        <f ca="1">IFERROR(__xludf.DUMMYFUNCTION("""COMPUTED_VALUE"""),"PA000257")</f>
        <v>PA000257</v>
      </c>
    </row>
    <row r="948" spans="1:4" ht="15" customHeight="1">
      <c r="A948" t="str">
        <f ca="1">IFERROR(__xludf.DUMMYFUNCTION("""COMPUTED_VALUE"""),"AB001360")</f>
        <v>AB001360</v>
      </c>
      <c r="B948" s="205">
        <f ca="1">IFERROR(__xludf.DUMMYFUNCTION("""COMPUTED_VALUE"""),43644)</f>
        <v>43644</v>
      </c>
      <c r="C948" s="205" t="str">
        <f ca="1">IFERROR(__xludf.DUMMYFUNCTION("""COMPUTED_VALUE"""),"PA000257")</f>
        <v>PA000257</v>
      </c>
      <c r="D948" s="205" t="str">
        <f ca="1">IFERROR(__xludf.DUMMYFUNCTION("""COMPUTED_VALUE"""),"PA000257")</f>
        <v>PA000257</v>
      </c>
    </row>
    <row r="949" spans="1:4" ht="15" customHeight="1">
      <c r="A949" t="str">
        <f ca="1">IFERROR(__xludf.DUMMYFUNCTION("""COMPUTED_VALUE"""),"PA000136")</f>
        <v>PA000136</v>
      </c>
      <c r="B949" s="205">
        <f ca="1">IFERROR(__xludf.DUMMYFUNCTION("""COMPUTED_VALUE"""),43644)</f>
        <v>43644</v>
      </c>
      <c r="C949" s="205" t="str">
        <f ca="1">IFERROR(__xludf.DUMMYFUNCTION("""COMPUTED_VALUE"""),"PA000257")</f>
        <v>PA000257</v>
      </c>
      <c r="D949" s="205" t="str">
        <f ca="1">IFERROR(__xludf.DUMMYFUNCTION("""COMPUTED_VALUE"""),"PA000257")</f>
        <v>PA000257</v>
      </c>
    </row>
    <row r="950" spans="1:4" ht="15" customHeight="1">
      <c r="A950" t="str">
        <f ca="1">IFERROR(__xludf.DUMMYFUNCTION("""COMPUTED_VALUE"""),"PA000136")</f>
        <v>PA000136</v>
      </c>
      <c r="B950" s="205">
        <f ca="1">IFERROR(__xludf.DUMMYFUNCTION("""COMPUTED_VALUE"""),43644)</f>
        <v>43644</v>
      </c>
      <c r="C950" s="205" t="str">
        <f ca="1">IFERROR(__xludf.DUMMYFUNCTION("""COMPUTED_VALUE"""),"PA000257")</f>
        <v>PA000257</v>
      </c>
      <c r="D950" s="205" t="str">
        <f ca="1">IFERROR(__xludf.DUMMYFUNCTION("""COMPUTED_VALUE"""),"PA000257")</f>
        <v>PA000257</v>
      </c>
    </row>
    <row r="951" spans="1:4" ht="15" customHeight="1">
      <c r="A951" t="str">
        <f ca="1">IFERROR(__xludf.DUMMYFUNCTION("""COMPUTED_VALUE"""),"AB001327")</f>
        <v>AB001327</v>
      </c>
      <c r="B951" s="205">
        <f ca="1">IFERROR(__xludf.DUMMYFUNCTION("""COMPUTED_VALUE"""),43646)</f>
        <v>43646</v>
      </c>
      <c r="C951" t="str">
        <f ca="1">IFERROR(__xludf.DUMMYFUNCTION("""COMPUTED_VALUE"""),"PA000259")</f>
        <v>PA000259</v>
      </c>
      <c r="D951" t="str">
        <f ca="1">IFERROR(__xludf.DUMMYFUNCTION("""COMPUTED_VALUE"""),"PA000259")</f>
        <v>PA000259</v>
      </c>
    </row>
    <row r="952" spans="1:4" ht="15" customHeight="1">
      <c r="A952" t="str">
        <f ca="1">IFERROR(__xludf.DUMMYFUNCTION("""COMPUTED_VALUE"""),"AB001327")</f>
        <v>AB001327</v>
      </c>
      <c r="B952" s="205">
        <f ca="1">IFERROR(__xludf.DUMMYFUNCTION("""COMPUTED_VALUE"""),43646)</f>
        <v>43646</v>
      </c>
      <c r="C952" t="str">
        <f ca="1">IFERROR(__xludf.DUMMYFUNCTION("""COMPUTED_VALUE"""),"PA000184")</f>
        <v>PA000184</v>
      </c>
      <c r="D952" t="str">
        <f ca="1">IFERROR(__xludf.DUMMYFUNCTION("""COMPUTED_VALUE"""),"PA000184")</f>
        <v>PA000184</v>
      </c>
    </row>
    <row r="953" spans="1:4" ht="15" customHeight="1">
      <c r="A953" t="str">
        <f ca="1">IFERROR(__xludf.DUMMYFUNCTION("""COMPUTED_VALUE"""),"AB001327")</f>
        <v>AB001327</v>
      </c>
      <c r="B953" s="205">
        <f ca="1">IFERROR(__xludf.DUMMYFUNCTION("""COMPUTED_VALUE"""),43646)</f>
        <v>43646</v>
      </c>
      <c r="C953" t="str">
        <f ca="1">IFERROR(__xludf.DUMMYFUNCTION("""COMPUTED_VALUE"""),"PA000184")</f>
        <v>PA000184</v>
      </c>
      <c r="D953" t="str">
        <f ca="1">IFERROR(__xludf.DUMMYFUNCTION("""COMPUTED_VALUE"""),"PA000184")</f>
        <v>PA000184</v>
      </c>
    </row>
    <row r="954" spans="1:4" ht="15" customHeight="1">
      <c r="A954" t="str">
        <f ca="1">IFERROR(__xludf.DUMMYFUNCTION("""COMPUTED_VALUE"""),"AB001327")</f>
        <v>AB001327</v>
      </c>
      <c r="B954" s="205">
        <f ca="1">IFERROR(__xludf.DUMMYFUNCTION("""COMPUTED_VALUE"""),43646)</f>
        <v>43646</v>
      </c>
      <c r="C954" t="str">
        <f ca="1">IFERROR(__xludf.DUMMYFUNCTION("""COMPUTED_VALUE"""),"PA000184")</f>
        <v>PA000184</v>
      </c>
      <c r="D954" t="str">
        <f ca="1">IFERROR(__xludf.DUMMYFUNCTION("""COMPUTED_VALUE"""),"PA000184")</f>
        <v>PA000184</v>
      </c>
    </row>
    <row r="955" spans="1:4" ht="15" customHeight="1">
      <c r="A955" t="str">
        <f ca="1">IFERROR(__xludf.DUMMYFUNCTION("""COMPUTED_VALUE"""),"AB001327")</f>
        <v>AB001327</v>
      </c>
      <c r="B955" s="205">
        <f ca="1">IFERROR(__xludf.DUMMYFUNCTION("""COMPUTED_VALUE"""),43646)</f>
        <v>43646</v>
      </c>
      <c r="C955" t="str">
        <f ca="1">IFERROR(__xludf.DUMMYFUNCTION("""COMPUTED_VALUE"""),"PA000184")</f>
        <v>PA000184</v>
      </c>
      <c r="D955" t="str">
        <f ca="1">IFERROR(__xludf.DUMMYFUNCTION("""COMPUTED_VALUE"""),"PA000184")</f>
        <v>PA000184</v>
      </c>
    </row>
    <row r="956" spans="1:4" ht="15" customHeight="1">
      <c r="A956" t="str">
        <f ca="1">IFERROR(__xludf.DUMMYFUNCTION("""COMPUTED_VALUE"""),"AB001327")</f>
        <v>AB001327</v>
      </c>
      <c r="B956" s="205">
        <f ca="1">IFERROR(__xludf.DUMMYFUNCTION("""COMPUTED_VALUE"""),43646)</f>
        <v>43646</v>
      </c>
      <c r="C956" t="str">
        <f ca="1">IFERROR(__xludf.DUMMYFUNCTION("""COMPUTED_VALUE"""),"PA000184")</f>
        <v>PA000184</v>
      </c>
      <c r="D956" t="str">
        <f ca="1">IFERROR(__xludf.DUMMYFUNCTION("""COMPUTED_VALUE"""),"PA000184")</f>
        <v>PA000184</v>
      </c>
    </row>
    <row r="957" spans="1:4" ht="15" customHeight="1">
      <c r="A957" t="str">
        <f ca="1">IFERROR(__xludf.DUMMYFUNCTION("""COMPUTED_VALUE"""),"AB001327")</f>
        <v>AB001327</v>
      </c>
      <c r="B957" s="205">
        <f ca="1">IFERROR(__xludf.DUMMYFUNCTION("""COMPUTED_VALUE"""),43646)</f>
        <v>43646</v>
      </c>
      <c r="C957" t="str">
        <f ca="1">IFERROR(__xludf.DUMMYFUNCTION("""COMPUTED_VALUE"""),"PA000184")</f>
        <v>PA000184</v>
      </c>
      <c r="D957" t="str">
        <f ca="1">IFERROR(__xludf.DUMMYFUNCTION("""COMPUTED_VALUE"""),"PA000184")</f>
        <v>PA000184</v>
      </c>
    </row>
    <row r="958" spans="1:4" ht="15" customHeight="1">
      <c r="A958" t="str">
        <f ca="1">IFERROR(__xludf.DUMMYFUNCTION("""COMPUTED_VALUE"""),"AB001327")</f>
        <v>AB001327</v>
      </c>
      <c r="B958" s="205">
        <f ca="1">IFERROR(__xludf.DUMMYFUNCTION("""COMPUTED_VALUE"""),43646)</f>
        <v>43646</v>
      </c>
      <c r="C958" t="str">
        <f ca="1">IFERROR(__xludf.DUMMYFUNCTION("""COMPUTED_VALUE"""),"PA000184")</f>
        <v>PA000184</v>
      </c>
      <c r="D958" t="str">
        <f ca="1">IFERROR(__xludf.DUMMYFUNCTION("""COMPUTED_VALUE"""),"PA000184")</f>
        <v>PA000184</v>
      </c>
    </row>
    <row r="959" spans="1:4" ht="15" customHeight="1">
      <c r="A959" t="str">
        <f ca="1">IFERROR(__xludf.DUMMYFUNCTION("""COMPUTED_VALUE"""),"AB001327")</f>
        <v>AB001327</v>
      </c>
      <c r="B959" s="205">
        <f ca="1">IFERROR(__xludf.DUMMYFUNCTION("""COMPUTED_VALUE"""),43646)</f>
        <v>43646</v>
      </c>
      <c r="C959" t="str">
        <f ca="1">IFERROR(__xludf.DUMMYFUNCTION("""COMPUTED_VALUE"""),"PA000184")</f>
        <v>PA000184</v>
      </c>
      <c r="D959" t="str">
        <f ca="1">IFERROR(__xludf.DUMMYFUNCTION("""COMPUTED_VALUE"""),"PA000184")</f>
        <v>PA000184</v>
      </c>
    </row>
    <row r="960" spans="1:4" ht="15" customHeight="1">
      <c r="A960" t="str">
        <f ca="1">IFERROR(__xludf.DUMMYFUNCTION("""COMPUTED_VALUE"""),"AB001327")</f>
        <v>AB001327</v>
      </c>
      <c r="B960" s="205">
        <f ca="1">IFERROR(__xludf.DUMMYFUNCTION("""COMPUTED_VALUE"""),43646)</f>
        <v>43646</v>
      </c>
      <c r="C960" t="str">
        <f ca="1">IFERROR(__xludf.DUMMYFUNCTION("""COMPUTED_VALUE"""),"PA000184")</f>
        <v>PA000184</v>
      </c>
      <c r="D960" t="str">
        <f ca="1">IFERROR(__xludf.DUMMYFUNCTION("""COMPUTED_VALUE"""),"PA000184")</f>
        <v>PA000184</v>
      </c>
    </row>
    <row r="961" spans="1:4" ht="15" customHeight="1">
      <c r="A961" t="str">
        <f ca="1">IFERROR(__xludf.DUMMYFUNCTION("""COMPUTED_VALUE"""),"AB001298")</f>
        <v>AB001298</v>
      </c>
      <c r="B961" s="205">
        <f ca="1">IFERROR(__xludf.DUMMYFUNCTION("""COMPUTED_VALUE"""),43647)</f>
        <v>43647</v>
      </c>
      <c r="C961" t="str">
        <f ca="1">IFERROR(__xludf.DUMMYFUNCTION("""COMPUTED_VALUE"""),"PA000184")</f>
        <v>PA000184</v>
      </c>
      <c r="D961" t="str">
        <f ca="1">IFERROR(__xludf.DUMMYFUNCTION("""COMPUTED_VALUE"""),"PA000184")</f>
        <v>PA000184</v>
      </c>
    </row>
    <row r="962" spans="1:4" ht="15" customHeight="1">
      <c r="A962" t="str">
        <f ca="1">IFERROR(__xludf.DUMMYFUNCTION("""COMPUTED_VALUE"""),"AB001295")</f>
        <v>AB001295</v>
      </c>
      <c r="B962" s="205">
        <f ca="1">IFERROR(__xludf.DUMMYFUNCTION("""COMPUTED_VALUE"""),43647)</f>
        <v>43647</v>
      </c>
      <c r="C962" t="str">
        <f ca="1">IFERROR(__xludf.DUMMYFUNCTION("""COMPUTED_VALUE"""),"PA000184")</f>
        <v>PA000184</v>
      </c>
      <c r="D962" t="str">
        <f ca="1">IFERROR(__xludf.DUMMYFUNCTION("""COMPUTED_VALUE"""),"PA000184")</f>
        <v>PA000184</v>
      </c>
    </row>
    <row r="963" spans="1:4" ht="15" customHeight="1">
      <c r="A963" t="str">
        <f ca="1">IFERROR(__xludf.DUMMYFUNCTION("""COMPUTED_VALUE"""),"AB001295")</f>
        <v>AB001295</v>
      </c>
      <c r="B963" s="205">
        <f ca="1">IFERROR(__xludf.DUMMYFUNCTION("""COMPUTED_VALUE"""),43647)</f>
        <v>43647</v>
      </c>
      <c r="C963" t="str">
        <f ca="1">IFERROR(__xludf.DUMMYFUNCTION("""COMPUTED_VALUE"""),"PA000184")</f>
        <v>PA000184</v>
      </c>
      <c r="D963" t="str">
        <f ca="1">IFERROR(__xludf.DUMMYFUNCTION("""COMPUTED_VALUE"""),"PA000184")</f>
        <v>PA000184</v>
      </c>
    </row>
    <row r="964" spans="1:4" ht="15" customHeight="1">
      <c r="A964" t="str">
        <f ca="1">IFERROR(__xludf.DUMMYFUNCTION("""COMPUTED_VALUE"""),"AB001296")</f>
        <v>AB001296</v>
      </c>
      <c r="B964" s="205">
        <f ca="1">IFERROR(__xludf.DUMMYFUNCTION("""COMPUTED_VALUE"""),43647)</f>
        <v>43647</v>
      </c>
      <c r="C964" t="str">
        <f ca="1">IFERROR(__xludf.DUMMYFUNCTION("""COMPUTED_VALUE"""),"PA000184")</f>
        <v>PA000184</v>
      </c>
      <c r="D964" t="str">
        <f ca="1">IFERROR(__xludf.DUMMYFUNCTION("""COMPUTED_VALUE"""),"PA000184")</f>
        <v>PA000184</v>
      </c>
    </row>
    <row r="965" spans="1:4" ht="15" customHeight="1">
      <c r="A965" t="str">
        <f ca="1">IFERROR(__xludf.DUMMYFUNCTION("""COMPUTED_VALUE"""),"AB001297")</f>
        <v>AB001297</v>
      </c>
      <c r="B965" s="205">
        <f ca="1">IFERROR(__xludf.DUMMYFUNCTION("""COMPUTED_VALUE"""),43651)</f>
        <v>43651</v>
      </c>
      <c r="C965" t="str">
        <f ca="1">IFERROR(__xludf.DUMMYFUNCTION("""COMPUTED_VALUE"""),"PA000184")</f>
        <v>PA000184</v>
      </c>
      <c r="D965" t="str">
        <f ca="1">IFERROR(__xludf.DUMMYFUNCTION("""COMPUTED_VALUE"""),"PA000184")</f>
        <v>PA000184</v>
      </c>
    </row>
    <row r="966" spans="1:4" ht="15" customHeight="1">
      <c r="A966" t="str">
        <f ca="1">IFERROR(__xludf.DUMMYFUNCTION("""COMPUTED_VALUE"""),"AB001300")</f>
        <v>AB001300</v>
      </c>
      <c r="B966" s="205">
        <f ca="1">IFERROR(__xludf.DUMMYFUNCTION("""COMPUTED_VALUE"""),43651)</f>
        <v>43651</v>
      </c>
      <c r="C966" t="str">
        <f ca="1">IFERROR(__xludf.DUMMYFUNCTION("""COMPUTED_VALUE"""),"PA000184")</f>
        <v>PA000184</v>
      </c>
      <c r="D966" t="str">
        <f ca="1">IFERROR(__xludf.DUMMYFUNCTION("""COMPUTED_VALUE"""),"PA000184")</f>
        <v>PA000184</v>
      </c>
    </row>
    <row r="967" spans="1:4" ht="15" customHeight="1">
      <c r="A967" t="str">
        <f ca="1">IFERROR(__xludf.DUMMYFUNCTION("""COMPUTED_VALUE"""),"AB001401")</f>
        <v>AB001401</v>
      </c>
      <c r="B967" s="205">
        <f ca="1">IFERROR(__xludf.DUMMYFUNCTION("""COMPUTED_VALUE"""),43654)</f>
        <v>43654</v>
      </c>
      <c r="C967" t="str">
        <f ca="1">IFERROR(__xludf.DUMMYFUNCTION("""COMPUTED_VALUE"""),"PA000184")</f>
        <v>PA000184</v>
      </c>
      <c r="D967" t="str">
        <f ca="1">IFERROR(__xludf.DUMMYFUNCTION("""COMPUTED_VALUE"""),"PA000184")</f>
        <v>PA000184</v>
      </c>
    </row>
    <row r="968" spans="1:4" ht="15" customHeight="1">
      <c r="A968" t="str">
        <f ca="1">IFERROR(__xludf.DUMMYFUNCTION("""COMPUTED_VALUE"""),"AB001363")</f>
        <v>AB001363</v>
      </c>
      <c r="B968" s="205">
        <f ca="1">IFERROR(__xludf.DUMMYFUNCTION("""COMPUTED_VALUE"""),43661)</f>
        <v>43661</v>
      </c>
      <c r="C968" t="str">
        <f ca="1">IFERROR(__xludf.DUMMYFUNCTION("""COMPUTED_VALUE"""),"PA000184")</f>
        <v>PA000184</v>
      </c>
      <c r="D968" t="str">
        <f ca="1">IFERROR(__xludf.DUMMYFUNCTION("""COMPUTED_VALUE"""),"PA000184")</f>
        <v>PA000184</v>
      </c>
    </row>
    <row r="969" spans="1:4" ht="15" customHeight="1">
      <c r="A969" t="str">
        <f ca="1">IFERROR(__xludf.DUMMYFUNCTION("""COMPUTED_VALUE"""),"AA001942")</f>
        <v>AA001942</v>
      </c>
      <c r="B969" s="205">
        <f ca="1">IFERROR(__xludf.DUMMYFUNCTION("""COMPUTED_VALUE"""),43661)</f>
        <v>43661</v>
      </c>
      <c r="C969" t="str">
        <f ca="1">IFERROR(__xludf.DUMMYFUNCTION("""COMPUTED_VALUE"""),"PA000184")</f>
        <v>PA000184</v>
      </c>
      <c r="D969" t="str">
        <f ca="1">IFERROR(__xludf.DUMMYFUNCTION("""COMPUTED_VALUE"""),"PA000184")</f>
        <v>PA000184</v>
      </c>
    </row>
    <row r="970" spans="1:4" ht="15" customHeight="1">
      <c r="A970" t="str">
        <f ca="1">IFERROR(__xludf.DUMMYFUNCTION("""COMPUTED_VALUE"""),"AA001942")</f>
        <v>AA001942</v>
      </c>
      <c r="B970" s="205">
        <f ca="1">IFERROR(__xludf.DUMMYFUNCTION("""COMPUTED_VALUE"""),43661)</f>
        <v>43661</v>
      </c>
      <c r="C970" t="str">
        <f ca="1">IFERROR(__xludf.DUMMYFUNCTION("""COMPUTED_VALUE"""),"PA000184")</f>
        <v>PA000184</v>
      </c>
      <c r="D970" t="str">
        <f ca="1">IFERROR(__xludf.DUMMYFUNCTION("""COMPUTED_VALUE"""),"PA000184")</f>
        <v>PA000184</v>
      </c>
    </row>
    <row r="971" spans="1:4" ht="15" customHeight="1">
      <c r="A971" t="str">
        <f ca="1">IFERROR(__xludf.DUMMYFUNCTION("""COMPUTED_VALUE"""),"AA001942")</f>
        <v>AA001942</v>
      </c>
      <c r="B971" s="205">
        <f ca="1">IFERROR(__xludf.DUMMYFUNCTION("""COMPUTED_VALUE"""),43661)</f>
        <v>43661</v>
      </c>
      <c r="C971" t="str">
        <f ca="1">IFERROR(__xludf.DUMMYFUNCTION("""COMPUTED_VALUE"""),"PA000184")</f>
        <v>PA000184</v>
      </c>
      <c r="D971" t="str">
        <f ca="1">IFERROR(__xludf.DUMMYFUNCTION("""COMPUTED_VALUE"""),"PA000184")</f>
        <v>PA000184</v>
      </c>
    </row>
    <row r="972" spans="1:4" ht="15" customHeight="1">
      <c r="A972" t="str">
        <f ca="1">IFERROR(__xludf.DUMMYFUNCTION("""COMPUTED_VALUE"""),"AA001942")</f>
        <v>AA001942</v>
      </c>
      <c r="B972" s="205">
        <f ca="1">IFERROR(__xludf.DUMMYFUNCTION("""COMPUTED_VALUE"""),43661)</f>
        <v>43661</v>
      </c>
      <c r="C972" t="str">
        <f ca="1">IFERROR(__xludf.DUMMYFUNCTION("""COMPUTED_VALUE"""),"PA000184")</f>
        <v>PA000184</v>
      </c>
      <c r="D972" t="str">
        <f ca="1">IFERROR(__xludf.DUMMYFUNCTION("""COMPUTED_VALUE"""),"PA000184")</f>
        <v>PA000184</v>
      </c>
    </row>
    <row r="973" spans="1:4" ht="15" customHeight="1">
      <c r="A973" t="str">
        <f ca="1">IFERROR(__xludf.DUMMYFUNCTION("""COMPUTED_VALUE"""),"AA001942")</f>
        <v>AA001942</v>
      </c>
      <c r="B973" s="205">
        <f ca="1">IFERROR(__xludf.DUMMYFUNCTION("""COMPUTED_VALUE"""),43661)</f>
        <v>43661</v>
      </c>
      <c r="C973" t="str">
        <f ca="1">IFERROR(__xludf.DUMMYFUNCTION("""COMPUTED_VALUE"""),"PA000184")</f>
        <v>PA000184</v>
      </c>
      <c r="D973" t="str">
        <f ca="1">IFERROR(__xludf.DUMMYFUNCTION("""COMPUTED_VALUE"""),"PA000184")</f>
        <v>PA000184</v>
      </c>
    </row>
    <row r="974" spans="1:4" ht="15" customHeight="1">
      <c r="A974" t="str">
        <f ca="1">IFERROR(__xludf.DUMMYFUNCTION("""COMPUTED_VALUE"""),"AA001942")</f>
        <v>AA001942</v>
      </c>
      <c r="B974" s="205">
        <f ca="1">IFERROR(__xludf.DUMMYFUNCTION("""COMPUTED_VALUE"""),43661)</f>
        <v>43661</v>
      </c>
      <c r="C974" t="str">
        <f ca="1">IFERROR(__xludf.DUMMYFUNCTION("""COMPUTED_VALUE"""),"PA000184")</f>
        <v>PA000184</v>
      </c>
      <c r="D974" t="str">
        <f ca="1">IFERROR(__xludf.DUMMYFUNCTION("""COMPUTED_VALUE"""),"PA000184")</f>
        <v>PA000184</v>
      </c>
    </row>
    <row r="975" spans="1:4" ht="15" customHeight="1">
      <c r="A975" t="str">
        <f ca="1">IFERROR(__xludf.DUMMYFUNCTION("""COMPUTED_VALUE"""),"AA001943")</f>
        <v>AA001943</v>
      </c>
      <c r="B975" s="205">
        <f ca="1">IFERROR(__xludf.DUMMYFUNCTION("""COMPUTED_VALUE"""),43654)</f>
        <v>43654</v>
      </c>
      <c r="C975" t="str">
        <f ca="1">IFERROR(__xludf.DUMMYFUNCTION("""COMPUTED_VALUE"""),"PA000183")</f>
        <v>PA000183</v>
      </c>
      <c r="D975" t="str">
        <f ca="1">IFERROR(__xludf.DUMMYFUNCTION("""COMPUTED_VALUE"""),"PA000183")</f>
        <v>PA000183</v>
      </c>
    </row>
    <row r="976" spans="1:4" ht="15" customHeight="1">
      <c r="A976" t="str">
        <f ca="1">IFERROR(__xludf.DUMMYFUNCTION("""COMPUTED_VALUE"""),"AA001943")</f>
        <v>AA001943</v>
      </c>
      <c r="B976" s="205">
        <f ca="1">IFERROR(__xludf.DUMMYFUNCTION("""COMPUTED_VALUE"""),43654)</f>
        <v>43654</v>
      </c>
      <c r="C976" t="str">
        <f ca="1">IFERROR(__xludf.DUMMYFUNCTION("""COMPUTED_VALUE"""),"PA000183")</f>
        <v>PA000183</v>
      </c>
      <c r="D976" t="str">
        <f ca="1">IFERROR(__xludf.DUMMYFUNCTION("""COMPUTED_VALUE"""),"PA000183")</f>
        <v>PA000183</v>
      </c>
    </row>
    <row r="977" spans="1:4" ht="15" customHeight="1">
      <c r="A977" t="str">
        <f ca="1">IFERROR(__xludf.DUMMYFUNCTION("""COMPUTED_VALUE"""),"AA001943")</f>
        <v>AA001943</v>
      </c>
      <c r="B977" s="205">
        <f ca="1">IFERROR(__xludf.DUMMYFUNCTION("""COMPUTED_VALUE"""),43654)</f>
        <v>43654</v>
      </c>
      <c r="C977" t="str">
        <f ca="1">IFERROR(__xludf.DUMMYFUNCTION("""COMPUTED_VALUE"""),"PA000260")</f>
        <v>PA000260</v>
      </c>
      <c r="D977" t="str">
        <f ca="1">IFERROR(__xludf.DUMMYFUNCTION("""COMPUTED_VALUE"""),"PA000260")</f>
        <v>PA000260</v>
      </c>
    </row>
    <row r="978" spans="1:4" ht="15" customHeight="1">
      <c r="A978" t="str">
        <f ca="1">IFERROR(__xludf.DUMMYFUNCTION("""COMPUTED_VALUE"""),"AA001943")</f>
        <v>AA001943</v>
      </c>
      <c r="B978" s="205">
        <f ca="1">IFERROR(__xludf.DUMMYFUNCTION("""COMPUTED_VALUE"""),43654)</f>
        <v>43654</v>
      </c>
      <c r="C978" t="str">
        <f ca="1">IFERROR(__xludf.DUMMYFUNCTION("""COMPUTED_VALUE"""),"PA000261")</f>
        <v>PA000261</v>
      </c>
      <c r="D978" t="str">
        <f ca="1">IFERROR(__xludf.DUMMYFUNCTION("""COMPUTED_VALUE"""),"PA000261")</f>
        <v>PA000261</v>
      </c>
    </row>
    <row r="979" spans="1:4" ht="15" customHeight="1">
      <c r="A979" t="str">
        <f ca="1">IFERROR(__xludf.DUMMYFUNCTION("""COMPUTED_VALUE"""),"AA001943")</f>
        <v>AA001943</v>
      </c>
      <c r="B979" s="205">
        <f ca="1">IFERROR(__xludf.DUMMYFUNCTION("""COMPUTED_VALUE"""),43654)</f>
        <v>43654</v>
      </c>
      <c r="C979" t="str">
        <f ca="1">IFERROR(__xludf.DUMMYFUNCTION("""COMPUTED_VALUE"""),"PA000175")</f>
        <v>PA000175</v>
      </c>
      <c r="D979" t="str">
        <f ca="1">IFERROR(__xludf.DUMMYFUNCTION("""COMPUTED_VALUE"""),"PA000175")</f>
        <v>PA000175</v>
      </c>
    </row>
    <row r="980" spans="1:4" ht="15" customHeight="1">
      <c r="A980" t="str">
        <f ca="1">IFERROR(__xludf.DUMMYFUNCTION("""COMPUTED_VALUE"""),"AA001943")</f>
        <v>AA001943</v>
      </c>
      <c r="B980" s="205">
        <f ca="1">IFERROR(__xludf.DUMMYFUNCTION("""COMPUTED_VALUE"""),43654)</f>
        <v>43654</v>
      </c>
      <c r="C980" t="str">
        <f ca="1">IFERROR(__xludf.DUMMYFUNCTION("""COMPUTED_VALUE"""),"PA000175")</f>
        <v>PA000175</v>
      </c>
      <c r="D980" t="str">
        <f ca="1">IFERROR(__xludf.DUMMYFUNCTION("""COMPUTED_VALUE"""),"PA000175")</f>
        <v>PA000175</v>
      </c>
    </row>
    <row r="981" spans="1:4" ht="15" customHeight="1">
      <c r="A981" t="str">
        <f ca="1">IFERROR(__xludf.DUMMYFUNCTION("""COMPUTED_VALUE"""),"AA001943")</f>
        <v>AA001943</v>
      </c>
      <c r="B981" s="205">
        <f ca="1">IFERROR(__xludf.DUMMYFUNCTION("""COMPUTED_VALUE"""),43654)</f>
        <v>43654</v>
      </c>
      <c r="C981" t="str">
        <f ca="1">IFERROR(__xludf.DUMMYFUNCTION("""COMPUTED_VALUE"""),"PA000258")</f>
        <v>PA000258</v>
      </c>
      <c r="D981" t="str">
        <f ca="1">IFERROR(__xludf.DUMMYFUNCTION("""COMPUTED_VALUE"""),"PA000258")</f>
        <v>PA000258</v>
      </c>
    </row>
    <row r="982" spans="1:4" ht="15" customHeight="1">
      <c r="A982" t="str">
        <f ca="1">IFERROR(__xludf.DUMMYFUNCTION("""COMPUTED_VALUE"""),"AA001943")</f>
        <v>AA001943</v>
      </c>
      <c r="B982" s="205">
        <f ca="1">IFERROR(__xludf.DUMMYFUNCTION("""COMPUTED_VALUE"""),43654)</f>
        <v>43654</v>
      </c>
      <c r="C982" t="str">
        <f ca="1">IFERROR(__xludf.DUMMYFUNCTION("""COMPUTED_VALUE"""),"PA000262")</f>
        <v>PA000262</v>
      </c>
      <c r="D982" t="str">
        <f ca="1">IFERROR(__xludf.DUMMYFUNCTION("""COMPUTED_VALUE"""),"PA000262")</f>
        <v>PA000262</v>
      </c>
    </row>
    <row r="983" spans="1:4" ht="15" customHeight="1">
      <c r="A983" t="str">
        <f ca="1">IFERROR(__xludf.DUMMYFUNCTION("""COMPUTED_VALUE"""),"AA001943")</f>
        <v>AA001943</v>
      </c>
      <c r="B983" s="205">
        <f ca="1">IFERROR(__xludf.DUMMYFUNCTION("""COMPUTED_VALUE"""),43654)</f>
        <v>43654</v>
      </c>
      <c r="C983" t="str">
        <f ca="1">IFERROR(__xludf.DUMMYFUNCTION("""COMPUTED_VALUE"""),"PA000262")</f>
        <v>PA000262</v>
      </c>
      <c r="D983" t="str">
        <f ca="1">IFERROR(__xludf.DUMMYFUNCTION("""COMPUTED_VALUE"""),"PA000262")</f>
        <v>PA000262</v>
      </c>
    </row>
    <row r="984" spans="1:4" ht="15" customHeight="1">
      <c r="A984" t="str">
        <f ca="1">IFERROR(__xludf.DUMMYFUNCTION("""COMPUTED_VALUE"""),"AA001943")</f>
        <v>AA001943</v>
      </c>
      <c r="B984" s="205">
        <f ca="1">IFERROR(__xludf.DUMMYFUNCTION("""COMPUTED_VALUE"""),43654)</f>
        <v>43654</v>
      </c>
      <c r="C984" t="str">
        <f ca="1">IFERROR(__xludf.DUMMYFUNCTION("""COMPUTED_VALUE"""),"PA000262")</f>
        <v>PA000262</v>
      </c>
      <c r="D984" t="str">
        <f ca="1">IFERROR(__xludf.DUMMYFUNCTION("""COMPUTED_VALUE"""),"PA000262")</f>
        <v>PA000262</v>
      </c>
    </row>
    <row r="985" spans="1:4" ht="15" customHeight="1">
      <c r="A985" t="str">
        <f ca="1">IFERROR(__xludf.DUMMYFUNCTION("""COMPUTED_VALUE"""),"AA001943")</f>
        <v>AA001943</v>
      </c>
      <c r="B985" s="205">
        <f ca="1">IFERROR(__xludf.DUMMYFUNCTION("""COMPUTED_VALUE"""),43654)</f>
        <v>43654</v>
      </c>
      <c r="C985" t="str">
        <f ca="1">IFERROR(__xludf.DUMMYFUNCTION("""COMPUTED_VALUE"""),"PA000262")</f>
        <v>PA000262</v>
      </c>
      <c r="D985" t="str">
        <f ca="1">IFERROR(__xludf.DUMMYFUNCTION("""COMPUTED_VALUE"""),"PA000262")</f>
        <v>PA000262</v>
      </c>
    </row>
    <row r="986" spans="1:4" ht="15" customHeight="1">
      <c r="A986" t="str">
        <f ca="1">IFERROR(__xludf.DUMMYFUNCTION("""COMPUTED_VALUE"""),"AB001091")</f>
        <v>AB001091</v>
      </c>
      <c r="B986" s="205">
        <f ca="1">IFERROR(__xludf.DUMMYFUNCTION("""COMPUTED_VALUE"""),43654)</f>
        <v>43654</v>
      </c>
      <c r="C986" t="str">
        <f ca="1">IFERROR(__xludf.DUMMYFUNCTION("""COMPUTED_VALUE"""),"PA000176")</f>
        <v>PA000176</v>
      </c>
      <c r="D986" t="str">
        <f ca="1">IFERROR(__xludf.DUMMYFUNCTION("""COMPUTED_VALUE"""),"PA000176")</f>
        <v>PA000176</v>
      </c>
    </row>
    <row r="987" spans="1:4" ht="15" customHeight="1">
      <c r="A987" t="str">
        <f ca="1">IFERROR(__xludf.DUMMYFUNCTION("""COMPUTED_VALUE"""),"AB001091")</f>
        <v>AB001091</v>
      </c>
      <c r="B987" s="205">
        <f ca="1">IFERROR(__xludf.DUMMYFUNCTION("""COMPUTED_VALUE"""),43654)</f>
        <v>43654</v>
      </c>
      <c r="C987" t="str">
        <f ca="1">IFERROR(__xludf.DUMMYFUNCTION("""COMPUTED_VALUE"""),"PA000176")</f>
        <v>PA000176</v>
      </c>
      <c r="D987" t="str">
        <f ca="1">IFERROR(__xludf.DUMMYFUNCTION("""COMPUTED_VALUE"""),"PA000176")</f>
        <v>PA000176</v>
      </c>
    </row>
    <row r="988" spans="1:4" ht="15" customHeight="1">
      <c r="A988" t="str">
        <f ca="1">IFERROR(__xludf.DUMMYFUNCTION("""COMPUTED_VALUE"""),"AB001092")</f>
        <v>AB001092</v>
      </c>
      <c r="B988" s="205">
        <f ca="1">IFERROR(__xludf.DUMMYFUNCTION("""COMPUTED_VALUE"""),43654)</f>
        <v>43654</v>
      </c>
      <c r="C988" t="str">
        <f ca="1">IFERROR(__xludf.DUMMYFUNCTION("""COMPUTED_VALUE"""),"PA000176")</f>
        <v>PA000176</v>
      </c>
      <c r="D988" t="str">
        <f ca="1">IFERROR(__xludf.DUMMYFUNCTION("""COMPUTED_VALUE"""),"PA000176")</f>
        <v>PA000176</v>
      </c>
    </row>
    <row r="989" spans="1:4" ht="15" customHeight="1">
      <c r="A989" t="str">
        <f ca="1">IFERROR(__xludf.DUMMYFUNCTION("""COMPUTED_VALUE"""),"AB001092")</f>
        <v>AB001092</v>
      </c>
      <c r="B989" s="205">
        <f ca="1">IFERROR(__xludf.DUMMYFUNCTION("""COMPUTED_VALUE"""),43654)</f>
        <v>43654</v>
      </c>
      <c r="C989" t="str">
        <f ca="1">IFERROR(__xludf.DUMMYFUNCTION("""COMPUTED_VALUE"""),"PA000207")</f>
        <v>PA000207</v>
      </c>
      <c r="D989" t="str">
        <f ca="1">IFERROR(__xludf.DUMMYFUNCTION("""COMPUTED_VALUE"""),"PA000207")</f>
        <v>PA000207</v>
      </c>
    </row>
    <row r="990" spans="1:4" ht="15" customHeight="1">
      <c r="A990" t="str">
        <f ca="1">IFERROR(__xludf.DUMMYFUNCTION("""COMPUTED_VALUE"""),"AB001093")</f>
        <v>AB001093</v>
      </c>
      <c r="B990" s="205">
        <f ca="1">IFERROR(__xludf.DUMMYFUNCTION("""COMPUTED_VALUE"""),43654)</f>
        <v>43654</v>
      </c>
      <c r="C990" t="str">
        <f ca="1">IFERROR(__xludf.DUMMYFUNCTION("""COMPUTED_VALUE"""),"PA000207")</f>
        <v>PA000207</v>
      </c>
      <c r="D990" t="str">
        <f ca="1">IFERROR(__xludf.DUMMYFUNCTION("""COMPUTED_VALUE"""),"PA000207")</f>
        <v>PA000207</v>
      </c>
    </row>
    <row r="991" spans="1:4" ht="15" customHeight="1">
      <c r="A991" t="str">
        <f ca="1">IFERROR(__xludf.DUMMYFUNCTION("""COMPUTED_VALUE"""),"AB001903")</f>
        <v>AB001903</v>
      </c>
      <c r="B991" s="205">
        <f ca="1">IFERROR(__xludf.DUMMYFUNCTION("""COMPUTED_VALUE"""),43654)</f>
        <v>43654</v>
      </c>
      <c r="C991" t="str">
        <f ca="1">IFERROR(__xludf.DUMMYFUNCTION("""COMPUTED_VALUE"""),"PA000207")</f>
        <v>PA000207</v>
      </c>
      <c r="D991" t="str">
        <f ca="1">IFERROR(__xludf.DUMMYFUNCTION("""COMPUTED_VALUE"""),"PA000207")</f>
        <v>PA000207</v>
      </c>
    </row>
    <row r="992" spans="1:4" ht="15" customHeight="1">
      <c r="A992" t="str">
        <f ca="1">IFERROR(__xludf.DUMMYFUNCTION("""COMPUTED_VALUE"""),"AB001094")</f>
        <v>AB001094</v>
      </c>
      <c r="B992" s="205">
        <f ca="1">IFERROR(__xludf.DUMMYFUNCTION("""COMPUTED_VALUE"""),43654)</f>
        <v>43654</v>
      </c>
      <c r="C992" t="str">
        <f ca="1">IFERROR(__xludf.DUMMYFUNCTION("""COMPUTED_VALUE"""),"PA000207")</f>
        <v>PA000207</v>
      </c>
      <c r="D992" t="str">
        <f ca="1">IFERROR(__xludf.DUMMYFUNCTION("""COMPUTED_VALUE"""),"PA000207")</f>
        <v>PA000207</v>
      </c>
    </row>
    <row r="993" spans="1:4" ht="15" customHeight="1">
      <c r="A993" t="str">
        <f ca="1">IFERROR(__xludf.DUMMYFUNCTION("""COMPUTED_VALUE"""),"AB001094")</f>
        <v>AB001094</v>
      </c>
      <c r="B993" s="205">
        <f ca="1">IFERROR(__xludf.DUMMYFUNCTION("""COMPUTED_VALUE"""),43654)</f>
        <v>43654</v>
      </c>
      <c r="C993" t="str">
        <f ca="1">IFERROR(__xludf.DUMMYFUNCTION("""COMPUTED_VALUE"""),"PA000263")</f>
        <v>PA000263</v>
      </c>
      <c r="D993" t="str">
        <f ca="1">IFERROR(__xludf.DUMMYFUNCTION("""COMPUTED_VALUE"""),"PA000263")</f>
        <v>PA000263</v>
      </c>
    </row>
    <row r="994" spans="1:4" ht="15" customHeight="1">
      <c r="A994" t="str">
        <f ca="1">IFERROR(__xludf.DUMMYFUNCTION("""COMPUTED_VALUE"""),"AB001095")</f>
        <v>AB001095</v>
      </c>
      <c r="B994" s="205">
        <f ca="1">IFERROR(__xludf.DUMMYFUNCTION("""COMPUTED_VALUE"""),43654)</f>
        <v>43654</v>
      </c>
      <c r="C994" t="str">
        <f ca="1">IFERROR(__xludf.DUMMYFUNCTION("""COMPUTED_VALUE"""),"PA000264")</f>
        <v>PA000264</v>
      </c>
      <c r="D994" t="str">
        <f ca="1">IFERROR(__xludf.DUMMYFUNCTION("""COMPUTED_VALUE"""),"PA000264")</f>
        <v>PA000264</v>
      </c>
    </row>
    <row r="995" spans="1:4" ht="15" customHeight="1">
      <c r="A995" t="str">
        <f ca="1">IFERROR(__xludf.DUMMYFUNCTION("""COMPUTED_VALUE"""),"AB001095")</f>
        <v>AB001095</v>
      </c>
      <c r="B995" s="205">
        <f ca="1">IFERROR(__xludf.DUMMYFUNCTION("""COMPUTED_VALUE"""),43654)</f>
        <v>43654</v>
      </c>
      <c r="C995" t="str">
        <f ca="1">IFERROR(__xludf.DUMMYFUNCTION("""COMPUTED_VALUE"""),"PA000268")</f>
        <v>PA000268</v>
      </c>
      <c r="D995" t="str">
        <f ca="1">IFERROR(__xludf.DUMMYFUNCTION("""COMPUTED_VALUE"""),"PA000268")</f>
        <v>PA000268</v>
      </c>
    </row>
    <row r="996" spans="1:4" ht="15" customHeight="1">
      <c r="A996" t="str">
        <f ca="1">IFERROR(__xludf.DUMMYFUNCTION("""COMPUTED_VALUE"""),"AB001362")</f>
        <v>AB001362</v>
      </c>
      <c r="B996" s="205">
        <f ca="1">IFERROR(__xludf.DUMMYFUNCTION("""COMPUTED_VALUE"""),43656)</f>
        <v>43656</v>
      </c>
      <c r="C996" t="str">
        <f ca="1">IFERROR(__xludf.DUMMYFUNCTION("""COMPUTED_VALUE"""),"PA000269")</f>
        <v>PA000269</v>
      </c>
      <c r="D996" t="str">
        <f ca="1">IFERROR(__xludf.DUMMYFUNCTION("""COMPUTED_VALUE"""),"PA000269")</f>
        <v>PA000269</v>
      </c>
    </row>
    <row r="997" spans="1:4" ht="15" customHeight="1">
      <c r="A997" t="str">
        <f ca="1">IFERROR(__xludf.DUMMYFUNCTION("""COMPUTED_VALUE"""),"AB001362")</f>
        <v>AB001362</v>
      </c>
      <c r="B997" s="205">
        <f ca="1">IFERROR(__xludf.DUMMYFUNCTION("""COMPUTED_VALUE"""),43656)</f>
        <v>43656</v>
      </c>
      <c r="C997" t="str">
        <f ca="1">IFERROR(__xludf.DUMMYFUNCTION("""COMPUTED_VALUE"""),"PA000192")</f>
        <v>PA000192</v>
      </c>
      <c r="D997" t="str">
        <f ca="1">IFERROR(__xludf.DUMMYFUNCTION("""COMPUTED_VALUE"""),"PA000192")</f>
        <v>PA000192</v>
      </c>
    </row>
    <row r="998" spans="1:4" ht="15" customHeight="1">
      <c r="A998" t="str">
        <f ca="1">IFERROR(__xludf.DUMMYFUNCTION("""COMPUTED_VALUE"""),"AB001402")</f>
        <v>AB001402</v>
      </c>
      <c r="B998" s="205">
        <f ca="1">IFERROR(__xludf.DUMMYFUNCTION("""COMPUTED_VALUE"""),43656)</f>
        <v>43656</v>
      </c>
      <c r="C998" t="str">
        <f ca="1">IFERROR(__xludf.DUMMYFUNCTION("""COMPUTED_VALUE"""),"PA000265")</f>
        <v>PA000265</v>
      </c>
      <c r="D998" t="str">
        <f ca="1">IFERROR(__xludf.DUMMYFUNCTION("""COMPUTED_VALUE"""),"PA000265")</f>
        <v>PA000265</v>
      </c>
    </row>
    <row r="999" spans="1:4" ht="15" customHeight="1">
      <c r="A999" t="str">
        <f ca="1">IFERROR(__xludf.DUMMYFUNCTION("""COMPUTED_VALUE"""),"AB001361")</f>
        <v>AB001361</v>
      </c>
      <c r="B999" s="205">
        <f ca="1">IFERROR(__xludf.DUMMYFUNCTION("""COMPUTED_VALUE"""),43656)</f>
        <v>43656</v>
      </c>
      <c r="C999" t="str">
        <f ca="1">IFERROR(__xludf.DUMMYFUNCTION("""COMPUTED_VALUE"""),"PA000265")</f>
        <v>PA000265</v>
      </c>
      <c r="D999" t="str">
        <f ca="1">IFERROR(__xludf.DUMMYFUNCTION("""COMPUTED_VALUE"""),"PA000265")</f>
        <v>PA000265</v>
      </c>
    </row>
    <row r="1000" spans="1:4" ht="15" customHeight="1">
      <c r="A1000" t="str">
        <f ca="1">IFERROR(__xludf.DUMMYFUNCTION("""COMPUTED_VALUE"""),"AB001367")</f>
        <v>AB001367</v>
      </c>
      <c r="B1000" s="205">
        <f ca="1">IFERROR(__xludf.DUMMYFUNCTION("""COMPUTED_VALUE"""),43656)</f>
        <v>43656</v>
      </c>
      <c r="C1000" t="str">
        <f ca="1">IFERROR(__xludf.DUMMYFUNCTION("""COMPUTED_VALUE"""),"PA000266")</f>
        <v>PA000266</v>
      </c>
      <c r="D1000" t="str">
        <f ca="1">IFERROR(__xludf.DUMMYFUNCTION("""COMPUTED_VALUE"""),"PA000266")</f>
        <v>PA000266</v>
      </c>
    </row>
    <row r="1001" spans="1:4" ht="15" customHeight="1">
      <c r="A1001" t="str">
        <f ca="1">IFERROR(__xludf.DUMMYFUNCTION("""COMPUTED_VALUE"""),"AB001404")</f>
        <v>AB001404</v>
      </c>
      <c r="B1001" s="205">
        <f ca="1">IFERROR(__xludf.DUMMYFUNCTION("""COMPUTED_VALUE"""),43656)</f>
        <v>43656</v>
      </c>
      <c r="C1001" t="str">
        <f ca="1">IFERROR(__xludf.DUMMYFUNCTION("""COMPUTED_VALUE"""),"PA000271")</f>
        <v>PA000271</v>
      </c>
      <c r="D1001" t="str">
        <f ca="1">IFERROR(__xludf.DUMMYFUNCTION("""COMPUTED_VALUE"""),"PA000271")</f>
        <v>PA000271</v>
      </c>
    </row>
    <row r="1002" spans="1:4" ht="15" customHeight="1">
      <c r="A1002" t="str">
        <f ca="1">IFERROR(__xludf.DUMMYFUNCTION("""COMPUTED_VALUE"""),"AB001368")</f>
        <v>AB001368</v>
      </c>
      <c r="B1002" s="205">
        <f ca="1">IFERROR(__xludf.DUMMYFUNCTION("""COMPUTED_VALUE"""),43657)</f>
        <v>43657</v>
      </c>
      <c r="C1002" t="str">
        <f ca="1">IFERROR(__xludf.DUMMYFUNCTION("""COMPUTED_VALUE"""),"PA000271")</f>
        <v>PA000271</v>
      </c>
      <c r="D1002" t="str">
        <f ca="1">IFERROR(__xludf.DUMMYFUNCTION("""COMPUTED_VALUE"""),"PA000271")</f>
        <v>PA000271</v>
      </c>
    </row>
    <row r="1003" spans="1:4" ht="15" customHeight="1">
      <c r="A1003" t="str">
        <f ca="1">IFERROR(__xludf.DUMMYFUNCTION("""COMPUTED_VALUE"""),"10707-0014")</f>
        <v>10707-0014</v>
      </c>
      <c r="B1003" s="205">
        <f ca="1">IFERROR(__xludf.DUMMYFUNCTION("""COMPUTED_VALUE"""),43656)</f>
        <v>43656</v>
      </c>
      <c r="C1003" t="str">
        <f ca="1">IFERROR(__xludf.DUMMYFUNCTION("""COMPUTED_VALUE"""),"PA000271")</f>
        <v>PA000271</v>
      </c>
      <c r="D1003" t="str">
        <f ca="1">IFERROR(__xludf.DUMMYFUNCTION("""COMPUTED_VALUE"""),"PA000271")</f>
        <v>PA000271</v>
      </c>
    </row>
    <row r="1004" spans="1:4" ht="15" customHeight="1">
      <c r="A1004" t="str">
        <f ca="1">IFERROR(__xludf.DUMMYFUNCTION("""COMPUTED_VALUE"""),"AB001369")</f>
        <v>AB001369</v>
      </c>
      <c r="B1004" s="205">
        <f ca="1">IFERROR(__xludf.DUMMYFUNCTION("""COMPUTED_VALUE"""),43658)</f>
        <v>43658</v>
      </c>
      <c r="C1004" t="str">
        <f ca="1">IFERROR(__xludf.DUMMYFUNCTION("""COMPUTED_VALUE"""),"PA000271")</f>
        <v>PA000271</v>
      </c>
      <c r="D1004" t="str">
        <f ca="1">IFERROR(__xludf.DUMMYFUNCTION("""COMPUTED_VALUE"""),"PA000271")</f>
        <v>PA000271</v>
      </c>
    </row>
    <row r="1005" spans="1:4" ht="15" customHeight="1">
      <c r="A1005" t="str">
        <f ca="1">IFERROR(__xludf.DUMMYFUNCTION("""COMPUTED_VALUE"""),"AB001299")</f>
        <v>AB001299</v>
      </c>
      <c r="B1005" s="205">
        <f ca="1">IFERROR(__xludf.DUMMYFUNCTION("""COMPUTED_VALUE"""),43658)</f>
        <v>43658</v>
      </c>
      <c r="C1005" t="str">
        <f ca="1">IFERROR(__xludf.DUMMYFUNCTION("""COMPUTED_VALUE"""),"PA000267")</f>
        <v>PA000267</v>
      </c>
      <c r="D1005" t="str">
        <f ca="1">IFERROR(__xludf.DUMMYFUNCTION("""COMPUTED_VALUE"""),"PA000267")</f>
        <v>PA000267</v>
      </c>
    </row>
    <row r="1006" spans="1:4" ht="15" customHeight="1">
      <c r="A1006" t="str">
        <f ca="1">IFERROR(__xludf.DUMMYFUNCTION("""COMPUTED_VALUE"""),"AB001370")</f>
        <v>AB001370</v>
      </c>
      <c r="B1006" s="205">
        <f ca="1">IFERROR(__xludf.DUMMYFUNCTION("""COMPUTED_VALUE"""),43656)</f>
        <v>43656</v>
      </c>
      <c r="C1006" t="str">
        <f ca="1">IFERROR(__xludf.DUMMYFUNCTION("""COMPUTED_VALUE"""),"PA000272")</f>
        <v>PA000272</v>
      </c>
      <c r="D1006" t="str">
        <f ca="1">IFERROR(__xludf.DUMMYFUNCTION("""COMPUTED_VALUE"""),"PA000272")</f>
        <v>PA000272</v>
      </c>
    </row>
    <row r="1007" spans="1:4" ht="15" customHeight="1">
      <c r="A1007" t="str">
        <f ca="1">IFERROR(__xludf.DUMMYFUNCTION("""COMPUTED_VALUE"""),"AB001405")</f>
        <v>AB001405</v>
      </c>
      <c r="B1007" s="205">
        <f ca="1">IFERROR(__xludf.DUMMYFUNCTION("""COMPUTED_VALUE"""),43657)</f>
        <v>43657</v>
      </c>
      <c r="C1007" t="str">
        <f ca="1">IFERROR(__xludf.DUMMYFUNCTION("""COMPUTED_VALUE"""),"PA000272")</f>
        <v>PA000272</v>
      </c>
      <c r="D1007" t="str">
        <f ca="1">IFERROR(__xludf.DUMMYFUNCTION("""COMPUTED_VALUE"""),"PA000272")</f>
        <v>PA000272</v>
      </c>
    </row>
    <row r="1008" spans="1:4" ht="15" customHeight="1">
      <c r="A1008" t="str">
        <f ca="1">IFERROR(__xludf.DUMMYFUNCTION("""COMPUTED_VALUE"""),"AA001944")</f>
        <v>AA001944</v>
      </c>
      <c r="B1008" s="205">
        <f ca="1">IFERROR(__xludf.DUMMYFUNCTION("""COMPUTED_VALUE"""),43658)</f>
        <v>43658</v>
      </c>
      <c r="C1008" t="str">
        <f ca="1">IFERROR(__xludf.DUMMYFUNCTION("""COMPUTED_VALUE"""),"PA000272")</f>
        <v>PA000272</v>
      </c>
      <c r="D1008" t="str">
        <f ca="1">IFERROR(__xludf.DUMMYFUNCTION("""COMPUTED_VALUE"""),"PA000272")</f>
        <v>PA000272</v>
      </c>
    </row>
    <row r="1009" spans="1:4" ht="15" customHeight="1">
      <c r="A1009" t="str">
        <f ca="1">IFERROR(__xludf.DUMMYFUNCTION("""COMPUTED_VALUE"""),"AA001944")</f>
        <v>AA001944</v>
      </c>
      <c r="B1009" s="205">
        <f ca="1">IFERROR(__xludf.DUMMYFUNCTION("""COMPUTED_VALUE"""),43658)</f>
        <v>43658</v>
      </c>
      <c r="C1009" t="str">
        <f ca="1">IFERROR(__xludf.DUMMYFUNCTION("""COMPUTED_VALUE"""),"PA000272")</f>
        <v>PA000272</v>
      </c>
      <c r="D1009" t="str">
        <f ca="1">IFERROR(__xludf.DUMMYFUNCTION("""COMPUTED_VALUE"""),"PA000272")</f>
        <v>PA000272</v>
      </c>
    </row>
    <row r="1010" spans="1:4" ht="15" customHeight="1">
      <c r="A1010" t="str">
        <f ca="1">IFERROR(__xludf.DUMMYFUNCTION("""COMPUTED_VALUE"""),"AA001944")</f>
        <v>AA001944</v>
      </c>
      <c r="B1010" s="205">
        <f ca="1">IFERROR(__xludf.DUMMYFUNCTION("""COMPUTED_VALUE"""),43658)</f>
        <v>43658</v>
      </c>
      <c r="C1010" t="str">
        <f ca="1">IFERROR(__xludf.DUMMYFUNCTION("""COMPUTED_VALUE"""),"PA000272")</f>
        <v>PA000272</v>
      </c>
      <c r="D1010" t="str">
        <f ca="1">IFERROR(__xludf.DUMMYFUNCTION("""COMPUTED_VALUE"""),"PA000272")</f>
        <v>PA000272</v>
      </c>
    </row>
    <row r="1011" spans="1:4" ht="15" customHeight="1">
      <c r="A1011" t="str">
        <f ca="1">IFERROR(__xludf.DUMMYFUNCTION("""COMPUTED_VALUE"""),"AA001944")</f>
        <v>AA001944</v>
      </c>
      <c r="B1011" s="205">
        <f ca="1">IFERROR(__xludf.DUMMYFUNCTION("""COMPUTED_VALUE"""),43658)</f>
        <v>43658</v>
      </c>
      <c r="C1011" t="str">
        <f ca="1">IFERROR(__xludf.DUMMYFUNCTION("""COMPUTED_VALUE"""),"PA000272")</f>
        <v>PA000272</v>
      </c>
      <c r="D1011" t="str">
        <f ca="1">IFERROR(__xludf.DUMMYFUNCTION("""COMPUTED_VALUE"""),"PA000272")</f>
        <v>PA000272</v>
      </c>
    </row>
    <row r="1012" spans="1:4" ht="15" customHeight="1">
      <c r="A1012" t="str">
        <f ca="1">IFERROR(__xludf.DUMMYFUNCTION("""COMPUTED_VALUE"""),"AA001944")</f>
        <v>AA001944</v>
      </c>
      <c r="B1012" s="205">
        <f ca="1">IFERROR(__xludf.DUMMYFUNCTION("""COMPUTED_VALUE"""),43658)</f>
        <v>43658</v>
      </c>
      <c r="C1012" t="str">
        <f ca="1">IFERROR(__xludf.DUMMYFUNCTION("""COMPUTED_VALUE"""),"PA000272")</f>
        <v>PA000272</v>
      </c>
      <c r="D1012" t="str">
        <f ca="1">IFERROR(__xludf.DUMMYFUNCTION("""COMPUTED_VALUE"""),"PA000272")</f>
        <v>PA000272</v>
      </c>
    </row>
    <row r="1013" spans="1:4" ht="15" customHeight="1">
      <c r="A1013" t="str">
        <f ca="1">IFERROR(__xludf.DUMMYFUNCTION("""COMPUTED_VALUE"""),"AA001944")</f>
        <v>AA001944</v>
      </c>
      <c r="B1013" s="205">
        <f ca="1">IFERROR(__xludf.DUMMYFUNCTION("""COMPUTED_VALUE"""),43658)</f>
        <v>43658</v>
      </c>
      <c r="C1013" t="str">
        <f ca="1">IFERROR(__xludf.DUMMYFUNCTION("""COMPUTED_VALUE"""),"PA000272")</f>
        <v>PA000272</v>
      </c>
      <c r="D1013" t="str">
        <f ca="1">IFERROR(__xludf.DUMMYFUNCTION("""COMPUTED_VALUE"""),"PA000272")</f>
        <v>PA000272</v>
      </c>
    </row>
    <row r="1014" spans="1:4" ht="15" customHeight="1">
      <c r="A1014" t="str">
        <f ca="1">IFERROR(__xludf.DUMMYFUNCTION("""COMPUTED_VALUE"""),"AA001944")</f>
        <v>AA001944</v>
      </c>
      <c r="B1014" s="205">
        <f ca="1">IFERROR(__xludf.DUMMYFUNCTION("""COMPUTED_VALUE"""),43658)</f>
        <v>43658</v>
      </c>
      <c r="C1014" t="str">
        <f ca="1">IFERROR(__xludf.DUMMYFUNCTION("""COMPUTED_VALUE"""),"PA000272")</f>
        <v>PA000272</v>
      </c>
      <c r="D1014" t="str">
        <f ca="1">IFERROR(__xludf.DUMMYFUNCTION("""COMPUTED_VALUE"""),"PA000272")</f>
        <v>PA000272</v>
      </c>
    </row>
    <row r="1015" spans="1:4" ht="15" customHeight="1">
      <c r="A1015" t="str">
        <f ca="1">IFERROR(__xludf.DUMMYFUNCTION("""COMPUTED_VALUE"""),"AA001944")</f>
        <v>AA001944</v>
      </c>
      <c r="B1015" s="205">
        <f ca="1">IFERROR(__xludf.DUMMYFUNCTION("""COMPUTED_VALUE"""),43658)</f>
        <v>43658</v>
      </c>
      <c r="C1015" t="str">
        <f ca="1">IFERROR(__xludf.DUMMYFUNCTION("""COMPUTED_VALUE"""),"PA000272")</f>
        <v>PA000272</v>
      </c>
      <c r="D1015" t="str">
        <f ca="1">IFERROR(__xludf.DUMMYFUNCTION("""COMPUTED_VALUE"""),"PA000272")</f>
        <v>PA000272</v>
      </c>
    </row>
    <row r="1016" spans="1:4" ht="15" customHeight="1">
      <c r="A1016" t="str">
        <f ca="1">IFERROR(__xludf.DUMMYFUNCTION("""COMPUTED_VALUE"""),"AB001406")</f>
        <v>AB001406</v>
      </c>
      <c r="B1016" s="205">
        <f ca="1">IFERROR(__xludf.DUMMYFUNCTION("""COMPUTED_VALUE"""),43661)</f>
        <v>43661</v>
      </c>
      <c r="C1016" t="str">
        <f ca="1">IFERROR(__xludf.DUMMYFUNCTION("""COMPUTED_VALUE"""),"PA000272")</f>
        <v>PA000272</v>
      </c>
      <c r="D1016" t="str">
        <f ca="1">IFERROR(__xludf.DUMMYFUNCTION("""COMPUTED_VALUE"""),"PA000272")</f>
        <v>PA000272</v>
      </c>
    </row>
    <row r="1017" spans="1:4" ht="15" customHeight="1">
      <c r="A1017" t="str">
        <f ca="1">IFERROR(__xludf.DUMMYFUNCTION("""COMPUTED_VALUE"""),"AB001376")</f>
        <v>AB001376</v>
      </c>
      <c r="B1017" s="205">
        <f ca="1">IFERROR(__xludf.DUMMYFUNCTION("""COMPUTED_VALUE"""),43661)</f>
        <v>43661</v>
      </c>
      <c r="C1017" t="str">
        <f ca="1">IFERROR(__xludf.DUMMYFUNCTION("""COMPUTED_VALUE"""),"PA000272")</f>
        <v>PA000272</v>
      </c>
      <c r="D1017" t="str">
        <f ca="1">IFERROR(__xludf.DUMMYFUNCTION("""COMPUTED_VALUE"""),"PA000272")</f>
        <v>PA000272</v>
      </c>
    </row>
    <row r="1018" spans="1:4" ht="15" customHeight="1">
      <c r="A1018" t="str">
        <f ca="1">IFERROR(__xludf.DUMMYFUNCTION("""COMPUTED_VALUE"""),"AB001373")</f>
        <v>AB001373</v>
      </c>
      <c r="B1018" s="205">
        <f ca="1">IFERROR(__xludf.DUMMYFUNCTION("""COMPUTED_VALUE"""),43661)</f>
        <v>43661</v>
      </c>
      <c r="C1018" t="str">
        <f ca="1">IFERROR(__xludf.DUMMYFUNCTION("""COMPUTED_VALUE"""),"PA000284")</f>
        <v>PA000284</v>
      </c>
      <c r="D1018" t="str">
        <f ca="1">IFERROR(__xludf.DUMMYFUNCTION("""COMPUTED_VALUE"""),"PA000284")</f>
        <v>PA000284</v>
      </c>
    </row>
    <row r="1019" spans="1:4" ht="15" customHeight="1">
      <c r="A1019" t="str">
        <f ca="1">IFERROR(__xludf.DUMMYFUNCTION("""COMPUTED_VALUE"""),"AB001373")</f>
        <v>AB001373</v>
      </c>
      <c r="B1019" s="205">
        <f ca="1">IFERROR(__xludf.DUMMYFUNCTION("""COMPUTED_VALUE"""),43661)</f>
        <v>43661</v>
      </c>
      <c r="C1019" t="str">
        <f ca="1">IFERROR(__xludf.DUMMYFUNCTION("""COMPUTED_VALUE"""),"PA000209")</f>
        <v>PA000209</v>
      </c>
      <c r="D1019" t="str">
        <f ca="1">IFERROR(__xludf.DUMMYFUNCTION("""COMPUTED_VALUE"""),"PA000209")</f>
        <v>PA000209</v>
      </c>
    </row>
    <row r="1020" spans="1:4" ht="15" customHeight="1">
      <c r="A1020" t="str">
        <f ca="1">IFERROR(__xludf.DUMMYFUNCTION("""COMPUTED_VALUE"""),"AB001374")</f>
        <v>AB001374</v>
      </c>
      <c r="B1020" s="205">
        <f ca="1">IFERROR(__xludf.DUMMYFUNCTION("""COMPUTED_VALUE"""),43661)</f>
        <v>43661</v>
      </c>
      <c r="C1020" t="str">
        <f ca="1">IFERROR(__xludf.DUMMYFUNCTION("""COMPUTED_VALUE"""),"PA000210")</f>
        <v>PA000210</v>
      </c>
      <c r="D1020" t="str">
        <f ca="1">IFERROR(__xludf.DUMMYFUNCTION("""COMPUTED_VALUE"""),"PA000210")</f>
        <v>PA000210</v>
      </c>
    </row>
    <row r="1021" spans="1:4" ht="15" customHeight="1">
      <c r="A1021" t="str">
        <f ca="1">IFERROR(__xludf.DUMMYFUNCTION("""COMPUTED_VALUE"""),"AB001375")</f>
        <v>AB001375</v>
      </c>
      <c r="B1021" s="205">
        <f ca="1">IFERROR(__xludf.DUMMYFUNCTION("""COMPUTED_VALUE"""),43661)</f>
        <v>43661</v>
      </c>
      <c r="C1021" t="str">
        <f ca="1">IFERROR(__xludf.DUMMYFUNCTION("""COMPUTED_VALUE"""),"PA000273")</f>
        <v>PA000273</v>
      </c>
      <c r="D1021" t="str">
        <f ca="1">IFERROR(__xludf.DUMMYFUNCTION("""COMPUTED_VALUE"""),"PA000273")</f>
        <v>PA000273</v>
      </c>
    </row>
    <row r="1022" spans="1:4" ht="15" customHeight="1">
      <c r="A1022" t="str">
        <f ca="1">IFERROR(__xludf.DUMMYFUNCTION("""COMPUTED_VALUE"""),"AB001377")</f>
        <v>AB001377</v>
      </c>
      <c r="B1022" s="205">
        <f ca="1">IFERROR(__xludf.DUMMYFUNCTION("""COMPUTED_VALUE"""),43662)</f>
        <v>43662</v>
      </c>
      <c r="C1022" t="str">
        <f ca="1">IFERROR(__xludf.DUMMYFUNCTION("""COMPUTED_VALUE"""),"PA000273")</f>
        <v>PA000273</v>
      </c>
      <c r="D1022" t="str">
        <f ca="1">IFERROR(__xludf.DUMMYFUNCTION("""COMPUTED_VALUE"""),"PA000273")</f>
        <v>PA000273</v>
      </c>
    </row>
    <row r="1023" spans="1:4" ht="15" customHeight="1">
      <c r="A1023" t="str">
        <f ca="1">IFERROR(__xludf.DUMMYFUNCTION("""COMPUTED_VALUE"""),"AB001372")</f>
        <v>AB001372</v>
      </c>
      <c r="B1023" s="205">
        <f ca="1">IFERROR(__xludf.DUMMYFUNCTION("""COMPUTED_VALUE"""),43662)</f>
        <v>43662</v>
      </c>
      <c r="C1023" t="str">
        <f ca="1">IFERROR(__xludf.DUMMYFUNCTION("""COMPUTED_VALUE"""),"PA000286")</f>
        <v>PA000286</v>
      </c>
      <c r="D1023" t="str">
        <f ca="1">IFERROR(__xludf.DUMMYFUNCTION("""COMPUTED_VALUE"""),"PA000286")</f>
        <v>PA000286</v>
      </c>
    </row>
    <row r="1024" spans="1:4" ht="15" customHeight="1">
      <c r="A1024" t="str">
        <f ca="1">IFERROR(__xludf.DUMMYFUNCTION("""COMPUTED_VALUE"""),"AB001407")</f>
        <v>AB001407</v>
      </c>
      <c r="B1024" s="205">
        <f ca="1">IFERROR(__xludf.DUMMYFUNCTION("""COMPUTED_VALUE"""),43662)</f>
        <v>43662</v>
      </c>
      <c r="C1024" t="str">
        <f ca="1">IFERROR(__xludf.DUMMYFUNCTION("""COMPUTED_VALUE"""),"PA000286")</f>
        <v>PA000286</v>
      </c>
      <c r="D1024" t="str">
        <f ca="1">IFERROR(__xludf.DUMMYFUNCTION("""COMPUTED_VALUE"""),"PA000286")</f>
        <v>PA000286</v>
      </c>
    </row>
    <row r="1025" spans="1:4" ht="15" customHeight="1">
      <c r="A1025" t="str">
        <f ca="1">IFERROR(__xludf.DUMMYFUNCTION("""COMPUTED_VALUE"""),"AA001945")</f>
        <v>AA001945</v>
      </c>
      <c r="B1025" s="205">
        <f ca="1">IFERROR(__xludf.DUMMYFUNCTION("""COMPUTED_VALUE"""),43662)</f>
        <v>43662</v>
      </c>
      <c r="C1025" t="str">
        <f ca="1">IFERROR(__xludf.DUMMYFUNCTION("""COMPUTED_VALUE"""),"PA000286")</f>
        <v>PA000286</v>
      </c>
      <c r="D1025" t="str">
        <f ca="1">IFERROR(__xludf.DUMMYFUNCTION("""COMPUTED_VALUE"""),"PA000286")</f>
        <v>PA000286</v>
      </c>
    </row>
    <row r="1026" spans="1:4" ht="15" customHeight="1">
      <c r="A1026" t="str">
        <f ca="1">IFERROR(__xludf.DUMMYFUNCTION("""COMPUTED_VALUE"""),"AA001945")</f>
        <v>AA001945</v>
      </c>
      <c r="B1026" s="205">
        <f ca="1">IFERROR(__xludf.DUMMYFUNCTION("""COMPUTED_VALUE"""),43662)</f>
        <v>43662</v>
      </c>
      <c r="C1026" t="str">
        <f ca="1">IFERROR(__xludf.DUMMYFUNCTION("""COMPUTED_VALUE"""),"PA000286")</f>
        <v>PA000286</v>
      </c>
      <c r="D1026" t="str">
        <f ca="1">IFERROR(__xludf.DUMMYFUNCTION("""COMPUTED_VALUE"""),"PA000286")</f>
        <v>PA000286</v>
      </c>
    </row>
    <row r="1027" spans="1:4" ht="15" customHeight="1">
      <c r="A1027" t="str">
        <f ca="1">IFERROR(__xludf.DUMMYFUNCTION("""COMPUTED_VALUE"""),"AA001946")</f>
        <v>AA001946</v>
      </c>
      <c r="B1027" s="205">
        <f ca="1">IFERROR(__xludf.DUMMYFUNCTION("""COMPUTED_VALUE"""),43662)</f>
        <v>43662</v>
      </c>
      <c r="C1027" t="str">
        <f ca="1">IFERROR(__xludf.DUMMYFUNCTION("""COMPUTED_VALUE"""),"PA000286")</f>
        <v>PA000286</v>
      </c>
      <c r="D1027" t="str">
        <f ca="1">IFERROR(__xludf.DUMMYFUNCTION("""COMPUTED_VALUE"""),"PA000286")</f>
        <v>PA000286</v>
      </c>
    </row>
    <row r="1028" spans="1:4" ht="15" customHeight="1">
      <c r="A1028" t="str">
        <f ca="1">IFERROR(__xludf.DUMMYFUNCTION("""COMPUTED_VALUE"""),"AA001946")</f>
        <v>AA001946</v>
      </c>
      <c r="B1028" s="205">
        <f ca="1">IFERROR(__xludf.DUMMYFUNCTION("""COMPUTED_VALUE"""),43662)</f>
        <v>43662</v>
      </c>
      <c r="C1028" t="str">
        <f ca="1">IFERROR(__xludf.DUMMYFUNCTION("""COMPUTED_VALUE"""),"PA000286")</f>
        <v>PA000286</v>
      </c>
      <c r="D1028" t="str">
        <f ca="1">IFERROR(__xludf.DUMMYFUNCTION("""COMPUTED_VALUE"""),"PA000286")</f>
        <v>PA000286</v>
      </c>
    </row>
    <row r="1029" spans="1:4" ht="15" customHeight="1">
      <c r="A1029" t="str">
        <f ca="1">IFERROR(__xludf.DUMMYFUNCTION("""COMPUTED_VALUE"""),"AA001946")</f>
        <v>AA001946</v>
      </c>
      <c r="B1029" s="205">
        <f ca="1">IFERROR(__xludf.DUMMYFUNCTION("""COMPUTED_VALUE"""),43662)</f>
        <v>43662</v>
      </c>
      <c r="C1029" t="str">
        <f ca="1">IFERROR(__xludf.DUMMYFUNCTION("""COMPUTED_VALUE"""),"PA000287")</f>
        <v>PA000287</v>
      </c>
      <c r="D1029" t="str">
        <f ca="1">IFERROR(__xludf.DUMMYFUNCTION("""COMPUTED_VALUE"""),"PA000287")</f>
        <v>PA000287</v>
      </c>
    </row>
    <row r="1030" spans="1:4" ht="15" customHeight="1">
      <c r="A1030" t="str">
        <f ca="1">IFERROR(__xludf.DUMMYFUNCTION("""COMPUTED_VALUE"""),"AB001388")</f>
        <v>AB001388</v>
      </c>
      <c r="B1030" s="205">
        <f ca="1">IFERROR(__xludf.DUMMYFUNCTION("""COMPUTED_VALUE"""),43665)</f>
        <v>43665</v>
      </c>
      <c r="C1030" t="str">
        <f ca="1">IFERROR(__xludf.DUMMYFUNCTION("""COMPUTED_VALUE"""),"PA000274")</f>
        <v>PA000274</v>
      </c>
      <c r="D1030" t="str">
        <f ca="1">IFERROR(__xludf.DUMMYFUNCTION("""COMPUTED_VALUE"""),"PA000274")</f>
        <v>PA000274</v>
      </c>
    </row>
    <row r="1031" spans="1:4" ht="15" customHeight="1">
      <c r="A1031" t="str">
        <f ca="1">IFERROR(__xludf.DUMMYFUNCTION("""COMPUTED_VALUE"""),"AB001389")</f>
        <v>AB001389</v>
      </c>
      <c r="B1031" s="205">
        <f ca="1">IFERROR(__xludf.DUMMYFUNCTION("""COMPUTED_VALUE"""),43664)</f>
        <v>43664</v>
      </c>
      <c r="C1031" t="str">
        <f ca="1">IFERROR(__xludf.DUMMYFUNCTION("""COMPUTED_VALUE"""),"PA000275")</f>
        <v>PA000275</v>
      </c>
      <c r="D1031" t="str">
        <f ca="1">IFERROR(__xludf.DUMMYFUNCTION("""COMPUTED_VALUE"""),"PA000275")</f>
        <v>PA000275</v>
      </c>
    </row>
    <row r="1032" spans="1:4" ht="15" customHeight="1">
      <c r="A1032" t="str">
        <f ca="1">IFERROR(__xludf.DUMMYFUNCTION("""COMPUTED_VALUE"""),"AB001389")</f>
        <v>AB001389</v>
      </c>
      <c r="B1032" s="205">
        <f ca="1">IFERROR(__xludf.DUMMYFUNCTION("""COMPUTED_VALUE"""),43664)</f>
        <v>43664</v>
      </c>
      <c r="C1032" t="str">
        <f ca="1">IFERROR(__xludf.DUMMYFUNCTION("""COMPUTED_VALUE"""),"PA000276")</f>
        <v>PA000276</v>
      </c>
      <c r="D1032" t="str">
        <f ca="1">IFERROR(__xludf.DUMMYFUNCTION("""COMPUTED_VALUE"""),"PA000276")</f>
        <v>PA000276</v>
      </c>
    </row>
    <row r="1033" spans="1:4" ht="15" customHeight="1">
      <c r="A1033" t="str">
        <f ca="1">IFERROR(__xludf.DUMMYFUNCTION("""COMPUTED_VALUE"""),"AA001947")</f>
        <v>AA001947</v>
      </c>
      <c r="B1033" s="205">
        <f ca="1">IFERROR(__xludf.DUMMYFUNCTION("""COMPUTED_VALUE"""),43665)</f>
        <v>43665</v>
      </c>
      <c r="C1033" t="str">
        <f ca="1">IFERROR(__xludf.DUMMYFUNCTION("""COMPUTED_VALUE"""),"PA000290")</f>
        <v>PA000290</v>
      </c>
      <c r="D1033" t="str">
        <f ca="1">IFERROR(__xludf.DUMMYFUNCTION("""COMPUTED_VALUE"""),"PA000290")</f>
        <v>PA000290</v>
      </c>
    </row>
    <row r="1034" spans="1:4" ht="15" customHeight="1">
      <c r="A1034" t="str">
        <f ca="1">IFERROR(__xludf.DUMMYFUNCTION("""COMPUTED_VALUE"""),"AB001390")</f>
        <v>AB001390</v>
      </c>
      <c r="B1034" s="205">
        <f ca="1">IFERROR(__xludf.DUMMYFUNCTION("""COMPUTED_VALUE"""),43665)</f>
        <v>43665</v>
      </c>
      <c r="C1034" t="str">
        <f ca="1">IFERROR(__xludf.DUMMYFUNCTION("""COMPUTED_VALUE"""),"PA000290")</f>
        <v>PA000290</v>
      </c>
      <c r="D1034" t="str">
        <f ca="1">IFERROR(__xludf.DUMMYFUNCTION("""COMPUTED_VALUE"""),"PA000290")</f>
        <v>PA000290</v>
      </c>
    </row>
    <row r="1035" spans="1:4" ht="15" customHeight="1">
      <c r="A1035" t="str">
        <f ca="1">IFERROR(__xludf.DUMMYFUNCTION("""COMPUTED_VALUE"""),"AB001390")</f>
        <v>AB001390</v>
      </c>
      <c r="B1035" s="205">
        <f ca="1">IFERROR(__xludf.DUMMYFUNCTION("""COMPUTED_VALUE"""),43665)</f>
        <v>43665</v>
      </c>
      <c r="C1035" t="str">
        <f ca="1">IFERROR(__xludf.DUMMYFUNCTION("""COMPUTED_VALUE"""),"PA000288")</f>
        <v>PA000288</v>
      </c>
      <c r="D1035" t="str">
        <f ca="1">IFERROR(__xludf.DUMMYFUNCTION("""COMPUTED_VALUE"""),"PA000288")</f>
        <v>PA000288</v>
      </c>
    </row>
    <row r="1036" spans="1:4" ht="15" customHeight="1">
      <c r="A1036" t="str">
        <f ca="1">IFERROR(__xludf.DUMMYFUNCTION("""COMPUTED_VALUE"""),"AB001371")</f>
        <v>AB001371</v>
      </c>
      <c r="B1036" s="205">
        <f ca="1">IFERROR(__xludf.DUMMYFUNCTION("""COMPUTED_VALUE"""),43665)</f>
        <v>43665</v>
      </c>
      <c r="C1036" t="str">
        <f ca="1">IFERROR(__xludf.DUMMYFUNCTION("""COMPUTED_VALUE"""),"PA000288")</f>
        <v>PA000288</v>
      </c>
      <c r="D1036" t="str">
        <f ca="1">IFERROR(__xludf.DUMMYFUNCTION("""COMPUTED_VALUE"""),"PA000288")</f>
        <v>PA000288</v>
      </c>
    </row>
    <row r="1037" spans="1:4" ht="15" customHeight="1">
      <c r="A1037" t="str">
        <f ca="1">IFERROR(__xludf.DUMMYFUNCTION("""COMPUTED_VALUE"""),"AB001364")</f>
        <v>AB001364</v>
      </c>
      <c r="B1037" t="str">
        <f ca="1">IFERROR(__xludf.DUMMYFUNCTION("""COMPUTED_VALUE"""),"")</f>
        <v/>
      </c>
      <c r="C1037" t="str">
        <f ca="1">IFERROR(__xludf.DUMMYFUNCTION("""COMPUTED_VALUE"""),"PA000211")</f>
        <v>PA000211</v>
      </c>
      <c r="D1037" t="str">
        <f ca="1">IFERROR(__xludf.DUMMYFUNCTION("""COMPUTED_VALUE"""),"PA000211")</f>
        <v>PA000211</v>
      </c>
    </row>
    <row r="1038" spans="1:4" ht="15" customHeight="1">
      <c r="A1038" t="str">
        <f ca="1">IFERROR(__xludf.DUMMYFUNCTION("""COMPUTED_VALUE"""),"AB001365")</f>
        <v>AB001365</v>
      </c>
      <c r="B1038" s="205">
        <f ca="1">IFERROR(__xludf.DUMMYFUNCTION("""COMPUTED_VALUE"""),43665)</f>
        <v>43665</v>
      </c>
      <c r="C1038" t="str">
        <f ca="1">IFERROR(__xludf.DUMMYFUNCTION("""COMPUTED_VALUE"""),"PA000285")</f>
        <v>PA000285</v>
      </c>
      <c r="D1038" t="str">
        <f ca="1">IFERROR(__xludf.DUMMYFUNCTION("""COMPUTED_VALUE"""),"PA000285")</f>
        <v>PA000285</v>
      </c>
    </row>
    <row r="1039" spans="1:4" ht="15" customHeight="1">
      <c r="A1039" t="str">
        <f ca="1">IFERROR(__xludf.DUMMYFUNCTION("""COMPUTED_VALUE"""),"AB001379")</f>
        <v>AB001379</v>
      </c>
      <c r="B1039" s="205">
        <f ca="1">IFERROR(__xludf.DUMMYFUNCTION("""COMPUTED_VALUE"""),43665)</f>
        <v>43665</v>
      </c>
      <c r="C1039" t="str">
        <f ca="1">IFERROR(__xludf.DUMMYFUNCTION("""COMPUTED_VALUE"""),"PA000285")</f>
        <v>PA000285</v>
      </c>
      <c r="D1039" t="str">
        <f ca="1">IFERROR(__xludf.DUMMYFUNCTION("""COMPUTED_VALUE"""),"PA000285")</f>
        <v>PA000285</v>
      </c>
    </row>
    <row r="1040" spans="1:4" ht="15" customHeight="1">
      <c r="A1040" t="str">
        <f ca="1">IFERROR(__xludf.DUMMYFUNCTION("""COMPUTED_VALUE"""),"AB001314")</f>
        <v>AB001314</v>
      </c>
      <c r="B1040" s="205">
        <f ca="1">IFERROR(__xludf.DUMMYFUNCTION("""COMPUTED_VALUE"""),43769)</f>
        <v>43769</v>
      </c>
      <c r="C1040" t="str">
        <f ca="1">IFERROR(__xludf.DUMMYFUNCTION("""COMPUTED_VALUE"""),"PA000208")</f>
        <v>PA000208</v>
      </c>
      <c r="D1040" t="str">
        <f ca="1">IFERROR(__xludf.DUMMYFUNCTION("""COMPUTED_VALUE"""),"PA000208")</f>
        <v>PA000208</v>
      </c>
    </row>
    <row r="1041" spans="1:4" ht="15" customHeight="1">
      <c r="A1041" t="str">
        <f ca="1">IFERROR(__xludf.DUMMYFUNCTION("""COMPUTED_VALUE"""),"AB001378")</f>
        <v>AB001378</v>
      </c>
      <c r="B1041" s="205">
        <f ca="1">IFERROR(__xludf.DUMMYFUNCTION("""COMPUTED_VALUE"""),43665)</f>
        <v>43665</v>
      </c>
      <c r="C1041" t="str">
        <f ca="1">IFERROR(__xludf.DUMMYFUNCTION("""COMPUTED_VALUE"""),"PA000292")</f>
        <v>PA000292</v>
      </c>
      <c r="D1041" t="str">
        <f ca="1">IFERROR(__xludf.DUMMYFUNCTION("""COMPUTED_VALUE"""),"PA000292")</f>
        <v>PA000292</v>
      </c>
    </row>
    <row r="1042" spans="1:4" ht="15" customHeight="1">
      <c r="A1042" t="str">
        <f ca="1">IFERROR(__xludf.DUMMYFUNCTION("""COMPUTED_VALUE"""),"AB001380")</f>
        <v>AB001380</v>
      </c>
      <c r="B1042" s="205">
        <f ca="1">IFERROR(__xludf.DUMMYFUNCTION("""COMPUTED_VALUE"""),43665)</f>
        <v>43665</v>
      </c>
      <c r="C1042" t="str">
        <f ca="1">IFERROR(__xludf.DUMMYFUNCTION("""COMPUTED_VALUE"""),"PA000291")</f>
        <v>PA000291</v>
      </c>
      <c r="D1042" t="str">
        <f ca="1">IFERROR(__xludf.DUMMYFUNCTION("""COMPUTED_VALUE"""),"PA000291")</f>
        <v>PA000291</v>
      </c>
    </row>
    <row r="1043" spans="1:4" ht="15" customHeight="1">
      <c r="A1043" t="str">
        <f ca="1">IFERROR(__xludf.DUMMYFUNCTION("""COMPUTED_VALUE"""),"AB001392")</f>
        <v>AB001392</v>
      </c>
      <c r="B1043" s="205">
        <f ca="1">IFERROR(__xludf.DUMMYFUNCTION("""COMPUTED_VALUE"""),43670)</f>
        <v>43670</v>
      </c>
      <c r="C1043" t="str">
        <f ca="1">IFERROR(__xludf.DUMMYFUNCTION("""COMPUTED_VALUE"""),"PA000291")</f>
        <v>PA000291</v>
      </c>
      <c r="D1043" t="str">
        <f ca="1">IFERROR(__xludf.DUMMYFUNCTION("""COMPUTED_VALUE"""),"PA000291")</f>
        <v>PA000291</v>
      </c>
    </row>
    <row r="1044" spans="1:4" ht="15" customHeight="1">
      <c r="A1044" t="str">
        <f ca="1">IFERROR(__xludf.DUMMYFUNCTION("""COMPUTED_VALUE"""),"AB001393")</f>
        <v>AB001393</v>
      </c>
      <c r="B1044" s="205">
        <f ca="1">IFERROR(__xludf.DUMMYFUNCTION("""COMPUTED_VALUE"""),43671)</f>
        <v>43671</v>
      </c>
      <c r="C1044" t="str">
        <f ca="1">IFERROR(__xludf.DUMMYFUNCTION("""COMPUTED_VALUE"""),"PA000193")</f>
        <v>PA000193</v>
      </c>
      <c r="D1044" t="str">
        <f ca="1">IFERROR(__xludf.DUMMYFUNCTION("""COMPUTED_VALUE"""),"PA000193")</f>
        <v>PA000193</v>
      </c>
    </row>
    <row r="1045" spans="1:4" ht="15" customHeight="1">
      <c r="A1045" t="str">
        <f ca="1">IFERROR(__xludf.DUMMYFUNCTION("""COMPUTED_VALUE"""),"AB001393")</f>
        <v>AB001393</v>
      </c>
      <c r="B1045" s="205">
        <f ca="1">IFERROR(__xludf.DUMMYFUNCTION("""COMPUTED_VALUE"""),43671)</f>
        <v>43671</v>
      </c>
      <c r="C1045" t="str">
        <f ca="1">IFERROR(__xludf.DUMMYFUNCTION("""COMPUTED_VALUE"""),"PA000193")</f>
        <v>PA000193</v>
      </c>
      <c r="D1045" t="str">
        <f ca="1">IFERROR(__xludf.DUMMYFUNCTION("""COMPUTED_VALUE"""),"PA000193")</f>
        <v>PA000193</v>
      </c>
    </row>
    <row r="1046" spans="1:4" ht="15" customHeight="1">
      <c r="A1046" t="str">
        <f ca="1">IFERROR(__xludf.DUMMYFUNCTION("""COMPUTED_VALUE"""),"AB001408")</f>
        <v>AB001408</v>
      </c>
      <c r="B1046" s="205">
        <f ca="1">IFERROR(__xludf.DUMMYFUNCTION("""COMPUTED_VALUE"""),43669)</f>
        <v>43669</v>
      </c>
      <c r="C1046" t="str">
        <f ca="1">IFERROR(__xludf.DUMMYFUNCTION("""COMPUTED_VALUE"""),"PA000293")</f>
        <v>PA000293</v>
      </c>
      <c r="D1046" t="str">
        <f ca="1">IFERROR(__xludf.DUMMYFUNCTION("""COMPUTED_VALUE"""),"PA000293")</f>
        <v>PA000293</v>
      </c>
    </row>
    <row r="1047" spans="1:4" ht="15" customHeight="1">
      <c r="A1047" t="str">
        <f ca="1">IFERROR(__xludf.DUMMYFUNCTION("""COMPUTED_VALUE"""),"AB001381")</f>
        <v>AB001381</v>
      </c>
      <c r="B1047" s="205">
        <f ca="1">IFERROR(__xludf.DUMMYFUNCTION("""COMPUTED_VALUE"""),43669)</f>
        <v>43669</v>
      </c>
      <c r="C1047" t="str">
        <f ca="1">IFERROR(__xludf.DUMMYFUNCTION("""COMPUTED_VALUE"""),"PA000293")</f>
        <v>PA000293</v>
      </c>
      <c r="D1047" t="str">
        <f ca="1">IFERROR(__xludf.DUMMYFUNCTION("""COMPUTED_VALUE"""),"PA000293")</f>
        <v>PA000293</v>
      </c>
    </row>
    <row r="1048" spans="1:4" ht="15" customHeight="1">
      <c r="A1048" t="str">
        <f ca="1">IFERROR(__xludf.DUMMYFUNCTION("""COMPUTED_VALUE"""),"AB001409")</f>
        <v>AB001409</v>
      </c>
      <c r="B1048" s="205">
        <f ca="1">IFERROR(__xludf.DUMMYFUNCTION("""COMPUTED_VALUE"""),43671)</f>
        <v>43671</v>
      </c>
      <c r="C1048" t="str">
        <f ca="1">IFERROR(__xludf.DUMMYFUNCTION("""COMPUTED_VALUE"""),"PA000293")</f>
        <v>PA000293</v>
      </c>
      <c r="D1048" t="str">
        <f ca="1">IFERROR(__xludf.DUMMYFUNCTION("""COMPUTED_VALUE"""),"PA000293")</f>
        <v>PA000293</v>
      </c>
    </row>
    <row r="1049" spans="1:4" ht="15" customHeight="1">
      <c r="A1049" t="str">
        <f ca="1">IFERROR(__xludf.DUMMYFUNCTION("""COMPUTED_VALUE"""),"AB001394")</f>
        <v>AB001394</v>
      </c>
      <c r="B1049" s="205">
        <f ca="1">IFERROR(__xludf.DUMMYFUNCTION("""COMPUTED_VALUE"""),43672)</f>
        <v>43672</v>
      </c>
      <c r="C1049" t="str">
        <f ca="1">IFERROR(__xludf.DUMMYFUNCTION("""COMPUTED_VALUE"""),"PA000278")</f>
        <v>PA000278</v>
      </c>
      <c r="D1049" t="str">
        <f ca="1">IFERROR(__xludf.DUMMYFUNCTION("""COMPUTED_VALUE"""),"PA000278")</f>
        <v>PA000278</v>
      </c>
    </row>
    <row r="1050" spans="1:4" ht="15" customHeight="1">
      <c r="A1050" t="str">
        <f ca="1">IFERROR(__xludf.DUMMYFUNCTION("""COMPUTED_VALUE"""),"AB001396")</f>
        <v>AB001396</v>
      </c>
      <c r="B1050" s="205">
        <f ca="1">IFERROR(__xludf.DUMMYFUNCTION("""COMPUTED_VALUE"""),43672)</f>
        <v>43672</v>
      </c>
      <c r="C1050" t="str">
        <f ca="1">IFERROR(__xludf.DUMMYFUNCTION("""COMPUTED_VALUE"""),"PA000294")</f>
        <v>PA000294</v>
      </c>
      <c r="D1050" t="str">
        <f ca="1">IFERROR(__xludf.DUMMYFUNCTION("""COMPUTED_VALUE"""),"PA000294")</f>
        <v>PA000294</v>
      </c>
    </row>
    <row r="1051" spans="1:4" ht="15" customHeight="1">
      <c r="A1051" t="str">
        <f ca="1">IFERROR(__xludf.DUMMYFUNCTION("""COMPUTED_VALUE"""),"AA001948")</f>
        <v>AA001948</v>
      </c>
      <c r="B1051" s="205">
        <f ca="1">IFERROR(__xludf.DUMMYFUNCTION("""COMPUTED_VALUE"""),43672)</f>
        <v>43672</v>
      </c>
      <c r="C1051" t="str">
        <f ca="1">IFERROR(__xludf.DUMMYFUNCTION("""COMPUTED_VALUE"""),"PA000289")</f>
        <v>PA000289</v>
      </c>
      <c r="D1051" t="str">
        <f ca="1">IFERROR(__xludf.DUMMYFUNCTION("""COMPUTED_VALUE"""),"PA000289")</f>
        <v>PA000289</v>
      </c>
    </row>
    <row r="1052" spans="1:4" ht="15" customHeight="1">
      <c r="A1052" t="str">
        <f ca="1">IFERROR(__xludf.DUMMYFUNCTION("""COMPUTED_VALUE"""),"AA001948")</f>
        <v>AA001948</v>
      </c>
      <c r="B1052" s="205">
        <f ca="1">IFERROR(__xludf.DUMMYFUNCTION("""COMPUTED_VALUE"""),43672)</f>
        <v>43672</v>
      </c>
      <c r="C1052" t="str">
        <f ca="1">IFERROR(__xludf.DUMMYFUNCTION("""COMPUTED_VALUE"""),"PA000213")</f>
        <v>PA000213</v>
      </c>
      <c r="D1052" t="str">
        <f ca="1">IFERROR(__xludf.DUMMYFUNCTION("""COMPUTED_VALUE"""),"PA000213")</f>
        <v>PA000213</v>
      </c>
    </row>
    <row r="1053" spans="1:4" ht="15" customHeight="1">
      <c r="A1053" t="str">
        <f ca="1">IFERROR(__xludf.DUMMYFUNCTION("""COMPUTED_VALUE"""),"AA001948")</f>
        <v>AA001948</v>
      </c>
      <c r="B1053" s="205">
        <f ca="1">IFERROR(__xludf.DUMMYFUNCTION("""COMPUTED_VALUE"""),43672)</f>
        <v>43672</v>
      </c>
      <c r="C1053" t="str">
        <f ca="1">IFERROR(__xludf.DUMMYFUNCTION("""COMPUTED_VALUE"""),"PA000213")</f>
        <v>PA000213</v>
      </c>
      <c r="D1053" t="str">
        <f ca="1">IFERROR(__xludf.DUMMYFUNCTION("""COMPUTED_VALUE"""),"PA000213")</f>
        <v>PA000213</v>
      </c>
    </row>
    <row r="1054" spans="1:4" ht="15" customHeight="1">
      <c r="A1054" t="str">
        <f ca="1">IFERROR(__xludf.DUMMYFUNCTION("""COMPUTED_VALUE"""),"AB001410")</f>
        <v>AB001410</v>
      </c>
      <c r="B1054" s="205">
        <f ca="1">IFERROR(__xludf.DUMMYFUNCTION("""COMPUTED_VALUE"""),43675)</f>
        <v>43675</v>
      </c>
      <c r="C1054" t="str">
        <f ca="1">IFERROR(__xludf.DUMMYFUNCTION("""COMPUTED_VALUE"""),"PA000279")</f>
        <v>PA000279</v>
      </c>
      <c r="D1054" t="str">
        <f ca="1">IFERROR(__xludf.DUMMYFUNCTION("""COMPUTED_VALUE"""),"PA000279")</f>
        <v>PA000279</v>
      </c>
    </row>
    <row r="1055" spans="1:4" ht="15" customHeight="1">
      <c r="A1055" t="str">
        <f ca="1">IFERROR(__xludf.DUMMYFUNCTION("""COMPUTED_VALUE"""),"AB001397")</f>
        <v>AB001397</v>
      </c>
      <c r="B1055" s="205">
        <f ca="1">IFERROR(__xludf.DUMMYFUNCTION("""COMPUTED_VALUE"""),43672)</f>
        <v>43672</v>
      </c>
      <c r="C1055" t="str">
        <f ca="1">IFERROR(__xludf.DUMMYFUNCTION("""COMPUTED_VALUE"""),"PA000280")</f>
        <v>PA000280</v>
      </c>
      <c r="D1055" t="str">
        <f ca="1">IFERROR(__xludf.DUMMYFUNCTION("""COMPUTED_VALUE"""),"PA000280")</f>
        <v>PA000280</v>
      </c>
    </row>
    <row r="1056" spans="1:4" ht="15" customHeight="1">
      <c r="A1056" t="str">
        <f ca="1">IFERROR(__xludf.DUMMYFUNCTION("""COMPUTED_VALUE"""),"AB001398")</f>
        <v>AB001398</v>
      </c>
      <c r="B1056" s="205">
        <f ca="1">IFERROR(__xludf.DUMMYFUNCTION("""COMPUTED_VALUE"""),43672)</f>
        <v>43672</v>
      </c>
      <c r="C1056" t="str">
        <f ca="1">IFERROR(__xludf.DUMMYFUNCTION("""COMPUTED_VALUE"""),"PA000280")</f>
        <v>PA000280</v>
      </c>
      <c r="D1056" t="str">
        <f ca="1">IFERROR(__xludf.DUMMYFUNCTION("""COMPUTED_VALUE"""),"PA000280")</f>
        <v>PA000280</v>
      </c>
    </row>
    <row r="1057" spans="1:4" ht="15" customHeight="1">
      <c r="A1057" t="str">
        <f ca="1">IFERROR(__xludf.DUMMYFUNCTION("""COMPUTED_VALUE"""),"AB001325")</f>
        <v>AB001325</v>
      </c>
      <c r="B1057" s="205">
        <f ca="1">IFERROR(__xludf.DUMMYFUNCTION("""COMPUTED_VALUE"""),43672)</f>
        <v>43672</v>
      </c>
      <c r="C1057" t="str">
        <f ca="1">IFERROR(__xludf.DUMMYFUNCTION("""COMPUTED_VALUE"""),"PA000280")</f>
        <v>PA000280</v>
      </c>
      <c r="D1057" t="str">
        <f ca="1">IFERROR(__xludf.DUMMYFUNCTION("""COMPUTED_VALUE"""),"PA000280")</f>
        <v>PA000280</v>
      </c>
    </row>
    <row r="1058" spans="1:4" ht="15" customHeight="1">
      <c r="A1058" t="str">
        <f ca="1">IFERROR(__xludf.DUMMYFUNCTION("""COMPUTED_VALUE"""),"AB001411")</f>
        <v>AB001411</v>
      </c>
      <c r="B1058" s="205">
        <f ca="1">IFERROR(__xludf.DUMMYFUNCTION("""COMPUTED_VALUE"""),43675)</f>
        <v>43675</v>
      </c>
      <c r="C1058" t="str">
        <f ca="1">IFERROR(__xludf.DUMMYFUNCTION("""COMPUTED_VALUE"""),"PA000299")</f>
        <v>PA000299</v>
      </c>
      <c r="D1058" t="str">
        <f ca="1">IFERROR(__xludf.DUMMYFUNCTION("""COMPUTED_VALUE"""),"PA000299")</f>
        <v>PA000299</v>
      </c>
    </row>
    <row r="1059" spans="1:4" ht="15" customHeight="1">
      <c r="A1059" t="str">
        <f ca="1">IFERROR(__xludf.DUMMYFUNCTION("""COMPUTED_VALUE"""),"AB001412")</f>
        <v>AB001412</v>
      </c>
      <c r="B1059" s="205">
        <f ca="1">IFERROR(__xludf.DUMMYFUNCTION("""COMPUTED_VALUE"""),43677)</f>
        <v>43677</v>
      </c>
      <c r="C1059" t="str">
        <f ca="1">IFERROR(__xludf.DUMMYFUNCTION("""COMPUTED_VALUE"""),"PA000300")</f>
        <v>PA000300</v>
      </c>
      <c r="D1059" t="str">
        <f ca="1">IFERROR(__xludf.DUMMYFUNCTION("""COMPUTED_VALUE"""),"PA000300")</f>
        <v>PA000300</v>
      </c>
    </row>
    <row r="1060" spans="1:4" ht="15" customHeight="1">
      <c r="A1060" t="str">
        <f ca="1">IFERROR(__xludf.DUMMYFUNCTION("""COMPUTED_VALUE"""),"AB001382")</f>
        <v>AB001382</v>
      </c>
      <c r="B1060" s="205">
        <f ca="1">IFERROR(__xludf.DUMMYFUNCTION("""COMPUTED_VALUE"""),43675)</f>
        <v>43675</v>
      </c>
      <c r="C1060" t="str">
        <f ca="1">IFERROR(__xludf.DUMMYFUNCTION("""COMPUTED_VALUE"""),"PA000301")</f>
        <v>PA000301</v>
      </c>
      <c r="D1060" t="str">
        <f ca="1">IFERROR(__xludf.DUMMYFUNCTION("""COMPUTED_VALUE"""),"PA000301")</f>
        <v>PA000301</v>
      </c>
    </row>
    <row r="1061" spans="1:4" ht="15" customHeight="1">
      <c r="A1061" t="str">
        <f ca="1">IFERROR(__xludf.DUMMYFUNCTION("""COMPUTED_VALUE"""),"AB001395")</f>
        <v>AB001395</v>
      </c>
      <c r="B1061" s="205">
        <f ca="1">IFERROR(__xludf.DUMMYFUNCTION("""COMPUTED_VALUE"""),43677)</f>
        <v>43677</v>
      </c>
      <c r="C1061" t="str">
        <f ca="1">IFERROR(__xludf.DUMMYFUNCTION("""COMPUTED_VALUE"""),"PA000301")</f>
        <v>PA000301</v>
      </c>
      <c r="D1061" t="str">
        <f ca="1">IFERROR(__xludf.DUMMYFUNCTION("""COMPUTED_VALUE"""),"PA000301")</f>
        <v>PA000301</v>
      </c>
    </row>
    <row r="1062" spans="1:4" ht="15" customHeight="1">
      <c r="A1062" t="str">
        <f ca="1">IFERROR(__xludf.DUMMYFUNCTION("""COMPUTED_VALUE"""),"AB001391")</f>
        <v>AB001391</v>
      </c>
      <c r="B1062" s="205">
        <f ca="1">IFERROR(__xludf.DUMMYFUNCTION("""COMPUTED_VALUE"""),43677)</f>
        <v>43677</v>
      </c>
      <c r="C1062" t="str">
        <f ca="1">IFERROR(__xludf.DUMMYFUNCTION("""COMPUTED_VALUE"""),"PA000301")</f>
        <v>PA000301</v>
      </c>
      <c r="D1062" t="str">
        <f ca="1">IFERROR(__xludf.DUMMYFUNCTION("""COMPUTED_VALUE"""),"PA000301")</f>
        <v>PA000301</v>
      </c>
    </row>
    <row r="1063" spans="1:4" ht="15" customHeight="1">
      <c r="A1063" t="str">
        <f ca="1">IFERROR(__xludf.DUMMYFUNCTION("""COMPUTED_VALUE"""),"AB001383")</f>
        <v>AB001383</v>
      </c>
      <c r="B1063" s="205">
        <f ca="1">IFERROR(__xludf.DUMMYFUNCTION("""COMPUTED_VALUE"""),43677)</f>
        <v>43677</v>
      </c>
      <c r="C1063" t="str">
        <f ca="1">IFERROR(__xludf.DUMMYFUNCTION("""COMPUTED_VALUE"""),"PA000301")</f>
        <v>PA000301</v>
      </c>
      <c r="D1063" t="str">
        <f ca="1">IFERROR(__xludf.DUMMYFUNCTION("""COMPUTED_VALUE"""),"PA000301")</f>
        <v>PA000301</v>
      </c>
    </row>
    <row r="1064" spans="1:4" ht="15" customHeight="1">
      <c r="A1064" t="str">
        <f ca="1">IFERROR(__xludf.DUMMYFUNCTION("""COMPUTED_VALUE"""),"AB001328")</f>
        <v>AB001328</v>
      </c>
      <c r="B1064" t="str">
        <f ca="1">IFERROR(__xludf.DUMMYFUNCTION("""COMPUTED_VALUE"""),"")</f>
        <v/>
      </c>
      <c r="C1064" t="str">
        <f ca="1">IFERROR(__xludf.DUMMYFUNCTION("""COMPUTED_VALUE"""),"PA000281")</f>
        <v>PA000281</v>
      </c>
      <c r="D1064" t="str">
        <f ca="1">IFERROR(__xludf.DUMMYFUNCTION("""COMPUTED_VALUE"""),"PA000281")</f>
        <v>PA000281</v>
      </c>
    </row>
    <row r="1065" spans="1:4" ht="15" customHeight="1">
      <c r="A1065">
        <f ca="1">IFERROR(__xludf.DUMMYFUNCTION("""COMPUTED_VALUE"""),2700)</f>
        <v>2700</v>
      </c>
      <c r="B1065" s="205">
        <f ca="1">IFERROR(__xludf.DUMMYFUNCTION("""COMPUTED_VALUE"""),43677)</f>
        <v>43677</v>
      </c>
      <c r="C1065" t="str">
        <f ca="1">IFERROR(__xludf.DUMMYFUNCTION("""COMPUTED_VALUE"""),"PA000281")</f>
        <v>PA000281</v>
      </c>
      <c r="D1065" t="str">
        <f ca="1">IFERROR(__xludf.DUMMYFUNCTION("""COMPUTED_VALUE"""),"PA000281")</f>
        <v>PA000281</v>
      </c>
    </row>
    <row r="1066" spans="1:4" ht="15" customHeight="1">
      <c r="A1066" t="str">
        <f ca="1">IFERROR(__xludf.DUMMYFUNCTION("""COMPUTED_VALUE"""),"AB001308")</f>
        <v>AB001308</v>
      </c>
      <c r="B1066" s="205">
        <f ca="1">IFERROR(__xludf.DUMMYFUNCTION("""COMPUTED_VALUE"""),43769)</f>
        <v>43769</v>
      </c>
      <c r="C1066" t="str">
        <f ca="1">IFERROR(__xludf.DUMMYFUNCTION("""COMPUTED_VALUE"""),"PA000302")</f>
        <v>PA000302</v>
      </c>
      <c r="D1066" t="str">
        <f ca="1">IFERROR(__xludf.DUMMYFUNCTION("""COMPUTED_VALUE"""),"PA000302")</f>
        <v>PA000302</v>
      </c>
    </row>
    <row r="1067" spans="1:4" ht="15" customHeight="1">
      <c r="A1067" t="str">
        <f ca="1">IFERROR(__xludf.DUMMYFUNCTION("""COMPUTED_VALUE"""),"AB001399")</f>
        <v>AB001399</v>
      </c>
      <c r="B1067" s="205">
        <f ca="1">IFERROR(__xludf.DUMMYFUNCTION("""COMPUTED_VALUE"""),43684)</f>
        <v>43684</v>
      </c>
      <c r="C1067" t="str">
        <f ca="1">IFERROR(__xludf.DUMMYFUNCTION("""COMPUTED_VALUE"""),"PA000303")</f>
        <v>PA000303</v>
      </c>
      <c r="D1067" t="str">
        <f ca="1">IFERROR(__xludf.DUMMYFUNCTION("""COMPUTED_VALUE"""),"PA000303")</f>
        <v>PA000303</v>
      </c>
    </row>
    <row r="1068" spans="1:4" ht="15" customHeight="1">
      <c r="A1068" t="str">
        <f ca="1">IFERROR(__xludf.DUMMYFUNCTION("""COMPUTED_VALUE"""),"AB001413")</f>
        <v>AB001413</v>
      </c>
      <c r="B1068" s="205">
        <f ca="1">IFERROR(__xludf.DUMMYFUNCTION("""COMPUTED_VALUE"""),43677)</f>
        <v>43677</v>
      </c>
      <c r="C1068" t="str">
        <f ca="1">IFERROR(__xludf.DUMMYFUNCTION("""COMPUTED_VALUE"""),"PA000304")</f>
        <v>PA000304</v>
      </c>
      <c r="D1068" t="str">
        <f ca="1">IFERROR(__xludf.DUMMYFUNCTION("""COMPUTED_VALUE"""),"PA000304")</f>
        <v>PA000304</v>
      </c>
    </row>
    <row r="1069" spans="1:4" ht="15" customHeight="1">
      <c r="A1069" t="str">
        <f ca="1">IFERROR(__xludf.DUMMYFUNCTION("""COMPUTED_VALUE"""),"AB001413")</f>
        <v>AB001413</v>
      </c>
      <c r="B1069" s="205">
        <f ca="1">IFERROR(__xludf.DUMMYFUNCTION("""COMPUTED_VALUE"""),43677)</f>
        <v>43677</v>
      </c>
      <c r="C1069" t="str">
        <f ca="1">IFERROR(__xludf.DUMMYFUNCTION("""COMPUTED_VALUE"""),"PA000305")</f>
        <v>PA000305</v>
      </c>
      <c r="D1069" t="str">
        <f ca="1">IFERROR(__xludf.DUMMYFUNCTION("""COMPUTED_VALUE"""),"PA000305")</f>
        <v>PA000305</v>
      </c>
    </row>
    <row r="1070" spans="1:4" ht="15" customHeight="1">
      <c r="A1070" t="str">
        <f ca="1">IFERROR(__xludf.DUMMYFUNCTION("""COMPUTED_VALUE"""),"AB001309")</f>
        <v>AB001309</v>
      </c>
      <c r="B1070" s="205">
        <f ca="1">IFERROR(__xludf.DUMMYFUNCTION("""COMPUTED_VALUE"""),43760)</f>
        <v>43760</v>
      </c>
      <c r="C1070" t="str">
        <f ca="1">IFERROR(__xludf.DUMMYFUNCTION("""COMPUTED_VALUE"""),"PA000306")</f>
        <v>PA000306</v>
      </c>
      <c r="D1070" t="str">
        <f ca="1">IFERROR(__xludf.DUMMYFUNCTION("""COMPUTED_VALUE"""),"PA000306")</f>
        <v>PA000306</v>
      </c>
    </row>
    <row r="1071" spans="1:4" ht="15" customHeight="1">
      <c r="A1071" t="str">
        <f ca="1">IFERROR(__xludf.DUMMYFUNCTION("""COMPUTED_VALUE"""),"AA001949")</f>
        <v>AA001949</v>
      </c>
      <c r="B1071" s="205">
        <f ca="1">IFERROR(__xludf.DUMMYFUNCTION("""COMPUTED_VALUE"""),43682)</f>
        <v>43682</v>
      </c>
      <c r="C1071" t="str">
        <f ca="1">IFERROR(__xludf.DUMMYFUNCTION("""COMPUTED_VALUE"""),"PA000307")</f>
        <v>PA000307</v>
      </c>
      <c r="D1071" t="str">
        <f ca="1">IFERROR(__xludf.DUMMYFUNCTION("""COMPUTED_VALUE"""),"PA000307")</f>
        <v>PA000307</v>
      </c>
    </row>
    <row r="1072" spans="1:4" ht="15" customHeight="1">
      <c r="A1072" t="str">
        <f ca="1">IFERROR(__xludf.DUMMYFUNCTION("""COMPUTED_VALUE"""),"AB001400")</f>
        <v>AB001400</v>
      </c>
      <c r="B1072" s="205">
        <f ca="1">IFERROR(__xludf.DUMMYFUNCTION("""COMPUTED_VALUE"""),43679)</f>
        <v>43679</v>
      </c>
      <c r="C1072" t="str">
        <f ca="1">IFERROR(__xludf.DUMMYFUNCTION("""COMPUTED_VALUE"""),"PA000308")</f>
        <v>PA000308</v>
      </c>
      <c r="D1072" t="str">
        <f ca="1">IFERROR(__xludf.DUMMYFUNCTION("""COMPUTED_VALUE"""),"PA000308")</f>
        <v>PA000308</v>
      </c>
    </row>
    <row r="1073" spans="1:4" ht="15" customHeight="1">
      <c r="A1073" t="str">
        <f ca="1">IFERROR(__xludf.DUMMYFUNCTION("""COMPUTED_VALUE"""),"AB001400")</f>
        <v>AB001400</v>
      </c>
      <c r="B1073" s="205">
        <f ca="1">IFERROR(__xludf.DUMMYFUNCTION("""COMPUTED_VALUE"""),43679)</f>
        <v>43679</v>
      </c>
      <c r="C1073" t="str">
        <f ca="1">IFERROR(__xludf.DUMMYFUNCTION("""COMPUTED_VALUE"""),"PA000218")</f>
        <v>PA000218</v>
      </c>
      <c r="D1073" t="str">
        <f ca="1">IFERROR(__xludf.DUMMYFUNCTION("""COMPUTED_VALUE"""),"PA000218")</f>
        <v>PA000218</v>
      </c>
    </row>
    <row r="1074" spans="1:4" ht="15" customHeight="1">
      <c r="A1074" t="str">
        <f ca="1">IFERROR(__xludf.DUMMYFUNCTION("""COMPUTED_VALUE"""),"AB001451")</f>
        <v>AB001451</v>
      </c>
      <c r="B1074" s="205">
        <f ca="1">IFERROR(__xludf.DUMMYFUNCTION("""COMPUTED_VALUE"""),43679)</f>
        <v>43679</v>
      </c>
      <c r="C1074" t="str">
        <f ca="1">IFERROR(__xludf.DUMMYFUNCTION("""COMPUTED_VALUE"""),"PA000309")</f>
        <v>PA000309</v>
      </c>
      <c r="D1074" t="str">
        <f ca="1">IFERROR(__xludf.DUMMYFUNCTION("""COMPUTED_VALUE"""),"PA000309")</f>
        <v>PA000309</v>
      </c>
    </row>
    <row r="1075" spans="1:4" ht="15" customHeight="1">
      <c r="A1075" t="str">
        <f ca="1">IFERROR(__xludf.DUMMYFUNCTION("""COMPUTED_VALUE"""),"AB001453")</f>
        <v>AB001453</v>
      </c>
      <c r="B1075" s="205">
        <f ca="1">IFERROR(__xludf.DUMMYFUNCTION("""COMPUTED_VALUE"""),43679)</f>
        <v>43679</v>
      </c>
      <c r="C1075" t="str">
        <f ca="1">IFERROR(__xludf.DUMMYFUNCTION("""COMPUTED_VALUE"""),"PA000310")</f>
        <v>PA000310</v>
      </c>
      <c r="D1075" t="str">
        <f ca="1">IFERROR(__xludf.DUMMYFUNCTION("""COMPUTED_VALUE"""),"PA000310")</f>
        <v>PA000310</v>
      </c>
    </row>
    <row r="1076" spans="1:4" ht="15" customHeight="1">
      <c r="A1076" t="str">
        <f ca="1">IFERROR(__xludf.DUMMYFUNCTION("""COMPUTED_VALUE"""),"AB001453")</f>
        <v>AB001453</v>
      </c>
      <c r="B1076" t="str">
        <f ca="1">IFERROR(__xludf.DUMMYFUNCTION("""COMPUTED_VALUE"""),"")</f>
        <v/>
      </c>
      <c r="C1076" t="str">
        <f ca="1">IFERROR(__xludf.DUMMYFUNCTION("""COMPUTED_VALUE"""),"PA000217")</f>
        <v>PA000217</v>
      </c>
      <c r="D1076" t="str">
        <f ca="1">IFERROR(__xludf.DUMMYFUNCTION("""COMPUTED_VALUE"""),"PA000217")</f>
        <v>PA000217</v>
      </c>
    </row>
    <row r="1077" spans="1:4" ht="15" customHeight="1">
      <c r="A1077" t="str">
        <f ca="1">IFERROR(__xludf.DUMMYFUNCTION("""COMPUTED_VALUE"""),"AB001452")</f>
        <v>AB001452</v>
      </c>
      <c r="B1077" s="205">
        <f ca="1">IFERROR(__xludf.DUMMYFUNCTION("""COMPUTED_VALUE"""),43679)</f>
        <v>43679</v>
      </c>
      <c r="C1077" t="str">
        <f ca="1">IFERROR(__xludf.DUMMYFUNCTION("""COMPUTED_VALUE"""),"PA000315")</f>
        <v>PA000315</v>
      </c>
      <c r="D1077" t="str">
        <f ca="1">IFERROR(__xludf.DUMMYFUNCTION("""COMPUTED_VALUE"""),"PA000315")</f>
        <v>PA000315</v>
      </c>
    </row>
    <row r="1078" spans="1:4" ht="15" customHeight="1">
      <c r="A1078" t="str">
        <f ca="1">IFERROR(__xludf.DUMMYFUNCTION("""COMPUTED_VALUE"""),"AB001414")</f>
        <v>AB001414</v>
      </c>
      <c r="B1078" s="205">
        <f ca="1">IFERROR(__xludf.DUMMYFUNCTION("""COMPUTED_VALUE"""),43689)</f>
        <v>43689</v>
      </c>
      <c r="C1078" t="str">
        <f ca="1">IFERROR(__xludf.DUMMYFUNCTION("""COMPUTED_VALUE"""),"PA000316")</f>
        <v>PA000316</v>
      </c>
      <c r="D1078" t="str">
        <f ca="1">IFERROR(__xludf.DUMMYFUNCTION("""COMPUTED_VALUE"""),"PA000316")</f>
        <v>PA000316</v>
      </c>
    </row>
    <row r="1079" spans="1:4" ht="15" customHeight="1">
      <c r="A1079" t="str">
        <f ca="1">IFERROR(__xludf.DUMMYFUNCTION("""COMPUTED_VALUE"""),"AB001416")</f>
        <v>AB001416</v>
      </c>
      <c r="B1079" s="205">
        <f ca="1">IFERROR(__xludf.DUMMYFUNCTION("""COMPUTED_VALUE"""),43682)</f>
        <v>43682</v>
      </c>
      <c r="C1079" t="str">
        <f ca="1">IFERROR(__xludf.DUMMYFUNCTION("""COMPUTED_VALUE"""),"PA000185")</f>
        <v>PA000185</v>
      </c>
      <c r="D1079" t="str">
        <f ca="1">IFERROR(__xludf.DUMMYFUNCTION("""COMPUTED_VALUE"""),"PA000185")</f>
        <v>PA000185</v>
      </c>
    </row>
    <row r="1080" spans="1:4" ht="15" customHeight="1">
      <c r="A1080" t="str">
        <f ca="1">IFERROR(__xludf.DUMMYFUNCTION("""COMPUTED_VALUE"""),"AB001416")</f>
        <v>AB001416</v>
      </c>
      <c r="B1080" s="205">
        <f ca="1">IFERROR(__xludf.DUMMYFUNCTION("""COMPUTED_VALUE"""),43682)</f>
        <v>43682</v>
      </c>
      <c r="C1080" t="str">
        <f ca="1">IFERROR(__xludf.DUMMYFUNCTION("""COMPUTED_VALUE"""),"PA000185")</f>
        <v>PA000185</v>
      </c>
      <c r="D1080" t="str">
        <f ca="1">IFERROR(__xludf.DUMMYFUNCTION("""COMPUTED_VALUE"""),"PA000185")</f>
        <v>PA000185</v>
      </c>
    </row>
    <row r="1081" spans="1:4" ht="15" customHeight="1">
      <c r="A1081" t="str">
        <f ca="1">IFERROR(__xludf.DUMMYFUNCTION("""COMPUTED_VALUE"""),"AB001416")</f>
        <v>AB001416</v>
      </c>
      <c r="B1081" s="205">
        <f ca="1">IFERROR(__xludf.DUMMYFUNCTION("""COMPUTED_VALUE"""),43682)</f>
        <v>43682</v>
      </c>
      <c r="C1081" t="str">
        <f ca="1">IFERROR(__xludf.DUMMYFUNCTION("""COMPUTED_VALUE"""),"PA000185")</f>
        <v>PA000185</v>
      </c>
      <c r="D1081" t="str">
        <f ca="1">IFERROR(__xludf.DUMMYFUNCTION("""COMPUTED_VALUE"""),"PA000185")</f>
        <v>PA000185</v>
      </c>
    </row>
    <row r="1082" spans="1:4" ht="15" customHeight="1">
      <c r="A1082" t="str">
        <f ca="1">IFERROR(__xludf.DUMMYFUNCTION("""COMPUTED_VALUE"""),"AB001454")</f>
        <v>AB001454</v>
      </c>
      <c r="B1082" s="205">
        <f ca="1">IFERROR(__xludf.DUMMYFUNCTION("""COMPUTED_VALUE"""),43682)</f>
        <v>43682</v>
      </c>
      <c r="C1082" t="str">
        <f ca="1">IFERROR(__xludf.DUMMYFUNCTION("""COMPUTED_VALUE"""),"PA000185")</f>
        <v>PA000185</v>
      </c>
      <c r="D1082" t="str">
        <f ca="1">IFERROR(__xludf.DUMMYFUNCTION("""COMPUTED_VALUE"""),"PA000185")</f>
        <v>PA000185</v>
      </c>
    </row>
    <row r="1083" spans="1:4" ht="15" customHeight="1">
      <c r="A1083" t="str">
        <f ca="1">IFERROR(__xludf.DUMMYFUNCTION("""COMPUTED_VALUE"""),"AB001415")</f>
        <v>AB001415</v>
      </c>
      <c r="B1083" s="205">
        <f ca="1">IFERROR(__xludf.DUMMYFUNCTION("""COMPUTED_VALUE"""),43684)</f>
        <v>43684</v>
      </c>
      <c r="C1083" t="str">
        <f ca="1">IFERROR(__xludf.DUMMYFUNCTION("""COMPUTED_VALUE"""),"PA000185")</f>
        <v>PA000185</v>
      </c>
      <c r="D1083" t="str">
        <f ca="1">IFERROR(__xludf.DUMMYFUNCTION("""COMPUTED_VALUE"""),"PA000185")</f>
        <v>PA000185</v>
      </c>
    </row>
    <row r="1084" spans="1:4" ht="15" customHeight="1">
      <c r="A1084" t="str">
        <f ca="1">IFERROR(__xludf.DUMMYFUNCTION("""COMPUTED_VALUE"""),"AB001417")</f>
        <v>AB001417</v>
      </c>
      <c r="B1084" s="205">
        <f ca="1">IFERROR(__xludf.DUMMYFUNCTION("""COMPUTED_VALUE"""),43689)</f>
        <v>43689</v>
      </c>
      <c r="C1084" t="str">
        <f ca="1">IFERROR(__xludf.DUMMYFUNCTION("""COMPUTED_VALUE"""),"PA000185")</f>
        <v>PA000185</v>
      </c>
      <c r="D1084" t="str">
        <f ca="1">IFERROR(__xludf.DUMMYFUNCTION("""COMPUTED_VALUE"""),"PA000185")</f>
        <v>PA000185</v>
      </c>
    </row>
    <row r="1085" spans="1:4" ht="15" customHeight="1">
      <c r="A1085" t="str">
        <f ca="1">IFERROR(__xludf.DUMMYFUNCTION("""COMPUTED_VALUE"""),"AB001465")</f>
        <v>AB001465</v>
      </c>
      <c r="B1085" s="205">
        <f ca="1">IFERROR(__xludf.DUMMYFUNCTION("""COMPUTED_VALUE"""),43685)</f>
        <v>43685</v>
      </c>
      <c r="C1085" t="str">
        <f ca="1">IFERROR(__xludf.DUMMYFUNCTION("""COMPUTED_VALUE"""),"PA000185")</f>
        <v>PA000185</v>
      </c>
      <c r="D1085" t="str">
        <f ca="1">IFERROR(__xludf.DUMMYFUNCTION("""COMPUTED_VALUE"""),"PA000185")</f>
        <v>PA000185</v>
      </c>
    </row>
    <row r="1086" spans="1:4" ht="15" customHeight="1">
      <c r="A1086" t="str">
        <f ca="1">IFERROR(__xludf.DUMMYFUNCTION("""COMPUTED_VALUE"""),"AB001466")</f>
        <v>AB001466</v>
      </c>
      <c r="B1086" s="205">
        <f ca="1">IFERROR(__xludf.DUMMYFUNCTION("""COMPUTED_VALUE"""),43685)</f>
        <v>43685</v>
      </c>
      <c r="C1086" t="str">
        <f ca="1">IFERROR(__xludf.DUMMYFUNCTION("""COMPUTED_VALUE"""),"PA000185")</f>
        <v>PA000185</v>
      </c>
      <c r="D1086" t="str">
        <f ca="1">IFERROR(__xludf.DUMMYFUNCTION("""COMPUTED_VALUE"""),"PA000185")</f>
        <v>PA000185</v>
      </c>
    </row>
    <row r="1087" spans="1:4" ht="15" customHeight="1">
      <c r="A1087" t="str">
        <f ca="1">IFERROR(__xludf.DUMMYFUNCTION("""COMPUTED_VALUE"""),"AB001467")</f>
        <v>AB001467</v>
      </c>
      <c r="B1087" s="205">
        <f ca="1">IFERROR(__xludf.DUMMYFUNCTION("""COMPUTED_VALUE"""),43685)</f>
        <v>43685</v>
      </c>
      <c r="C1087" t="str">
        <f ca="1">IFERROR(__xludf.DUMMYFUNCTION("""COMPUTED_VALUE"""),"PA000185")</f>
        <v>PA000185</v>
      </c>
      <c r="D1087" t="str">
        <f ca="1">IFERROR(__xludf.DUMMYFUNCTION("""COMPUTED_VALUE"""),"PA000185")</f>
        <v>PA000185</v>
      </c>
    </row>
    <row r="1088" spans="1:4" ht="15" customHeight="1">
      <c r="A1088" t="str">
        <f ca="1">IFERROR(__xludf.DUMMYFUNCTION("""COMPUTED_VALUE"""),"AB001468")</f>
        <v>AB001468</v>
      </c>
      <c r="B1088" s="205">
        <f ca="1">IFERROR(__xludf.DUMMYFUNCTION("""COMPUTED_VALUE"""),43691)</f>
        <v>43691</v>
      </c>
      <c r="C1088" t="str">
        <f ca="1">IFERROR(__xludf.DUMMYFUNCTION("""COMPUTED_VALUE"""),"PA000185")</f>
        <v>PA000185</v>
      </c>
      <c r="D1088" t="str">
        <f ca="1">IFERROR(__xludf.DUMMYFUNCTION("""COMPUTED_VALUE"""),"PA000185")</f>
        <v>PA000185</v>
      </c>
    </row>
    <row r="1089" spans="1:4" ht="15" customHeight="1">
      <c r="A1089" t="str">
        <f ca="1">IFERROR(__xludf.DUMMYFUNCTION("""COMPUTED_VALUE"""),"AB001455")</f>
        <v>AB001455</v>
      </c>
      <c r="B1089" s="205">
        <f ca="1">IFERROR(__xludf.DUMMYFUNCTION("""COMPUTED_VALUE"""),43692)</f>
        <v>43692</v>
      </c>
      <c r="C1089" t="str">
        <f ca="1">IFERROR(__xludf.DUMMYFUNCTION("""COMPUTED_VALUE"""),"PA000185")</f>
        <v>PA000185</v>
      </c>
      <c r="D1089" t="str">
        <f ca="1">IFERROR(__xludf.DUMMYFUNCTION("""COMPUTED_VALUE"""),"PA000185")</f>
        <v>PA000185</v>
      </c>
    </row>
    <row r="1090" spans="1:4" ht="15" customHeight="1">
      <c r="A1090" t="str">
        <f ca="1">IFERROR(__xludf.DUMMYFUNCTION("""COMPUTED_VALUE"""),"AB001455")</f>
        <v>AB001455</v>
      </c>
      <c r="B1090" s="205">
        <f ca="1">IFERROR(__xludf.DUMMYFUNCTION("""COMPUTED_VALUE"""),43692)</f>
        <v>43692</v>
      </c>
      <c r="C1090" t="str">
        <f ca="1">IFERROR(__xludf.DUMMYFUNCTION("""COMPUTED_VALUE"""),"PA000185")</f>
        <v>PA000185</v>
      </c>
      <c r="D1090" t="str">
        <f ca="1">IFERROR(__xludf.DUMMYFUNCTION("""COMPUTED_VALUE"""),"PA000185")</f>
        <v>PA000185</v>
      </c>
    </row>
    <row r="1091" spans="1:4" ht="15" customHeight="1">
      <c r="A1091" t="str">
        <f ca="1">IFERROR(__xludf.DUMMYFUNCTION("""COMPUTED_VALUE"""),"AB001455")</f>
        <v>AB001455</v>
      </c>
      <c r="B1091" s="205">
        <f ca="1">IFERROR(__xludf.DUMMYFUNCTION("""COMPUTED_VALUE"""),43692)</f>
        <v>43692</v>
      </c>
      <c r="C1091" t="str">
        <f ca="1">IFERROR(__xludf.DUMMYFUNCTION("""COMPUTED_VALUE"""),"PA000185")</f>
        <v>PA000185</v>
      </c>
      <c r="D1091" t="str">
        <f ca="1">IFERROR(__xludf.DUMMYFUNCTION("""COMPUTED_VALUE"""),"PA000185")</f>
        <v>PA000185</v>
      </c>
    </row>
    <row r="1092" spans="1:4" ht="15" customHeight="1">
      <c r="A1092" t="str">
        <f ca="1">IFERROR(__xludf.DUMMYFUNCTION("""COMPUTED_VALUE"""),"AB001455")</f>
        <v>AB001455</v>
      </c>
      <c r="B1092" s="205">
        <f ca="1">IFERROR(__xludf.DUMMYFUNCTION("""COMPUTED_VALUE"""),43692)</f>
        <v>43692</v>
      </c>
      <c r="C1092" t="str">
        <f ca="1">IFERROR(__xludf.DUMMYFUNCTION("""COMPUTED_VALUE"""),"PA000185")</f>
        <v>PA000185</v>
      </c>
      <c r="D1092" t="str">
        <f ca="1">IFERROR(__xludf.DUMMYFUNCTION("""COMPUTED_VALUE"""),"PA000185")</f>
        <v>PA000185</v>
      </c>
    </row>
    <row r="1093" spans="1:4" ht="15" customHeight="1">
      <c r="A1093" t="str">
        <f ca="1">IFERROR(__xludf.DUMMYFUNCTION("""COMPUTED_VALUE"""),"AB001455")</f>
        <v>AB001455</v>
      </c>
      <c r="B1093" s="205">
        <f ca="1">IFERROR(__xludf.DUMMYFUNCTION("""COMPUTED_VALUE"""),43692)</f>
        <v>43692</v>
      </c>
      <c r="C1093" t="str">
        <f ca="1">IFERROR(__xludf.DUMMYFUNCTION("""COMPUTED_VALUE"""),"PA000295")</f>
        <v>PA000295</v>
      </c>
      <c r="D1093" t="str">
        <f ca="1">IFERROR(__xludf.DUMMYFUNCTION("""COMPUTED_VALUE"""),"PA000295")</f>
        <v>PA000295</v>
      </c>
    </row>
    <row r="1094" spans="1:4" ht="15" customHeight="1">
      <c r="A1094" t="str">
        <f ca="1">IFERROR(__xludf.DUMMYFUNCTION("""COMPUTED_VALUE"""),"AB001455")</f>
        <v>AB001455</v>
      </c>
      <c r="B1094" s="205">
        <f ca="1">IFERROR(__xludf.DUMMYFUNCTION("""COMPUTED_VALUE"""),43692)</f>
        <v>43692</v>
      </c>
      <c r="C1094" t="str">
        <f ca="1">IFERROR(__xludf.DUMMYFUNCTION("""COMPUTED_VALUE"""),"PA000296")</f>
        <v>PA000296</v>
      </c>
      <c r="D1094" t="str">
        <f ca="1">IFERROR(__xludf.DUMMYFUNCTION("""COMPUTED_VALUE"""),"PA000296")</f>
        <v>PA000296</v>
      </c>
    </row>
    <row r="1095" spans="1:4" ht="15" customHeight="1">
      <c r="A1095" t="str">
        <f ca="1">IFERROR(__xludf.DUMMYFUNCTION("""COMPUTED_VALUE"""),"AB001455")</f>
        <v>AB001455</v>
      </c>
      <c r="B1095" s="205">
        <f ca="1">IFERROR(__xludf.DUMMYFUNCTION("""COMPUTED_VALUE"""),43692)</f>
        <v>43692</v>
      </c>
      <c r="C1095" t="str">
        <f ca="1">IFERROR(__xludf.DUMMYFUNCTION("""COMPUTED_VALUE"""),"PA000321")</f>
        <v>PA000321</v>
      </c>
      <c r="D1095" t="str">
        <f ca="1">IFERROR(__xludf.DUMMYFUNCTION("""COMPUTED_VALUE"""),"PA000321")</f>
        <v>PA000321</v>
      </c>
    </row>
    <row r="1096" spans="1:4" ht="15" customHeight="1">
      <c r="A1096" t="str">
        <f ca="1">IFERROR(__xludf.DUMMYFUNCTION("""COMPUTED_VALUE"""),"AB001455")</f>
        <v>AB001455</v>
      </c>
      <c r="B1096" s="205">
        <f ca="1">IFERROR(__xludf.DUMMYFUNCTION("""COMPUTED_VALUE"""),43692)</f>
        <v>43692</v>
      </c>
      <c r="C1096" t="str">
        <f ca="1">IFERROR(__xludf.DUMMYFUNCTION("""COMPUTED_VALUE"""),"PA000221")</f>
        <v>PA000221</v>
      </c>
      <c r="D1096" t="str">
        <f ca="1">IFERROR(__xludf.DUMMYFUNCTION("""COMPUTED_VALUE"""),"PA000221")</f>
        <v>PA000221</v>
      </c>
    </row>
    <row r="1097" spans="1:4" ht="15" customHeight="1">
      <c r="A1097" t="str">
        <f ca="1">IFERROR(__xludf.DUMMYFUNCTION("""COMPUTED_VALUE"""),"AB001455")</f>
        <v>AB001455</v>
      </c>
      <c r="B1097" s="205">
        <f ca="1">IFERROR(__xludf.DUMMYFUNCTION("""COMPUTED_VALUE"""),43692)</f>
        <v>43692</v>
      </c>
      <c r="C1097" t="str">
        <f ca="1">IFERROR(__xludf.DUMMYFUNCTION("""COMPUTED_VALUE"""),"PA000220")</f>
        <v>PA000220</v>
      </c>
      <c r="D1097" t="str">
        <f ca="1">IFERROR(__xludf.DUMMYFUNCTION("""COMPUTED_VALUE"""),"PA000220")</f>
        <v>PA000220</v>
      </c>
    </row>
    <row r="1098" spans="1:4" ht="15" customHeight="1">
      <c r="A1098" t="str">
        <f ca="1">IFERROR(__xludf.DUMMYFUNCTION("""COMPUTED_VALUE"""),"AB001455")</f>
        <v>AB001455</v>
      </c>
      <c r="B1098" s="205">
        <f ca="1">IFERROR(__xludf.DUMMYFUNCTION("""COMPUTED_VALUE"""),43692)</f>
        <v>43692</v>
      </c>
      <c r="C1098" t="str">
        <f ca="1">IFERROR(__xludf.DUMMYFUNCTION("""COMPUTED_VALUE"""),"PA000282")</f>
        <v>PA000282</v>
      </c>
      <c r="D1098" t="str">
        <f ca="1">IFERROR(__xludf.DUMMYFUNCTION("""COMPUTED_VALUE"""),"PA000282")</f>
        <v>PA000282</v>
      </c>
    </row>
    <row r="1099" spans="1:4" ht="15" customHeight="1">
      <c r="A1099" t="str">
        <f ca="1">IFERROR(__xludf.DUMMYFUNCTION("""COMPUTED_VALUE"""),"AB001455")</f>
        <v>AB001455</v>
      </c>
      <c r="B1099" s="205">
        <f ca="1">IFERROR(__xludf.DUMMYFUNCTION("""COMPUTED_VALUE"""),43692)</f>
        <v>43692</v>
      </c>
      <c r="C1099" t="str">
        <f ca="1">IFERROR(__xludf.DUMMYFUNCTION("""COMPUTED_VALUE"""),"PA000322")</f>
        <v>PA000322</v>
      </c>
      <c r="D1099" t="str">
        <f ca="1">IFERROR(__xludf.DUMMYFUNCTION("""COMPUTED_VALUE"""),"PA000322")</f>
        <v>PA000322</v>
      </c>
    </row>
    <row r="1100" spans="1:4" ht="15" customHeight="1">
      <c r="A1100" t="str">
        <f ca="1">IFERROR(__xludf.DUMMYFUNCTION("""COMPUTED_VALUE"""),"AB001455")</f>
        <v>AB001455</v>
      </c>
      <c r="B1100" s="205">
        <f ca="1">IFERROR(__xludf.DUMMYFUNCTION("""COMPUTED_VALUE"""),43692)</f>
        <v>43692</v>
      </c>
      <c r="C1100" t="str">
        <f ca="1">IFERROR(__xludf.DUMMYFUNCTION("""COMPUTED_VALUE"""),"PA000323")</f>
        <v>PA000323</v>
      </c>
      <c r="D1100" t="str">
        <f ca="1">IFERROR(__xludf.DUMMYFUNCTION("""COMPUTED_VALUE"""),"PA000323")</f>
        <v>PA000323</v>
      </c>
    </row>
    <row r="1101" spans="1:4" ht="15" customHeight="1">
      <c r="A1101" t="str">
        <f ca="1">IFERROR(__xludf.DUMMYFUNCTION("""COMPUTED_VALUE"""),"AB001455")</f>
        <v>AB001455</v>
      </c>
      <c r="B1101" s="205">
        <f ca="1">IFERROR(__xludf.DUMMYFUNCTION("""COMPUTED_VALUE"""),43692)</f>
        <v>43692</v>
      </c>
      <c r="C1101" t="str">
        <f ca="1">IFERROR(__xludf.DUMMYFUNCTION("""COMPUTED_VALUE"""),"PA000324")</f>
        <v>PA000324</v>
      </c>
      <c r="D1101" t="str">
        <f ca="1">IFERROR(__xludf.DUMMYFUNCTION("""COMPUTED_VALUE"""),"PA000324")</f>
        <v>PA000324</v>
      </c>
    </row>
    <row r="1102" spans="1:4" ht="15" customHeight="1">
      <c r="A1102" t="str">
        <f ca="1">IFERROR(__xludf.DUMMYFUNCTION("""COMPUTED_VALUE"""),"AB001455")</f>
        <v>AB001455</v>
      </c>
      <c r="B1102" s="205">
        <f ca="1">IFERROR(__xludf.DUMMYFUNCTION("""COMPUTED_VALUE"""),43692)</f>
        <v>43692</v>
      </c>
      <c r="C1102" t="str">
        <f ca="1">IFERROR(__xludf.DUMMYFUNCTION("""COMPUTED_VALUE"""),"PA000324")</f>
        <v>PA000324</v>
      </c>
      <c r="D1102" t="str">
        <f ca="1">IFERROR(__xludf.DUMMYFUNCTION("""COMPUTED_VALUE"""),"PA000324")</f>
        <v>PA000324</v>
      </c>
    </row>
    <row r="1103" spans="1:4" ht="15" customHeight="1">
      <c r="A1103" t="str">
        <f ca="1">IFERROR(__xludf.DUMMYFUNCTION("""COMPUTED_VALUE"""),"AB001455")</f>
        <v>AB001455</v>
      </c>
      <c r="B1103" s="205">
        <f ca="1">IFERROR(__xludf.DUMMYFUNCTION("""COMPUTED_VALUE"""),43692)</f>
        <v>43692</v>
      </c>
      <c r="C1103" t="str">
        <f ca="1">IFERROR(__xludf.DUMMYFUNCTION("""COMPUTED_VALUE"""),"PA000326")</f>
        <v>PA000326</v>
      </c>
      <c r="D1103" t="str">
        <f ca="1">IFERROR(__xludf.DUMMYFUNCTION("""COMPUTED_VALUE"""),"PA000326")</f>
        <v>PA000326</v>
      </c>
    </row>
    <row r="1104" spans="1:4" ht="15" customHeight="1">
      <c r="A1104" t="str">
        <f ca="1">IFERROR(__xludf.DUMMYFUNCTION("""COMPUTED_VALUE"""),"AB001456")</f>
        <v>AB001456</v>
      </c>
      <c r="B1104" s="205">
        <f ca="1">IFERROR(__xludf.DUMMYFUNCTION("""COMPUTED_VALUE"""),43692)</f>
        <v>43692</v>
      </c>
      <c r="C1104" t="str">
        <f ca="1">IFERROR(__xludf.DUMMYFUNCTION("""COMPUTED_VALUE"""),"PA000328")</f>
        <v>PA000328</v>
      </c>
      <c r="D1104" t="str">
        <f ca="1">IFERROR(__xludf.DUMMYFUNCTION("""COMPUTED_VALUE"""),"PA000328")</f>
        <v>PA000328</v>
      </c>
    </row>
    <row r="1105" spans="1:4" ht="15" customHeight="1">
      <c r="A1105" t="str">
        <f ca="1">IFERROR(__xludf.DUMMYFUNCTION("""COMPUTED_VALUE"""),"AB001456")</f>
        <v>AB001456</v>
      </c>
      <c r="B1105" s="205">
        <f ca="1">IFERROR(__xludf.DUMMYFUNCTION("""COMPUTED_VALUE"""),43692)</f>
        <v>43692</v>
      </c>
      <c r="C1105" t="str">
        <f ca="1">IFERROR(__xludf.DUMMYFUNCTION("""COMPUTED_VALUE"""),"PA000222")</f>
        <v>PA000222</v>
      </c>
      <c r="D1105" t="str">
        <f ca="1">IFERROR(__xludf.DUMMYFUNCTION("""COMPUTED_VALUE"""),"PA000222")</f>
        <v>PA000222</v>
      </c>
    </row>
    <row r="1106" spans="1:4" ht="15" customHeight="1">
      <c r="A1106" t="str">
        <f ca="1">IFERROR(__xludf.DUMMYFUNCTION("""COMPUTED_VALUE"""),"AB001456")</f>
        <v>AB001456</v>
      </c>
      <c r="B1106" s="205">
        <f ca="1">IFERROR(__xludf.DUMMYFUNCTION("""COMPUTED_VALUE"""),43692)</f>
        <v>43692</v>
      </c>
      <c r="C1106" t="str">
        <f ca="1">IFERROR(__xludf.DUMMYFUNCTION("""COMPUTED_VALUE"""),"PA000329")</f>
        <v>PA000329</v>
      </c>
      <c r="D1106" t="str">
        <f ca="1">IFERROR(__xludf.DUMMYFUNCTION("""COMPUTED_VALUE"""),"PA000329")</f>
        <v>PA000329</v>
      </c>
    </row>
    <row r="1107" spans="1:4" ht="15" customHeight="1">
      <c r="A1107" t="str">
        <f ca="1">IFERROR(__xludf.DUMMYFUNCTION("""COMPUTED_VALUE"""),"AB001456")</f>
        <v>AB001456</v>
      </c>
      <c r="B1107" s="205">
        <f ca="1">IFERROR(__xludf.DUMMYFUNCTION("""COMPUTED_VALUE"""),43692)</f>
        <v>43692</v>
      </c>
      <c r="C1107" t="str">
        <f ca="1">IFERROR(__xludf.DUMMYFUNCTION("""COMPUTED_VALUE"""),"PA000329")</f>
        <v>PA000329</v>
      </c>
      <c r="D1107" t="str">
        <f ca="1">IFERROR(__xludf.DUMMYFUNCTION("""COMPUTED_VALUE"""),"PA000329")</f>
        <v>PA000329</v>
      </c>
    </row>
    <row r="1108" spans="1:4" ht="15" customHeight="1">
      <c r="A1108" t="str">
        <f ca="1">IFERROR(__xludf.DUMMYFUNCTION("""COMPUTED_VALUE"""),"AB001456")</f>
        <v>AB001456</v>
      </c>
      <c r="B1108" s="205">
        <f ca="1">IFERROR(__xludf.DUMMYFUNCTION("""COMPUTED_VALUE"""),43692)</f>
        <v>43692</v>
      </c>
      <c r="C1108" t="str">
        <f ca="1">IFERROR(__xludf.DUMMYFUNCTION("""COMPUTED_VALUE"""),"PA000330")</f>
        <v>PA000330</v>
      </c>
      <c r="D1108" t="str">
        <f ca="1">IFERROR(__xludf.DUMMYFUNCTION("""COMPUTED_VALUE"""),"PA000330")</f>
        <v>PA000330</v>
      </c>
    </row>
    <row r="1109" spans="1:4" ht="15" customHeight="1">
      <c r="A1109" t="str">
        <f ca="1">IFERROR(__xludf.DUMMYFUNCTION("""COMPUTED_VALUE"""),"AB001456")</f>
        <v>AB001456</v>
      </c>
      <c r="B1109" s="205">
        <f ca="1">IFERROR(__xludf.DUMMYFUNCTION("""COMPUTED_VALUE"""),43692)</f>
        <v>43692</v>
      </c>
      <c r="C1109" t="str">
        <f ca="1">IFERROR(__xludf.DUMMYFUNCTION("""COMPUTED_VALUE"""),"PA000283")</f>
        <v>PA000283</v>
      </c>
      <c r="D1109" t="str">
        <f ca="1">IFERROR(__xludf.DUMMYFUNCTION("""COMPUTED_VALUE"""),"PA000283")</f>
        <v>PA000283</v>
      </c>
    </row>
    <row r="1110" spans="1:4" ht="15" customHeight="1">
      <c r="A1110" t="str">
        <f ca="1">IFERROR(__xludf.DUMMYFUNCTION("""COMPUTED_VALUE"""),"AB001456")</f>
        <v>AB001456</v>
      </c>
      <c r="B1110" s="205">
        <f ca="1">IFERROR(__xludf.DUMMYFUNCTION("""COMPUTED_VALUE"""),43692)</f>
        <v>43692</v>
      </c>
      <c r="C1110" t="str">
        <f ca="1">IFERROR(__xludf.DUMMYFUNCTION("""COMPUTED_VALUE"""),"PA000331")</f>
        <v>PA000331</v>
      </c>
      <c r="D1110" t="str">
        <f ca="1">IFERROR(__xludf.DUMMYFUNCTION("""COMPUTED_VALUE"""),"PA000331")</f>
        <v>PA000331</v>
      </c>
    </row>
    <row r="1111" spans="1:4" ht="15" customHeight="1">
      <c r="A1111" t="str">
        <f ca="1">IFERROR(__xludf.DUMMYFUNCTION("""COMPUTED_VALUE"""),"AB001456")</f>
        <v>AB001456</v>
      </c>
      <c r="B1111" s="205">
        <f ca="1">IFERROR(__xludf.DUMMYFUNCTION("""COMPUTED_VALUE"""),43692)</f>
        <v>43692</v>
      </c>
      <c r="C1111" t="str">
        <f ca="1">IFERROR(__xludf.DUMMYFUNCTION("""COMPUTED_VALUE"""),"PA000331")</f>
        <v>PA000331</v>
      </c>
      <c r="D1111" t="str">
        <f ca="1">IFERROR(__xludf.DUMMYFUNCTION("""COMPUTED_VALUE"""),"PA000331")</f>
        <v>PA000331</v>
      </c>
    </row>
    <row r="1112" spans="1:4" ht="15" customHeight="1">
      <c r="A1112" t="str">
        <f ca="1">IFERROR(__xludf.DUMMYFUNCTION("""COMPUTED_VALUE"""),"AB001456")</f>
        <v>AB001456</v>
      </c>
      <c r="B1112" s="205">
        <f ca="1">IFERROR(__xludf.DUMMYFUNCTION("""COMPUTED_VALUE"""),43692)</f>
        <v>43692</v>
      </c>
      <c r="C1112" t="str">
        <f ca="1">IFERROR(__xludf.DUMMYFUNCTION("""COMPUTED_VALUE"""),"PA000331")</f>
        <v>PA000331</v>
      </c>
      <c r="D1112" t="str">
        <f ca="1">IFERROR(__xludf.DUMMYFUNCTION("""COMPUTED_VALUE"""),"PA000331")</f>
        <v>PA000331</v>
      </c>
    </row>
    <row r="1113" spans="1:4" ht="15" customHeight="1">
      <c r="A1113" t="str">
        <f ca="1">IFERROR(__xludf.DUMMYFUNCTION("""COMPUTED_VALUE"""),"AB001456")</f>
        <v>AB001456</v>
      </c>
      <c r="B1113" s="205">
        <f ca="1">IFERROR(__xludf.DUMMYFUNCTION("""COMPUTED_VALUE"""),43692)</f>
        <v>43692</v>
      </c>
      <c r="C1113" t="str">
        <f ca="1">IFERROR(__xludf.DUMMYFUNCTION("""COMPUTED_VALUE"""),"PA000327")</f>
        <v>PA000327</v>
      </c>
      <c r="D1113" t="str">
        <f ca="1">IFERROR(__xludf.DUMMYFUNCTION("""COMPUTED_VALUE"""),"PA000327")</f>
        <v>PA000327</v>
      </c>
    </row>
    <row r="1114" spans="1:4" ht="15" customHeight="1">
      <c r="A1114" t="str">
        <f ca="1">IFERROR(__xludf.DUMMYFUNCTION("""COMPUTED_VALUE"""),"AB001456")</f>
        <v>AB001456</v>
      </c>
      <c r="B1114" s="205">
        <f ca="1">IFERROR(__xludf.DUMMYFUNCTION("""COMPUTED_VALUE"""),43692)</f>
        <v>43692</v>
      </c>
      <c r="C1114" t="str">
        <f ca="1">IFERROR(__xludf.DUMMYFUNCTION("""COMPUTED_VALUE"""),"PA000327")</f>
        <v>PA000327</v>
      </c>
      <c r="D1114" t="str">
        <f ca="1">IFERROR(__xludf.DUMMYFUNCTION("""COMPUTED_VALUE"""),"PA000327")</f>
        <v>PA000327</v>
      </c>
    </row>
    <row r="1115" spans="1:4" ht="15" customHeight="1">
      <c r="A1115" t="str">
        <f ca="1">IFERROR(__xludf.DUMMYFUNCTION("""COMPUTED_VALUE"""),"AB001456")</f>
        <v>AB001456</v>
      </c>
      <c r="B1115" s="205">
        <f ca="1">IFERROR(__xludf.DUMMYFUNCTION("""COMPUTED_VALUE"""),43692)</f>
        <v>43692</v>
      </c>
      <c r="C1115" t="str">
        <f ca="1">IFERROR(__xludf.DUMMYFUNCTION("""COMPUTED_VALUE"""),"PA000214")</f>
        <v>PA000214</v>
      </c>
      <c r="D1115" t="str">
        <f ca="1">IFERROR(__xludf.DUMMYFUNCTION("""COMPUTED_VALUE"""),"PA000214")</f>
        <v>PA000214</v>
      </c>
    </row>
    <row r="1116" spans="1:4" ht="15" customHeight="1">
      <c r="A1116" t="str">
        <f ca="1">IFERROR(__xludf.DUMMYFUNCTION("""COMPUTED_VALUE"""),"AB001456")</f>
        <v>AB001456</v>
      </c>
      <c r="B1116" s="205">
        <f ca="1">IFERROR(__xludf.DUMMYFUNCTION("""COMPUTED_VALUE"""),43692)</f>
        <v>43692</v>
      </c>
      <c r="C1116" t="str">
        <f ca="1">IFERROR(__xludf.DUMMYFUNCTION("""COMPUTED_VALUE"""),"PA000214")</f>
        <v>PA000214</v>
      </c>
      <c r="D1116" t="str">
        <f ca="1">IFERROR(__xludf.DUMMYFUNCTION("""COMPUTED_VALUE"""),"PA000214")</f>
        <v>PA000214</v>
      </c>
    </row>
    <row r="1117" spans="1:4" ht="15" customHeight="1">
      <c r="A1117" t="str">
        <f ca="1">IFERROR(__xludf.DUMMYFUNCTION("""COMPUTED_VALUE"""),"AB001456")</f>
        <v>AB001456</v>
      </c>
      <c r="B1117" s="205">
        <f ca="1">IFERROR(__xludf.DUMMYFUNCTION("""COMPUTED_VALUE"""),43692)</f>
        <v>43692</v>
      </c>
      <c r="C1117" t="str">
        <f ca="1">IFERROR(__xludf.DUMMYFUNCTION("""COMPUTED_VALUE"""),"PA000334")</f>
        <v>PA000334</v>
      </c>
      <c r="D1117" t="str">
        <f ca="1">IFERROR(__xludf.DUMMYFUNCTION("""COMPUTED_VALUE"""),"PA000334")</f>
        <v>PA000334</v>
      </c>
    </row>
    <row r="1118" spans="1:4" ht="15" customHeight="1">
      <c r="A1118" t="str">
        <f ca="1">IFERROR(__xludf.DUMMYFUNCTION("""COMPUTED_VALUE"""),"AB001456")</f>
        <v>AB001456</v>
      </c>
      <c r="B1118" s="205">
        <f ca="1">IFERROR(__xludf.DUMMYFUNCTION("""COMPUTED_VALUE"""),43692)</f>
        <v>43692</v>
      </c>
      <c r="C1118" t="str">
        <f ca="1">IFERROR(__xludf.DUMMYFUNCTION("""COMPUTED_VALUE"""),"PA000337")</f>
        <v>PA000337</v>
      </c>
      <c r="D1118" t="str">
        <f ca="1">IFERROR(__xludf.DUMMYFUNCTION("""COMPUTED_VALUE"""),"PA000337")</f>
        <v>PA000337</v>
      </c>
    </row>
    <row r="1119" spans="1:4" ht="15" customHeight="1">
      <c r="A1119" t="str">
        <f ca="1">IFERROR(__xludf.DUMMYFUNCTION("""COMPUTED_VALUE"""),"AB001456")</f>
        <v>AB001456</v>
      </c>
      <c r="B1119" s="205">
        <f ca="1">IFERROR(__xludf.DUMMYFUNCTION("""COMPUTED_VALUE"""),43692)</f>
        <v>43692</v>
      </c>
      <c r="C1119" t="str">
        <f ca="1">IFERROR(__xludf.DUMMYFUNCTION("""COMPUTED_VALUE"""),"PA000336")</f>
        <v>PA000336</v>
      </c>
      <c r="D1119" t="str">
        <f ca="1">IFERROR(__xludf.DUMMYFUNCTION("""COMPUTED_VALUE"""),"PA000336")</f>
        <v>PA000336</v>
      </c>
    </row>
    <row r="1120" spans="1:4" ht="15" customHeight="1">
      <c r="A1120" t="str">
        <f ca="1">IFERROR(__xludf.DUMMYFUNCTION("""COMPUTED_VALUE"""),"AB001457")</f>
        <v>AB001457</v>
      </c>
      <c r="B1120" s="205">
        <f ca="1">IFERROR(__xludf.DUMMYFUNCTION("""COMPUTED_VALUE"""),43706)</f>
        <v>43706</v>
      </c>
      <c r="C1120" t="str">
        <f ca="1">IFERROR(__xludf.DUMMYFUNCTION("""COMPUTED_VALUE"""),"PA000226")</f>
        <v>PA000226</v>
      </c>
      <c r="D1120" t="str">
        <f ca="1">IFERROR(__xludf.DUMMYFUNCTION("""COMPUTED_VALUE"""),"PA000226")</f>
        <v>PA000226</v>
      </c>
    </row>
    <row r="1121" spans="1:4" ht="15" customHeight="1">
      <c r="A1121" t="str">
        <f ca="1">IFERROR(__xludf.DUMMYFUNCTION("""COMPUTED_VALUE"""),"AB001457")</f>
        <v>AB001457</v>
      </c>
      <c r="B1121" s="205">
        <f ca="1">IFERROR(__xludf.DUMMYFUNCTION("""COMPUTED_VALUE"""),43706)</f>
        <v>43706</v>
      </c>
      <c r="C1121" t="str">
        <f ca="1">IFERROR(__xludf.DUMMYFUNCTION("""COMPUTED_VALUE"""),"PA000227")</f>
        <v>PA000227</v>
      </c>
      <c r="D1121" t="str">
        <f ca="1">IFERROR(__xludf.DUMMYFUNCTION("""COMPUTED_VALUE"""),"PA000227")</f>
        <v>PA000227</v>
      </c>
    </row>
    <row r="1122" spans="1:4" ht="15" customHeight="1">
      <c r="A1122" t="str">
        <f ca="1">IFERROR(__xludf.DUMMYFUNCTION("""COMPUTED_VALUE"""),"AB001457")</f>
        <v>AB001457</v>
      </c>
      <c r="B1122" s="205">
        <f ca="1">IFERROR(__xludf.DUMMYFUNCTION("""COMPUTED_VALUE"""),43706)</f>
        <v>43706</v>
      </c>
      <c r="C1122" t="str">
        <f ca="1">IFERROR(__xludf.DUMMYFUNCTION("""COMPUTED_VALUE"""),"PA000339")</f>
        <v>PA000339</v>
      </c>
      <c r="D1122" t="str">
        <f ca="1">IFERROR(__xludf.DUMMYFUNCTION("""COMPUTED_VALUE"""),"PA000339")</f>
        <v>PA000339</v>
      </c>
    </row>
    <row r="1123" spans="1:4" ht="15" customHeight="1">
      <c r="A1123" t="str">
        <f ca="1">IFERROR(__xludf.DUMMYFUNCTION("""COMPUTED_VALUE"""),"AB001457")</f>
        <v>AB001457</v>
      </c>
      <c r="B1123" s="205">
        <f ca="1">IFERROR(__xludf.DUMMYFUNCTION("""COMPUTED_VALUE"""),43706)</f>
        <v>43706</v>
      </c>
      <c r="C1123" t="str">
        <f ca="1">IFERROR(__xludf.DUMMYFUNCTION("""COMPUTED_VALUE"""),"PA000339")</f>
        <v>PA000339</v>
      </c>
      <c r="D1123" t="str">
        <f ca="1">IFERROR(__xludf.DUMMYFUNCTION("""COMPUTED_VALUE"""),"PA000339")</f>
        <v>PA000339</v>
      </c>
    </row>
    <row r="1124" spans="1:4" ht="15" customHeight="1">
      <c r="A1124" t="str">
        <f ca="1">IFERROR(__xludf.DUMMYFUNCTION("""COMPUTED_VALUE"""),"AB001457")</f>
        <v>AB001457</v>
      </c>
      <c r="B1124" s="205">
        <f ca="1">IFERROR(__xludf.DUMMYFUNCTION("""COMPUTED_VALUE"""),43706)</f>
        <v>43706</v>
      </c>
      <c r="C1124" t="str">
        <f ca="1">IFERROR(__xludf.DUMMYFUNCTION("""COMPUTED_VALUE"""),"PA000339")</f>
        <v>PA000339</v>
      </c>
      <c r="D1124" t="str">
        <f ca="1">IFERROR(__xludf.DUMMYFUNCTION("""COMPUTED_VALUE"""),"PA000339")</f>
        <v>PA000339</v>
      </c>
    </row>
    <row r="1125" spans="1:4" ht="15" customHeight="1">
      <c r="A1125" t="str">
        <f ca="1">IFERROR(__xludf.DUMMYFUNCTION("""COMPUTED_VALUE"""),"AB001457")</f>
        <v>AB001457</v>
      </c>
      <c r="B1125" s="205">
        <f ca="1">IFERROR(__xludf.DUMMYFUNCTION("""COMPUTED_VALUE"""),43706)</f>
        <v>43706</v>
      </c>
      <c r="C1125" t="str">
        <f ca="1">IFERROR(__xludf.DUMMYFUNCTION("""COMPUTED_VALUE"""),"PA000340")</f>
        <v>PA000340</v>
      </c>
      <c r="D1125" t="str">
        <f ca="1">IFERROR(__xludf.DUMMYFUNCTION("""COMPUTED_VALUE"""),"PA000340")</f>
        <v>PA000340</v>
      </c>
    </row>
    <row r="1126" spans="1:4" ht="15" customHeight="1">
      <c r="A1126" t="str">
        <f ca="1">IFERROR(__xludf.DUMMYFUNCTION("""COMPUTED_VALUE"""),"AB001457")</f>
        <v>AB001457</v>
      </c>
      <c r="B1126" s="205">
        <f ca="1">IFERROR(__xludf.DUMMYFUNCTION("""COMPUTED_VALUE"""),43706)</f>
        <v>43706</v>
      </c>
      <c r="C1126" t="str">
        <f ca="1">IFERROR(__xludf.DUMMYFUNCTION("""COMPUTED_VALUE"""),"PA000340")</f>
        <v>PA000340</v>
      </c>
      <c r="D1126" t="str">
        <f ca="1">IFERROR(__xludf.DUMMYFUNCTION("""COMPUTED_VALUE"""),"PA000340")</f>
        <v>PA000340</v>
      </c>
    </row>
    <row r="1127" spans="1:4" ht="15" customHeight="1">
      <c r="A1127" t="str">
        <f ca="1">IFERROR(__xludf.DUMMYFUNCTION("""COMPUTED_VALUE"""),"AB001457")</f>
        <v>AB001457</v>
      </c>
      <c r="B1127" s="205">
        <f ca="1">IFERROR(__xludf.DUMMYFUNCTION("""COMPUTED_VALUE"""),43706)</f>
        <v>43706</v>
      </c>
      <c r="C1127" t="str">
        <f ca="1">IFERROR(__xludf.DUMMYFUNCTION("""COMPUTED_VALUE"""),"PA000340")</f>
        <v>PA000340</v>
      </c>
      <c r="D1127" t="str">
        <f ca="1">IFERROR(__xludf.DUMMYFUNCTION("""COMPUTED_VALUE"""),"PA000340")</f>
        <v>PA000340</v>
      </c>
    </row>
    <row r="1128" spans="1:4" ht="15" customHeight="1">
      <c r="A1128" t="str">
        <f ca="1">IFERROR(__xludf.DUMMYFUNCTION("""COMPUTED_VALUE"""),"AB001457")</f>
        <v>AB001457</v>
      </c>
      <c r="B1128" s="205">
        <f ca="1">IFERROR(__xludf.DUMMYFUNCTION("""COMPUTED_VALUE"""),43706)</f>
        <v>43706</v>
      </c>
      <c r="C1128" t="str">
        <f ca="1">IFERROR(__xludf.DUMMYFUNCTION("""COMPUTED_VALUE"""),"PA000341")</f>
        <v>PA000341</v>
      </c>
      <c r="D1128" t="str">
        <f ca="1">IFERROR(__xludf.DUMMYFUNCTION("""COMPUTED_VALUE"""),"PA000341")</f>
        <v>PA000341</v>
      </c>
    </row>
    <row r="1129" spans="1:4" ht="15" customHeight="1">
      <c r="A1129" t="str">
        <f ca="1">IFERROR(__xludf.DUMMYFUNCTION("""COMPUTED_VALUE"""),"AB001457")</f>
        <v>AB001457</v>
      </c>
      <c r="B1129" s="205">
        <f ca="1">IFERROR(__xludf.DUMMYFUNCTION("""COMPUTED_VALUE"""),43706)</f>
        <v>43706</v>
      </c>
      <c r="C1129" t="str">
        <f ca="1">IFERROR(__xludf.DUMMYFUNCTION("""COMPUTED_VALUE"""),"PA000341")</f>
        <v>PA000341</v>
      </c>
      <c r="D1129" t="str">
        <f ca="1">IFERROR(__xludf.DUMMYFUNCTION("""COMPUTED_VALUE"""),"PA000341")</f>
        <v>PA000341</v>
      </c>
    </row>
    <row r="1130" spans="1:4" ht="15" customHeight="1">
      <c r="A1130" t="str">
        <f ca="1">IFERROR(__xludf.DUMMYFUNCTION("""COMPUTED_VALUE"""),"AB001457")</f>
        <v>AB001457</v>
      </c>
      <c r="B1130" s="205">
        <f ca="1">IFERROR(__xludf.DUMMYFUNCTION("""COMPUTED_VALUE"""),43706)</f>
        <v>43706</v>
      </c>
      <c r="C1130" t="str">
        <f ca="1">IFERROR(__xludf.DUMMYFUNCTION("""COMPUTED_VALUE"""),"PA000341")</f>
        <v>PA000341</v>
      </c>
      <c r="D1130" t="str">
        <f ca="1">IFERROR(__xludf.DUMMYFUNCTION("""COMPUTED_VALUE"""),"PA000341")</f>
        <v>PA000341</v>
      </c>
    </row>
    <row r="1131" spans="1:4" ht="15" customHeight="1">
      <c r="A1131" t="str">
        <f ca="1">IFERROR(__xludf.DUMMYFUNCTION("""COMPUTED_VALUE"""),"AB001457")</f>
        <v>AB001457</v>
      </c>
      <c r="B1131" s="205">
        <f ca="1">IFERROR(__xludf.DUMMYFUNCTION("""COMPUTED_VALUE"""),43706)</f>
        <v>43706</v>
      </c>
      <c r="C1131" t="str">
        <f ca="1">IFERROR(__xludf.DUMMYFUNCTION("""COMPUTED_VALUE"""),"PA000341")</f>
        <v>PA000341</v>
      </c>
      <c r="D1131" t="str">
        <f ca="1">IFERROR(__xludf.DUMMYFUNCTION("""COMPUTED_VALUE"""),"PA000341")</f>
        <v>PA000341</v>
      </c>
    </row>
    <row r="1132" spans="1:4" ht="15" customHeight="1">
      <c r="A1132" t="str">
        <f ca="1">IFERROR(__xludf.DUMMYFUNCTION("""COMPUTED_VALUE"""),"AB001418")</f>
        <v>AB001418</v>
      </c>
      <c r="B1132" s="205">
        <f ca="1">IFERROR(__xludf.DUMMYFUNCTION("""COMPUTED_VALUE"""),43691)</f>
        <v>43691</v>
      </c>
      <c r="C1132" t="str">
        <f ca="1">IFERROR(__xludf.DUMMYFUNCTION("""COMPUTED_VALUE"""),"")</f>
        <v/>
      </c>
      <c r="D1132" t="str">
        <f ca="1">IFERROR(__xludf.DUMMYFUNCTION("""COMPUTED_VALUE"""),"")</f>
        <v/>
      </c>
    </row>
    <row r="1133" spans="1:4" ht="15" customHeight="1">
      <c r="A1133" t="str">
        <f ca="1">IFERROR(__xludf.DUMMYFUNCTION("""COMPUTED_VALUE"""),"AB001419")</f>
        <v>AB001419</v>
      </c>
      <c r="B1133" s="205">
        <f ca="1">IFERROR(__xludf.DUMMYFUNCTION("""COMPUTED_VALUE"""),43718)</f>
        <v>43718</v>
      </c>
      <c r="C1133" t="str">
        <f ca="1">IFERROR(__xludf.DUMMYFUNCTION("""COMPUTED_VALUE"""),"")</f>
        <v/>
      </c>
      <c r="D1133" t="str">
        <f ca="1">IFERROR(__xludf.DUMMYFUNCTION("""COMPUTED_VALUE"""),"")</f>
        <v/>
      </c>
    </row>
    <row r="1134" spans="1:4" ht="15" customHeight="1">
      <c r="A1134" t="str">
        <f ca="1">IFERROR(__xludf.DUMMYFUNCTION("""COMPUTED_VALUE"""),"AB001470")</f>
        <v>AB001470</v>
      </c>
      <c r="B1134" s="205">
        <f ca="1">IFERROR(__xludf.DUMMYFUNCTION("""COMPUTED_VALUE"""),43692)</f>
        <v>43692</v>
      </c>
      <c r="C1134" t="str">
        <f ca="1">IFERROR(__xludf.DUMMYFUNCTION("""COMPUTED_VALUE"""),"")</f>
        <v/>
      </c>
      <c r="D1134" t="str">
        <f ca="1">IFERROR(__xludf.DUMMYFUNCTION("""COMPUTED_VALUE"""),"")</f>
        <v/>
      </c>
    </row>
    <row r="1135" spans="1:4" ht="15" customHeight="1">
      <c r="A1135" t="str">
        <f ca="1">IFERROR(__xludf.DUMMYFUNCTION("""COMPUTED_VALUE"""),"AB001469")</f>
        <v>AB001469</v>
      </c>
      <c r="B1135" s="205">
        <f ca="1">IFERROR(__xludf.DUMMYFUNCTION("""COMPUTED_VALUE"""),43692)</f>
        <v>43692</v>
      </c>
      <c r="C1135" t="str">
        <f ca="1">IFERROR(__xludf.DUMMYFUNCTION("""COMPUTED_VALUE"""),"")</f>
        <v/>
      </c>
      <c r="D1135" t="str">
        <f ca="1">IFERROR(__xludf.DUMMYFUNCTION("""COMPUTED_VALUE"""),"")</f>
        <v/>
      </c>
    </row>
    <row r="1136" spans="1:4" ht="15" customHeight="1">
      <c r="A1136" t="str">
        <f ca="1">IFERROR(__xludf.DUMMYFUNCTION("""COMPUTED_VALUE"""),"AB001471")</f>
        <v>AB001471</v>
      </c>
      <c r="B1136" s="205">
        <f ca="1">IFERROR(__xludf.DUMMYFUNCTION("""COMPUTED_VALUE"""),43698)</f>
        <v>43698</v>
      </c>
      <c r="C1136" t="str">
        <f ca="1">IFERROR(__xludf.DUMMYFUNCTION("""COMPUTED_VALUE"""),"")</f>
        <v/>
      </c>
      <c r="D1136" t="str">
        <f ca="1">IFERROR(__xludf.DUMMYFUNCTION("""COMPUTED_VALUE"""),"")</f>
        <v/>
      </c>
    </row>
    <row r="1137" spans="1:4" ht="15" customHeight="1">
      <c r="A1137" t="str">
        <f ca="1">IFERROR(__xludf.DUMMYFUNCTION("""COMPUTED_VALUE"""),"AB001472")</f>
        <v>AB001472</v>
      </c>
      <c r="B1137" s="205">
        <f ca="1">IFERROR(__xludf.DUMMYFUNCTION("""COMPUTED_VALUE"""),43692)</f>
        <v>43692</v>
      </c>
      <c r="C1137" t="str">
        <f ca="1">IFERROR(__xludf.DUMMYFUNCTION("""COMPUTED_VALUE"""),"")</f>
        <v/>
      </c>
      <c r="D1137" t="str">
        <f ca="1">IFERROR(__xludf.DUMMYFUNCTION("""COMPUTED_VALUE"""),"")</f>
        <v/>
      </c>
    </row>
    <row r="1138" spans="1:4" ht="15" customHeight="1">
      <c r="A1138" t="str">
        <f ca="1">IFERROR(__xludf.DUMMYFUNCTION("""COMPUTED_VALUE"""),"AB001420")</f>
        <v>AB001420</v>
      </c>
      <c r="B1138" s="205">
        <f ca="1">IFERROR(__xludf.DUMMYFUNCTION("""COMPUTED_VALUE"""),43692)</f>
        <v>43692</v>
      </c>
      <c r="C1138" t="str">
        <f ca="1">IFERROR(__xludf.DUMMYFUNCTION("""COMPUTED_VALUE"""),"")</f>
        <v/>
      </c>
      <c r="D1138" t="str">
        <f ca="1">IFERROR(__xludf.DUMMYFUNCTION("""COMPUTED_VALUE"""),"")</f>
        <v/>
      </c>
    </row>
    <row r="1139" spans="1:4" ht="15" customHeight="1">
      <c r="A1139" t="str">
        <f ca="1">IFERROR(__xludf.DUMMYFUNCTION("""COMPUTED_VALUE"""),"AB001421")</f>
        <v>AB001421</v>
      </c>
      <c r="B1139" s="205">
        <f ca="1">IFERROR(__xludf.DUMMYFUNCTION("""COMPUTED_VALUE"""),43696)</f>
        <v>43696</v>
      </c>
      <c r="C1139" t="str">
        <f ca="1">IFERROR(__xludf.DUMMYFUNCTION("""COMPUTED_VALUE"""),"")</f>
        <v/>
      </c>
      <c r="D1139" t="str">
        <f ca="1">IFERROR(__xludf.DUMMYFUNCTION("""COMPUTED_VALUE"""),"")</f>
        <v/>
      </c>
    </row>
    <row r="1140" spans="1:4" ht="15" customHeight="1">
      <c r="A1140" t="str">
        <f ca="1">IFERROR(__xludf.DUMMYFUNCTION("""COMPUTED_VALUE"""),"AB001474")</f>
        <v>AB001474</v>
      </c>
      <c r="B1140" s="205">
        <f ca="1">IFERROR(__xludf.DUMMYFUNCTION("""COMPUTED_VALUE"""),43696)</f>
        <v>43696</v>
      </c>
      <c r="C1140" t="str">
        <f ca="1">IFERROR(__xludf.DUMMYFUNCTION("""COMPUTED_VALUE"""),"")</f>
        <v/>
      </c>
      <c r="D1140" t="str">
        <f ca="1">IFERROR(__xludf.DUMMYFUNCTION("""COMPUTED_VALUE"""),"")</f>
        <v/>
      </c>
    </row>
    <row r="1141" spans="1:4" ht="15" customHeight="1">
      <c r="A1141" t="str">
        <f ca="1">IFERROR(__xludf.DUMMYFUNCTION("""COMPUTED_VALUE"""),"AB001475")</f>
        <v>AB001475</v>
      </c>
      <c r="B1141" s="205">
        <f ca="1">IFERROR(__xludf.DUMMYFUNCTION("""COMPUTED_VALUE"""),43696)</f>
        <v>43696</v>
      </c>
      <c r="C1141" t="str">
        <f ca="1">IFERROR(__xludf.DUMMYFUNCTION("""COMPUTED_VALUE"""),"")</f>
        <v/>
      </c>
      <c r="D1141" t="str">
        <f ca="1">IFERROR(__xludf.DUMMYFUNCTION("""COMPUTED_VALUE"""),"")</f>
        <v/>
      </c>
    </row>
    <row r="1142" spans="1:4" ht="15" customHeight="1">
      <c r="A1142" t="str">
        <f ca="1">IFERROR(__xludf.DUMMYFUNCTION("""COMPUTED_VALUE"""),"AB001475")</f>
        <v>AB001475</v>
      </c>
      <c r="B1142" s="205">
        <f ca="1">IFERROR(__xludf.DUMMYFUNCTION("""COMPUTED_VALUE"""),43696)</f>
        <v>43696</v>
      </c>
      <c r="C1142" t="str">
        <f ca="1">IFERROR(__xludf.DUMMYFUNCTION("""COMPUTED_VALUE"""),"")</f>
        <v/>
      </c>
      <c r="D1142" t="str">
        <f ca="1">IFERROR(__xludf.DUMMYFUNCTION("""COMPUTED_VALUE"""),"")</f>
        <v/>
      </c>
    </row>
    <row r="1143" spans="1:4" ht="15" customHeight="1">
      <c r="A1143" t="str">
        <f ca="1">IFERROR(__xludf.DUMMYFUNCTION("""COMPUTED_VALUE"""),"AB001473")</f>
        <v>AB001473</v>
      </c>
      <c r="B1143" s="205">
        <f ca="1">IFERROR(__xludf.DUMMYFUNCTION("""COMPUTED_VALUE"""),43696)</f>
        <v>43696</v>
      </c>
      <c r="C1143" t="str">
        <f ca="1">IFERROR(__xludf.DUMMYFUNCTION("""COMPUTED_VALUE"""),"")</f>
        <v/>
      </c>
      <c r="D1143" t="str">
        <f ca="1">IFERROR(__xludf.DUMMYFUNCTION("""COMPUTED_VALUE"""),"")</f>
        <v/>
      </c>
    </row>
    <row r="1144" spans="1:4" ht="15" customHeight="1">
      <c r="A1144" t="str">
        <f ca="1">IFERROR(__xludf.DUMMYFUNCTION("""COMPUTED_VALUE"""),"AB001478")</f>
        <v>AB001478</v>
      </c>
      <c r="B1144" s="205">
        <f ca="1">IFERROR(__xludf.DUMMYFUNCTION("""COMPUTED_VALUE"""),43697)</f>
        <v>43697</v>
      </c>
      <c r="C1144" t="str">
        <f ca="1">IFERROR(__xludf.DUMMYFUNCTION("""COMPUTED_VALUE"""),"")</f>
        <v/>
      </c>
      <c r="D1144" t="str">
        <f ca="1">IFERROR(__xludf.DUMMYFUNCTION("""COMPUTED_VALUE"""),"")</f>
        <v/>
      </c>
    </row>
    <row r="1145" spans="1:4" ht="15" customHeight="1">
      <c r="A1145" t="str">
        <f ca="1">IFERROR(__xludf.DUMMYFUNCTION("""COMPUTED_VALUE"""),"AB001477")</f>
        <v>AB001477</v>
      </c>
      <c r="B1145" s="205">
        <f ca="1">IFERROR(__xludf.DUMMYFUNCTION("""COMPUTED_VALUE"""),43697)</f>
        <v>43697</v>
      </c>
      <c r="C1145" t="str">
        <f ca="1">IFERROR(__xludf.DUMMYFUNCTION("""COMPUTED_VALUE"""),"")</f>
        <v/>
      </c>
      <c r="D1145" t="str">
        <f ca="1">IFERROR(__xludf.DUMMYFUNCTION("""COMPUTED_VALUE"""),"")</f>
        <v/>
      </c>
    </row>
    <row r="1146" spans="1:4" ht="15" customHeight="1">
      <c r="A1146" t="str">
        <f ca="1">IFERROR(__xludf.DUMMYFUNCTION("""COMPUTED_VALUE"""),"AB001477")</f>
        <v>AB001477</v>
      </c>
      <c r="B1146" s="205">
        <f ca="1">IFERROR(__xludf.DUMMYFUNCTION("""COMPUTED_VALUE"""),43697)</f>
        <v>43697</v>
      </c>
      <c r="C1146" t="str">
        <f ca="1">IFERROR(__xludf.DUMMYFUNCTION("""COMPUTED_VALUE"""),"")</f>
        <v/>
      </c>
      <c r="D1146" t="str">
        <f ca="1">IFERROR(__xludf.DUMMYFUNCTION("""COMPUTED_VALUE"""),"")</f>
        <v/>
      </c>
    </row>
    <row r="1147" spans="1:4" ht="15" customHeight="1">
      <c r="A1147" t="str">
        <f ca="1">IFERROR(__xludf.DUMMYFUNCTION("""COMPUTED_VALUE"""),"AB001422")</f>
        <v>AB001422</v>
      </c>
      <c r="B1147" s="205">
        <f ca="1">IFERROR(__xludf.DUMMYFUNCTION("""COMPUTED_VALUE"""),43697)</f>
        <v>43697</v>
      </c>
      <c r="C1147" t="str">
        <f ca="1">IFERROR(__xludf.DUMMYFUNCTION("""COMPUTED_VALUE"""),"")</f>
        <v/>
      </c>
      <c r="D1147" t="str">
        <f ca="1">IFERROR(__xludf.DUMMYFUNCTION("""COMPUTED_VALUE"""),"")</f>
        <v/>
      </c>
    </row>
    <row r="1148" spans="1:4" ht="15" customHeight="1">
      <c r="A1148" t="str">
        <f ca="1">IFERROR(__xludf.DUMMYFUNCTION("""COMPUTED_VALUE"""),"AB001422")</f>
        <v>AB001422</v>
      </c>
      <c r="B1148" s="205">
        <f ca="1">IFERROR(__xludf.DUMMYFUNCTION("""COMPUTED_VALUE"""),43697)</f>
        <v>43697</v>
      </c>
      <c r="C1148" t="str">
        <f ca="1">IFERROR(__xludf.DUMMYFUNCTION("""COMPUTED_VALUE"""),"")</f>
        <v/>
      </c>
      <c r="D1148" t="str">
        <f ca="1">IFERROR(__xludf.DUMMYFUNCTION("""COMPUTED_VALUE"""),"")</f>
        <v/>
      </c>
    </row>
    <row r="1149" spans="1:4" ht="15" customHeight="1">
      <c r="A1149" t="str">
        <f ca="1">IFERROR(__xludf.DUMMYFUNCTION("""COMPUTED_VALUE"""),"AB001384")</f>
        <v>AB001384</v>
      </c>
      <c r="B1149" s="205">
        <f ca="1">IFERROR(__xludf.DUMMYFUNCTION("""COMPUTED_VALUE"""),43697)</f>
        <v>43697</v>
      </c>
      <c r="C1149" t="str">
        <f ca="1">IFERROR(__xludf.DUMMYFUNCTION("""COMPUTED_VALUE"""),"")</f>
        <v/>
      </c>
      <c r="D1149" t="str">
        <f ca="1">IFERROR(__xludf.DUMMYFUNCTION("""COMPUTED_VALUE"""),"")</f>
        <v/>
      </c>
    </row>
    <row r="1150" spans="1:4" ht="15" customHeight="1">
      <c r="A1150" t="str">
        <f ca="1">IFERROR(__xludf.DUMMYFUNCTION("""COMPUTED_VALUE"""),"AB001480")</f>
        <v>AB001480</v>
      </c>
      <c r="B1150" s="205">
        <f ca="1">IFERROR(__xludf.DUMMYFUNCTION("""COMPUTED_VALUE"""),43698)</f>
        <v>43698</v>
      </c>
      <c r="C1150" t="str">
        <f ca="1">IFERROR(__xludf.DUMMYFUNCTION("""COMPUTED_VALUE"""),"")</f>
        <v/>
      </c>
      <c r="D1150" t="str">
        <f ca="1">IFERROR(__xludf.DUMMYFUNCTION("""COMPUTED_VALUE"""),"")</f>
        <v/>
      </c>
    </row>
    <row r="1151" spans="1:4" ht="15" customHeight="1">
      <c r="A1151" t="str">
        <f ca="1">IFERROR(__xludf.DUMMYFUNCTION("""COMPUTED_VALUE"""),"AB001479")</f>
        <v>AB001479</v>
      </c>
      <c r="B1151" s="205">
        <f ca="1">IFERROR(__xludf.DUMMYFUNCTION("""COMPUTED_VALUE"""),43699)</f>
        <v>43699</v>
      </c>
      <c r="C1151" t="str">
        <f ca="1">IFERROR(__xludf.DUMMYFUNCTION("""COMPUTED_VALUE"""),"")</f>
        <v/>
      </c>
      <c r="D1151" t="str">
        <f ca="1">IFERROR(__xludf.DUMMYFUNCTION("""COMPUTED_VALUE"""),"")</f>
        <v/>
      </c>
    </row>
    <row r="1152" spans="1:4" ht="15" customHeight="1">
      <c r="A1152" t="str">
        <f ca="1">IFERROR(__xludf.DUMMYFUNCTION("""COMPUTED_VALUE"""),"AB001479")</f>
        <v>AB001479</v>
      </c>
      <c r="B1152" s="205">
        <f ca="1">IFERROR(__xludf.DUMMYFUNCTION("""COMPUTED_VALUE"""),43699)</f>
        <v>43699</v>
      </c>
      <c r="C1152" t="str">
        <f ca="1">IFERROR(__xludf.DUMMYFUNCTION("""COMPUTED_VALUE"""),"")</f>
        <v/>
      </c>
      <c r="D1152" t="str">
        <f ca="1">IFERROR(__xludf.DUMMYFUNCTION("""COMPUTED_VALUE"""),"")</f>
        <v/>
      </c>
    </row>
    <row r="1153" spans="1:4" ht="15" customHeight="1">
      <c r="A1153" t="str">
        <f ca="1">IFERROR(__xludf.DUMMYFUNCTION("""COMPUTED_VALUE"""),"AB001481")</f>
        <v>AB001481</v>
      </c>
      <c r="B1153" s="205">
        <f ca="1">IFERROR(__xludf.DUMMYFUNCTION("""COMPUTED_VALUE"""),43699)</f>
        <v>43699</v>
      </c>
      <c r="C1153" t="str">
        <f ca="1">IFERROR(__xludf.DUMMYFUNCTION("""COMPUTED_VALUE"""),"")</f>
        <v/>
      </c>
      <c r="D1153" t="str">
        <f ca="1">IFERROR(__xludf.DUMMYFUNCTION("""COMPUTED_VALUE"""),"")</f>
        <v/>
      </c>
    </row>
    <row r="1154" spans="1:4" ht="15" customHeight="1">
      <c r="A1154" t="str">
        <f ca="1">IFERROR(__xludf.DUMMYFUNCTION("""COMPUTED_VALUE"""),"AB001482")</f>
        <v>AB001482</v>
      </c>
      <c r="B1154" s="205">
        <f ca="1">IFERROR(__xludf.DUMMYFUNCTION("""COMPUTED_VALUE"""),43699)</f>
        <v>43699</v>
      </c>
      <c r="C1154" t="str">
        <f ca="1">IFERROR(__xludf.DUMMYFUNCTION("""COMPUTED_VALUE"""),"")</f>
        <v/>
      </c>
      <c r="D1154" t="str">
        <f ca="1">IFERROR(__xludf.DUMMYFUNCTION("""COMPUTED_VALUE"""),"")</f>
        <v/>
      </c>
    </row>
    <row r="1155" spans="1:4" ht="15" customHeight="1">
      <c r="A1155" t="str">
        <f ca="1">IFERROR(__xludf.DUMMYFUNCTION("""COMPUTED_VALUE"""),"AB001484")</f>
        <v>AB001484</v>
      </c>
      <c r="B1155" s="205">
        <f ca="1">IFERROR(__xludf.DUMMYFUNCTION("""COMPUTED_VALUE"""),43699)</f>
        <v>43699</v>
      </c>
      <c r="C1155" t="str">
        <f ca="1">IFERROR(__xludf.DUMMYFUNCTION("""COMPUTED_VALUE"""),"")</f>
        <v/>
      </c>
      <c r="D1155" t="str">
        <f ca="1">IFERROR(__xludf.DUMMYFUNCTION("""COMPUTED_VALUE"""),"")</f>
        <v/>
      </c>
    </row>
    <row r="1156" spans="1:4" ht="15" customHeight="1">
      <c r="A1156" t="str">
        <f ca="1">IFERROR(__xludf.DUMMYFUNCTION("""COMPUTED_VALUE"""),"AB001483")</f>
        <v>AB001483</v>
      </c>
      <c r="B1156" s="205">
        <f ca="1">IFERROR(__xludf.DUMMYFUNCTION("""COMPUTED_VALUE"""),43700)</f>
        <v>43700</v>
      </c>
      <c r="C1156" t="str">
        <f ca="1">IFERROR(__xludf.DUMMYFUNCTION("""COMPUTED_VALUE"""),"")</f>
        <v/>
      </c>
      <c r="D1156" t="str">
        <f ca="1">IFERROR(__xludf.DUMMYFUNCTION("""COMPUTED_VALUE"""),"")</f>
        <v/>
      </c>
    </row>
    <row r="1157" spans="1:4" ht="15" customHeight="1">
      <c r="A1157" t="str">
        <f ca="1">IFERROR(__xludf.DUMMYFUNCTION("""COMPUTED_VALUE"""),"AB001423")</f>
        <v>AB001423</v>
      </c>
      <c r="B1157" s="205">
        <f ca="1">IFERROR(__xludf.DUMMYFUNCTION("""COMPUTED_VALUE"""),43704)</f>
        <v>43704</v>
      </c>
      <c r="C1157" t="str">
        <f ca="1">IFERROR(__xludf.DUMMYFUNCTION("""COMPUTED_VALUE"""),"")</f>
        <v/>
      </c>
      <c r="D1157" t="str">
        <f ca="1">IFERROR(__xludf.DUMMYFUNCTION("""COMPUTED_VALUE"""),"")</f>
        <v/>
      </c>
    </row>
    <row r="1158" spans="1:4" ht="15" customHeight="1">
      <c r="A1158" t="str">
        <f ca="1">IFERROR(__xludf.DUMMYFUNCTION("""COMPUTED_VALUE"""),"AB001423")</f>
        <v>AB001423</v>
      </c>
      <c r="B1158" s="205">
        <f ca="1">IFERROR(__xludf.DUMMYFUNCTION("""COMPUTED_VALUE"""),43704)</f>
        <v>43704</v>
      </c>
      <c r="C1158" t="str">
        <f ca="1">IFERROR(__xludf.DUMMYFUNCTION("""COMPUTED_VALUE"""),"")</f>
        <v/>
      </c>
      <c r="D1158" t="str">
        <f ca="1">IFERROR(__xludf.DUMMYFUNCTION("""COMPUTED_VALUE"""),"")</f>
        <v/>
      </c>
    </row>
    <row r="1159" spans="1:4" ht="15" customHeight="1">
      <c r="A1159" t="str">
        <f ca="1">IFERROR(__xludf.DUMMYFUNCTION("""COMPUTED_VALUE"""),"AB001485")</f>
        <v>AB001485</v>
      </c>
      <c r="B1159" s="205">
        <f ca="1">IFERROR(__xludf.DUMMYFUNCTION("""COMPUTED_VALUE"""),43704)</f>
        <v>43704</v>
      </c>
      <c r="C1159" t="str">
        <f ca="1">IFERROR(__xludf.DUMMYFUNCTION("""COMPUTED_VALUE"""),"")</f>
        <v/>
      </c>
      <c r="D1159" t="str">
        <f ca="1">IFERROR(__xludf.DUMMYFUNCTION("""COMPUTED_VALUE"""),"")</f>
        <v/>
      </c>
    </row>
    <row r="1160" spans="1:4" ht="15" customHeight="1">
      <c r="A1160" t="str">
        <f ca="1">IFERROR(__xludf.DUMMYFUNCTION("""COMPUTED_VALUE"""),"AB001385")</f>
        <v>AB001385</v>
      </c>
      <c r="B1160" s="205">
        <f ca="1">IFERROR(__xludf.DUMMYFUNCTION("""COMPUTED_VALUE"""),43704)</f>
        <v>43704</v>
      </c>
      <c r="C1160" t="str">
        <f ca="1">IFERROR(__xludf.DUMMYFUNCTION("""COMPUTED_VALUE"""),"")</f>
        <v/>
      </c>
      <c r="D1160" t="str">
        <f ca="1">IFERROR(__xludf.DUMMYFUNCTION("""COMPUTED_VALUE"""),"")</f>
        <v/>
      </c>
    </row>
    <row r="1161" spans="1:4" ht="15" customHeight="1">
      <c r="A1161" t="str">
        <f ca="1">IFERROR(__xludf.DUMMYFUNCTION("""COMPUTED_VALUE""")," AB001424")</f>
        <v xml:space="preserve"> AB001424</v>
      </c>
      <c r="B1161" s="205">
        <f ca="1">IFERROR(__xludf.DUMMYFUNCTION("""COMPUTED_VALUE"""),43705)</f>
        <v>43705</v>
      </c>
      <c r="C1161" t="str">
        <f ca="1">IFERROR(__xludf.DUMMYFUNCTION("""COMPUTED_VALUE"""),"")</f>
        <v/>
      </c>
      <c r="D1161" t="str">
        <f ca="1">IFERROR(__xludf.DUMMYFUNCTION("""COMPUTED_VALUE"""),"")</f>
        <v/>
      </c>
    </row>
    <row r="1162" spans="1:4" ht="15" customHeight="1">
      <c r="A1162" t="str">
        <f ca="1">IFERROR(__xludf.DUMMYFUNCTION("""COMPUTED_VALUE"""),"AB001486")</f>
        <v>AB001486</v>
      </c>
      <c r="B1162" s="205">
        <f ca="1">IFERROR(__xludf.DUMMYFUNCTION("""COMPUTED_VALUE"""),43704)</f>
        <v>43704</v>
      </c>
      <c r="C1162" t="str">
        <f ca="1">IFERROR(__xludf.DUMMYFUNCTION("""COMPUTED_VALUE"""),"")</f>
        <v/>
      </c>
      <c r="D1162" t="str">
        <f ca="1">IFERROR(__xludf.DUMMYFUNCTION("""COMPUTED_VALUE"""),"")</f>
        <v/>
      </c>
    </row>
    <row r="1163" spans="1:4" ht="15" customHeight="1">
      <c r="A1163" t="str">
        <f ca="1">IFERROR(__xludf.DUMMYFUNCTION("""COMPUTED_VALUE"""),"AB001487")</f>
        <v>AB001487</v>
      </c>
      <c r="B1163" s="205">
        <f ca="1">IFERROR(__xludf.DUMMYFUNCTION("""COMPUTED_VALUE"""),43704)</f>
        <v>43704</v>
      </c>
      <c r="C1163" t="str">
        <f ca="1">IFERROR(__xludf.DUMMYFUNCTION("""COMPUTED_VALUE"""),"")</f>
        <v/>
      </c>
      <c r="D1163" t="str">
        <f ca="1">IFERROR(__xludf.DUMMYFUNCTION("""COMPUTED_VALUE"""),"")</f>
        <v/>
      </c>
    </row>
    <row r="1164" spans="1:4" ht="15" customHeight="1">
      <c r="A1164" t="str">
        <f ca="1">IFERROR(__xludf.DUMMYFUNCTION("""COMPUTED_VALUE"""),"AB001488")</f>
        <v>AB001488</v>
      </c>
      <c r="B1164" s="205">
        <f ca="1">IFERROR(__xludf.DUMMYFUNCTION("""COMPUTED_VALUE"""),43704)</f>
        <v>43704</v>
      </c>
      <c r="C1164" t="str">
        <f ca="1">IFERROR(__xludf.DUMMYFUNCTION("""COMPUTED_VALUE"""),"")</f>
        <v/>
      </c>
      <c r="D1164" t="str">
        <f ca="1">IFERROR(__xludf.DUMMYFUNCTION("""COMPUTED_VALUE"""),"")</f>
        <v/>
      </c>
    </row>
    <row r="1165" spans="1:4" ht="15" customHeight="1">
      <c r="A1165" t="str">
        <f ca="1">IFERROR(__xludf.DUMMYFUNCTION("""COMPUTED_VALUE"""),"AB001489")</f>
        <v>AB001489</v>
      </c>
      <c r="B1165" s="205">
        <f ca="1">IFERROR(__xludf.DUMMYFUNCTION("""COMPUTED_VALUE"""),43704)</f>
        <v>43704</v>
      </c>
      <c r="C1165" t="str">
        <f ca="1">IFERROR(__xludf.DUMMYFUNCTION("""COMPUTED_VALUE"""),"")</f>
        <v/>
      </c>
      <c r="D1165" t="str">
        <f ca="1">IFERROR(__xludf.DUMMYFUNCTION("""COMPUTED_VALUE"""),"")</f>
        <v/>
      </c>
    </row>
    <row r="1166" spans="1:4" ht="15" customHeight="1">
      <c r="A1166" t="str">
        <f ca="1">IFERROR(__xludf.DUMMYFUNCTION("""COMPUTED_VALUE"""),"AA001950")</f>
        <v>AA001950</v>
      </c>
      <c r="B1166" s="205">
        <f ca="1">IFERROR(__xludf.DUMMYFUNCTION("""COMPUTED_VALUE"""),43705)</f>
        <v>43705</v>
      </c>
      <c r="C1166" t="str">
        <f ca="1">IFERROR(__xludf.DUMMYFUNCTION("""COMPUTED_VALUE"""),"")</f>
        <v/>
      </c>
      <c r="D1166" t="str">
        <f ca="1">IFERROR(__xludf.DUMMYFUNCTION("""COMPUTED_VALUE"""),"")</f>
        <v/>
      </c>
    </row>
    <row r="1167" spans="1:4" ht="15" customHeight="1">
      <c r="A1167" t="str">
        <f ca="1">IFERROR(__xludf.DUMMYFUNCTION("""COMPUTED_VALUE"""),"AB001425")</f>
        <v>AB001425</v>
      </c>
      <c r="B1167" s="205">
        <f ca="1">IFERROR(__xludf.DUMMYFUNCTION("""COMPUTED_VALUE"""),43705)</f>
        <v>43705</v>
      </c>
      <c r="C1167" t="str">
        <f ca="1">IFERROR(__xludf.DUMMYFUNCTION("""COMPUTED_VALUE"""),"")</f>
        <v/>
      </c>
      <c r="D1167" t="str">
        <f ca="1">IFERROR(__xludf.DUMMYFUNCTION("""COMPUTED_VALUE"""),"")</f>
        <v/>
      </c>
    </row>
    <row r="1168" spans="1:4" ht="15" customHeight="1">
      <c r="A1168" t="str">
        <f ca="1">IFERROR(__xludf.DUMMYFUNCTION("""COMPUTED_VALUE"""),"AB001425")</f>
        <v>AB001425</v>
      </c>
      <c r="B1168" s="205">
        <f ca="1">IFERROR(__xludf.DUMMYFUNCTION("""COMPUTED_VALUE"""),43705)</f>
        <v>43705</v>
      </c>
      <c r="C1168" t="str">
        <f ca="1">IFERROR(__xludf.DUMMYFUNCTION("""COMPUTED_VALUE"""),"")</f>
        <v/>
      </c>
      <c r="D1168" t="str">
        <f ca="1">IFERROR(__xludf.DUMMYFUNCTION("""COMPUTED_VALUE"""),"")</f>
        <v/>
      </c>
    </row>
    <row r="1169" spans="1:4" ht="15" customHeight="1">
      <c r="A1169" t="str">
        <f ca="1">IFERROR(__xludf.DUMMYFUNCTION("""COMPUTED_VALUE"""),"AB001490")</f>
        <v>AB001490</v>
      </c>
      <c r="B1169" s="205">
        <f ca="1">IFERROR(__xludf.DUMMYFUNCTION("""COMPUTED_VALUE"""),43705)</f>
        <v>43705</v>
      </c>
      <c r="C1169" t="str">
        <f ca="1">IFERROR(__xludf.DUMMYFUNCTION("""COMPUTED_VALUE"""),"")</f>
        <v/>
      </c>
      <c r="D1169" t="str">
        <f ca="1">IFERROR(__xludf.DUMMYFUNCTION("""COMPUTED_VALUE"""),"")</f>
        <v/>
      </c>
    </row>
    <row r="1170" spans="1:4" ht="15" customHeight="1">
      <c r="A1170" t="str">
        <f ca="1">IFERROR(__xludf.DUMMYFUNCTION("""COMPUTED_VALUE"""),"AB001108")</f>
        <v>AB001108</v>
      </c>
      <c r="B1170" s="205">
        <f ca="1">IFERROR(__xludf.DUMMYFUNCTION("""COMPUTED_VALUE"""),43735)</f>
        <v>43735</v>
      </c>
      <c r="C1170" t="str">
        <f ca="1">IFERROR(__xludf.DUMMYFUNCTION("""COMPUTED_VALUE"""),"")</f>
        <v/>
      </c>
      <c r="D1170" t="str">
        <f ca="1">IFERROR(__xludf.DUMMYFUNCTION("""COMPUTED_VALUE"""),"")</f>
        <v/>
      </c>
    </row>
    <row r="1171" spans="1:4" ht="15" customHeight="1">
      <c r="A1171" t="str">
        <f ca="1">IFERROR(__xludf.DUMMYFUNCTION("""COMPUTED_VALUE"""),"AB001459")</f>
        <v>AB001459</v>
      </c>
      <c r="B1171" s="205">
        <f ca="1">IFERROR(__xludf.DUMMYFUNCTION("""COMPUTED_VALUE"""),43738)</f>
        <v>43738</v>
      </c>
      <c r="C1171" t="str">
        <f ca="1">IFERROR(__xludf.DUMMYFUNCTION("""COMPUTED_VALUE"""),"")</f>
        <v/>
      </c>
      <c r="D1171" t="str">
        <f ca="1">IFERROR(__xludf.DUMMYFUNCTION("""COMPUTED_VALUE"""),"")</f>
        <v/>
      </c>
    </row>
    <row r="1172" spans="1:4" ht="15" customHeight="1">
      <c r="A1172" t="str">
        <f ca="1">IFERROR(__xludf.DUMMYFUNCTION("""COMPUTED_VALUE"""),"AB001459")</f>
        <v>AB001459</v>
      </c>
      <c r="B1172" s="205">
        <f ca="1">IFERROR(__xludf.DUMMYFUNCTION("""COMPUTED_VALUE"""),43738)</f>
        <v>43738</v>
      </c>
      <c r="C1172" t="str">
        <f ca="1">IFERROR(__xludf.DUMMYFUNCTION("""COMPUTED_VALUE"""),"")</f>
        <v/>
      </c>
      <c r="D1172" t="str">
        <f ca="1">IFERROR(__xludf.DUMMYFUNCTION("""COMPUTED_VALUE"""),"")</f>
        <v/>
      </c>
    </row>
    <row r="1173" spans="1:4" ht="15" customHeight="1">
      <c r="A1173" t="str">
        <f ca="1">IFERROR(__xludf.DUMMYFUNCTION("""COMPUTED_VALUE"""),"AB001459")</f>
        <v>AB001459</v>
      </c>
      <c r="B1173" s="205">
        <f ca="1">IFERROR(__xludf.DUMMYFUNCTION("""COMPUTED_VALUE"""),43738)</f>
        <v>43738</v>
      </c>
      <c r="C1173" t="str">
        <f ca="1">IFERROR(__xludf.DUMMYFUNCTION("""COMPUTED_VALUE"""),"")</f>
        <v/>
      </c>
      <c r="D1173" t="str">
        <f ca="1">IFERROR(__xludf.DUMMYFUNCTION("""COMPUTED_VALUE"""),"")</f>
        <v/>
      </c>
    </row>
    <row r="1174" spans="1:4" ht="15" customHeight="1">
      <c r="A1174" t="str">
        <f ca="1">IFERROR(__xludf.DUMMYFUNCTION("""COMPUTED_VALUE"""),"AB001459")</f>
        <v>AB001459</v>
      </c>
      <c r="B1174" s="205">
        <f ca="1">IFERROR(__xludf.DUMMYFUNCTION("""COMPUTED_VALUE"""),43738)</f>
        <v>43738</v>
      </c>
      <c r="C1174" t="str">
        <f ca="1">IFERROR(__xludf.DUMMYFUNCTION("""COMPUTED_VALUE"""),"")</f>
        <v/>
      </c>
      <c r="D1174" t="str">
        <f ca="1">IFERROR(__xludf.DUMMYFUNCTION("""COMPUTED_VALUE"""),"")</f>
        <v/>
      </c>
    </row>
    <row r="1175" spans="1:4" ht="15" customHeight="1">
      <c r="A1175" t="str">
        <f ca="1">IFERROR(__xludf.DUMMYFUNCTION("""COMPUTED_VALUE"""),"AB001459")</f>
        <v>AB001459</v>
      </c>
      <c r="B1175" s="205">
        <f ca="1">IFERROR(__xludf.DUMMYFUNCTION("""COMPUTED_VALUE"""),43738)</f>
        <v>43738</v>
      </c>
      <c r="C1175" t="str">
        <f ca="1">IFERROR(__xludf.DUMMYFUNCTION("""COMPUTED_VALUE"""),"")</f>
        <v/>
      </c>
      <c r="D1175" t="str">
        <f ca="1">IFERROR(__xludf.DUMMYFUNCTION("""COMPUTED_VALUE"""),"")</f>
        <v/>
      </c>
    </row>
    <row r="1176" spans="1:4" ht="15" customHeight="1">
      <c r="A1176" t="str">
        <f ca="1">IFERROR(__xludf.DUMMYFUNCTION("""COMPUTED_VALUE"""),"AB001459")</f>
        <v>AB001459</v>
      </c>
      <c r="B1176" s="205">
        <f ca="1">IFERROR(__xludf.DUMMYFUNCTION("""COMPUTED_VALUE"""),43738)</f>
        <v>43738</v>
      </c>
      <c r="C1176" t="str">
        <f ca="1">IFERROR(__xludf.DUMMYFUNCTION("""COMPUTED_VALUE"""),"")</f>
        <v/>
      </c>
      <c r="D1176" t="str">
        <f ca="1">IFERROR(__xludf.DUMMYFUNCTION("""COMPUTED_VALUE"""),"")</f>
        <v/>
      </c>
    </row>
    <row r="1177" spans="1:4" ht="15" customHeight="1">
      <c r="A1177" t="str">
        <f ca="1">IFERROR(__xludf.DUMMYFUNCTION("""COMPUTED_VALUE"""),"AB001459")</f>
        <v>AB001459</v>
      </c>
      <c r="B1177" s="205">
        <f ca="1">IFERROR(__xludf.DUMMYFUNCTION("""COMPUTED_VALUE"""),43738)</f>
        <v>43738</v>
      </c>
      <c r="C1177" t="str">
        <f ca="1">IFERROR(__xludf.DUMMYFUNCTION("""COMPUTED_VALUE"""),"")</f>
        <v/>
      </c>
      <c r="D1177" t="str">
        <f ca="1">IFERROR(__xludf.DUMMYFUNCTION("""COMPUTED_VALUE"""),"")</f>
        <v/>
      </c>
    </row>
    <row r="1178" spans="1:4" ht="15" customHeight="1">
      <c r="A1178" t="str">
        <f ca="1">IFERROR(__xludf.DUMMYFUNCTION("""COMPUTED_VALUE"""),"AB001459")</f>
        <v>AB001459</v>
      </c>
      <c r="B1178" s="205">
        <f ca="1">IFERROR(__xludf.DUMMYFUNCTION("""COMPUTED_VALUE"""),43738)</f>
        <v>43738</v>
      </c>
      <c r="C1178" t="str">
        <f ca="1">IFERROR(__xludf.DUMMYFUNCTION("""COMPUTED_VALUE"""),"")</f>
        <v/>
      </c>
      <c r="D1178" t="str">
        <f ca="1">IFERROR(__xludf.DUMMYFUNCTION("""COMPUTED_VALUE"""),"")</f>
        <v/>
      </c>
    </row>
    <row r="1179" spans="1:4" ht="15" customHeight="1">
      <c r="A1179" t="str">
        <f ca="1">IFERROR(__xludf.DUMMYFUNCTION("""COMPUTED_VALUE"""),"AB001458")</f>
        <v>AB001458</v>
      </c>
      <c r="B1179" s="205">
        <f ca="1">IFERROR(__xludf.DUMMYFUNCTION("""COMPUTED_VALUE"""),43726)</f>
        <v>43726</v>
      </c>
      <c r="C1179" t="str">
        <f ca="1">IFERROR(__xludf.DUMMYFUNCTION("""COMPUTED_VALUE"""),"")</f>
        <v/>
      </c>
      <c r="D1179" t="str">
        <f ca="1">IFERROR(__xludf.DUMMYFUNCTION("""COMPUTED_VALUE"""),"")</f>
        <v/>
      </c>
    </row>
    <row r="1180" spans="1:4" ht="15" customHeight="1">
      <c r="A1180" t="str">
        <f ca="1">IFERROR(__xludf.DUMMYFUNCTION("""COMPUTED_VALUE"""),"AB001458")</f>
        <v>AB001458</v>
      </c>
      <c r="B1180" s="205">
        <f ca="1">IFERROR(__xludf.DUMMYFUNCTION("""COMPUTED_VALUE"""),43726)</f>
        <v>43726</v>
      </c>
      <c r="C1180" t="str">
        <f ca="1">IFERROR(__xludf.DUMMYFUNCTION("""COMPUTED_VALUE"""),"")</f>
        <v/>
      </c>
      <c r="D1180" t="str">
        <f ca="1">IFERROR(__xludf.DUMMYFUNCTION("""COMPUTED_VALUE"""),"")</f>
        <v/>
      </c>
    </row>
    <row r="1181" spans="1:4" ht="15" customHeight="1">
      <c r="A1181" t="str">
        <f ca="1">IFERROR(__xludf.DUMMYFUNCTION("""COMPUTED_VALUE"""),"AB001458")</f>
        <v>AB001458</v>
      </c>
      <c r="B1181" s="205">
        <f ca="1">IFERROR(__xludf.DUMMYFUNCTION("""COMPUTED_VALUE"""),43726)</f>
        <v>43726</v>
      </c>
      <c r="C1181" t="str">
        <f ca="1">IFERROR(__xludf.DUMMYFUNCTION("""COMPUTED_VALUE"""),"")</f>
        <v/>
      </c>
      <c r="D1181" t="str">
        <f ca="1">IFERROR(__xludf.DUMMYFUNCTION("""COMPUTED_VALUE"""),"")</f>
        <v/>
      </c>
    </row>
    <row r="1182" spans="1:4" ht="15" customHeight="1">
      <c r="A1182" t="str">
        <f ca="1">IFERROR(__xludf.DUMMYFUNCTION("""COMPUTED_VALUE"""),"AB001458")</f>
        <v>AB001458</v>
      </c>
      <c r="B1182" s="205">
        <f ca="1">IFERROR(__xludf.DUMMYFUNCTION("""COMPUTED_VALUE"""),43726)</f>
        <v>43726</v>
      </c>
      <c r="C1182" t="str">
        <f ca="1">IFERROR(__xludf.DUMMYFUNCTION("""COMPUTED_VALUE"""),"")</f>
        <v/>
      </c>
      <c r="D1182" t="str">
        <f ca="1">IFERROR(__xludf.DUMMYFUNCTION("""COMPUTED_VALUE"""),"")</f>
        <v/>
      </c>
    </row>
    <row r="1183" spans="1:4" ht="15" customHeight="1">
      <c r="A1183" t="str">
        <f ca="1">IFERROR(__xludf.DUMMYFUNCTION("""COMPUTED_VALUE"""),"AB001458")</f>
        <v>AB001458</v>
      </c>
      <c r="B1183" s="205">
        <f ca="1">IFERROR(__xludf.DUMMYFUNCTION("""COMPUTED_VALUE"""),43726)</f>
        <v>43726</v>
      </c>
      <c r="C1183" t="str">
        <f ca="1">IFERROR(__xludf.DUMMYFUNCTION("""COMPUTED_VALUE"""),"")</f>
        <v/>
      </c>
      <c r="D1183" t="str">
        <f ca="1">IFERROR(__xludf.DUMMYFUNCTION("""COMPUTED_VALUE"""),"")</f>
        <v/>
      </c>
    </row>
    <row r="1184" spans="1:4" ht="15" customHeight="1">
      <c r="A1184" t="str">
        <f ca="1">IFERROR(__xludf.DUMMYFUNCTION("""COMPUTED_VALUE"""),"AB001458")</f>
        <v>AB001458</v>
      </c>
      <c r="B1184" s="205">
        <f ca="1">IFERROR(__xludf.DUMMYFUNCTION("""COMPUTED_VALUE"""),43726)</f>
        <v>43726</v>
      </c>
      <c r="C1184" t="str">
        <f ca="1">IFERROR(__xludf.DUMMYFUNCTION("""COMPUTED_VALUE"""),"")</f>
        <v/>
      </c>
      <c r="D1184" t="str">
        <f ca="1">IFERROR(__xludf.DUMMYFUNCTION("""COMPUTED_VALUE"""),"")</f>
        <v/>
      </c>
    </row>
    <row r="1185" spans="1:4" ht="15" customHeight="1">
      <c r="A1185" s="207" t="str">
        <f ca="1">IFERROR(__xludf.DUMMYFUNCTION("""COMPUTED_VALUE"""),"AB001458")</f>
        <v>AB001458</v>
      </c>
      <c r="B1185" s="205">
        <f ca="1">IFERROR(__xludf.DUMMYFUNCTION("""COMPUTED_VALUE"""),43726)</f>
        <v>43726</v>
      </c>
      <c r="C1185" t="str">
        <f ca="1">IFERROR(__xludf.DUMMYFUNCTION("""COMPUTED_VALUE"""),"")</f>
        <v/>
      </c>
      <c r="D1185" t="str">
        <f ca="1">IFERROR(__xludf.DUMMYFUNCTION("""COMPUTED_VALUE"""),"")</f>
        <v/>
      </c>
    </row>
    <row r="1186" spans="1:4" ht="15" customHeight="1">
      <c r="A1186" s="207" t="str">
        <f ca="1">IFERROR(__xludf.DUMMYFUNCTION("""COMPUTED_VALUE"""),"AB001458")</f>
        <v>AB001458</v>
      </c>
      <c r="B1186" s="205">
        <f ca="1">IFERROR(__xludf.DUMMYFUNCTION("""COMPUTED_VALUE"""),43726)</f>
        <v>43726</v>
      </c>
      <c r="C1186" t="str">
        <f ca="1">IFERROR(__xludf.DUMMYFUNCTION("""COMPUTED_VALUE"""),"")</f>
        <v/>
      </c>
      <c r="D1186" t="str">
        <f ca="1">IFERROR(__xludf.DUMMYFUNCTION("""COMPUTED_VALUE"""),"")</f>
        <v/>
      </c>
    </row>
    <row r="1187" spans="1:4" ht="15" customHeight="1">
      <c r="A1187" t="str">
        <f ca="1">IFERROR(__xludf.DUMMYFUNCTION("""COMPUTED_VALUE"""),"AB001458")</f>
        <v>AB001458</v>
      </c>
      <c r="B1187" s="205">
        <f ca="1">IFERROR(__xludf.DUMMYFUNCTION("""COMPUTED_VALUE"""),43726)</f>
        <v>43726</v>
      </c>
      <c r="C1187" t="str">
        <f ca="1">IFERROR(__xludf.DUMMYFUNCTION("""COMPUTED_VALUE"""),"")</f>
        <v/>
      </c>
      <c r="D1187" t="str">
        <f ca="1">IFERROR(__xludf.DUMMYFUNCTION("""COMPUTED_VALUE"""),"")</f>
        <v/>
      </c>
    </row>
    <row r="1188" spans="1:4" ht="15" customHeight="1">
      <c r="A1188" t="str">
        <f ca="1">IFERROR(__xludf.DUMMYFUNCTION("""COMPUTED_VALUE"""),"AB001458")</f>
        <v>AB001458</v>
      </c>
      <c r="B1188" s="205">
        <f ca="1">IFERROR(__xludf.DUMMYFUNCTION("""COMPUTED_VALUE"""),43726)</f>
        <v>43726</v>
      </c>
      <c r="C1188" t="str">
        <f ca="1">IFERROR(__xludf.DUMMYFUNCTION("""COMPUTED_VALUE"""),"")</f>
        <v/>
      </c>
      <c r="D1188" t="str">
        <f ca="1">IFERROR(__xludf.DUMMYFUNCTION("""COMPUTED_VALUE"""),"")</f>
        <v/>
      </c>
    </row>
    <row r="1189" spans="1:4" ht="15" customHeight="1">
      <c r="A1189" t="str">
        <f ca="1">IFERROR(__xludf.DUMMYFUNCTION("""COMPUTED_VALUE"""),"AB001458")</f>
        <v>AB001458</v>
      </c>
      <c r="B1189" t="str">
        <f ca="1">IFERROR(__xludf.DUMMYFUNCTION("""COMPUTED_VALUE"""),"")</f>
        <v/>
      </c>
      <c r="C1189" t="str">
        <f ca="1">IFERROR(__xludf.DUMMYFUNCTION("""COMPUTED_VALUE"""),"")</f>
        <v/>
      </c>
      <c r="D1189" t="str">
        <f ca="1">IFERROR(__xludf.DUMMYFUNCTION("""COMPUTED_VALUE"""),"")</f>
        <v/>
      </c>
    </row>
    <row r="1190" spans="1:4" ht="15" customHeight="1">
      <c r="A1190">
        <f ca="1">IFERROR(__xludf.DUMMYFUNCTION("""COMPUTED_VALUE"""),365)</f>
        <v>365</v>
      </c>
      <c r="B1190" s="205">
        <f ca="1">IFERROR(__xludf.DUMMYFUNCTION("""COMPUTED_VALUE"""),43707)</f>
        <v>43707</v>
      </c>
      <c r="C1190" t="str">
        <f ca="1">IFERROR(__xludf.DUMMYFUNCTION("""COMPUTED_VALUE"""),"")</f>
        <v/>
      </c>
      <c r="D1190" t="str">
        <f ca="1">IFERROR(__xludf.DUMMYFUNCTION("""COMPUTED_VALUE"""),"")</f>
        <v/>
      </c>
    </row>
    <row r="1191" spans="1:4" ht="15" customHeight="1">
      <c r="A1191">
        <f ca="1">IFERROR(__xludf.DUMMYFUNCTION("""COMPUTED_VALUE"""),365)</f>
        <v>365</v>
      </c>
      <c r="B1191" s="205">
        <f ca="1">IFERROR(__xludf.DUMMYFUNCTION("""COMPUTED_VALUE"""),43707)</f>
        <v>43707</v>
      </c>
      <c r="C1191" t="str">
        <f ca="1">IFERROR(__xludf.DUMMYFUNCTION("""COMPUTED_VALUE"""),"")</f>
        <v/>
      </c>
      <c r="D1191" t="str">
        <f ca="1">IFERROR(__xludf.DUMMYFUNCTION("""COMPUTED_VALUE"""),"")</f>
        <v/>
      </c>
    </row>
    <row r="1192" spans="1:4" ht="15" customHeight="1">
      <c r="A1192" t="str">
        <f ca="1">IFERROR(__xludf.DUMMYFUNCTION("""COMPUTED_VALUE"""),"AB001096")</f>
        <v>AB001096</v>
      </c>
      <c r="B1192" s="205">
        <f ca="1">IFERROR(__xludf.DUMMYFUNCTION("""COMPUTED_VALUE"""),43712)</f>
        <v>43712</v>
      </c>
      <c r="C1192" t="str">
        <f ca="1">IFERROR(__xludf.DUMMYFUNCTION("""COMPUTED_VALUE"""),"")</f>
        <v/>
      </c>
      <c r="D1192" t="str">
        <f ca="1">IFERROR(__xludf.DUMMYFUNCTION("""COMPUTED_VALUE"""),"")</f>
        <v/>
      </c>
    </row>
    <row r="1193" spans="1:4" ht="15" customHeight="1">
      <c r="A1193" t="str">
        <f ca="1">IFERROR(__xludf.DUMMYFUNCTION("""COMPUTED_VALUE"""),"AB001426")</f>
        <v>AB001426</v>
      </c>
      <c r="B1193" s="205">
        <f ca="1">IFERROR(__xludf.DUMMYFUNCTION("""COMPUTED_VALUE"""),43712)</f>
        <v>43712</v>
      </c>
      <c r="C1193" t="str">
        <f ca="1">IFERROR(__xludf.DUMMYFUNCTION("""COMPUTED_VALUE"""),"")</f>
        <v/>
      </c>
      <c r="D1193" t="str">
        <f ca="1">IFERROR(__xludf.DUMMYFUNCTION("""COMPUTED_VALUE"""),"")</f>
        <v/>
      </c>
    </row>
    <row r="1194" spans="1:4" ht="15" customHeight="1">
      <c r="A1194" t="str">
        <f ca="1">IFERROR(__xludf.DUMMYFUNCTION("""COMPUTED_VALUE"""),"AB001427")</f>
        <v>AB001427</v>
      </c>
      <c r="B1194" s="205">
        <f ca="1">IFERROR(__xludf.DUMMYFUNCTION("""COMPUTED_VALUE"""),43712)</f>
        <v>43712</v>
      </c>
      <c r="C1194" t="str">
        <f ca="1">IFERROR(__xludf.DUMMYFUNCTION("""COMPUTED_VALUE"""),"")</f>
        <v/>
      </c>
      <c r="D1194" t="str">
        <f ca="1">IFERROR(__xludf.DUMMYFUNCTION("""COMPUTED_VALUE"""),"")</f>
        <v/>
      </c>
    </row>
    <row r="1195" spans="1:4" ht="15" customHeight="1">
      <c r="A1195" t="str">
        <f ca="1">IFERROR(__xludf.DUMMYFUNCTION("""COMPUTED_VALUE"""),"AB001428")</f>
        <v>AB001428</v>
      </c>
      <c r="B1195" s="205">
        <f ca="1">IFERROR(__xludf.DUMMYFUNCTION("""COMPUTED_VALUE"""),43712)</f>
        <v>43712</v>
      </c>
      <c r="C1195" t="str">
        <f ca="1">IFERROR(__xludf.DUMMYFUNCTION("""COMPUTED_VALUE"""),"")</f>
        <v/>
      </c>
      <c r="D1195" t="str">
        <f ca="1">IFERROR(__xludf.DUMMYFUNCTION("""COMPUTED_VALUE"""),"")</f>
        <v/>
      </c>
    </row>
    <row r="1196" spans="1:4" ht="15" customHeight="1">
      <c r="A1196" t="str">
        <f ca="1">IFERROR(__xludf.DUMMYFUNCTION("""COMPUTED_VALUE"""),"AB001460")</f>
        <v>AB001460</v>
      </c>
      <c r="B1196" s="205">
        <f ca="1">IFERROR(__xludf.DUMMYFUNCTION("""COMPUTED_VALUE"""),43726)</f>
        <v>43726</v>
      </c>
      <c r="C1196" t="str">
        <f ca="1">IFERROR(__xludf.DUMMYFUNCTION("""COMPUTED_VALUE"""),"")</f>
        <v/>
      </c>
      <c r="D1196" t="str">
        <f ca="1">IFERROR(__xludf.DUMMYFUNCTION("""COMPUTED_VALUE"""),"")</f>
        <v/>
      </c>
    </row>
    <row r="1197" spans="1:4" ht="15" customHeight="1">
      <c r="A1197" t="str">
        <f ca="1">IFERROR(__xludf.DUMMYFUNCTION("""COMPUTED_VALUE"""),"AB001460")</f>
        <v>AB001460</v>
      </c>
      <c r="B1197" s="205">
        <f ca="1">IFERROR(__xludf.DUMMYFUNCTION("""COMPUTED_VALUE"""),43726)</f>
        <v>43726</v>
      </c>
      <c r="C1197" t="str">
        <f ca="1">IFERROR(__xludf.DUMMYFUNCTION("""COMPUTED_VALUE"""),"")</f>
        <v/>
      </c>
      <c r="D1197" t="str">
        <f ca="1">IFERROR(__xludf.DUMMYFUNCTION("""COMPUTED_VALUE"""),"")</f>
        <v/>
      </c>
    </row>
    <row r="1198" spans="1:4" ht="15" customHeight="1">
      <c r="A1198" t="str">
        <f ca="1">IFERROR(__xludf.DUMMYFUNCTION("""COMPUTED_VALUE"""),"AB001460")</f>
        <v>AB001460</v>
      </c>
      <c r="B1198" s="205">
        <f ca="1">IFERROR(__xludf.DUMMYFUNCTION("""COMPUTED_VALUE"""),43726)</f>
        <v>43726</v>
      </c>
      <c r="C1198" t="str">
        <f ca="1">IFERROR(__xludf.DUMMYFUNCTION("""COMPUTED_VALUE"""),"")</f>
        <v/>
      </c>
      <c r="D1198" t="str">
        <f ca="1">IFERROR(__xludf.DUMMYFUNCTION("""COMPUTED_VALUE"""),"")</f>
        <v/>
      </c>
    </row>
    <row r="1199" spans="1:4" ht="15" customHeight="1">
      <c r="A1199" t="str">
        <f ca="1">IFERROR(__xludf.DUMMYFUNCTION("""COMPUTED_VALUE"""),"AB001460")</f>
        <v>AB001460</v>
      </c>
      <c r="B1199" s="205">
        <f ca="1">IFERROR(__xludf.DUMMYFUNCTION("""COMPUTED_VALUE"""),43726)</f>
        <v>43726</v>
      </c>
      <c r="C1199" t="str">
        <f ca="1">IFERROR(__xludf.DUMMYFUNCTION("""COMPUTED_VALUE"""),"")</f>
        <v/>
      </c>
      <c r="D1199" t="str">
        <f ca="1">IFERROR(__xludf.DUMMYFUNCTION("""COMPUTED_VALUE"""),"")</f>
        <v/>
      </c>
    </row>
    <row r="1200" spans="1:4" ht="15" customHeight="1">
      <c r="A1200" t="str">
        <f ca="1">IFERROR(__xludf.DUMMYFUNCTION("""COMPUTED_VALUE"""),"AB001460")</f>
        <v>AB001460</v>
      </c>
      <c r="B1200" s="205">
        <f ca="1">IFERROR(__xludf.DUMMYFUNCTION("""COMPUTED_VALUE"""),43726)</f>
        <v>43726</v>
      </c>
      <c r="C1200" t="str">
        <f ca="1">IFERROR(__xludf.DUMMYFUNCTION("""COMPUTED_VALUE"""),"")</f>
        <v/>
      </c>
      <c r="D1200" t="str">
        <f ca="1">IFERROR(__xludf.DUMMYFUNCTION("""COMPUTED_VALUE"""),"")</f>
        <v/>
      </c>
    </row>
    <row r="1201" spans="1:4" ht="15" customHeight="1">
      <c r="A1201" t="str">
        <f ca="1">IFERROR(__xludf.DUMMYFUNCTION("""COMPUTED_VALUE"""),"AB001460")</f>
        <v>AB001460</v>
      </c>
      <c r="B1201" s="205">
        <f ca="1">IFERROR(__xludf.DUMMYFUNCTION("""COMPUTED_VALUE"""),43726)</f>
        <v>43726</v>
      </c>
      <c r="C1201" t="str">
        <f ca="1">IFERROR(__xludf.DUMMYFUNCTION("""COMPUTED_VALUE"""),"")</f>
        <v/>
      </c>
      <c r="D1201" t="str">
        <f ca="1">IFERROR(__xludf.DUMMYFUNCTION("""COMPUTED_VALUE"""),"")</f>
        <v/>
      </c>
    </row>
    <row r="1202" spans="1:4" ht="15" customHeight="1">
      <c r="A1202" t="str">
        <f ca="1">IFERROR(__xludf.DUMMYFUNCTION("""COMPUTED_VALUE"""),"AB001460")</f>
        <v>AB001460</v>
      </c>
      <c r="B1202" s="205">
        <f ca="1">IFERROR(__xludf.DUMMYFUNCTION("""COMPUTED_VALUE"""),43726)</f>
        <v>43726</v>
      </c>
      <c r="C1202" t="str">
        <f ca="1">IFERROR(__xludf.DUMMYFUNCTION("""COMPUTED_VALUE"""),"")</f>
        <v/>
      </c>
      <c r="D1202" t="str">
        <f ca="1">IFERROR(__xludf.DUMMYFUNCTION("""COMPUTED_VALUE"""),"")</f>
        <v/>
      </c>
    </row>
    <row r="1203" spans="1:4" ht="15" customHeight="1">
      <c r="A1203" t="str">
        <f ca="1">IFERROR(__xludf.DUMMYFUNCTION("""COMPUTED_VALUE"""),"AB001460")</f>
        <v>AB001460</v>
      </c>
      <c r="B1203" s="205">
        <f ca="1">IFERROR(__xludf.DUMMYFUNCTION("""COMPUTED_VALUE"""),43726)</f>
        <v>43726</v>
      </c>
      <c r="C1203" t="str">
        <f ca="1">IFERROR(__xludf.DUMMYFUNCTION("""COMPUTED_VALUE"""),"")</f>
        <v/>
      </c>
      <c r="D1203" t="str">
        <f ca="1">IFERROR(__xludf.DUMMYFUNCTION("""COMPUTED_VALUE"""),"")</f>
        <v/>
      </c>
    </row>
    <row r="1204" spans="1:4" ht="15" customHeight="1">
      <c r="A1204" t="str">
        <f ca="1">IFERROR(__xludf.DUMMYFUNCTION("""COMPUTED_VALUE"""),"AB001460")</f>
        <v>AB001460</v>
      </c>
      <c r="B1204" s="205">
        <f ca="1">IFERROR(__xludf.DUMMYFUNCTION("""COMPUTED_VALUE"""),43726)</f>
        <v>43726</v>
      </c>
      <c r="C1204" t="str">
        <f ca="1">IFERROR(__xludf.DUMMYFUNCTION("""COMPUTED_VALUE"""),"")</f>
        <v/>
      </c>
      <c r="D1204" t="str">
        <f ca="1">IFERROR(__xludf.DUMMYFUNCTION("""COMPUTED_VALUE"""),"")</f>
        <v/>
      </c>
    </row>
    <row r="1205" spans="1:4" ht="15" customHeight="1">
      <c r="A1205" t="str">
        <f ca="1">IFERROR(__xludf.DUMMYFUNCTION("""COMPUTED_VALUE"""),"AB001460")</f>
        <v>AB001460</v>
      </c>
      <c r="B1205" s="205">
        <f ca="1">IFERROR(__xludf.DUMMYFUNCTION("""COMPUTED_VALUE"""),43726)</f>
        <v>43726</v>
      </c>
      <c r="C1205" t="str">
        <f ca="1">IFERROR(__xludf.DUMMYFUNCTION("""COMPUTED_VALUE"""),"")</f>
        <v/>
      </c>
      <c r="D1205" t="str">
        <f ca="1">IFERROR(__xludf.DUMMYFUNCTION("""COMPUTED_VALUE"""),"")</f>
        <v/>
      </c>
    </row>
    <row r="1206" spans="1:4" ht="15" customHeight="1">
      <c r="A1206" t="str">
        <f ca="1">IFERROR(__xludf.DUMMYFUNCTION("""COMPUTED_VALUE"""),"AB001461")</f>
        <v>AB001461</v>
      </c>
      <c r="B1206" s="205">
        <f ca="1">IFERROR(__xludf.DUMMYFUNCTION("""COMPUTED_VALUE"""),43726)</f>
        <v>43726</v>
      </c>
      <c r="C1206" t="str">
        <f ca="1">IFERROR(__xludf.DUMMYFUNCTION("""COMPUTED_VALUE"""),"")</f>
        <v/>
      </c>
      <c r="D1206" t="str">
        <f ca="1">IFERROR(__xludf.DUMMYFUNCTION("""COMPUTED_VALUE"""),"")</f>
        <v/>
      </c>
    </row>
    <row r="1207" spans="1:4" ht="15" customHeight="1">
      <c r="A1207" t="str">
        <f ca="1">IFERROR(__xludf.DUMMYFUNCTION("""COMPUTED_VALUE"""),"AB001461")</f>
        <v>AB001461</v>
      </c>
      <c r="B1207" s="205">
        <f ca="1">IFERROR(__xludf.DUMMYFUNCTION("""COMPUTED_VALUE"""),43726)</f>
        <v>43726</v>
      </c>
      <c r="C1207" t="str">
        <f ca="1">IFERROR(__xludf.DUMMYFUNCTION("""COMPUTED_VALUE"""),"")</f>
        <v/>
      </c>
      <c r="D1207" t="str">
        <f ca="1">IFERROR(__xludf.DUMMYFUNCTION("""COMPUTED_VALUE"""),"")</f>
        <v/>
      </c>
    </row>
    <row r="1208" spans="1:4" ht="15" customHeight="1">
      <c r="A1208" t="str">
        <f ca="1">IFERROR(__xludf.DUMMYFUNCTION("""COMPUTED_VALUE"""),"AB001429")</f>
        <v>AB001429</v>
      </c>
      <c r="B1208" s="205">
        <f ca="1">IFERROR(__xludf.DUMMYFUNCTION("""COMPUTED_VALUE"""),43714)</f>
        <v>43714</v>
      </c>
      <c r="C1208" t="str">
        <f ca="1">IFERROR(__xludf.DUMMYFUNCTION("""COMPUTED_VALUE"""),"")</f>
        <v/>
      </c>
      <c r="D1208" t="str">
        <f ca="1">IFERROR(__xludf.DUMMYFUNCTION("""COMPUTED_VALUE"""),"")</f>
        <v/>
      </c>
    </row>
    <row r="1209" spans="1:4" ht="15" customHeight="1">
      <c r="A1209" t="str">
        <f ca="1">IFERROR(__xludf.DUMMYFUNCTION("""COMPUTED_VALUE"""),"AB001493")</f>
        <v>AB001493</v>
      </c>
      <c r="B1209" s="205">
        <f ca="1">IFERROR(__xludf.DUMMYFUNCTION("""COMPUTED_VALUE"""),43714)</f>
        <v>43714</v>
      </c>
      <c r="C1209" t="str">
        <f ca="1">IFERROR(__xludf.DUMMYFUNCTION("""COMPUTED_VALUE"""),"")</f>
        <v/>
      </c>
      <c r="D1209" t="str">
        <f ca="1">IFERROR(__xludf.DUMMYFUNCTION("""COMPUTED_VALUE"""),"")</f>
        <v/>
      </c>
    </row>
    <row r="1210" spans="1:4" ht="15" customHeight="1">
      <c r="A1210" t="str">
        <f ca="1">IFERROR(__xludf.DUMMYFUNCTION("""COMPUTED_VALUE"""),"AB001494")</f>
        <v>AB001494</v>
      </c>
      <c r="B1210" s="205">
        <f ca="1">IFERROR(__xludf.DUMMYFUNCTION("""COMPUTED_VALUE"""),43714)</f>
        <v>43714</v>
      </c>
      <c r="C1210" t="str">
        <f ca="1">IFERROR(__xludf.DUMMYFUNCTION("""COMPUTED_VALUE"""),"")</f>
        <v/>
      </c>
      <c r="D1210" t="str">
        <f ca="1">IFERROR(__xludf.DUMMYFUNCTION("""COMPUTED_VALUE"""),"")</f>
        <v/>
      </c>
    </row>
    <row r="1211" spans="1:4" ht="15" customHeight="1">
      <c r="A1211" t="str">
        <f ca="1">IFERROR(__xludf.DUMMYFUNCTION("""COMPUTED_VALUE"""),"AB001494")</f>
        <v>AB001494</v>
      </c>
      <c r="B1211" s="205">
        <f ca="1">IFERROR(__xludf.DUMMYFUNCTION("""COMPUTED_VALUE"""),43714)</f>
        <v>43714</v>
      </c>
      <c r="C1211" t="str">
        <f ca="1">IFERROR(__xludf.DUMMYFUNCTION("""COMPUTED_VALUE"""),"")</f>
        <v/>
      </c>
      <c r="D1211" t="str">
        <f ca="1">IFERROR(__xludf.DUMMYFUNCTION("""COMPUTED_VALUE"""),"")</f>
        <v/>
      </c>
    </row>
    <row r="1212" spans="1:4" ht="15" customHeight="1">
      <c r="A1212" t="str">
        <f ca="1">IFERROR(__xludf.DUMMYFUNCTION("""COMPUTED_VALUE"""),"AB001491")</f>
        <v>AB001491</v>
      </c>
      <c r="B1212" s="205">
        <f ca="1">IFERROR(__xludf.DUMMYFUNCTION("""COMPUTED_VALUE"""),43718)</f>
        <v>43718</v>
      </c>
      <c r="C1212" t="str">
        <f ca="1">IFERROR(__xludf.DUMMYFUNCTION("""COMPUTED_VALUE"""),"")</f>
        <v/>
      </c>
      <c r="D1212" t="str">
        <f ca="1">IFERROR(__xludf.DUMMYFUNCTION("""COMPUTED_VALUE"""),"")</f>
        <v/>
      </c>
    </row>
    <row r="1213" spans="1:4" ht="15" customHeight="1">
      <c r="A1213" t="str">
        <f ca="1">IFERROR(__xludf.DUMMYFUNCTION("""COMPUTED_VALUE"""),"AB001491")</f>
        <v>AB001491</v>
      </c>
      <c r="B1213" s="205">
        <f ca="1">IFERROR(__xludf.DUMMYFUNCTION("""COMPUTED_VALUE"""),43718)</f>
        <v>43718</v>
      </c>
      <c r="C1213" t="str">
        <f ca="1">IFERROR(__xludf.DUMMYFUNCTION("""COMPUTED_VALUE"""),"")</f>
        <v/>
      </c>
      <c r="D1213" t="str">
        <f ca="1">IFERROR(__xludf.DUMMYFUNCTION("""COMPUTED_VALUE"""),"")</f>
        <v/>
      </c>
    </row>
    <row r="1214" spans="1:4" ht="15" customHeight="1">
      <c r="A1214" t="str">
        <f ca="1">IFERROR(__xludf.DUMMYFUNCTION("""COMPUTED_VALUE"""),"AB001491")</f>
        <v>AB001491</v>
      </c>
      <c r="B1214" s="205">
        <f ca="1">IFERROR(__xludf.DUMMYFUNCTION("""COMPUTED_VALUE"""),43718)</f>
        <v>43718</v>
      </c>
      <c r="C1214" t="str">
        <f ca="1">IFERROR(__xludf.DUMMYFUNCTION("""COMPUTED_VALUE"""),"")</f>
        <v/>
      </c>
      <c r="D1214" t="str">
        <f ca="1">IFERROR(__xludf.DUMMYFUNCTION("""COMPUTED_VALUE"""),"")</f>
        <v/>
      </c>
    </row>
    <row r="1215" spans="1:4" ht="15" customHeight="1">
      <c r="A1215" t="str">
        <f ca="1">IFERROR(__xludf.DUMMYFUNCTION("""COMPUTED_VALUE"""),"AB001491")</f>
        <v>AB001491</v>
      </c>
      <c r="B1215" s="205">
        <f ca="1">IFERROR(__xludf.DUMMYFUNCTION("""COMPUTED_VALUE"""),43718)</f>
        <v>43718</v>
      </c>
      <c r="C1215" t="str">
        <f ca="1">IFERROR(__xludf.DUMMYFUNCTION("""COMPUTED_VALUE"""),"")</f>
        <v/>
      </c>
      <c r="D1215" t="str">
        <f ca="1">IFERROR(__xludf.DUMMYFUNCTION("""COMPUTED_VALUE"""),"")</f>
        <v/>
      </c>
    </row>
    <row r="1216" spans="1:4" ht="15" customHeight="1">
      <c r="A1216" t="str">
        <f ca="1">IFERROR(__xludf.DUMMYFUNCTION("""COMPUTED_VALUE"""),"AB001492")</f>
        <v>AB001492</v>
      </c>
      <c r="B1216" s="205">
        <f ca="1">IFERROR(__xludf.DUMMYFUNCTION("""COMPUTED_VALUE"""),43738)</f>
        <v>43738</v>
      </c>
      <c r="C1216" t="str">
        <f ca="1">IFERROR(__xludf.DUMMYFUNCTION("""COMPUTED_VALUE"""),"")</f>
        <v/>
      </c>
      <c r="D1216" t="str">
        <f ca="1">IFERROR(__xludf.DUMMYFUNCTION("""COMPUTED_VALUE"""),"")</f>
        <v/>
      </c>
    </row>
    <row r="1217" spans="1:4" ht="15" customHeight="1">
      <c r="A1217" t="str">
        <f ca="1">IFERROR(__xludf.DUMMYFUNCTION("""COMPUTED_VALUE"""),"AB001390")</f>
        <v>AB001390</v>
      </c>
      <c r="B1217" s="205">
        <f ca="1">IFERROR(__xludf.DUMMYFUNCTION("""COMPUTED_VALUE"""),43738)</f>
        <v>43738</v>
      </c>
      <c r="C1217" t="str">
        <f ca="1">IFERROR(__xludf.DUMMYFUNCTION("""COMPUTED_VALUE"""),"")</f>
        <v/>
      </c>
      <c r="D1217" t="str">
        <f ca="1">IFERROR(__xludf.DUMMYFUNCTION("""COMPUTED_VALUE"""),"")</f>
        <v/>
      </c>
    </row>
    <row r="1218" spans="1:4" ht="15" customHeight="1">
      <c r="A1218" t="str">
        <f ca="1">IFERROR(__xludf.DUMMYFUNCTION("""COMPUTED_VALUE"""),"AB001430")</f>
        <v>AB001430</v>
      </c>
      <c r="B1218" s="205">
        <f ca="1">IFERROR(__xludf.DUMMYFUNCTION("""COMPUTED_VALUE"""),43718)</f>
        <v>43718</v>
      </c>
      <c r="C1218" t="str">
        <f ca="1">IFERROR(__xludf.DUMMYFUNCTION("""COMPUTED_VALUE"""),"")</f>
        <v/>
      </c>
      <c r="D1218" t="str">
        <f ca="1">IFERROR(__xludf.DUMMYFUNCTION("""COMPUTED_VALUE"""),"")</f>
        <v/>
      </c>
    </row>
    <row r="1219" spans="1:4" ht="15" customHeight="1">
      <c r="A1219" t="str">
        <f ca="1">IFERROR(__xludf.DUMMYFUNCTION("""COMPUTED_VALUE"""),"AB001431")</f>
        <v>AB001431</v>
      </c>
      <c r="B1219" s="205">
        <f ca="1">IFERROR(__xludf.DUMMYFUNCTION("""COMPUTED_VALUE"""),43726)</f>
        <v>43726</v>
      </c>
      <c r="C1219" t="str">
        <f ca="1">IFERROR(__xludf.DUMMYFUNCTION("""COMPUTED_VALUE"""),"")</f>
        <v/>
      </c>
      <c r="D1219" t="str">
        <f ca="1">IFERROR(__xludf.DUMMYFUNCTION("""COMPUTED_VALUE"""),"")</f>
        <v/>
      </c>
    </row>
    <row r="1220" spans="1:4" ht="15" customHeight="1">
      <c r="A1220" t="str">
        <f ca="1">IFERROR(__xludf.DUMMYFUNCTION("""COMPUTED_VALUE"""),"AB001495")</f>
        <v>AB001495</v>
      </c>
      <c r="B1220" s="205">
        <f ca="1">IFERROR(__xludf.DUMMYFUNCTION("""COMPUTED_VALUE"""),43760)</f>
        <v>43760</v>
      </c>
      <c r="C1220" t="str">
        <f ca="1">IFERROR(__xludf.DUMMYFUNCTION("""COMPUTED_VALUE"""),"")</f>
        <v/>
      </c>
      <c r="D1220" t="str">
        <f ca="1">IFERROR(__xludf.DUMMYFUNCTION("""COMPUTED_VALUE"""),"")</f>
        <v/>
      </c>
    </row>
    <row r="1221" spans="1:4" ht="15" customHeight="1">
      <c r="A1221" t="str">
        <f ca="1">IFERROR(__xludf.DUMMYFUNCTION("""COMPUTED_VALUE"""),"AB001496")</f>
        <v>AB001496</v>
      </c>
      <c r="B1221" s="205">
        <f ca="1">IFERROR(__xludf.DUMMYFUNCTION("""COMPUTED_VALUE"""),43724)</f>
        <v>43724</v>
      </c>
      <c r="C1221" t="str">
        <f ca="1">IFERROR(__xludf.DUMMYFUNCTION("""COMPUTED_VALUE"""),"")</f>
        <v/>
      </c>
      <c r="D1221" t="str">
        <f ca="1">IFERROR(__xludf.DUMMYFUNCTION("""COMPUTED_VALUE"""),"")</f>
        <v/>
      </c>
    </row>
    <row r="1222" spans="1:4" ht="15" customHeight="1">
      <c r="A1222" t="str">
        <f ca="1">IFERROR(__xludf.DUMMYFUNCTION("""COMPUTED_VALUE"""),"AB001462")</f>
        <v>AB001462</v>
      </c>
      <c r="B1222" s="205">
        <f ca="1">IFERROR(__xludf.DUMMYFUNCTION("""COMPUTED_VALUE"""),43726)</f>
        <v>43726</v>
      </c>
      <c r="C1222" t="str">
        <f ca="1">IFERROR(__xludf.DUMMYFUNCTION("""COMPUTED_VALUE"""),"")</f>
        <v/>
      </c>
      <c r="D1222" t="str">
        <f ca="1">IFERROR(__xludf.DUMMYFUNCTION("""COMPUTED_VALUE"""),"")</f>
        <v/>
      </c>
    </row>
    <row r="1223" spans="1:4" ht="15" customHeight="1">
      <c r="A1223" t="str">
        <f ca="1">IFERROR(__xludf.DUMMYFUNCTION("""COMPUTED_VALUE"""),"AB001462")</f>
        <v>AB001462</v>
      </c>
      <c r="B1223" s="205">
        <f ca="1">IFERROR(__xludf.DUMMYFUNCTION("""COMPUTED_VALUE"""),43726)</f>
        <v>43726</v>
      </c>
      <c r="C1223" t="str">
        <f ca="1">IFERROR(__xludf.DUMMYFUNCTION("""COMPUTED_VALUE"""),"")</f>
        <v/>
      </c>
      <c r="D1223" t="str">
        <f ca="1">IFERROR(__xludf.DUMMYFUNCTION("""COMPUTED_VALUE"""),"")</f>
        <v/>
      </c>
    </row>
    <row r="1224" spans="1:4" ht="15" customHeight="1">
      <c r="A1224" t="str">
        <f ca="1">IFERROR(__xludf.DUMMYFUNCTION("""COMPUTED_VALUE"""),"AB001462")</f>
        <v>AB001462</v>
      </c>
      <c r="B1224" s="205">
        <f ca="1">IFERROR(__xludf.DUMMYFUNCTION("""COMPUTED_VALUE"""),43726)</f>
        <v>43726</v>
      </c>
      <c r="C1224" t="str">
        <f ca="1">IFERROR(__xludf.DUMMYFUNCTION("""COMPUTED_VALUE"""),"")</f>
        <v/>
      </c>
      <c r="D1224" t="str">
        <f ca="1">IFERROR(__xludf.DUMMYFUNCTION("""COMPUTED_VALUE"""),"")</f>
        <v/>
      </c>
    </row>
    <row r="1225" spans="1:4" ht="15" customHeight="1">
      <c r="A1225" t="str">
        <f ca="1">IFERROR(__xludf.DUMMYFUNCTION("""COMPUTED_VALUE"""),"AB001433")</f>
        <v>AB001433</v>
      </c>
      <c r="B1225" s="205">
        <f ca="1">IFERROR(__xludf.DUMMYFUNCTION("""COMPUTED_VALUE"""),43728)</f>
        <v>43728</v>
      </c>
      <c r="C1225" t="str">
        <f ca="1">IFERROR(__xludf.DUMMYFUNCTION("""COMPUTED_VALUE"""),"")</f>
        <v/>
      </c>
      <c r="D1225" t="str">
        <f ca="1">IFERROR(__xludf.DUMMYFUNCTION("""COMPUTED_VALUE"""),"")</f>
        <v/>
      </c>
    </row>
    <row r="1226" spans="1:4" ht="15" customHeight="1">
      <c r="A1226" t="str">
        <f ca="1">IFERROR(__xludf.DUMMYFUNCTION("""COMPUTED_VALUE"""),"AB001386")</f>
        <v>AB001386</v>
      </c>
      <c r="B1226" s="205">
        <f ca="1">IFERROR(__xludf.DUMMYFUNCTION("""COMPUTED_VALUE"""),43726)</f>
        <v>43726</v>
      </c>
      <c r="C1226" t="str">
        <f ca="1">IFERROR(__xludf.DUMMYFUNCTION("""COMPUTED_VALUE"""),"")</f>
        <v/>
      </c>
      <c r="D1226" t="str">
        <f ca="1">IFERROR(__xludf.DUMMYFUNCTION("""COMPUTED_VALUE"""),"")</f>
        <v/>
      </c>
    </row>
    <row r="1227" spans="1:4" ht="15" customHeight="1">
      <c r="A1227" t="str">
        <f ca="1">IFERROR(__xludf.DUMMYFUNCTION("""COMPUTED_VALUE"""),"AB001434")</f>
        <v>AB001434</v>
      </c>
      <c r="B1227" s="205">
        <f ca="1">IFERROR(__xludf.DUMMYFUNCTION("""COMPUTED_VALUE"""),43728)</f>
        <v>43728</v>
      </c>
      <c r="C1227" t="str">
        <f ca="1">IFERROR(__xludf.DUMMYFUNCTION("""COMPUTED_VALUE"""),"")</f>
        <v/>
      </c>
      <c r="D1227" t="str">
        <f ca="1">IFERROR(__xludf.DUMMYFUNCTION("""COMPUTED_VALUE"""),"")</f>
        <v/>
      </c>
    </row>
    <row r="1228" spans="1:4" ht="15" customHeight="1">
      <c r="A1228" t="str">
        <f ca="1">IFERROR(__xludf.DUMMYFUNCTION("""COMPUTED_VALUE"""),"AB001497")</f>
        <v>AB001497</v>
      </c>
      <c r="B1228" s="205">
        <f ca="1">IFERROR(__xludf.DUMMYFUNCTION("""COMPUTED_VALUE"""),43725)</f>
        <v>43725</v>
      </c>
      <c r="C1228" t="str">
        <f ca="1">IFERROR(__xludf.DUMMYFUNCTION("""COMPUTED_VALUE"""),"")</f>
        <v/>
      </c>
      <c r="D1228" t="str">
        <f ca="1">IFERROR(__xludf.DUMMYFUNCTION("""COMPUTED_VALUE"""),"")</f>
        <v/>
      </c>
    </row>
    <row r="1229" spans="1:4" ht="15" customHeight="1">
      <c r="A1229" t="str">
        <f ca="1">IFERROR(__xludf.DUMMYFUNCTION("""COMPUTED_VALUE"""),"AB001498")</f>
        <v>AB001498</v>
      </c>
      <c r="B1229" s="205">
        <f ca="1">IFERROR(__xludf.DUMMYFUNCTION("""COMPUTED_VALUE"""),43725)</f>
        <v>43725</v>
      </c>
      <c r="C1229" t="str">
        <f ca="1">IFERROR(__xludf.DUMMYFUNCTION("""COMPUTED_VALUE"""),"")</f>
        <v/>
      </c>
      <c r="D1229" t="str">
        <f ca="1">IFERROR(__xludf.DUMMYFUNCTION("""COMPUTED_VALUE"""),"")</f>
        <v/>
      </c>
    </row>
    <row r="1230" spans="1:4" ht="15" customHeight="1">
      <c r="A1230" t="str">
        <f ca="1">IFERROR(__xludf.DUMMYFUNCTION("""COMPUTED_VALUE"""),"AB001498")</f>
        <v>AB001498</v>
      </c>
      <c r="B1230" s="205">
        <f ca="1">IFERROR(__xludf.DUMMYFUNCTION("""COMPUTED_VALUE"""),43725)</f>
        <v>43725</v>
      </c>
      <c r="C1230" t="str">
        <f ca="1">IFERROR(__xludf.DUMMYFUNCTION("""COMPUTED_VALUE"""),"")</f>
        <v/>
      </c>
      <c r="D1230" t="str">
        <f ca="1">IFERROR(__xludf.DUMMYFUNCTION("""COMPUTED_VALUE"""),"")</f>
        <v/>
      </c>
    </row>
    <row r="1231" spans="1:4" ht="15" customHeight="1">
      <c r="A1231" t="str">
        <f ca="1">IFERROR(__xludf.DUMMYFUNCTION("""COMPUTED_VALUE"""),"")</f>
        <v/>
      </c>
      <c r="B1231" s="205">
        <f ca="1">IFERROR(__xludf.DUMMYFUNCTION("""COMPUTED_VALUE"""),43725)</f>
        <v>43725</v>
      </c>
      <c r="C1231" t="str">
        <f ca="1">IFERROR(__xludf.DUMMYFUNCTION("""COMPUTED_VALUE"""),"")</f>
        <v/>
      </c>
      <c r="D1231" t="str">
        <f ca="1">IFERROR(__xludf.DUMMYFUNCTION("""COMPUTED_VALUE"""),"")</f>
        <v/>
      </c>
    </row>
    <row r="1232" spans="1:4" ht="15" customHeight="1">
      <c r="A1232" t="str">
        <f ca="1">IFERROR(__xludf.DUMMYFUNCTION("""COMPUTED_VALUE"""),"")</f>
        <v/>
      </c>
      <c r="B1232" s="205">
        <f ca="1">IFERROR(__xludf.DUMMYFUNCTION("""COMPUTED_VALUE"""),43725)</f>
        <v>43725</v>
      </c>
      <c r="C1232" t="str">
        <f ca="1">IFERROR(__xludf.DUMMYFUNCTION("""COMPUTED_VALUE"""),"")</f>
        <v/>
      </c>
      <c r="D1232" t="str">
        <f ca="1">IFERROR(__xludf.DUMMYFUNCTION("""COMPUTED_VALUE"""),"")</f>
        <v/>
      </c>
    </row>
    <row r="1233" spans="1:4" ht="15" customHeight="1">
      <c r="A1233" t="str">
        <f ca="1">IFERROR(__xludf.DUMMYFUNCTION("""COMPUTED_VALUE"""),"AB001315")</f>
        <v>AB001315</v>
      </c>
      <c r="B1233" s="205">
        <f ca="1">IFERROR(__xludf.DUMMYFUNCTION("""COMPUTED_VALUE"""),43738)</f>
        <v>43738</v>
      </c>
      <c r="C1233" t="str">
        <f ca="1">IFERROR(__xludf.DUMMYFUNCTION("""COMPUTED_VALUE"""),"")</f>
        <v/>
      </c>
      <c r="D1233" t="str">
        <f ca="1">IFERROR(__xludf.DUMMYFUNCTION("""COMPUTED_VALUE"""),"")</f>
        <v/>
      </c>
    </row>
    <row r="1234" spans="1:4" ht="15" customHeight="1">
      <c r="A1234" t="str">
        <f ca="1">IFERROR(__xludf.DUMMYFUNCTION("""COMPUTED_VALUE"""),"AB001501")</f>
        <v>AB001501</v>
      </c>
      <c r="B1234" s="205">
        <f ca="1">IFERROR(__xludf.DUMMYFUNCTION("""COMPUTED_VALUE"""),43728)</f>
        <v>43728</v>
      </c>
      <c r="C1234" t="str">
        <f ca="1">IFERROR(__xludf.DUMMYFUNCTION("""COMPUTED_VALUE"""),"")</f>
        <v/>
      </c>
      <c r="D1234" t="str">
        <f ca="1">IFERROR(__xludf.DUMMYFUNCTION("""COMPUTED_VALUE"""),"")</f>
        <v/>
      </c>
    </row>
    <row r="1235" spans="1:4" ht="15" customHeight="1">
      <c r="A1235" t="str">
        <f ca="1">IFERROR(__xludf.DUMMYFUNCTION("""COMPUTED_VALUE"""),"AB001499")</f>
        <v>AB001499</v>
      </c>
      <c r="B1235" s="205">
        <f ca="1">IFERROR(__xludf.DUMMYFUNCTION("""COMPUTED_VALUE"""),43728)</f>
        <v>43728</v>
      </c>
      <c r="C1235" t="str">
        <f ca="1">IFERROR(__xludf.DUMMYFUNCTION("""COMPUTED_VALUE"""),"")</f>
        <v/>
      </c>
      <c r="D1235" t="str">
        <f ca="1">IFERROR(__xludf.DUMMYFUNCTION("""COMPUTED_VALUE"""),"")</f>
        <v/>
      </c>
    </row>
    <row r="1236" spans="1:4" ht="15" customHeight="1">
      <c r="A1236" t="str">
        <f ca="1">IFERROR(__xludf.DUMMYFUNCTION("""COMPUTED_VALUE"""),"AB001097")</f>
        <v>AB001097</v>
      </c>
      <c r="B1236" s="205">
        <f ca="1">IFERROR(__xludf.DUMMYFUNCTION("""COMPUTED_VALUE"""),43728)</f>
        <v>43728</v>
      </c>
      <c r="C1236" t="str">
        <f ca="1">IFERROR(__xludf.DUMMYFUNCTION("""COMPUTED_VALUE"""),"")</f>
        <v/>
      </c>
      <c r="D1236" t="str">
        <f ca="1">IFERROR(__xludf.DUMMYFUNCTION("""COMPUTED_VALUE"""),"")</f>
        <v/>
      </c>
    </row>
    <row r="1237" spans="1:4" ht="15" customHeight="1">
      <c r="A1237" t="str">
        <f ca="1">IFERROR(__xludf.DUMMYFUNCTION("""COMPUTED_VALUE"""),"AB001531")</f>
        <v>AB001531</v>
      </c>
      <c r="B1237" s="205">
        <f ca="1">IFERROR(__xludf.DUMMYFUNCTION("""COMPUTED_VALUE"""),43731)</f>
        <v>43731</v>
      </c>
      <c r="C1237" t="str">
        <f ca="1">IFERROR(__xludf.DUMMYFUNCTION("""COMPUTED_VALUE"""),"")</f>
        <v/>
      </c>
      <c r="D1237" t="str">
        <f ca="1">IFERROR(__xludf.DUMMYFUNCTION("""COMPUTED_VALUE"""),"")</f>
        <v/>
      </c>
    </row>
    <row r="1238" spans="1:4" ht="15" customHeight="1">
      <c r="A1238" t="str">
        <f ca="1">IFERROR(__xludf.DUMMYFUNCTION("""COMPUTED_VALUE"""),"AB001531")</f>
        <v>AB001531</v>
      </c>
      <c r="B1238" s="205">
        <f ca="1">IFERROR(__xludf.DUMMYFUNCTION("""COMPUTED_VALUE"""),43731)</f>
        <v>43731</v>
      </c>
      <c r="C1238" t="str">
        <f ca="1">IFERROR(__xludf.DUMMYFUNCTION("""COMPUTED_VALUE"""),"")</f>
        <v/>
      </c>
      <c r="D1238" t="str">
        <f ca="1">IFERROR(__xludf.DUMMYFUNCTION("""COMPUTED_VALUE"""),"")</f>
        <v/>
      </c>
    </row>
    <row r="1239" spans="1:4" ht="15" customHeight="1">
      <c r="A1239" t="str">
        <f ca="1">IFERROR(__xludf.DUMMYFUNCTION("""COMPUTED_VALUE"""),"AB001432")</f>
        <v>AB001432</v>
      </c>
      <c r="B1239" s="205">
        <f ca="1">IFERROR(__xludf.DUMMYFUNCTION("""COMPUTED_VALUE"""),43728)</f>
        <v>43728</v>
      </c>
      <c r="C1239" t="str">
        <f ca="1">IFERROR(__xludf.DUMMYFUNCTION("""COMPUTED_VALUE"""),"")</f>
        <v/>
      </c>
      <c r="D1239" t="str">
        <f ca="1">IFERROR(__xludf.DUMMYFUNCTION("""COMPUTED_VALUE"""),"")</f>
        <v/>
      </c>
    </row>
    <row r="1240" spans="1:4" ht="15" customHeight="1">
      <c r="A1240" t="str">
        <f ca="1">IFERROR(__xludf.DUMMYFUNCTION("""COMPUTED_VALUE"""),"AB001432")</f>
        <v>AB001432</v>
      </c>
      <c r="B1240" s="205">
        <f ca="1">IFERROR(__xludf.DUMMYFUNCTION("""COMPUTED_VALUE"""),43728)</f>
        <v>43728</v>
      </c>
      <c r="C1240" t="str">
        <f ca="1">IFERROR(__xludf.DUMMYFUNCTION("""COMPUTED_VALUE"""),"")</f>
        <v/>
      </c>
      <c r="D1240" t="str">
        <f ca="1">IFERROR(__xludf.DUMMYFUNCTION("""COMPUTED_VALUE"""),"")</f>
        <v/>
      </c>
    </row>
    <row r="1241" spans="1:4" ht="15" customHeight="1">
      <c r="A1241" t="str">
        <f ca="1">IFERROR(__xludf.DUMMYFUNCTION("""COMPUTED_VALUE"""),"AB001437")</f>
        <v>AB001437</v>
      </c>
      <c r="B1241" s="205">
        <f ca="1">IFERROR(__xludf.DUMMYFUNCTION("""COMPUTED_VALUE"""),43728)</f>
        <v>43728</v>
      </c>
      <c r="C1241" t="str">
        <f ca="1">IFERROR(__xludf.DUMMYFUNCTION("""COMPUTED_VALUE"""),"")</f>
        <v/>
      </c>
      <c r="D1241" t="str">
        <f ca="1">IFERROR(__xludf.DUMMYFUNCTION("""COMPUTED_VALUE"""),"")</f>
        <v/>
      </c>
    </row>
    <row r="1242" spans="1:4" ht="15" customHeight="1">
      <c r="A1242" t="str">
        <f ca="1">IFERROR(__xludf.DUMMYFUNCTION("""COMPUTED_VALUE"""),"AB001436")</f>
        <v>AB001436</v>
      </c>
      <c r="B1242" s="205">
        <f ca="1">IFERROR(__xludf.DUMMYFUNCTION("""COMPUTED_VALUE"""),43728)</f>
        <v>43728</v>
      </c>
      <c r="C1242" t="str">
        <f ca="1">IFERROR(__xludf.DUMMYFUNCTION("""COMPUTED_VALUE"""),"")</f>
        <v/>
      </c>
      <c r="D1242" t="str">
        <f ca="1">IFERROR(__xludf.DUMMYFUNCTION("""COMPUTED_VALUE"""),"")</f>
        <v/>
      </c>
    </row>
    <row r="1243" spans="1:4" ht="15" customHeight="1">
      <c r="A1243" t="str">
        <f ca="1">IFERROR(__xludf.DUMMYFUNCTION("""COMPUTED_VALUE"""),"AB001438")</f>
        <v>AB001438</v>
      </c>
      <c r="B1243" s="205">
        <f ca="1">IFERROR(__xludf.DUMMYFUNCTION("""COMPUTED_VALUE"""),43732)</f>
        <v>43732</v>
      </c>
      <c r="C1243" t="str">
        <f ca="1">IFERROR(__xludf.DUMMYFUNCTION("""COMPUTED_VALUE"""),"")</f>
        <v/>
      </c>
      <c r="D1243" t="str">
        <f ca="1">IFERROR(__xludf.DUMMYFUNCTION("""COMPUTED_VALUE"""),"")</f>
        <v/>
      </c>
    </row>
    <row r="1244" spans="1:4" ht="15" customHeight="1">
      <c r="A1244" t="str">
        <f ca="1">IFERROR(__xludf.DUMMYFUNCTION("""COMPUTED_VALUE"""),"AB001502")</f>
        <v>AB001502</v>
      </c>
      <c r="B1244" s="205">
        <f ca="1">IFERROR(__xludf.DUMMYFUNCTION("""COMPUTED_VALUE"""),43731)</f>
        <v>43731</v>
      </c>
      <c r="C1244" t="str">
        <f ca="1">IFERROR(__xludf.DUMMYFUNCTION("""COMPUTED_VALUE"""),"")</f>
        <v/>
      </c>
      <c r="D1244" t="str">
        <f ca="1">IFERROR(__xludf.DUMMYFUNCTION("""COMPUTED_VALUE"""),"")</f>
        <v/>
      </c>
    </row>
    <row r="1245" spans="1:4" ht="15" customHeight="1">
      <c r="A1245" t="str">
        <f ca="1">IFERROR(__xludf.DUMMYFUNCTION("""COMPUTED_VALUE"""),"AB001502")</f>
        <v>AB001502</v>
      </c>
      <c r="B1245" s="205">
        <f ca="1">IFERROR(__xludf.DUMMYFUNCTION("""COMPUTED_VALUE"""),43731)</f>
        <v>43731</v>
      </c>
      <c r="C1245" t="str">
        <f ca="1">IFERROR(__xludf.DUMMYFUNCTION("""COMPUTED_VALUE"""),"")</f>
        <v/>
      </c>
      <c r="D1245" t="str">
        <f ca="1">IFERROR(__xludf.DUMMYFUNCTION("""COMPUTED_VALUE"""),"")</f>
        <v/>
      </c>
    </row>
    <row r="1246" spans="1:4" ht="15" customHeight="1">
      <c r="A1246" t="str">
        <f ca="1">IFERROR(__xludf.DUMMYFUNCTION("""COMPUTED_VALUE"""),"AB001502")</f>
        <v>AB001502</v>
      </c>
      <c r="B1246" s="205">
        <f ca="1">IFERROR(__xludf.DUMMYFUNCTION("""COMPUTED_VALUE"""),43731)</f>
        <v>43731</v>
      </c>
      <c r="C1246" t="str">
        <f ca="1">IFERROR(__xludf.DUMMYFUNCTION("""COMPUTED_VALUE"""),"")</f>
        <v/>
      </c>
      <c r="D1246" t="str">
        <f ca="1">IFERROR(__xludf.DUMMYFUNCTION("""COMPUTED_VALUE"""),"")</f>
        <v/>
      </c>
    </row>
    <row r="1247" spans="1:4" ht="15" customHeight="1">
      <c r="A1247" t="str">
        <f ca="1">IFERROR(__xludf.DUMMYFUNCTION("""COMPUTED_VALUE"""),"AB001503")</f>
        <v>AB001503</v>
      </c>
      <c r="B1247" s="205">
        <f ca="1">IFERROR(__xludf.DUMMYFUNCTION("""COMPUTED_VALUE"""),43731)</f>
        <v>43731</v>
      </c>
      <c r="C1247" t="str">
        <f ca="1">IFERROR(__xludf.DUMMYFUNCTION("""COMPUTED_VALUE"""),"")</f>
        <v/>
      </c>
      <c r="D1247" t="str">
        <f ca="1">IFERROR(__xludf.DUMMYFUNCTION("""COMPUTED_VALUE"""),"")</f>
        <v/>
      </c>
    </row>
    <row r="1248" spans="1:4" ht="15" customHeight="1">
      <c r="A1248" t="str">
        <f ca="1">IFERROR(__xludf.DUMMYFUNCTION("""COMPUTED_VALUE"""),"AB001503")</f>
        <v>AB001503</v>
      </c>
      <c r="B1248" s="205">
        <f ca="1">IFERROR(__xludf.DUMMYFUNCTION("""COMPUTED_VALUE"""),43731)</f>
        <v>43731</v>
      </c>
      <c r="C1248" t="str">
        <f ca="1">IFERROR(__xludf.DUMMYFUNCTION("""COMPUTED_VALUE"""),"")</f>
        <v/>
      </c>
      <c r="D1248" t="str">
        <f ca="1">IFERROR(__xludf.DUMMYFUNCTION("""COMPUTED_VALUE"""),"")</f>
        <v/>
      </c>
    </row>
    <row r="1249" spans="1:4" ht="15" customHeight="1">
      <c r="A1249" t="str">
        <f ca="1">IFERROR(__xludf.DUMMYFUNCTION("""COMPUTED_VALUE"""),"AB001503")</f>
        <v>AB001503</v>
      </c>
      <c r="B1249" s="205">
        <f ca="1">IFERROR(__xludf.DUMMYFUNCTION("""COMPUTED_VALUE"""),43731)</f>
        <v>43731</v>
      </c>
      <c r="C1249" t="str">
        <f ca="1">IFERROR(__xludf.DUMMYFUNCTION("""COMPUTED_VALUE"""),"")</f>
        <v/>
      </c>
      <c r="D1249" t="str">
        <f ca="1">IFERROR(__xludf.DUMMYFUNCTION("""COMPUTED_VALUE"""),"")</f>
        <v/>
      </c>
    </row>
    <row r="1250" spans="1:4" ht="15" customHeight="1">
      <c r="A1250" t="str">
        <f ca="1">IFERROR(__xludf.DUMMYFUNCTION("""COMPUTED_VALUE"""),"AB001504")</f>
        <v>AB001504</v>
      </c>
      <c r="B1250" s="205">
        <f ca="1">IFERROR(__xludf.DUMMYFUNCTION("""COMPUTED_VALUE"""),43731)</f>
        <v>43731</v>
      </c>
      <c r="C1250" t="str">
        <f ca="1">IFERROR(__xludf.DUMMYFUNCTION("""COMPUTED_VALUE"""),"")</f>
        <v/>
      </c>
      <c r="D1250" t="str">
        <f ca="1">IFERROR(__xludf.DUMMYFUNCTION("""COMPUTED_VALUE"""),"")</f>
        <v/>
      </c>
    </row>
    <row r="1251" spans="1:4" ht="15" customHeight="1">
      <c r="A1251" t="str">
        <f ca="1">IFERROR(__xludf.DUMMYFUNCTION("""COMPUTED_VALUE"""),"AB001504")</f>
        <v>AB001504</v>
      </c>
      <c r="B1251" s="205">
        <f ca="1">IFERROR(__xludf.DUMMYFUNCTION("""COMPUTED_VALUE"""),43731)</f>
        <v>43731</v>
      </c>
      <c r="C1251" t="str">
        <f ca="1">IFERROR(__xludf.DUMMYFUNCTION("""COMPUTED_VALUE"""),"")</f>
        <v/>
      </c>
      <c r="D1251" t="str">
        <f ca="1">IFERROR(__xludf.DUMMYFUNCTION("""COMPUTED_VALUE"""),"")</f>
        <v/>
      </c>
    </row>
    <row r="1252" spans="1:4" ht="15" customHeight="1">
      <c r="A1252" t="str">
        <f ca="1">IFERROR(__xludf.DUMMYFUNCTION("""COMPUTED_VALUE"""),"AB001505")</f>
        <v>AB001505</v>
      </c>
      <c r="B1252" s="205">
        <f ca="1">IFERROR(__xludf.DUMMYFUNCTION("""COMPUTED_VALUE"""),43731)</f>
        <v>43731</v>
      </c>
      <c r="C1252" t="str">
        <f ca="1">IFERROR(__xludf.DUMMYFUNCTION("""COMPUTED_VALUE"""),"")</f>
        <v/>
      </c>
      <c r="D1252" t="str">
        <f ca="1">IFERROR(__xludf.DUMMYFUNCTION("""COMPUTED_VALUE"""),"")</f>
        <v/>
      </c>
    </row>
    <row r="1253" spans="1:4" ht="15" customHeight="1">
      <c r="A1253" t="str">
        <f ca="1">IFERROR(__xludf.DUMMYFUNCTION("""COMPUTED_VALUE"""),"AB001505")</f>
        <v>AB001505</v>
      </c>
      <c r="B1253" s="205">
        <f ca="1">IFERROR(__xludf.DUMMYFUNCTION("""COMPUTED_VALUE"""),43731)</f>
        <v>43731</v>
      </c>
      <c r="C1253" t="str">
        <f ca="1">IFERROR(__xludf.DUMMYFUNCTION("""COMPUTED_VALUE"""),"")</f>
        <v/>
      </c>
      <c r="D1253" t="str">
        <f ca="1">IFERROR(__xludf.DUMMYFUNCTION("""COMPUTED_VALUE"""),"")</f>
        <v/>
      </c>
    </row>
    <row r="1254" spans="1:4" ht="15" customHeight="1">
      <c r="A1254" t="str">
        <f ca="1">IFERROR(__xludf.DUMMYFUNCTION("""COMPUTED_VALUE"""),"AB001506")</f>
        <v>AB001506</v>
      </c>
      <c r="B1254" s="205">
        <f ca="1">IFERROR(__xludf.DUMMYFUNCTION("""COMPUTED_VALUE"""),43731)</f>
        <v>43731</v>
      </c>
      <c r="C1254" t="str">
        <f ca="1">IFERROR(__xludf.DUMMYFUNCTION("""COMPUTED_VALUE"""),"")</f>
        <v/>
      </c>
      <c r="D1254" t="str">
        <f ca="1">IFERROR(__xludf.DUMMYFUNCTION("""COMPUTED_VALUE"""),"")</f>
        <v/>
      </c>
    </row>
    <row r="1255" spans="1:4" ht="15" customHeight="1">
      <c r="A1255" t="str">
        <f ca="1">IFERROR(__xludf.DUMMYFUNCTION("""COMPUTED_VALUE"""),"AB001506")</f>
        <v>AB001506</v>
      </c>
      <c r="B1255" s="205">
        <f ca="1">IFERROR(__xludf.DUMMYFUNCTION("""COMPUTED_VALUE"""),43731)</f>
        <v>43731</v>
      </c>
      <c r="C1255" t="str">
        <f ca="1">IFERROR(__xludf.DUMMYFUNCTION("""COMPUTED_VALUE"""),"")</f>
        <v/>
      </c>
      <c r="D1255" t="str">
        <f ca="1">IFERROR(__xludf.DUMMYFUNCTION("""COMPUTED_VALUE"""),"")</f>
        <v/>
      </c>
    </row>
    <row r="1256" spans="1:4" ht="15" customHeight="1">
      <c r="A1256" t="str">
        <f ca="1">IFERROR(__xludf.DUMMYFUNCTION("""COMPUTED_VALUE"""),"AB001507")</f>
        <v>AB001507</v>
      </c>
      <c r="B1256" s="205">
        <f ca="1">IFERROR(__xludf.DUMMYFUNCTION("""COMPUTED_VALUE"""),43731)</f>
        <v>43731</v>
      </c>
      <c r="C1256" t="str">
        <f ca="1">IFERROR(__xludf.DUMMYFUNCTION("""COMPUTED_VALUE"""),"")</f>
        <v/>
      </c>
      <c r="D1256" t="str">
        <f ca="1">IFERROR(__xludf.DUMMYFUNCTION("""COMPUTED_VALUE"""),"")</f>
        <v/>
      </c>
    </row>
    <row r="1257" spans="1:4" ht="15" customHeight="1">
      <c r="A1257" t="str">
        <f ca="1">IFERROR(__xludf.DUMMYFUNCTION("""COMPUTED_VALUE"""),"AB001507")</f>
        <v>AB001507</v>
      </c>
      <c r="B1257" s="205">
        <f ca="1">IFERROR(__xludf.DUMMYFUNCTION("""COMPUTED_VALUE"""),43731)</f>
        <v>43731</v>
      </c>
      <c r="C1257" t="str">
        <f ca="1">IFERROR(__xludf.DUMMYFUNCTION("""COMPUTED_VALUE"""),"")</f>
        <v/>
      </c>
      <c r="D1257" t="str">
        <f ca="1">IFERROR(__xludf.DUMMYFUNCTION("""COMPUTED_VALUE"""),"")</f>
        <v/>
      </c>
    </row>
    <row r="1258" spans="1:4" ht="15" customHeight="1">
      <c r="A1258" t="str">
        <f ca="1">IFERROR(__xludf.DUMMYFUNCTION("""COMPUTED_VALUE"""),"AB001508")</f>
        <v>AB001508</v>
      </c>
      <c r="B1258" s="205">
        <f ca="1">IFERROR(__xludf.DUMMYFUNCTION("""COMPUTED_VALUE"""),43733)</f>
        <v>43733</v>
      </c>
      <c r="C1258" t="str">
        <f ca="1">IFERROR(__xludf.DUMMYFUNCTION("""COMPUTED_VALUE"""),"")</f>
        <v/>
      </c>
      <c r="D1258" t="str">
        <f ca="1">IFERROR(__xludf.DUMMYFUNCTION("""COMPUTED_VALUE"""),"")</f>
        <v/>
      </c>
    </row>
    <row r="1259" spans="1:4" ht="15" customHeight="1">
      <c r="A1259" t="str">
        <f ca="1">IFERROR(__xludf.DUMMYFUNCTION("""COMPUTED_VALUE"""),"AB001508")</f>
        <v>AB001508</v>
      </c>
      <c r="B1259" s="205">
        <f ca="1">IFERROR(__xludf.DUMMYFUNCTION("""COMPUTED_VALUE"""),43733)</f>
        <v>43733</v>
      </c>
      <c r="C1259" t="str">
        <f ca="1">IFERROR(__xludf.DUMMYFUNCTION("""COMPUTED_VALUE"""),"")</f>
        <v/>
      </c>
      <c r="D1259" t="str">
        <f ca="1">IFERROR(__xludf.DUMMYFUNCTION("""COMPUTED_VALUE"""),"")</f>
        <v/>
      </c>
    </row>
    <row r="1260" spans="1:4" ht="15" customHeight="1">
      <c r="A1260" t="str">
        <f ca="1">IFERROR(__xludf.DUMMYFUNCTION("""COMPUTED_VALUE"""),"AB001439")</f>
        <v>AB001439</v>
      </c>
      <c r="B1260" s="205">
        <f ca="1">IFERROR(__xludf.DUMMYFUNCTION("""COMPUTED_VALUE"""),43733)</f>
        <v>43733</v>
      </c>
      <c r="C1260" t="str">
        <f ca="1">IFERROR(__xludf.DUMMYFUNCTION("""COMPUTED_VALUE"""),"")</f>
        <v/>
      </c>
      <c r="D1260" t="str">
        <f ca="1">IFERROR(__xludf.DUMMYFUNCTION("""COMPUTED_VALUE"""),"")</f>
        <v/>
      </c>
    </row>
    <row r="1261" spans="1:4" ht="15" customHeight="1">
      <c r="A1261" t="str">
        <f ca="1">IFERROR(__xludf.DUMMYFUNCTION("""COMPUTED_VALUE"""),"AB001316")</f>
        <v>AB001316</v>
      </c>
      <c r="B1261" s="205">
        <f ca="1">IFERROR(__xludf.DUMMYFUNCTION("""COMPUTED_VALUE"""),43733)</f>
        <v>43733</v>
      </c>
      <c r="C1261" t="str">
        <f ca="1">IFERROR(__xludf.DUMMYFUNCTION("""COMPUTED_VALUE"""),"")</f>
        <v/>
      </c>
      <c r="D1261" t="str">
        <f ca="1">IFERROR(__xludf.DUMMYFUNCTION("""COMPUTED_VALUE"""),"")</f>
        <v/>
      </c>
    </row>
    <row r="1262" spans="1:4" ht="15" customHeight="1">
      <c r="A1262" t="str">
        <f ca="1">IFERROR(__xludf.DUMMYFUNCTION("""COMPUTED_VALUE"""),"AB001316")</f>
        <v>AB001316</v>
      </c>
      <c r="B1262" s="205">
        <f ca="1">IFERROR(__xludf.DUMMYFUNCTION("""COMPUTED_VALUE"""),43733)</f>
        <v>43733</v>
      </c>
      <c r="C1262" t="str">
        <f ca="1">IFERROR(__xludf.DUMMYFUNCTION("""COMPUTED_VALUE"""),"")</f>
        <v/>
      </c>
      <c r="D1262" t="str">
        <f ca="1">IFERROR(__xludf.DUMMYFUNCTION("""COMPUTED_VALUE"""),"")</f>
        <v/>
      </c>
    </row>
    <row r="1263" spans="1:4" ht="15" customHeight="1">
      <c r="A1263" t="str">
        <f ca="1">IFERROR(__xludf.DUMMYFUNCTION("""COMPUTED_VALUE"""),"AB001440")</f>
        <v>AB001440</v>
      </c>
      <c r="B1263" s="205">
        <f ca="1">IFERROR(__xludf.DUMMYFUNCTION("""COMPUTED_VALUE"""),43733)</f>
        <v>43733</v>
      </c>
      <c r="C1263" t="str">
        <f ca="1">IFERROR(__xludf.DUMMYFUNCTION("""COMPUTED_VALUE"""),"")</f>
        <v/>
      </c>
      <c r="D1263" t="str">
        <f ca="1">IFERROR(__xludf.DUMMYFUNCTION("""COMPUTED_VALUE"""),"")</f>
        <v/>
      </c>
    </row>
    <row r="1264" spans="1:4" ht="15" customHeight="1">
      <c r="A1264" t="str">
        <f ca="1">IFERROR(__xludf.DUMMYFUNCTION("""COMPUTED_VALUE"""),"AB001509")</f>
        <v>AB001509</v>
      </c>
      <c r="B1264" s="205">
        <f ca="1">IFERROR(__xludf.DUMMYFUNCTION("""COMPUTED_VALUE"""),43735)</f>
        <v>43735</v>
      </c>
      <c r="C1264" t="str">
        <f ca="1">IFERROR(__xludf.DUMMYFUNCTION("""COMPUTED_VALUE"""),"")</f>
        <v/>
      </c>
      <c r="D1264" t="str">
        <f ca="1">IFERROR(__xludf.DUMMYFUNCTION("""COMPUTED_VALUE"""),"")</f>
        <v/>
      </c>
    </row>
    <row r="1265" spans="1:4" ht="15" customHeight="1">
      <c r="A1265" t="str">
        <f ca="1">IFERROR(__xludf.DUMMYFUNCTION("""COMPUTED_VALUE"""),"AB001510")</f>
        <v>AB001510</v>
      </c>
      <c r="B1265" s="205">
        <f ca="1">IFERROR(__xludf.DUMMYFUNCTION("""COMPUTED_VALUE"""),43735)</f>
        <v>43735</v>
      </c>
      <c r="C1265" t="str">
        <f ca="1">IFERROR(__xludf.DUMMYFUNCTION("""COMPUTED_VALUE"""),"")</f>
        <v/>
      </c>
      <c r="D1265" t="str">
        <f ca="1">IFERROR(__xludf.DUMMYFUNCTION("""COMPUTED_VALUE"""),"")</f>
        <v/>
      </c>
    </row>
    <row r="1266" spans="1:4" ht="15" customHeight="1">
      <c r="A1266" t="str">
        <f ca="1">IFERROR(__xludf.DUMMYFUNCTION("""COMPUTED_VALUE"""),"AB001441")</f>
        <v>AB001441</v>
      </c>
      <c r="B1266" s="205">
        <f ca="1">IFERROR(__xludf.DUMMYFUNCTION("""COMPUTED_VALUE"""),43735)</f>
        <v>43735</v>
      </c>
      <c r="C1266" t="str">
        <f ca="1">IFERROR(__xludf.DUMMYFUNCTION("""COMPUTED_VALUE"""),"")</f>
        <v/>
      </c>
      <c r="D1266" t="str">
        <f ca="1">IFERROR(__xludf.DUMMYFUNCTION("""COMPUTED_VALUE"""),"")</f>
        <v/>
      </c>
    </row>
    <row r="1267" spans="1:4" ht="15" customHeight="1">
      <c r="A1267" t="str">
        <f ca="1">IFERROR(__xludf.DUMMYFUNCTION("""COMPUTED_VALUE"""),"AB001511")</f>
        <v>AB001511</v>
      </c>
      <c r="B1267" s="205">
        <f ca="1">IFERROR(__xludf.DUMMYFUNCTION("""COMPUTED_VALUE"""),43740)</f>
        <v>43740</v>
      </c>
      <c r="C1267" t="str">
        <f ca="1">IFERROR(__xludf.DUMMYFUNCTION("""COMPUTED_VALUE"""),"")</f>
        <v/>
      </c>
      <c r="D1267" t="str">
        <f ca="1">IFERROR(__xludf.DUMMYFUNCTION("""COMPUTED_VALUE"""),"")</f>
        <v/>
      </c>
    </row>
    <row r="1268" spans="1:4" ht="15" customHeight="1">
      <c r="A1268" t="str">
        <f ca="1">IFERROR(__xludf.DUMMYFUNCTION("""COMPUTED_VALUE"""),"AB001512")</f>
        <v>AB001512</v>
      </c>
      <c r="B1268" s="205">
        <f ca="1">IFERROR(__xludf.DUMMYFUNCTION("""COMPUTED_VALUE"""),43740)</f>
        <v>43740</v>
      </c>
      <c r="C1268" t="str">
        <f ca="1">IFERROR(__xludf.DUMMYFUNCTION("""COMPUTED_VALUE"""),"")</f>
        <v/>
      </c>
      <c r="D1268" t="str">
        <f ca="1">IFERROR(__xludf.DUMMYFUNCTION("""COMPUTED_VALUE"""),"")</f>
        <v/>
      </c>
    </row>
    <row r="1269" spans="1:4" ht="15" customHeight="1">
      <c r="A1269" t="str">
        <f ca="1">IFERROR(__xludf.DUMMYFUNCTION("""COMPUTED_VALUE"""),"AB001098")</f>
        <v>AB001098</v>
      </c>
      <c r="B1269" s="205">
        <f ca="1">IFERROR(__xludf.DUMMYFUNCTION("""COMPUTED_VALUE"""),43740)</f>
        <v>43740</v>
      </c>
      <c r="C1269" t="str">
        <f ca="1">IFERROR(__xludf.DUMMYFUNCTION("""COMPUTED_VALUE"""),"")</f>
        <v/>
      </c>
      <c r="D1269" t="str">
        <f ca="1">IFERROR(__xludf.DUMMYFUNCTION("""COMPUTED_VALUE"""),"")</f>
        <v/>
      </c>
    </row>
    <row r="1270" spans="1:4" ht="15" customHeight="1">
      <c r="A1270" t="str">
        <f ca="1">IFERROR(__xludf.DUMMYFUNCTION("""COMPUTED_VALUE"""),"AB001387")</f>
        <v>AB001387</v>
      </c>
      <c r="B1270" s="205">
        <f ca="1">IFERROR(__xludf.DUMMYFUNCTION("""COMPUTED_VALUE"""),43740)</f>
        <v>43740</v>
      </c>
      <c r="C1270" t="str">
        <f ca="1">IFERROR(__xludf.DUMMYFUNCTION("""COMPUTED_VALUE"""),"")</f>
        <v/>
      </c>
      <c r="D1270" t="str">
        <f ca="1">IFERROR(__xludf.DUMMYFUNCTION("""COMPUTED_VALUE"""),"")</f>
        <v/>
      </c>
    </row>
    <row r="1271" spans="1:4" ht="15" customHeight="1">
      <c r="A1271" t="str">
        <f ca="1">IFERROR(__xludf.DUMMYFUNCTION("""COMPUTED_VALUE"""),"AB001442")</f>
        <v>AB001442</v>
      </c>
      <c r="B1271" s="205">
        <f ca="1">IFERROR(__xludf.DUMMYFUNCTION("""COMPUTED_VALUE"""),43740)</f>
        <v>43740</v>
      </c>
      <c r="C1271" t="str">
        <f ca="1">IFERROR(__xludf.DUMMYFUNCTION("""COMPUTED_VALUE"""),"")</f>
        <v/>
      </c>
      <c r="D1271" t="str">
        <f ca="1">IFERROR(__xludf.DUMMYFUNCTION("""COMPUTED_VALUE"""),"")</f>
        <v/>
      </c>
    </row>
    <row r="1272" spans="1:4" ht="15" customHeight="1">
      <c r="A1272" t="str">
        <f ca="1">IFERROR(__xludf.DUMMYFUNCTION("""COMPUTED_VALUE"""),"AB001443")</f>
        <v>AB001443</v>
      </c>
      <c r="B1272" s="205">
        <f ca="1">IFERROR(__xludf.DUMMYFUNCTION("""COMPUTED_VALUE"""),43740)</f>
        <v>43740</v>
      </c>
      <c r="C1272" t="str">
        <f ca="1">IFERROR(__xludf.DUMMYFUNCTION("""COMPUTED_VALUE"""),"")</f>
        <v/>
      </c>
      <c r="D1272" t="str">
        <f ca="1">IFERROR(__xludf.DUMMYFUNCTION("""COMPUTED_VALUE"""),"")</f>
        <v/>
      </c>
    </row>
    <row r="1273" spans="1:4" ht="15" customHeight="1">
      <c r="A1273" t="str">
        <f ca="1">IFERROR(__xludf.DUMMYFUNCTION("""COMPUTED_VALUE"""),"AB001513")</f>
        <v>AB001513</v>
      </c>
      <c r="B1273" s="205">
        <f ca="1">IFERROR(__xludf.DUMMYFUNCTION("""COMPUTED_VALUE"""),43741)</f>
        <v>43741</v>
      </c>
      <c r="C1273" t="str">
        <f ca="1">IFERROR(__xludf.DUMMYFUNCTION("""COMPUTED_VALUE"""),"")</f>
        <v/>
      </c>
      <c r="D1273" t="str">
        <f ca="1">IFERROR(__xludf.DUMMYFUNCTION("""COMPUTED_VALUE"""),"")</f>
        <v/>
      </c>
    </row>
    <row r="1274" spans="1:4" ht="15" customHeight="1">
      <c r="A1274" t="str">
        <f ca="1">IFERROR(__xludf.DUMMYFUNCTION("""COMPUTED_VALUE"""),"AB001445")</f>
        <v>AB001445</v>
      </c>
      <c r="B1274" s="205">
        <f ca="1">IFERROR(__xludf.DUMMYFUNCTION("""COMPUTED_VALUE"""),43742)</f>
        <v>43742</v>
      </c>
      <c r="C1274" t="str">
        <f ca="1">IFERROR(__xludf.DUMMYFUNCTION("""COMPUTED_VALUE"""),"")</f>
        <v/>
      </c>
      <c r="D1274" t="str">
        <f ca="1">IFERROR(__xludf.DUMMYFUNCTION("""COMPUTED_VALUE"""),"")</f>
        <v/>
      </c>
    </row>
    <row r="1275" spans="1:4" ht="15" customHeight="1">
      <c r="A1275" t="str">
        <f ca="1">IFERROR(__xludf.DUMMYFUNCTION("""COMPUTED_VALUE"""),"AB001514")</f>
        <v>AB001514</v>
      </c>
      <c r="B1275" s="205">
        <f ca="1">IFERROR(__xludf.DUMMYFUNCTION("""COMPUTED_VALUE"""),43742)</f>
        <v>43742</v>
      </c>
      <c r="C1275" t="str">
        <f ca="1">IFERROR(__xludf.DUMMYFUNCTION("""COMPUTED_VALUE"""),"")</f>
        <v/>
      </c>
      <c r="D1275" t="str">
        <f ca="1">IFERROR(__xludf.DUMMYFUNCTION("""COMPUTED_VALUE"""),"")</f>
        <v/>
      </c>
    </row>
    <row r="1276" spans="1:4" ht="15" customHeight="1">
      <c r="A1276" t="str">
        <f ca="1">IFERROR(__xludf.DUMMYFUNCTION("""COMPUTED_VALUE"""),"AB001518")</f>
        <v>AB001518</v>
      </c>
      <c r="B1276" s="205">
        <f ca="1">IFERROR(__xludf.DUMMYFUNCTION("""COMPUTED_VALUE"""),43768)</f>
        <v>43768</v>
      </c>
      <c r="C1276" t="str">
        <f ca="1">IFERROR(__xludf.DUMMYFUNCTION("""COMPUTED_VALUE"""),"")</f>
        <v/>
      </c>
      <c r="D1276" t="str">
        <f ca="1">IFERROR(__xludf.DUMMYFUNCTION("""COMPUTED_VALUE"""),"")</f>
        <v/>
      </c>
    </row>
    <row r="1277" spans="1:4" ht="15" customHeight="1">
      <c r="A1277" t="str">
        <f ca="1">IFERROR(__xludf.DUMMYFUNCTION("""COMPUTED_VALUE"""),"AB001518")</f>
        <v>AB001518</v>
      </c>
      <c r="B1277" s="205">
        <f ca="1">IFERROR(__xludf.DUMMYFUNCTION("""COMPUTED_VALUE"""),43768)</f>
        <v>43768</v>
      </c>
      <c r="C1277" t="str">
        <f ca="1">IFERROR(__xludf.DUMMYFUNCTION("""COMPUTED_VALUE"""),"")</f>
        <v/>
      </c>
      <c r="D1277" t="str">
        <f ca="1">IFERROR(__xludf.DUMMYFUNCTION("""COMPUTED_VALUE"""),"")</f>
        <v/>
      </c>
    </row>
    <row r="1278" spans="1:4" ht="15" customHeight="1">
      <c r="A1278" t="str">
        <f ca="1">IFERROR(__xludf.DUMMYFUNCTION("""COMPUTED_VALUE"""),"AB001518")</f>
        <v>AB001518</v>
      </c>
      <c r="B1278" s="205">
        <f ca="1">IFERROR(__xludf.DUMMYFUNCTION("""COMPUTED_VALUE"""),43768)</f>
        <v>43768</v>
      </c>
      <c r="C1278" t="str">
        <f ca="1">IFERROR(__xludf.DUMMYFUNCTION("""COMPUTED_VALUE"""),"")</f>
        <v/>
      </c>
      <c r="D1278" t="str">
        <f ca="1">IFERROR(__xludf.DUMMYFUNCTION("""COMPUTED_VALUE"""),"")</f>
        <v/>
      </c>
    </row>
    <row r="1279" spans="1:4" ht="15" customHeight="1">
      <c r="A1279" t="str">
        <f ca="1">IFERROR(__xludf.DUMMYFUNCTION("""COMPUTED_VALUE"""),"AB001518")</f>
        <v>AB001518</v>
      </c>
      <c r="B1279" s="205">
        <f ca="1">IFERROR(__xludf.DUMMYFUNCTION("""COMPUTED_VALUE"""),43768)</f>
        <v>43768</v>
      </c>
      <c r="C1279" t="str">
        <f ca="1">IFERROR(__xludf.DUMMYFUNCTION("""COMPUTED_VALUE"""),"")</f>
        <v/>
      </c>
      <c r="D1279" t="str">
        <f ca="1">IFERROR(__xludf.DUMMYFUNCTION("""COMPUTED_VALUE"""),"")</f>
        <v/>
      </c>
    </row>
    <row r="1280" spans="1:4" ht="15" customHeight="1">
      <c r="A1280" t="str">
        <f ca="1">IFERROR(__xludf.DUMMYFUNCTION("""COMPUTED_VALUE"""),"AB001515")</f>
        <v>AB001515</v>
      </c>
      <c r="B1280" s="205">
        <f ca="1">IFERROR(__xludf.DUMMYFUNCTION("""COMPUTED_VALUE"""),43759)</f>
        <v>43759</v>
      </c>
      <c r="C1280" t="str">
        <f ca="1">IFERROR(__xludf.DUMMYFUNCTION("""COMPUTED_VALUE"""),"")</f>
        <v/>
      </c>
      <c r="D1280" t="str">
        <f ca="1">IFERROR(__xludf.DUMMYFUNCTION("""COMPUTED_VALUE"""),"")</f>
        <v/>
      </c>
    </row>
    <row r="1281" spans="1:4" ht="15" customHeight="1">
      <c r="A1281" t="str">
        <f ca="1">IFERROR(__xludf.DUMMYFUNCTION("""COMPUTED_VALUE"""),"AB001446")</f>
        <v>AB001446</v>
      </c>
      <c r="B1281" s="205">
        <f ca="1">IFERROR(__xludf.DUMMYFUNCTION("""COMPUTED_VALUE"""),43752)</f>
        <v>43752</v>
      </c>
      <c r="C1281" t="str">
        <f ca="1">IFERROR(__xludf.DUMMYFUNCTION("""COMPUTED_VALUE"""),"")</f>
        <v/>
      </c>
      <c r="D1281" t="str">
        <f ca="1">IFERROR(__xludf.DUMMYFUNCTION("""COMPUTED_VALUE"""),"")</f>
        <v/>
      </c>
    </row>
    <row r="1282" spans="1:4" ht="15" customHeight="1">
      <c r="A1282" t="str">
        <f ca="1">IFERROR(__xludf.DUMMYFUNCTION("""COMPUTED_VALUE"""),"AB001447")</f>
        <v>AB001447</v>
      </c>
      <c r="B1282" s="205">
        <f ca="1">IFERROR(__xludf.DUMMYFUNCTION("""COMPUTED_VALUE"""),43752)</f>
        <v>43752</v>
      </c>
      <c r="C1282" t="str">
        <f ca="1">IFERROR(__xludf.DUMMYFUNCTION("""COMPUTED_VALUE"""),"")</f>
        <v/>
      </c>
      <c r="D1282" t="str">
        <f ca="1">IFERROR(__xludf.DUMMYFUNCTION("""COMPUTED_VALUE"""),"")</f>
        <v/>
      </c>
    </row>
    <row r="1283" spans="1:4" ht="15" customHeight="1">
      <c r="A1283" t="str">
        <f ca="1">IFERROR(__xludf.DUMMYFUNCTION("""COMPUTED_VALUE"""),"AB001523")</f>
        <v>AB001523</v>
      </c>
      <c r="B1283" s="205">
        <f ca="1">IFERROR(__xludf.DUMMYFUNCTION("""COMPUTED_VALUE"""),43754)</f>
        <v>43754</v>
      </c>
      <c r="C1283" t="str">
        <f ca="1">IFERROR(__xludf.DUMMYFUNCTION("""COMPUTED_VALUE"""),"")</f>
        <v/>
      </c>
      <c r="D1283" t="str">
        <f ca="1">IFERROR(__xludf.DUMMYFUNCTION("""COMPUTED_VALUE"""),"")</f>
        <v/>
      </c>
    </row>
    <row r="1284" spans="1:4" ht="15" customHeight="1">
      <c r="A1284" t="str">
        <f ca="1">IFERROR(__xludf.DUMMYFUNCTION("""COMPUTED_VALUE"""),"AB001463")</f>
        <v>AB001463</v>
      </c>
      <c r="B1284" s="205">
        <f ca="1">IFERROR(__xludf.DUMMYFUNCTION("""COMPUTED_VALUE"""),43755)</f>
        <v>43755</v>
      </c>
      <c r="C1284" t="str">
        <f ca="1">IFERROR(__xludf.DUMMYFUNCTION("""COMPUTED_VALUE"""),"")</f>
        <v/>
      </c>
      <c r="D1284" t="str">
        <f ca="1">IFERROR(__xludf.DUMMYFUNCTION("""COMPUTED_VALUE"""),"")</f>
        <v/>
      </c>
    </row>
    <row r="1285" spans="1:4" ht="15" customHeight="1">
      <c r="A1285" t="str">
        <f ca="1">IFERROR(__xludf.DUMMYFUNCTION("""COMPUTED_VALUE"""),"AB001463")</f>
        <v>AB001463</v>
      </c>
      <c r="B1285" s="205">
        <f ca="1">IFERROR(__xludf.DUMMYFUNCTION("""COMPUTED_VALUE"""),43755)</f>
        <v>43755</v>
      </c>
      <c r="C1285" t="str">
        <f ca="1">IFERROR(__xludf.DUMMYFUNCTION("""COMPUTED_VALUE"""),"")</f>
        <v/>
      </c>
      <c r="D1285" t="str">
        <f ca="1">IFERROR(__xludf.DUMMYFUNCTION("""COMPUTED_VALUE"""),"")</f>
        <v/>
      </c>
    </row>
    <row r="1286" spans="1:4" ht="15" customHeight="1">
      <c r="A1286" t="str">
        <f ca="1">IFERROR(__xludf.DUMMYFUNCTION("""COMPUTED_VALUE"""),"AB001463")</f>
        <v>AB001463</v>
      </c>
      <c r="B1286" s="205">
        <f ca="1">IFERROR(__xludf.DUMMYFUNCTION("""COMPUTED_VALUE"""),43755)</f>
        <v>43755</v>
      </c>
      <c r="C1286" t="str">
        <f ca="1">IFERROR(__xludf.DUMMYFUNCTION("""COMPUTED_VALUE"""),"")</f>
        <v/>
      </c>
      <c r="D1286" t="str">
        <f ca="1">IFERROR(__xludf.DUMMYFUNCTION("""COMPUTED_VALUE"""),"")</f>
        <v/>
      </c>
    </row>
    <row r="1287" spans="1:4" ht="15" customHeight="1">
      <c r="A1287" t="str">
        <f ca="1">IFERROR(__xludf.DUMMYFUNCTION("""COMPUTED_VALUE"""),"AB001463")</f>
        <v>AB001463</v>
      </c>
      <c r="B1287" s="205">
        <f ca="1">IFERROR(__xludf.DUMMYFUNCTION("""COMPUTED_VALUE"""),43755)</f>
        <v>43755</v>
      </c>
      <c r="C1287" t="str">
        <f ca="1">IFERROR(__xludf.DUMMYFUNCTION("""COMPUTED_VALUE"""),"")</f>
        <v/>
      </c>
      <c r="D1287" t="str">
        <f ca="1">IFERROR(__xludf.DUMMYFUNCTION("""COMPUTED_VALUE"""),"")</f>
        <v/>
      </c>
    </row>
    <row r="1288" spans="1:4" ht="15" customHeight="1">
      <c r="A1288" t="str">
        <f ca="1">IFERROR(__xludf.DUMMYFUNCTION("""COMPUTED_VALUE"""),"AB001463")</f>
        <v>AB001463</v>
      </c>
      <c r="B1288" s="205">
        <f ca="1">IFERROR(__xludf.DUMMYFUNCTION("""COMPUTED_VALUE"""),43755)</f>
        <v>43755</v>
      </c>
      <c r="C1288" t="str">
        <f ca="1">IFERROR(__xludf.DUMMYFUNCTION("""COMPUTED_VALUE"""),"")</f>
        <v/>
      </c>
      <c r="D1288" t="str">
        <f ca="1">IFERROR(__xludf.DUMMYFUNCTION("""COMPUTED_VALUE"""),"")</f>
        <v/>
      </c>
    </row>
    <row r="1289" spans="1:4" ht="15" customHeight="1">
      <c r="A1289" t="str">
        <f ca="1">IFERROR(__xludf.DUMMYFUNCTION("""COMPUTED_VALUE"""),"AB001463")</f>
        <v>AB001463</v>
      </c>
      <c r="B1289" s="205">
        <f ca="1">IFERROR(__xludf.DUMMYFUNCTION("""COMPUTED_VALUE"""),43755)</f>
        <v>43755</v>
      </c>
      <c r="C1289" t="str">
        <f ca="1">IFERROR(__xludf.DUMMYFUNCTION("""COMPUTED_VALUE"""),"")</f>
        <v/>
      </c>
      <c r="D1289" t="str">
        <f ca="1">IFERROR(__xludf.DUMMYFUNCTION("""COMPUTED_VALUE"""),"")</f>
        <v/>
      </c>
    </row>
    <row r="1290" spans="1:4" ht="15" customHeight="1">
      <c r="A1290" t="str">
        <f ca="1">IFERROR(__xludf.DUMMYFUNCTION("""COMPUTED_VALUE"""),"AB001463")</f>
        <v>AB001463</v>
      </c>
      <c r="B1290" s="205">
        <f ca="1">IFERROR(__xludf.DUMMYFUNCTION("""COMPUTED_VALUE"""),43755)</f>
        <v>43755</v>
      </c>
      <c r="C1290" t="str">
        <f ca="1">IFERROR(__xludf.DUMMYFUNCTION("""COMPUTED_VALUE"""),"")</f>
        <v/>
      </c>
      <c r="D1290" t="str">
        <f ca="1">IFERROR(__xludf.DUMMYFUNCTION("""COMPUTED_VALUE"""),"")</f>
        <v/>
      </c>
    </row>
    <row r="1291" spans="1:4" ht="15" customHeight="1">
      <c r="A1291" t="str">
        <f ca="1">IFERROR(__xludf.DUMMYFUNCTION("""COMPUTED_VALUE"""),"AB001463")</f>
        <v>AB001463</v>
      </c>
      <c r="B1291" s="205">
        <f ca="1">IFERROR(__xludf.DUMMYFUNCTION("""COMPUTED_VALUE"""),43755)</f>
        <v>43755</v>
      </c>
      <c r="C1291" t="str">
        <f ca="1">IFERROR(__xludf.DUMMYFUNCTION("""COMPUTED_VALUE"""),"")</f>
        <v/>
      </c>
      <c r="D1291" t="str">
        <f ca="1">IFERROR(__xludf.DUMMYFUNCTION("""COMPUTED_VALUE"""),"")</f>
        <v/>
      </c>
    </row>
    <row r="1292" spans="1:4" ht="15" customHeight="1">
      <c r="A1292" t="str">
        <f ca="1">IFERROR(__xludf.DUMMYFUNCTION("""COMPUTED_VALUE"""),"AB001463")</f>
        <v>AB001463</v>
      </c>
      <c r="B1292" s="205">
        <f ca="1">IFERROR(__xludf.DUMMYFUNCTION("""COMPUTED_VALUE"""),43755)</f>
        <v>43755</v>
      </c>
      <c r="C1292" t="str">
        <f ca="1">IFERROR(__xludf.DUMMYFUNCTION("""COMPUTED_VALUE"""),"")</f>
        <v/>
      </c>
      <c r="D1292" t="str">
        <f ca="1">IFERROR(__xludf.DUMMYFUNCTION("""COMPUTED_VALUE"""),"")</f>
        <v/>
      </c>
    </row>
    <row r="1293" spans="1:4" ht="15" customHeight="1">
      <c r="A1293" t="str">
        <f ca="1">IFERROR(__xludf.DUMMYFUNCTION("""COMPUTED_VALUE"""),"AB001463")</f>
        <v>AB001463</v>
      </c>
      <c r="B1293" s="205">
        <f ca="1">IFERROR(__xludf.DUMMYFUNCTION("""COMPUTED_VALUE"""),43755)</f>
        <v>43755</v>
      </c>
      <c r="C1293" t="str">
        <f ca="1">IFERROR(__xludf.DUMMYFUNCTION("""COMPUTED_VALUE"""),"")</f>
        <v/>
      </c>
      <c r="D1293" t="str">
        <f ca="1">IFERROR(__xludf.DUMMYFUNCTION("""COMPUTED_VALUE"""),"")</f>
        <v/>
      </c>
    </row>
    <row r="1294" spans="1:4" ht="15" customHeight="1">
      <c r="A1294" t="str">
        <f ca="1">IFERROR(__xludf.DUMMYFUNCTION("""COMPUTED_VALUE"""),"AB001463")</f>
        <v>AB001463</v>
      </c>
      <c r="B1294" t="str">
        <f ca="1">IFERROR(__xludf.DUMMYFUNCTION("""COMPUTED_VALUE"""),"")</f>
        <v/>
      </c>
      <c r="C1294" t="str">
        <f ca="1">IFERROR(__xludf.DUMMYFUNCTION("""COMPUTED_VALUE"""),"")</f>
        <v/>
      </c>
      <c r="D1294" t="str">
        <f ca="1">IFERROR(__xludf.DUMMYFUNCTION("""COMPUTED_VALUE"""),"")</f>
        <v/>
      </c>
    </row>
    <row r="1295" spans="1:4" ht="15" customHeight="1">
      <c r="A1295" t="str">
        <f ca="1">IFERROR(__xludf.DUMMYFUNCTION("""COMPUTED_VALUE"""),"AB001463")</f>
        <v>AB001463</v>
      </c>
      <c r="B1295" s="205">
        <f ca="1">IFERROR(__xludf.DUMMYFUNCTION("""COMPUTED_VALUE"""),43755)</f>
        <v>43755</v>
      </c>
      <c r="C1295" t="str">
        <f ca="1">IFERROR(__xludf.DUMMYFUNCTION("""COMPUTED_VALUE"""),"")</f>
        <v/>
      </c>
      <c r="D1295" t="str">
        <f ca="1">IFERROR(__xludf.DUMMYFUNCTION("""COMPUTED_VALUE"""),"")</f>
        <v/>
      </c>
    </row>
    <row r="1296" spans="1:4" ht="15" customHeight="1">
      <c r="A1296" t="str">
        <f ca="1">IFERROR(__xludf.DUMMYFUNCTION("""COMPUTED_VALUE"""),"AB001463")</f>
        <v>AB001463</v>
      </c>
      <c r="B1296" s="205">
        <f ca="1">IFERROR(__xludf.DUMMYFUNCTION("""COMPUTED_VALUE"""),43755)</f>
        <v>43755</v>
      </c>
      <c r="C1296" t="str">
        <f ca="1">IFERROR(__xludf.DUMMYFUNCTION("""COMPUTED_VALUE"""),"")</f>
        <v/>
      </c>
      <c r="D1296" t="str">
        <f ca="1">IFERROR(__xludf.DUMMYFUNCTION("""COMPUTED_VALUE"""),"")</f>
        <v/>
      </c>
    </row>
    <row r="1297" spans="1:4" ht="15" customHeight="1">
      <c r="A1297" t="str">
        <f ca="1">IFERROR(__xludf.DUMMYFUNCTION("""COMPUTED_VALUE"""),"AB001464")</f>
        <v>AB001464</v>
      </c>
      <c r="B1297" s="205">
        <f ca="1">IFERROR(__xludf.DUMMYFUNCTION("""COMPUTED_VALUE"""),43755)</f>
        <v>43755</v>
      </c>
      <c r="C1297" t="str">
        <f ca="1">IFERROR(__xludf.DUMMYFUNCTION("""COMPUTED_VALUE"""),"")</f>
        <v/>
      </c>
      <c r="D1297" t="str">
        <f ca="1">IFERROR(__xludf.DUMMYFUNCTION("""COMPUTED_VALUE"""),"")</f>
        <v/>
      </c>
    </row>
    <row r="1298" spans="1:4" ht="15" customHeight="1">
      <c r="A1298" t="str">
        <f ca="1">IFERROR(__xludf.DUMMYFUNCTION("""COMPUTED_VALUE"""),"AB001464")</f>
        <v>AB001464</v>
      </c>
      <c r="B1298" s="205">
        <f ca="1">IFERROR(__xludf.DUMMYFUNCTION("""COMPUTED_VALUE"""),43755)</f>
        <v>43755</v>
      </c>
      <c r="C1298" t="str">
        <f ca="1">IFERROR(__xludf.DUMMYFUNCTION("""COMPUTED_VALUE"""),"")</f>
        <v/>
      </c>
      <c r="D1298" t="str">
        <f ca="1">IFERROR(__xludf.DUMMYFUNCTION("""COMPUTED_VALUE"""),"")</f>
        <v/>
      </c>
    </row>
    <row r="1299" spans="1:4" ht="15" customHeight="1">
      <c r="A1299" t="str">
        <f ca="1">IFERROR(__xludf.DUMMYFUNCTION("""COMPUTED_VALUE"""),"AB001464")</f>
        <v>AB001464</v>
      </c>
      <c r="B1299" s="205">
        <f ca="1">IFERROR(__xludf.DUMMYFUNCTION("""COMPUTED_VALUE"""),43755)</f>
        <v>43755</v>
      </c>
      <c r="C1299" t="str">
        <f ca="1">IFERROR(__xludf.DUMMYFUNCTION("""COMPUTED_VALUE"""),"")</f>
        <v/>
      </c>
      <c r="D1299" t="str">
        <f ca="1">IFERROR(__xludf.DUMMYFUNCTION("""COMPUTED_VALUE"""),"")</f>
        <v/>
      </c>
    </row>
    <row r="1300" spans="1:4" ht="15" customHeight="1">
      <c r="A1300" t="str">
        <f ca="1">IFERROR(__xludf.DUMMYFUNCTION("""COMPUTED_VALUE"""),"AB001519")</f>
        <v>AB001519</v>
      </c>
      <c r="B1300" s="205">
        <f ca="1">IFERROR(__xludf.DUMMYFUNCTION("""COMPUTED_VALUE"""),43755)</f>
        <v>43755</v>
      </c>
      <c r="C1300" t="str">
        <f ca="1">IFERROR(__xludf.DUMMYFUNCTION("""COMPUTED_VALUE"""),"")</f>
        <v/>
      </c>
      <c r="D1300" t="str">
        <f ca="1">IFERROR(__xludf.DUMMYFUNCTION("""COMPUTED_VALUE"""),"")</f>
        <v/>
      </c>
    </row>
    <row r="1301" spans="1:4" ht="15" customHeight="1">
      <c r="A1301" t="str">
        <f ca="1">IFERROR(__xludf.DUMMYFUNCTION("""COMPUTED_VALUE"""),"AB001519")</f>
        <v>AB001519</v>
      </c>
      <c r="B1301" s="205">
        <f ca="1">IFERROR(__xludf.DUMMYFUNCTION("""COMPUTED_VALUE"""),43755)</f>
        <v>43755</v>
      </c>
      <c r="C1301" t="str">
        <f ca="1">IFERROR(__xludf.DUMMYFUNCTION("""COMPUTED_VALUE"""),"")</f>
        <v/>
      </c>
      <c r="D1301" t="str">
        <f ca="1">IFERROR(__xludf.DUMMYFUNCTION("""COMPUTED_VALUE"""),"")</f>
        <v/>
      </c>
    </row>
    <row r="1302" spans="1:4" ht="15" customHeight="1">
      <c r="A1302" t="str">
        <f ca="1">IFERROR(__xludf.DUMMYFUNCTION("""COMPUTED_VALUE"""),"AB001519")</f>
        <v>AB001519</v>
      </c>
      <c r="B1302" s="205">
        <f ca="1">IFERROR(__xludf.DUMMYFUNCTION("""COMPUTED_VALUE"""),43755)</f>
        <v>43755</v>
      </c>
      <c r="C1302" t="str">
        <f ca="1">IFERROR(__xludf.DUMMYFUNCTION("""COMPUTED_VALUE"""),"")</f>
        <v/>
      </c>
      <c r="D1302" t="str">
        <f ca="1">IFERROR(__xludf.DUMMYFUNCTION("""COMPUTED_VALUE"""),"")</f>
        <v/>
      </c>
    </row>
    <row r="1303" spans="1:4" ht="15" customHeight="1">
      <c r="A1303" t="str">
        <f ca="1">IFERROR(__xludf.DUMMYFUNCTION("""COMPUTED_VALUE"""),"AB001519")</f>
        <v>AB001519</v>
      </c>
      <c r="B1303" s="205">
        <f ca="1">IFERROR(__xludf.DUMMYFUNCTION("""COMPUTED_VALUE"""),43755)</f>
        <v>43755</v>
      </c>
      <c r="C1303" t="str">
        <f ca="1">IFERROR(__xludf.DUMMYFUNCTION("""COMPUTED_VALUE"""),"")</f>
        <v/>
      </c>
      <c r="D1303" t="str">
        <f ca="1">IFERROR(__xludf.DUMMYFUNCTION("""COMPUTED_VALUE"""),"")</f>
        <v/>
      </c>
    </row>
    <row r="1304" spans="1:4" ht="15" customHeight="1">
      <c r="A1304" t="str">
        <f ca="1">IFERROR(__xludf.DUMMYFUNCTION("""COMPUTED_VALUE"""),"AB001519")</f>
        <v>AB001519</v>
      </c>
      <c r="B1304" s="205">
        <f ca="1">IFERROR(__xludf.DUMMYFUNCTION("""COMPUTED_VALUE"""),43755)</f>
        <v>43755</v>
      </c>
      <c r="C1304" t="str">
        <f ca="1">IFERROR(__xludf.DUMMYFUNCTION("""COMPUTED_VALUE"""),"")</f>
        <v/>
      </c>
      <c r="D1304" t="str">
        <f ca="1">IFERROR(__xludf.DUMMYFUNCTION("""COMPUTED_VALUE"""),"")</f>
        <v/>
      </c>
    </row>
    <row r="1305" spans="1:4" ht="15" customHeight="1">
      <c r="A1305" t="str">
        <f ca="1">IFERROR(__xludf.DUMMYFUNCTION("""COMPUTED_VALUE"""),"AB001519")</f>
        <v>AB001519</v>
      </c>
      <c r="B1305" s="205">
        <f ca="1">IFERROR(__xludf.DUMMYFUNCTION("""COMPUTED_VALUE"""),43755)</f>
        <v>43755</v>
      </c>
      <c r="C1305" t="str">
        <f ca="1">IFERROR(__xludf.DUMMYFUNCTION("""COMPUTED_VALUE"""),"")</f>
        <v/>
      </c>
      <c r="D1305" t="str">
        <f ca="1">IFERROR(__xludf.DUMMYFUNCTION("""COMPUTED_VALUE"""),"")</f>
        <v/>
      </c>
    </row>
    <row r="1306" spans="1:4" ht="15" customHeight="1">
      <c r="A1306" t="str">
        <f ca="1">IFERROR(__xludf.DUMMYFUNCTION("""COMPUTED_VALUE"""),"AB001519")</f>
        <v>AB001519</v>
      </c>
      <c r="B1306" s="205">
        <f ca="1">IFERROR(__xludf.DUMMYFUNCTION("""COMPUTED_VALUE"""),43755)</f>
        <v>43755</v>
      </c>
      <c r="C1306" t="str">
        <f ca="1">IFERROR(__xludf.DUMMYFUNCTION("""COMPUTED_VALUE"""),"")</f>
        <v/>
      </c>
      <c r="D1306" t="str">
        <f ca="1">IFERROR(__xludf.DUMMYFUNCTION("""COMPUTED_VALUE"""),"")</f>
        <v/>
      </c>
    </row>
    <row r="1307" spans="1:4" ht="15" customHeight="1">
      <c r="A1307" t="str">
        <f ca="1">IFERROR(__xludf.DUMMYFUNCTION("""COMPUTED_VALUE"""),"AB001519")</f>
        <v>AB001519</v>
      </c>
      <c r="B1307" s="205">
        <f ca="1">IFERROR(__xludf.DUMMYFUNCTION("""COMPUTED_VALUE"""),43755)</f>
        <v>43755</v>
      </c>
      <c r="C1307" t="str">
        <f ca="1">IFERROR(__xludf.DUMMYFUNCTION("""COMPUTED_VALUE"""),"")</f>
        <v/>
      </c>
      <c r="D1307" t="str">
        <f ca="1">IFERROR(__xludf.DUMMYFUNCTION("""COMPUTED_VALUE"""),"")</f>
        <v/>
      </c>
    </row>
    <row r="1308" spans="1:4" ht="15" customHeight="1">
      <c r="A1308" t="str">
        <f ca="1">IFERROR(__xludf.DUMMYFUNCTION("""COMPUTED_VALUE"""),"AB001519")</f>
        <v>AB001519</v>
      </c>
      <c r="B1308" s="205">
        <f ca="1">IFERROR(__xludf.DUMMYFUNCTION("""COMPUTED_VALUE"""),43755)</f>
        <v>43755</v>
      </c>
      <c r="C1308" t="str">
        <f ca="1">IFERROR(__xludf.DUMMYFUNCTION("""COMPUTED_VALUE"""),"")</f>
        <v/>
      </c>
      <c r="D1308" t="str">
        <f ca="1">IFERROR(__xludf.DUMMYFUNCTION("""COMPUTED_VALUE"""),"")</f>
        <v/>
      </c>
    </row>
    <row r="1309" spans="1:4" ht="15" customHeight="1">
      <c r="A1309" t="str">
        <f ca="1">IFERROR(__xludf.DUMMYFUNCTION("""COMPUTED_VALUE"""),"AB001519")</f>
        <v>AB001519</v>
      </c>
      <c r="B1309" s="205">
        <f ca="1">IFERROR(__xludf.DUMMYFUNCTION("""COMPUTED_VALUE"""),43755)</f>
        <v>43755</v>
      </c>
      <c r="C1309" t="str">
        <f ca="1">IFERROR(__xludf.DUMMYFUNCTION("""COMPUTED_VALUE"""),"")</f>
        <v/>
      </c>
      <c r="D1309" t="str">
        <f ca="1">IFERROR(__xludf.DUMMYFUNCTION("""COMPUTED_VALUE"""),"")</f>
        <v/>
      </c>
    </row>
    <row r="1310" spans="1:4" ht="15" customHeight="1">
      <c r="A1310" t="str">
        <f ca="1">IFERROR(__xludf.DUMMYFUNCTION("""COMPUTED_VALUE"""),"AB001519")</f>
        <v>AB001519</v>
      </c>
      <c r="B1310" s="205">
        <f ca="1">IFERROR(__xludf.DUMMYFUNCTION("""COMPUTED_VALUE"""),43755)</f>
        <v>43755</v>
      </c>
      <c r="C1310" t="str">
        <f ca="1">IFERROR(__xludf.DUMMYFUNCTION("""COMPUTED_VALUE"""),"")</f>
        <v/>
      </c>
      <c r="D1310" t="str">
        <f ca="1">IFERROR(__xludf.DUMMYFUNCTION("""COMPUTED_VALUE"""),"")</f>
        <v/>
      </c>
    </row>
    <row r="1311" spans="1:4" ht="15" customHeight="1">
      <c r="A1311" t="str">
        <f ca="1">IFERROR(__xludf.DUMMYFUNCTION("""COMPUTED_VALUE"""),"AB001520")</f>
        <v>AB001520</v>
      </c>
      <c r="B1311" s="205">
        <f ca="1">IFERROR(__xludf.DUMMYFUNCTION("""COMPUTED_VALUE"""),43755)</f>
        <v>43755</v>
      </c>
      <c r="C1311" t="str">
        <f ca="1">IFERROR(__xludf.DUMMYFUNCTION("""COMPUTED_VALUE"""),"")</f>
        <v/>
      </c>
      <c r="D1311" t="str">
        <f ca="1">IFERROR(__xludf.DUMMYFUNCTION("""COMPUTED_VALUE"""),"")</f>
        <v/>
      </c>
    </row>
    <row r="1312" spans="1:4" ht="15" customHeight="1">
      <c r="A1312" t="str">
        <f ca="1">IFERROR(__xludf.DUMMYFUNCTION("""COMPUTED_VALUE"""),"AB001521")</f>
        <v>AB001521</v>
      </c>
      <c r="B1312" t="str">
        <f ca="1">IFERROR(__xludf.DUMMYFUNCTION("""COMPUTED_VALUE"""),"")</f>
        <v/>
      </c>
      <c r="C1312" t="str">
        <f ca="1">IFERROR(__xludf.DUMMYFUNCTION("""COMPUTED_VALUE"""),"")</f>
        <v/>
      </c>
      <c r="D1312" t="str">
        <f ca="1">IFERROR(__xludf.DUMMYFUNCTION("""COMPUTED_VALUE"""),"")</f>
        <v/>
      </c>
    </row>
    <row r="1313" spans="1:4" ht="15" customHeight="1">
      <c r="A1313" t="str">
        <f ca="1">IFERROR(__xludf.DUMMYFUNCTION("""COMPUTED_VALUE"""),"AB001317")</f>
        <v>AB001317</v>
      </c>
      <c r="B1313" s="205">
        <f ca="1">IFERROR(__xludf.DUMMYFUNCTION("""COMPUTED_VALUE"""),43754)</f>
        <v>43754</v>
      </c>
      <c r="C1313" t="str">
        <f ca="1">IFERROR(__xludf.DUMMYFUNCTION("""COMPUTED_VALUE"""),"")</f>
        <v/>
      </c>
      <c r="D1313" t="str">
        <f ca="1">IFERROR(__xludf.DUMMYFUNCTION("""COMPUTED_VALUE"""),"")</f>
        <v/>
      </c>
    </row>
    <row r="1314" spans="1:4" ht="15" customHeight="1">
      <c r="A1314" t="str">
        <f ca="1">IFERROR(__xludf.DUMMYFUNCTION("""COMPUTED_VALUE"""),"AB001448")</f>
        <v>AB001448</v>
      </c>
      <c r="B1314" s="205">
        <f ca="1">IFERROR(__xludf.DUMMYFUNCTION("""COMPUTED_VALUE"""),43754)</f>
        <v>43754</v>
      </c>
      <c r="C1314" t="str">
        <f ca="1">IFERROR(__xludf.DUMMYFUNCTION("""COMPUTED_VALUE"""),"")</f>
        <v/>
      </c>
      <c r="D1314" t="str">
        <f ca="1">IFERROR(__xludf.DUMMYFUNCTION("""COMPUTED_VALUE"""),"")</f>
        <v/>
      </c>
    </row>
    <row r="1315" spans="1:4" ht="15" customHeight="1">
      <c r="A1315" t="str">
        <f ca="1">IFERROR(__xludf.DUMMYFUNCTION("""COMPUTED_VALUE"""),"AB001517")</f>
        <v>AB001517</v>
      </c>
      <c r="B1315" t="str">
        <f ca="1">IFERROR(__xludf.DUMMYFUNCTION("""COMPUTED_VALUE"""),"")</f>
        <v/>
      </c>
      <c r="C1315" t="str">
        <f ca="1">IFERROR(__xludf.DUMMYFUNCTION("""COMPUTED_VALUE"""),"")</f>
        <v/>
      </c>
      <c r="D1315" t="str">
        <f ca="1">IFERROR(__xludf.DUMMYFUNCTION("""COMPUTED_VALUE"""),"")</f>
        <v/>
      </c>
    </row>
    <row r="1316" spans="1:4" ht="15" customHeight="1">
      <c r="A1316" t="str">
        <f ca="1">IFERROR(__xludf.DUMMYFUNCTION("""COMPUTED_VALUE"""),"AB001517")</f>
        <v>AB001517</v>
      </c>
      <c r="B1316" t="str">
        <f ca="1">IFERROR(__xludf.DUMMYFUNCTION("""COMPUTED_VALUE"""),"")</f>
        <v/>
      </c>
      <c r="C1316" t="str">
        <f ca="1">IFERROR(__xludf.DUMMYFUNCTION("""COMPUTED_VALUE"""),"")</f>
        <v/>
      </c>
      <c r="D1316" t="str">
        <f ca="1">IFERROR(__xludf.DUMMYFUNCTION("""COMPUTED_VALUE"""),"")</f>
        <v/>
      </c>
    </row>
    <row r="1317" spans="1:4" ht="15" customHeight="1">
      <c r="A1317" t="str">
        <f ca="1">IFERROR(__xludf.DUMMYFUNCTION("""COMPUTED_VALUE"""),"AB001517")</f>
        <v>AB001517</v>
      </c>
      <c r="B1317" t="str">
        <f ca="1">IFERROR(__xludf.DUMMYFUNCTION("""COMPUTED_VALUE"""),"")</f>
        <v/>
      </c>
      <c r="C1317" t="str">
        <f ca="1">IFERROR(__xludf.DUMMYFUNCTION("""COMPUTED_VALUE"""),"")</f>
        <v/>
      </c>
      <c r="D1317" t="str">
        <f ca="1">IFERROR(__xludf.DUMMYFUNCTION("""COMPUTED_VALUE"""),"")</f>
        <v/>
      </c>
    </row>
    <row r="1318" spans="1:4" ht="15" customHeight="1">
      <c r="A1318" t="str">
        <f ca="1">IFERROR(__xludf.DUMMYFUNCTION("""COMPUTED_VALUE"""),"AB001517")</f>
        <v>AB001517</v>
      </c>
      <c r="B1318" t="str">
        <f ca="1">IFERROR(__xludf.DUMMYFUNCTION("""COMPUTED_VALUE"""),"")</f>
        <v/>
      </c>
      <c r="C1318" t="str">
        <f ca="1">IFERROR(__xludf.DUMMYFUNCTION("""COMPUTED_VALUE"""),"")</f>
        <v/>
      </c>
      <c r="D1318" t="str">
        <f ca="1">IFERROR(__xludf.DUMMYFUNCTION("""COMPUTED_VALUE"""),"")</f>
        <v/>
      </c>
    </row>
    <row r="1319" spans="1:4" ht="15" customHeight="1">
      <c r="A1319" t="str">
        <f ca="1">IFERROR(__xludf.DUMMYFUNCTION("""COMPUTED_VALUE"""),"AB001517")</f>
        <v>AB001517</v>
      </c>
      <c r="B1319" t="str">
        <f ca="1">IFERROR(__xludf.DUMMYFUNCTION("""COMPUTED_VALUE"""),"")</f>
        <v/>
      </c>
      <c r="C1319" t="str">
        <f ca="1">IFERROR(__xludf.DUMMYFUNCTION("""COMPUTED_VALUE"""),"")</f>
        <v/>
      </c>
      <c r="D1319" t="str">
        <f ca="1">IFERROR(__xludf.DUMMYFUNCTION("""COMPUTED_VALUE"""),"")</f>
        <v/>
      </c>
    </row>
    <row r="1320" spans="1:4" ht="15" customHeight="1">
      <c r="A1320" t="str">
        <f ca="1">IFERROR(__xludf.DUMMYFUNCTION("""COMPUTED_VALUE"""),"AB001532")</f>
        <v>AB001532</v>
      </c>
      <c r="B1320" s="205">
        <f ca="1">IFERROR(__xludf.DUMMYFUNCTION("""COMPUTED_VALUE"""),43759)</f>
        <v>43759</v>
      </c>
      <c r="C1320" t="str">
        <f ca="1">IFERROR(__xludf.DUMMYFUNCTION("""COMPUTED_VALUE"""),"")</f>
        <v/>
      </c>
      <c r="D1320" t="str">
        <f ca="1">IFERROR(__xludf.DUMMYFUNCTION("""COMPUTED_VALUE"""),"")</f>
        <v/>
      </c>
    </row>
    <row r="1321" spans="1:4" ht="15" customHeight="1">
      <c r="A1321" t="str">
        <f ca="1">IFERROR(__xludf.DUMMYFUNCTION("""COMPUTED_VALUE"""),"AB001444")</f>
        <v>AB001444</v>
      </c>
      <c r="B1321" s="205">
        <f ca="1">IFERROR(__xludf.DUMMYFUNCTION("""COMPUTED_VALUE"""),43759)</f>
        <v>43759</v>
      </c>
      <c r="C1321" t="str">
        <f ca="1">IFERROR(__xludf.DUMMYFUNCTION("""COMPUTED_VALUE"""),"")</f>
        <v/>
      </c>
      <c r="D1321" t="str">
        <f ca="1">IFERROR(__xludf.DUMMYFUNCTION("""COMPUTED_VALUE"""),"")</f>
        <v/>
      </c>
    </row>
    <row r="1322" spans="1:4" ht="15" customHeight="1">
      <c r="A1322" t="str">
        <f ca="1">IFERROR(__xludf.DUMMYFUNCTION("""COMPUTED_VALUE"""),"AB001450")</f>
        <v>AB001450</v>
      </c>
      <c r="B1322" s="205">
        <f ca="1">IFERROR(__xludf.DUMMYFUNCTION("""COMPUTED_VALUE"""),43759)</f>
        <v>43759</v>
      </c>
      <c r="C1322" t="str">
        <f ca="1">IFERROR(__xludf.DUMMYFUNCTION("""COMPUTED_VALUE"""),"")</f>
        <v/>
      </c>
      <c r="D1322" t="str">
        <f ca="1">IFERROR(__xludf.DUMMYFUNCTION("""COMPUTED_VALUE"""),"")</f>
        <v/>
      </c>
    </row>
    <row r="1323" spans="1:4" ht="15" customHeight="1">
      <c r="A1323" t="str">
        <f ca="1">IFERROR(__xludf.DUMMYFUNCTION("""COMPUTED_VALUE"""),"AB001524")</f>
        <v>AB001524</v>
      </c>
      <c r="B1323" s="205">
        <f ca="1">IFERROR(__xludf.DUMMYFUNCTION("""COMPUTED_VALUE"""),43759)</f>
        <v>43759</v>
      </c>
      <c r="C1323" t="str">
        <f ca="1">IFERROR(__xludf.DUMMYFUNCTION("""COMPUTED_VALUE"""),"")</f>
        <v/>
      </c>
      <c r="D1323" t="str">
        <f ca="1">IFERROR(__xludf.DUMMYFUNCTION("""COMPUTED_VALUE"""),"")</f>
        <v/>
      </c>
    </row>
    <row r="1324" spans="1:4" ht="15" customHeight="1">
      <c r="A1324" t="str">
        <f ca="1">IFERROR(__xludf.DUMMYFUNCTION("""COMPUTED_VALUE"""),"AB001525")</f>
        <v>AB001525</v>
      </c>
      <c r="B1324" s="205">
        <f ca="1">IFERROR(__xludf.DUMMYFUNCTION("""COMPUTED_VALUE"""),43759)</f>
        <v>43759</v>
      </c>
      <c r="C1324" t="str">
        <f ca="1">IFERROR(__xludf.DUMMYFUNCTION("""COMPUTED_VALUE"""),"")</f>
        <v/>
      </c>
      <c r="D1324" t="str">
        <f ca="1">IFERROR(__xludf.DUMMYFUNCTION("""COMPUTED_VALUE"""),"")</f>
        <v/>
      </c>
    </row>
    <row r="1325" spans="1:4" ht="15" customHeight="1">
      <c r="A1325" t="str">
        <f ca="1">IFERROR(__xludf.DUMMYFUNCTION("""COMPUTED_VALUE"""),"AB001526")</f>
        <v>AB001526</v>
      </c>
      <c r="B1325" s="205">
        <f ca="1">IFERROR(__xludf.DUMMYFUNCTION("""COMPUTED_VALUE"""),43759)</f>
        <v>43759</v>
      </c>
      <c r="C1325" t="str">
        <f ca="1">IFERROR(__xludf.DUMMYFUNCTION("""COMPUTED_VALUE"""),"")</f>
        <v/>
      </c>
      <c r="D1325" t="str">
        <f ca="1">IFERROR(__xludf.DUMMYFUNCTION("""COMPUTED_VALUE"""),"")</f>
        <v/>
      </c>
    </row>
    <row r="1326" spans="1:4" ht="15" customHeight="1">
      <c r="A1326" t="str">
        <f ca="1">IFERROR(__xludf.DUMMYFUNCTION("""COMPUTED_VALUE"""),"AB001526")</f>
        <v>AB001526</v>
      </c>
      <c r="B1326" s="205">
        <f ca="1">IFERROR(__xludf.DUMMYFUNCTION("""COMPUTED_VALUE"""),43759)</f>
        <v>43759</v>
      </c>
      <c r="C1326" t="str">
        <f ca="1">IFERROR(__xludf.DUMMYFUNCTION("""COMPUTED_VALUE"""),"")</f>
        <v/>
      </c>
      <c r="D1326" t="str">
        <f ca="1">IFERROR(__xludf.DUMMYFUNCTION("""COMPUTED_VALUE"""),"")</f>
        <v/>
      </c>
    </row>
    <row r="1327" spans="1:4" ht="15" customHeight="1">
      <c r="A1327" t="str">
        <f ca="1">IFERROR(__xludf.DUMMYFUNCTION("""COMPUTED_VALUE"""),"AB001533")</f>
        <v>AB001533</v>
      </c>
      <c r="B1327" s="205">
        <f ca="1">IFERROR(__xludf.DUMMYFUNCTION("""COMPUTED_VALUE"""),43760)</f>
        <v>43760</v>
      </c>
      <c r="C1327" t="str">
        <f ca="1">IFERROR(__xludf.DUMMYFUNCTION("""COMPUTED_VALUE"""),"")</f>
        <v/>
      </c>
      <c r="D1327" t="str">
        <f ca="1">IFERROR(__xludf.DUMMYFUNCTION("""COMPUTED_VALUE"""),"")</f>
        <v/>
      </c>
    </row>
    <row r="1328" spans="1:4" ht="15" customHeight="1">
      <c r="A1328" t="str">
        <f ca="1">IFERROR(__xludf.DUMMYFUNCTION("""COMPUTED_VALUE"""),"AB001249")</f>
        <v>AB001249</v>
      </c>
      <c r="B1328" s="205">
        <f ca="1">IFERROR(__xludf.DUMMYFUNCTION("""COMPUTED_VALUE"""),43763)</f>
        <v>43763</v>
      </c>
      <c r="C1328" t="str">
        <f ca="1">IFERROR(__xludf.DUMMYFUNCTION("""COMPUTED_VALUE"""),"")</f>
        <v/>
      </c>
      <c r="D1328" t="str">
        <f ca="1">IFERROR(__xludf.DUMMYFUNCTION("""COMPUTED_VALUE"""),"")</f>
        <v/>
      </c>
    </row>
    <row r="1329" spans="1:4" ht="15" customHeight="1">
      <c r="A1329" t="str">
        <f ca="1">IFERROR(__xludf.DUMMYFUNCTION("""COMPUTED_VALUE"""),"AB001249")</f>
        <v>AB001249</v>
      </c>
      <c r="B1329" s="205">
        <f ca="1">IFERROR(__xludf.DUMMYFUNCTION("""COMPUTED_VALUE"""),43763)</f>
        <v>43763</v>
      </c>
      <c r="C1329" t="str">
        <f ca="1">IFERROR(__xludf.DUMMYFUNCTION("""COMPUTED_VALUE"""),"")</f>
        <v/>
      </c>
      <c r="D1329" t="str">
        <f ca="1">IFERROR(__xludf.DUMMYFUNCTION("""COMPUTED_VALUE"""),"")</f>
        <v/>
      </c>
    </row>
    <row r="1330" spans="1:4" ht="15" customHeight="1">
      <c r="A1330" t="str">
        <f ca="1">IFERROR(__xludf.DUMMYFUNCTION("""COMPUTED_VALUE"""),"AB001528")</f>
        <v>AB001528</v>
      </c>
      <c r="B1330" s="205">
        <f ca="1">IFERROR(__xludf.DUMMYFUNCTION("""COMPUTED_VALUE"""),43768)</f>
        <v>43768</v>
      </c>
      <c r="C1330" t="str">
        <f ca="1">IFERROR(__xludf.DUMMYFUNCTION("""COMPUTED_VALUE"""),"")</f>
        <v/>
      </c>
      <c r="D1330" t="str">
        <f ca="1">IFERROR(__xludf.DUMMYFUNCTION("""COMPUTED_VALUE"""),"")</f>
        <v/>
      </c>
    </row>
    <row r="1331" spans="1:4" ht="15" customHeight="1">
      <c r="A1331" t="str">
        <f ca="1">IFERROR(__xludf.DUMMYFUNCTION("""COMPUTED_VALUE"""),"AB001527")</f>
        <v>AB001527</v>
      </c>
      <c r="B1331" s="205">
        <f ca="1">IFERROR(__xludf.DUMMYFUNCTION("""COMPUTED_VALUE"""),43766)</f>
        <v>43766</v>
      </c>
      <c r="C1331" t="str">
        <f ca="1">IFERROR(__xludf.DUMMYFUNCTION("""COMPUTED_VALUE"""),"")</f>
        <v/>
      </c>
      <c r="D1331" t="str">
        <f ca="1">IFERROR(__xludf.DUMMYFUNCTION("""COMPUTED_VALUE"""),"")</f>
        <v/>
      </c>
    </row>
    <row r="1332" spans="1:4" ht="15" customHeight="1">
      <c r="A1332" t="str">
        <f ca="1">IFERROR(__xludf.DUMMYFUNCTION("""COMPUTED_VALUE"""),"AB001551")</f>
        <v>AB001551</v>
      </c>
      <c r="B1332" s="205">
        <f ca="1">IFERROR(__xludf.DUMMYFUNCTION("""COMPUTED_VALUE"""),43768)</f>
        <v>43768</v>
      </c>
      <c r="C1332" t="str">
        <f ca="1">IFERROR(__xludf.DUMMYFUNCTION("""COMPUTED_VALUE"""),"")</f>
        <v/>
      </c>
      <c r="D1332" t="str">
        <f ca="1">IFERROR(__xludf.DUMMYFUNCTION("""COMPUTED_VALUE"""),"")</f>
        <v/>
      </c>
    </row>
    <row r="1333" spans="1:4" ht="15" customHeight="1">
      <c r="A1333" t="str">
        <f ca="1">IFERROR(__xludf.DUMMYFUNCTION("""COMPUTED_VALUE"""),"AB001552")</f>
        <v>AB001552</v>
      </c>
      <c r="B1333" s="205">
        <f ca="1">IFERROR(__xludf.DUMMYFUNCTION("""COMPUTED_VALUE"""),43768)</f>
        <v>43768</v>
      </c>
      <c r="C1333" t="str">
        <f ca="1">IFERROR(__xludf.DUMMYFUNCTION("""COMPUTED_VALUE"""),"")</f>
        <v/>
      </c>
      <c r="D1333" t="str">
        <f ca="1">IFERROR(__xludf.DUMMYFUNCTION("""COMPUTED_VALUE"""),"")</f>
        <v/>
      </c>
    </row>
    <row r="1334" spans="1:4" ht="15" customHeight="1">
      <c r="A1334" t="str">
        <f ca="1">IFERROR(__xludf.DUMMYFUNCTION("""COMPUTED_VALUE"""),"AB001601")</f>
        <v>AB001601</v>
      </c>
      <c r="B1334" s="205">
        <f ca="1">IFERROR(__xludf.DUMMYFUNCTION("""COMPUTED_VALUE"""),43768)</f>
        <v>43768</v>
      </c>
      <c r="C1334" t="str">
        <f ca="1">IFERROR(__xludf.DUMMYFUNCTION("""COMPUTED_VALUE"""),"")</f>
        <v/>
      </c>
      <c r="D1334" t="str">
        <f ca="1">IFERROR(__xludf.DUMMYFUNCTION("""COMPUTED_VALUE"""),"")</f>
        <v/>
      </c>
    </row>
    <row r="1335" spans="1:4" ht="15" customHeight="1">
      <c r="A1335" t="str">
        <f ca="1">IFERROR(__xludf.DUMMYFUNCTION("""COMPUTED_VALUE"""),"AB001614")</f>
        <v>AB001614</v>
      </c>
      <c r="B1335" s="205">
        <f ca="1">IFERROR(__xludf.DUMMYFUNCTION("""COMPUTED_VALUE"""),43769)</f>
        <v>43769</v>
      </c>
      <c r="C1335" t="str">
        <f ca="1">IFERROR(__xludf.DUMMYFUNCTION("""COMPUTED_VALUE"""),"")</f>
        <v/>
      </c>
      <c r="D1335" t="str">
        <f ca="1">IFERROR(__xludf.DUMMYFUNCTION("""COMPUTED_VALUE"""),"")</f>
        <v/>
      </c>
    </row>
    <row r="1336" spans="1:4" ht="15" customHeight="1">
      <c r="A1336" t="str">
        <f ca="1">IFERROR(__xludf.DUMMYFUNCTION("""COMPUTED_VALUE"""),"AB001613")</f>
        <v>AB001613</v>
      </c>
      <c r="B1336" s="205">
        <f ca="1">IFERROR(__xludf.DUMMYFUNCTION("""COMPUTED_VALUE"""),43769)</f>
        <v>43769</v>
      </c>
      <c r="C1336" t="str">
        <f ca="1">IFERROR(__xludf.DUMMYFUNCTION("""COMPUTED_VALUE"""),"")</f>
        <v/>
      </c>
      <c r="D1336" t="str">
        <f ca="1">IFERROR(__xludf.DUMMYFUNCTION("""COMPUTED_VALUE"""),"")</f>
        <v/>
      </c>
    </row>
    <row r="1337" spans="1:4" ht="15" customHeight="1">
      <c r="A1337" t="str">
        <f ca="1">IFERROR(__xludf.DUMMYFUNCTION("""COMPUTED_VALUE"""),"AB001615")</f>
        <v>AB001615</v>
      </c>
      <c r="B1337" s="205">
        <f ca="1">IFERROR(__xludf.DUMMYFUNCTION("""COMPUTED_VALUE"""),43769)</f>
        <v>43769</v>
      </c>
      <c r="C1337" t="str">
        <f ca="1">IFERROR(__xludf.DUMMYFUNCTION("""COMPUTED_VALUE"""),"")</f>
        <v/>
      </c>
      <c r="D1337" t="str">
        <f ca="1">IFERROR(__xludf.DUMMYFUNCTION("""COMPUTED_VALUE"""),"")</f>
        <v/>
      </c>
    </row>
    <row r="1338" spans="1:4" ht="15" customHeight="1">
      <c r="A1338" t="str">
        <f ca="1">IFERROR(__xludf.DUMMYFUNCTION("""COMPUTED_VALUE"""),"AB001517")</f>
        <v>AB001517</v>
      </c>
      <c r="B1338" t="str">
        <f ca="1">IFERROR(__xludf.DUMMYFUNCTION("""COMPUTED_VALUE"""),"")</f>
        <v/>
      </c>
      <c r="C1338" t="str">
        <f ca="1">IFERROR(__xludf.DUMMYFUNCTION("""COMPUTED_VALUE"""),"")</f>
        <v/>
      </c>
      <c r="D1338" t="str">
        <f ca="1">IFERROR(__xludf.DUMMYFUNCTION("""COMPUTED_VALUE"""),"")</f>
        <v/>
      </c>
    </row>
    <row r="1339" spans="1:4" ht="15" customHeight="1">
      <c r="A1339" t="str">
        <f ca="1">IFERROR(__xludf.DUMMYFUNCTION("""COMPUTED_VALUE"""),"AB001517")</f>
        <v>AB001517</v>
      </c>
      <c r="B1339" t="str">
        <f ca="1">IFERROR(__xludf.DUMMYFUNCTION("""COMPUTED_VALUE"""),"")</f>
        <v/>
      </c>
      <c r="C1339" t="str">
        <f ca="1">IFERROR(__xludf.DUMMYFUNCTION("""COMPUTED_VALUE"""),"")</f>
        <v/>
      </c>
      <c r="D1339" t="str">
        <f ca="1">IFERROR(__xludf.DUMMYFUNCTION("""COMPUTED_VALUE"""),"")</f>
        <v/>
      </c>
    </row>
    <row r="1340" spans="1:4" ht="15" customHeight="1">
      <c r="A1340" t="str">
        <f ca="1">IFERROR(__xludf.DUMMYFUNCTION("""COMPUTED_VALUE"""),"AB001517")</f>
        <v>AB001517</v>
      </c>
      <c r="B1340" t="str">
        <f ca="1">IFERROR(__xludf.DUMMYFUNCTION("""COMPUTED_VALUE"""),"")</f>
        <v/>
      </c>
      <c r="C1340" t="str">
        <f ca="1">IFERROR(__xludf.DUMMYFUNCTION("""COMPUTED_VALUE"""),"")</f>
        <v/>
      </c>
      <c r="D1340" t="str">
        <f ca="1">IFERROR(__xludf.DUMMYFUNCTION("""COMPUTED_VALUE"""),"")</f>
        <v/>
      </c>
    </row>
    <row r="1341" spans="1:4" ht="15" customHeight="1">
      <c r="A1341" t="str">
        <f ca="1">IFERROR(__xludf.DUMMYFUNCTION("""COMPUTED_VALUE"""),"AB001517")</f>
        <v>AB001517</v>
      </c>
      <c r="B1341" t="str">
        <f ca="1">IFERROR(__xludf.DUMMYFUNCTION("""COMPUTED_VALUE"""),"")</f>
        <v/>
      </c>
      <c r="C1341" t="str">
        <f ca="1">IFERROR(__xludf.DUMMYFUNCTION("""COMPUTED_VALUE"""),"")</f>
        <v/>
      </c>
      <c r="D1341" t="str">
        <f ca="1">IFERROR(__xludf.DUMMYFUNCTION("""COMPUTED_VALUE"""),"")</f>
        <v/>
      </c>
    </row>
    <row r="1342" spans="1:4" ht="15" customHeight="1">
      <c r="A1342" t="str">
        <f ca="1">IFERROR(__xludf.DUMMYFUNCTION("""COMPUTED_VALUE"""),"AB001517")</f>
        <v>AB001517</v>
      </c>
      <c r="B1342" t="str">
        <f ca="1">IFERROR(__xludf.DUMMYFUNCTION("""COMPUTED_VALUE"""),"")</f>
        <v/>
      </c>
      <c r="C1342" t="str">
        <f ca="1">IFERROR(__xludf.DUMMYFUNCTION("""COMPUTED_VALUE"""),"")</f>
        <v/>
      </c>
      <c r="D1342" t="str">
        <f ca="1">IFERROR(__xludf.DUMMYFUNCTION("""COMPUTED_VALUE"""),"")</f>
        <v/>
      </c>
    </row>
    <row r="1343" spans="1:4" ht="15" customHeight="1">
      <c r="A1343" t="str">
        <f ca="1">IFERROR(__xludf.DUMMYFUNCTION("""COMPUTED_VALUE"""),"AB001517")</f>
        <v>AB001517</v>
      </c>
      <c r="B1343" t="str">
        <f ca="1">IFERROR(__xludf.DUMMYFUNCTION("""COMPUTED_VALUE"""),"")</f>
        <v/>
      </c>
      <c r="C1343" t="str">
        <f ca="1">IFERROR(__xludf.DUMMYFUNCTION("""COMPUTED_VALUE"""),"")</f>
        <v/>
      </c>
      <c r="D1343" t="str">
        <f ca="1">IFERROR(__xludf.DUMMYFUNCTION("""COMPUTED_VALUE"""),"")</f>
        <v/>
      </c>
    </row>
    <row r="1344" spans="1:4" ht="15" customHeight="1">
      <c r="A1344" t="str">
        <f ca="1">IFERROR(__xludf.DUMMYFUNCTION("""COMPUTED_VALUE"""),"AB001517")</f>
        <v>AB001517</v>
      </c>
      <c r="B1344" t="str">
        <f ca="1">IFERROR(__xludf.DUMMYFUNCTION("""COMPUTED_VALUE"""),"")</f>
        <v/>
      </c>
      <c r="C1344" t="str">
        <f ca="1">IFERROR(__xludf.DUMMYFUNCTION("""COMPUTED_VALUE"""),"")</f>
        <v/>
      </c>
      <c r="D1344" t="str">
        <f ca="1">IFERROR(__xludf.DUMMYFUNCTION("""COMPUTED_VALUE"""),"")</f>
        <v/>
      </c>
    </row>
    <row r="1345" spans="1:2" ht="15" customHeight="1">
      <c r="A1345" t="str">
        <f ca="1">IFERROR(__xludf.DUMMYFUNCTION("""COMPUTED_VALUE"""),"AB001517")</f>
        <v>AB001517</v>
      </c>
      <c r="B1345" t="str">
        <f ca="1">IFERROR(__xludf.DUMMYFUNCTION("""COMPUTED_VALUE"""),"")</f>
        <v/>
      </c>
    </row>
    <row r="1346" spans="1:2" ht="15" customHeight="1">
      <c r="A1346" t="str">
        <f ca="1">IFERROR(__xludf.DUMMYFUNCTION("""COMPUTED_VALUE"""),"AB001517")</f>
        <v>AB001517</v>
      </c>
      <c r="B1346" t="str">
        <f ca="1">IFERROR(__xludf.DUMMYFUNCTION("""COMPUTED_VALUE"""),"")</f>
        <v/>
      </c>
    </row>
    <row r="1347" spans="1:2" ht="15" customHeight="1">
      <c r="A1347" t="str">
        <f ca="1">IFERROR(__xludf.DUMMYFUNCTION("""COMPUTED_VALUE"""),"AB001517")</f>
        <v>AB001517</v>
      </c>
      <c r="B1347" t="str">
        <f ca="1">IFERROR(__xludf.DUMMYFUNCTION("""COMPUTED_VALUE"""),"")</f>
        <v/>
      </c>
    </row>
    <row r="1348" spans="1:2" ht="15" customHeight="1">
      <c r="A1348" t="str">
        <f ca="1">IFERROR(__xludf.DUMMYFUNCTION("""COMPUTED_VALUE"""),"AB001517")</f>
        <v>AB001517</v>
      </c>
      <c r="B1348" t="str">
        <f ca="1">IFERROR(__xludf.DUMMYFUNCTION("""COMPUTED_VALUE"""),"")</f>
        <v/>
      </c>
    </row>
    <row r="1349" spans="1:2" ht="15" customHeight="1">
      <c r="A1349" t="str">
        <f ca="1">IFERROR(__xludf.DUMMYFUNCTION("""COMPUTED_VALUE"""),"AB001517")</f>
        <v>AB001517</v>
      </c>
      <c r="B1349" t="str">
        <f ca="1">IFERROR(__xludf.DUMMYFUNCTION("""COMPUTED_VALUE"""),"")</f>
        <v/>
      </c>
    </row>
    <row r="1350" spans="1:2" ht="15" customHeight="1">
      <c r="A1350" t="str">
        <f ca="1">IFERROR(__xludf.DUMMYFUNCTION("""COMPUTED_VALUE"""),"AB001517")</f>
        <v>AB001517</v>
      </c>
      <c r="B1350" t="str">
        <f ca="1">IFERROR(__xludf.DUMMYFUNCTION("""COMPUTED_VALUE"""),"")</f>
        <v/>
      </c>
    </row>
    <row r="1351" spans="1:2" ht="15" customHeight="1">
      <c r="A1351" t="str">
        <f ca="1">IFERROR(__xludf.DUMMYFUNCTION("""COMPUTED_VALUE"""),"AB001517")</f>
        <v>AB001517</v>
      </c>
      <c r="B1351" t="str">
        <f ca="1">IFERROR(__xludf.DUMMYFUNCTION("""COMPUTED_VALUE"""),"")</f>
        <v/>
      </c>
    </row>
    <row r="1352" spans="1:2" ht="15" customHeight="1">
      <c r="A1352" t="str">
        <f ca="1">IFERROR(__xludf.DUMMYFUNCTION("""COMPUTED_VALUE"""),"AB001517")</f>
        <v>AB001517</v>
      </c>
      <c r="B1352" t="str">
        <f ca="1">IFERROR(__xludf.DUMMYFUNCTION("""COMPUTED_VALUE"""),"")</f>
        <v/>
      </c>
    </row>
    <row r="1353" spans="1:2" ht="15" customHeight="1">
      <c r="A1353" t="str">
        <f ca="1">IFERROR(__xludf.DUMMYFUNCTION("""COMPUTED_VALUE"""),"AB001517")</f>
        <v>AB001517</v>
      </c>
      <c r="B1353" t="str">
        <f ca="1">IFERROR(__xludf.DUMMYFUNCTION("""COMPUTED_VALUE"""),"")</f>
        <v/>
      </c>
    </row>
    <row r="1354" spans="1:2" ht="15" customHeight="1">
      <c r="A1354" t="str">
        <f ca="1">IFERROR(__xludf.DUMMYFUNCTION("""COMPUTED_VALUE"""),"AB001517")</f>
        <v>AB001517</v>
      </c>
      <c r="B1354" t="str">
        <f ca="1">IFERROR(__xludf.DUMMYFUNCTION("""COMPUTED_VALUE"""),"")</f>
        <v/>
      </c>
    </row>
    <row r="1355" spans="1:2" ht="15" customHeight="1">
      <c r="A1355" t="str">
        <f ca="1">IFERROR(__xludf.DUMMYFUNCTION("""COMPUTED_VALUE"""),"AB001517")</f>
        <v>AB001517</v>
      </c>
      <c r="B1355" t="str">
        <f ca="1">IFERROR(__xludf.DUMMYFUNCTION("""COMPUTED_VALUE"""),"")</f>
        <v/>
      </c>
    </row>
    <row r="1356" spans="1:2" ht="15" customHeight="1">
      <c r="A1356" t="str">
        <f ca="1">IFERROR(__xludf.DUMMYFUNCTION("""COMPUTED_VALUE"""),"AB001517")</f>
        <v>AB001517</v>
      </c>
      <c r="B1356" t="str">
        <f ca="1">IFERROR(__xludf.DUMMYFUNCTION("""COMPUTED_VALUE"""),"")</f>
        <v/>
      </c>
    </row>
    <row r="1357" spans="1:2" ht="15" customHeight="1">
      <c r="A1357" t="str">
        <f ca="1">IFERROR(__xludf.DUMMYFUNCTION("""COMPUTED_VALUE"""),"AB001517")</f>
        <v>AB001517</v>
      </c>
      <c r="B1357" t="str">
        <f ca="1">IFERROR(__xludf.DUMMYFUNCTION("""COMPUTED_VALUE"""),"")</f>
        <v/>
      </c>
    </row>
    <row r="1358" spans="1:2" ht="15" customHeight="1">
      <c r="A1358" t="str">
        <f ca="1">IFERROR(__xludf.DUMMYFUNCTION("""COMPUTED_VALUE"""),"AB001517")</f>
        <v>AB001517</v>
      </c>
      <c r="B1358" t="str">
        <f ca="1">IFERROR(__xludf.DUMMYFUNCTION("""COMPUTED_VALUE"""),"")</f>
        <v/>
      </c>
    </row>
    <row r="1359" spans="1:2" ht="15" customHeight="1">
      <c r="A1359" t="str">
        <f ca="1">IFERROR(__xludf.DUMMYFUNCTION("""COMPUTED_VALUE"""),"AB001517")</f>
        <v>AB001517</v>
      </c>
      <c r="B1359" t="str">
        <f ca="1">IFERROR(__xludf.DUMMYFUNCTION("""COMPUTED_VALUE"""),"")</f>
        <v/>
      </c>
    </row>
    <row r="1360" spans="1:2" ht="15" customHeight="1">
      <c r="A1360" t="str">
        <f ca="1">IFERROR(__xludf.DUMMYFUNCTION("""COMPUTED_VALUE"""),"AB001553")</f>
        <v>AB001553</v>
      </c>
      <c r="B1360" s="205">
        <f ca="1">IFERROR(__xludf.DUMMYFUNCTION("""COMPUTED_VALUE"""),43774)</f>
        <v>43774</v>
      </c>
    </row>
    <row r="1361" spans="1:2" ht="15" customHeight="1">
      <c r="A1361" t="str">
        <f ca="1">IFERROR(__xludf.DUMMYFUNCTION("""COMPUTED_VALUE"""),"AB001616")</f>
        <v>AB001616</v>
      </c>
      <c r="B1361" s="205">
        <f ca="1">IFERROR(__xludf.DUMMYFUNCTION("""COMPUTED_VALUE"""),43774)</f>
        <v>43774</v>
      </c>
    </row>
    <row r="1362" spans="1:2" ht="15" customHeight="1">
      <c r="A1362" t="str">
        <f ca="1">IFERROR(__xludf.DUMMYFUNCTION("""COMPUTED_VALUE"""),"AB001617")</f>
        <v>AB001617</v>
      </c>
      <c r="B1362" s="205">
        <f ca="1">IFERROR(__xludf.DUMMYFUNCTION("""COMPUTED_VALUE"""),43774)</f>
        <v>43774</v>
      </c>
    </row>
    <row r="1363" spans="1:2" ht="15" customHeight="1">
      <c r="A1363" t="str">
        <f ca="1">IFERROR(__xludf.DUMMYFUNCTION("""COMPUTED_VALUE"""),"AB001618")</f>
        <v>AB001618</v>
      </c>
      <c r="B1363" s="205">
        <f ca="1">IFERROR(__xludf.DUMMYFUNCTION("""COMPUTED_VALUE"""),43774)</f>
        <v>43774</v>
      </c>
    </row>
    <row r="1364" spans="1:2" ht="15" customHeight="1">
      <c r="A1364" t="str">
        <f ca="1">IFERROR(__xludf.DUMMYFUNCTION("""COMPUTED_VALUE"""),"AB001618")</f>
        <v>AB001618</v>
      </c>
      <c r="B1364" s="205">
        <f ca="1">IFERROR(__xludf.DUMMYFUNCTION("""COMPUTED_VALUE"""),43774)</f>
        <v>43774</v>
      </c>
    </row>
    <row r="1365" spans="1:2" ht="15" customHeight="1">
      <c r="A1365" t="str">
        <f ca="1">IFERROR(__xludf.DUMMYFUNCTION("""COMPUTED_VALUE"""),"AB001619")</f>
        <v>AB001619</v>
      </c>
      <c r="B1365" s="205">
        <f ca="1">IFERROR(__xludf.DUMMYFUNCTION("""COMPUTED_VALUE"""),43774)</f>
        <v>43774</v>
      </c>
    </row>
    <row r="1366" spans="1:2" ht="15" customHeight="1">
      <c r="A1366" t="str">
        <f ca="1">IFERROR(__xludf.DUMMYFUNCTION("""COMPUTED_VALUE"""),"AB001619")</f>
        <v>AB001619</v>
      </c>
      <c r="B1366" s="205">
        <f ca="1">IFERROR(__xludf.DUMMYFUNCTION("""COMPUTED_VALUE"""),43774)</f>
        <v>43774</v>
      </c>
    </row>
    <row r="1367" spans="1:2" ht="15" customHeight="1">
      <c r="A1367" t="str">
        <f ca="1">IFERROR(__xludf.DUMMYFUNCTION("""COMPUTED_VALUE"""),"AB001620")</f>
        <v>AB001620</v>
      </c>
      <c r="B1367" s="205">
        <f ca="1">IFERROR(__xludf.DUMMYFUNCTION("""COMPUTED_VALUE"""),43774)</f>
        <v>43774</v>
      </c>
    </row>
    <row r="1368" spans="1:2" ht="15" customHeight="1">
      <c r="A1368" t="str">
        <f ca="1">IFERROR(__xludf.DUMMYFUNCTION("""COMPUTED_VALUE"""),"AB001620")</f>
        <v>AB001620</v>
      </c>
      <c r="B1368" s="205">
        <f ca="1">IFERROR(__xludf.DUMMYFUNCTION("""COMPUTED_VALUE"""),43774)</f>
        <v>43774</v>
      </c>
    </row>
    <row r="1369" spans="1:2" ht="15" customHeight="1">
      <c r="A1369" t="str">
        <f ca="1">IFERROR(__xludf.DUMMYFUNCTION("""COMPUTED_VALUE"""),"AB001555")</f>
        <v>AB001555</v>
      </c>
      <c r="B1369" s="205">
        <f ca="1">IFERROR(__xludf.DUMMYFUNCTION("""COMPUTED_VALUE"""),43774)</f>
        <v>43774</v>
      </c>
    </row>
    <row r="1370" spans="1:2" ht="15" customHeight="1">
      <c r="A1370" t="str">
        <f ca="1">IFERROR(__xludf.DUMMYFUNCTION("""COMPUTED_VALUE"""),"AB001556")</f>
        <v>AB001556</v>
      </c>
      <c r="B1370" s="205">
        <f ca="1">IFERROR(__xludf.DUMMYFUNCTION("""COMPUTED_VALUE"""),43774)</f>
        <v>43774</v>
      </c>
    </row>
    <row r="1371" spans="1:2" ht="15" customHeight="1">
      <c r="A1371" t="str">
        <f ca="1">IFERROR(__xludf.DUMMYFUNCTION("""COMPUTED_VALUE"""),"AB001554")</f>
        <v>AB001554</v>
      </c>
      <c r="B1371" s="205">
        <f ca="1">IFERROR(__xludf.DUMMYFUNCTION("""COMPUTED_VALUE"""),43776)</f>
        <v>43776</v>
      </c>
    </row>
    <row r="1372" spans="1:2" ht="15" customHeight="1">
      <c r="A1372" t="str">
        <f ca="1">IFERROR(__xludf.DUMMYFUNCTION("""COMPUTED_VALUE"""),"AB001557")</f>
        <v>AB001557</v>
      </c>
      <c r="B1372" t="str">
        <f ca="1">IFERROR(__xludf.DUMMYFUNCTION("""COMPUTED_VALUE"""),"")</f>
        <v/>
      </c>
    </row>
    <row r="1373" spans="1:2" ht="15" customHeight="1">
      <c r="A1373" t="str">
        <f ca="1">IFERROR(__xludf.DUMMYFUNCTION("""COMPUTED_VALUE"""),"AB001329")</f>
        <v>AB001329</v>
      </c>
      <c r="B1373" s="205">
        <f ca="1">IFERROR(__xludf.DUMMYFUNCTION("""COMPUTED_VALUE"""),43777)</f>
        <v>43777</v>
      </c>
    </row>
    <row r="1374" spans="1:2" ht="15" customHeight="1">
      <c r="A1374" t="str">
        <f ca="1">IFERROR(__xludf.DUMMYFUNCTION("""COMPUTED_VALUE"""),"AB001329")</f>
        <v>AB001329</v>
      </c>
      <c r="B1374" s="205">
        <f ca="1">IFERROR(__xludf.DUMMYFUNCTION("""COMPUTED_VALUE"""),43777)</f>
        <v>43777</v>
      </c>
    </row>
    <row r="1375" spans="1:2" ht="15" customHeight="1">
      <c r="A1375" t="str">
        <f ca="1">IFERROR(__xludf.DUMMYFUNCTION("""COMPUTED_VALUE"""),"AB001558")</f>
        <v>AB001558</v>
      </c>
      <c r="B1375" t="str">
        <f ca="1">IFERROR(__xludf.DUMMYFUNCTION("""COMPUTED_VALUE"""),"")</f>
        <v/>
      </c>
    </row>
    <row r="1376" spans="1:2" ht="15" customHeight="1">
      <c r="A1376" t="str">
        <f ca="1">IFERROR(__xludf.DUMMYFUNCTION("""COMPUTED_VALUE"""),"AB001558")</f>
        <v>AB001558</v>
      </c>
      <c r="B1376" t="str">
        <f ca="1">IFERROR(__xludf.DUMMYFUNCTION("""COMPUTED_VALUE"""),"")</f>
        <v/>
      </c>
    </row>
    <row r="1377" spans="1:2" ht="15" customHeight="1">
      <c r="A1377" t="str">
        <f ca="1">IFERROR(__xludf.DUMMYFUNCTION("""COMPUTED_VALUE"""),"AB001611")</f>
        <v>AB001611</v>
      </c>
      <c r="B1377" s="205">
        <f ca="1">IFERROR(__xludf.DUMMYFUNCTION("""COMPUTED_VALUE"""),43781)</f>
        <v>43781</v>
      </c>
    </row>
    <row r="1378" spans="1:2" ht="15" customHeight="1">
      <c r="A1378" t="str">
        <f ca="1">IFERROR(__xludf.DUMMYFUNCTION("""COMPUTED_VALUE"""),"AB001611")</f>
        <v>AB001611</v>
      </c>
      <c r="B1378" s="205">
        <f ca="1">IFERROR(__xludf.DUMMYFUNCTION("""COMPUTED_VALUE"""),43781)</f>
        <v>43781</v>
      </c>
    </row>
    <row r="1379" spans="1:2" ht="15" customHeight="1">
      <c r="A1379" t="str">
        <f ca="1">IFERROR(__xludf.DUMMYFUNCTION("""COMPUTED_VALUE"""),"AB001612")</f>
        <v>AB001612</v>
      </c>
      <c r="B1379" s="205">
        <f ca="1">IFERROR(__xludf.DUMMYFUNCTION("""COMPUTED_VALUE"""),43781)</f>
        <v>43781</v>
      </c>
    </row>
    <row r="1380" spans="1:2" ht="15" customHeight="1">
      <c r="A1380" t="str">
        <f ca="1">IFERROR(__xludf.DUMMYFUNCTION("""COMPUTED_VALUE"""),"AB001612")</f>
        <v>AB001612</v>
      </c>
      <c r="B1380" s="205">
        <f ca="1">IFERROR(__xludf.DUMMYFUNCTION("""COMPUTED_VALUE"""),43781)</f>
        <v>43781</v>
      </c>
    </row>
    <row r="1381" spans="1:2" ht="15" customHeight="1">
      <c r="A1381" t="str">
        <f ca="1">IFERROR(__xludf.DUMMYFUNCTION("""COMPUTED_VALUE"""),"AB001559")</f>
        <v>AB001559</v>
      </c>
      <c r="B1381" s="205">
        <f ca="1">IFERROR(__xludf.DUMMYFUNCTION("""COMPUTED_VALUE"""),43781)</f>
        <v>43781</v>
      </c>
    </row>
    <row r="1382" spans="1:2" ht="15" customHeight="1">
      <c r="A1382" t="str">
        <f ca="1">IFERROR(__xludf.DUMMYFUNCTION("""COMPUTED_VALUE"""),"AB001560")</f>
        <v>AB001560</v>
      </c>
      <c r="B1382" s="205">
        <f ca="1">IFERROR(__xludf.DUMMYFUNCTION("""COMPUTED_VALUE"""),43781)</f>
        <v>43781</v>
      </c>
    </row>
    <row r="1383" spans="1:2" ht="15" customHeight="1">
      <c r="A1383" t="str">
        <f ca="1">IFERROR(__xludf.DUMMYFUNCTION("""COMPUTED_VALUE"""),"AB001562")</f>
        <v>AB001562</v>
      </c>
      <c r="B1383" s="205">
        <f ca="1">IFERROR(__xludf.DUMMYFUNCTION("""COMPUTED_VALUE"""),43781)</f>
        <v>43781</v>
      </c>
    </row>
    <row r="1384" spans="1:2" ht="15" customHeight="1">
      <c r="A1384" t="str">
        <f ca="1">IFERROR(__xludf.DUMMYFUNCTION("""COMPUTED_VALUE"""),"AB001534")</f>
        <v>AB001534</v>
      </c>
      <c r="B1384" t="str">
        <f ca="1">IFERROR(__xludf.DUMMYFUNCTION("""COMPUTED_VALUE"""),"")</f>
        <v/>
      </c>
    </row>
    <row r="1385" spans="1:2" ht="15" customHeight="1">
      <c r="A1385" t="str">
        <f ca="1">IFERROR(__xludf.DUMMYFUNCTION("""COMPUTED_VALUE"""),"PA000342")</f>
        <v>PA000342</v>
      </c>
      <c r="B1385" t="str">
        <f ca="1">IFERROR(__xludf.DUMMYFUNCTION("""COMPUTED_VALUE"""),"")</f>
        <v/>
      </c>
    </row>
    <row r="1386" spans="1:2" ht="15" customHeight="1">
      <c r="A1386" t="str">
        <f ca="1">IFERROR(__xludf.DUMMYFUNCTION("""COMPUTED_VALUE"""),"")</f>
        <v/>
      </c>
      <c r="B1386" t="str">
        <f ca="1">IFERROR(__xludf.DUMMYFUNCTION("""COMPUTED_VALUE"""),"")</f>
        <v/>
      </c>
    </row>
    <row r="1387" spans="1:2" ht="15" customHeight="1">
      <c r="A1387" t="str">
        <f ca="1">IFERROR(__xludf.DUMMYFUNCTION("""COMPUTED_VALUE"""),"")</f>
        <v/>
      </c>
      <c r="B1387" t="str">
        <f ca="1">IFERROR(__xludf.DUMMYFUNCTION("""COMPUTED_VALUE"""),"")</f>
        <v/>
      </c>
    </row>
    <row r="1388" spans="1:2" ht="15" customHeight="1">
      <c r="A1388" t="str">
        <f ca="1">IFERROR(__xludf.DUMMYFUNCTION("""COMPUTED_VALUE"""),"AB001449")</f>
        <v>AB001449</v>
      </c>
      <c r="B1388" t="str">
        <f ca="1">IFERROR(__xludf.DUMMYFUNCTION("""COMPUTED_VALUE"""),"")</f>
        <v/>
      </c>
    </row>
    <row r="1389" spans="1:2" ht="15" customHeight="1">
      <c r="A1389" t="str">
        <f ca="1">IFERROR(__xludf.DUMMYFUNCTION("""COMPUTED_VALUE"""),"AB001449")</f>
        <v>AB001449</v>
      </c>
      <c r="B1389" t="str">
        <f ca="1">IFERROR(__xludf.DUMMYFUNCTION("""COMPUTED_VALUE"""),"")</f>
        <v/>
      </c>
    </row>
    <row r="1390" spans="1:2" ht="15" customHeight="1">
      <c r="A1390" t="str">
        <f ca="1">IFERROR(__xludf.DUMMYFUNCTION("""COMPUTED_VALUE"""),"")</f>
        <v/>
      </c>
      <c r="B1390" t="str">
        <f ca="1">IFERROR(__xludf.DUMMYFUNCTION("""COMPUTED_VALUE"""),"")</f>
        <v/>
      </c>
    </row>
    <row r="1391" spans="1:2" ht="15" customHeight="1">
      <c r="A1391" t="str">
        <f ca="1">IFERROR(__xludf.DUMMYFUNCTION("""COMPUTED_VALUE"""),"")</f>
        <v/>
      </c>
      <c r="B1391" t="str">
        <f ca="1">IFERROR(__xludf.DUMMYFUNCTION("""COMPUTED_VALUE"""),"")</f>
        <v/>
      </c>
    </row>
    <row r="1392" spans="1:2" ht="15" customHeight="1">
      <c r="A1392" t="str">
        <f ca="1">IFERROR(__xludf.DUMMYFUNCTION("""COMPUTED_VALUE"""),"")</f>
        <v/>
      </c>
      <c r="B1392" t="str">
        <f ca="1">IFERROR(__xludf.DUMMYFUNCTION("""COMPUTED_VALUE"""),"")</f>
        <v/>
      </c>
    </row>
    <row r="1393" spans="1:2" ht="15" customHeight="1">
      <c r="A1393" t="str">
        <f ca="1">IFERROR(__xludf.DUMMYFUNCTION("""COMPUTED_VALUE"""),"")</f>
        <v/>
      </c>
      <c r="B1393" t="str">
        <f ca="1">IFERROR(__xludf.DUMMYFUNCTION("""COMPUTED_VALUE"""),"")</f>
        <v/>
      </c>
    </row>
    <row r="1394" spans="1:2" ht="15" customHeight="1">
      <c r="A1394" t="str">
        <f ca="1">IFERROR(__xludf.DUMMYFUNCTION("""COMPUTED_VALUE"""),"")</f>
        <v/>
      </c>
      <c r="B1394" t="str">
        <f ca="1">IFERROR(__xludf.DUMMYFUNCTION("""COMPUTED_VALUE"""),"")</f>
        <v/>
      </c>
    </row>
    <row r="1395" spans="1:2" ht="15" customHeight="1">
      <c r="A1395" t="str">
        <f ca="1">IFERROR(__xludf.DUMMYFUNCTION("""COMPUTED_VALUE"""),"")</f>
        <v/>
      </c>
      <c r="B1395" t="str">
        <f ca="1">IFERROR(__xludf.DUMMYFUNCTION("""COMPUTED_VALUE"""),"")</f>
        <v/>
      </c>
    </row>
    <row r="1396" spans="1:2" ht="15" customHeight="1">
      <c r="A1396" t="str">
        <f ca="1">IFERROR(__xludf.DUMMYFUNCTION("""COMPUTED_VALUE"""),"")</f>
        <v/>
      </c>
      <c r="B1396" t="str">
        <f ca="1">IFERROR(__xludf.DUMMYFUNCTION("""COMPUTED_VALUE"""),"")</f>
        <v/>
      </c>
    </row>
    <row r="1397" spans="1:2" ht="15" customHeight="1">
      <c r="A1397" t="str">
        <f ca="1">IFERROR(__xludf.DUMMYFUNCTION("""COMPUTED_VALUE"""),"")</f>
        <v/>
      </c>
      <c r="B1397" t="str">
        <f ca="1">IFERROR(__xludf.DUMMYFUNCTION("""COMPUTED_VALUE"""),"")</f>
        <v/>
      </c>
    </row>
    <row r="1398" spans="1:2" ht="15" customHeight="1">
      <c r="A1398" t="str">
        <f ca="1">IFERROR(__xludf.DUMMYFUNCTION("""COMPUTED_VALUE"""),"")</f>
        <v/>
      </c>
      <c r="B1398" t="str">
        <f ca="1">IFERROR(__xludf.DUMMYFUNCTION("""COMPUTED_VALUE"""),"")</f>
        <v/>
      </c>
    </row>
    <row r="1399" spans="1:2" ht="15" customHeight="1">
      <c r="A1399" t="str">
        <f ca="1">IFERROR(__xludf.DUMMYFUNCTION("""COMPUTED_VALUE"""),"")</f>
        <v/>
      </c>
      <c r="B1399" t="str">
        <f ca="1">IFERROR(__xludf.DUMMYFUNCTION("""COMPUTED_VALUE"""),"")</f>
        <v/>
      </c>
    </row>
    <row r="1400" spans="1:2" ht="15" customHeight="1">
      <c r="A1400" t="str">
        <f ca="1">IFERROR(__xludf.DUMMYFUNCTION("""COMPUTED_VALUE"""),"")</f>
        <v/>
      </c>
      <c r="B1400" t="str">
        <f ca="1">IFERROR(__xludf.DUMMYFUNCTION("""COMPUTED_VALUE"""),"")</f>
        <v/>
      </c>
    </row>
    <row r="1401" spans="1:2" ht="15" customHeight="1">
      <c r="A1401" t="str">
        <f ca="1">IFERROR(__xludf.DUMMYFUNCTION("""COMPUTED_VALUE"""),"")</f>
        <v/>
      </c>
      <c r="B1401" t="str">
        <f ca="1">IFERROR(__xludf.DUMMYFUNCTION("""COMPUTED_VALUE"""),"")</f>
        <v/>
      </c>
    </row>
    <row r="1402" spans="1:2" ht="15" customHeight="1">
      <c r="A1402" t="str">
        <f ca="1">IFERROR(__xludf.DUMMYFUNCTION("""COMPUTED_VALUE"""),"")</f>
        <v/>
      </c>
      <c r="B1402" t="str">
        <f ca="1">IFERROR(__xludf.DUMMYFUNCTION("""COMPUTED_VALUE"""),"")</f>
        <v/>
      </c>
    </row>
    <row r="1403" spans="1:2" ht="15" customHeight="1">
      <c r="A1403" t="str">
        <f ca="1">IFERROR(__xludf.DUMMYFUNCTION("""COMPUTED_VALUE"""),"")</f>
        <v/>
      </c>
      <c r="B1403" t="str">
        <f ca="1">IFERROR(__xludf.DUMMYFUNCTION("""COMPUTED_VALUE"""),"")</f>
        <v/>
      </c>
    </row>
    <row r="1404" spans="1:2" ht="15" customHeight="1">
      <c r="A1404" t="str">
        <f ca="1">IFERROR(__xludf.DUMMYFUNCTION("""COMPUTED_VALUE"""),"")</f>
        <v/>
      </c>
      <c r="B1404" t="str">
        <f ca="1">IFERROR(__xludf.DUMMYFUNCTION("""COMPUTED_VALUE"""),"")</f>
        <v/>
      </c>
    </row>
    <row r="1405" spans="1:2" ht="15" customHeight="1">
      <c r="A1405" t="str">
        <f ca="1">IFERROR(__xludf.DUMMYFUNCTION("""COMPUTED_VALUE"""),"")</f>
        <v/>
      </c>
      <c r="B1405" t="str">
        <f ca="1">IFERROR(__xludf.DUMMYFUNCTION("""COMPUTED_VALUE"""),"")</f>
        <v/>
      </c>
    </row>
    <row r="1406" spans="1:2" ht="15" customHeight="1">
      <c r="A1406" t="str">
        <f ca="1">IFERROR(__xludf.DUMMYFUNCTION("""COMPUTED_VALUE"""),"")</f>
        <v/>
      </c>
      <c r="B1406" t="str">
        <f ca="1">IFERROR(__xludf.DUMMYFUNCTION("""COMPUTED_VALUE"""),"")</f>
        <v/>
      </c>
    </row>
    <row r="1407" spans="1:2" ht="15" customHeight="1">
      <c r="A1407" t="str">
        <f ca="1">IFERROR(__xludf.DUMMYFUNCTION("""COMPUTED_VALUE"""),"")</f>
        <v/>
      </c>
      <c r="B1407" t="str">
        <f ca="1">IFERROR(__xludf.DUMMYFUNCTION("""COMPUTED_VALUE"""),"")</f>
        <v/>
      </c>
    </row>
    <row r="1408" spans="1:2" ht="15" customHeight="1">
      <c r="A1408" t="str">
        <f ca="1">IFERROR(__xludf.DUMMYFUNCTION("""COMPUTED_VALUE"""),"")</f>
        <v/>
      </c>
      <c r="B1408" t="str">
        <f ca="1">IFERROR(__xludf.DUMMYFUNCTION("""COMPUTED_VALUE"""),"")</f>
        <v/>
      </c>
    </row>
    <row r="1409" spans="1:2" ht="15" customHeight="1">
      <c r="A1409" t="str">
        <f ca="1">IFERROR(__xludf.DUMMYFUNCTION("""COMPUTED_VALUE"""),"")</f>
        <v/>
      </c>
      <c r="B1409" t="str">
        <f ca="1">IFERROR(__xludf.DUMMYFUNCTION("""COMPUTED_VALUE"""),"")</f>
        <v/>
      </c>
    </row>
    <row r="1410" spans="1:2" ht="15" customHeight="1">
      <c r="A1410" t="str">
        <f ca="1">IFERROR(__xludf.DUMMYFUNCTION("""COMPUTED_VALUE"""),"")</f>
        <v/>
      </c>
      <c r="B1410" t="str">
        <f ca="1">IFERROR(__xludf.DUMMYFUNCTION("""COMPUTED_VALUE"""),"")</f>
        <v/>
      </c>
    </row>
    <row r="1411" spans="1:2" ht="15" customHeight="1">
      <c r="A1411" t="str">
        <f ca="1">IFERROR(__xludf.DUMMYFUNCTION("""COMPUTED_VALUE"""),"")</f>
        <v/>
      </c>
      <c r="B1411" t="str">
        <f ca="1">IFERROR(__xludf.DUMMYFUNCTION("""COMPUTED_VALUE"""),"")</f>
        <v/>
      </c>
    </row>
    <row r="1412" spans="1:2" ht="15" customHeight="1">
      <c r="A1412" t="str">
        <f ca="1">IFERROR(__xludf.DUMMYFUNCTION("""COMPUTED_VALUE"""),"")</f>
        <v/>
      </c>
      <c r="B1412" t="str">
        <f ca="1">IFERROR(__xludf.DUMMYFUNCTION("""COMPUTED_VALUE"""),"")</f>
        <v/>
      </c>
    </row>
    <row r="1413" spans="1:2" ht="15" customHeight="1">
      <c r="A1413" t="str">
        <f ca="1">IFERROR(__xludf.DUMMYFUNCTION("""COMPUTED_VALUE"""),"")</f>
        <v/>
      </c>
      <c r="B1413" t="str">
        <f ca="1">IFERROR(__xludf.DUMMYFUNCTION("""COMPUTED_VALUE"""),"")</f>
        <v/>
      </c>
    </row>
    <row r="1414" spans="1:2" ht="15" customHeight="1">
      <c r="A1414" t="str">
        <f ca="1">IFERROR(__xludf.DUMMYFUNCTION("""COMPUTED_VALUE"""),"")</f>
        <v/>
      </c>
      <c r="B1414" t="str">
        <f ca="1">IFERROR(__xludf.DUMMYFUNCTION("""COMPUTED_VALUE"""),"")</f>
        <v/>
      </c>
    </row>
    <row r="1415" spans="1:2" ht="15" customHeight="1">
      <c r="A1415" t="str">
        <f ca="1">IFERROR(__xludf.DUMMYFUNCTION("""COMPUTED_VALUE"""),"")</f>
        <v/>
      </c>
      <c r="B1415" t="str">
        <f ca="1">IFERROR(__xludf.DUMMYFUNCTION("""COMPUTED_VALUE"""),"")</f>
        <v/>
      </c>
    </row>
    <row r="1416" spans="1:2" ht="15" customHeight="1">
      <c r="A1416" t="str">
        <f ca="1">IFERROR(__xludf.DUMMYFUNCTION("""COMPUTED_VALUE"""),"")</f>
        <v/>
      </c>
      <c r="B1416" t="str">
        <f ca="1">IFERROR(__xludf.DUMMYFUNCTION("""COMPUTED_VALUE"""),"")</f>
        <v/>
      </c>
    </row>
    <row r="1417" spans="1:2" ht="15" customHeight="1">
      <c r="A1417" t="str">
        <f ca="1">IFERROR(__xludf.DUMMYFUNCTION("""COMPUTED_VALUE"""),"")</f>
        <v/>
      </c>
      <c r="B1417" t="str">
        <f ca="1">IFERROR(__xludf.DUMMYFUNCTION("""COMPUTED_VALUE"""),"")</f>
        <v/>
      </c>
    </row>
    <row r="1418" spans="1:2" ht="15" customHeight="1">
      <c r="A1418" t="str">
        <f ca="1">IFERROR(__xludf.DUMMYFUNCTION("""COMPUTED_VALUE"""),"")</f>
        <v/>
      </c>
      <c r="B1418" t="str">
        <f ca="1">IFERROR(__xludf.DUMMYFUNCTION("""COMPUTED_VALUE"""),"")</f>
        <v/>
      </c>
    </row>
    <row r="1419" spans="1:2" ht="15" customHeight="1">
      <c r="A1419" t="str">
        <f ca="1">IFERROR(__xludf.DUMMYFUNCTION("""COMPUTED_VALUE"""),"")</f>
        <v/>
      </c>
      <c r="B1419" t="str">
        <f ca="1">IFERROR(__xludf.DUMMYFUNCTION("""COMPUTED_VALUE"""),"")</f>
        <v/>
      </c>
    </row>
    <row r="1420" spans="1:2" ht="15" customHeight="1">
      <c r="A1420" t="str">
        <f ca="1">IFERROR(__xludf.DUMMYFUNCTION("""COMPUTED_VALUE"""),"")</f>
        <v/>
      </c>
      <c r="B1420" t="str">
        <f ca="1">IFERROR(__xludf.DUMMYFUNCTION("""COMPUTED_VALUE"""),"")</f>
        <v/>
      </c>
    </row>
    <row r="1421" spans="1:2" ht="15" customHeight="1">
      <c r="A1421" t="str">
        <f ca="1">IFERROR(__xludf.DUMMYFUNCTION("""COMPUTED_VALUE"""),"")</f>
        <v/>
      </c>
      <c r="B1421" t="str">
        <f ca="1">IFERROR(__xludf.DUMMYFUNCTION("""COMPUTED_VALUE"""),"")</f>
        <v/>
      </c>
    </row>
    <row r="1422" spans="1:2" ht="15" customHeight="1">
      <c r="A1422" t="str">
        <f ca="1">IFERROR(__xludf.DUMMYFUNCTION("""COMPUTED_VALUE"""),"")</f>
        <v/>
      </c>
      <c r="B1422" t="str">
        <f ca="1">IFERROR(__xludf.DUMMYFUNCTION("""COMPUTED_VALUE"""),"")</f>
        <v/>
      </c>
    </row>
    <row r="1423" spans="1:2" ht="15" customHeight="1">
      <c r="A1423" t="str">
        <f ca="1">IFERROR(__xludf.DUMMYFUNCTION("""COMPUTED_VALUE"""),"")</f>
        <v/>
      </c>
      <c r="B1423" t="str">
        <f ca="1">IFERROR(__xludf.DUMMYFUNCTION("""COMPUTED_VALUE"""),"")</f>
        <v/>
      </c>
    </row>
    <row r="1424" spans="1:2" ht="15" customHeight="1">
      <c r="A1424" t="str">
        <f ca="1">IFERROR(__xludf.DUMMYFUNCTION("""COMPUTED_VALUE"""),"")</f>
        <v/>
      </c>
      <c r="B1424" t="str">
        <f ca="1">IFERROR(__xludf.DUMMYFUNCTION("""COMPUTED_VALUE"""),"")</f>
        <v/>
      </c>
    </row>
    <row r="1425" spans="1:2" ht="15" customHeight="1">
      <c r="A1425" t="str">
        <f ca="1">IFERROR(__xludf.DUMMYFUNCTION("""COMPUTED_VALUE"""),"")</f>
        <v/>
      </c>
      <c r="B1425" t="str">
        <f ca="1">IFERROR(__xludf.DUMMYFUNCTION("""COMPUTED_VALUE"""),"")</f>
        <v/>
      </c>
    </row>
    <row r="1426" spans="1:2" ht="15" customHeight="1">
      <c r="A1426" t="str">
        <f ca="1">IFERROR(__xludf.DUMMYFUNCTION("""COMPUTED_VALUE"""),"")</f>
        <v/>
      </c>
      <c r="B1426" t="str">
        <f ca="1">IFERROR(__xludf.DUMMYFUNCTION("""COMPUTED_VALUE"""),"")</f>
        <v/>
      </c>
    </row>
    <row r="1427" spans="1:2" ht="15" customHeight="1">
      <c r="A1427" t="str">
        <f ca="1">IFERROR(__xludf.DUMMYFUNCTION("""COMPUTED_VALUE"""),"")</f>
        <v/>
      </c>
      <c r="B1427" t="str">
        <f ca="1">IFERROR(__xludf.DUMMYFUNCTION("""COMPUTED_VALUE"""),"")</f>
        <v/>
      </c>
    </row>
    <row r="1428" spans="1:2" ht="15" customHeight="1">
      <c r="A1428" t="str">
        <f ca="1">IFERROR(__xludf.DUMMYFUNCTION("""COMPUTED_VALUE"""),"")</f>
        <v/>
      </c>
      <c r="B1428" t="str">
        <f ca="1">IFERROR(__xludf.DUMMYFUNCTION("""COMPUTED_VALUE"""),"")</f>
        <v/>
      </c>
    </row>
    <row r="1429" spans="1:2" ht="15" customHeight="1">
      <c r="A1429" t="str">
        <f ca="1">IFERROR(__xludf.DUMMYFUNCTION("""COMPUTED_VALUE"""),"")</f>
        <v/>
      </c>
      <c r="B1429" t="str">
        <f ca="1">IFERROR(__xludf.DUMMYFUNCTION("""COMPUTED_VALUE"""),"")</f>
        <v/>
      </c>
    </row>
    <row r="1430" spans="1:2" ht="15" customHeight="1">
      <c r="A1430" t="str">
        <f ca="1">IFERROR(__xludf.DUMMYFUNCTION("""COMPUTED_VALUE"""),"")</f>
        <v/>
      </c>
      <c r="B1430" t="str">
        <f ca="1">IFERROR(__xludf.DUMMYFUNCTION("""COMPUTED_VALUE"""),"")</f>
        <v/>
      </c>
    </row>
    <row r="1431" spans="1:2" ht="15" customHeight="1">
      <c r="A1431" t="str">
        <f ca="1">IFERROR(__xludf.DUMMYFUNCTION("""COMPUTED_VALUE"""),"")</f>
        <v/>
      </c>
      <c r="B1431" t="str">
        <f ca="1">IFERROR(__xludf.DUMMYFUNCTION("""COMPUTED_VALUE"""),"")</f>
        <v/>
      </c>
    </row>
    <row r="1432" spans="1:2" ht="15" customHeight="1">
      <c r="A1432" t="str">
        <f ca="1">IFERROR(__xludf.DUMMYFUNCTION("""COMPUTED_VALUE"""),"")</f>
        <v/>
      </c>
      <c r="B1432" t="str">
        <f ca="1">IFERROR(__xludf.DUMMYFUNCTION("""COMPUTED_VALUE"""),"")</f>
        <v/>
      </c>
    </row>
    <row r="1433" spans="1:2" ht="15" customHeight="1">
      <c r="A1433" t="str">
        <f ca="1">IFERROR(__xludf.DUMMYFUNCTION("""COMPUTED_VALUE"""),"")</f>
        <v/>
      </c>
      <c r="B1433" t="str">
        <f ca="1">IFERROR(__xludf.DUMMYFUNCTION("""COMPUTED_VALUE"""),"")</f>
        <v/>
      </c>
    </row>
    <row r="1434" spans="1:2" ht="15" customHeight="1">
      <c r="A1434" t="str">
        <f ca="1">IFERROR(__xludf.DUMMYFUNCTION("""COMPUTED_VALUE"""),"")</f>
        <v/>
      </c>
      <c r="B1434" t="str">
        <f ca="1">IFERROR(__xludf.DUMMYFUNCTION("""COMPUTED_VALUE"""),"")</f>
        <v/>
      </c>
    </row>
    <row r="1435" spans="1:2" ht="15" customHeight="1">
      <c r="A1435" t="str">
        <f ca="1">IFERROR(__xludf.DUMMYFUNCTION("""COMPUTED_VALUE"""),"")</f>
        <v/>
      </c>
      <c r="B1435" t="str">
        <f ca="1">IFERROR(__xludf.DUMMYFUNCTION("""COMPUTED_VALUE"""),"")</f>
        <v/>
      </c>
    </row>
    <row r="1436" spans="1:2" ht="15" customHeight="1">
      <c r="A1436" t="str">
        <f ca="1">IFERROR(__xludf.DUMMYFUNCTION("""COMPUTED_VALUE"""),"")</f>
        <v/>
      </c>
      <c r="B1436" t="str">
        <f ca="1">IFERROR(__xludf.DUMMYFUNCTION("""COMPUTED_VALUE"""),"")</f>
        <v/>
      </c>
    </row>
    <row r="1437" spans="1:2" ht="15" customHeight="1">
      <c r="A1437" t="str">
        <f ca="1">IFERROR(__xludf.DUMMYFUNCTION("""COMPUTED_VALUE"""),"")</f>
        <v/>
      </c>
      <c r="B1437" t="str">
        <f ca="1">IFERROR(__xludf.DUMMYFUNCTION("""COMPUTED_VALUE"""),"")</f>
        <v/>
      </c>
    </row>
    <row r="1438" spans="1:2" ht="15" customHeight="1">
      <c r="A1438" t="str">
        <f ca="1">IFERROR(__xludf.DUMMYFUNCTION("""COMPUTED_VALUE"""),"")</f>
        <v/>
      </c>
      <c r="B1438" t="str">
        <f ca="1">IFERROR(__xludf.DUMMYFUNCTION("""COMPUTED_VALUE"""),"")</f>
        <v/>
      </c>
    </row>
    <row r="1439" spans="1:2" ht="15" customHeight="1">
      <c r="A1439" t="str">
        <f ca="1">IFERROR(__xludf.DUMMYFUNCTION("""COMPUTED_VALUE"""),"")</f>
        <v/>
      </c>
      <c r="B1439" t="str">
        <f ca="1">IFERROR(__xludf.DUMMYFUNCTION("""COMPUTED_VALUE"""),"")</f>
        <v/>
      </c>
    </row>
    <row r="1440" spans="1:2" ht="15" customHeight="1">
      <c r="A1440" t="str">
        <f ca="1">IFERROR(__xludf.DUMMYFUNCTION("""COMPUTED_VALUE"""),"")</f>
        <v/>
      </c>
      <c r="B1440" t="str">
        <f ca="1">IFERROR(__xludf.DUMMYFUNCTION("""COMPUTED_VALUE"""),"")</f>
        <v/>
      </c>
    </row>
    <row r="1441" spans="1:2" ht="15" customHeight="1">
      <c r="A1441" t="str">
        <f ca="1">IFERROR(__xludf.DUMMYFUNCTION("""COMPUTED_VALUE"""),"")</f>
        <v/>
      </c>
      <c r="B1441" t="str">
        <f ca="1">IFERROR(__xludf.DUMMYFUNCTION("""COMPUTED_VALUE"""),"")</f>
        <v/>
      </c>
    </row>
    <row r="1442" spans="1:2" ht="15" customHeight="1">
      <c r="A1442" t="str">
        <f ca="1">IFERROR(__xludf.DUMMYFUNCTION("""COMPUTED_VALUE"""),"")</f>
        <v/>
      </c>
      <c r="B1442" t="str">
        <f ca="1">IFERROR(__xludf.DUMMYFUNCTION("""COMPUTED_VALUE"""),"")</f>
        <v/>
      </c>
    </row>
    <row r="1443" spans="1:2" ht="15" customHeight="1">
      <c r="A1443" t="str">
        <f ca="1">IFERROR(__xludf.DUMMYFUNCTION("""COMPUTED_VALUE"""),"")</f>
        <v/>
      </c>
      <c r="B1443" t="str">
        <f ca="1">IFERROR(__xludf.DUMMYFUNCTION("""COMPUTED_VALUE"""),"")</f>
        <v/>
      </c>
    </row>
    <row r="1444" spans="1:2" ht="15" customHeight="1">
      <c r="A1444" t="str">
        <f ca="1">IFERROR(__xludf.DUMMYFUNCTION("""COMPUTED_VALUE"""),"")</f>
        <v/>
      </c>
      <c r="B1444" t="str">
        <f ca="1">IFERROR(__xludf.DUMMYFUNCTION("""COMPUTED_VALUE"""),"")</f>
        <v/>
      </c>
    </row>
    <row r="1445" spans="1:2" ht="15" customHeight="1">
      <c r="A1445" t="str">
        <f ca="1">IFERROR(__xludf.DUMMYFUNCTION("""COMPUTED_VALUE"""),"")</f>
        <v/>
      </c>
      <c r="B1445" t="str">
        <f ca="1">IFERROR(__xludf.DUMMYFUNCTION("""COMPUTED_VALUE"""),"")</f>
        <v/>
      </c>
    </row>
    <row r="1446" spans="1:2" ht="15" customHeight="1">
      <c r="A1446" t="str">
        <f ca="1">IFERROR(__xludf.DUMMYFUNCTION("""COMPUTED_VALUE"""),"")</f>
        <v/>
      </c>
      <c r="B1446" t="str">
        <f ca="1">IFERROR(__xludf.DUMMYFUNCTION("""COMPUTED_VALUE"""),"")</f>
        <v/>
      </c>
    </row>
    <row r="1447" spans="1:2" ht="15" customHeight="1">
      <c r="A1447" t="str">
        <f ca="1">IFERROR(__xludf.DUMMYFUNCTION("""COMPUTED_VALUE"""),"")</f>
        <v/>
      </c>
      <c r="B1447" t="str">
        <f ca="1">IFERROR(__xludf.DUMMYFUNCTION("""COMPUTED_VALUE"""),"")</f>
        <v/>
      </c>
    </row>
    <row r="1448" spans="1:2" ht="15" customHeight="1">
      <c r="A1448" t="str">
        <f ca="1">IFERROR(__xludf.DUMMYFUNCTION("""COMPUTED_VALUE"""),"")</f>
        <v/>
      </c>
      <c r="B1448" t="str">
        <f ca="1">IFERROR(__xludf.DUMMYFUNCTION("""COMPUTED_VALUE"""),"")</f>
        <v/>
      </c>
    </row>
    <row r="1449" spans="1:2" ht="15" customHeight="1">
      <c r="A1449" t="str">
        <f ca="1">IFERROR(__xludf.DUMMYFUNCTION("""COMPUTED_VALUE"""),"")</f>
        <v/>
      </c>
      <c r="B1449" t="str">
        <f ca="1">IFERROR(__xludf.DUMMYFUNCTION("""COMPUTED_VALUE"""),"")</f>
        <v/>
      </c>
    </row>
    <row r="1450" spans="1:2" ht="15" customHeight="1">
      <c r="A1450" t="str">
        <f ca="1">IFERROR(__xludf.DUMMYFUNCTION("""COMPUTED_VALUE"""),"")</f>
        <v/>
      </c>
      <c r="B1450" t="str">
        <f ca="1">IFERROR(__xludf.DUMMYFUNCTION("""COMPUTED_VALUE"""),"")</f>
        <v/>
      </c>
    </row>
    <row r="1451" spans="1:2" ht="15" customHeight="1">
      <c r="A1451" t="str">
        <f ca="1">IFERROR(__xludf.DUMMYFUNCTION("""COMPUTED_VALUE"""),"")</f>
        <v/>
      </c>
      <c r="B1451" t="str">
        <f ca="1">IFERROR(__xludf.DUMMYFUNCTION("""COMPUTED_VALUE"""),"")</f>
        <v/>
      </c>
    </row>
    <row r="1452" spans="1:2" ht="15" customHeight="1">
      <c r="A1452" t="str">
        <f ca="1">IFERROR(__xludf.DUMMYFUNCTION("""COMPUTED_VALUE"""),"")</f>
        <v/>
      </c>
      <c r="B1452" t="str">
        <f ca="1">IFERROR(__xludf.DUMMYFUNCTION("""COMPUTED_VALUE"""),"")</f>
        <v/>
      </c>
    </row>
    <row r="1453" spans="1:2" ht="15" customHeight="1">
      <c r="A1453" t="str">
        <f ca="1">IFERROR(__xludf.DUMMYFUNCTION("""COMPUTED_VALUE"""),"")</f>
        <v/>
      </c>
      <c r="B1453" t="str">
        <f ca="1">IFERROR(__xludf.DUMMYFUNCTION("""COMPUTED_VALUE"""),"")</f>
        <v/>
      </c>
    </row>
    <row r="1454" spans="1:2" ht="15" customHeight="1">
      <c r="A1454" t="str">
        <f ca="1">IFERROR(__xludf.DUMMYFUNCTION("""COMPUTED_VALUE"""),"")</f>
        <v/>
      </c>
      <c r="B1454" t="str">
        <f ca="1">IFERROR(__xludf.DUMMYFUNCTION("""COMPUTED_VALUE"""),"")</f>
        <v/>
      </c>
    </row>
    <row r="1455" spans="1:2" ht="15" customHeight="1">
      <c r="A1455" t="str">
        <f ca="1">IFERROR(__xludf.DUMMYFUNCTION("""COMPUTED_VALUE"""),"")</f>
        <v/>
      </c>
      <c r="B1455" t="str">
        <f ca="1">IFERROR(__xludf.DUMMYFUNCTION("""COMPUTED_VALUE"""),"")</f>
        <v/>
      </c>
    </row>
    <row r="1456" spans="1:2" ht="15" customHeight="1">
      <c r="A1456" t="str">
        <f ca="1">IFERROR(__xludf.DUMMYFUNCTION("""COMPUTED_VALUE"""),"")</f>
        <v/>
      </c>
      <c r="B1456" t="str">
        <f ca="1">IFERROR(__xludf.DUMMYFUNCTION("""COMPUTED_VALUE"""),"")</f>
        <v/>
      </c>
    </row>
    <row r="1457" spans="1:2" ht="15" customHeight="1">
      <c r="A1457" t="str">
        <f ca="1">IFERROR(__xludf.DUMMYFUNCTION("""COMPUTED_VALUE"""),"")</f>
        <v/>
      </c>
      <c r="B1457" t="str">
        <f ca="1">IFERROR(__xludf.DUMMYFUNCTION("""COMPUTED_VALUE"""),"")</f>
        <v/>
      </c>
    </row>
    <row r="1458" spans="1:2" ht="15" customHeight="1">
      <c r="A1458" t="str">
        <f ca="1">IFERROR(__xludf.DUMMYFUNCTION("""COMPUTED_VALUE"""),"")</f>
        <v/>
      </c>
      <c r="B1458" t="str">
        <f ca="1">IFERROR(__xludf.DUMMYFUNCTION("""COMPUTED_VALUE"""),"")</f>
        <v/>
      </c>
    </row>
    <row r="1459" spans="1:2" ht="15" customHeight="1">
      <c r="A1459" t="str">
        <f ca="1">IFERROR(__xludf.DUMMYFUNCTION("""COMPUTED_VALUE"""),"")</f>
        <v/>
      </c>
      <c r="B1459" t="str">
        <f ca="1">IFERROR(__xludf.DUMMYFUNCTION("""COMPUTED_VALUE"""),"")</f>
        <v/>
      </c>
    </row>
    <row r="1460" spans="1:2" ht="15" customHeight="1">
      <c r="A1460" t="str">
        <f ca="1">IFERROR(__xludf.DUMMYFUNCTION("""COMPUTED_VALUE"""),"")</f>
        <v/>
      </c>
      <c r="B1460" t="str">
        <f ca="1">IFERROR(__xludf.DUMMYFUNCTION("""COMPUTED_VALUE"""),"")</f>
        <v/>
      </c>
    </row>
    <row r="1461" spans="1:2" ht="15" customHeight="1">
      <c r="A1461" t="str">
        <f ca="1">IFERROR(__xludf.DUMMYFUNCTION("""COMPUTED_VALUE"""),"")</f>
        <v/>
      </c>
      <c r="B1461" t="str">
        <f ca="1">IFERROR(__xludf.DUMMYFUNCTION("""COMPUTED_VALUE"""),"")</f>
        <v/>
      </c>
    </row>
    <row r="1462" spans="1:2" ht="15" customHeight="1">
      <c r="A1462" t="str">
        <f ca="1">IFERROR(__xludf.DUMMYFUNCTION("""COMPUTED_VALUE"""),"")</f>
        <v/>
      </c>
      <c r="B1462" t="str">
        <f ca="1">IFERROR(__xludf.DUMMYFUNCTION("""COMPUTED_VALUE"""),"")</f>
        <v/>
      </c>
    </row>
    <row r="1463" spans="1:2" ht="15" customHeight="1">
      <c r="A1463" t="str">
        <f ca="1">IFERROR(__xludf.DUMMYFUNCTION("""COMPUTED_VALUE"""),"")</f>
        <v/>
      </c>
      <c r="B1463" t="str">
        <f ca="1">IFERROR(__xludf.DUMMYFUNCTION("""COMPUTED_VALUE"""),"")</f>
        <v/>
      </c>
    </row>
    <row r="1464" spans="1:2" ht="15" customHeight="1">
      <c r="A1464" t="str">
        <f ca="1">IFERROR(__xludf.DUMMYFUNCTION("""COMPUTED_VALUE"""),"")</f>
        <v/>
      </c>
      <c r="B1464" t="str">
        <f ca="1">IFERROR(__xludf.DUMMYFUNCTION("""COMPUTED_VALUE"""),"")</f>
        <v/>
      </c>
    </row>
    <row r="1465" spans="1:2" ht="15" customHeight="1">
      <c r="A1465" t="str">
        <f ca="1">IFERROR(__xludf.DUMMYFUNCTION("""COMPUTED_VALUE"""),"")</f>
        <v/>
      </c>
      <c r="B1465" t="str">
        <f ca="1">IFERROR(__xludf.DUMMYFUNCTION("""COMPUTED_VALUE"""),"")</f>
        <v/>
      </c>
    </row>
    <row r="1466" spans="1:2" ht="15" customHeight="1">
      <c r="A1466" t="str">
        <f ca="1">IFERROR(__xludf.DUMMYFUNCTION("""COMPUTED_VALUE"""),"")</f>
        <v/>
      </c>
      <c r="B1466" t="str">
        <f ca="1">IFERROR(__xludf.DUMMYFUNCTION("""COMPUTED_VALUE"""),"")</f>
        <v/>
      </c>
    </row>
    <row r="1467" spans="1:2" ht="15" customHeight="1">
      <c r="A1467" t="str">
        <f ca="1">IFERROR(__xludf.DUMMYFUNCTION("""COMPUTED_VALUE"""),"")</f>
        <v/>
      </c>
      <c r="B1467" t="str">
        <f ca="1">IFERROR(__xludf.DUMMYFUNCTION("""COMPUTED_VALUE"""),"")</f>
        <v/>
      </c>
    </row>
    <row r="1468" spans="1:2" ht="15" customHeight="1">
      <c r="A1468" t="str">
        <f ca="1">IFERROR(__xludf.DUMMYFUNCTION("""COMPUTED_VALUE"""),"")</f>
        <v/>
      </c>
      <c r="B1468" t="str">
        <f ca="1">IFERROR(__xludf.DUMMYFUNCTION("""COMPUTED_VALUE"""),"")</f>
        <v/>
      </c>
    </row>
    <row r="1469" spans="1:2" ht="15" customHeight="1">
      <c r="A1469" t="str">
        <f ca="1">IFERROR(__xludf.DUMMYFUNCTION("""COMPUTED_VALUE"""),"")</f>
        <v/>
      </c>
      <c r="B1469" t="str">
        <f ca="1">IFERROR(__xludf.DUMMYFUNCTION("""COMPUTED_VALUE"""),"")</f>
        <v/>
      </c>
    </row>
    <row r="1470" spans="1:2" ht="15" customHeight="1">
      <c r="A1470" t="str">
        <f ca="1">IFERROR(__xludf.DUMMYFUNCTION("""COMPUTED_VALUE"""),"")</f>
        <v/>
      </c>
      <c r="B1470" t="str">
        <f ca="1">IFERROR(__xludf.DUMMYFUNCTION("""COMPUTED_VALUE"""),"")</f>
        <v/>
      </c>
    </row>
    <row r="1471" spans="1:2" ht="15" customHeight="1">
      <c r="A1471" t="str">
        <f ca="1">IFERROR(__xludf.DUMMYFUNCTION("""COMPUTED_VALUE"""),"")</f>
        <v/>
      </c>
      <c r="B1471" t="str">
        <f ca="1">IFERROR(__xludf.DUMMYFUNCTION("""COMPUTED_VALUE"""),"")</f>
        <v/>
      </c>
    </row>
    <row r="1472" spans="1:2" ht="15" customHeight="1">
      <c r="A1472" t="str">
        <f ca="1">IFERROR(__xludf.DUMMYFUNCTION("""COMPUTED_VALUE"""),"")</f>
        <v/>
      </c>
      <c r="B1472" t="str">
        <f ca="1">IFERROR(__xludf.DUMMYFUNCTION("""COMPUTED_VALUE"""),"")</f>
        <v/>
      </c>
    </row>
    <row r="1473" spans="1:2" ht="15" customHeight="1">
      <c r="A1473" t="str">
        <f ca="1">IFERROR(__xludf.DUMMYFUNCTION("""COMPUTED_VALUE"""),"")</f>
        <v/>
      </c>
      <c r="B1473" t="str">
        <f ca="1">IFERROR(__xludf.DUMMYFUNCTION("""COMPUTED_VALUE"""),"")</f>
        <v/>
      </c>
    </row>
    <row r="1474" spans="1:2" ht="15" customHeight="1">
      <c r="A1474" t="str">
        <f ca="1">IFERROR(__xludf.DUMMYFUNCTION("""COMPUTED_VALUE"""),"")</f>
        <v/>
      </c>
      <c r="B1474" t="str">
        <f ca="1">IFERROR(__xludf.DUMMYFUNCTION("""COMPUTED_VALUE"""),"")</f>
        <v/>
      </c>
    </row>
    <row r="1475" spans="1:2" ht="15" customHeight="1">
      <c r="A1475" t="str">
        <f ca="1">IFERROR(__xludf.DUMMYFUNCTION("""COMPUTED_VALUE"""),"")</f>
        <v/>
      </c>
      <c r="B1475" t="str">
        <f ca="1">IFERROR(__xludf.DUMMYFUNCTION("""COMPUTED_VALUE"""),"")</f>
        <v/>
      </c>
    </row>
    <row r="1476" spans="1:2" ht="15" customHeight="1">
      <c r="A1476" t="str">
        <f ca="1">IFERROR(__xludf.DUMMYFUNCTION("""COMPUTED_VALUE"""),"")</f>
        <v/>
      </c>
      <c r="B1476" t="str">
        <f ca="1">IFERROR(__xludf.DUMMYFUNCTION("""COMPUTED_VALUE"""),"")</f>
        <v/>
      </c>
    </row>
    <row r="1477" spans="1:2" ht="15" customHeight="1">
      <c r="A1477" t="str">
        <f ca="1">IFERROR(__xludf.DUMMYFUNCTION("""COMPUTED_VALUE"""),"")</f>
        <v/>
      </c>
      <c r="B1477" t="str">
        <f ca="1">IFERROR(__xludf.DUMMYFUNCTION("""COMPUTED_VALUE"""),"")</f>
        <v/>
      </c>
    </row>
    <row r="1478" spans="1:2" ht="15" customHeight="1">
      <c r="A1478" t="str">
        <f ca="1">IFERROR(__xludf.DUMMYFUNCTION("""COMPUTED_VALUE"""),"")</f>
        <v/>
      </c>
      <c r="B1478" t="str">
        <f ca="1">IFERROR(__xludf.DUMMYFUNCTION("""COMPUTED_VALUE"""),"")</f>
        <v/>
      </c>
    </row>
    <row r="1479" spans="1:2" ht="15" customHeight="1">
      <c r="A1479" t="str">
        <f ca="1">IFERROR(__xludf.DUMMYFUNCTION("""COMPUTED_VALUE"""),"")</f>
        <v/>
      </c>
      <c r="B1479" t="str">
        <f ca="1">IFERROR(__xludf.DUMMYFUNCTION("""COMPUTED_VALUE"""),"")</f>
        <v/>
      </c>
    </row>
    <row r="1480" spans="1:2" ht="15" customHeight="1">
      <c r="A1480" t="str">
        <f ca="1">IFERROR(__xludf.DUMMYFUNCTION("""COMPUTED_VALUE"""),"")</f>
        <v/>
      </c>
      <c r="B1480" t="str">
        <f ca="1">IFERROR(__xludf.DUMMYFUNCTION("""COMPUTED_VALUE"""),"")</f>
        <v/>
      </c>
    </row>
    <row r="1481" spans="1:2" ht="15" customHeight="1">
      <c r="A1481" t="str">
        <f ca="1">IFERROR(__xludf.DUMMYFUNCTION("""COMPUTED_VALUE"""),"")</f>
        <v/>
      </c>
      <c r="B1481" t="str">
        <f ca="1">IFERROR(__xludf.DUMMYFUNCTION("""COMPUTED_VALUE"""),"")</f>
        <v/>
      </c>
    </row>
    <row r="1482" spans="1:2" ht="15" customHeight="1">
      <c r="A1482" t="str">
        <f ca="1">IFERROR(__xludf.DUMMYFUNCTION("""COMPUTED_VALUE"""),"")</f>
        <v/>
      </c>
      <c r="B1482" t="str">
        <f ca="1">IFERROR(__xludf.DUMMYFUNCTION("""COMPUTED_VALUE"""),"")</f>
        <v/>
      </c>
    </row>
    <row r="1483" spans="1:2" ht="15" customHeight="1">
      <c r="A1483" t="str">
        <f ca="1">IFERROR(__xludf.DUMMYFUNCTION("""COMPUTED_VALUE"""),"")</f>
        <v/>
      </c>
      <c r="B1483" t="str">
        <f ca="1">IFERROR(__xludf.DUMMYFUNCTION("""COMPUTED_VALUE"""),"")</f>
        <v/>
      </c>
    </row>
    <row r="1484" spans="1:2" ht="15" customHeight="1">
      <c r="A1484" t="str">
        <f ca="1">IFERROR(__xludf.DUMMYFUNCTION("""COMPUTED_VALUE"""),"")</f>
        <v/>
      </c>
      <c r="B1484" t="str">
        <f ca="1">IFERROR(__xludf.DUMMYFUNCTION("""COMPUTED_VALUE"""),"")</f>
        <v/>
      </c>
    </row>
    <row r="1485" spans="1:2" ht="15" customHeight="1">
      <c r="A1485" t="str">
        <f ca="1">IFERROR(__xludf.DUMMYFUNCTION("""COMPUTED_VALUE"""),"")</f>
        <v/>
      </c>
      <c r="B1485" t="str">
        <f ca="1">IFERROR(__xludf.DUMMYFUNCTION("""COMPUTED_VALUE"""),"")</f>
        <v/>
      </c>
    </row>
    <row r="1486" spans="1:2" ht="15" customHeight="1">
      <c r="A1486" t="str">
        <f ca="1">IFERROR(__xludf.DUMMYFUNCTION("""COMPUTED_VALUE"""),"")</f>
        <v/>
      </c>
      <c r="B1486" t="str">
        <f ca="1">IFERROR(__xludf.DUMMYFUNCTION("""COMPUTED_VALUE"""),"")</f>
        <v/>
      </c>
    </row>
    <row r="1487" spans="1:2" ht="15" customHeight="1">
      <c r="A1487" t="str">
        <f ca="1">IFERROR(__xludf.DUMMYFUNCTION("""COMPUTED_VALUE"""),"")</f>
        <v/>
      </c>
      <c r="B1487" t="str">
        <f ca="1">IFERROR(__xludf.DUMMYFUNCTION("""COMPUTED_VALUE"""),"")</f>
        <v/>
      </c>
    </row>
    <row r="1488" spans="1:2" ht="15" customHeight="1">
      <c r="A1488" t="str">
        <f ca="1">IFERROR(__xludf.DUMMYFUNCTION("""COMPUTED_VALUE"""),"")</f>
        <v/>
      </c>
      <c r="B1488" t="str">
        <f ca="1">IFERROR(__xludf.DUMMYFUNCTION("""COMPUTED_VALUE"""),"")</f>
        <v/>
      </c>
    </row>
    <row r="1489" spans="1:2" ht="15" customHeight="1">
      <c r="A1489" t="str">
        <f ca="1">IFERROR(__xludf.DUMMYFUNCTION("""COMPUTED_VALUE"""),"")</f>
        <v/>
      </c>
      <c r="B1489" t="str">
        <f ca="1">IFERROR(__xludf.DUMMYFUNCTION("""COMPUTED_VALUE"""),"")</f>
        <v/>
      </c>
    </row>
    <row r="1490" spans="1:2" ht="15" customHeight="1">
      <c r="A1490" t="str">
        <f ca="1">IFERROR(__xludf.DUMMYFUNCTION("""COMPUTED_VALUE"""),"")</f>
        <v/>
      </c>
      <c r="B1490" t="str">
        <f ca="1">IFERROR(__xludf.DUMMYFUNCTION("""COMPUTED_VALUE"""),"")</f>
        <v/>
      </c>
    </row>
    <row r="1491" spans="1:2" ht="15" customHeight="1">
      <c r="A1491" t="str">
        <f ca="1">IFERROR(__xludf.DUMMYFUNCTION("""COMPUTED_VALUE"""),"")</f>
        <v/>
      </c>
      <c r="B1491" t="str">
        <f ca="1">IFERROR(__xludf.DUMMYFUNCTION("""COMPUTED_VALUE"""),"")</f>
        <v/>
      </c>
    </row>
    <row r="1492" spans="1:2" ht="15" customHeight="1">
      <c r="A1492" t="str">
        <f ca="1">IFERROR(__xludf.DUMMYFUNCTION("""COMPUTED_VALUE"""),"")</f>
        <v/>
      </c>
      <c r="B1492" t="str">
        <f ca="1">IFERROR(__xludf.DUMMYFUNCTION("""COMPUTED_VALUE"""),"")</f>
        <v/>
      </c>
    </row>
    <row r="1493" spans="1:2" ht="15" customHeight="1">
      <c r="A1493" t="str">
        <f ca="1">IFERROR(__xludf.DUMMYFUNCTION("""COMPUTED_VALUE"""),"")</f>
        <v/>
      </c>
      <c r="B1493" t="str">
        <f ca="1">IFERROR(__xludf.DUMMYFUNCTION("""COMPUTED_VALUE"""),"")</f>
        <v/>
      </c>
    </row>
    <row r="1494" spans="1:2" ht="15" customHeight="1">
      <c r="A1494" t="str">
        <f ca="1">IFERROR(__xludf.DUMMYFUNCTION("""COMPUTED_VALUE"""),"")</f>
        <v/>
      </c>
      <c r="B1494" t="str">
        <f ca="1">IFERROR(__xludf.DUMMYFUNCTION("""COMPUTED_VALUE"""),"")</f>
        <v/>
      </c>
    </row>
    <row r="1495" spans="1:2" ht="15" customHeight="1">
      <c r="A1495" t="str">
        <f ca="1">IFERROR(__xludf.DUMMYFUNCTION("""COMPUTED_VALUE"""),"")</f>
        <v/>
      </c>
      <c r="B1495" t="str">
        <f ca="1">IFERROR(__xludf.DUMMYFUNCTION("""COMPUTED_VALUE"""),"")</f>
        <v/>
      </c>
    </row>
    <row r="1496" spans="1:2" ht="15" customHeight="1">
      <c r="A1496" t="str">
        <f ca="1">IFERROR(__xludf.DUMMYFUNCTION("""COMPUTED_VALUE"""),"")</f>
        <v/>
      </c>
      <c r="B1496" t="str">
        <f ca="1">IFERROR(__xludf.DUMMYFUNCTION("""COMPUTED_VALUE"""),"")</f>
        <v/>
      </c>
    </row>
    <row r="1497" spans="1:2" ht="15" customHeight="1">
      <c r="A1497" t="str">
        <f ca="1">IFERROR(__xludf.DUMMYFUNCTION("""COMPUTED_VALUE"""),"")</f>
        <v/>
      </c>
      <c r="B1497" t="str">
        <f ca="1">IFERROR(__xludf.DUMMYFUNCTION("""COMPUTED_VALUE"""),"")</f>
        <v/>
      </c>
    </row>
    <row r="1498" spans="1:2" ht="15" customHeight="1">
      <c r="A1498" t="str">
        <f ca="1">IFERROR(__xludf.DUMMYFUNCTION("""COMPUTED_VALUE"""),"")</f>
        <v/>
      </c>
      <c r="B1498" t="str">
        <f ca="1">IFERROR(__xludf.DUMMYFUNCTION("""COMPUTED_VALUE"""),"")</f>
        <v/>
      </c>
    </row>
    <row r="1499" spans="1:2" ht="15" customHeight="1">
      <c r="A1499" t="str">
        <f ca="1">IFERROR(__xludf.DUMMYFUNCTION("""COMPUTED_VALUE"""),"")</f>
        <v/>
      </c>
      <c r="B1499" t="str">
        <f ca="1">IFERROR(__xludf.DUMMYFUNCTION("""COMPUTED_VALUE"""),"")</f>
        <v/>
      </c>
    </row>
    <row r="1500" spans="1:2" ht="15" customHeight="1">
      <c r="A1500" t="str">
        <f ca="1">IFERROR(__xludf.DUMMYFUNCTION("""COMPUTED_VALUE"""),"")</f>
        <v/>
      </c>
      <c r="B1500" t="str">
        <f ca="1">IFERROR(__xludf.DUMMYFUNCTION("""COMPUTED_VALUE"""),"")</f>
        <v/>
      </c>
    </row>
    <row r="1501" spans="1:2" ht="15" customHeight="1">
      <c r="A1501" t="str">
        <f ca="1">IFERROR(__xludf.DUMMYFUNCTION("""COMPUTED_VALUE"""),"")</f>
        <v/>
      </c>
      <c r="B1501" t="str">
        <f ca="1">IFERROR(__xludf.DUMMYFUNCTION("""COMPUTED_VALUE"""),"")</f>
        <v/>
      </c>
    </row>
    <row r="1502" spans="1:2" ht="15" customHeight="1">
      <c r="A1502" t="str">
        <f ca="1">IFERROR(__xludf.DUMMYFUNCTION("""COMPUTED_VALUE"""),"")</f>
        <v/>
      </c>
      <c r="B1502" t="str">
        <f ca="1">IFERROR(__xludf.DUMMYFUNCTION("""COMPUTED_VALUE"""),"")</f>
        <v/>
      </c>
    </row>
    <row r="1503" spans="1:2" ht="15" customHeight="1">
      <c r="A1503" t="str">
        <f ca="1">IFERROR(__xludf.DUMMYFUNCTION("""COMPUTED_VALUE"""),"")</f>
        <v/>
      </c>
      <c r="B1503" t="str">
        <f ca="1">IFERROR(__xludf.DUMMYFUNCTION("""COMPUTED_VALUE"""),"")</f>
        <v/>
      </c>
    </row>
    <row r="1504" spans="1:2" ht="15" customHeight="1">
      <c r="A1504" t="str">
        <f ca="1">IFERROR(__xludf.DUMMYFUNCTION("""COMPUTED_VALUE"""),"")</f>
        <v/>
      </c>
      <c r="B1504" t="str">
        <f ca="1">IFERROR(__xludf.DUMMYFUNCTION("""COMPUTED_VALUE"""),"")</f>
        <v/>
      </c>
    </row>
    <row r="1505" spans="1:2" ht="15" customHeight="1">
      <c r="A1505" t="str">
        <f ca="1">IFERROR(__xludf.DUMMYFUNCTION("""COMPUTED_VALUE"""),"")</f>
        <v/>
      </c>
      <c r="B1505" t="str">
        <f ca="1">IFERROR(__xludf.DUMMYFUNCTION("""COMPUTED_VALUE"""),"")</f>
        <v/>
      </c>
    </row>
    <row r="1506" spans="1:2" ht="15" customHeight="1">
      <c r="A1506" t="str">
        <f ca="1">IFERROR(__xludf.DUMMYFUNCTION("""COMPUTED_VALUE"""),"")</f>
        <v/>
      </c>
      <c r="B1506" t="str">
        <f ca="1">IFERROR(__xludf.DUMMYFUNCTION("""COMPUTED_VALUE"""),"")</f>
        <v/>
      </c>
    </row>
    <row r="1507" spans="1:2" ht="15" customHeight="1">
      <c r="A1507" t="str">
        <f ca="1">IFERROR(__xludf.DUMMYFUNCTION("""COMPUTED_VALUE"""),"")</f>
        <v/>
      </c>
      <c r="B1507" t="str">
        <f ca="1">IFERROR(__xludf.DUMMYFUNCTION("""COMPUTED_VALUE"""),"")</f>
        <v/>
      </c>
    </row>
    <row r="1508" spans="1:2" ht="15" customHeight="1">
      <c r="A1508" t="str">
        <f ca="1">IFERROR(__xludf.DUMMYFUNCTION("""COMPUTED_VALUE"""),"")</f>
        <v/>
      </c>
      <c r="B1508" t="str">
        <f ca="1">IFERROR(__xludf.DUMMYFUNCTION("""COMPUTED_VALUE"""),"")</f>
        <v/>
      </c>
    </row>
    <row r="1509" spans="1:2" ht="15" customHeight="1">
      <c r="A1509" t="str">
        <f ca="1">IFERROR(__xludf.DUMMYFUNCTION("""COMPUTED_VALUE"""),"")</f>
        <v/>
      </c>
      <c r="B1509" t="str">
        <f ca="1">IFERROR(__xludf.DUMMYFUNCTION("""COMPUTED_VALUE"""),"")</f>
        <v/>
      </c>
    </row>
    <row r="1510" spans="1:2" ht="15" customHeight="1">
      <c r="A1510" t="str">
        <f ca="1">IFERROR(__xludf.DUMMYFUNCTION("""COMPUTED_VALUE"""),"")</f>
        <v/>
      </c>
      <c r="B1510" t="str">
        <f ca="1">IFERROR(__xludf.DUMMYFUNCTION("""COMPUTED_VALUE"""),"")</f>
        <v/>
      </c>
    </row>
    <row r="1511" spans="1:2" ht="15" customHeight="1">
      <c r="A1511" t="str">
        <f ca="1">IFERROR(__xludf.DUMMYFUNCTION("""COMPUTED_VALUE"""),"")</f>
        <v/>
      </c>
      <c r="B1511" t="str">
        <f ca="1">IFERROR(__xludf.DUMMYFUNCTION("""COMPUTED_VALUE"""),"")</f>
        <v/>
      </c>
    </row>
    <row r="1512" spans="1:2" ht="15" customHeight="1">
      <c r="A1512" t="str">
        <f ca="1">IFERROR(__xludf.DUMMYFUNCTION("""COMPUTED_VALUE"""),"")</f>
        <v/>
      </c>
      <c r="B1512" t="str">
        <f ca="1">IFERROR(__xludf.DUMMYFUNCTION("""COMPUTED_VALUE"""),"")</f>
        <v/>
      </c>
    </row>
    <row r="1513" spans="1:2" ht="15" customHeight="1">
      <c r="A1513" t="str">
        <f ca="1">IFERROR(__xludf.DUMMYFUNCTION("""COMPUTED_VALUE"""),"")</f>
        <v/>
      </c>
      <c r="B1513" t="str">
        <f ca="1">IFERROR(__xludf.DUMMYFUNCTION("""COMPUTED_VALUE"""),"")</f>
        <v/>
      </c>
    </row>
    <row r="1514" spans="1:2" ht="15" customHeight="1">
      <c r="A1514" t="str">
        <f ca="1">IFERROR(__xludf.DUMMYFUNCTION("""COMPUTED_VALUE"""),"")</f>
        <v/>
      </c>
      <c r="B1514" t="str">
        <f ca="1">IFERROR(__xludf.DUMMYFUNCTION("""COMPUTED_VALUE"""),"")</f>
        <v/>
      </c>
    </row>
    <row r="1515" spans="1:2" ht="15" customHeight="1">
      <c r="A1515" t="str">
        <f ca="1">IFERROR(__xludf.DUMMYFUNCTION("""COMPUTED_VALUE"""),"")</f>
        <v/>
      </c>
      <c r="B1515" t="str">
        <f ca="1">IFERROR(__xludf.DUMMYFUNCTION("""COMPUTED_VALUE"""),"")</f>
        <v/>
      </c>
    </row>
    <row r="1516" spans="1:2" ht="15" customHeight="1">
      <c r="A1516" t="str">
        <f ca="1">IFERROR(__xludf.DUMMYFUNCTION("""COMPUTED_VALUE"""),"")</f>
        <v/>
      </c>
      <c r="B1516" t="str">
        <f ca="1">IFERROR(__xludf.DUMMYFUNCTION("""COMPUTED_VALUE"""),"")</f>
        <v/>
      </c>
    </row>
    <row r="1517" spans="1:2" ht="15" customHeight="1">
      <c r="A1517" t="str">
        <f ca="1">IFERROR(__xludf.DUMMYFUNCTION("""COMPUTED_VALUE"""),"")</f>
        <v/>
      </c>
      <c r="B1517" t="str">
        <f ca="1">IFERROR(__xludf.DUMMYFUNCTION("""COMPUTED_VALUE"""),"")</f>
        <v/>
      </c>
    </row>
    <row r="1518" spans="1:2" ht="15" customHeight="1">
      <c r="A1518" t="str">
        <f ca="1">IFERROR(__xludf.DUMMYFUNCTION("""COMPUTED_VALUE"""),"")</f>
        <v/>
      </c>
      <c r="B1518" t="str">
        <f ca="1">IFERROR(__xludf.DUMMYFUNCTION("""COMPUTED_VALUE"""),"")</f>
        <v/>
      </c>
    </row>
    <row r="1519" spans="1:2" ht="15" customHeight="1">
      <c r="A1519" t="str">
        <f ca="1">IFERROR(__xludf.DUMMYFUNCTION("""COMPUTED_VALUE"""),"")</f>
        <v/>
      </c>
      <c r="B1519" t="str">
        <f ca="1">IFERROR(__xludf.DUMMYFUNCTION("""COMPUTED_VALUE"""),"")</f>
        <v/>
      </c>
    </row>
    <row r="1520" spans="1:2" ht="15" customHeight="1">
      <c r="A1520" t="str">
        <f ca="1">IFERROR(__xludf.DUMMYFUNCTION("""COMPUTED_VALUE"""),"")</f>
        <v/>
      </c>
      <c r="B1520" t="str">
        <f ca="1">IFERROR(__xludf.DUMMYFUNCTION("""COMPUTED_VALUE"""),"")</f>
        <v/>
      </c>
    </row>
    <row r="1521" spans="1:2" ht="15" customHeight="1">
      <c r="A1521" t="str">
        <f ca="1">IFERROR(__xludf.DUMMYFUNCTION("""COMPUTED_VALUE"""),"")</f>
        <v/>
      </c>
      <c r="B1521" t="str">
        <f ca="1">IFERROR(__xludf.DUMMYFUNCTION("""COMPUTED_VALUE"""),"")</f>
        <v/>
      </c>
    </row>
    <row r="1522" spans="1:2" ht="15" customHeight="1">
      <c r="A1522" t="str">
        <f ca="1">IFERROR(__xludf.DUMMYFUNCTION("""COMPUTED_VALUE"""),"")</f>
        <v/>
      </c>
      <c r="B1522" t="str">
        <f ca="1">IFERROR(__xludf.DUMMYFUNCTION("""COMPUTED_VALUE"""),"")</f>
        <v/>
      </c>
    </row>
    <row r="1523" spans="1:2" ht="15" customHeight="1">
      <c r="A1523" t="str">
        <f ca="1">IFERROR(__xludf.DUMMYFUNCTION("""COMPUTED_VALUE"""),"")</f>
        <v/>
      </c>
      <c r="B1523" t="str">
        <f ca="1">IFERROR(__xludf.DUMMYFUNCTION("""COMPUTED_VALUE"""),"")</f>
        <v/>
      </c>
    </row>
    <row r="1524" spans="1:2" ht="15" customHeight="1">
      <c r="A1524" t="str">
        <f ca="1">IFERROR(__xludf.DUMMYFUNCTION("""COMPUTED_VALUE"""),"")</f>
        <v/>
      </c>
      <c r="B1524" t="str">
        <f ca="1">IFERROR(__xludf.DUMMYFUNCTION("""COMPUTED_VALUE"""),"")</f>
        <v/>
      </c>
    </row>
    <row r="1525" spans="1:2" ht="15" customHeight="1">
      <c r="A1525" t="str">
        <f ca="1">IFERROR(__xludf.DUMMYFUNCTION("""COMPUTED_VALUE"""),"")</f>
        <v/>
      </c>
      <c r="B1525" t="str">
        <f ca="1">IFERROR(__xludf.DUMMYFUNCTION("""COMPUTED_VALUE"""),"")</f>
        <v/>
      </c>
    </row>
    <row r="1526" spans="1:2" ht="15" customHeight="1">
      <c r="A1526" t="str">
        <f ca="1">IFERROR(__xludf.DUMMYFUNCTION("""COMPUTED_VALUE"""),"")</f>
        <v/>
      </c>
      <c r="B1526" t="str">
        <f ca="1">IFERROR(__xludf.DUMMYFUNCTION("""COMPUTED_VALUE"""),"")</f>
        <v/>
      </c>
    </row>
    <row r="1527" spans="1:2" ht="15" customHeight="1">
      <c r="A1527" t="str">
        <f ca="1">IFERROR(__xludf.DUMMYFUNCTION("""COMPUTED_VALUE"""),"")</f>
        <v/>
      </c>
      <c r="B1527" t="str">
        <f ca="1">IFERROR(__xludf.DUMMYFUNCTION("""COMPUTED_VALUE"""),"")</f>
        <v/>
      </c>
    </row>
    <row r="1528" spans="1:2" ht="15" customHeight="1">
      <c r="A1528" t="str">
        <f ca="1">IFERROR(__xludf.DUMMYFUNCTION("""COMPUTED_VALUE"""),"")</f>
        <v/>
      </c>
      <c r="B1528" t="str">
        <f ca="1">IFERROR(__xludf.DUMMYFUNCTION("""COMPUTED_VALUE"""),"")</f>
        <v/>
      </c>
    </row>
    <row r="1529" spans="1:2" ht="15" customHeight="1">
      <c r="A1529" t="str">
        <f ca="1">IFERROR(__xludf.DUMMYFUNCTION("""COMPUTED_VALUE"""),"")</f>
        <v/>
      </c>
      <c r="B1529" t="str">
        <f ca="1">IFERROR(__xludf.DUMMYFUNCTION("""COMPUTED_VALUE"""),"")</f>
        <v/>
      </c>
    </row>
    <row r="1530" spans="1:2" ht="15" customHeight="1">
      <c r="A1530" t="str">
        <f ca="1">IFERROR(__xludf.DUMMYFUNCTION("""COMPUTED_VALUE"""),"")</f>
        <v/>
      </c>
      <c r="B1530" t="str">
        <f ca="1">IFERROR(__xludf.DUMMYFUNCTION("""COMPUTED_VALUE"""),"")</f>
        <v/>
      </c>
    </row>
    <row r="1531" spans="1:2" ht="15" customHeight="1">
      <c r="A1531" t="str">
        <f ca="1">IFERROR(__xludf.DUMMYFUNCTION("""COMPUTED_VALUE"""),"")</f>
        <v/>
      </c>
      <c r="B1531" t="str">
        <f ca="1">IFERROR(__xludf.DUMMYFUNCTION("""COMPUTED_VALUE"""),"")</f>
        <v/>
      </c>
    </row>
    <row r="1532" spans="1:2" ht="15" customHeight="1">
      <c r="A1532" t="str">
        <f ca="1">IFERROR(__xludf.DUMMYFUNCTION("""COMPUTED_VALUE"""),"")</f>
        <v/>
      </c>
      <c r="B1532" t="str">
        <f ca="1">IFERROR(__xludf.DUMMYFUNCTION("""COMPUTED_VALUE"""),"")</f>
        <v/>
      </c>
    </row>
    <row r="1533" spans="1:2" ht="15" customHeight="1">
      <c r="A1533" t="str">
        <f ca="1">IFERROR(__xludf.DUMMYFUNCTION("""COMPUTED_VALUE"""),"")</f>
        <v/>
      </c>
      <c r="B1533" t="str">
        <f ca="1">IFERROR(__xludf.DUMMYFUNCTION("""COMPUTED_VALUE"""),"")</f>
        <v/>
      </c>
    </row>
    <row r="1534" spans="1:2" ht="15" customHeight="1">
      <c r="A1534" t="str">
        <f ca="1">IFERROR(__xludf.DUMMYFUNCTION("""COMPUTED_VALUE"""),"")</f>
        <v/>
      </c>
      <c r="B1534" t="str">
        <f ca="1">IFERROR(__xludf.DUMMYFUNCTION("""COMPUTED_VALUE"""),"")</f>
        <v/>
      </c>
    </row>
    <row r="1535" spans="1:2" ht="15" customHeight="1">
      <c r="A1535" t="str">
        <f ca="1">IFERROR(__xludf.DUMMYFUNCTION("""COMPUTED_VALUE"""),"")</f>
        <v/>
      </c>
      <c r="B1535" t="str">
        <f ca="1">IFERROR(__xludf.DUMMYFUNCTION("""COMPUTED_VALUE"""),"")</f>
        <v/>
      </c>
    </row>
    <row r="1536" spans="1:2" ht="15" customHeight="1">
      <c r="A1536" t="str">
        <f ca="1">IFERROR(__xludf.DUMMYFUNCTION("""COMPUTED_VALUE"""),"")</f>
        <v/>
      </c>
      <c r="B1536" t="str">
        <f ca="1">IFERROR(__xludf.DUMMYFUNCTION("""COMPUTED_VALUE"""),"")</f>
        <v/>
      </c>
    </row>
    <row r="1537" spans="1:2" ht="15" customHeight="1">
      <c r="A1537" t="str">
        <f ca="1">IFERROR(__xludf.DUMMYFUNCTION("""COMPUTED_VALUE"""),"")</f>
        <v/>
      </c>
      <c r="B1537" t="str">
        <f ca="1">IFERROR(__xludf.DUMMYFUNCTION("""COMPUTED_VALUE"""),"")</f>
        <v/>
      </c>
    </row>
    <row r="1538" spans="1:2" ht="15" customHeight="1">
      <c r="A1538" t="str">
        <f ca="1">IFERROR(__xludf.DUMMYFUNCTION("""COMPUTED_VALUE"""),"")</f>
        <v/>
      </c>
      <c r="B1538" t="str">
        <f ca="1">IFERROR(__xludf.DUMMYFUNCTION("""COMPUTED_VALUE"""),"")</f>
        <v/>
      </c>
    </row>
    <row r="1539" spans="1:2" ht="15" customHeight="1">
      <c r="A1539" t="str">
        <f ca="1">IFERROR(__xludf.DUMMYFUNCTION("""COMPUTED_VALUE"""),"")</f>
        <v/>
      </c>
      <c r="B1539" t="str">
        <f ca="1">IFERROR(__xludf.DUMMYFUNCTION("""COMPUTED_VALUE"""),"")</f>
        <v/>
      </c>
    </row>
    <row r="1540" spans="1:2" ht="15" customHeight="1">
      <c r="A1540" t="str">
        <f ca="1">IFERROR(__xludf.DUMMYFUNCTION("""COMPUTED_VALUE"""),"")</f>
        <v/>
      </c>
      <c r="B1540" t="str">
        <f ca="1">IFERROR(__xludf.DUMMYFUNCTION("""COMPUTED_VALUE"""),"")</f>
        <v/>
      </c>
    </row>
    <row r="1541" spans="1:2" ht="15" customHeight="1">
      <c r="A1541" t="str">
        <f ca="1">IFERROR(__xludf.DUMMYFUNCTION("""COMPUTED_VALUE"""),"")</f>
        <v/>
      </c>
      <c r="B1541" t="str">
        <f ca="1">IFERROR(__xludf.DUMMYFUNCTION("""COMPUTED_VALUE"""),"")</f>
        <v/>
      </c>
    </row>
    <row r="1542" spans="1:2" ht="15" customHeight="1">
      <c r="A1542" t="str">
        <f ca="1">IFERROR(__xludf.DUMMYFUNCTION("""COMPUTED_VALUE"""),"")</f>
        <v/>
      </c>
      <c r="B1542" t="str">
        <f ca="1">IFERROR(__xludf.DUMMYFUNCTION("""COMPUTED_VALUE"""),"")</f>
        <v/>
      </c>
    </row>
    <row r="1543" spans="1:2" ht="15" customHeight="1">
      <c r="A1543" t="str">
        <f ca="1">IFERROR(__xludf.DUMMYFUNCTION("""COMPUTED_VALUE"""),"")</f>
        <v/>
      </c>
      <c r="B1543" t="str">
        <f ca="1">IFERROR(__xludf.DUMMYFUNCTION("""COMPUTED_VALUE"""),"")</f>
        <v/>
      </c>
    </row>
    <row r="1544" spans="1:2" ht="15" customHeight="1">
      <c r="A1544" t="str">
        <f ca="1">IFERROR(__xludf.DUMMYFUNCTION("""COMPUTED_VALUE"""),"")</f>
        <v/>
      </c>
      <c r="B1544" t="str">
        <f ca="1">IFERROR(__xludf.DUMMYFUNCTION("""COMPUTED_VALUE"""),"")</f>
        <v/>
      </c>
    </row>
    <row r="1545" spans="1:2" ht="15" customHeight="1">
      <c r="A1545" t="str">
        <f ca="1">IFERROR(__xludf.DUMMYFUNCTION("""COMPUTED_VALUE"""),"")</f>
        <v/>
      </c>
      <c r="B1545" t="str">
        <f ca="1">IFERROR(__xludf.DUMMYFUNCTION("""COMPUTED_VALUE"""),"")</f>
        <v/>
      </c>
    </row>
    <row r="1546" spans="1:2" ht="15" customHeight="1">
      <c r="A1546" t="str">
        <f ca="1">IFERROR(__xludf.DUMMYFUNCTION("""COMPUTED_VALUE"""),"")</f>
        <v/>
      </c>
      <c r="B1546" t="str">
        <f ca="1">IFERROR(__xludf.DUMMYFUNCTION("""COMPUTED_VALUE"""),"")</f>
        <v/>
      </c>
    </row>
    <row r="1547" spans="1:2" ht="15" customHeight="1">
      <c r="A1547" t="str">
        <f ca="1">IFERROR(__xludf.DUMMYFUNCTION("""COMPUTED_VALUE"""),"")</f>
        <v/>
      </c>
      <c r="B1547" t="str">
        <f ca="1">IFERROR(__xludf.DUMMYFUNCTION("""COMPUTED_VALUE"""),"")</f>
        <v/>
      </c>
    </row>
    <row r="1548" spans="1:2" ht="15" customHeight="1">
      <c r="A1548" t="str">
        <f ca="1">IFERROR(__xludf.DUMMYFUNCTION("""COMPUTED_VALUE"""),"")</f>
        <v/>
      </c>
      <c r="B1548" t="str">
        <f ca="1">IFERROR(__xludf.DUMMYFUNCTION("""COMPUTED_VALUE"""),"")</f>
        <v/>
      </c>
    </row>
    <row r="1549" spans="1:2" ht="15" customHeight="1">
      <c r="A1549" t="str">
        <f ca="1">IFERROR(__xludf.DUMMYFUNCTION("""COMPUTED_VALUE"""),"")</f>
        <v/>
      </c>
      <c r="B1549" t="str">
        <f ca="1">IFERROR(__xludf.DUMMYFUNCTION("""COMPUTED_VALUE"""),"")</f>
        <v/>
      </c>
    </row>
    <row r="1550" spans="1:2" ht="15" customHeight="1">
      <c r="A1550" t="str">
        <f ca="1">IFERROR(__xludf.DUMMYFUNCTION("""COMPUTED_VALUE"""),"")</f>
        <v/>
      </c>
      <c r="B1550" t="str">
        <f ca="1">IFERROR(__xludf.DUMMYFUNCTION("""COMPUTED_VALUE"""),"")</f>
        <v/>
      </c>
    </row>
    <row r="1551" spans="1:2" ht="15" customHeight="1">
      <c r="A1551" t="str">
        <f ca="1">IFERROR(__xludf.DUMMYFUNCTION("""COMPUTED_VALUE"""),"")</f>
        <v/>
      </c>
      <c r="B1551" t="str">
        <f ca="1">IFERROR(__xludf.DUMMYFUNCTION("""COMPUTED_VALUE"""),"")</f>
        <v/>
      </c>
    </row>
    <row r="1552" spans="1:2" ht="15" customHeight="1">
      <c r="A1552" t="str">
        <f ca="1">IFERROR(__xludf.DUMMYFUNCTION("""COMPUTED_VALUE"""),"")</f>
        <v/>
      </c>
      <c r="B1552" t="str">
        <f ca="1">IFERROR(__xludf.DUMMYFUNCTION("""COMPUTED_VALUE"""),"")</f>
        <v/>
      </c>
    </row>
    <row r="1553" spans="1:2" ht="15" customHeight="1">
      <c r="A1553" t="str">
        <f ca="1">IFERROR(__xludf.DUMMYFUNCTION("""COMPUTED_VALUE"""),"")</f>
        <v/>
      </c>
      <c r="B1553" t="str">
        <f ca="1">IFERROR(__xludf.DUMMYFUNCTION("""COMPUTED_VALUE"""),"")</f>
        <v/>
      </c>
    </row>
    <row r="1554" spans="1:2" ht="15" customHeight="1">
      <c r="A1554" t="str">
        <f ca="1">IFERROR(__xludf.DUMMYFUNCTION("""COMPUTED_VALUE"""),"")</f>
        <v/>
      </c>
      <c r="B1554" t="str">
        <f ca="1">IFERROR(__xludf.DUMMYFUNCTION("""COMPUTED_VALUE"""),"")</f>
        <v/>
      </c>
    </row>
    <row r="1555" spans="1:2" ht="15" customHeight="1">
      <c r="A1555" t="str">
        <f ca="1">IFERROR(__xludf.DUMMYFUNCTION("""COMPUTED_VALUE"""),"")</f>
        <v/>
      </c>
      <c r="B1555" t="str">
        <f ca="1">IFERROR(__xludf.DUMMYFUNCTION("""COMPUTED_VALUE"""),"")</f>
        <v/>
      </c>
    </row>
    <row r="1556" spans="1:2" ht="15" customHeight="1">
      <c r="A1556" t="str">
        <f ca="1">IFERROR(__xludf.DUMMYFUNCTION("""COMPUTED_VALUE"""),"")</f>
        <v/>
      </c>
      <c r="B1556" t="str">
        <f ca="1">IFERROR(__xludf.DUMMYFUNCTION("""COMPUTED_VALUE"""),"")</f>
        <v/>
      </c>
    </row>
    <row r="1557" spans="1:2" ht="15" customHeight="1">
      <c r="A1557" t="str">
        <f ca="1">IFERROR(__xludf.DUMMYFUNCTION("""COMPUTED_VALUE"""),"")</f>
        <v/>
      </c>
      <c r="B1557" t="str">
        <f ca="1">IFERROR(__xludf.DUMMYFUNCTION("""COMPUTED_VALUE"""),"")</f>
        <v/>
      </c>
    </row>
    <row r="1558" spans="1:2" ht="15" customHeight="1">
      <c r="A1558" t="str">
        <f ca="1">IFERROR(__xludf.DUMMYFUNCTION("""COMPUTED_VALUE"""),"")</f>
        <v/>
      </c>
      <c r="B1558" t="str">
        <f ca="1">IFERROR(__xludf.DUMMYFUNCTION("""COMPUTED_VALUE"""),"")</f>
        <v/>
      </c>
    </row>
    <row r="1559" spans="1:2" ht="15" customHeight="1">
      <c r="A1559" t="str">
        <f ca="1">IFERROR(__xludf.DUMMYFUNCTION("""COMPUTED_VALUE"""),"")</f>
        <v/>
      </c>
      <c r="B1559" t="str">
        <f ca="1">IFERROR(__xludf.DUMMYFUNCTION("""COMPUTED_VALUE"""),"")</f>
        <v/>
      </c>
    </row>
    <row r="1560" spans="1:2" ht="15" customHeight="1">
      <c r="A1560" t="str">
        <f ca="1">IFERROR(__xludf.DUMMYFUNCTION("""COMPUTED_VALUE"""),"")</f>
        <v/>
      </c>
      <c r="B1560" t="str">
        <f ca="1">IFERROR(__xludf.DUMMYFUNCTION("""COMPUTED_VALUE"""),"")</f>
        <v/>
      </c>
    </row>
    <row r="1561" spans="1:2" ht="15" customHeight="1">
      <c r="A1561" t="str">
        <f ca="1">IFERROR(__xludf.DUMMYFUNCTION("""COMPUTED_VALUE"""),"")</f>
        <v/>
      </c>
      <c r="B1561" t="str">
        <f ca="1">IFERROR(__xludf.DUMMYFUNCTION("""COMPUTED_VALUE"""),"")</f>
        <v/>
      </c>
    </row>
    <row r="1562" spans="1:2" ht="15" customHeight="1">
      <c r="A1562" t="str">
        <f ca="1">IFERROR(__xludf.DUMMYFUNCTION("""COMPUTED_VALUE"""),"")</f>
        <v/>
      </c>
      <c r="B1562" t="str">
        <f ca="1">IFERROR(__xludf.DUMMYFUNCTION("""COMPUTED_VALUE"""),"")</f>
        <v/>
      </c>
    </row>
    <row r="1563" spans="1:2" ht="15" customHeight="1">
      <c r="A1563" t="str">
        <f ca="1">IFERROR(__xludf.DUMMYFUNCTION("""COMPUTED_VALUE"""),"")</f>
        <v/>
      </c>
      <c r="B1563" t="str">
        <f ca="1">IFERROR(__xludf.DUMMYFUNCTION("""COMPUTED_VALUE"""),"")</f>
        <v/>
      </c>
    </row>
    <row r="1564" spans="1:2" ht="15" customHeight="1">
      <c r="A1564" t="str">
        <f ca="1">IFERROR(__xludf.DUMMYFUNCTION("""COMPUTED_VALUE"""),"")</f>
        <v/>
      </c>
      <c r="B1564" t="str">
        <f ca="1">IFERROR(__xludf.DUMMYFUNCTION("""COMPUTED_VALUE"""),"")</f>
        <v/>
      </c>
    </row>
    <row r="1565" spans="1:2" ht="15" customHeight="1">
      <c r="A1565" t="str">
        <f ca="1">IFERROR(__xludf.DUMMYFUNCTION("""COMPUTED_VALUE"""),"")</f>
        <v/>
      </c>
      <c r="B1565" t="str">
        <f ca="1">IFERROR(__xludf.DUMMYFUNCTION("""COMPUTED_VALUE"""),"")</f>
        <v/>
      </c>
    </row>
    <row r="1566" spans="1:2" ht="15" customHeight="1">
      <c r="A1566" t="str">
        <f ca="1">IFERROR(__xludf.DUMMYFUNCTION("""COMPUTED_VALUE"""),"")</f>
        <v/>
      </c>
      <c r="B1566" t="str">
        <f ca="1">IFERROR(__xludf.DUMMYFUNCTION("""COMPUTED_VALUE"""),"")</f>
        <v/>
      </c>
    </row>
    <row r="1567" spans="1:2" ht="15" customHeight="1">
      <c r="A1567" t="str">
        <f ca="1">IFERROR(__xludf.DUMMYFUNCTION("""COMPUTED_VALUE"""),"")</f>
        <v/>
      </c>
      <c r="B1567" t="str">
        <f ca="1">IFERROR(__xludf.DUMMYFUNCTION("""COMPUTED_VALUE"""),"")</f>
        <v/>
      </c>
    </row>
    <row r="1568" spans="1:2" ht="15" customHeight="1">
      <c r="A1568" t="str">
        <f ca="1">IFERROR(__xludf.DUMMYFUNCTION("""COMPUTED_VALUE"""),"")</f>
        <v/>
      </c>
      <c r="B1568" t="str">
        <f ca="1">IFERROR(__xludf.DUMMYFUNCTION("""COMPUTED_VALUE"""),"")</f>
        <v/>
      </c>
    </row>
    <row r="1569" spans="1:2" ht="15" customHeight="1">
      <c r="A1569" t="str">
        <f ca="1">IFERROR(__xludf.DUMMYFUNCTION("""COMPUTED_VALUE"""),"")</f>
        <v/>
      </c>
      <c r="B1569" t="str">
        <f ca="1">IFERROR(__xludf.DUMMYFUNCTION("""COMPUTED_VALUE"""),"")</f>
        <v/>
      </c>
    </row>
    <row r="1570" spans="1:2" ht="15" customHeight="1">
      <c r="A1570" t="str">
        <f ca="1">IFERROR(__xludf.DUMMYFUNCTION("""COMPUTED_VALUE"""),"")</f>
        <v/>
      </c>
      <c r="B1570" t="str">
        <f ca="1">IFERROR(__xludf.DUMMYFUNCTION("""COMPUTED_VALUE"""),"")</f>
        <v/>
      </c>
    </row>
    <row r="1571" spans="1:2" ht="15" customHeight="1">
      <c r="A1571" t="str">
        <f ca="1">IFERROR(__xludf.DUMMYFUNCTION("""COMPUTED_VALUE"""),"")</f>
        <v/>
      </c>
      <c r="B1571" t="str">
        <f ca="1">IFERROR(__xludf.DUMMYFUNCTION("""COMPUTED_VALUE"""),"")</f>
        <v/>
      </c>
    </row>
    <row r="1572" spans="1:2" ht="15" customHeight="1">
      <c r="A1572" t="str">
        <f ca="1">IFERROR(__xludf.DUMMYFUNCTION("""COMPUTED_VALUE"""),"")</f>
        <v/>
      </c>
      <c r="B1572" t="str">
        <f ca="1">IFERROR(__xludf.DUMMYFUNCTION("""COMPUTED_VALUE"""),"")</f>
        <v/>
      </c>
    </row>
    <row r="1573" spans="1:2" ht="15" customHeight="1">
      <c r="A1573" t="str">
        <f ca="1">IFERROR(__xludf.DUMMYFUNCTION("""COMPUTED_VALUE"""),"")</f>
        <v/>
      </c>
      <c r="B1573" t="str">
        <f ca="1">IFERROR(__xludf.DUMMYFUNCTION("""COMPUTED_VALUE"""),"")</f>
        <v/>
      </c>
    </row>
    <row r="1574" spans="1:2" ht="15" customHeight="1">
      <c r="A1574" t="str">
        <f ca="1">IFERROR(__xludf.DUMMYFUNCTION("""COMPUTED_VALUE"""),"")</f>
        <v/>
      </c>
      <c r="B1574" t="str">
        <f ca="1">IFERROR(__xludf.DUMMYFUNCTION("""COMPUTED_VALUE"""),"")</f>
        <v/>
      </c>
    </row>
    <row r="1575" spans="1:2" ht="15" customHeight="1">
      <c r="A1575" t="str">
        <f ca="1">IFERROR(__xludf.DUMMYFUNCTION("""COMPUTED_VALUE"""),"")</f>
        <v/>
      </c>
      <c r="B1575" t="str">
        <f ca="1">IFERROR(__xludf.DUMMYFUNCTION("""COMPUTED_VALUE"""),"")</f>
        <v/>
      </c>
    </row>
    <row r="1576" spans="1:2" ht="15" customHeight="1">
      <c r="A1576" t="str">
        <f ca="1">IFERROR(__xludf.DUMMYFUNCTION("""COMPUTED_VALUE"""),"")</f>
        <v/>
      </c>
      <c r="B1576" t="str">
        <f ca="1">IFERROR(__xludf.DUMMYFUNCTION("""COMPUTED_VALUE"""),"")</f>
        <v/>
      </c>
    </row>
    <row r="1577" spans="1:2" ht="15" customHeight="1">
      <c r="A1577" t="str">
        <f ca="1">IFERROR(__xludf.DUMMYFUNCTION("""COMPUTED_VALUE"""),"")</f>
        <v/>
      </c>
      <c r="B1577" t="str">
        <f ca="1">IFERROR(__xludf.DUMMYFUNCTION("""COMPUTED_VALUE"""),"")</f>
        <v/>
      </c>
    </row>
    <row r="1578" spans="1:2" ht="15" customHeight="1">
      <c r="A1578" t="str">
        <f ca="1">IFERROR(__xludf.DUMMYFUNCTION("""COMPUTED_VALUE"""),"")</f>
        <v/>
      </c>
      <c r="B1578" t="str">
        <f ca="1">IFERROR(__xludf.DUMMYFUNCTION("""COMPUTED_VALUE"""),"")</f>
        <v/>
      </c>
    </row>
    <row r="1579" spans="1:2" ht="15" customHeight="1">
      <c r="A1579" t="str">
        <f ca="1">IFERROR(__xludf.DUMMYFUNCTION("""COMPUTED_VALUE"""),"")</f>
        <v/>
      </c>
      <c r="B1579" t="str">
        <f ca="1">IFERROR(__xludf.DUMMYFUNCTION("""COMPUTED_VALUE"""),"")</f>
        <v/>
      </c>
    </row>
    <row r="1580" spans="1:2" ht="15" customHeight="1">
      <c r="A1580" t="str">
        <f ca="1">IFERROR(__xludf.DUMMYFUNCTION("""COMPUTED_VALUE"""),"")</f>
        <v/>
      </c>
      <c r="B1580" t="str">
        <f ca="1">IFERROR(__xludf.DUMMYFUNCTION("""COMPUTED_VALUE"""),"")</f>
        <v/>
      </c>
    </row>
    <row r="1581" spans="1:2" ht="15" customHeight="1">
      <c r="A1581" t="str">
        <f ca="1">IFERROR(__xludf.DUMMYFUNCTION("""COMPUTED_VALUE"""),"")</f>
        <v/>
      </c>
      <c r="B1581" t="str">
        <f ca="1">IFERROR(__xludf.DUMMYFUNCTION("""COMPUTED_VALUE"""),"")</f>
        <v/>
      </c>
    </row>
    <row r="1582" spans="1:2" ht="15" customHeight="1">
      <c r="A1582" t="str">
        <f ca="1">IFERROR(__xludf.DUMMYFUNCTION("""COMPUTED_VALUE"""),"")</f>
        <v/>
      </c>
      <c r="B1582" t="str">
        <f ca="1">IFERROR(__xludf.DUMMYFUNCTION("""COMPUTED_VALUE"""),"")</f>
        <v/>
      </c>
    </row>
    <row r="1583" spans="1:2" ht="15" customHeight="1">
      <c r="A1583" t="str">
        <f ca="1">IFERROR(__xludf.DUMMYFUNCTION("""COMPUTED_VALUE"""),"")</f>
        <v/>
      </c>
      <c r="B1583" t="str">
        <f ca="1">IFERROR(__xludf.DUMMYFUNCTION("""COMPUTED_VALUE"""),"")</f>
        <v/>
      </c>
    </row>
    <row r="1584" spans="1:2" ht="15" customHeight="1">
      <c r="A1584" t="str">
        <f ca="1">IFERROR(__xludf.DUMMYFUNCTION("""COMPUTED_VALUE"""),"")</f>
        <v/>
      </c>
      <c r="B1584" t="str">
        <f ca="1">IFERROR(__xludf.DUMMYFUNCTION("""COMPUTED_VALUE"""),"")</f>
        <v/>
      </c>
    </row>
    <row r="1585" spans="1:2" ht="15" customHeight="1">
      <c r="A1585" t="str">
        <f ca="1">IFERROR(__xludf.DUMMYFUNCTION("""COMPUTED_VALUE"""),"")</f>
        <v/>
      </c>
      <c r="B1585" t="str">
        <f ca="1">IFERROR(__xludf.DUMMYFUNCTION("""COMPUTED_VALUE"""),"")</f>
        <v/>
      </c>
    </row>
    <row r="1586" spans="1:2" ht="15" customHeight="1">
      <c r="A1586" t="str">
        <f ca="1">IFERROR(__xludf.DUMMYFUNCTION("""COMPUTED_VALUE"""),"")</f>
        <v/>
      </c>
      <c r="B1586" t="str">
        <f ca="1">IFERROR(__xludf.DUMMYFUNCTION("""COMPUTED_VALUE"""),"")</f>
        <v/>
      </c>
    </row>
    <row r="1587" spans="1:2" ht="15" customHeight="1">
      <c r="A1587" t="str">
        <f ca="1">IFERROR(__xludf.DUMMYFUNCTION("""COMPUTED_VALUE"""),"")</f>
        <v/>
      </c>
      <c r="B1587" t="str">
        <f ca="1">IFERROR(__xludf.DUMMYFUNCTION("""COMPUTED_VALUE"""),"")</f>
        <v/>
      </c>
    </row>
    <row r="1588" spans="1:2" ht="15" customHeight="1">
      <c r="A1588" t="str">
        <f ca="1">IFERROR(__xludf.DUMMYFUNCTION("""COMPUTED_VALUE"""),"")</f>
        <v/>
      </c>
      <c r="B1588" t="str">
        <f ca="1">IFERROR(__xludf.DUMMYFUNCTION("""COMPUTED_VALUE"""),"")</f>
        <v/>
      </c>
    </row>
    <row r="1589" spans="1:2" ht="15" customHeight="1">
      <c r="A1589" t="str">
        <f ca="1">IFERROR(__xludf.DUMMYFUNCTION("""COMPUTED_VALUE"""),"")</f>
        <v/>
      </c>
      <c r="B1589" t="str">
        <f ca="1">IFERROR(__xludf.DUMMYFUNCTION("""COMPUTED_VALUE"""),"")</f>
        <v/>
      </c>
    </row>
    <row r="1590" spans="1:2" ht="15" customHeight="1">
      <c r="A1590" t="str">
        <f ca="1">IFERROR(__xludf.DUMMYFUNCTION("""COMPUTED_VALUE"""),"")</f>
        <v/>
      </c>
      <c r="B1590" t="str">
        <f ca="1">IFERROR(__xludf.DUMMYFUNCTION("""COMPUTED_VALUE"""),"")</f>
        <v/>
      </c>
    </row>
    <row r="1591" spans="1:2" ht="15" customHeight="1">
      <c r="A1591" t="str">
        <f ca="1">IFERROR(__xludf.DUMMYFUNCTION("""COMPUTED_VALUE"""),"")</f>
        <v/>
      </c>
      <c r="B1591" t="str">
        <f ca="1">IFERROR(__xludf.DUMMYFUNCTION("""COMPUTED_VALUE"""),"")</f>
        <v/>
      </c>
    </row>
    <row r="1592" spans="1:2" ht="15" customHeight="1">
      <c r="A1592" t="str">
        <f ca="1">IFERROR(__xludf.DUMMYFUNCTION("""COMPUTED_VALUE"""),"")</f>
        <v/>
      </c>
      <c r="B1592" t="str">
        <f ca="1">IFERROR(__xludf.DUMMYFUNCTION("""COMPUTED_VALUE"""),"")</f>
        <v/>
      </c>
    </row>
    <row r="1593" spans="1:2" ht="15" customHeight="1">
      <c r="A1593" t="str">
        <f ca="1">IFERROR(__xludf.DUMMYFUNCTION("""COMPUTED_VALUE"""),"")</f>
        <v/>
      </c>
      <c r="B1593" t="str">
        <f ca="1">IFERROR(__xludf.DUMMYFUNCTION("""COMPUTED_VALUE"""),"")</f>
        <v/>
      </c>
    </row>
    <row r="1594" spans="1:2" ht="15" customHeight="1">
      <c r="A1594" t="str">
        <f ca="1">IFERROR(__xludf.DUMMYFUNCTION("""COMPUTED_VALUE"""),"")</f>
        <v/>
      </c>
      <c r="B1594" t="str">
        <f ca="1">IFERROR(__xludf.DUMMYFUNCTION("""COMPUTED_VALUE"""),"")</f>
        <v/>
      </c>
    </row>
    <row r="1595" spans="1:2" ht="15" customHeight="1">
      <c r="A1595" t="str">
        <f ca="1">IFERROR(__xludf.DUMMYFUNCTION("""COMPUTED_VALUE"""),"")</f>
        <v/>
      </c>
      <c r="B1595" t="str">
        <f ca="1">IFERROR(__xludf.DUMMYFUNCTION("""COMPUTED_VALUE"""),"")</f>
        <v/>
      </c>
    </row>
    <row r="1596" spans="1:2" ht="15" customHeight="1">
      <c r="A1596" t="str">
        <f ca="1">IFERROR(__xludf.DUMMYFUNCTION("""COMPUTED_VALUE"""),"")</f>
        <v/>
      </c>
      <c r="B1596" t="str">
        <f ca="1">IFERROR(__xludf.DUMMYFUNCTION("""COMPUTED_VALUE"""),"")</f>
        <v/>
      </c>
    </row>
    <row r="1597" spans="1:2" ht="15" customHeight="1">
      <c r="A1597" t="str">
        <f ca="1">IFERROR(__xludf.DUMMYFUNCTION("""COMPUTED_VALUE"""),"")</f>
        <v/>
      </c>
      <c r="B1597" t="str">
        <f ca="1">IFERROR(__xludf.DUMMYFUNCTION("""COMPUTED_VALUE"""),"")</f>
        <v/>
      </c>
    </row>
    <row r="1598" spans="1:2" ht="15" customHeight="1">
      <c r="A1598" t="str">
        <f ca="1">IFERROR(__xludf.DUMMYFUNCTION("""COMPUTED_VALUE"""),"")</f>
        <v/>
      </c>
      <c r="B1598" t="str">
        <f ca="1">IFERROR(__xludf.DUMMYFUNCTION("""COMPUTED_VALUE"""),"")</f>
        <v/>
      </c>
    </row>
    <row r="1599" spans="1:2" ht="15" customHeight="1">
      <c r="A1599" t="str">
        <f ca="1">IFERROR(__xludf.DUMMYFUNCTION("""COMPUTED_VALUE"""),"")</f>
        <v/>
      </c>
      <c r="B1599" t="str">
        <f ca="1">IFERROR(__xludf.DUMMYFUNCTION("""COMPUTED_VALUE"""),"")</f>
        <v/>
      </c>
    </row>
    <row r="1600" spans="1:2" ht="15" customHeight="1">
      <c r="A1600" t="str">
        <f ca="1">IFERROR(__xludf.DUMMYFUNCTION("""COMPUTED_VALUE"""),"")</f>
        <v/>
      </c>
      <c r="B1600" t="str">
        <f ca="1">IFERROR(__xludf.DUMMYFUNCTION("""COMPUTED_VALUE"""),"")</f>
        <v/>
      </c>
    </row>
    <row r="1601" spans="1:2" ht="15" customHeight="1">
      <c r="A1601" t="str">
        <f ca="1">IFERROR(__xludf.DUMMYFUNCTION("""COMPUTED_VALUE"""),"")</f>
        <v/>
      </c>
      <c r="B1601" t="str">
        <f ca="1">IFERROR(__xludf.DUMMYFUNCTION("""COMPUTED_VALUE"""),"")</f>
        <v/>
      </c>
    </row>
    <row r="1602" spans="1:2" ht="15" customHeight="1">
      <c r="A1602" t="str">
        <f ca="1">IFERROR(__xludf.DUMMYFUNCTION("""COMPUTED_VALUE"""),"")</f>
        <v/>
      </c>
      <c r="B1602" t="str">
        <f ca="1">IFERROR(__xludf.DUMMYFUNCTION("""COMPUTED_VALUE"""),"")</f>
        <v/>
      </c>
    </row>
    <row r="1603" spans="1:2" ht="15" customHeight="1">
      <c r="A1603" t="str">
        <f ca="1">IFERROR(__xludf.DUMMYFUNCTION("""COMPUTED_VALUE"""),"")</f>
        <v/>
      </c>
      <c r="B1603" t="str">
        <f ca="1">IFERROR(__xludf.DUMMYFUNCTION("""COMPUTED_VALUE"""),"")</f>
        <v/>
      </c>
    </row>
    <row r="1604" spans="1:2" ht="15" customHeight="1">
      <c r="A1604" t="str">
        <f ca="1">IFERROR(__xludf.DUMMYFUNCTION("""COMPUTED_VALUE"""),"")</f>
        <v/>
      </c>
      <c r="B1604" t="str">
        <f ca="1">IFERROR(__xludf.DUMMYFUNCTION("""COMPUTED_VALUE"""),"")</f>
        <v/>
      </c>
    </row>
    <row r="1605" spans="1:2" ht="15" customHeight="1">
      <c r="A1605" t="str">
        <f ca="1">IFERROR(__xludf.DUMMYFUNCTION("""COMPUTED_VALUE"""),"")</f>
        <v/>
      </c>
      <c r="B1605" t="str">
        <f ca="1">IFERROR(__xludf.DUMMYFUNCTION("""COMPUTED_VALUE"""),"")</f>
        <v/>
      </c>
    </row>
    <row r="1606" spans="1:2" ht="15" customHeight="1">
      <c r="A1606" t="str">
        <f ca="1">IFERROR(__xludf.DUMMYFUNCTION("""COMPUTED_VALUE"""),"")</f>
        <v/>
      </c>
      <c r="B1606" t="str">
        <f ca="1">IFERROR(__xludf.DUMMYFUNCTION("""COMPUTED_VALUE"""),"")</f>
        <v/>
      </c>
    </row>
    <row r="1607" spans="1:2" ht="15" customHeight="1">
      <c r="A1607" t="str">
        <f ca="1">IFERROR(__xludf.DUMMYFUNCTION("""COMPUTED_VALUE"""),"")</f>
        <v/>
      </c>
      <c r="B1607" t="str">
        <f ca="1">IFERROR(__xludf.DUMMYFUNCTION("""COMPUTED_VALUE"""),"")</f>
        <v/>
      </c>
    </row>
    <row r="1608" spans="1:2" ht="15" customHeight="1">
      <c r="A1608" t="str">
        <f ca="1">IFERROR(__xludf.DUMMYFUNCTION("""COMPUTED_VALUE"""),"")</f>
        <v/>
      </c>
      <c r="B1608" t="str">
        <f ca="1">IFERROR(__xludf.DUMMYFUNCTION("""COMPUTED_VALUE"""),"")</f>
        <v/>
      </c>
    </row>
    <row r="1609" spans="1:2" ht="15" customHeight="1">
      <c r="A1609" t="str">
        <f ca="1">IFERROR(__xludf.DUMMYFUNCTION("""COMPUTED_VALUE"""),"")</f>
        <v/>
      </c>
      <c r="B1609" t="str">
        <f ca="1">IFERROR(__xludf.DUMMYFUNCTION("""COMPUTED_VALUE"""),"")</f>
        <v/>
      </c>
    </row>
    <row r="1610" spans="1:2" ht="15" customHeight="1">
      <c r="A1610" t="str">
        <f ca="1">IFERROR(__xludf.DUMMYFUNCTION("""COMPUTED_VALUE"""),"")</f>
        <v/>
      </c>
      <c r="B1610" t="str">
        <f ca="1">IFERROR(__xludf.DUMMYFUNCTION("""COMPUTED_VALUE"""),"")</f>
        <v/>
      </c>
    </row>
    <row r="1611" spans="1:2" ht="15" customHeight="1">
      <c r="A1611" t="str">
        <f ca="1">IFERROR(__xludf.DUMMYFUNCTION("""COMPUTED_VALUE"""),"")</f>
        <v/>
      </c>
      <c r="B1611" t="str">
        <f ca="1">IFERROR(__xludf.DUMMYFUNCTION("""COMPUTED_VALUE"""),"")</f>
        <v/>
      </c>
    </row>
    <row r="1612" spans="1:2" ht="15" customHeight="1">
      <c r="A1612" t="str">
        <f ca="1">IFERROR(__xludf.DUMMYFUNCTION("""COMPUTED_VALUE"""),"")</f>
        <v/>
      </c>
      <c r="B1612" t="str">
        <f ca="1">IFERROR(__xludf.DUMMYFUNCTION("""COMPUTED_VALUE"""),"")</f>
        <v/>
      </c>
    </row>
    <row r="1613" spans="1:2" ht="15" customHeight="1">
      <c r="A1613" t="str">
        <f ca="1">IFERROR(__xludf.DUMMYFUNCTION("""COMPUTED_VALUE"""),"")</f>
        <v/>
      </c>
      <c r="B1613" t="str">
        <f ca="1">IFERROR(__xludf.DUMMYFUNCTION("""COMPUTED_VALUE"""),"")</f>
        <v/>
      </c>
    </row>
    <row r="1614" spans="1:2" ht="15" customHeight="1">
      <c r="A1614" t="str">
        <f ca="1">IFERROR(__xludf.DUMMYFUNCTION("""COMPUTED_VALUE"""),"")</f>
        <v/>
      </c>
      <c r="B1614" t="str">
        <f ca="1">IFERROR(__xludf.DUMMYFUNCTION("""COMPUTED_VALUE"""),"")</f>
        <v/>
      </c>
    </row>
    <row r="1615" spans="1:2" ht="15" customHeight="1">
      <c r="A1615" t="str">
        <f ca="1">IFERROR(__xludf.DUMMYFUNCTION("""COMPUTED_VALUE"""),"")</f>
        <v/>
      </c>
      <c r="B1615" t="str">
        <f ca="1">IFERROR(__xludf.DUMMYFUNCTION("""COMPUTED_VALUE"""),"")</f>
        <v/>
      </c>
    </row>
    <row r="1616" spans="1:2" ht="15" customHeight="1">
      <c r="A1616" t="str">
        <f ca="1">IFERROR(__xludf.DUMMYFUNCTION("""COMPUTED_VALUE"""),"")</f>
        <v/>
      </c>
      <c r="B1616" t="str">
        <f ca="1">IFERROR(__xludf.DUMMYFUNCTION("""COMPUTED_VALUE"""),"")</f>
        <v/>
      </c>
    </row>
    <row r="1617" spans="1:2" ht="15" customHeight="1">
      <c r="A1617" t="str">
        <f ca="1">IFERROR(__xludf.DUMMYFUNCTION("""COMPUTED_VALUE"""),"")</f>
        <v/>
      </c>
      <c r="B1617" t="str">
        <f ca="1">IFERROR(__xludf.DUMMYFUNCTION("""COMPUTED_VALUE"""),"")</f>
        <v/>
      </c>
    </row>
    <row r="1618" spans="1:2" ht="15" customHeight="1">
      <c r="A1618" t="str">
        <f ca="1">IFERROR(__xludf.DUMMYFUNCTION("""COMPUTED_VALUE"""),"")</f>
        <v/>
      </c>
      <c r="B1618" t="str">
        <f ca="1">IFERROR(__xludf.DUMMYFUNCTION("""COMPUTED_VALUE"""),"")</f>
        <v/>
      </c>
    </row>
    <row r="1619" spans="1:2" ht="15" customHeight="1">
      <c r="A1619" t="str">
        <f ca="1">IFERROR(__xludf.DUMMYFUNCTION("""COMPUTED_VALUE"""),"")</f>
        <v/>
      </c>
      <c r="B1619" t="str">
        <f ca="1">IFERROR(__xludf.DUMMYFUNCTION("""COMPUTED_VALUE"""),"")</f>
        <v/>
      </c>
    </row>
    <row r="1620" spans="1:2" ht="15" customHeight="1">
      <c r="A1620" t="str">
        <f ca="1">IFERROR(__xludf.DUMMYFUNCTION("""COMPUTED_VALUE"""),"")</f>
        <v/>
      </c>
      <c r="B1620" t="str">
        <f ca="1">IFERROR(__xludf.DUMMYFUNCTION("""COMPUTED_VALUE"""),"")</f>
        <v/>
      </c>
    </row>
    <row r="1621" spans="1:2" ht="15" customHeight="1">
      <c r="A1621" t="str">
        <f ca="1">IFERROR(__xludf.DUMMYFUNCTION("""COMPUTED_VALUE"""),"")</f>
        <v/>
      </c>
      <c r="B1621" t="str">
        <f ca="1">IFERROR(__xludf.DUMMYFUNCTION("""COMPUTED_VALUE"""),"")</f>
        <v/>
      </c>
    </row>
    <row r="1622" spans="1:2" ht="15" customHeight="1">
      <c r="A1622" t="str">
        <f ca="1">IFERROR(__xludf.DUMMYFUNCTION("""COMPUTED_VALUE"""),"")</f>
        <v/>
      </c>
      <c r="B1622" t="str">
        <f ca="1">IFERROR(__xludf.DUMMYFUNCTION("""COMPUTED_VALUE"""),"")</f>
        <v/>
      </c>
    </row>
    <row r="1623" spans="1:2" ht="15" customHeight="1">
      <c r="A1623" t="str">
        <f ca="1">IFERROR(__xludf.DUMMYFUNCTION("""COMPUTED_VALUE"""),"")</f>
        <v/>
      </c>
      <c r="B1623" t="str">
        <f ca="1">IFERROR(__xludf.DUMMYFUNCTION("""COMPUTED_VALUE"""),"")</f>
        <v/>
      </c>
    </row>
    <row r="1624" spans="1:2" ht="15" customHeight="1">
      <c r="A1624" t="str">
        <f ca="1">IFERROR(__xludf.DUMMYFUNCTION("""COMPUTED_VALUE"""),"")</f>
        <v/>
      </c>
      <c r="B1624" t="str">
        <f ca="1">IFERROR(__xludf.DUMMYFUNCTION("""COMPUTED_VALUE"""),"")</f>
        <v/>
      </c>
    </row>
    <row r="1625" spans="1:2" ht="15" customHeight="1">
      <c r="A1625" t="str">
        <f ca="1">IFERROR(__xludf.DUMMYFUNCTION("""COMPUTED_VALUE"""),"")</f>
        <v/>
      </c>
      <c r="B1625" t="str">
        <f ca="1">IFERROR(__xludf.DUMMYFUNCTION("""COMPUTED_VALUE"""),"")</f>
        <v/>
      </c>
    </row>
    <row r="1626" spans="1:2" ht="15" customHeight="1">
      <c r="A1626" t="str">
        <f ca="1">IFERROR(__xludf.DUMMYFUNCTION("""COMPUTED_VALUE"""),"")</f>
        <v/>
      </c>
      <c r="B1626" t="str">
        <f ca="1">IFERROR(__xludf.DUMMYFUNCTION("""COMPUTED_VALUE"""),"")</f>
        <v/>
      </c>
    </row>
    <row r="1627" spans="1:2" ht="15" customHeight="1">
      <c r="A1627" t="str">
        <f ca="1">IFERROR(__xludf.DUMMYFUNCTION("""COMPUTED_VALUE"""),"")</f>
        <v/>
      </c>
      <c r="B1627" t="str">
        <f ca="1">IFERROR(__xludf.DUMMYFUNCTION("""COMPUTED_VALUE"""),"")</f>
        <v/>
      </c>
    </row>
    <row r="1628" spans="1:2" ht="15" customHeight="1">
      <c r="A1628" t="str">
        <f ca="1">IFERROR(__xludf.DUMMYFUNCTION("""COMPUTED_VALUE"""),"")</f>
        <v/>
      </c>
      <c r="B1628" t="str">
        <f ca="1">IFERROR(__xludf.DUMMYFUNCTION("""COMPUTED_VALUE"""),"")</f>
        <v/>
      </c>
    </row>
    <row r="1629" spans="1:2" ht="15" customHeight="1">
      <c r="A1629" t="str">
        <f ca="1">IFERROR(__xludf.DUMMYFUNCTION("""COMPUTED_VALUE"""),"")</f>
        <v/>
      </c>
      <c r="B1629" t="str">
        <f ca="1">IFERROR(__xludf.DUMMYFUNCTION("""COMPUTED_VALUE"""),"")</f>
        <v/>
      </c>
    </row>
    <row r="1630" spans="1:2" ht="15" customHeight="1">
      <c r="A1630" t="str">
        <f ca="1">IFERROR(__xludf.DUMMYFUNCTION("""COMPUTED_VALUE"""),"")</f>
        <v/>
      </c>
      <c r="B1630" t="str">
        <f ca="1">IFERROR(__xludf.DUMMYFUNCTION("""COMPUTED_VALUE"""),"")</f>
        <v/>
      </c>
    </row>
    <row r="1631" spans="1:2" ht="15" customHeight="1">
      <c r="A1631" t="str">
        <f ca="1">IFERROR(__xludf.DUMMYFUNCTION("""COMPUTED_VALUE"""),"")</f>
        <v/>
      </c>
      <c r="B1631" t="str">
        <f ca="1">IFERROR(__xludf.DUMMYFUNCTION("""COMPUTED_VALUE"""),"")</f>
        <v/>
      </c>
    </row>
    <row r="1632" spans="1:2" ht="15" customHeight="1">
      <c r="A1632" t="str">
        <f ca="1">IFERROR(__xludf.DUMMYFUNCTION("""COMPUTED_VALUE"""),"")</f>
        <v/>
      </c>
      <c r="B1632" t="str">
        <f ca="1">IFERROR(__xludf.DUMMYFUNCTION("""COMPUTED_VALUE"""),"")</f>
        <v/>
      </c>
    </row>
    <row r="1633" spans="1:2" ht="15" customHeight="1">
      <c r="A1633" t="str">
        <f ca="1">IFERROR(__xludf.DUMMYFUNCTION("""COMPUTED_VALUE"""),"")</f>
        <v/>
      </c>
      <c r="B1633" t="str">
        <f ca="1">IFERROR(__xludf.DUMMYFUNCTION("""COMPUTED_VALUE"""),"")</f>
        <v/>
      </c>
    </row>
    <row r="1634" spans="1:2" ht="15" customHeight="1">
      <c r="A1634" t="str">
        <f ca="1">IFERROR(__xludf.DUMMYFUNCTION("""COMPUTED_VALUE"""),"")</f>
        <v/>
      </c>
      <c r="B1634" t="str">
        <f ca="1">IFERROR(__xludf.DUMMYFUNCTION("""COMPUTED_VALUE"""),"")</f>
        <v/>
      </c>
    </row>
    <row r="1635" spans="1:2" ht="15" customHeight="1">
      <c r="A1635" t="str">
        <f ca="1">IFERROR(__xludf.DUMMYFUNCTION("""COMPUTED_VALUE"""),"")</f>
        <v/>
      </c>
      <c r="B1635" t="str">
        <f ca="1">IFERROR(__xludf.DUMMYFUNCTION("""COMPUTED_VALUE"""),"")</f>
        <v/>
      </c>
    </row>
    <row r="1636" spans="1:2" ht="15" customHeight="1">
      <c r="A1636" t="str">
        <f ca="1">IFERROR(__xludf.DUMMYFUNCTION("""COMPUTED_VALUE"""),"")</f>
        <v/>
      </c>
      <c r="B1636" t="str">
        <f ca="1">IFERROR(__xludf.DUMMYFUNCTION("""COMPUTED_VALUE"""),"")</f>
        <v/>
      </c>
    </row>
    <row r="1637" spans="1:2" ht="15" customHeight="1">
      <c r="A1637" t="str">
        <f ca="1">IFERROR(__xludf.DUMMYFUNCTION("""COMPUTED_VALUE"""),"")</f>
        <v/>
      </c>
      <c r="B1637" t="str">
        <f ca="1">IFERROR(__xludf.DUMMYFUNCTION("""COMPUTED_VALUE"""),"")</f>
        <v/>
      </c>
    </row>
    <row r="1638" spans="1:2" ht="15" customHeight="1">
      <c r="A1638" t="str">
        <f ca="1">IFERROR(__xludf.DUMMYFUNCTION("""COMPUTED_VALUE"""),"")</f>
        <v/>
      </c>
      <c r="B1638" t="str">
        <f ca="1">IFERROR(__xludf.DUMMYFUNCTION("""COMPUTED_VALUE"""),"")</f>
        <v/>
      </c>
    </row>
    <row r="1639" spans="1:2" ht="15" customHeight="1">
      <c r="A1639" t="str">
        <f ca="1">IFERROR(__xludf.DUMMYFUNCTION("""COMPUTED_VALUE"""),"")</f>
        <v/>
      </c>
      <c r="B1639" t="str">
        <f ca="1">IFERROR(__xludf.DUMMYFUNCTION("""COMPUTED_VALUE"""),"")</f>
        <v/>
      </c>
    </row>
    <row r="1640" spans="1:2" ht="15" customHeight="1">
      <c r="A1640" t="str">
        <f ca="1">IFERROR(__xludf.DUMMYFUNCTION("""COMPUTED_VALUE"""),"")</f>
        <v/>
      </c>
      <c r="B1640" t="str">
        <f ca="1">IFERROR(__xludf.DUMMYFUNCTION("""COMPUTED_VALUE"""),"")</f>
        <v/>
      </c>
    </row>
    <row r="1641" spans="1:2" ht="15" customHeight="1">
      <c r="A1641" t="str">
        <f ca="1">IFERROR(__xludf.DUMMYFUNCTION("""COMPUTED_VALUE"""),"")</f>
        <v/>
      </c>
      <c r="B1641" t="str">
        <f ca="1">IFERROR(__xludf.DUMMYFUNCTION("""COMPUTED_VALUE"""),"")</f>
        <v/>
      </c>
    </row>
    <row r="1642" spans="1:2" ht="15" customHeight="1">
      <c r="A1642" t="str">
        <f ca="1">IFERROR(__xludf.DUMMYFUNCTION("""COMPUTED_VALUE"""),"")</f>
        <v/>
      </c>
      <c r="B1642" t="str">
        <f ca="1">IFERROR(__xludf.DUMMYFUNCTION("""COMPUTED_VALUE"""),"")</f>
        <v/>
      </c>
    </row>
    <row r="1643" spans="1:2" ht="15" customHeight="1">
      <c r="A1643" t="str">
        <f ca="1">IFERROR(__xludf.DUMMYFUNCTION("""COMPUTED_VALUE"""),"")</f>
        <v/>
      </c>
      <c r="B1643" t="str">
        <f ca="1">IFERROR(__xludf.DUMMYFUNCTION("""COMPUTED_VALUE"""),"")</f>
        <v/>
      </c>
    </row>
    <row r="1644" spans="1:2" ht="15" customHeight="1">
      <c r="A1644" t="str">
        <f ca="1">IFERROR(__xludf.DUMMYFUNCTION("""COMPUTED_VALUE"""),"")</f>
        <v/>
      </c>
      <c r="B1644" t="str">
        <f ca="1">IFERROR(__xludf.DUMMYFUNCTION("""COMPUTED_VALUE"""),"")</f>
        <v/>
      </c>
    </row>
    <row r="1645" spans="1:2" ht="15" customHeight="1">
      <c r="A1645" t="str">
        <f ca="1">IFERROR(__xludf.DUMMYFUNCTION("""COMPUTED_VALUE"""),"")</f>
        <v/>
      </c>
      <c r="B1645" t="str">
        <f ca="1">IFERROR(__xludf.DUMMYFUNCTION("""COMPUTED_VALUE"""),"")</f>
        <v/>
      </c>
    </row>
    <row r="1646" spans="1:2" ht="15" customHeight="1">
      <c r="A1646" t="str">
        <f ca="1">IFERROR(__xludf.DUMMYFUNCTION("""COMPUTED_VALUE"""),"")</f>
        <v/>
      </c>
      <c r="B1646" t="str">
        <f ca="1">IFERROR(__xludf.DUMMYFUNCTION("""COMPUTED_VALUE"""),"")</f>
        <v/>
      </c>
    </row>
    <row r="1647" spans="1:2" ht="15" customHeight="1">
      <c r="A1647" t="str">
        <f ca="1">IFERROR(__xludf.DUMMYFUNCTION("""COMPUTED_VALUE"""),"")</f>
        <v/>
      </c>
      <c r="B1647" t="str">
        <f ca="1">IFERROR(__xludf.DUMMYFUNCTION("""COMPUTED_VALUE"""),"")</f>
        <v/>
      </c>
    </row>
    <row r="1648" spans="1:2" ht="15" customHeight="1">
      <c r="A1648" t="str">
        <f ca="1">IFERROR(__xludf.DUMMYFUNCTION("""COMPUTED_VALUE"""),"")</f>
        <v/>
      </c>
      <c r="B1648" t="str">
        <f ca="1">IFERROR(__xludf.DUMMYFUNCTION("""COMPUTED_VALUE"""),"")</f>
        <v/>
      </c>
    </row>
    <row r="1649" spans="1:2" ht="15" customHeight="1">
      <c r="A1649" t="str">
        <f ca="1">IFERROR(__xludf.DUMMYFUNCTION("""COMPUTED_VALUE"""),"")</f>
        <v/>
      </c>
      <c r="B1649" t="str">
        <f ca="1">IFERROR(__xludf.DUMMYFUNCTION("""COMPUTED_VALUE"""),"")</f>
        <v/>
      </c>
    </row>
    <row r="1650" spans="1:2" ht="15" customHeight="1">
      <c r="A1650" t="str">
        <f ca="1">IFERROR(__xludf.DUMMYFUNCTION("""COMPUTED_VALUE"""),"")</f>
        <v/>
      </c>
      <c r="B1650" t="str">
        <f ca="1">IFERROR(__xludf.DUMMYFUNCTION("""COMPUTED_VALUE"""),"")</f>
        <v/>
      </c>
    </row>
    <row r="1651" spans="1:2" ht="15" customHeight="1">
      <c r="A1651" t="str">
        <f ca="1">IFERROR(__xludf.DUMMYFUNCTION("""COMPUTED_VALUE"""),"")</f>
        <v/>
      </c>
      <c r="B1651" t="str">
        <f ca="1">IFERROR(__xludf.DUMMYFUNCTION("""COMPUTED_VALUE"""),"")</f>
        <v/>
      </c>
    </row>
    <row r="1652" spans="1:2" ht="15" customHeight="1">
      <c r="A1652" t="str">
        <f ca="1">IFERROR(__xludf.DUMMYFUNCTION("""COMPUTED_VALUE"""),"")</f>
        <v/>
      </c>
      <c r="B1652" t="str">
        <f ca="1">IFERROR(__xludf.DUMMYFUNCTION("""COMPUTED_VALUE"""),"")</f>
        <v/>
      </c>
    </row>
    <row r="1653" spans="1:2" ht="15" customHeight="1">
      <c r="A1653" t="str">
        <f ca="1">IFERROR(__xludf.DUMMYFUNCTION("""COMPUTED_VALUE"""),"")</f>
        <v/>
      </c>
      <c r="B1653" t="str">
        <f ca="1">IFERROR(__xludf.DUMMYFUNCTION("""COMPUTED_VALUE"""),"")</f>
        <v/>
      </c>
    </row>
    <row r="1654" spans="1:2" ht="15" customHeight="1">
      <c r="A1654" t="str">
        <f ca="1">IFERROR(__xludf.DUMMYFUNCTION("""COMPUTED_VALUE"""),"")</f>
        <v/>
      </c>
      <c r="B1654" t="str">
        <f ca="1">IFERROR(__xludf.DUMMYFUNCTION("""COMPUTED_VALUE"""),"")</f>
        <v/>
      </c>
    </row>
    <row r="1655" spans="1:2" ht="15" customHeight="1">
      <c r="A1655" t="str">
        <f ca="1">IFERROR(__xludf.DUMMYFUNCTION("""COMPUTED_VALUE"""),"")</f>
        <v/>
      </c>
      <c r="B1655" t="str">
        <f ca="1">IFERROR(__xludf.DUMMYFUNCTION("""COMPUTED_VALUE"""),"")</f>
        <v/>
      </c>
    </row>
    <row r="1656" spans="1:2" ht="15" customHeight="1">
      <c r="A1656" t="str">
        <f ca="1">IFERROR(__xludf.DUMMYFUNCTION("""COMPUTED_VALUE"""),"")</f>
        <v/>
      </c>
      <c r="B1656" t="str">
        <f ca="1">IFERROR(__xludf.DUMMYFUNCTION("""COMPUTED_VALUE"""),"")</f>
        <v/>
      </c>
    </row>
    <row r="1657" spans="1:2" ht="15" customHeight="1">
      <c r="A1657" t="str">
        <f ca="1">IFERROR(__xludf.DUMMYFUNCTION("""COMPUTED_VALUE"""),"")</f>
        <v/>
      </c>
      <c r="B1657" t="str">
        <f ca="1">IFERROR(__xludf.DUMMYFUNCTION("""COMPUTED_VALUE"""),"")</f>
        <v/>
      </c>
    </row>
    <row r="1658" spans="1:2" ht="15" customHeight="1">
      <c r="A1658" t="str">
        <f ca="1">IFERROR(__xludf.DUMMYFUNCTION("""COMPUTED_VALUE"""),"")</f>
        <v/>
      </c>
      <c r="B1658" t="str">
        <f ca="1">IFERROR(__xludf.DUMMYFUNCTION("""COMPUTED_VALUE"""),"")</f>
        <v/>
      </c>
    </row>
    <row r="1659" spans="1:2" ht="15" customHeight="1">
      <c r="A1659" t="str">
        <f ca="1">IFERROR(__xludf.DUMMYFUNCTION("""COMPUTED_VALUE"""),"")</f>
        <v/>
      </c>
      <c r="B1659" t="str">
        <f ca="1">IFERROR(__xludf.DUMMYFUNCTION("""COMPUTED_VALUE"""),"")</f>
        <v/>
      </c>
    </row>
    <row r="1660" spans="1:2" ht="15" customHeight="1">
      <c r="A1660" t="str">
        <f ca="1">IFERROR(__xludf.DUMMYFUNCTION("""COMPUTED_VALUE"""),"")</f>
        <v/>
      </c>
      <c r="B1660" t="str">
        <f ca="1">IFERROR(__xludf.DUMMYFUNCTION("""COMPUTED_VALUE"""),"")</f>
        <v/>
      </c>
    </row>
    <row r="1661" spans="1:2" ht="15" customHeight="1">
      <c r="A1661" t="str">
        <f ca="1">IFERROR(__xludf.DUMMYFUNCTION("""COMPUTED_VALUE"""),"")</f>
        <v/>
      </c>
      <c r="B1661" t="str">
        <f ca="1">IFERROR(__xludf.DUMMYFUNCTION("""COMPUTED_VALUE"""),"")</f>
        <v/>
      </c>
    </row>
    <row r="1662" spans="1:2" ht="15" customHeight="1">
      <c r="A1662" t="str">
        <f ca="1">IFERROR(__xludf.DUMMYFUNCTION("""COMPUTED_VALUE"""),"")</f>
        <v/>
      </c>
      <c r="B1662" t="str">
        <f ca="1">IFERROR(__xludf.DUMMYFUNCTION("""COMPUTED_VALUE"""),"")</f>
        <v/>
      </c>
    </row>
    <row r="1663" spans="1:2" ht="15" customHeight="1">
      <c r="A1663" t="str">
        <f ca="1">IFERROR(__xludf.DUMMYFUNCTION("""COMPUTED_VALUE"""),"")</f>
        <v/>
      </c>
      <c r="B1663" t="str">
        <f ca="1">IFERROR(__xludf.DUMMYFUNCTION("""COMPUTED_VALUE"""),"")</f>
        <v/>
      </c>
    </row>
    <row r="1664" spans="1:2" ht="15" customHeight="1">
      <c r="A1664" t="str">
        <f ca="1">IFERROR(__xludf.DUMMYFUNCTION("""COMPUTED_VALUE"""),"")</f>
        <v/>
      </c>
      <c r="B1664" t="str">
        <f ca="1">IFERROR(__xludf.DUMMYFUNCTION("""COMPUTED_VALUE"""),"")</f>
        <v/>
      </c>
    </row>
    <row r="1665" spans="1:2" ht="15" customHeight="1">
      <c r="A1665" t="str">
        <f ca="1">IFERROR(__xludf.DUMMYFUNCTION("""COMPUTED_VALUE"""),"")</f>
        <v/>
      </c>
      <c r="B1665" t="str">
        <f ca="1">IFERROR(__xludf.DUMMYFUNCTION("""COMPUTED_VALUE"""),"")</f>
        <v/>
      </c>
    </row>
    <row r="1666" spans="1:2" ht="15" customHeight="1">
      <c r="A1666" t="str">
        <f ca="1">IFERROR(__xludf.DUMMYFUNCTION("""COMPUTED_VALUE"""),"")</f>
        <v/>
      </c>
      <c r="B1666" t="str">
        <f ca="1">IFERROR(__xludf.DUMMYFUNCTION("""COMPUTED_VALUE"""),"")</f>
        <v/>
      </c>
    </row>
    <row r="1667" spans="1:2" ht="15" customHeight="1">
      <c r="A1667" t="str">
        <f ca="1">IFERROR(__xludf.DUMMYFUNCTION("""COMPUTED_VALUE"""),"")</f>
        <v/>
      </c>
      <c r="B1667" t="str">
        <f ca="1">IFERROR(__xludf.DUMMYFUNCTION("""COMPUTED_VALUE"""),"")</f>
        <v/>
      </c>
    </row>
    <row r="1668" spans="1:2" ht="15" customHeight="1">
      <c r="A1668" t="str">
        <f ca="1">IFERROR(__xludf.DUMMYFUNCTION("""COMPUTED_VALUE"""),"")</f>
        <v/>
      </c>
      <c r="B1668" t="str">
        <f ca="1">IFERROR(__xludf.DUMMYFUNCTION("""COMPUTED_VALUE"""),"")</f>
        <v/>
      </c>
    </row>
    <row r="1669" spans="1:2" ht="15" customHeight="1">
      <c r="A1669" t="str">
        <f ca="1">IFERROR(__xludf.DUMMYFUNCTION("""COMPUTED_VALUE"""),"")</f>
        <v/>
      </c>
      <c r="B1669" t="str">
        <f ca="1">IFERROR(__xludf.DUMMYFUNCTION("""COMPUTED_VALUE"""),"")</f>
        <v/>
      </c>
    </row>
    <row r="1670" spans="1:2" ht="15" customHeight="1">
      <c r="A1670" t="str">
        <f ca="1">IFERROR(__xludf.DUMMYFUNCTION("""COMPUTED_VALUE"""),"")</f>
        <v/>
      </c>
      <c r="B1670" t="str">
        <f ca="1">IFERROR(__xludf.DUMMYFUNCTION("""COMPUTED_VALUE"""),"")</f>
        <v/>
      </c>
    </row>
    <row r="1671" spans="1:2" ht="15" customHeight="1">
      <c r="A1671" t="str">
        <f ca="1">IFERROR(__xludf.DUMMYFUNCTION("""COMPUTED_VALUE"""),"")</f>
        <v/>
      </c>
      <c r="B1671" t="str">
        <f ca="1">IFERROR(__xludf.DUMMYFUNCTION("""COMPUTED_VALUE"""),"")</f>
        <v/>
      </c>
    </row>
    <row r="1672" spans="1:2" ht="15" customHeight="1">
      <c r="A1672" t="str">
        <f ca="1">IFERROR(__xludf.DUMMYFUNCTION("""COMPUTED_VALUE"""),"")</f>
        <v/>
      </c>
      <c r="B1672" t="str">
        <f ca="1">IFERROR(__xludf.DUMMYFUNCTION("""COMPUTED_VALUE"""),"")</f>
        <v/>
      </c>
    </row>
    <row r="1673" spans="1:2" ht="15" customHeight="1">
      <c r="A1673" t="str">
        <f ca="1">IFERROR(__xludf.DUMMYFUNCTION("""COMPUTED_VALUE"""),"")</f>
        <v/>
      </c>
      <c r="B1673" t="str">
        <f ca="1">IFERROR(__xludf.DUMMYFUNCTION("""COMPUTED_VALUE"""),"")</f>
        <v/>
      </c>
    </row>
    <row r="1674" spans="1:2" ht="15" customHeight="1">
      <c r="A1674" t="str">
        <f ca="1">IFERROR(__xludf.DUMMYFUNCTION("""COMPUTED_VALUE"""),"")</f>
        <v/>
      </c>
      <c r="B1674" t="str">
        <f ca="1">IFERROR(__xludf.DUMMYFUNCTION("""COMPUTED_VALUE"""),"")</f>
        <v/>
      </c>
    </row>
    <row r="1675" spans="1:2" ht="15" customHeight="1">
      <c r="A1675" t="str">
        <f ca="1">IFERROR(__xludf.DUMMYFUNCTION("""COMPUTED_VALUE"""),"")</f>
        <v/>
      </c>
      <c r="B1675" t="str">
        <f ca="1">IFERROR(__xludf.DUMMYFUNCTION("""COMPUTED_VALUE"""),"")</f>
        <v/>
      </c>
    </row>
    <row r="1676" spans="1:2" ht="15" customHeight="1">
      <c r="A1676" t="str">
        <f ca="1">IFERROR(__xludf.DUMMYFUNCTION("""COMPUTED_VALUE"""),"")</f>
        <v/>
      </c>
      <c r="B1676" t="str">
        <f ca="1">IFERROR(__xludf.DUMMYFUNCTION("""COMPUTED_VALUE"""),"")</f>
        <v/>
      </c>
    </row>
    <row r="1677" spans="1:2" ht="15" customHeight="1">
      <c r="A1677" t="str">
        <f ca="1">IFERROR(__xludf.DUMMYFUNCTION("""COMPUTED_VALUE"""),"")</f>
        <v/>
      </c>
      <c r="B1677" t="str">
        <f ca="1">IFERROR(__xludf.DUMMYFUNCTION("""COMPUTED_VALUE"""),"")</f>
        <v/>
      </c>
    </row>
    <row r="1678" spans="1:2" ht="15" customHeight="1">
      <c r="A1678" t="str">
        <f ca="1">IFERROR(__xludf.DUMMYFUNCTION("""COMPUTED_VALUE"""),"")</f>
        <v/>
      </c>
      <c r="B1678" t="str">
        <f ca="1">IFERROR(__xludf.DUMMYFUNCTION("""COMPUTED_VALUE"""),"")</f>
        <v/>
      </c>
    </row>
    <row r="1679" spans="1:2" ht="15" customHeight="1">
      <c r="A1679" t="str">
        <f ca="1">IFERROR(__xludf.DUMMYFUNCTION("""COMPUTED_VALUE"""),"")</f>
        <v/>
      </c>
      <c r="B1679" t="str">
        <f ca="1">IFERROR(__xludf.DUMMYFUNCTION("""COMPUTED_VALUE"""),"")</f>
        <v/>
      </c>
    </row>
    <row r="1680" spans="1:2" ht="15" customHeight="1">
      <c r="A1680" t="str">
        <f ca="1">IFERROR(__xludf.DUMMYFUNCTION("""COMPUTED_VALUE"""),"")</f>
        <v/>
      </c>
      <c r="B1680" t="str">
        <f ca="1">IFERROR(__xludf.DUMMYFUNCTION("""COMPUTED_VALUE"""),"")</f>
        <v/>
      </c>
    </row>
    <row r="1681" spans="1:2" ht="15" customHeight="1">
      <c r="A1681" t="str">
        <f ca="1">IFERROR(__xludf.DUMMYFUNCTION("""COMPUTED_VALUE"""),"")</f>
        <v/>
      </c>
      <c r="B1681" t="str">
        <f ca="1">IFERROR(__xludf.DUMMYFUNCTION("""COMPUTED_VALUE"""),"")</f>
        <v/>
      </c>
    </row>
    <row r="1682" spans="1:2" ht="15" customHeight="1">
      <c r="A1682" t="str">
        <f ca="1">IFERROR(__xludf.DUMMYFUNCTION("""COMPUTED_VALUE"""),"")</f>
        <v/>
      </c>
      <c r="B1682" t="str">
        <f ca="1">IFERROR(__xludf.DUMMYFUNCTION("""COMPUTED_VALUE"""),"")</f>
        <v/>
      </c>
    </row>
    <row r="1683" spans="1:2" ht="15" customHeight="1">
      <c r="A1683" t="str">
        <f ca="1">IFERROR(__xludf.DUMMYFUNCTION("""COMPUTED_VALUE"""),"")</f>
        <v/>
      </c>
      <c r="B1683" t="str">
        <f ca="1">IFERROR(__xludf.DUMMYFUNCTION("""COMPUTED_VALUE"""),"")</f>
        <v/>
      </c>
    </row>
    <row r="1684" spans="1:2" ht="15" customHeight="1">
      <c r="A1684" t="str">
        <f ca="1">IFERROR(__xludf.DUMMYFUNCTION("""COMPUTED_VALUE"""),"")</f>
        <v/>
      </c>
      <c r="B1684" t="str">
        <f ca="1">IFERROR(__xludf.DUMMYFUNCTION("""COMPUTED_VALUE"""),"")</f>
        <v/>
      </c>
    </row>
    <row r="1685" spans="1:2" ht="15" customHeight="1">
      <c r="A1685" t="str">
        <f ca="1">IFERROR(__xludf.DUMMYFUNCTION("""COMPUTED_VALUE"""),"")</f>
        <v/>
      </c>
      <c r="B1685" t="str">
        <f ca="1">IFERROR(__xludf.DUMMYFUNCTION("""COMPUTED_VALUE"""),"")</f>
        <v/>
      </c>
    </row>
    <row r="1686" spans="1:2" ht="15" customHeight="1">
      <c r="A1686" t="str">
        <f ca="1">IFERROR(__xludf.DUMMYFUNCTION("""COMPUTED_VALUE"""),"")</f>
        <v/>
      </c>
      <c r="B1686" t="str">
        <f ca="1">IFERROR(__xludf.DUMMYFUNCTION("""COMPUTED_VALUE"""),"")</f>
        <v/>
      </c>
    </row>
    <row r="1687" spans="1:2" ht="15" customHeight="1">
      <c r="A1687" t="str">
        <f ca="1">IFERROR(__xludf.DUMMYFUNCTION("""COMPUTED_VALUE"""),"")</f>
        <v/>
      </c>
      <c r="B1687" t="str">
        <f ca="1">IFERROR(__xludf.DUMMYFUNCTION("""COMPUTED_VALUE"""),"")</f>
        <v/>
      </c>
    </row>
    <row r="1688" spans="1:2" ht="15" customHeight="1">
      <c r="A1688" t="str">
        <f ca="1">IFERROR(__xludf.DUMMYFUNCTION("""COMPUTED_VALUE"""),"")</f>
        <v/>
      </c>
      <c r="B1688" t="str">
        <f ca="1">IFERROR(__xludf.DUMMYFUNCTION("""COMPUTED_VALUE"""),"")</f>
        <v/>
      </c>
    </row>
    <row r="1689" spans="1:2" ht="15" customHeight="1">
      <c r="A1689" t="str">
        <f ca="1">IFERROR(__xludf.DUMMYFUNCTION("""COMPUTED_VALUE"""),"")</f>
        <v/>
      </c>
      <c r="B1689" t="str">
        <f ca="1">IFERROR(__xludf.DUMMYFUNCTION("""COMPUTED_VALUE"""),"")</f>
        <v/>
      </c>
    </row>
    <row r="1690" spans="1:2" ht="15" customHeight="1">
      <c r="A1690" t="str">
        <f ca="1">IFERROR(__xludf.DUMMYFUNCTION("""COMPUTED_VALUE"""),"")</f>
        <v/>
      </c>
      <c r="B1690" t="str">
        <f ca="1">IFERROR(__xludf.DUMMYFUNCTION("""COMPUTED_VALUE"""),"")</f>
        <v/>
      </c>
    </row>
    <row r="1691" spans="1:2" ht="15" customHeight="1">
      <c r="A1691" t="str">
        <f ca="1">IFERROR(__xludf.DUMMYFUNCTION("""COMPUTED_VALUE"""),"")</f>
        <v/>
      </c>
      <c r="B1691" t="str">
        <f ca="1">IFERROR(__xludf.DUMMYFUNCTION("""COMPUTED_VALUE"""),"")</f>
        <v/>
      </c>
    </row>
    <row r="1692" spans="1:2" ht="15" customHeight="1">
      <c r="A1692" t="str">
        <f ca="1">IFERROR(__xludf.DUMMYFUNCTION("""COMPUTED_VALUE"""),"")</f>
        <v/>
      </c>
      <c r="B1692" t="str">
        <f ca="1">IFERROR(__xludf.DUMMYFUNCTION("""COMPUTED_VALUE"""),"")</f>
        <v/>
      </c>
    </row>
    <row r="1693" spans="1:2" ht="15" customHeight="1">
      <c r="A1693" t="str">
        <f ca="1">IFERROR(__xludf.DUMMYFUNCTION("""COMPUTED_VALUE"""),"")</f>
        <v/>
      </c>
      <c r="B1693" t="str">
        <f ca="1">IFERROR(__xludf.DUMMYFUNCTION("""COMPUTED_VALUE"""),"")</f>
        <v/>
      </c>
    </row>
    <row r="1694" spans="1:2" ht="15" customHeight="1">
      <c r="A1694" t="str">
        <f ca="1">IFERROR(__xludf.DUMMYFUNCTION("""COMPUTED_VALUE"""),"")</f>
        <v/>
      </c>
      <c r="B1694" t="str">
        <f ca="1">IFERROR(__xludf.DUMMYFUNCTION("""COMPUTED_VALUE"""),"")</f>
        <v/>
      </c>
    </row>
    <row r="1695" spans="1:2" ht="15" customHeight="1">
      <c r="A1695" t="str">
        <f ca="1">IFERROR(__xludf.DUMMYFUNCTION("""COMPUTED_VALUE"""),"")</f>
        <v/>
      </c>
      <c r="B1695" t="str">
        <f ca="1">IFERROR(__xludf.DUMMYFUNCTION("""COMPUTED_VALUE"""),"")</f>
        <v/>
      </c>
    </row>
    <row r="1696" spans="1:2" ht="15" customHeight="1">
      <c r="A1696" t="str">
        <f ca="1">IFERROR(__xludf.DUMMYFUNCTION("""COMPUTED_VALUE"""),"")</f>
        <v/>
      </c>
      <c r="B1696" t="str">
        <f ca="1">IFERROR(__xludf.DUMMYFUNCTION("""COMPUTED_VALUE"""),"")</f>
        <v/>
      </c>
    </row>
    <row r="1697" spans="1:2" ht="15" customHeight="1">
      <c r="A1697" t="str">
        <f ca="1">IFERROR(__xludf.DUMMYFUNCTION("""COMPUTED_VALUE"""),"")</f>
        <v/>
      </c>
      <c r="B1697" t="str">
        <f ca="1">IFERROR(__xludf.DUMMYFUNCTION("""COMPUTED_VALUE"""),"")</f>
        <v/>
      </c>
    </row>
    <row r="1698" spans="1:2" ht="15" customHeight="1">
      <c r="A1698" t="str">
        <f ca="1">IFERROR(__xludf.DUMMYFUNCTION("""COMPUTED_VALUE"""),"")</f>
        <v/>
      </c>
      <c r="B1698" t="str">
        <f ca="1">IFERROR(__xludf.DUMMYFUNCTION("""COMPUTED_VALUE"""),"")</f>
        <v/>
      </c>
    </row>
    <row r="1699" spans="1:2" ht="15" customHeight="1">
      <c r="A1699" t="str">
        <f ca="1">IFERROR(__xludf.DUMMYFUNCTION("""COMPUTED_VALUE"""),"")</f>
        <v/>
      </c>
      <c r="B1699" t="str">
        <f ca="1">IFERROR(__xludf.DUMMYFUNCTION("""COMPUTED_VALUE"""),"")</f>
        <v/>
      </c>
    </row>
    <row r="1700" spans="1:2" ht="15" customHeight="1">
      <c r="A1700" t="str">
        <f ca="1">IFERROR(__xludf.DUMMYFUNCTION("""COMPUTED_VALUE"""),"")</f>
        <v/>
      </c>
      <c r="B1700" t="str">
        <f ca="1">IFERROR(__xludf.DUMMYFUNCTION("""COMPUTED_VALUE"""),"")</f>
        <v/>
      </c>
    </row>
    <row r="1701" spans="1:2" ht="15" customHeight="1">
      <c r="A1701" t="str">
        <f ca="1">IFERROR(__xludf.DUMMYFUNCTION("""COMPUTED_VALUE"""),"")</f>
        <v/>
      </c>
      <c r="B1701" t="str">
        <f ca="1">IFERROR(__xludf.DUMMYFUNCTION("""COMPUTED_VALUE"""),"")</f>
        <v/>
      </c>
    </row>
    <row r="1702" spans="1:2" ht="15" customHeight="1">
      <c r="A1702" t="str">
        <f ca="1">IFERROR(__xludf.DUMMYFUNCTION("""COMPUTED_VALUE"""),"")</f>
        <v/>
      </c>
      <c r="B1702" t="str">
        <f ca="1">IFERROR(__xludf.DUMMYFUNCTION("""COMPUTED_VALUE"""),"")</f>
        <v/>
      </c>
    </row>
    <row r="1703" spans="1:2" ht="15" customHeight="1">
      <c r="A1703" t="str">
        <f ca="1">IFERROR(__xludf.DUMMYFUNCTION("""COMPUTED_VALUE"""),"")</f>
        <v/>
      </c>
      <c r="B1703" t="str">
        <f ca="1">IFERROR(__xludf.DUMMYFUNCTION("""COMPUTED_VALUE"""),"")</f>
        <v/>
      </c>
    </row>
    <row r="1704" spans="1:2" ht="15" customHeight="1">
      <c r="A1704" t="str">
        <f ca="1">IFERROR(__xludf.DUMMYFUNCTION("""COMPUTED_VALUE"""),"")</f>
        <v/>
      </c>
      <c r="B1704" t="str">
        <f ca="1">IFERROR(__xludf.DUMMYFUNCTION("""COMPUTED_VALUE"""),"")</f>
        <v/>
      </c>
    </row>
    <row r="1705" spans="1:2" ht="15" customHeight="1">
      <c r="A1705" t="str">
        <f ca="1">IFERROR(__xludf.DUMMYFUNCTION("""COMPUTED_VALUE"""),"")</f>
        <v/>
      </c>
      <c r="B1705" t="str">
        <f ca="1">IFERROR(__xludf.DUMMYFUNCTION("""COMPUTED_VALUE"""),"")</f>
        <v/>
      </c>
    </row>
    <row r="1706" spans="1:2" ht="15" customHeight="1">
      <c r="A1706" t="str">
        <f ca="1">IFERROR(__xludf.DUMMYFUNCTION("""COMPUTED_VALUE"""),"")</f>
        <v/>
      </c>
      <c r="B1706" t="str">
        <f ca="1">IFERROR(__xludf.DUMMYFUNCTION("""COMPUTED_VALUE"""),"")</f>
        <v/>
      </c>
    </row>
    <row r="1707" spans="1:2" ht="15" customHeight="1">
      <c r="A1707" t="str">
        <f ca="1">IFERROR(__xludf.DUMMYFUNCTION("""COMPUTED_VALUE"""),"")</f>
        <v/>
      </c>
      <c r="B1707" t="str">
        <f ca="1">IFERROR(__xludf.DUMMYFUNCTION("""COMPUTED_VALUE"""),"")</f>
        <v/>
      </c>
    </row>
    <row r="1708" spans="1:2" ht="15" customHeight="1">
      <c r="A1708" t="str">
        <f ca="1">IFERROR(__xludf.DUMMYFUNCTION("""COMPUTED_VALUE"""),"")</f>
        <v/>
      </c>
      <c r="B1708" t="str">
        <f ca="1">IFERROR(__xludf.DUMMYFUNCTION("""COMPUTED_VALUE"""),"")</f>
        <v/>
      </c>
    </row>
    <row r="1709" spans="1:2" ht="15" customHeight="1">
      <c r="A1709" t="str">
        <f ca="1">IFERROR(__xludf.DUMMYFUNCTION("""COMPUTED_VALUE"""),"")</f>
        <v/>
      </c>
      <c r="B1709" t="str">
        <f ca="1">IFERROR(__xludf.DUMMYFUNCTION("""COMPUTED_VALUE"""),"")</f>
        <v/>
      </c>
    </row>
    <row r="1710" spans="1:2" ht="15" customHeight="1">
      <c r="A1710" t="str">
        <f ca="1">IFERROR(__xludf.DUMMYFUNCTION("""COMPUTED_VALUE"""),"")</f>
        <v/>
      </c>
      <c r="B1710" t="str">
        <f ca="1">IFERROR(__xludf.DUMMYFUNCTION("""COMPUTED_VALUE"""),"")</f>
        <v/>
      </c>
    </row>
    <row r="1711" spans="1:2" ht="15" customHeight="1">
      <c r="A1711" t="str">
        <f ca="1">IFERROR(__xludf.DUMMYFUNCTION("""COMPUTED_VALUE"""),"")</f>
        <v/>
      </c>
      <c r="B1711" t="str">
        <f ca="1">IFERROR(__xludf.DUMMYFUNCTION("""COMPUTED_VALUE"""),"")</f>
        <v/>
      </c>
    </row>
    <row r="1712" spans="1:2" ht="15" customHeight="1">
      <c r="A1712" t="str">
        <f ca="1">IFERROR(__xludf.DUMMYFUNCTION("""COMPUTED_VALUE"""),"")</f>
        <v/>
      </c>
      <c r="B1712" t="str">
        <f ca="1">IFERROR(__xludf.DUMMYFUNCTION("""COMPUTED_VALUE"""),"")</f>
        <v/>
      </c>
    </row>
    <row r="1713" spans="1:2" ht="15" customHeight="1">
      <c r="A1713" t="str">
        <f ca="1">IFERROR(__xludf.DUMMYFUNCTION("""COMPUTED_VALUE"""),"")</f>
        <v/>
      </c>
      <c r="B1713" t="str">
        <f ca="1">IFERROR(__xludf.DUMMYFUNCTION("""COMPUTED_VALUE"""),"")</f>
        <v/>
      </c>
    </row>
    <row r="1714" spans="1:2" ht="15" customHeight="1">
      <c r="A1714" t="str">
        <f ca="1">IFERROR(__xludf.DUMMYFUNCTION("""COMPUTED_VALUE"""),"")</f>
        <v/>
      </c>
      <c r="B1714" t="str">
        <f ca="1">IFERROR(__xludf.DUMMYFUNCTION("""COMPUTED_VALUE"""),"")</f>
        <v/>
      </c>
    </row>
    <row r="1715" spans="1:2" ht="15" customHeight="1">
      <c r="A1715" t="str">
        <f ca="1">IFERROR(__xludf.DUMMYFUNCTION("""COMPUTED_VALUE"""),"")</f>
        <v/>
      </c>
      <c r="B1715" t="str">
        <f ca="1">IFERROR(__xludf.DUMMYFUNCTION("""COMPUTED_VALUE"""),"")</f>
        <v/>
      </c>
    </row>
    <row r="1716" spans="1:2" ht="15" customHeight="1">
      <c r="A1716" t="str">
        <f ca="1">IFERROR(__xludf.DUMMYFUNCTION("""COMPUTED_VALUE"""),"")</f>
        <v/>
      </c>
      <c r="B1716" t="str">
        <f ca="1">IFERROR(__xludf.DUMMYFUNCTION("""COMPUTED_VALUE"""),"")</f>
        <v/>
      </c>
    </row>
    <row r="1717" spans="1:2" ht="15" customHeight="1">
      <c r="A1717" t="str">
        <f ca="1">IFERROR(__xludf.DUMMYFUNCTION("""COMPUTED_VALUE"""),"")</f>
        <v/>
      </c>
      <c r="B1717" t="str">
        <f ca="1">IFERROR(__xludf.DUMMYFUNCTION("""COMPUTED_VALUE"""),"")</f>
        <v/>
      </c>
    </row>
    <row r="1718" spans="1:2" ht="15" customHeight="1">
      <c r="A1718" t="str">
        <f ca="1">IFERROR(__xludf.DUMMYFUNCTION("""COMPUTED_VALUE"""),"")</f>
        <v/>
      </c>
      <c r="B1718" t="str">
        <f ca="1">IFERROR(__xludf.DUMMYFUNCTION("""COMPUTED_VALUE"""),"")</f>
        <v/>
      </c>
    </row>
    <row r="1719" spans="1:2" ht="15" customHeight="1">
      <c r="A1719" t="str">
        <f ca="1">IFERROR(__xludf.DUMMYFUNCTION("""COMPUTED_VALUE"""),"")</f>
        <v/>
      </c>
      <c r="B1719" t="str">
        <f ca="1">IFERROR(__xludf.DUMMYFUNCTION("""COMPUTED_VALUE"""),"")</f>
        <v/>
      </c>
    </row>
    <row r="1720" spans="1:2" ht="15" customHeight="1">
      <c r="A1720" t="str">
        <f ca="1">IFERROR(__xludf.DUMMYFUNCTION("""COMPUTED_VALUE"""),"")</f>
        <v/>
      </c>
      <c r="B1720" t="str">
        <f ca="1">IFERROR(__xludf.DUMMYFUNCTION("""COMPUTED_VALUE"""),"")</f>
        <v/>
      </c>
    </row>
    <row r="1721" spans="1:2" ht="15" customHeight="1">
      <c r="A1721" t="str">
        <f ca="1">IFERROR(__xludf.DUMMYFUNCTION("""COMPUTED_VALUE"""),"")</f>
        <v/>
      </c>
      <c r="B1721" t="str">
        <f ca="1">IFERROR(__xludf.DUMMYFUNCTION("""COMPUTED_VALUE"""),"")</f>
        <v/>
      </c>
    </row>
    <row r="1722" spans="1:2" ht="15" customHeight="1">
      <c r="A1722" t="str">
        <f ca="1">IFERROR(__xludf.DUMMYFUNCTION("""COMPUTED_VALUE"""),"")</f>
        <v/>
      </c>
      <c r="B1722" t="str">
        <f ca="1">IFERROR(__xludf.DUMMYFUNCTION("""COMPUTED_VALUE"""),"")</f>
        <v/>
      </c>
    </row>
    <row r="1723" spans="1:2" ht="15" customHeight="1">
      <c r="A1723" t="str">
        <f ca="1">IFERROR(__xludf.DUMMYFUNCTION("""COMPUTED_VALUE"""),"")</f>
        <v/>
      </c>
      <c r="B1723" t="str">
        <f ca="1">IFERROR(__xludf.DUMMYFUNCTION("""COMPUTED_VALUE"""),"")</f>
        <v/>
      </c>
    </row>
    <row r="1724" spans="1:2" ht="15" customHeight="1">
      <c r="A1724" t="str">
        <f ca="1">IFERROR(__xludf.DUMMYFUNCTION("""COMPUTED_VALUE"""),"")</f>
        <v/>
      </c>
      <c r="B1724" t="str">
        <f ca="1">IFERROR(__xludf.DUMMYFUNCTION("""COMPUTED_VALUE"""),"")</f>
        <v/>
      </c>
    </row>
    <row r="1725" spans="1:2" ht="15" customHeight="1">
      <c r="A1725" t="str">
        <f ca="1">IFERROR(__xludf.DUMMYFUNCTION("""COMPUTED_VALUE"""),"")</f>
        <v/>
      </c>
      <c r="B1725" t="str">
        <f ca="1">IFERROR(__xludf.DUMMYFUNCTION("""COMPUTED_VALUE"""),"")</f>
        <v/>
      </c>
    </row>
    <row r="1726" spans="1:2" ht="15" customHeight="1">
      <c r="A1726" t="str">
        <f ca="1">IFERROR(__xludf.DUMMYFUNCTION("""COMPUTED_VALUE"""),"")</f>
        <v/>
      </c>
      <c r="B1726" t="str">
        <f ca="1">IFERROR(__xludf.DUMMYFUNCTION("""COMPUTED_VALUE"""),"")</f>
        <v/>
      </c>
    </row>
    <row r="1727" spans="1:2" ht="15" customHeight="1">
      <c r="A1727" t="str">
        <f ca="1">IFERROR(__xludf.DUMMYFUNCTION("""COMPUTED_VALUE"""),"")</f>
        <v/>
      </c>
      <c r="B1727" t="str">
        <f ca="1">IFERROR(__xludf.DUMMYFUNCTION("""COMPUTED_VALUE"""),"")</f>
        <v/>
      </c>
    </row>
    <row r="1728" spans="1:2" ht="15" customHeight="1">
      <c r="A1728" t="str">
        <f ca="1">IFERROR(__xludf.DUMMYFUNCTION("""COMPUTED_VALUE"""),"")</f>
        <v/>
      </c>
      <c r="B1728" t="str">
        <f ca="1">IFERROR(__xludf.DUMMYFUNCTION("""COMPUTED_VALUE"""),"")</f>
        <v/>
      </c>
    </row>
    <row r="1729" spans="1:2" ht="15" customHeight="1">
      <c r="A1729" t="str">
        <f ca="1">IFERROR(__xludf.DUMMYFUNCTION("""COMPUTED_VALUE"""),"")</f>
        <v/>
      </c>
      <c r="B1729" t="str">
        <f ca="1">IFERROR(__xludf.DUMMYFUNCTION("""COMPUTED_VALUE"""),"")</f>
        <v/>
      </c>
    </row>
    <row r="1730" spans="1:2" ht="15" customHeight="1">
      <c r="A1730" t="str">
        <f ca="1">IFERROR(__xludf.DUMMYFUNCTION("""COMPUTED_VALUE"""),"")</f>
        <v/>
      </c>
      <c r="B1730" t="str">
        <f ca="1">IFERROR(__xludf.DUMMYFUNCTION("""COMPUTED_VALUE"""),"")</f>
        <v/>
      </c>
    </row>
    <row r="1731" spans="1:2" ht="15" customHeight="1">
      <c r="A1731" t="str">
        <f ca="1">IFERROR(__xludf.DUMMYFUNCTION("""COMPUTED_VALUE"""),"")</f>
        <v/>
      </c>
      <c r="B1731" t="str">
        <f ca="1">IFERROR(__xludf.DUMMYFUNCTION("""COMPUTED_VALUE"""),"")</f>
        <v/>
      </c>
    </row>
    <row r="1732" spans="1:2" ht="15" customHeight="1">
      <c r="A1732" t="str">
        <f ca="1">IFERROR(__xludf.DUMMYFUNCTION("""COMPUTED_VALUE"""),"")</f>
        <v/>
      </c>
      <c r="B1732" t="str">
        <f ca="1">IFERROR(__xludf.DUMMYFUNCTION("""COMPUTED_VALUE"""),"")</f>
        <v/>
      </c>
    </row>
    <row r="1733" spans="1:2" ht="15" customHeight="1">
      <c r="A1733" t="str">
        <f ca="1">IFERROR(__xludf.DUMMYFUNCTION("""COMPUTED_VALUE"""),"")</f>
        <v/>
      </c>
      <c r="B1733" t="str">
        <f ca="1">IFERROR(__xludf.DUMMYFUNCTION("""COMPUTED_VALUE"""),"")</f>
        <v/>
      </c>
    </row>
    <row r="1734" spans="1:2" ht="15" customHeight="1">
      <c r="A1734" t="str">
        <f ca="1">IFERROR(__xludf.DUMMYFUNCTION("""COMPUTED_VALUE"""),"")</f>
        <v/>
      </c>
      <c r="B1734" t="str">
        <f ca="1">IFERROR(__xludf.DUMMYFUNCTION("""COMPUTED_VALUE"""),"")</f>
        <v/>
      </c>
    </row>
    <row r="1735" spans="1:2" ht="15" customHeight="1">
      <c r="A1735" t="str">
        <f ca="1">IFERROR(__xludf.DUMMYFUNCTION("""COMPUTED_VALUE"""),"")</f>
        <v/>
      </c>
      <c r="B1735" t="str">
        <f ca="1">IFERROR(__xludf.DUMMYFUNCTION("""COMPUTED_VALUE"""),"")</f>
        <v/>
      </c>
    </row>
    <row r="1736" spans="1:2" ht="15" customHeight="1">
      <c r="A1736" t="str">
        <f ca="1">IFERROR(__xludf.DUMMYFUNCTION("""COMPUTED_VALUE"""),"")</f>
        <v/>
      </c>
      <c r="B1736" t="str">
        <f ca="1">IFERROR(__xludf.DUMMYFUNCTION("""COMPUTED_VALUE"""),"")</f>
        <v/>
      </c>
    </row>
    <row r="1737" spans="1:2" ht="15" customHeight="1">
      <c r="A1737" t="str">
        <f ca="1">IFERROR(__xludf.DUMMYFUNCTION("""COMPUTED_VALUE"""),"")</f>
        <v/>
      </c>
      <c r="B1737" t="str">
        <f ca="1">IFERROR(__xludf.DUMMYFUNCTION("""COMPUTED_VALUE"""),"")</f>
        <v/>
      </c>
    </row>
    <row r="1738" spans="1:2" ht="15" customHeight="1">
      <c r="A1738" t="str">
        <f ca="1">IFERROR(__xludf.DUMMYFUNCTION("""COMPUTED_VALUE"""),"")</f>
        <v/>
      </c>
      <c r="B1738" t="str">
        <f ca="1">IFERROR(__xludf.DUMMYFUNCTION("""COMPUTED_VALUE"""),"")</f>
        <v/>
      </c>
    </row>
    <row r="1739" spans="1:2" ht="15" customHeight="1">
      <c r="A1739" t="str">
        <f ca="1">IFERROR(__xludf.DUMMYFUNCTION("""COMPUTED_VALUE"""),"")</f>
        <v/>
      </c>
      <c r="B1739" t="str">
        <f ca="1">IFERROR(__xludf.DUMMYFUNCTION("""COMPUTED_VALUE"""),"")</f>
        <v/>
      </c>
    </row>
    <row r="1740" spans="1:2" ht="15" customHeight="1">
      <c r="A1740" t="str">
        <f ca="1">IFERROR(__xludf.DUMMYFUNCTION("""COMPUTED_VALUE"""),"")</f>
        <v/>
      </c>
      <c r="B1740" t="str">
        <f ca="1">IFERROR(__xludf.DUMMYFUNCTION("""COMPUTED_VALUE"""),"")</f>
        <v/>
      </c>
    </row>
    <row r="1741" spans="1:2" ht="15" customHeight="1">
      <c r="A1741" t="str">
        <f ca="1">IFERROR(__xludf.DUMMYFUNCTION("""COMPUTED_VALUE"""),"")</f>
        <v/>
      </c>
      <c r="B1741" t="str">
        <f ca="1">IFERROR(__xludf.DUMMYFUNCTION("""COMPUTED_VALUE"""),"")</f>
        <v/>
      </c>
    </row>
    <row r="1742" spans="1:2" ht="15" customHeight="1">
      <c r="A1742" t="str">
        <f ca="1">IFERROR(__xludf.DUMMYFUNCTION("""COMPUTED_VALUE"""),"")</f>
        <v/>
      </c>
      <c r="B1742" t="str">
        <f ca="1">IFERROR(__xludf.DUMMYFUNCTION("""COMPUTED_VALUE"""),"")</f>
        <v/>
      </c>
    </row>
    <row r="1743" spans="1:2" ht="15" customHeight="1">
      <c r="A1743" t="str">
        <f ca="1">IFERROR(__xludf.DUMMYFUNCTION("""COMPUTED_VALUE"""),"")</f>
        <v/>
      </c>
      <c r="B1743" t="str">
        <f ca="1">IFERROR(__xludf.DUMMYFUNCTION("""COMPUTED_VALUE"""),"")</f>
        <v/>
      </c>
    </row>
    <row r="1744" spans="1:2" ht="15" customHeight="1">
      <c r="A1744" t="str">
        <f ca="1">IFERROR(__xludf.DUMMYFUNCTION("""COMPUTED_VALUE"""),"")</f>
        <v/>
      </c>
      <c r="B1744" t="str">
        <f ca="1">IFERROR(__xludf.DUMMYFUNCTION("""COMPUTED_VALUE"""),"")</f>
        <v/>
      </c>
    </row>
    <row r="1745" spans="1:2" ht="15" customHeight="1">
      <c r="A1745" t="str">
        <f ca="1">IFERROR(__xludf.DUMMYFUNCTION("""COMPUTED_VALUE"""),"")</f>
        <v/>
      </c>
      <c r="B1745" t="str">
        <f ca="1">IFERROR(__xludf.DUMMYFUNCTION("""COMPUTED_VALUE"""),"")</f>
        <v/>
      </c>
    </row>
    <row r="1746" spans="1:2" ht="15" customHeight="1">
      <c r="A1746" t="str">
        <f ca="1">IFERROR(__xludf.DUMMYFUNCTION("""COMPUTED_VALUE"""),"")</f>
        <v/>
      </c>
      <c r="B1746" t="str">
        <f ca="1">IFERROR(__xludf.DUMMYFUNCTION("""COMPUTED_VALUE"""),"")</f>
        <v/>
      </c>
    </row>
    <row r="1747" spans="1:2" ht="15" customHeight="1">
      <c r="A1747" t="str">
        <f ca="1">IFERROR(__xludf.DUMMYFUNCTION("""COMPUTED_VALUE"""),"")</f>
        <v/>
      </c>
      <c r="B1747" t="str">
        <f ca="1">IFERROR(__xludf.DUMMYFUNCTION("""COMPUTED_VALUE"""),"")</f>
        <v/>
      </c>
    </row>
    <row r="1748" spans="1:2" ht="15" customHeight="1">
      <c r="A1748" t="str">
        <f ca="1">IFERROR(__xludf.DUMMYFUNCTION("""COMPUTED_VALUE"""),"")</f>
        <v/>
      </c>
      <c r="B1748" t="str">
        <f ca="1">IFERROR(__xludf.DUMMYFUNCTION("""COMPUTED_VALUE"""),"")</f>
        <v/>
      </c>
    </row>
    <row r="1749" spans="1:2" ht="15" customHeight="1">
      <c r="A1749" t="str">
        <f ca="1">IFERROR(__xludf.DUMMYFUNCTION("""COMPUTED_VALUE"""),"")</f>
        <v/>
      </c>
      <c r="B1749" t="str">
        <f ca="1">IFERROR(__xludf.DUMMYFUNCTION("""COMPUTED_VALUE"""),"")</f>
        <v/>
      </c>
    </row>
    <row r="1750" spans="1:2" ht="15" customHeight="1">
      <c r="A1750" t="str">
        <f ca="1">IFERROR(__xludf.DUMMYFUNCTION("""COMPUTED_VALUE"""),"")</f>
        <v/>
      </c>
      <c r="B1750" t="str">
        <f ca="1">IFERROR(__xludf.DUMMYFUNCTION("""COMPUTED_VALUE"""),"")</f>
        <v/>
      </c>
    </row>
    <row r="1751" spans="1:2" ht="15" customHeight="1">
      <c r="A1751" t="str">
        <f ca="1">IFERROR(__xludf.DUMMYFUNCTION("""COMPUTED_VALUE"""),"")</f>
        <v/>
      </c>
      <c r="B1751" t="str">
        <f ca="1">IFERROR(__xludf.DUMMYFUNCTION("""COMPUTED_VALUE"""),"")</f>
        <v/>
      </c>
    </row>
    <row r="1752" spans="1:2" ht="15" customHeight="1">
      <c r="A1752" t="str">
        <f ca="1">IFERROR(__xludf.DUMMYFUNCTION("""COMPUTED_VALUE"""),"")</f>
        <v/>
      </c>
      <c r="B1752" t="str">
        <f ca="1">IFERROR(__xludf.DUMMYFUNCTION("""COMPUTED_VALUE"""),"")</f>
        <v/>
      </c>
    </row>
    <row r="1753" spans="1:2" ht="15" customHeight="1">
      <c r="A1753" t="str">
        <f ca="1">IFERROR(__xludf.DUMMYFUNCTION("""COMPUTED_VALUE"""),"")</f>
        <v/>
      </c>
      <c r="B1753" t="str">
        <f ca="1">IFERROR(__xludf.DUMMYFUNCTION("""COMPUTED_VALUE"""),"")</f>
        <v/>
      </c>
    </row>
    <row r="1754" spans="1:2" ht="15" customHeight="1">
      <c r="A1754" t="str">
        <f ca="1">IFERROR(__xludf.DUMMYFUNCTION("""COMPUTED_VALUE"""),"")</f>
        <v/>
      </c>
      <c r="B1754" t="str">
        <f ca="1">IFERROR(__xludf.DUMMYFUNCTION("""COMPUTED_VALUE"""),"")</f>
        <v/>
      </c>
    </row>
    <row r="1755" spans="1:2" ht="15" customHeight="1">
      <c r="A1755" t="str">
        <f ca="1">IFERROR(__xludf.DUMMYFUNCTION("""COMPUTED_VALUE"""),"")</f>
        <v/>
      </c>
      <c r="B1755" t="str">
        <f ca="1">IFERROR(__xludf.DUMMYFUNCTION("""COMPUTED_VALUE"""),"")</f>
        <v/>
      </c>
    </row>
    <row r="1756" spans="1:2" ht="15" customHeight="1">
      <c r="A1756" t="str">
        <f ca="1">IFERROR(__xludf.DUMMYFUNCTION("""COMPUTED_VALUE"""),"")</f>
        <v/>
      </c>
      <c r="B1756" t="str">
        <f ca="1">IFERROR(__xludf.DUMMYFUNCTION("""COMPUTED_VALUE"""),"")</f>
        <v/>
      </c>
    </row>
    <row r="1757" spans="1:2" ht="15" customHeight="1">
      <c r="A1757" t="str">
        <f ca="1">IFERROR(__xludf.DUMMYFUNCTION("""COMPUTED_VALUE"""),"")</f>
        <v/>
      </c>
      <c r="B1757" t="str">
        <f ca="1">IFERROR(__xludf.DUMMYFUNCTION("""COMPUTED_VALUE"""),"")</f>
        <v/>
      </c>
    </row>
    <row r="1758" spans="1:2" ht="15" customHeight="1">
      <c r="A1758" t="str">
        <f ca="1">IFERROR(__xludf.DUMMYFUNCTION("""COMPUTED_VALUE"""),"")</f>
        <v/>
      </c>
      <c r="B1758" t="str">
        <f ca="1">IFERROR(__xludf.DUMMYFUNCTION("""COMPUTED_VALUE"""),"")</f>
        <v/>
      </c>
    </row>
    <row r="1759" spans="1:2" ht="15" customHeight="1">
      <c r="A1759" t="str">
        <f ca="1">IFERROR(__xludf.DUMMYFUNCTION("""COMPUTED_VALUE"""),"")</f>
        <v/>
      </c>
      <c r="B1759" t="str">
        <f ca="1">IFERROR(__xludf.DUMMYFUNCTION("""COMPUTED_VALUE"""),"")</f>
        <v/>
      </c>
    </row>
    <row r="1760" spans="1:2" ht="15" customHeight="1">
      <c r="A1760" t="str">
        <f ca="1">IFERROR(__xludf.DUMMYFUNCTION("""COMPUTED_VALUE"""),"")</f>
        <v/>
      </c>
      <c r="B1760" t="str">
        <f ca="1">IFERROR(__xludf.DUMMYFUNCTION("""COMPUTED_VALUE"""),"")</f>
        <v/>
      </c>
    </row>
    <row r="1761" spans="1:2" ht="15" customHeight="1">
      <c r="A1761" t="str">
        <f ca="1">IFERROR(__xludf.DUMMYFUNCTION("""COMPUTED_VALUE"""),"")</f>
        <v/>
      </c>
      <c r="B1761" t="str">
        <f ca="1">IFERROR(__xludf.DUMMYFUNCTION("""COMPUTED_VALUE"""),"")</f>
        <v/>
      </c>
    </row>
    <row r="1762" spans="1:2" ht="15" customHeight="1">
      <c r="A1762" t="str">
        <f ca="1">IFERROR(__xludf.DUMMYFUNCTION("""COMPUTED_VALUE"""),"")</f>
        <v/>
      </c>
      <c r="B1762" t="str">
        <f ca="1">IFERROR(__xludf.DUMMYFUNCTION("""COMPUTED_VALUE"""),"")</f>
        <v/>
      </c>
    </row>
    <row r="1763" spans="1:2" ht="15" customHeight="1">
      <c r="A1763" t="str">
        <f ca="1">IFERROR(__xludf.DUMMYFUNCTION("""COMPUTED_VALUE"""),"")</f>
        <v/>
      </c>
      <c r="B1763" t="str">
        <f ca="1">IFERROR(__xludf.DUMMYFUNCTION("""COMPUTED_VALUE"""),"")</f>
        <v/>
      </c>
    </row>
    <row r="1764" spans="1:2" ht="15" customHeight="1">
      <c r="A1764" t="str">
        <f ca="1">IFERROR(__xludf.DUMMYFUNCTION("""COMPUTED_VALUE"""),"")</f>
        <v/>
      </c>
      <c r="B1764" t="str">
        <f ca="1">IFERROR(__xludf.DUMMYFUNCTION("""COMPUTED_VALUE"""),"")</f>
        <v/>
      </c>
    </row>
    <row r="1765" spans="1:2" ht="15" customHeight="1">
      <c r="A1765" t="str">
        <f ca="1">IFERROR(__xludf.DUMMYFUNCTION("""COMPUTED_VALUE"""),"")</f>
        <v/>
      </c>
      <c r="B1765" t="str">
        <f ca="1">IFERROR(__xludf.DUMMYFUNCTION("""COMPUTED_VALUE"""),"")</f>
        <v/>
      </c>
    </row>
    <row r="1766" spans="1:2" ht="15" customHeight="1">
      <c r="A1766" t="str">
        <f ca="1">IFERROR(__xludf.DUMMYFUNCTION("""COMPUTED_VALUE"""),"")</f>
        <v/>
      </c>
      <c r="B1766" t="str">
        <f ca="1">IFERROR(__xludf.DUMMYFUNCTION("""COMPUTED_VALUE"""),"")</f>
        <v/>
      </c>
    </row>
    <row r="1767" spans="1:2" ht="15" customHeight="1">
      <c r="A1767" t="str">
        <f ca="1">IFERROR(__xludf.DUMMYFUNCTION("""COMPUTED_VALUE"""),"")</f>
        <v/>
      </c>
      <c r="B1767" t="str">
        <f ca="1">IFERROR(__xludf.DUMMYFUNCTION("""COMPUTED_VALUE"""),"")</f>
        <v/>
      </c>
    </row>
    <row r="1768" spans="1:2" ht="15" customHeight="1">
      <c r="A1768" t="str">
        <f ca="1">IFERROR(__xludf.DUMMYFUNCTION("""COMPUTED_VALUE"""),"")</f>
        <v/>
      </c>
      <c r="B1768" t="str">
        <f ca="1">IFERROR(__xludf.DUMMYFUNCTION("""COMPUTED_VALUE"""),"")</f>
        <v/>
      </c>
    </row>
    <row r="1769" spans="1:2" ht="15" customHeight="1">
      <c r="A1769" t="str">
        <f ca="1">IFERROR(__xludf.DUMMYFUNCTION("""COMPUTED_VALUE"""),"")</f>
        <v/>
      </c>
      <c r="B1769" t="str">
        <f ca="1">IFERROR(__xludf.DUMMYFUNCTION("""COMPUTED_VALUE"""),"")</f>
        <v/>
      </c>
    </row>
    <row r="1770" spans="1:2" ht="15" customHeight="1">
      <c r="A1770" t="str">
        <f ca="1">IFERROR(__xludf.DUMMYFUNCTION("""COMPUTED_VALUE"""),"")</f>
        <v/>
      </c>
      <c r="B1770" t="str">
        <f ca="1">IFERROR(__xludf.DUMMYFUNCTION("""COMPUTED_VALUE"""),"")</f>
        <v/>
      </c>
    </row>
    <row r="1771" spans="1:2" ht="15" customHeight="1">
      <c r="A1771" t="str">
        <f ca="1">IFERROR(__xludf.DUMMYFUNCTION("""COMPUTED_VALUE"""),"")</f>
        <v/>
      </c>
      <c r="B1771" t="str">
        <f ca="1">IFERROR(__xludf.DUMMYFUNCTION("""COMPUTED_VALUE"""),"")</f>
        <v/>
      </c>
    </row>
    <row r="1772" spans="1:2" ht="15" customHeight="1">
      <c r="A1772" t="str">
        <f ca="1">IFERROR(__xludf.DUMMYFUNCTION("""COMPUTED_VALUE"""),"")</f>
        <v/>
      </c>
      <c r="B1772" t="str">
        <f ca="1">IFERROR(__xludf.DUMMYFUNCTION("""COMPUTED_VALUE"""),"")</f>
        <v/>
      </c>
    </row>
    <row r="1773" spans="1:2" ht="15" customHeight="1">
      <c r="A1773" t="str">
        <f ca="1">IFERROR(__xludf.DUMMYFUNCTION("""COMPUTED_VALUE"""),"")</f>
        <v/>
      </c>
      <c r="B1773" t="str">
        <f ca="1">IFERROR(__xludf.DUMMYFUNCTION("""COMPUTED_VALUE"""),"")</f>
        <v/>
      </c>
    </row>
    <row r="1774" spans="1:2" ht="15" customHeight="1">
      <c r="A1774" t="str">
        <f ca="1">IFERROR(__xludf.DUMMYFUNCTION("""COMPUTED_VALUE"""),"")</f>
        <v/>
      </c>
      <c r="B1774" t="str">
        <f ca="1">IFERROR(__xludf.DUMMYFUNCTION("""COMPUTED_VALUE"""),"")</f>
        <v/>
      </c>
    </row>
    <row r="1775" spans="1:2" ht="15" customHeight="1">
      <c r="A1775" t="str">
        <f ca="1">IFERROR(__xludf.DUMMYFUNCTION("""COMPUTED_VALUE"""),"")</f>
        <v/>
      </c>
      <c r="B1775" t="str">
        <f ca="1">IFERROR(__xludf.DUMMYFUNCTION("""COMPUTED_VALUE"""),"")</f>
        <v/>
      </c>
    </row>
    <row r="1776" spans="1:2" ht="15" customHeight="1">
      <c r="A1776" t="str">
        <f ca="1">IFERROR(__xludf.DUMMYFUNCTION("""COMPUTED_VALUE"""),"")</f>
        <v/>
      </c>
      <c r="B1776" t="str">
        <f ca="1">IFERROR(__xludf.DUMMYFUNCTION("""COMPUTED_VALUE"""),"")</f>
        <v/>
      </c>
    </row>
    <row r="1777" spans="1:2" ht="15" customHeight="1">
      <c r="A1777" t="str">
        <f ca="1">IFERROR(__xludf.DUMMYFUNCTION("""COMPUTED_VALUE"""),"")</f>
        <v/>
      </c>
      <c r="B1777" t="str">
        <f ca="1">IFERROR(__xludf.DUMMYFUNCTION("""COMPUTED_VALUE"""),"")</f>
        <v/>
      </c>
    </row>
    <row r="1778" spans="1:2" ht="15" customHeight="1">
      <c r="A1778" t="str">
        <f ca="1">IFERROR(__xludf.DUMMYFUNCTION("""COMPUTED_VALUE"""),"")</f>
        <v/>
      </c>
      <c r="B1778" t="str">
        <f ca="1">IFERROR(__xludf.DUMMYFUNCTION("""COMPUTED_VALUE"""),"")</f>
        <v/>
      </c>
    </row>
    <row r="1779" spans="1:2" ht="15" customHeight="1">
      <c r="A1779" t="str">
        <f ca="1">IFERROR(__xludf.DUMMYFUNCTION("""COMPUTED_VALUE"""),"")</f>
        <v/>
      </c>
      <c r="B1779" t="str">
        <f ca="1">IFERROR(__xludf.DUMMYFUNCTION("""COMPUTED_VALUE"""),"")</f>
        <v/>
      </c>
    </row>
    <row r="1780" spans="1:2" ht="15" customHeight="1">
      <c r="A1780" t="str">
        <f ca="1">IFERROR(__xludf.DUMMYFUNCTION("""COMPUTED_VALUE"""),"")</f>
        <v/>
      </c>
      <c r="B1780" t="str">
        <f ca="1">IFERROR(__xludf.DUMMYFUNCTION("""COMPUTED_VALUE"""),"")</f>
        <v/>
      </c>
    </row>
    <row r="1781" spans="1:2" ht="15" customHeight="1">
      <c r="A1781" t="str">
        <f ca="1">IFERROR(__xludf.DUMMYFUNCTION("""COMPUTED_VALUE"""),"")</f>
        <v/>
      </c>
      <c r="B1781" t="str">
        <f ca="1">IFERROR(__xludf.DUMMYFUNCTION("""COMPUTED_VALUE"""),"")</f>
        <v/>
      </c>
    </row>
    <row r="1782" spans="1:2" ht="15" customHeight="1">
      <c r="A1782" t="str">
        <f ca="1">IFERROR(__xludf.DUMMYFUNCTION("""COMPUTED_VALUE"""),"")</f>
        <v/>
      </c>
      <c r="B1782" t="str">
        <f ca="1">IFERROR(__xludf.DUMMYFUNCTION("""COMPUTED_VALUE"""),"")</f>
        <v/>
      </c>
    </row>
    <row r="1783" spans="1:2" ht="15" customHeight="1">
      <c r="A1783" t="str">
        <f ca="1">IFERROR(__xludf.DUMMYFUNCTION("""COMPUTED_VALUE"""),"")</f>
        <v/>
      </c>
      <c r="B1783" t="str">
        <f ca="1">IFERROR(__xludf.DUMMYFUNCTION("""COMPUTED_VALUE"""),"")</f>
        <v/>
      </c>
    </row>
    <row r="1784" spans="1:2" ht="15" customHeight="1">
      <c r="A1784" t="str">
        <f ca="1">IFERROR(__xludf.DUMMYFUNCTION("""COMPUTED_VALUE"""),"")</f>
        <v/>
      </c>
      <c r="B1784" t="str">
        <f ca="1">IFERROR(__xludf.DUMMYFUNCTION("""COMPUTED_VALUE"""),"")</f>
        <v/>
      </c>
    </row>
    <row r="1785" spans="1:2" ht="15" customHeight="1">
      <c r="A1785" t="str">
        <f ca="1">IFERROR(__xludf.DUMMYFUNCTION("""COMPUTED_VALUE"""),"")</f>
        <v/>
      </c>
      <c r="B1785" t="str">
        <f ca="1">IFERROR(__xludf.DUMMYFUNCTION("""COMPUTED_VALUE"""),"")</f>
        <v/>
      </c>
    </row>
    <row r="1786" spans="1:2" ht="15" customHeight="1">
      <c r="A1786" t="str">
        <f ca="1">IFERROR(__xludf.DUMMYFUNCTION("""COMPUTED_VALUE"""),"")</f>
        <v/>
      </c>
      <c r="B1786" t="str">
        <f ca="1">IFERROR(__xludf.DUMMYFUNCTION("""COMPUTED_VALUE"""),"")</f>
        <v/>
      </c>
    </row>
    <row r="1787" spans="1:2" ht="15" customHeight="1">
      <c r="A1787" t="str">
        <f ca="1">IFERROR(__xludf.DUMMYFUNCTION("""COMPUTED_VALUE"""),"")</f>
        <v/>
      </c>
      <c r="B1787" t="str">
        <f ca="1">IFERROR(__xludf.DUMMYFUNCTION("""COMPUTED_VALUE"""),"")</f>
        <v/>
      </c>
    </row>
    <row r="1788" spans="1:2" ht="15" customHeight="1">
      <c r="A1788" t="str">
        <f ca="1">IFERROR(__xludf.DUMMYFUNCTION("""COMPUTED_VALUE"""),"")</f>
        <v/>
      </c>
      <c r="B1788" t="str">
        <f ca="1">IFERROR(__xludf.DUMMYFUNCTION("""COMPUTED_VALUE"""),"")</f>
        <v/>
      </c>
    </row>
    <row r="1789" spans="1:2" ht="15" customHeight="1">
      <c r="A1789" t="str">
        <f ca="1">IFERROR(__xludf.DUMMYFUNCTION("""COMPUTED_VALUE"""),"")</f>
        <v/>
      </c>
      <c r="B1789" t="str">
        <f ca="1">IFERROR(__xludf.DUMMYFUNCTION("""COMPUTED_VALUE"""),"")</f>
        <v/>
      </c>
    </row>
    <row r="1790" spans="1:2" ht="15" customHeight="1">
      <c r="A1790" t="str">
        <f ca="1">IFERROR(__xludf.DUMMYFUNCTION("""COMPUTED_VALUE"""),"")</f>
        <v/>
      </c>
      <c r="B1790" t="str">
        <f ca="1">IFERROR(__xludf.DUMMYFUNCTION("""COMPUTED_VALUE"""),"")</f>
        <v/>
      </c>
    </row>
    <row r="1791" spans="1:2" ht="15" customHeight="1">
      <c r="A1791" t="str">
        <f ca="1">IFERROR(__xludf.DUMMYFUNCTION("""COMPUTED_VALUE"""),"")</f>
        <v/>
      </c>
      <c r="B1791" t="str">
        <f ca="1">IFERROR(__xludf.DUMMYFUNCTION("""COMPUTED_VALUE"""),"")</f>
        <v/>
      </c>
    </row>
    <row r="1792" spans="1:2" ht="15" customHeight="1">
      <c r="A1792" t="str">
        <f ca="1">IFERROR(__xludf.DUMMYFUNCTION("""COMPUTED_VALUE"""),"")</f>
        <v/>
      </c>
      <c r="B1792" t="str">
        <f ca="1">IFERROR(__xludf.DUMMYFUNCTION("""COMPUTED_VALUE"""),"")</f>
        <v/>
      </c>
    </row>
    <row r="1793" spans="1:2" ht="15" customHeight="1">
      <c r="A1793" t="str">
        <f ca="1">IFERROR(__xludf.DUMMYFUNCTION("""COMPUTED_VALUE"""),"")</f>
        <v/>
      </c>
      <c r="B1793" t="str">
        <f ca="1">IFERROR(__xludf.DUMMYFUNCTION("""COMPUTED_VALUE"""),"")</f>
        <v/>
      </c>
    </row>
    <row r="1794" spans="1:2" ht="15" customHeight="1">
      <c r="A1794" t="str">
        <f ca="1">IFERROR(__xludf.DUMMYFUNCTION("""COMPUTED_VALUE"""),"")</f>
        <v/>
      </c>
      <c r="B1794" t="str">
        <f ca="1">IFERROR(__xludf.DUMMYFUNCTION("""COMPUTED_VALUE"""),"")</f>
        <v/>
      </c>
    </row>
    <row r="1795" spans="1:2" ht="15" customHeight="1">
      <c r="A1795" t="str">
        <f ca="1">IFERROR(__xludf.DUMMYFUNCTION("""COMPUTED_VALUE"""),"")</f>
        <v/>
      </c>
      <c r="B1795" t="str">
        <f ca="1">IFERROR(__xludf.DUMMYFUNCTION("""COMPUTED_VALUE"""),"")</f>
        <v/>
      </c>
    </row>
    <row r="1796" spans="1:2" ht="15" customHeight="1">
      <c r="A1796" t="str">
        <f ca="1">IFERROR(__xludf.DUMMYFUNCTION("""COMPUTED_VALUE"""),"")</f>
        <v/>
      </c>
      <c r="B1796" t="str">
        <f ca="1">IFERROR(__xludf.DUMMYFUNCTION("""COMPUTED_VALUE"""),"")</f>
        <v/>
      </c>
    </row>
    <row r="1797" spans="1:2" ht="15" customHeight="1">
      <c r="A1797" t="str">
        <f ca="1">IFERROR(__xludf.DUMMYFUNCTION("""COMPUTED_VALUE"""),"")</f>
        <v/>
      </c>
      <c r="B1797" t="str">
        <f ca="1">IFERROR(__xludf.DUMMYFUNCTION("""COMPUTED_VALUE"""),"")</f>
        <v/>
      </c>
    </row>
    <row r="1798" spans="1:2" ht="15" customHeight="1">
      <c r="A1798" t="str">
        <f ca="1">IFERROR(__xludf.DUMMYFUNCTION("""COMPUTED_VALUE"""),"")</f>
        <v/>
      </c>
      <c r="B1798" t="str">
        <f ca="1">IFERROR(__xludf.DUMMYFUNCTION("""COMPUTED_VALUE"""),"")</f>
        <v/>
      </c>
    </row>
    <row r="1799" spans="1:2" ht="15" customHeight="1">
      <c r="A1799" t="str">
        <f ca="1">IFERROR(__xludf.DUMMYFUNCTION("""COMPUTED_VALUE"""),"")</f>
        <v/>
      </c>
      <c r="B1799" t="str">
        <f ca="1">IFERROR(__xludf.DUMMYFUNCTION("""COMPUTED_VALUE"""),"")</f>
        <v/>
      </c>
    </row>
    <row r="1800" spans="1:2" ht="15" customHeight="1">
      <c r="A1800" t="str">
        <f ca="1">IFERROR(__xludf.DUMMYFUNCTION("""COMPUTED_VALUE"""),"")</f>
        <v/>
      </c>
      <c r="B1800" t="str">
        <f ca="1">IFERROR(__xludf.DUMMYFUNCTION("""COMPUTED_VALUE"""),"")</f>
        <v/>
      </c>
    </row>
    <row r="1801" spans="1:2" ht="15" customHeight="1">
      <c r="A1801" t="str">
        <f ca="1">IFERROR(__xludf.DUMMYFUNCTION("""COMPUTED_VALUE"""),"")</f>
        <v/>
      </c>
      <c r="B1801" t="str">
        <f ca="1">IFERROR(__xludf.DUMMYFUNCTION("""COMPUTED_VALUE"""),"")</f>
        <v/>
      </c>
    </row>
    <row r="1802" spans="1:2" ht="15" customHeight="1">
      <c r="A1802" t="str">
        <f ca="1">IFERROR(__xludf.DUMMYFUNCTION("""COMPUTED_VALUE"""),"")</f>
        <v/>
      </c>
      <c r="B1802" t="str">
        <f ca="1">IFERROR(__xludf.DUMMYFUNCTION("""COMPUTED_VALUE"""),"")</f>
        <v/>
      </c>
    </row>
    <row r="1803" spans="1:2" ht="15" customHeight="1">
      <c r="A1803" t="str">
        <f ca="1">IFERROR(__xludf.DUMMYFUNCTION("""COMPUTED_VALUE"""),"")</f>
        <v/>
      </c>
      <c r="B1803" t="str">
        <f ca="1">IFERROR(__xludf.DUMMYFUNCTION("""COMPUTED_VALUE"""),"")</f>
        <v/>
      </c>
    </row>
    <row r="1804" spans="1:2" ht="15" customHeight="1">
      <c r="A1804" t="str">
        <f ca="1">IFERROR(__xludf.DUMMYFUNCTION("""COMPUTED_VALUE"""),"")</f>
        <v/>
      </c>
      <c r="B1804" t="str">
        <f ca="1">IFERROR(__xludf.DUMMYFUNCTION("""COMPUTED_VALUE"""),"")</f>
        <v/>
      </c>
    </row>
    <row r="1805" spans="1:2" ht="15" customHeight="1">
      <c r="A1805" t="str">
        <f ca="1">IFERROR(__xludf.DUMMYFUNCTION("""COMPUTED_VALUE"""),"")</f>
        <v/>
      </c>
      <c r="B1805" t="str">
        <f ca="1">IFERROR(__xludf.DUMMYFUNCTION("""COMPUTED_VALUE"""),"")</f>
        <v/>
      </c>
    </row>
    <row r="1806" spans="1:2" ht="15" customHeight="1">
      <c r="A1806" t="str">
        <f ca="1">IFERROR(__xludf.DUMMYFUNCTION("""COMPUTED_VALUE"""),"")</f>
        <v/>
      </c>
      <c r="B1806" t="str">
        <f ca="1">IFERROR(__xludf.DUMMYFUNCTION("""COMPUTED_VALUE"""),"")</f>
        <v/>
      </c>
    </row>
    <row r="1807" spans="1:2" ht="15" customHeight="1">
      <c r="A1807" t="str">
        <f ca="1">IFERROR(__xludf.DUMMYFUNCTION("""COMPUTED_VALUE"""),"")</f>
        <v/>
      </c>
      <c r="B1807" t="str">
        <f ca="1">IFERROR(__xludf.DUMMYFUNCTION("""COMPUTED_VALUE"""),"")</f>
        <v/>
      </c>
    </row>
    <row r="1808" spans="1:2" ht="15" customHeight="1">
      <c r="A1808" t="str">
        <f ca="1">IFERROR(__xludf.DUMMYFUNCTION("""COMPUTED_VALUE"""),"")</f>
        <v/>
      </c>
      <c r="B1808" t="str">
        <f ca="1">IFERROR(__xludf.DUMMYFUNCTION("""COMPUTED_VALUE"""),"")</f>
        <v/>
      </c>
    </row>
    <row r="1809" spans="1:2" ht="15" customHeight="1">
      <c r="A1809" t="str">
        <f ca="1">IFERROR(__xludf.DUMMYFUNCTION("""COMPUTED_VALUE"""),"")</f>
        <v/>
      </c>
      <c r="B1809" t="str">
        <f ca="1">IFERROR(__xludf.DUMMYFUNCTION("""COMPUTED_VALUE"""),"")</f>
        <v/>
      </c>
    </row>
    <row r="1810" spans="1:2" ht="15" customHeight="1">
      <c r="A1810" t="str">
        <f ca="1">IFERROR(__xludf.DUMMYFUNCTION("""COMPUTED_VALUE"""),"")</f>
        <v/>
      </c>
      <c r="B1810" t="str">
        <f ca="1">IFERROR(__xludf.DUMMYFUNCTION("""COMPUTED_VALUE"""),"")</f>
        <v/>
      </c>
    </row>
    <row r="1811" spans="1:2" ht="15" customHeight="1">
      <c r="A1811" t="str">
        <f ca="1">IFERROR(__xludf.DUMMYFUNCTION("""COMPUTED_VALUE"""),"")</f>
        <v/>
      </c>
      <c r="B1811" t="str">
        <f ca="1">IFERROR(__xludf.DUMMYFUNCTION("""COMPUTED_VALUE"""),"")</f>
        <v/>
      </c>
    </row>
    <row r="1812" spans="1:2" ht="15" customHeight="1">
      <c r="A1812" t="str">
        <f ca="1">IFERROR(__xludf.DUMMYFUNCTION("""COMPUTED_VALUE"""),"")</f>
        <v/>
      </c>
      <c r="B1812" t="str">
        <f ca="1">IFERROR(__xludf.DUMMYFUNCTION("""COMPUTED_VALUE"""),"")</f>
        <v/>
      </c>
    </row>
    <row r="1813" spans="1:2" ht="15" customHeight="1">
      <c r="A1813" t="str">
        <f ca="1">IFERROR(__xludf.DUMMYFUNCTION("""COMPUTED_VALUE"""),"")</f>
        <v/>
      </c>
      <c r="B1813" t="str">
        <f ca="1">IFERROR(__xludf.DUMMYFUNCTION("""COMPUTED_VALUE"""),"")</f>
        <v/>
      </c>
    </row>
    <row r="1814" spans="1:2" ht="15" customHeight="1">
      <c r="A1814" t="str">
        <f ca="1">IFERROR(__xludf.DUMMYFUNCTION("""COMPUTED_VALUE"""),"")</f>
        <v/>
      </c>
      <c r="B1814" t="str">
        <f ca="1">IFERROR(__xludf.DUMMYFUNCTION("""COMPUTED_VALUE"""),"")</f>
        <v/>
      </c>
    </row>
    <row r="1815" spans="1:2" ht="15" customHeight="1">
      <c r="A1815" t="str">
        <f ca="1">IFERROR(__xludf.DUMMYFUNCTION("""COMPUTED_VALUE"""),"")</f>
        <v/>
      </c>
      <c r="B1815" t="str">
        <f ca="1">IFERROR(__xludf.DUMMYFUNCTION("""COMPUTED_VALUE"""),"")</f>
        <v/>
      </c>
    </row>
    <row r="1816" spans="1:2" ht="15" customHeight="1">
      <c r="A1816" t="str">
        <f ca="1">IFERROR(__xludf.DUMMYFUNCTION("""COMPUTED_VALUE"""),"")</f>
        <v/>
      </c>
      <c r="B1816" t="str">
        <f ca="1">IFERROR(__xludf.DUMMYFUNCTION("""COMPUTED_VALUE"""),"")</f>
        <v/>
      </c>
    </row>
    <row r="1817" spans="1:2" ht="15" customHeight="1">
      <c r="A1817" t="str">
        <f ca="1">IFERROR(__xludf.DUMMYFUNCTION("""COMPUTED_VALUE"""),"")</f>
        <v/>
      </c>
      <c r="B1817" t="str">
        <f ca="1">IFERROR(__xludf.DUMMYFUNCTION("""COMPUTED_VALUE"""),"")</f>
        <v/>
      </c>
    </row>
    <row r="1818" spans="1:2" ht="15" customHeight="1">
      <c r="A1818" t="str">
        <f ca="1">IFERROR(__xludf.DUMMYFUNCTION("""COMPUTED_VALUE"""),"")</f>
        <v/>
      </c>
      <c r="B1818" t="str">
        <f ca="1">IFERROR(__xludf.DUMMYFUNCTION("""COMPUTED_VALUE"""),"")</f>
        <v/>
      </c>
    </row>
    <row r="1819" spans="1:2" ht="15" customHeight="1">
      <c r="A1819" t="str">
        <f ca="1">IFERROR(__xludf.DUMMYFUNCTION("""COMPUTED_VALUE"""),"")</f>
        <v/>
      </c>
      <c r="B1819" t="str">
        <f ca="1">IFERROR(__xludf.DUMMYFUNCTION("""COMPUTED_VALUE"""),"")</f>
        <v/>
      </c>
    </row>
    <row r="1820" spans="1:2" ht="15" customHeight="1">
      <c r="A1820" t="str">
        <f ca="1">IFERROR(__xludf.DUMMYFUNCTION("""COMPUTED_VALUE"""),"")</f>
        <v/>
      </c>
      <c r="B1820" t="str">
        <f ca="1">IFERROR(__xludf.DUMMYFUNCTION("""COMPUTED_VALUE"""),"")</f>
        <v/>
      </c>
    </row>
    <row r="1821" spans="1:2" ht="15" customHeight="1">
      <c r="A1821" t="str">
        <f ca="1">IFERROR(__xludf.DUMMYFUNCTION("""COMPUTED_VALUE"""),"")</f>
        <v/>
      </c>
      <c r="B1821" t="str">
        <f ca="1">IFERROR(__xludf.DUMMYFUNCTION("""COMPUTED_VALUE"""),"")</f>
        <v/>
      </c>
    </row>
    <row r="1822" spans="1:2" ht="15" customHeight="1">
      <c r="A1822" t="str">
        <f ca="1">IFERROR(__xludf.DUMMYFUNCTION("""COMPUTED_VALUE"""),"")</f>
        <v/>
      </c>
      <c r="B1822" t="str">
        <f ca="1">IFERROR(__xludf.DUMMYFUNCTION("""COMPUTED_VALUE"""),"")</f>
        <v/>
      </c>
    </row>
    <row r="1823" spans="1:2" ht="15" customHeight="1">
      <c r="A1823" t="str">
        <f ca="1">IFERROR(__xludf.DUMMYFUNCTION("""COMPUTED_VALUE"""),"")</f>
        <v/>
      </c>
      <c r="B1823" t="str">
        <f ca="1">IFERROR(__xludf.DUMMYFUNCTION("""COMPUTED_VALUE"""),"")</f>
        <v/>
      </c>
    </row>
    <row r="1824" spans="1:2" ht="15" customHeight="1">
      <c r="A1824" t="str">
        <f ca="1">IFERROR(__xludf.DUMMYFUNCTION("""COMPUTED_VALUE"""),"")</f>
        <v/>
      </c>
      <c r="B1824" t="str">
        <f ca="1">IFERROR(__xludf.DUMMYFUNCTION("""COMPUTED_VALUE"""),"")</f>
        <v/>
      </c>
    </row>
    <row r="1825" spans="1:2" ht="15" customHeight="1">
      <c r="A1825" t="str">
        <f ca="1">IFERROR(__xludf.DUMMYFUNCTION("""COMPUTED_VALUE"""),"")</f>
        <v/>
      </c>
      <c r="B1825" t="str">
        <f ca="1">IFERROR(__xludf.DUMMYFUNCTION("""COMPUTED_VALUE"""),"")</f>
        <v/>
      </c>
    </row>
    <row r="1826" spans="1:2" ht="15" customHeight="1">
      <c r="A1826" t="str">
        <f ca="1">IFERROR(__xludf.DUMMYFUNCTION("""COMPUTED_VALUE"""),"")</f>
        <v/>
      </c>
      <c r="B1826" t="str">
        <f ca="1">IFERROR(__xludf.DUMMYFUNCTION("""COMPUTED_VALUE"""),"")</f>
        <v/>
      </c>
    </row>
    <row r="1827" spans="1:2" ht="15" customHeight="1">
      <c r="A1827" t="str">
        <f ca="1">IFERROR(__xludf.DUMMYFUNCTION("""COMPUTED_VALUE"""),"")</f>
        <v/>
      </c>
      <c r="B1827" t="str">
        <f ca="1">IFERROR(__xludf.DUMMYFUNCTION("""COMPUTED_VALUE"""),"")</f>
        <v/>
      </c>
    </row>
    <row r="1828" spans="1:2" ht="15" customHeight="1">
      <c r="A1828" t="str">
        <f ca="1">IFERROR(__xludf.DUMMYFUNCTION("""COMPUTED_VALUE"""),"")</f>
        <v/>
      </c>
      <c r="B1828" t="str">
        <f ca="1">IFERROR(__xludf.DUMMYFUNCTION("""COMPUTED_VALUE"""),"")</f>
        <v/>
      </c>
    </row>
    <row r="1829" spans="1:2" ht="15" customHeight="1">
      <c r="A1829" t="str">
        <f ca="1">IFERROR(__xludf.DUMMYFUNCTION("""COMPUTED_VALUE"""),"")</f>
        <v/>
      </c>
      <c r="B1829" t="str">
        <f ca="1">IFERROR(__xludf.DUMMYFUNCTION("""COMPUTED_VALUE"""),"")</f>
        <v/>
      </c>
    </row>
    <row r="1830" spans="1:2" ht="15" customHeight="1">
      <c r="A1830" t="str">
        <f ca="1">IFERROR(__xludf.DUMMYFUNCTION("""COMPUTED_VALUE"""),"")</f>
        <v/>
      </c>
      <c r="B1830" t="str">
        <f ca="1">IFERROR(__xludf.DUMMYFUNCTION("""COMPUTED_VALUE"""),"")</f>
        <v/>
      </c>
    </row>
    <row r="1831" spans="1:2" ht="15" customHeight="1">
      <c r="A1831" t="str">
        <f ca="1">IFERROR(__xludf.DUMMYFUNCTION("""COMPUTED_VALUE"""),"")</f>
        <v/>
      </c>
      <c r="B1831" t="str">
        <f ca="1">IFERROR(__xludf.DUMMYFUNCTION("""COMPUTED_VALUE"""),"")</f>
        <v/>
      </c>
    </row>
    <row r="1832" spans="1:2" ht="15" customHeight="1">
      <c r="A1832" t="str">
        <f ca="1">IFERROR(__xludf.DUMMYFUNCTION("""COMPUTED_VALUE"""),"")</f>
        <v/>
      </c>
      <c r="B1832" t="str">
        <f ca="1">IFERROR(__xludf.DUMMYFUNCTION("""COMPUTED_VALUE"""),"")</f>
        <v/>
      </c>
    </row>
    <row r="1833" spans="1:2" ht="15" customHeight="1">
      <c r="A1833" t="str">
        <f ca="1">IFERROR(__xludf.DUMMYFUNCTION("""COMPUTED_VALUE"""),"")</f>
        <v/>
      </c>
      <c r="B1833" t="str">
        <f ca="1">IFERROR(__xludf.DUMMYFUNCTION("""COMPUTED_VALUE"""),"")</f>
        <v/>
      </c>
    </row>
    <row r="1834" spans="1:2" ht="15" customHeight="1">
      <c r="A1834" t="str">
        <f ca="1">IFERROR(__xludf.DUMMYFUNCTION("""COMPUTED_VALUE"""),"")</f>
        <v/>
      </c>
      <c r="B1834" t="str">
        <f ca="1">IFERROR(__xludf.DUMMYFUNCTION("""COMPUTED_VALUE"""),"")</f>
        <v/>
      </c>
    </row>
    <row r="1835" spans="1:2" ht="15" customHeight="1">
      <c r="A1835" t="str">
        <f ca="1">IFERROR(__xludf.DUMMYFUNCTION("""COMPUTED_VALUE"""),"")</f>
        <v/>
      </c>
      <c r="B1835" t="str">
        <f ca="1">IFERROR(__xludf.DUMMYFUNCTION("""COMPUTED_VALUE"""),"")</f>
        <v/>
      </c>
    </row>
    <row r="1836" spans="1:2" ht="15" customHeight="1">
      <c r="A1836" t="str">
        <f ca="1">IFERROR(__xludf.DUMMYFUNCTION("""COMPUTED_VALUE"""),"")</f>
        <v/>
      </c>
      <c r="B1836" t="str">
        <f ca="1">IFERROR(__xludf.DUMMYFUNCTION("""COMPUTED_VALUE"""),"")</f>
        <v/>
      </c>
    </row>
    <row r="1837" spans="1:2" ht="15" customHeight="1">
      <c r="A1837" t="str">
        <f ca="1">IFERROR(__xludf.DUMMYFUNCTION("""COMPUTED_VALUE"""),"")</f>
        <v/>
      </c>
      <c r="B1837" t="str">
        <f ca="1">IFERROR(__xludf.DUMMYFUNCTION("""COMPUTED_VALUE"""),"")</f>
        <v/>
      </c>
    </row>
    <row r="1838" spans="1:2" ht="15" customHeight="1">
      <c r="A1838" t="str">
        <f ca="1">IFERROR(__xludf.DUMMYFUNCTION("""COMPUTED_VALUE"""),"")</f>
        <v/>
      </c>
      <c r="B1838" t="str">
        <f ca="1">IFERROR(__xludf.DUMMYFUNCTION("""COMPUTED_VALUE"""),"")</f>
        <v/>
      </c>
    </row>
    <row r="1839" spans="1:2" ht="15" customHeight="1">
      <c r="A1839" t="str">
        <f ca="1">IFERROR(__xludf.DUMMYFUNCTION("""COMPUTED_VALUE"""),"")</f>
        <v/>
      </c>
      <c r="B1839" t="str">
        <f ca="1">IFERROR(__xludf.DUMMYFUNCTION("""COMPUTED_VALUE"""),"")</f>
        <v/>
      </c>
    </row>
    <row r="1840" spans="1:2" ht="15" customHeight="1">
      <c r="A1840" t="str">
        <f ca="1">IFERROR(__xludf.DUMMYFUNCTION("""COMPUTED_VALUE"""),"")</f>
        <v/>
      </c>
      <c r="B1840" t="str">
        <f ca="1">IFERROR(__xludf.DUMMYFUNCTION("""COMPUTED_VALUE"""),"")</f>
        <v/>
      </c>
    </row>
    <row r="1841" spans="1:2" ht="15" customHeight="1">
      <c r="A1841" t="str">
        <f ca="1">IFERROR(__xludf.DUMMYFUNCTION("""COMPUTED_VALUE"""),"")</f>
        <v/>
      </c>
      <c r="B1841" t="str">
        <f ca="1">IFERROR(__xludf.DUMMYFUNCTION("""COMPUTED_VALUE"""),"")</f>
        <v/>
      </c>
    </row>
    <row r="1842" spans="1:2" ht="15" customHeight="1">
      <c r="A1842" t="str">
        <f ca="1">IFERROR(__xludf.DUMMYFUNCTION("""COMPUTED_VALUE"""),"")</f>
        <v/>
      </c>
      <c r="B1842" t="str">
        <f ca="1">IFERROR(__xludf.DUMMYFUNCTION("""COMPUTED_VALUE"""),"")</f>
        <v/>
      </c>
    </row>
    <row r="1843" spans="1:2" ht="15" customHeight="1">
      <c r="A1843" t="str">
        <f ca="1">IFERROR(__xludf.DUMMYFUNCTION("""COMPUTED_VALUE"""),"")</f>
        <v/>
      </c>
      <c r="B1843" t="str">
        <f ca="1">IFERROR(__xludf.DUMMYFUNCTION("""COMPUTED_VALUE"""),"")</f>
        <v/>
      </c>
    </row>
    <row r="1844" spans="1:2" ht="15" customHeight="1">
      <c r="A1844" t="str">
        <f ca="1">IFERROR(__xludf.DUMMYFUNCTION("""COMPUTED_VALUE"""),"")</f>
        <v/>
      </c>
      <c r="B1844" t="str">
        <f ca="1">IFERROR(__xludf.DUMMYFUNCTION("""COMPUTED_VALUE"""),"")</f>
        <v/>
      </c>
    </row>
    <row r="1845" spans="1:2" ht="15" customHeight="1">
      <c r="A1845" t="str">
        <f ca="1">IFERROR(__xludf.DUMMYFUNCTION("""COMPUTED_VALUE"""),"")</f>
        <v/>
      </c>
      <c r="B1845" t="str">
        <f ca="1">IFERROR(__xludf.DUMMYFUNCTION("""COMPUTED_VALUE"""),"")</f>
        <v/>
      </c>
    </row>
    <row r="1846" spans="1:2" ht="15" customHeight="1">
      <c r="A1846" t="str">
        <f ca="1">IFERROR(__xludf.DUMMYFUNCTION("""COMPUTED_VALUE"""),"")</f>
        <v/>
      </c>
      <c r="B1846" t="str">
        <f ca="1">IFERROR(__xludf.DUMMYFUNCTION("""COMPUTED_VALUE"""),"")</f>
        <v/>
      </c>
    </row>
    <row r="1847" spans="1:2" ht="15" customHeight="1">
      <c r="A1847" t="str">
        <f ca="1">IFERROR(__xludf.DUMMYFUNCTION("""COMPUTED_VALUE"""),"")</f>
        <v/>
      </c>
      <c r="B1847" t="str">
        <f ca="1">IFERROR(__xludf.DUMMYFUNCTION("""COMPUTED_VALUE"""),"")</f>
        <v/>
      </c>
    </row>
    <row r="1848" spans="1:2" ht="15" customHeight="1">
      <c r="A1848" t="str">
        <f ca="1">IFERROR(__xludf.DUMMYFUNCTION("""COMPUTED_VALUE"""),"")</f>
        <v/>
      </c>
      <c r="B1848" t="str">
        <f ca="1">IFERROR(__xludf.DUMMYFUNCTION("""COMPUTED_VALUE"""),"")</f>
        <v/>
      </c>
    </row>
    <row r="1849" spans="1:2" ht="15" customHeight="1">
      <c r="A1849" t="str">
        <f ca="1">IFERROR(__xludf.DUMMYFUNCTION("""COMPUTED_VALUE"""),"")</f>
        <v/>
      </c>
      <c r="B1849" t="str">
        <f ca="1">IFERROR(__xludf.DUMMYFUNCTION("""COMPUTED_VALUE"""),"")</f>
        <v/>
      </c>
    </row>
    <row r="1850" spans="1:2" ht="15" customHeight="1">
      <c r="A1850" t="str">
        <f ca="1">IFERROR(__xludf.DUMMYFUNCTION("""COMPUTED_VALUE"""),"")</f>
        <v/>
      </c>
      <c r="B1850" t="str">
        <f ca="1">IFERROR(__xludf.DUMMYFUNCTION("""COMPUTED_VALUE"""),"")</f>
        <v/>
      </c>
    </row>
    <row r="1851" spans="1:2" ht="15" customHeight="1">
      <c r="A1851" t="str">
        <f ca="1">IFERROR(__xludf.DUMMYFUNCTION("""COMPUTED_VALUE"""),"")</f>
        <v/>
      </c>
      <c r="B1851" t="str">
        <f ca="1">IFERROR(__xludf.DUMMYFUNCTION("""COMPUTED_VALUE"""),"")</f>
        <v/>
      </c>
    </row>
    <row r="1852" spans="1:2" ht="15" customHeight="1">
      <c r="A1852" t="str">
        <f ca="1">IFERROR(__xludf.DUMMYFUNCTION("""COMPUTED_VALUE"""),"")</f>
        <v/>
      </c>
      <c r="B1852" t="str">
        <f ca="1">IFERROR(__xludf.DUMMYFUNCTION("""COMPUTED_VALUE"""),"")</f>
        <v/>
      </c>
    </row>
    <row r="1853" spans="1:2" ht="15" customHeight="1">
      <c r="A1853" t="str">
        <f ca="1">IFERROR(__xludf.DUMMYFUNCTION("""COMPUTED_VALUE"""),"")</f>
        <v/>
      </c>
      <c r="B1853" t="str">
        <f ca="1">IFERROR(__xludf.DUMMYFUNCTION("""COMPUTED_VALUE"""),"")</f>
        <v/>
      </c>
    </row>
    <row r="1854" spans="1:2" ht="15" customHeight="1">
      <c r="A1854" t="str">
        <f ca="1">IFERROR(__xludf.DUMMYFUNCTION("""COMPUTED_VALUE"""),"")</f>
        <v/>
      </c>
      <c r="B1854" t="str">
        <f ca="1">IFERROR(__xludf.DUMMYFUNCTION("""COMPUTED_VALUE"""),"")</f>
        <v/>
      </c>
    </row>
    <row r="1855" spans="1:2" ht="15" customHeight="1">
      <c r="A1855" t="str">
        <f ca="1">IFERROR(__xludf.DUMMYFUNCTION("""COMPUTED_VALUE"""),"")</f>
        <v/>
      </c>
      <c r="B1855" t="str">
        <f ca="1">IFERROR(__xludf.DUMMYFUNCTION("""COMPUTED_VALUE"""),"")</f>
        <v/>
      </c>
    </row>
    <row r="1856" spans="1:2" ht="15" customHeight="1">
      <c r="A1856" t="str">
        <f ca="1">IFERROR(__xludf.DUMMYFUNCTION("""COMPUTED_VALUE"""),"")</f>
        <v/>
      </c>
      <c r="B1856" t="str">
        <f ca="1">IFERROR(__xludf.DUMMYFUNCTION("""COMPUTED_VALUE"""),"")</f>
        <v/>
      </c>
    </row>
    <row r="1857" spans="1:2" ht="15" customHeight="1">
      <c r="A1857" t="str">
        <f ca="1">IFERROR(__xludf.DUMMYFUNCTION("""COMPUTED_VALUE"""),"")</f>
        <v/>
      </c>
      <c r="B1857" t="str">
        <f ca="1">IFERROR(__xludf.DUMMYFUNCTION("""COMPUTED_VALUE"""),"")</f>
        <v/>
      </c>
    </row>
    <row r="1858" spans="1:2" ht="15" customHeight="1">
      <c r="A1858" t="str">
        <f ca="1">IFERROR(__xludf.DUMMYFUNCTION("""COMPUTED_VALUE"""),"")</f>
        <v/>
      </c>
      <c r="B1858" t="str">
        <f ca="1">IFERROR(__xludf.DUMMYFUNCTION("""COMPUTED_VALUE"""),"")</f>
        <v/>
      </c>
    </row>
    <row r="1859" spans="1:2" ht="15" customHeight="1">
      <c r="A1859" t="str">
        <f ca="1">IFERROR(__xludf.DUMMYFUNCTION("""COMPUTED_VALUE"""),"")</f>
        <v/>
      </c>
      <c r="B1859" t="str">
        <f ca="1">IFERROR(__xludf.DUMMYFUNCTION("""COMPUTED_VALUE"""),"")</f>
        <v/>
      </c>
    </row>
    <row r="1860" spans="1:2" ht="15" customHeight="1">
      <c r="A1860" t="str">
        <f ca="1">IFERROR(__xludf.DUMMYFUNCTION("""COMPUTED_VALUE"""),"")</f>
        <v/>
      </c>
      <c r="B1860" t="str">
        <f ca="1">IFERROR(__xludf.DUMMYFUNCTION("""COMPUTED_VALUE"""),"")</f>
        <v/>
      </c>
    </row>
    <row r="1861" spans="1:2" ht="15" customHeight="1">
      <c r="A1861" t="str">
        <f ca="1">IFERROR(__xludf.DUMMYFUNCTION("""COMPUTED_VALUE"""),"")</f>
        <v/>
      </c>
      <c r="B1861" t="str">
        <f ca="1">IFERROR(__xludf.DUMMYFUNCTION("""COMPUTED_VALUE"""),"")</f>
        <v/>
      </c>
    </row>
    <row r="1862" spans="1:2" ht="15" customHeight="1">
      <c r="A1862" t="str">
        <f ca="1">IFERROR(__xludf.DUMMYFUNCTION("""COMPUTED_VALUE"""),"")</f>
        <v/>
      </c>
      <c r="B1862" t="str">
        <f ca="1">IFERROR(__xludf.DUMMYFUNCTION("""COMPUTED_VALUE"""),"")</f>
        <v/>
      </c>
    </row>
    <row r="1863" spans="1:2" ht="15" customHeight="1">
      <c r="A1863" t="str">
        <f ca="1">IFERROR(__xludf.DUMMYFUNCTION("""COMPUTED_VALUE"""),"")</f>
        <v/>
      </c>
      <c r="B1863" t="str">
        <f ca="1">IFERROR(__xludf.DUMMYFUNCTION("""COMPUTED_VALUE"""),"")</f>
        <v/>
      </c>
    </row>
    <row r="1864" spans="1:2" ht="15" customHeight="1">
      <c r="A1864" t="str">
        <f ca="1">IFERROR(__xludf.DUMMYFUNCTION("""COMPUTED_VALUE"""),"")</f>
        <v/>
      </c>
      <c r="B1864" t="str">
        <f ca="1">IFERROR(__xludf.DUMMYFUNCTION("""COMPUTED_VALUE"""),"")</f>
        <v/>
      </c>
    </row>
    <row r="1865" spans="1:2" ht="15" customHeight="1">
      <c r="A1865" t="str">
        <f ca="1">IFERROR(__xludf.DUMMYFUNCTION("""COMPUTED_VALUE"""),"")</f>
        <v/>
      </c>
      <c r="B1865" t="str">
        <f ca="1">IFERROR(__xludf.DUMMYFUNCTION("""COMPUTED_VALUE"""),"")</f>
        <v/>
      </c>
    </row>
    <row r="1866" spans="1:2" ht="15" customHeight="1">
      <c r="A1866" t="str">
        <f ca="1">IFERROR(__xludf.DUMMYFUNCTION("""COMPUTED_VALUE"""),"")</f>
        <v/>
      </c>
      <c r="B1866" t="str">
        <f ca="1">IFERROR(__xludf.DUMMYFUNCTION("""COMPUTED_VALUE"""),"")</f>
        <v/>
      </c>
    </row>
    <row r="1867" spans="1:2" ht="15" customHeight="1">
      <c r="A1867" t="str">
        <f ca="1">IFERROR(__xludf.DUMMYFUNCTION("""COMPUTED_VALUE"""),"")</f>
        <v/>
      </c>
      <c r="B1867" t="str">
        <f ca="1">IFERROR(__xludf.DUMMYFUNCTION("""COMPUTED_VALUE"""),"")</f>
        <v/>
      </c>
    </row>
    <row r="1868" spans="1:2" ht="15" customHeight="1">
      <c r="A1868" t="str">
        <f ca="1">IFERROR(__xludf.DUMMYFUNCTION("""COMPUTED_VALUE"""),"")</f>
        <v/>
      </c>
      <c r="B1868" t="str">
        <f ca="1">IFERROR(__xludf.DUMMYFUNCTION("""COMPUTED_VALUE"""),"")</f>
        <v/>
      </c>
    </row>
    <row r="1869" spans="1:2" ht="15" customHeight="1">
      <c r="A1869" t="str">
        <f ca="1">IFERROR(__xludf.DUMMYFUNCTION("""COMPUTED_VALUE"""),"")</f>
        <v/>
      </c>
      <c r="B1869" t="str">
        <f ca="1">IFERROR(__xludf.DUMMYFUNCTION("""COMPUTED_VALUE"""),"")</f>
        <v/>
      </c>
    </row>
    <row r="1870" spans="1:2" ht="15" customHeight="1">
      <c r="A1870" t="str">
        <f ca="1">IFERROR(__xludf.DUMMYFUNCTION("""COMPUTED_VALUE"""),"")</f>
        <v/>
      </c>
      <c r="B1870" t="str">
        <f ca="1">IFERROR(__xludf.DUMMYFUNCTION("""COMPUTED_VALUE"""),"")</f>
        <v/>
      </c>
    </row>
    <row r="1871" spans="1:2" ht="15" customHeight="1">
      <c r="A1871" t="str">
        <f ca="1">IFERROR(__xludf.DUMMYFUNCTION("""COMPUTED_VALUE"""),"")</f>
        <v/>
      </c>
      <c r="B1871" t="str">
        <f ca="1">IFERROR(__xludf.DUMMYFUNCTION("""COMPUTED_VALUE"""),"")</f>
        <v/>
      </c>
    </row>
    <row r="1872" spans="1:2" ht="15" customHeight="1">
      <c r="A1872" t="str">
        <f ca="1">IFERROR(__xludf.DUMMYFUNCTION("""COMPUTED_VALUE"""),"")</f>
        <v/>
      </c>
      <c r="B1872" t="str">
        <f ca="1">IFERROR(__xludf.DUMMYFUNCTION("""COMPUTED_VALUE"""),"")</f>
        <v/>
      </c>
    </row>
    <row r="1873" spans="1:2" ht="15" customHeight="1">
      <c r="A1873" t="str">
        <f ca="1">IFERROR(__xludf.DUMMYFUNCTION("""COMPUTED_VALUE"""),"")</f>
        <v/>
      </c>
      <c r="B1873" t="str">
        <f ca="1">IFERROR(__xludf.DUMMYFUNCTION("""COMPUTED_VALUE"""),"")</f>
        <v/>
      </c>
    </row>
    <row r="1874" spans="1:2" ht="15" customHeight="1">
      <c r="A1874" t="str">
        <f ca="1">IFERROR(__xludf.DUMMYFUNCTION("""COMPUTED_VALUE"""),"")</f>
        <v/>
      </c>
      <c r="B1874" t="str">
        <f ca="1">IFERROR(__xludf.DUMMYFUNCTION("""COMPUTED_VALUE"""),"")</f>
        <v/>
      </c>
    </row>
    <row r="1875" spans="1:2" ht="15" customHeight="1">
      <c r="A1875" t="str">
        <f ca="1">IFERROR(__xludf.DUMMYFUNCTION("""COMPUTED_VALUE"""),"")</f>
        <v/>
      </c>
      <c r="B1875" t="str">
        <f ca="1">IFERROR(__xludf.DUMMYFUNCTION("""COMPUTED_VALUE"""),"")</f>
        <v/>
      </c>
    </row>
    <row r="1876" spans="1:2" ht="15" customHeight="1">
      <c r="A1876" t="str">
        <f ca="1">IFERROR(__xludf.DUMMYFUNCTION("""COMPUTED_VALUE"""),"")</f>
        <v/>
      </c>
      <c r="B1876" t="str">
        <f ca="1">IFERROR(__xludf.DUMMYFUNCTION("""COMPUTED_VALUE"""),"")</f>
        <v/>
      </c>
    </row>
    <row r="1877" spans="1:2" ht="15" customHeight="1">
      <c r="A1877" t="str">
        <f ca="1">IFERROR(__xludf.DUMMYFUNCTION("""COMPUTED_VALUE"""),"")</f>
        <v/>
      </c>
      <c r="B1877" t="str">
        <f ca="1">IFERROR(__xludf.DUMMYFUNCTION("""COMPUTED_VALUE"""),"")</f>
        <v/>
      </c>
    </row>
    <row r="1878" spans="1:2" ht="15" customHeight="1">
      <c r="A1878" t="str">
        <f ca="1">IFERROR(__xludf.DUMMYFUNCTION("""COMPUTED_VALUE"""),"")</f>
        <v/>
      </c>
      <c r="B1878" t="str">
        <f ca="1">IFERROR(__xludf.DUMMYFUNCTION("""COMPUTED_VALUE"""),"")</f>
        <v/>
      </c>
    </row>
    <row r="1879" spans="1:2" ht="15" customHeight="1">
      <c r="A1879" t="str">
        <f ca="1">IFERROR(__xludf.DUMMYFUNCTION("""COMPUTED_VALUE"""),"")</f>
        <v/>
      </c>
      <c r="B1879" t="str">
        <f ca="1">IFERROR(__xludf.DUMMYFUNCTION("""COMPUTED_VALUE"""),"")</f>
        <v/>
      </c>
    </row>
    <row r="1880" spans="1:2" ht="15" customHeight="1">
      <c r="A1880" t="str">
        <f ca="1">IFERROR(__xludf.DUMMYFUNCTION("""COMPUTED_VALUE"""),"")</f>
        <v/>
      </c>
      <c r="B1880" t="str">
        <f ca="1">IFERROR(__xludf.DUMMYFUNCTION("""COMPUTED_VALUE"""),"")</f>
        <v/>
      </c>
    </row>
    <row r="1881" spans="1:2" ht="15" customHeight="1">
      <c r="A1881" t="str">
        <f ca="1">IFERROR(__xludf.DUMMYFUNCTION("""COMPUTED_VALUE"""),"")</f>
        <v/>
      </c>
      <c r="B1881" t="str">
        <f ca="1">IFERROR(__xludf.DUMMYFUNCTION("""COMPUTED_VALUE"""),"")</f>
        <v/>
      </c>
    </row>
    <row r="1882" spans="1:2" ht="15" customHeight="1">
      <c r="A1882" t="str">
        <f ca="1">IFERROR(__xludf.DUMMYFUNCTION("""COMPUTED_VALUE"""),"")</f>
        <v/>
      </c>
      <c r="B1882" t="str">
        <f ca="1">IFERROR(__xludf.DUMMYFUNCTION("""COMPUTED_VALUE"""),"")</f>
        <v/>
      </c>
    </row>
    <row r="1883" spans="1:2" ht="15" customHeight="1">
      <c r="A1883" t="str">
        <f ca="1">IFERROR(__xludf.DUMMYFUNCTION("""COMPUTED_VALUE"""),"")</f>
        <v/>
      </c>
      <c r="B1883" t="str">
        <f ca="1">IFERROR(__xludf.DUMMYFUNCTION("""COMPUTED_VALUE"""),"")</f>
        <v/>
      </c>
    </row>
    <row r="1884" spans="1:2" ht="15" customHeight="1">
      <c r="A1884" t="str">
        <f ca="1">IFERROR(__xludf.DUMMYFUNCTION("""COMPUTED_VALUE"""),"")</f>
        <v/>
      </c>
      <c r="B1884" t="str">
        <f ca="1">IFERROR(__xludf.DUMMYFUNCTION("""COMPUTED_VALUE"""),"")</f>
        <v/>
      </c>
    </row>
    <row r="1885" spans="1:2" ht="15" customHeight="1">
      <c r="A1885" t="str">
        <f ca="1">IFERROR(__xludf.DUMMYFUNCTION("""COMPUTED_VALUE"""),"")</f>
        <v/>
      </c>
      <c r="B1885" t="str">
        <f ca="1">IFERROR(__xludf.DUMMYFUNCTION("""COMPUTED_VALUE"""),"")</f>
        <v/>
      </c>
    </row>
    <row r="1886" spans="1:2" ht="15" customHeight="1">
      <c r="A1886" t="str">
        <f ca="1">IFERROR(__xludf.DUMMYFUNCTION("""COMPUTED_VALUE"""),"")</f>
        <v/>
      </c>
      <c r="B1886" t="str">
        <f ca="1">IFERROR(__xludf.DUMMYFUNCTION("""COMPUTED_VALUE"""),"")</f>
        <v/>
      </c>
    </row>
    <row r="1887" spans="1:2" ht="15" customHeight="1">
      <c r="A1887" t="str">
        <f ca="1">IFERROR(__xludf.DUMMYFUNCTION("""COMPUTED_VALUE"""),"")</f>
        <v/>
      </c>
      <c r="B1887" t="str">
        <f ca="1">IFERROR(__xludf.DUMMYFUNCTION("""COMPUTED_VALUE"""),"")</f>
        <v/>
      </c>
    </row>
    <row r="1888" spans="1:2" ht="15" customHeight="1">
      <c r="A1888" t="str">
        <f ca="1">IFERROR(__xludf.DUMMYFUNCTION("""COMPUTED_VALUE"""),"")</f>
        <v/>
      </c>
      <c r="B1888" t="str">
        <f ca="1">IFERROR(__xludf.DUMMYFUNCTION("""COMPUTED_VALUE"""),"")</f>
        <v/>
      </c>
    </row>
    <row r="1889" spans="1:2" ht="15" customHeight="1">
      <c r="A1889" t="str">
        <f ca="1">IFERROR(__xludf.DUMMYFUNCTION("""COMPUTED_VALUE"""),"")</f>
        <v/>
      </c>
      <c r="B1889" t="str">
        <f ca="1">IFERROR(__xludf.DUMMYFUNCTION("""COMPUTED_VALUE"""),"")</f>
        <v/>
      </c>
    </row>
    <row r="1890" spans="1:2" ht="15" customHeight="1">
      <c r="A1890" t="str">
        <f ca="1">IFERROR(__xludf.DUMMYFUNCTION("""COMPUTED_VALUE"""),"")</f>
        <v/>
      </c>
      <c r="B1890" t="str">
        <f ca="1">IFERROR(__xludf.DUMMYFUNCTION("""COMPUTED_VALUE"""),"")</f>
        <v/>
      </c>
    </row>
    <row r="1891" spans="1:2" ht="15" customHeight="1">
      <c r="A1891" t="str">
        <f ca="1">IFERROR(__xludf.DUMMYFUNCTION("""COMPUTED_VALUE"""),"")</f>
        <v/>
      </c>
      <c r="B1891" t="str">
        <f ca="1">IFERROR(__xludf.DUMMYFUNCTION("""COMPUTED_VALUE"""),"")</f>
        <v/>
      </c>
    </row>
    <row r="1892" spans="1:2" ht="15" customHeight="1">
      <c r="A1892" t="str">
        <f ca="1">IFERROR(__xludf.DUMMYFUNCTION("""COMPUTED_VALUE"""),"")</f>
        <v/>
      </c>
      <c r="B1892" t="str">
        <f ca="1">IFERROR(__xludf.DUMMYFUNCTION("""COMPUTED_VALUE"""),"")</f>
        <v/>
      </c>
    </row>
    <row r="1893" spans="1:2" ht="15" customHeight="1">
      <c r="A1893" t="str">
        <f ca="1">IFERROR(__xludf.DUMMYFUNCTION("""COMPUTED_VALUE"""),"")</f>
        <v/>
      </c>
      <c r="B1893" t="str">
        <f ca="1">IFERROR(__xludf.DUMMYFUNCTION("""COMPUTED_VALUE"""),"")</f>
        <v/>
      </c>
    </row>
    <row r="1894" spans="1:2" ht="15" customHeight="1">
      <c r="A1894" t="str">
        <f ca="1">IFERROR(__xludf.DUMMYFUNCTION("""COMPUTED_VALUE"""),"")</f>
        <v/>
      </c>
      <c r="B1894" t="str">
        <f ca="1">IFERROR(__xludf.DUMMYFUNCTION("""COMPUTED_VALUE"""),"")</f>
        <v/>
      </c>
    </row>
    <row r="1895" spans="1:2" ht="15" customHeight="1">
      <c r="A1895" t="str">
        <f ca="1">IFERROR(__xludf.DUMMYFUNCTION("""COMPUTED_VALUE"""),"")</f>
        <v/>
      </c>
      <c r="B1895" t="str">
        <f ca="1">IFERROR(__xludf.DUMMYFUNCTION("""COMPUTED_VALUE"""),"")</f>
        <v/>
      </c>
    </row>
    <row r="1896" spans="1:2" ht="15" customHeight="1">
      <c r="A1896" t="str">
        <f ca="1">IFERROR(__xludf.DUMMYFUNCTION("""COMPUTED_VALUE"""),"")</f>
        <v/>
      </c>
      <c r="B1896" t="str">
        <f ca="1">IFERROR(__xludf.DUMMYFUNCTION("""COMPUTED_VALUE"""),"")</f>
        <v/>
      </c>
    </row>
    <row r="1897" spans="1:2" ht="15" customHeight="1">
      <c r="A1897" t="str">
        <f ca="1">IFERROR(__xludf.DUMMYFUNCTION("""COMPUTED_VALUE"""),"")</f>
        <v/>
      </c>
      <c r="B1897" t="str">
        <f ca="1">IFERROR(__xludf.DUMMYFUNCTION("""COMPUTED_VALUE"""),"")</f>
        <v/>
      </c>
    </row>
    <row r="1898" spans="1:2" ht="15" customHeight="1">
      <c r="A1898" t="str">
        <f ca="1">IFERROR(__xludf.DUMMYFUNCTION("""COMPUTED_VALUE"""),"")</f>
        <v/>
      </c>
      <c r="B1898" t="str">
        <f ca="1">IFERROR(__xludf.DUMMYFUNCTION("""COMPUTED_VALUE"""),"")</f>
        <v/>
      </c>
    </row>
    <row r="1899" spans="1:2" ht="15" customHeight="1">
      <c r="A1899" t="str">
        <f ca="1">IFERROR(__xludf.DUMMYFUNCTION("""COMPUTED_VALUE"""),"")</f>
        <v/>
      </c>
      <c r="B1899" t="str">
        <f ca="1">IFERROR(__xludf.DUMMYFUNCTION("""COMPUTED_VALUE"""),"")</f>
        <v/>
      </c>
    </row>
    <row r="1900" spans="1:2" ht="15" customHeight="1">
      <c r="A1900" t="str">
        <f ca="1">IFERROR(__xludf.DUMMYFUNCTION("""COMPUTED_VALUE"""),"")</f>
        <v/>
      </c>
      <c r="B1900" t="str">
        <f ca="1">IFERROR(__xludf.DUMMYFUNCTION("""COMPUTED_VALUE"""),"")</f>
        <v/>
      </c>
    </row>
    <row r="1901" spans="1:2" ht="15" customHeight="1">
      <c r="A1901" t="str">
        <f ca="1">IFERROR(__xludf.DUMMYFUNCTION("""COMPUTED_VALUE"""),"")</f>
        <v/>
      </c>
      <c r="B1901" t="str">
        <f ca="1">IFERROR(__xludf.DUMMYFUNCTION("""COMPUTED_VALUE"""),"")</f>
        <v/>
      </c>
    </row>
    <row r="1902" spans="1:2" ht="15" customHeight="1">
      <c r="A1902" t="str">
        <f ca="1">IFERROR(__xludf.DUMMYFUNCTION("""COMPUTED_VALUE"""),"")</f>
        <v/>
      </c>
      <c r="B1902" t="str">
        <f ca="1">IFERROR(__xludf.DUMMYFUNCTION("""COMPUTED_VALUE"""),"")</f>
        <v/>
      </c>
    </row>
    <row r="1903" spans="1:2" ht="15" customHeight="1">
      <c r="A1903" t="str">
        <f ca="1">IFERROR(__xludf.DUMMYFUNCTION("""COMPUTED_VALUE"""),"")</f>
        <v/>
      </c>
      <c r="B1903" t="str">
        <f ca="1">IFERROR(__xludf.DUMMYFUNCTION("""COMPUTED_VALUE"""),"")</f>
        <v/>
      </c>
    </row>
    <row r="1904" spans="1:2" ht="15" customHeight="1">
      <c r="A1904" t="str">
        <f ca="1">IFERROR(__xludf.DUMMYFUNCTION("""COMPUTED_VALUE"""),"")</f>
        <v/>
      </c>
      <c r="B1904" t="str">
        <f ca="1">IFERROR(__xludf.DUMMYFUNCTION("""COMPUTED_VALUE"""),"")</f>
        <v/>
      </c>
    </row>
    <row r="1905" spans="1:2" ht="15" customHeight="1">
      <c r="A1905" t="str">
        <f ca="1">IFERROR(__xludf.DUMMYFUNCTION("""COMPUTED_VALUE"""),"")</f>
        <v/>
      </c>
      <c r="B1905" t="str">
        <f ca="1">IFERROR(__xludf.DUMMYFUNCTION("""COMPUTED_VALUE"""),"")</f>
        <v/>
      </c>
    </row>
    <row r="1906" spans="1:2" ht="15" customHeight="1">
      <c r="A1906" t="str">
        <f ca="1">IFERROR(__xludf.DUMMYFUNCTION("""COMPUTED_VALUE"""),"")</f>
        <v/>
      </c>
      <c r="B1906" t="str">
        <f ca="1">IFERROR(__xludf.DUMMYFUNCTION("""COMPUTED_VALUE"""),"")</f>
        <v/>
      </c>
    </row>
    <row r="1907" spans="1:2" ht="15" customHeight="1">
      <c r="A1907" t="str">
        <f ca="1">IFERROR(__xludf.DUMMYFUNCTION("""COMPUTED_VALUE"""),"")</f>
        <v/>
      </c>
      <c r="B1907" t="str">
        <f ca="1">IFERROR(__xludf.DUMMYFUNCTION("""COMPUTED_VALUE"""),"")</f>
        <v/>
      </c>
    </row>
    <row r="1908" spans="1:2" ht="15" customHeight="1">
      <c r="A1908" t="str">
        <f ca="1">IFERROR(__xludf.DUMMYFUNCTION("""COMPUTED_VALUE"""),"")</f>
        <v/>
      </c>
      <c r="B1908" t="str">
        <f ca="1">IFERROR(__xludf.DUMMYFUNCTION("""COMPUTED_VALUE"""),"")</f>
        <v/>
      </c>
    </row>
    <row r="1909" spans="1:2" ht="15" customHeight="1">
      <c r="A1909" t="str">
        <f ca="1">IFERROR(__xludf.DUMMYFUNCTION("""COMPUTED_VALUE"""),"")</f>
        <v/>
      </c>
      <c r="B1909" t="str">
        <f ca="1">IFERROR(__xludf.DUMMYFUNCTION("""COMPUTED_VALUE"""),"")</f>
        <v/>
      </c>
    </row>
    <row r="1910" spans="1:2" ht="15" customHeight="1">
      <c r="A1910" t="str">
        <f ca="1">IFERROR(__xludf.DUMMYFUNCTION("""COMPUTED_VALUE"""),"")</f>
        <v/>
      </c>
      <c r="B1910" t="str">
        <f ca="1">IFERROR(__xludf.DUMMYFUNCTION("""COMPUTED_VALUE"""),"")</f>
        <v/>
      </c>
    </row>
    <row r="1911" spans="1:2" ht="15" customHeight="1">
      <c r="A1911" t="str">
        <f ca="1">IFERROR(__xludf.DUMMYFUNCTION("""COMPUTED_VALUE"""),"")</f>
        <v/>
      </c>
      <c r="B1911" t="str">
        <f ca="1">IFERROR(__xludf.DUMMYFUNCTION("""COMPUTED_VALUE"""),"")</f>
        <v/>
      </c>
    </row>
    <row r="1912" spans="1:2" ht="15" customHeight="1">
      <c r="A1912" t="str">
        <f ca="1">IFERROR(__xludf.DUMMYFUNCTION("""COMPUTED_VALUE"""),"")</f>
        <v/>
      </c>
      <c r="B1912" t="str">
        <f ca="1">IFERROR(__xludf.DUMMYFUNCTION("""COMPUTED_VALUE"""),"")</f>
        <v/>
      </c>
    </row>
    <row r="1913" spans="1:2" ht="15" customHeight="1">
      <c r="A1913" t="str">
        <f ca="1">IFERROR(__xludf.DUMMYFUNCTION("""COMPUTED_VALUE"""),"")</f>
        <v/>
      </c>
      <c r="B1913" t="str">
        <f ca="1">IFERROR(__xludf.DUMMYFUNCTION("""COMPUTED_VALUE"""),"")</f>
        <v/>
      </c>
    </row>
    <row r="1914" spans="1:2" ht="15" customHeight="1">
      <c r="A1914" t="str">
        <f ca="1">IFERROR(__xludf.DUMMYFUNCTION("""COMPUTED_VALUE"""),"")</f>
        <v/>
      </c>
      <c r="B1914" t="str">
        <f ca="1">IFERROR(__xludf.DUMMYFUNCTION("""COMPUTED_VALUE"""),"")</f>
        <v/>
      </c>
    </row>
    <row r="1915" spans="1:2" ht="15" customHeight="1">
      <c r="A1915" t="str">
        <f ca="1">IFERROR(__xludf.DUMMYFUNCTION("""COMPUTED_VALUE"""),"")</f>
        <v/>
      </c>
      <c r="B1915" t="str">
        <f ca="1">IFERROR(__xludf.DUMMYFUNCTION("""COMPUTED_VALUE"""),"")</f>
        <v/>
      </c>
    </row>
    <row r="1916" spans="1:2" ht="15" customHeight="1">
      <c r="A1916" t="str">
        <f ca="1">IFERROR(__xludf.DUMMYFUNCTION("""COMPUTED_VALUE"""),"")</f>
        <v/>
      </c>
      <c r="B1916" t="str">
        <f ca="1">IFERROR(__xludf.DUMMYFUNCTION("""COMPUTED_VALUE"""),"")</f>
        <v/>
      </c>
    </row>
    <row r="1917" spans="1:2" ht="15" customHeight="1">
      <c r="A1917" t="str">
        <f ca="1">IFERROR(__xludf.DUMMYFUNCTION("""COMPUTED_VALUE"""),"")</f>
        <v/>
      </c>
      <c r="B1917" t="str">
        <f ca="1">IFERROR(__xludf.DUMMYFUNCTION("""COMPUTED_VALUE"""),"")</f>
        <v/>
      </c>
    </row>
    <row r="1918" spans="1:2" ht="15" customHeight="1">
      <c r="A1918" t="str">
        <f ca="1">IFERROR(__xludf.DUMMYFUNCTION("""COMPUTED_VALUE"""),"")</f>
        <v/>
      </c>
      <c r="B1918" t="str">
        <f ca="1">IFERROR(__xludf.DUMMYFUNCTION("""COMPUTED_VALUE"""),"")</f>
        <v/>
      </c>
    </row>
    <row r="1919" spans="1:2" ht="15" customHeight="1">
      <c r="A1919" t="str">
        <f ca="1">IFERROR(__xludf.DUMMYFUNCTION("""COMPUTED_VALUE"""),"")</f>
        <v/>
      </c>
      <c r="B1919" t="str">
        <f ca="1">IFERROR(__xludf.DUMMYFUNCTION("""COMPUTED_VALUE"""),"")</f>
        <v/>
      </c>
    </row>
    <row r="1920" spans="1:2" ht="15" customHeight="1">
      <c r="A1920" t="str">
        <f ca="1">IFERROR(__xludf.DUMMYFUNCTION("""COMPUTED_VALUE"""),"")</f>
        <v/>
      </c>
      <c r="B1920" t="str">
        <f ca="1">IFERROR(__xludf.DUMMYFUNCTION("""COMPUTED_VALUE"""),"")</f>
        <v/>
      </c>
    </row>
    <row r="1921" spans="1:2" ht="15" customHeight="1">
      <c r="A1921" t="str">
        <f ca="1">IFERROR(__xludf.DUMMYFUNCTION("""COMPUTED_VALUE"""),"")</f>
        <v/>
      </c>
      <c r="B1921" t="str">
        <f ca="1">IFERROR(__xludf.DUMMYFUNCTION("""COMPUTED_VALUE"""),"")</f>
        <v/>
      </c>
    </row>
    <row r="1922" spans="1:2" ht="15" customHeight="1">
      <c r="A1922" t="str">
        <f ca="1">IFERROR(__xludf.DUMMYFUNCTION("""COMPUTED_VALUE"""),"")</f>
        <v/>
      </c>
      <c r="B1922" t="str">
        <f ca="1">IFERROR(__xludf.DUMMYFUNCTION("""COMPUTED_VALUE"""),"")</f>
        <v/>
      </c>
    </row>
    <row r="1923" spans="1:2" ht="15" customHeight="1">
      <c r="A1923" t="str">
        <f ca="1">IFERROR(__xludf.DUMMYFUNCTION("""COMPUTED_VALUE"""),"")</f>
        <v/>
      </c>
      <c r="B1923" t="str">
        <f ca="1">IFERROR(__xludf.DUMMYFUNCTION("""COMPUTED_VALUE"""),"")</f>
        <v/>
      </c>
    </row>
    <row r="1924" spans="1:2" ht="15" customHeight="1">
      <c r="A1924" t="str">
        <f ca="1">IFERROR(__xludf.DUMMYFUNCTION("""COMPUTED_VALUE"""),"")</f>
        <v/>
      </c>
      <c r="B1924" t="str">
        <f ca="1">IFERROR(__xludf.DUMMYFUNCTION("""COMPUTED_VALUE"""),"")</f>
        <v/>
      </c>
    </row>
    <row r="1925" spans="1:2" ht="15" customHeight="1">
      <c r="A1925" t="str">
        <f ca="1">IFERROR(__xludf.DUMMYFUNCTION("""COMPUTED_VALUE"""),"")</f>
        <v/>
      </c>
      <c r="B1925" t="str">
        <f ca="1">IFERROR(__xludf.DUMMYFUNCTION("""COMPUTED_VALUE"""),"")</f>
        <v/>
      </c>
    </row>
    <row r="1926" spans="1:2" ht="15" customHeight="1">
      <c r="A1926" t="str">
        <f ca="1">IFERROR(__xludf.DUMMYFUNCTION("""COMPUTED_VALUE"""),"")</f>
        <v/>
      </c>
      <c r="B1926" t="str">
        <f ca="1">IFERROR(__xludf.DUMMYFUNCTION("""COMPUTED_VALUE"""),"")</f>
        <v/>
      </c>
    </row>
    <row r="1927" spans="1:2" ht="15" customHeight="1">
      <c r="A1927" t="str">
        <f ca="1">IFERROR(__xludf.DUMMYFUNCTION("""COMPUTED_VALUE"""),"")</f>
        <v/>
      </c>
      <c r="B1927" t="str">
        <f ca="1">IFERROR(__xludf.DUMMYFUNCTION("""COMPUTED_VALUE"""),"")</f>
        <v/>
      </c>
    </row>
    <row r="1928" spans="1:2" ht="15" customHeight="1">
      <c r="A1928" t="str">
        <f ca="1">IFERROR(__xludf.DUMMYFUNCTION("""COMPUTED_VALUE"""),"")</f>
        <v/>
      </c>
      <c r="B1928" t="str">
        <f ca="1">IFERROR(__xludf.DUMMYFUNCTION("""COMPUTED_VALUE"""),"")</f>
        <v/>
      </c>
    </row>
    <row r="1929" spans="1:2" ht="15" customHeight="1">
      <c r="A1929" t="str">
        <f ca="1">IFERROR(__xludf.DUMMYFUNCTION("""COMPUTED_VALUE"""),"")</f>
        <v/>
      </c>
      <c r="B1929" t="str">
        <f ca="1">IFERROR(__xludf.DUMMYFUNCTION("""COMPUTED_VALUE"""),"")</f>
        <v/>
      </c>
    </row>
    <row r="1930" spans="1:2" ht="15" customHeight="1">
      <c r="A1930" t="str">
        <f ca="1">IFERROR(__xludf.DUMMYFUNCTION("""COMPUTED_VALUE"""),"")</f>
        <v/>
      </c>
      <c r="B1930" t="str">
        <f ca="1">IFERROR(__xludf.DUMMYFUNCTION("""COMPUTED_VALUE"""),"")</f>
        <v/>
      </c>
    </row>
    <row r="1931" spans="1:2" ht="15" customHeight="1">
      <c r="A1931" t="str">
        <f ca="1">IFERROR(__xludf.DUMMYFUNCTION("""COMPUTED_VALUE"""),"")</f>
        <v/>
      </c>
      <c r="B1931" t="str">
        <f ca="1">IFERROR(__xludf.DUMMYFUNCTION("""COMPUTED_VALUE"""),"")</f>
        <v/>
      </c>
    </row>
    <row r="1932" spans="1:2" ht="15" customHeight="1">
      <c r="A1932" t="str">
        <f ca="1">IFERROR(__xludf.DUMMYFUNCTION("""COMPUTED_VALUE"""),"")</f>
        <v/>
      </c>
      <c r="B1932" t="str">
        <f ca="1">IFERROR(__xludf.DUMMYFUNCTION("""COMPUTED_VALUE"""),"")</f>
        <v/>
      </c>
    </row>
    <row r="1933" spans="1:2" ht="15" customHeight="1">
      <c r="A1933" t="str">
        <f ca="1">IFERROR(__xludf.DUMMYFUNCTION("""COMPUTED_VALUE"""),"")</f>
        <v/>
      </c>
      <c r="B1933" t="str">
        <f ca="1">IFERROR(__xludf.DUMMYFUNCTION("""COMPUTED_VALUE"""),"")</f>
        <v/>
      </c>
    </row>
    <row r="1934" spans="1:2" ht="15" customHeight="1">
      <c r="A1934" t="str">
        <f ca="1">IFERROR(__xludf.DUMMYFUNCTION("""COMPUTED_VALUE"""),"")</f>
        <v/>
      </c>
      <c r="B1934" t="str">
        <f ca="1">IFERROR(__xludf.DUMMYFUNCTION("""COMPUTED_VALUE"""),"")</f>
        <v/>
      </c>
    </row>
    <row r="1935" spans="1:2" ht="15" customHeight="1">
      <c r="A1935" t="str">
        <f ca="1">IFERROR(__xludf.DUMMYFUNCTION("""COMPUTED_VALUE"""),"")</f>
        <v/>
      </c>
      <c r="B1935" t="str">
        <f ca="1">IFERROR(__xludf.DUMMYFUNCTION("""COMPUTED_VALUE"""),"")</f>
        <v/>
      </c>
    </row>
    <row r="1936" spans="1:2" ht="15" customHeight="1">
      <c r="A1936" t="str">
        <f ca="1">IFERROR(__xludf.DUMMYFUNCTION("""COMPUTED_VALUE"""),"")</f>
        <v/>
      </c>
      <c r="B1936" t="str">
        <f ca="1">IFERROR(__xludf.DUMMYFUNCTION("""COMPUTED_VALUE"""),"")</f>
        <v/>
      </c>
    </row>
    <row r="1937" spans="1:2" ht="15" customHeight="1">
      <c r="A1937" t="str">
        <f ca="1">IFERROR(__xludf.DUMMYFUNCTION("""COMPUTED_VALUE"""),"")</f>
        <v/>
      </c>
      <c r="B1937" t="str">
        <f ca="1">IFERROR(__xludf.DUMMYFUNCTION("""COMPUTED_VALUE"""),"")</f>
        <v/>
      </c>
    </row>
    <row r="1938" spans="1:2" ht="15" customHeight="1">
      <c r="A1938" t="str">
        <f ca="1">IFERROR(__xludf.DUMMYFUNCTION("""COMPUTED_VALUE"""),"")</f>
        <v/>
      </c>
      <c r="B1938" t="str">
        <f ca="1">IFERROR(__xludf.DUMMYFUNCTION("""COMPUTED_VALUE"""),"")</f>
        <v/>
      </c>
    </row>
    <row r="1939" spans="1:2" ht="15" customHeight="1">
      <c r="A1939" t="str">
        <f ca="1">IFERROR(__xludf.DUMMYFUNCTION("""COMPUTED_VALUE"""),"")</f>
        <v/>
      </c>
      <c r="B1939" t="str">
        <f ca="1">IFERROR(__xludf.DUMMYFUNCTION("""COMPUTED_VALUE"""),"")</f>
        <v/>
      </c>
    </row>
    <row r="1940" spans="1:2" ht="15" customHeight="1">
      <c r="A1940" t="str">
        <f ca="1">IFERROR(__xludf.DUMMYFUNCTION("""COMPUTED_VALUE"""),"")</f>
        <v/>
      </c>
      <c r="B1940" t="str">
        <f ca="1">IFERROR(__xludf.DUMMYFUNCTION("""COMPUTED_VALUE"""),"")</f>
        <v/>
      </c>
    </row>
    <row r="1941" spans="1:2" ht="15" customHeight="1">
      <c r="A1941" t="str">
        <f ca="1">IFERROR(__xludf.DUMMYFUNCTION("""COMPUTED_VALUE"""),"")</f>
        <v/>
      </c>
      <c r="B1941" t="str">
        <f ca="1">IFERROR(__xludf.DUMMYFUNCTION("""COMPUTED_VALUE"""),"")</f>
        <v/>
      </c>
    </row>
    <row r="1942" spans="1:2" ht="15" customHeight="1">
      <c r="A1942" t="str">
        <f ca="1">IFERROR(__xludf.DUMMYFUNCTION("""COMPUTED_VALUE"""),"")</f>
        <v/>
      </c>
      <c r="B1942" t="str">
        <f ca="1">IFERROR(__xludf.DUMMYFUNCTION("""COMPUTED_VALUE"""),"")</f>
        <v/>
      </c>
    </row>
    <row r="1943" spans="1:2" ht="15" customHeight="1">
      <c r="A1943" t="str">
        <f ca="1">IFERROR(__xludf.DUMMYFUNCTION("""COMPUTED_VALUE"""),"")</f>
        <v/>
      </c>
      <c r="B1943" t="str">
        <f ca="1">IFERROR(__xludf.DUMMYFUNCTION("""COMPUTED_VALUE"""),"")</f>
        <v/>
      </c>
    </row>
    <row r="1944" spans="1:2" ht="15" customHeight="1">
      <c r="A1944" t="str">
        <f ca="1">IFERROR(__xludf.DUMMYFUNCTION("""COMPUTED_VALUE"""),"")</f>
        <v/>
      </c>
      <c r="B1944" t="str">
        <f ca="1">IFERROR(__xludf.DUMMYFUNCTION("""COMPUTED_VALUE"""),"")</f>
        <v/>
      </c>
    </row>
    <row r="1945" spans="1:2" ht="15" customHeight="1">
      <c r="A1945" t="str">
        <f ca="1">IFERROR(__xludf.DUMMYFUNCTION("""COMPUTED_VALUE"""),"")</f>
        <v/>
      </c>
      <c r="B1945" t="str">
        <f ca="1">IFERROR(__xludf.DUMMYFUNCTION("""COMPUTED_VALUE"""),"")</f>
        <v/>
      </c>
    </row>
    <row r="1946" spans="1:2" ht="15" customHeight="1">
      <c r="A1946" t="str">
        <f ca="1">IFERROR(__xludf.DUMMYFUNCTION("""COMPUTED_VALUE"""),"")</f>
        <v/>
      </c>
      <c r="B1946" t="str">
        <f ca="1">IFERROR(__xludf.DUMMYFUNCTION("""COMPUTED_VALUE"""),"")</f>
        <v/>
      </c>
    </row>
    <row r="1947" spans="1:2" ht="15" customHeight="1">
      <c r="A1947" t="str">
        <f ca="1">IFERROR(__xludf.DUMMYFUNCTION("""COMPUTED_VALUE"""),"")</f>
        <v/>
      </c>
      <c r="B1947" t="str">
        <f ca="1">IFERROR(__xludf.DUMMYFUNCTION("""COMPUTED_VALUE"""),"")</f>
        <v/>
      </c>
    </row>
    <row r="1948" spans="1:2" ht="15" customHeight="1">
      <c r="A1948" t="str">
        <f ca="1">IFERROR(__xludf.DUMMYFUNCTION("""COMPUTED_VALUE"""),"")</f>
        <v/>
      </c>
      <c r="B1948" t="str">
        <f ca="1">IFERROR(__xludf.DUMMYFUNCTION("""COMPUTED_VALUE"""),"")</f>
        <v/>
      </c>
    </row>
    <row r="1949" spans="1:2" ht="15" customHeight="1">
      <c r="A1949" t="str">
        <f ca="1">IFERROR(__xludf.DUMMYFUNCTION("""COMPUTED_VALUE"""),"")</f>
        <v/>
      </c>
      <c r="B1949" t="str">
        <f ca="1">IFERROR(__xludf.DUMMYFUNCTION("""COMPUTED_VALUE"""),"")</f>
        <v/>
      </c>
    </row>
    <row r="1950" spans="1:2" ht="15" customHeight="1">
      <c r="A1950" t="str">
        <f ca="1">IFERROR(__xludf.DUMMYFUNCTION("""COMPUTED_VALUE"""),"")</f>
        <v/>
      </c>
      <c r="B1950" t="str">
        <f ca="1">IFERROR(__xludf.DUMMYFUNCTION("""COMPUTED_VALUE"""),"")</f>
        <v/>
      </c>
    </row>
    <row r="1951" spans="1:2" ht="15" customHeight="1">
      <c r="A1951" t="str">
        <f ca="1">IFERROR(__xludf.DUMMYFUNCTION("""COMPUTED_VALUE"""),"")</f>
        <v/>
      </c>
      <c r="B1951" t="str">
        <f ca="1">IFERROR(__xludf.DUMMYFUNCTION("""COMPUTED_VALUE"""),"")</f>
        <v/>
      </c>
    </row>
    <row r="1952" spans="1:2" ht="15" customHeight="1">
      <c r="A1952" t="str">
        <f ca="1">IFERROR(__xludf.DUMMYFUNCTION("""COMPUTED_VALUE"""),"")</f>
        <v/>
      </c>
      <c r="B1952" t="str">
        <f ca="1">IFERROR(__xludf.DUMMYFUNCTION("""COMPUTED_VALUE"""),"")</f>
        <v/>
      </c>
    </row>
    <row r="1953" spans="1:2" ht="15" customHeight="1">
      <c r="A1953" t="str">
        <f ca="1">IFERROR(__xludf.DUMMYFUNCTION("""COMPUTED_VALUE"""),"")</f>
        <v/>
      </c>
      <c r="B1953" t="str">
        <f ca="1">IFERROR(__xludf.DUMMYFUNCTION("""COMPUTED_VALUE"""),"")</f>
        <v/>
      </c>
    </row>
    <row r="1954" spans="1:2" ht="15" customHeight="1">
      <c r="A1954" t="str">
        <f ca="1">IFERROR(__xludf.DUMMYFUNCTION("""COMPUTED_VALUE"""),"")</f>
        <v/>
      </c>
      <c r="B1954" t="str">
        <f ca="1">IFERROR(__xludf.DUMMYFUNCTION("""COMPUTED_VALUE"""),"")</f>
        <v/>
      </c>
    </row>
    <row r="1955" spans="1:2" ht="15" customHeight="1">
      <c r="A1955" t="str">
        <f ca="1">IFERROR(__xludf.DUMMYFUNCTION("""COMPUTED_VALUE"""),"")</f>
        <v/>
      </c>
      <c r="B1955" t="str">
        <f ca="1">IFERROR(__xludf.DUMMYFUNCTION("""COMPUTED_VALUE"""),"")</f>
        <v/>
      </c>
    </row>
    <row r="1956" spans="1:2" ht="15" customHeight="1">
      <c r="A1956" t="str">
        <f ca="1">IFERROR(__xludf.DUMMYFUNCTION("""COMPUTED_VALUE"""),"")</f>
        <v/>
      </c>
      <c r="B1956" t="str">
        <f ca="1">IFERROR(__xludf.DUMMYFUNCTION("""COMPUTED_VALUE"""),"")</f>
        <v/>
      </c>
    </row>
    <row r="1957" spans="1:2" ht="15" customHeight="1">
      <c r="A1957" t="str">
        <f ca="1">IFERROR(__xludf.DUMMYFUNCTION("""COMPUTED_VALUE"""),"")</f>
        <v/>
      </c>
      <c r="B1957" t="str">
        <f ca="1">IFERROR(__xludf.DUMMYFUNCTION("""COMPUTED_VALUE"""),"")</f>
        <v/>
      </c>
    </row>
    <row r="1958" spans="1:2" ht="15" customHeight="1">
      <c r="A1958" t="str">
        <f ca="1">IFERROR(__xludf.DUMMYFUNCTION("""COMPUTED_VALUE"""),"")</f>
        <v/>
      </c>
      <c r="B1958" t="str">
        <f ca="1">IFERROR(__xludf.DUMMYFUNCTION("""COMPUTED_VALUE"""),"")</f>
        <v/>
      </c>
    </row>
    <row r="1959" spans="1:2" ht="15" customHeight="1">
      <c r="A1959" t="str">
        <f ca="1">IFERROR(__xludf.DUMMYFUNCTION("""COMPUTED_VALUE"""),"")</f>
        <v/>
      </c>
      <c r="B1959" t="str">
        <f ca="1">IFERROR(__xludf.DUMMYFUNCTION("""COMPUTED_VALUE"""),"")</f>
        <v/>
      </c>
    </row>
    <row r="1960" spans="1:2" ht="15" customHeight="1">
      <c r="A1960" t="str">
        <f ca="1">IFERROR(__xludf.DUMMYFUNCTION("""COMPUTED_VALUE"""),"")</f>
        <v/>
      </c>
      <c r="B1960" t="str">
        <f ca="1">IFERROR(__xludf.DUMMYFUNCTION("""COMPUTED_VALUE"""),"")</f>
        <v/>
      </c>
    </row>
    <row r="1961" spans="1:2" ht="15" customHeight="1">
      <c r="A1961" t="str">
        <f ca="1">IFERROR(__xludf.DUMMYFUNCTION("""COMPUTED_VALUE"""),"")</f>
        <v/>
      </c>
      <c r="B1961" t="str">
        <f ca="1">IFERROR(__xludf.DUMMYFUNCTION("""COMPUTED_VALUE"""),"")</f>
        <v/>
      </c>
    </row>
    <row r="1962" spans="1:2" ht="15" customHeight="1">
      <c r="A1962" t="str">
        <f ca="1">IFERROR(__xludf.DUMMYFUNCTION("""COMPUTED_VALUE"""),"")</f>
        <v/>
      </c>
      <c r="B1962" t="str">
        <f ca="1">IFERROR(__xludf.DUMMYFUNCTION("""COMPUTED_VALUE"""),"")</f>
        <v/>
      </c>
    </row>
    <row r="1963" spans="1:2" ht="15" customHeight="1">
      <c r="A1963" t="str">
        <f ca="1">IFERROR(__xludf.DUMMYFUNCTION("""COMPUTED_VALUE"""),"")</f>
        <v/>
      </c>
      <c r="B1963" t="str">
        <f ca="1">IFERROR(__xludf.DUMMYFUNCTION("""COMPUTED_VALUE"""),"")</f>
        <v/>
      </c>
    </row>
    <row r="1964" spans="1:2" ht="15" customHeight="1">
      <c r="A1964" t="str">
        <f ca="1">IFERROR(__xludf.DUMMYFUNCTION("""COMPUTED_VALUE"""),"")</f>
        <v/>
      </c>
      <c r="B1964" t="str">
        <f ca="1">IFERROR(__xludf.DUMMYFUNCTION("""COMPUTED_VALUE"""),"")</f>
        <v/>
      </c>
    </row>
    <row r="1965" spans="1:2" ht="15" customHeight="1">
      <c r="A1965" t="str">
        <f ca="1">IFERROR(__xludf.DUMMYFUNCTION("""COMPUTED_VALUE"""),"")</f>
        <v/>
      </c>
      <c r="B1965" t="str">
        <f ca="1">IFERROR(__xludf.DUMMYFUNCTION("""COMPUTED_VALUE"""),"")</f>
        <v/>
      </c>
    </row>
    <row r="1966" spans="1:2" ht="15" customHeight="1">
      <c r="A1966" t="str">
        <f ca="1">IFERROR(__xludf.DUMMYFUNCTION("""COMPUTED_VALUE"""),"")</f>
        <v/>
      </c>
      <c r="B1966" t="str">
        <f ca="1">IFERROR(__xludf.DUMMYFUNCTION("""COMPUTED_VALUE"""),"")</f>
        <v/>
      </c>
    </row>
    <row r="1967" spans="1:2" ht="15" customHeight="1">
      <c r="A1967" t="str">
        <f ca="1">IFERROR(__xludf.DUMMYFUNCTION("""COMPUTED_VALUE"""),"")</f>
        <v/>
      </c>
      <c r="B1967" t="str">
        <f ca="1">IFERROR(__xludf.DUMMYFUNCTION("""COMPUTED_VALUE"""),"")</f>
        <v/>
      </c>
    </row>
    <row r="1968" spans="1:2" ht="15" customHeight="1">
      <c r="A1968" t="str">
        <f ca="1">IFERROR(__xludf.DUMMYFUNCTION("""COMPUTED_VALUE"""),"")</f>
        <v/>
      </c>
      <c r="B1968" t="str">
        <f ca="1">IFERROR(__xludf.DUMMYFUNCTION("""COMPUTED_VALUE"""),"")</f>
        <v/>
      </c>
    </row>
    <row r="1969" spans="1:2" ht="15" customHeight="1">
      <c r="A1969" t="str">
        <f ca="1">IFERROR(__xludf.DUMMYFUNCTION("""COMPUTED_VALUE"""),"")</f>
        <v/>
      </c>
      <c r="B1969" t="str">
        <f ca="1">IFERROR(__xludf.DUMMYFUNCTION("""COMPUTED_VALUE"""),"")</f>
        <v/>
      </c>
    </row>
    <row r="1970" spans="1:2" ht="15" customHeight="1">
      <c r="A1970" t="str">
        <f ca="1">IFERROR(__xludf.DUMMYFUNCTION("""COMPUTED_VALUE"""),"")</f>
        <v/>
      </c>
      <c r="B1970" t="str">
        <f ca="1">IFERROR(__xludf.DUMMYFUNCTION("""COMPUTED_VALUE"""),"")</f>
        <v/>
      </c>
    </row>
    <row r="1971" spans="1:2" ht="15" customHeight="1">
      <c r="A1971" t="str">
        <f ca="1">IFERROR(__xludf.DUMMYFUNCTION("""COMPUTED_VALUE"""),"")</f>
        <v/>
      </c>
      <c r="B1971" t="str">
        <f ca="1">IFERROR(__xludf.DUMMYFUNCTION("""COMPUTED_VALUE"""),"")</f>
        <v/>
      </c>
    </row>
    <row r="1972" spans="1:2" ht="15" customHeight="1">
      <c r="A1972" t="str">
        <f ca="1">IFERROR(__xludf.DUMMYFUNCTION("""COMPUTED_VALUE"""),"")</f>
        <v/>
      </c>
      <c r="B1972" t="str">
        <f ca="1">IFERROR(__xludf.DUMMYFUNCTION("""COMPUTED_VALUE"""),"")</f>
        <v/>
      </c>
    </row>
    <row r="1973" spans="1:2" ht="15" customHeight="1">
      <c r="A1973" t="str">
        <f ca="1">IFERROR(__xludf.DUMMYFUNCTION("""COMPUTED_VALUE"""),"")</f>
        <v/>
      </c>
      <c r="B1973" t="str">
        <f ca="1">IFERROR(__xludf.DUMMYFUNCTION("""COMPUTED_VALUE"""),"")</f>
        <v/>
      </c>
    </row>
    <row r="1974" spans="1:2" ht="15" customHeight="1">
      <c r="A1974" t="str">
        <f ca="1">IFERROR(__xludf.DUMMYFUNCTION("""COMPUTED_VALUE"""),"")</f>
        <v/>
      </c>
      <c r="B1974" t="str">
        <f ca="1">IFERROR(__xludf.DUMMYFUNCTION("""COMPUTED_VALUE"""),"")</f>
        <v/>
      </c>
    </row>
    <row r="1975" spans="1:2" ht="15" customHeight="1">
      <c r="A1975" t="str">
        <f ca="1">IFERROR(__xludf.DUMMYFUNCTION("""COMPUTED_VALUE"""),"")</f>
        <v/>
      </c>
      <c r="B1975" t="str">
        <f ca="1">IFERROR(__xludf.DUMMYFUNCTION("""COMPUTED_VALUE"""),"")</f>
        <v/>
      </c>
    </row>
    <row r="1976" spans="1:2" ht="15" customHeight="1">
      <c r="A1976" t="str">
        <f ca="1">IFERROR(__xludf.DUMMYFUNCTION("""COMPUTED_VALUE"""),"")</f>
        <v/>
      </c>
      <c r="B1976" t="str">
        <f ca="1">IFERROR(__xludf.DUMMYFUNCTION("""COMPUTED_VALUE"""),"")</f>
        <v/>
      </c>
    </row>
    <row r="1977" spans="1:2" ht="15" customHeight="1">
      <c r="A1977" t="str">
        <f ca="1">IFERROR(__xludf.DUMMYFUNCTION("""COMPUTED_VALUE"""),"")</f>
        <v/>
      </c>
      <c r="B1977" t="str">
        <f ca="1">IFERROR(__xludf.DUMMYFUNCTION("""COMPUTED_VALUE"""),"")</f>
        <v/>
      </c>
    </row>
    <row r="1978" spans="1:2" ht="15" customHeight="1">
      <c r="A1978" t="str">
        <f ca="1">IFERROR(__xludf.DUMMYFUNCTION("""COMPUTED_VALUE"""),"")</f>
        <v/>
      </c>
      <c r="B1978" t="str">
        <f ca="1">IFERROR(__xludf.DUMMYFUNCTION("""COMPUTED_VALUE"""),"")</f>
        <v/>
      </c>
    </row>
    <row r="1979" spans="1:2" ht="15" customHeight="1">
      <c r="A1979" t="str">
        <f ca="1">IFERROR(__xludf.DUMMYFUNCTION("""COMPUTED_VALUE"""),"")</f>
        <v/>
      </c>
      <c r="B1979" t="str">
        <f ca="1">IFERROR(__xludf.DUMMYFUNCTION("""COMPUTED_VALUE"""),"")</f>
        <v/>
      </c>
    </row>
    <row r="1980" spans="1:2" ht="15" customHeight="1">
      <c r="A1980" t="str">
        <f ca="1">IFERROR(__xludf.DUMMYFUNCTION("""COMPUTED_VALUE"""),"")</f>
        <v/>
      </c>
      <c r="B1980" t="str">
        <f ca="1">IFERROR(__xludf.DUMMYFUNCTION("""COMPUTED_VALUE"""),"")</f>
        <v/>
      </c>
    </row>
    <row r="1981" spans="1:2" ht="15" customHeight="1">
      <c r="A1981" t="str">
        <f ca="1">IFERROR(__xludf.DUMMYFUNCTION("""COMPUTED_VALUE"""),"")</f>
        <v/>
      </c>
      <c r="B1981" t="str">
        <f ca="1">IFERROR(__xludf.DUMMYFUNCTION("""COMPUTED_VALUE"""),"")</f>
        <v/>
      </c>
    </row>
    <row r="1982" spans="1:2" ht="15" customHeight="1">
      <c r="A1982" t="str">
        <f ca="1">IFERROR(__xludf.DUMMYFUNCTION("""COMPUTED_VALUE"""),"")</f>
        <v/>
      </c>
      <c r="B1982" t="str">
        <f ca="1">IFERROR(__xludf.DUMMYFUNCTION("""COMPUTED_VALUE"""),"")</f>
        <v/>
      </c>
    </row>
    <row r="1983" spans="1:2" ht="15" customHeight="1">
      <c r="A1983" t="str">
        <f ca="1">IFERROR(__xludf.DUMMYFUNCTION("""COMPUTED_VALUE"""),"")</f>
        <v/>
      </c>
      <c r="B1983" t="str">
        <f ca="1">IFERROR(__xludf.DUMMYFUNCTION("""COMPUTED_VALUE"""),"")</f>
        <v/>
      </c>
    </row>
    <row r="1984" spans="1:2" ht="15" customHeight="1">
      <c r="A1984" t="str">
        <f ca="1">IFERROR(__xludf.DUMMYFUNCTION("""COMPUTED_VALUE"""),"")</f>
        <v/>
      </c>
      <c r="B1984" t="str">
        <f ca="1">IFERROR(__xludf.DUMMYFUNCTION("""COMPUTED_VALUE"""),"")</f>
        <v/>
      </c>
    </row>
    <row r="1985" spans="1:2" ht="15" customHeight="1">
      <c r="A1985" t="str">
        <f ca="1">IFERROR(__xludf.DUMMYFUNCTION("""COMPUTED_VALUE"""),"")</f>
        <v/>
      </c>
      <c r="B1985" t="str">
        <f ca="1">IFERROR(__xludf.DUMMYFUNCTION("""COMPUTED_VALUE"""),"")</f>
        <v/>
      </c>
    </row>
    <row r="1986" spans="1:2" ht="15" customHeight="1">
      <c r="A1986" t="str">
        <f ca="1">IFERROR(__xludf.DUMMYFUNCTION("""COMPUTED_VALUE"""),"")</f>
        <v/>
      </c>
      <c r="B1986" t="str">
        <f ca="1">IFERROR(__xludf.DUMMYFUNCTION("""COMPUTED_VALUE"""),"")</f>
        <v/>
      </c>
    </row>
    <row r="1987" spans="1:2" ht="15" customHeight="1">
      <c r="A1987" t="str">
        <f ca="1">IFERROR(__xludf.DUMMYFUNCTION("""COMPUTED_VALUE"""),"")</f>
        <v/>
      </c>
      <c r="B1987" t="str">
        <f ca="1">IFERROR(__xludf.DUMMYFUNCTION("""COMPUTED_VALUE"""),"")</f>
        <v/>
      </c>
    </row>
    <row r="1988" spans="1:2" ht="15" customHeight="1">
      <c r="A1988" t="str">
        <f ca="1">IFERROR(__xludf.DUMMYFUNCTION("""COMPUTED_VALUE"""),"")</f>
        <v/>
      </c>
      <c r="B1988" t="str">
        <f ca="1">IFERROR(__xludf.DUMMYFUNCTION("""COMPUTED_VALUE"""),"")</f>
        <v/>
      </c>
    </row>
    <row r="1989" spans="1:2" ht="15" customHeight="1">
      <c r="A1989" t="str">
        <f ca="1">IFERROR(__xludf.DUMMYFUNCTION("""COMPUTED_VALUE"""),"")</f>
        <v/>
      </c>
      <c r="B1989" t="str">
        <f ca="1">IFERROR(__xludf.DUMMYFUNCTION("""COMPUTED_VALUE"""),"")</f>
        <v/>
      </c>
    </row>
    <row r="1990" spans="1:2" ht="15" customHeight="1">
      <c r="A1990" t="str">
        <f ca="1">IFERROR(__xludf.DUMMYFUNCTION("""COMPUTED_VALUE"""),"")</f>
        <v/>
      </c>
      <c r="B1990" t="str">
        <f ca="1">IFERROR(__xludf.DUMMYFUNCTION("""COMPUTED_VALUE"""),"")</f>
        <v/>
      </c>
    </row>
    <row r="1991" spans="1:2" ht="15" customHeight="1">
      <c r="A1991" t="str">
        <f ca="1">IFERROR(__xludf.DUMMYFUNCTION("""COMPUTED_VALUE"""),"")</f>
        <v/>
      </c>
      <c r="B1991" t="str">
        <f ca="1">IFERROR(__xludf.DUMMYFUNCTION("""COMPUTED_VALUE"""),"")</f>
        <v/>
      </c>
    </row>
    <row r="1992" spans="1:2" ht="15" customHeight="1">
      <c r="A1992" t="str">
        <f ca="1">IFERROR(__xludf.DUMMYFUNCTION("""COMPUTED_VALUE"""),"")</f>
        <v/>
      </c>
      <c r="B1992" t="str">
        <f ca="1">IFERROR(__xludf.DUMMYFUNCTION("""COMPUTED_VALUE"""),"")</f>
        <v/>
      </c>
    </row>
    <row r="1993" spans="1:2" ht="15" customHeight="1">
      <c r="A1993" t="str">
        <f ca="1">IFERROR(__xludf.DUMMYFUNCTION("""COMPUTED_VALUE"""),"")</f>
        <v/>
      </c>
      <c r="B1993" t="str">
        <f ca="1">IFERROR(__xludf.DUMMYFUNCTION("""COMPUTED_VALUE"""),"")</f>
        <v/>
      </c>
    </row>
    <row r="1994" spans="1:2" ht="15" customHeight="1">
      <c r="A1994" t="str">
        <f ca="1">IFERROR(__xludf.DUMMYFUNCTION("""COMPUTED_VALUE"""),"")</f>
        <v/>
      </c>
      <c r="B1994" t="str">
        <f ca="1">IFERROR(__xludf.DUMMYFUNCTION("""COMPUTED_VALUE"""),"")</f>
        <v/>
      </c>
    </row>
    <row r="1995" spans="1:2" ht="15" customHeight="1">
      <c r="A1995" t="str">
        <f ca="1">IFERROR(__xludf.DUMMYFUNCTION("""COMPUTED_VALUE"""),"")</f>
        <v/>
      </c>
      <c r="B1995" t="str">
        <f ca="1">IFERROR(__xludf.DUMMYFUNCTION("""COMPUTED_VALUE"""),"")</f>
        <v/>
      </c>
    </row>
    <row r="1996" spans="1:2" ht="15" customHeight="1">
      <c r="A1996" t="str">
        <f ca="1">IFERROR(__xludf.DUMMYFUNCTION("""COMPUTED_VALUE"""),"")</f>
        <v/>
      </c>
      <c r="B1996" t="str">
        <f ca="1">IFERROR(__xludf.DUMMYFUNCTION("""COMPUTED_VALUE"""),"")</f>
        <v/>
      </c>
    </row>
    <row r="1997" spans="1:2" ht="15" customHeight="1">
      <c r="A1997" t="str">
        <f ca="1">IFERROR(__xludf.DUMMYFUNCTION("""COMPUTED_VALUE"""),"")</f>
        <v/>
      </c>
      <c r="B1997" t="str">
        <f ca="1">IFERROR(__xludf.DUMMYFUNCTION("""COMPUTED_VALUE"""),"")</f>
        <v/>
      </c>
    </row>
    <row r="1998" spans="1:2" ht="15" customHeight="1">
      <c r="A1998" t="str">
        <f ca="1">IFERROR(__xludf.DUMMYFUNCTION("""COMPUTED_VALUE"""),"")</f>
        <v/>
      </c>
      <c r="B1998" t="str">
        <f ca="1">IFERROR(__xludf.DUMMYFUNCTION("""COMPUTED_VALUE"""),"")</f>
        <v/>
      </c>
    </row>
    <row r="1999" spans="1:2" ht="15" customHeight="1">
      <c r="A1999" t="str">
        <f ca="1">IFERROR(__xludf.DUMMYFUNCTION("""COMPUTED_VALUE"""),"")</f>
        <v/>
      </c>
      <c r="B1999" t="str">
        <f ca="1">IFERROR(__xludf.DUMMYFUNCTION("""COMPUTED_VALUE"""),"")</f>
        <v/>
      </c>
    </row>
    <row r="2000" spans="1:2" ht="15" customHeight="1">
      <c r="A2000" t="str">
        <f ca="1">IFERROR(__xludf.DUMMYFUNCTION("""COMPUTED_VALUE"""),"")</f>
        <v/>
      </c>
      <c r="B2000" t="str">
        <f ca="1">IFERROR(__xludf.DUMMYFUNCTION("""COMPUTED_VALUE"""),"")</f>
        <v/>
      </c>
    </row>
    <row r="2001" spans="1:2" ht="15" customHeight="1">
      <c r="A2001" t="str">
        <f ca="1">IFERROR(__xludf.DUMMYFUNCTION("""COMPUTED_VALUE"""),"")</f>
        <v/>
      </c>
      <c r="B2001" t="str">
        <f ca="1">IFERROR(__xludf.DUMMYFUNCTION("""COMPUTED_VALUE"""),"")</f>
        <v/>
      </c>
    </row>
    <row r="2002" spans="1:2" ht="15" customHeight="1">
      <c r="A2002" t="str">
        <f ca="1">IFERROR(__xludf.DUMMYFUNCTION("""COMPUTED_VALUE"""),"")</f>
        <v/>
      </c>
      <c r="B2002" t="str">
        <f ca="1">IFERROR(__xludf.DUMMYFUNCTION("""COMPUTED_VALUE"""),"")</f>
        <v/>
      </c>
    </row>
    <row r="2003" spans="1:2" ht="15" customHeight="1">
      <c r="A2003" t="str">
        <f ca="1">IFERROR(__xludf.DUMMYFUNCTION("""COMPUTED_VALUE"""),"")</f>
        <v/>
      </c>
      <c r="B2003" t="str">
        <f ca="1">IFERROR(__xludf.DUMMYFUNCTION("""COMPUTED_VALUE"""),"")</f>
        <v/>
      </c>
    </row>
    <row r="2004" spans="1:2" ht="15" customHeight="1">
      <c r="A2004" t="str">
        <f ca="1">IFERROR(__xludf.DUMMYFUNCTION("""COMPUTED_VALUE"""),"")</f>
        <v/>
      </c>
      <c r="B2004" t="str">
        <f ca="1">IFERROR(__xludf.DUMMYFUNCTION("""COMPUTED_VALUE"""),"")</f>
        <v/>
      </c>
    </row>
    <row r="2005" spans="1:2" ht="15" customHeight="1">
      <c r="A2005" t="str">
        <f ca="1">IFERROR(__xludf.DUMMYFUNCTION("""COMPUTED_VALUE"""),"")</f>
        <v/>
      </c>
      <c r="B2005" t="str">
        <f ca="1">IFERROR(__xludf.DUMMYFUNCTION("""COMPUTED_VALUE"""),"")</f>
        <v/>
      </c>
    </row>
    <row r="2006" spans="1:2" ht="15" customHeight="1">
      <c r="A2006" t="str">
        <f ca="1">IFERROR(__xludf.DUMMYFUNCTION("""COMPUTED_VALUE"""),"")</f>
        <v/>
      </c>
      <c r="B2006" t="str">
        <f ca="1">IFERROR(__xludf.DUMMYFUNCTION("""COMPUTED_VALUE"""),"")</f>
        <v/>
      </c>
    </row>
    <row r="2007" spans="1:2" ht="15" customHeight="1">
      <c r="A2007" t="str">
        <f ca="1">IFERROR(__xludf.DUMMYFUNCTION("""COMPUTED_VALUE"""),"")</f>
        <v/>
      </c>
      <c r="B2007" t="str">
        <f ca="1">IFERROR(__xludf.DUMMYFUNCTION("""COMPUTED_VALUE"""),"")</f>
        <v/>
      </c>
    </row>
    <row r="2008" spans="1:2" ht="15" customHeight="1">
      <c r="A2008" t="str">
        <f ca="1">IFERROR(__xludf.DUMMYFUNCTION("""COMPUTED_VALUE"""),"")</f>
        <v/>
      </c>
      <c r="B2008" t="str">
        <f ca="1">IFERROR(__xludf.DUMMYFUNCTION("""COMPUTED_VALUE"""),"")</f>
        <v/>
      </c>
    </row>
    <row r="2009" spans="1:2" ht="15" customHeight="1">
      <c r="A2009" t="str">
        <f ca="1">IFERROR(__xludf.DUMMYFUNCTION("""COMPUTED_VALUE"""),"")</f>
        <v/>
      </c>
      <c r="B2009" t="str">
        <f ca="1">IFERROR(__xludf.DUMMYFUNCTION("""COMPUTED_VALUE"""),"")</f>
        <v/>
      </c>
    </row>
    <row r="2010" spans="1:2" ht="15" customHeight="1">
      <c r="A2010" t="str">
        <f ca="1">IFERROR(__xludf.DUMMYFUNCTION("""COMPUTED_VALUE"""),"")</f>
        <v/>
      </c>
      <c r="B2010" t="str">
        <f ca="1">IFERROR(__xludf.DUMMYFUNCTION("""COMPUTED_VALUE"""),"")</f>
        <v/>
      </c>
    </row>
    <row r="2011" spans="1:2" ht="15" customHeight="1">
      <c r="A2011" t="str">
        <f ca="1">IFERROR(__xludf.DUMMYFUNCTION("""COMPUTED_VALUE"""),"")</f>
        <v/>
      </c>
      <c r="B2011" t="str">
        <f ca="1">IFERROR(__xludf.DUMMYFUNCTION("""COMPUTED_VALUE"""),"")</f>
        <v/>
      </c>
    </row>
    <row r="2012" spans="1:2" ht="15" customHeight="1">
      <c r="A2012" t="str">
        <f ca="1">IFERROR(__xludf.DUMMYFUNCTION("""COMPUTED_VALUE"""),"")</f>
        <v/>
      </c>
      <c r="B2012" t="str">
        <f ca="1">IFERROR(__xludf.DUMMYFUNCTION("""COMPUTED_VALUE"""),"")</f>
        <v/>
      </c>
    </row>
    <row r="2013" spans="1:2" ht="15" customHeight="1">
      <c r="A2013" t="str">
        <f ca="1">IFERROR(__xludf.DUMMYFUNCTION("""COMPUTED_VALUE"""),"")</f>
        <v/>
      </c>
      <c r="B2013" t="str">
        <f ca="1">IFERROR(__xludf.DUMMYFUNCTION("""COMPUTED_VALUE"""),"")</f>
        <v/>
      </c>
    </row>
    <row r="2014" spans="1:2" ht="15" customHeight="1">
      <c r="A2014" t="str">
        <f ca="1">IFERROR(__xludf.DUMMYFUNCTION("""COMPUTED_VALUE"""),"")</f>
        <v/>
      </c>
      <c r="B2014" t="str">
        <f ca="1">IFERROR(__xludf.DUMMYFUNCTION("""COMPUTED_VALUE"""),"")</f>
        <v/>
      </c>
    </row>
    <row r="2015" spans="1:2" ht="15" customHeight="1">
      <c r="A2015" t="str">
        <f ca="1">IFERROR(__xludf.DUMMYFUNCTION("""COMPUTED_VALUE"""),"")</f>
        <v/>
      </c>
      <c r="B2015" t="str">
        <f ca="1">IFERROR(__xludf.DUMMYFUNCTION("""COMPUTED_VALUE"""),"")</f>
        <v/>
      </c>
    </row>
    <row r="2016" spans="1:2" ht="15" customHeight="1">
      <c r="A2016" t="str">
        <f ca="1">IFERROR(__xludf.DUMMYFUNCTION("""COMPUTED_VALUE"""),"")</f>
        <v/>
      </c>
      <c r="B2016" t="str">
        <f ca="1">IFERROR(__xludf.DUMMYFUNCTION("""COMPUTED_VALUE"""),"")</f>
        <v/>
      </c>
    </row>
    <row r="2017" spans="1:2" ht="15" customHeight="1">
      <c r="A2017" t="str">
        <f ca="1">IFERROR(__xludf.DUMMYFUNCTION("""COMPUTED_VALUE"""),"")</f>
        <v/>
      </c>
      <c r="B2017" t="str">
        <f ca="1">IFERROR(__xludf.DUMMYFUNCTION("""COMPUTED_VALUE"""),"")</f>
        <v/>
      </c>
    </row>
    <row r="2018" spans="1:2" ht="15" customHeight="1">
      <c r="A2018" t="str">
        <f ca="1">IFERROR(__xludf.DUMMYFUNCTION("""COMPUTED_VALUE"""),"")</f>
        <v/>
      </c>
      <c r="B2018" t="str">
        <f ca="1">IFERROR(__xludf.DUMMYFUNCTION("""COMPUTED_VALUE"""),"")</f>
        <v/>
      </c>
    </row>
    <row r="2019" spans="1:2" ht="15" customHeight="1">
      <c r="A2019" t="str">
        <f ca="1">IFERROR(__xludf.DUMMYFUNCTION("""COMPUTED_VALUE"""),"")</f>
        <v/>
      </c>
      <c r="B2019" t="str">
        <f ca="1">IFERROR(__xludf.DUMMYFUNCTION("""COMPUTED_VALUE"""),"")</f>
        <v/>
      </c>
    </row>
    <row r="2020" spans="1:2" ht="15" customHeight="1">
      <c r="A2020" t="str">
        <f ca="1">IFERROR(__xludf.DUMMYFUNCTION("""COMPUTED_VALUE"""),"")</f>
        <v/>
      </c>
      <c r="B2020" t="str">
        <f ca="1">IFERROR(__xludf.DUMMYFUNCTION("""COMPUTED_VALUE"""),"")</f>
        <v/>
      </c>
    </row>
    <row r="2021" spans="1:2" ht="15" customHeight="1">
      <c r="A2021" t="str">
        <f ca="1">IFERROR(__xludf.DUMMYFUNCTION("""COMPUTED_VALUE"""),"")</f>
        <v/>
      </c>
      <c r="B2021" t="str">
        <f ca="1">IFERROR(__xludf.DUMMYFUNCTION("""COMPUTED_VALUE"""),"")</f>
        <v/>
      </c>
    </row>
    <row r="2022" spans="1:2" ht="15" customHeight="1">
      <c r="A2022" t="str">
        <f ca="1">IFERROR(__xludf.DUMMYFUNCTION("""COMPUTED_VALUE"""),"")</f>
        <v/>
      </c>
      <c r="B2022" t="str">
        <f ca="1">IFERROR(__xludf.DUMMYFUNCTION("""COMPUTED_VALUE"""),"")</f>
        <v/>
      </c>
    </row>
    <row r="2023" spans="1:2" ht="15" customHeight="1">
      <c r="A2023" t="str">
        <f ca="1">IFERROR(__xludf.DUMMYFUNCTION("""COMPUTED_VALUE"""),"")</f>
        <v/>
      </c>
      <c r="B2023" t="str">
        <f ca="1">IFERROR(__xludf.DUMMYFUNCTION("""COMPUTED_VALUE"""),"")</f>
        <v/>
      </c>
    </row>
    <row r="2024" spans="1:2" ht="15" customHeight="1">
      <c r="A2024" t="str">
        <f ca="1">IFERROR(__xludf.DUMMYFUNCTION("""COMPUTED_VALUE"""),"")</f>
        <v/>
      </c>
      <c r="B2024" t="str">
        <f ca="1">IFERROR(__xludf.DUMMYFUNCTION("""COMPUTED_VALUE"""),"")</f>
        <v/>
      </c>
    </row>
    <row r="2025" spans="1:2" ht="15" customHeight="1">
      <c r="A2025" t="str">
        <f ca="1">IFERROR(__xludf.DUMMYFUNCTION("""COMPUTED_VALUE"""),"")</f>
        <v/>
      </c>
      <c r="B2025" t="str">
        <f ca="1">IFERROR(__xludf.DUMMYFUNCTION("""COMPUTED_VALUE"""),"")</f>
        <v/>
      </c>
    </row>
    <row r="2026" spans="1:2" ht="15" customHeight="1">
      <c r="A2026" t="str">
        <f ca="1">IFERROR(__xludf.DUMMYFUNCTION("""COMPUTED_VALUE"""),"")</f>
        <v/>
      </c>
      <c r="B2026" t="str">
        <f ca="1">IFERROR(__xludf.DUMMYFUNCTION("""COMPUTED_VALUE"""),"")</f>
        <v/>
      </c>
    </row>
    <row r="2027" spans="1:2" ht="15" customHeight="1">
      <c r="A2027" t="str">
        <f ca="1">IFERROR(__xludf.DUMMYFUNCTION("""COMPUTED_VALUE"""),"")</f>
        <v/>
      </c>
      <c r="B2027" t="str">
        <f ca="1">IFERROR(__xludf.DUMMYFUNCTION("""COMPUTED_VALUE"""),"")</f>
        <v/>
      </c>
    </row>
    <row r="2028" spans="1:2" ht="15" customHeight="1">
      <c r="A2028" t="str">
        <f ca="1">IFERROR(__xludf.DUMMYFUNCTION("""COMPUTED_VALUE"""),"")</f>
        <v/>
      </c>
      <c r="B2028" t="str">
        <f ca="1">IFERROR(__xludf.DUMMYFUNCTION("""COMPUTED_VALUE"""),"")</f>
        <v/>
      </c>
    </row>
    <row r="2029" spans="1:2" ht="15" customHeight="1">
      <c r="A2029" t="str">
        <f ca="1">IFERROR(__xludf.DUMMYFUNCTION("""COMPUTED_VALUE"""),"")</f>
        <v/>
      </c>
      <c r="B2029" t="str">
        <f ca="1">IFERROR(__xludf.DUMMYFUNCTION("""COMPUTED_VALUE"""),"")</f>
        <v/>
      </c>
    </row>
    <row r="2030" spans="1:2" ht="15" customHeight="1">
      <c r="A2030" t="str">
        <f ca="1">IFERROR(__xludf.DUMMYFUNCTION("""COMPUTED_VALUE"""),"")</f>
        <v/>
      </c>
      <c r="B2030" t="str">
        <f ca="1">IFERROR(__xludf.DUMMYFUNCTION("""COMPUTED_VALUE"""),"")</f>
        <v/>
      </c>
    </row>
    <row r="2031" spans="1:2" ht="15" customHeight="1">
      <c r="A2031" t="str">
        <f ca="1">IFERROR(__xludf.DUMMYFUNCTION("""COMPUTED_VALUE"""),"")</f>
        <v/>
      </c>
      <c r="B2031" t="str">
        <f ca="1">IFERROR(__xludf.DUMMYFUNCTION("""COMPUTED_VALUE"""),"")</f>
        <v/>
      </c>
    </row>
    <row r="2032" spans="1:2" ht="15" customHeight="1">
      <c r="A2032" t="str">
        <f ca="1">IFERROR(__xludf.DUMMYFUNCTION("""COMPUTED_VALUE"""),"")</f>
        <v/>
      </c>
      <c r="B2032" t="str">
        <f ca="1">IFERROR(__xludf.DUMMYFUNCTION("""COMPUTED_VALUE"""),"")</f>
        <v/>
      </c>
    </row>
    <row r="2033" spans="1:2" ht="15" customHeight="1">
      <c r="A2033" t="str">
        <f ca="1">IFERROR(__xludf.DUMMYFUNCTION("""COMPUTED_VALUE"""),"")</f>
        <v/>
      </c>
      <c r="B2033" t="str">
        <f ca="1">IFERROR(__xludf.DUMMYFUNCTION("""COMPUTED_VALUE"""),"")</f>
        <v/>
      </c>
    </row>
    <row r="2034" spans="1:2" ht="15" customHeight="1">
      <c r="A2034" t="str">
        <f ca="1">IFERROR(__xludf.DUMMYFUNCTION("""COMPUTED_VALUE"""),"")</f>
        <v/>
      </c>
      <c r="B2034" t="str">
        <f ca="1">IFERROR(__xludf.DUMMYFUNCTION("""COMPUTED_VALUE"""),"")</f>
        <v/>
      </c>
    </row>
    <row r="2035" spans="1:2" ht="15" customHeight="1">
      <c r="A2035" t="str">
        <f ca="1">IFERROR(__xludf.DUMMYFUNCTION("""COMPUTED_VALUE"""),"")</f>
        <v/>
      </c>
      <c r="B2035" t="str">
        <f ca="1">IFERROR(__xludf.DUMMYFUNCTION("""COMPUTED_VALUE"""),"")</f>
        <v/>
      </c>
    </row>
    <row r="2036" spans="1:2" ht="15" customHeight="1">
      <c r="A2036" t="str">
        <f ca="1">IFERROR(__xludf.DUMMYFUNCTION("""COMPUTED_VALUE"""),"")</f>
        <v/>
      </c>
      <c r="B2036" t="str">
        <f ca="1">IFERROR(__xludf.DUMMYFUNCTION("""COMPUTED_VALUE"""),"")</f>
        <v/>
      </c>
    </row>
    <row r="2037" spans="1:2" ht="15" customHeight="1">
      <c r="A2037" t="str">
        <f ca="1">IFERROR(__xludf.DUMMYFUNCTION("""COMPUTED_VALUE"""),"")</f>
        <v/>
      </c>
      <c r="B2037" t="str">
        <f ca="1">IFERROR(__xludf.DUMMYFUNCTION("""COMPUTED_VALUE"""),"")</f>
        <v/>
      </c>
    </row>
    <row r="2038" spans="1:2" ht="15" customHeight="1">
      <c r="A2038" t="str">
        <f ca="1">IFERROR(__xludf.DUMMYFUNCTION("""COMPUTED_VALUE"""),"")</f>
        <v/>
      </c>
      <c r="B2038" t="str">
        <f ca="1">IFERROR(__xludf.DUMMYFUNCTION("""COMPUTED_VALUE"""),"")</f>
        <v/>
      </c>
    </row>
    <row r="2039" spans="1:2" ht="15" customHeight="1">
      <c r="A2039" t="str">
        <f ca="1">IFERROR(__xludf.DUMMYFUNCTION("""COMPUTED_VALUE"""),"")</f>
        <v/>
      </c>
      <c r="B2039" t="str">
        <f ca="1">IFERROR(__xludf.DUMMYFUNCTION("""COMPUTED_VALUE"""),"")</f>
        <v/>
      </c>
    </row>
    <row r="2040" spans="1:2" ht="15" customHeight="1">
      <c r="A2040" t="str">
        <f ca="1">IFERROR(__xludf.DUMMYFUNCTION("""COMPUTED_VALUE"""),"")</f>
        <v/>
      </c>
      <c r="B2040" t="str">
        <f ca="1">IFERROR(__xludf.DUMMYFUNCTION("""COMPUTED_VALUE"""),"")</f>
        <v/>
      </c>
    </row>
    <row r="2041" spans="1:2" ht="15" customHeight="1">
      <c r="A2041" t="str">
        <f ca="1">IFERROR(__xludf.DUMMYFUNCTION("""COMPUTED_VALUE"""),"")</f>
        <v/>
      </c>
      <c r="B2041" t="str">
        <f ca="1">IFERROR(__xludf.DUMMYFUNCTION("""COMPUTED_VALUE"""),"")</f>
        <v/>
      </c>
    </row>
    <row r="2042" spans="1:2" ht="15" customHeight="1">
      <c r="A2042" t="str">
        <f ca="1">IFERROR(__xludf.DUMMYFUNCTION("""COMPUTED_VALUE"""),"")</f>
        <v/>
      </c>
      <c r="B2042" t="str">
        <f ca="1">IFERROR(__xludf.DUMMYFUNCTION("""COMPUTED_VALUE"""),"")</f>
        <v/>
      </c>
    </row>
    <row r="2043" spans="1:2" ht="15" customHeight="1">
      <c r="A2043" t="str">
        <f ca="1">IFERROR(__xludf.DUMMYFUNCTION("""COMPUTED_VALUE"""),"")</f>
        <v/>
      </c>
      <c r="B2043" t="str">
        <f ca="1">IFERROR(__xludf.DUMMYFUNCTION("""COMPUTED_VALUE"""),"")</f>
        <v/>
      </c>
    </row>
    <row r="2044" spans="1:2" ht="15" customHeight="1">
      <c r="A2044" t="str">
        <f ca="1">IFERROR(__xludf.DUMMYFUNCTION("""COMPUTED_VALUE"""),"")</f>
        <v/>
      </c>
      <c r="B2044" t="str">
        <f ca="1">IFERROR(__xludf.DUMMYFUNCTION("""COMPUTED_VALUE"""),"")</f>
        <v/>
      </c>
    </row>
    <row r="2045" spans="1:2" ht="15" customHeight="1">
      <c r="A2045" t="str">
        <f ca="1">IFERROR(__xludf.DUMMYFUNCTION("""COMPUTED_VALUE"""),"")</f>
        <v/>
      </c>
      <c r="B2045" t="str">
        <f ca="1">IFERROR(__xludf.DUMMYFUNCTION("""COMPUTED_VALUE"""),"")</f>
        <v/>
      </c>
    </row>
    <row r="2046" spans="1:2" ht="15" customHeight="1">
      <c r="A2046" t="str">
        <f ca="1">IFERROR(__xludf.DUMMYFUNCTION("""COMPUTED_VALUE"""),"")</f>
        <v/>
      </c>
      <c r="B2046" t="str">
        <f ca="1">IFERROR(__xludf.DUMMYFUNCTION("""COMPUTED_VALUE"""),"")</f>
        <v/>
      </c>
    </row>
    <row r="2047" spans="1:2" ht="15" customHeight="1">
      <c r="A2047" t="str">
        <f ca="1">IFERROR(__xludf.DUMMYFUNCTION("""COMPUTED_VALUE"""),"")</f>
        <v/>
      </c>
      <c r="B2047" t="str">
        <f ca="1">IFERROR(__xludf.DUMMYFUNCTION("""COMPUTED_VALUE"""),"")</f>
        <v/>
      </c>
    </row>
    <row r="2048" spans="1:2" ht="15" customHeight="1">
      <c r="A2048" t="str">
        <f ca="1">IFERROR(__xludf.DUMMYFUNCTION("""COMPUTED_VALUE"""),"")</f>
        <v/>
      </c>
      <c r="B2048" t="str">
        <f ca="1">IFERROR(__xludf.DUMMYFUNCTION("""COMPUTED_VALUE"""),"")</f>
        <v/>
      </c>
    </row>
    <row r="2049" spans="1:2" ht="15" customHeight="1">
      <c r="A2049" t="str">
        <f ca="1">IFERROR(__xludf.DUMMYFUNCTION("""COMPUTED_VALUE"""),"")</f>
        <v/>
      </c>
      <c r="B2049" t="str">
        <f ca="1">IFERROR(__xludf.DUMMYFUNCTION("""COMPUTED_VALUE"""),"")</f>
        <v/>
      </c>
    </row>
    <row r="2050" spans="1:2" ht="15" customHeight="1">
      <c r="A2050" t="str">
        <f ca="1">IFERROR(__xludf.DUMMYFUNCTION("""COMPUTED_VALUE"""),"")</f>
        <v/>
      </c>
      <c r="B2050" t="str">
        <f ca="1">IFERROR(__xludf.DUMMYFUNCTION("""COMPUTED_VALUE"""),"")</f>
        <v/>
      </c>
    </row>
    <row r="2051" spans="1:2" ht="15" customHeight="1">
      <c r="A2051" t="str">
        <f ca="1">IFERROR(__xludf.DUMMYFUNCTION("""COMPUTED_VALUE"""),"")</f>
        <v/>
      </c>
      <c r="B2051" t="str">
        <f ca="1">IFERROR(__xludf.DUMMYFUNCTION("""COMPUTED_VALUE"""),"")</f>
        <v/>
      </c>
    </row>
    <row r="2052" spans="1:2" ht="15" customHeight="1">
      <c r="A2052" t="str">
        <f ca="1">IFERROR(__xludf.DUMMYFUNCTION("""COMPUTED_VALUE"""),"")</f>
        <v/>
      </c>
      <c r="B2052" t="str">
        <f ca="1">IFERROR(__xludf.DUMMYFUNCTION("""COMPUTED_VALUE"""),"")</f>
        <v/>
      </c>
    </row>
    <row r="2053" spans="1:2" ht="15" customHeight="1">
      <c r="A2053" t="str">
        <f ca="1">IFERROR(__xludf.DUMMYFUNCTION("""COMPUTED_VALUE"""),"")</f>
        <v/>
      </c>
      <c r="B2053" t="str">
        <f ca="1">IFERROR(__xludf.DUMMYFUNCTION("""COMPUTED_VALUE"""),"")</f>
        <v/>
      </c>
    </row>
    <row r="2054" spans="1:2" ht="15" customHeight="1">
      <c r="A2054" t="str">
        <f ca="1">IFERROR(__xludf.DUMMYFUNCTION("""COMPUTED_VALUE"""),"")</f>
        <v/>
      </c>
      <c r="B2054" t="str">
        <f ca="1">IFERROR(__xludf.DUMMYFUNCTION("""COMPUTED_VALUE"""),"")</f>
        <v/>
      </c>
    </row>
    <row r="2055" spans="1:2" ht="15" customHeight="1">
      <c r="A2055" t="str">
        <f ca="1">IFERROR(__xludf.DUMMYFUNCTION("""COMPUTED_VALUE"""),"")</f>
        <v/>
      </c>
      <c r="B2055" t="str">
        <f ca="1">IFERROR(__xludf.DUMMYFUNCTION("""COMPUTED_VALUE"""),"")</f>
        <v/>
      </c>
    </row>
    <row r="2056" spans="1:2" ht="15" customHeight="1">
      <c r="A2056" t="str">
        <f ca="1">IFERROR(__xludf.DUMMYFUNCTION("""COMPUTED_VALUE"""),"")</f>
        <v/>
      </c>
      <c r="B2056" t="str">
        <f ca="1">IFERROR(__xludf.DUMMYFUNCTION("""COMPUTED_VALUE"""),"")</f>
        <v/>
      </c>
    </row>
    <row r="2057" spans="1:2" ht="15" customHeight="1">
      <c r="A2057" t="str">
        <f ca="1">IFERROR(__xludf.DUMMYFUNCTION("""COMPUTED_VALUE"""),"")</f>
        <v/>
      </c>
      <c r="B2057" t="str">
        <f ca="1">IFERROR(__xludf.DUMMYFUNCTION("""COMPUTED_VALUE"""),"")</f>
        <v/>
      </c>
    </row>
    <row r="2058" spans="1:2" ht="15" customHeight="1">
      <c r="A2058" t="str">
        <f ca="1">IFERROR(__xludf.DUMMYFUNCTION("""COMPUTED_VALUE"""),"")</f>
        <v/>
      </c>
      <c r="B2058" t="str">
        <f ca="1">IFERROR(__xludf.DUMMYFUNCTION("""COMPUTED_VALUE"""),"")</f>
        <v/>
      </c>
    </row>
    <row r="2059" spans="1:2" ht="15" customHeight="1">
      <c r="A2059" t="str">
        <f ca="1">IFERROR(__xludf.DUMMYFUNCTION("""COMPUTED_VALUE"""),"")</f>
        <v/>
      </c>
      <c r="B2059" t="str">
        <f ca="1">IFERROR(__xludf.DUMMYFUNCTION("""COMPUTED_VALUE"""),"")</f>
        <v/>
      </c>
    </row>
    <row r="2060" spans="1:2" ht="15" customHeight="1">
      <c r="A2060" t="str">
        <f ca="1">IFERROR(__xludf.DUMMYFUNCTION("""COMPUTED_VALUE"""),"")</f>
        <v/>
      </c>
      <c r="B2060" t="str">
        <f ca="1">IFERROR(__xludf.DUMMYFUNCTION("""COMPUTED_VALUE"""),"")</f>
        <v/>
      </c>
    </row>
    <row r="2061" spans="1:2" ht="15" customHeight="1">
      <c r="A2061" t="str">
        <f ca="1">IFERROR(__xludf.DUMMYFUNCTION("""COMPUTED_VALUE"""),"")</f>
        <v/>
      </c>
      <c r="B2061" t="str">
        <f ca="1">IFERROR(__xludf.DUMMYFUNCTION("""COMPUTED_VALUE"""),"")</f>
        <v/>
      </c>
    </row>
    <row r="2062" spans="1:2" ht="15" customHeight="1">
      <c r="A2062" t="str">
        <f ca="1">IFERROR(__xludf.DUMMYFUNCTION("""COMPUTED_VALUE"""),"")</f>
        <v/>
      </c>
      <c r="B2062" t="str">
        <f ca="1">IFERROR(__xludf.DUMMYFUNCTION("""COMPUTED_VALUE"""),"")</f>
        <v/>
      </c>
    </row>
    <row r="2063" spans="1:2" ht="15" customHeight="1">
      <c r="A2063" t="str">
        <f ca="1">IFERROR(__xludf.DUMMYFUNCTION("""COMPUTED_VALUE"""),"")</f>
        <v/>
      </c>
      <c r="B2063" t="str">
        <f ca="1">IFERROR(__xludf.DUMMYFUNCTION("""COMPUTED_VALUE"""),"")</f>
        <v/>
      </c>
    </row>
    <row r="2064" spans="1:2" ht="15" customHeight="1">
      <c r="A2064" t="str">
        <f ca="1">IFERROR(__xludf.DUMMYFUNCTION("""COMPUTED_VALUE"""),"")</f>
        <v/>
      </c>
      <c r="B2064" t="str">
        <f ca="1">IFERROR(__xludf.DUMMYFUNCTION("""COMPUTED_VALUE"""),"")</f>
        <v/>
      </c>
    </row>
    <row r="2065" spans="1:2" ht="15" customHeight="1">
      <c r="A2065" t="str">
        <f ca="1">IFERROR(__xludf.DUMMYFUNCTION("""COMPUTED_VALUE"""),"")</f>
        <v/>
      </c>
      <c r="B2065" t="str">
        <f ca="1">IFERROR(__xludf.DUMMYFUNCTION("""COMPUTED_VALUE"""),"")</f>
        <v/>
      </c>
    </row>
    <row r="2066" spans="1:2" ht="15" customHeight="1">
      <c r="A2066" t="str">
        <f ca="1">IFERROR(__xludf.DUMMYFUNCTION("""COMPUTED_VALUE"""),"")</f>
        <v/>
      </c>
      <c r="B2066" t="str">
        <f ca="1">IFERROR(__xludf.DUMMYFUNCTION("""COMPUTED_VALUE"""),"")</f>
        <v/>
      </c>
    </row>
    <row r="2067" spans="1:2" ht="15" customHeight="1">
      <c r="A2067" t="str">
        <f ca="1">IFERROR(__xludf.DUMMYFUNCTION("""COMPUTED_VALUE"""),"")</f>
        <v/>
      </c>
      <c r="B2067" t="str">
        <f ca="1">IFERROR(__xludf.DUMMYFUNCTION("""COMPUTED_VALUE"""),"")</f>
        <v/>
      </c>
    </row>
    <row r="2068" spans="1:2" ht="15" customHeight="1">
      <c r="A2068" t="str">
        <f ca="1">IFERROR(__xludf.DUMMYFUNCTION("""COMPUTED_VALUE"""),"")</f>
        <v/>
      </c>
      <c r="B2068" t="str">
        <f ca="1">IFERROR(__xludf.DUMMYFUNCTION("""COMPUTED_VALUE"""),"")</f>
        <v/>
      </c>
    </row>
    <row r="2069" spans="1:2" ht="15" customHeight="1">
      <c r="A2069" t="str">
        <f ca="1">IFERROR(__xludf.DUMMYFUNCTION("""COMPUTED_VALUE"""),"")</f>
        <v/>
      </c>
      <c r="B2069" t="str">
        <f ca="1">IFERROR(__xludf.DUMMYFUNCTION("""COMPUTED_VALUE"""),"")</f>
        <v/>
      </c>
    </row>
    <row r="2070" spans="1:2" ht="15" customHeight="1">
      <c r="A2070" t="str">
        <f ca="1">IFERROR(__xludf.DUMMYFUNCTION("""COMPUTED_VALUE"""),"")</f>
        <v/>
      </c>
      <c r="B2070" t="str">
        <f ca="1">IFERROR(__xludf.DUMMYFUNCTION("""COMPUTED_VALUE"""),"")</f>
        <v/>
      </c>
    </row>
    <row r="2071" spans="1:2" ht="15" customHeight="1">
      <c r="A2071" t="str">
        <f ca="1">IFERROR(__xludf.DUMMYFUNCTION("""COMPUTED_VALUE"""),"")</f>
        <v/>
      </c>
      <c r="B2071" t="str">
        <f ca="1">IFERROR(__xludf.DUMMYFUNCTION("""COMPUTED_VALUE"""),"")</f>
        <v/>
      </c>
    </row>
    <row r="2072" spans="1:2" ht="15" customHeight="1">
      <c r="A2072" t="str">
        <f ca="1">IFERROR(__xludf.DUMMYFUNCTION("""COMPUTED_VALUE"""),"")</f>
        <v/>
      </c>
      <c r="B2072" t="str">
        <f ca="1">IFERROR(__xludf.DUMMYFUNCTION("""COMPUTED_VALUE"""),"")</f>
        <v/>
      </c>
    </row>
    <row r="2073" spans="1:2" ht="15" customHeight="1">
      <c r="A2073" t="str">
        <f ca="1">IFERROR(__xludf.DUMMYFUNCTION("""COMPUTED_VALUE"""),"")</f>
        <v/>
      </c>
      <c r="B2073" t="str">
        <f ca="1">IFERROR(__xludf.DUMMYFUNCTION("""COMPUTED_VALUE"""),"")</f>
        <v/>
      </c>
    </row>
    <row r="2074" spans="1:2" ht="15" customHeight="1">
      <c r="A2074" t="str">
        <f ca="1">IFERROR(__xludf.DUMMYFUNCTION("""COMPUTED_VALUE"""),"")</f>
        <v/>
      </c>
      <c r="B2074" t="str">
        <f ca="1">IFERROR(__xludf.DUMMYFUNCTION("""COMPUTED_VALUE"""),"")</f>
        <v/>
      </c>
    </row>
    <row r="2075" spans="1:2" ht="15" customHeight="1">
      <c r="A2075" t="str">
        <f ca="1">IFERROR(__xludf.DUMMYFUNCTION("""COMPUTED_VALUE"""),"")</f>
        <v/>
      </c>
      <c r="B2075" t="str">
        <f ca="1">IFERROR(__xludf.DUMMYFUNCTION("""COMPUTED_VALUE"""),"")</f>
        <v/>
      </c>
    </row>
    <row r="2076" spans="1:2" ht="15" customHeight="1">
      <c r="A2076" t="str">
        <f ca="1">IFERROR(__xludf.DUMMYFUNCTION("""COMPUTED_VALUE"""),"")</f>
        <v/>
      </c>
      <c r="B2076" t="str">
        <f ca="1">IFERROR(__xludf.DUMMYFUNCTION("""COMPUTED_VALUE"""),"")</f>
        <v/>
      </c>
    </row>
    <row r="2077" spans="1:2" ht="15" customHeight="1">
      <c r="A2077" t="str">
        <f ca="1">IFERROR(__xludf.DUMMYFUNCTION("""COMPUTED_VALUE"""),"")</f>
        <v/>
      </c>
      <c r="B2077" t="str">
        <f ca="1">IFERROR(__xludf.DUMMYFUNCTION("""COMPUTED_VALUE"""),"")</f>
        <v/>
      </c>
    </row>
    <row r="2078" spans="1:2" ht="15" customHeight="1">
      <c r="A2078" t="str">
        <f ca="1">IFERROR(__xludf.DUMMYFUNCTION("""COMPUTED_VALUE"""),"")</f>
        <v/>
      </c>
      <c r="B2078" t="str">
        <f ca="1">IFERROR(__xludf.DUMMYFUNCTION("""COMPUTED_VALUE"""),"")</f>
        <v/>
      </c>
    </row>
    <row r="2079" spans="1:2" ht="15" customHeight="1">
      <c r="A2079" t="str">
        <f ca="1">IFERROR(__xludf.DUMMYFUNCTION("""COMPUTED_VALUE"""),"")</f>
        <v/>
      </c>
      <c r="B2079" t="str">
        <f ca="1">IFERROR(__xludf.DUMMYFUNCTION("""COMPUTED_VALUE"""),"")</f>
        <v/>
      </c>
    </row>
    <row r="2080" spans="1:2" ht="15" customHeight="1">
      <c r="A2080" t="str">
        <f ca="1">IFERROR(__xludf.DUMMYFUNCTION("""COMPUTED_VALUE"""),"")</f>
        <v/>
      </c>
      <c r="B2080" t="str">
        <f ca="1">IFERROR(__xludf.DUMMYFUNCTION("""COMPUTED_VALUE"""),"")</f>
        <v/>
      </c>
    </row>
    <row r="2081" spans="1:2" ht="15" customHeight="1">
      <c r="A2081" t="str">
        <f ca="1">IFERROR(__xludf.DUMMYFUNCTION("""COMPUTED_VALUE"""),"")</f>
        <v/>
      </c>
      <c r="B2081" t="str">
        <f ca="1">IFERROR(__xludf.DUMMYFUNCTION("""COMPUTED_VALUE"""),"")</f>
        <v/>
      </c>
    </row>
    <row r="2082" spans="1:2" ht="15" customHeight="1">
      <c r="A2082" t="str">
        <f ca="1">IFERROR(__xludf.DUMMYFUNCTION("""COMPUTED_VALUE"""),"")</f>
        <v/>
      </c>
      <c r="B2082" t="str">
        <f ca="1">IFERROR(__xludf.DUMMYFUNCTION("""COMPUTED_VALUE"""),"")</f>
        <v/>
      </c>
    </row>
    <row r="2083" spans="1:2" ht="15" customHeight="1">
      <c r="A2083" t="str">
        <f ca="1">IFERROR(__xludf.DUMMYFUNCTION("""COMPUTED_VALUE"""),"")</f>
        <v/>
      </c>
      <c r="B2083" t="str">
        <f ca="1">IFERROR(__xludf.DUMMYFUNCTION("""COMPUTED_VALUE"""),"")</f>
        <v/>
      </c>
    </row>
    <row r="2084" spans="1:2" ht="15" customHeight="1">
      <c r="A2084" t="str">
        <f ca="1">IFERROR(__xludf.DUMMYFUNCTION("""COMPUTED_VALUE"""),"")</f>
        <v/>
      </c>
      <c r="B2084" t="str">
        <f ca="1">IFERROR(__xludf.DUMMYFUNCTION("""COMPUTED_VALUE"""),"")</f>
        <v/>
      </c>
    </row>
    <row r="2085" spans="1:2" ht="15" customHeight="1">
      <c r="A2085" t="str">
        <f ca="1">IFERROR(__xludf.DUMMYFUNCTION("""COMPUTED_VALUE"""),"")</f>
        <v/>
      </c>
      <c r="B2085" t="str">
        <f ca="1">IFERROR(__xludf.DUMMYFUNCTION("""COMPUTED_VALUE"""),"")</f>
        <v/>
      </c>
    </row>
    <row r="2086" spans="1:2" ht="15" customHeight="1">
      <c r="A2086" t="str">
        <f ca="1">IFERROR(__xludf.DUMMYFUNCTION("""COMPUTED_VALUE"""),"")</f>
        <v/>
      </c>
      <c r="B2086" t="str">
        <f ca="1">IFERROR(__xludf.DUMMYFUNCTION("""COMPUTED_VALUE"""),"")</f>
        <v/>
      </c>
    </row>
    <row r="2087" spans="1:2" ht="15" customHeight="1">
      <c r="A2087" t="str">
        <f ca="1">IFERROR(__xludf.DUMMYFUNCTION("""COMPUTED_VALUE"""),"")</f>
        <v/>
      </c>
      <c r="B2087" t="str">
        <f ca="1">IFERROR(__xludf.DUMMYFUNCTION("""COMPUTED_VALUE"""),"")</f>
        <v/>
      </c>
    </row>
    <row r="2088" spans="1:2" ht="15" customHeight="1">
      <c r="A2088" t="str">
        <f ca="1">IFERROR(__xludf.DUMMYFUNCTION("""COMPUTED_VALUE"""),"")</f>
        <v/>
      </c>
      <c r="B2088" t="str">
        <f ca="1">IFERROR(__xludf.DUMMYFUNCTION("""COMPUTED_VALUE"""),"")</f>
        <v/>
      </c>
    </row>
    <row r="2089" spans="1:2" ht="15" customHeight="1">
      <c r="A2089" t="str">
        <f ca="1">IFERROR(__xludf.DUMMYFUNCTION("""COMPUTED_VALUE"""),"")</f>
        <v/>
      </c>
      <c r="B2089" t="str">
        <f ca="1">IFERROR(__xludf.DUMMYFUNCTION("""COMPUTED_VALUE"""),"")</f>
        <v/>
      </c>
    </row>
    <row r="2090" spans="1:2" ht="15" customHeight="1">
      <c r="A2090" t="str">
        <f ca="1">IFERROR(__xludf.DUMMYFUNCTION("""COMPUTED_VALUE"""),"")</f>
        <v/>
      </c>
      <c r="B2090" t="str">
        <f ca="1">IFERROR(__xludf.DUMMYFUNCTION("""COMPUTED_VALUE"""),"")</f>
        <v/>
      </c>
    </row>
    <row r="2091" spans="1:2" ht="15" customHeight="1">
      <c r="A2091" t="str">
        <f ca="1">IFERROR(__xludf.DUMMYFUNCTION("""COMPUTED_VALUE"""),"")</f>
        <v/>
      </c>
      <c r="B2091" t="str">
        <f ca="1">IFERROR(__xludf.DUMMYFUNCTION("""COMPUTED_VALUE"""),"")</f>
        <v/>
      </c>
    </row>
    <row r="2092" spans="1:2" ht="15" customHeight="1">
      <c r="A2092" t="str">
        <f ca="1">IFERROR(__xludf.DUMMYFUNCTION("""COMPUTED_VALUE"""),"")</f>
        <v/>
      </c>
      <c r="B2092" t="str">
        <f ca="1">IFERROR(__xludf.DUMMYFUNCTION("""COMPUTED_VALUE"""),"")</f>
        <v/>
      </c>
    </row>
    <row r="2093" spans="1:2" ht="15" customHeight="1">
      <c r="A2093" t="str">
        <f ca="1">IFERROR(__xludf.DUMMYFUNCTION("""COMPUTED_VALUE"""),"")</f>
        <v/>
      </c>
      <c r="B2093" t="str">
        <f ca="1">IFERROR(__xludf.DUMMYFUNCTION("""COMPUTED_VALUE"""),"")</f>
        <v/>
      </c>
    </row>
    <row r="2094" spans="1:2" ht="15" customHeight="1">
      <c r="A2094" t="str">
        <f ca="1">IFERROR(__xludf.DUMMYFUNCTION("""COMPUTED_VALUE"""),"")</f>
        <v/>
      </c>
      <c r="B2094" t="str">
        <f ca="1">IFERROR(__xludf.DUMMYFUNCTION("""COMPUTED_VALUE"""),"")</f>
        <v/>
      </c>
    </row>
    <row r="2095" spans="1:2" ht="15" customHeight="1">
      <c r="A2095" t="str">
        <f ca="1">IFERROR(__xludf.DUMMYFUNCTION("""COMPUTED_VALUE"""),"")</f>
        <v/>
      </c>
      <c r="B2095" t="str">
        <f ca="1">IFERROR(__xludf.DUMMYFUNCTION("""COMPUTED_VALUE"""),"")</f>
        <v/>
      </c>
    </row>
    <row r="2096" spans="1:2" ht="15" customHeight="1">
      <c r="A2096" t="str">
        <f ca="1">IFERROR(__xludf.DUMMYFUNCTION("""COMPUTED_VALUE"""),"")</f>
        <v/>
      </c>
      <c r="B2096" t="str">
        <f ca="1">IFERROR(__xludf.DUMMYFUNCTION("""COMPUTED_VALUE"""),"")</f>
        <v/>
      </c>
    </row>
    <row r="2097" spans="1:2" ht="15" customHeight="1">
      <c r="A2097" t="str">
        <f ca="1">IFERROR(__xludf.DUMMYFUNCTION("""COMPUTED_VALUE"""),"")</f>
        <v/>
      </c>
      <c r="B2097" t="str">
        <f ca="1">IFERROR(__xludf.DUMMYFUNCTION("""COMPUTED_VALUE"""),"")</f>
        <v/>
      </c>
    </row>
    <row r="2098" spans="1:2" ht="15" customHeight="1">
      <c r="A2098" t="str">
        <f ca="1">IFERROR(__xludf.DUMMYFUNCTION("""COMPUTED_VALUE"""),"")</f>
        <v/>
      </c>
      <c r="B2098" t="str">
        <f ca="1">IFERROR(__xludf.DUMMYFUNCTION("""COMPUTED_VALUE"""),"")</f>
        <v/>
      </c>
    </row>
    <row r="2099" spans="1:2" ht="15" customHeight="1">
      <c r="A2099" t="str">
        <f ca="1">IFERROR(__xludf.DUMMYFUNCTION("""COMPUTED_VALUE"""),"")</f>
        <v/>
      </c>
      <c r="B2099" t="str">
        <f ca="1">IFERROR(__xludf.DUMMYFUNCTION("""COMPUTED_VALUE"""),"")</f>
        <v/>
      </c>
    </row>
    <row r="2100" spans="1:2" ht="15" customHeight="1">
      <c r="A2100" t="str">
        <f ca="1">IFERROR(__xludf.DUMMYFUNCTION("""COMPUTED_VALUE"""),"")</f>
        <v/>
      </c>
      <c r="B2100" t="str">
        <f ca="1">IFERROR(__xludf.DUMMYFUNCTION("""COMPUTED_VALUE"""),"")</f>
        <v/>
      </c>
    </row>
    <row r="2101" spans="1:2" ht="15" customHeight="1">
      <c r="A2101" t="str">
        <f ca="1">IFERROR(__xludf.DUMMYFUNCTION("""COMPUTED_VALUE"""),"")</f>
        <v/>
      </c>
      <c r="B2101" t="str">
        <f ca="1">IFERROR(__xludf.DUMMYFUNCTION("""COMPUTED_VALUE"""),"")</f>
        <v/>
      </c>
    </row>
    <row r="2102" spans="1:2" ht="15" customHeight="1">
      <c r="A2102" t="str">
        <f ca="1">IFERROR(__xludf.DUMMYFUNCTION("""COMPUTED_VALUE"""),"")</f>
        <v/>
      </c>
      <c r="B2102" t="str">
        <f ca="1">IFERROR(__xludf.DUMMYFUNCTION("""COMPUTED_VALUE"""),"")</f>
        <v/>
      </c>
    </row>
    <row r="2103" spans="1:2" ht="15" customHeight="1">
      <c r="A2103" t="str">
        <f ca="1">IFERROR(__xludf.DUMMYFUNCTION("""COMPUTED_VALUE"""),"")</f>
        <v/>
      </c>
      <c r="B2103" t="str">
        <f ca="1">IFERROR(__xludf.DUMMYFUNCTION("""COMPUTED_VALUE"""),"")</f>
        <v/>
      </c>
    </row>
    <row r="2104" spans="1:2" ht="15" customHeight="1">
      <c r="A2104" t="str">
        <f ca="1">IFERROR(__xludf.DUMMYFUNCTION("""COMPUTED_VALUE"""),"")</f>
        <v/>
      </c>
      <c r="B2104" t="str">
        <f ca="1">IFERROR(__xludf.DUMMYFUNCTION("""COMPUTED_VALUE"""),"")</f>
        <v/>
      </c>
    </row>
    <row r="2105" spans="1:2" ht="15" customHeight="1">
      <c r="A2105" t="str">
        <f ca="1">IFERROR(__xludf.DUMMYFUNCTION("""COMPUTED_VALUE"""),"")</f>
        <v/>
      </c>
      <c r="B2105" t="str">
        <f ca="1">IFERROR(__xludf.DUMMYFUNCTION("""COMPUTED_VALUE"""),"")</f>
        <v/>
      </c>
    </row>
    <row r="2106" spans="1:2" ht="15" customHeight="1">
      <c r="A2106" t="str">
        <f ca="1">IFERROR(__xludf.DUMMYFUNCTION("""COMPUTED_VALUE"""),"")</f>
        <v/>
      </c>
      <c r="B2106" t="str">
        <f ca="1">IFERROR(__xludf.DUMMYFUNCTION("""COMPUTED_VALUE"""),"")</f>
        <v/>
      </c>
    </row>
    <row r="2107" spans="1:2" ht="15" customHeight="1">
      <c r="A2107" t="str">
        <f ca="1">IFERROR(__xludf.DUMMYFUNCTION("""COMPUTED_VALUE"""),"")</f>
        <v/>
      </c>
      <c r="B2107" t="str">
        <f ca="1">IFERROR(__xludf.DUMMYFUNCTION("""COMPUTED_VALUE"""),"")</f>
        <v/>
      </c>
    </row>
    <row r="2108" spans="1:2" ht="15" customHeight="1">
      <c r="A2108" t="str">
        <f ca="1">IFERROR(__xludf.DUMMYFUNCTION("""COMPUTED_VALUE"""),"")</f>
        <v/>
      </c>
      <c r="B2108" t="str">
        <f ca="1">IFERROR(__xludf.DUMMYFUNCTION("""COMPUTED_VALUE"""),"")</f>
        <v/>
      </c>
    </row>
    <row r="2109" spans="1:2" ht="15" customHeight="1">
      <c r="A2109" t="str">
        <f ca="1">IFERROR(__xludf.DUMMYFUNCTION("""COMPUTED_VALUE"""),"")</f>
        <v/>
      </c>
      <c r="B2109" t="str">
        <f ca="1">IFERROR(__xludf.DUMMYFUNCTION("""COMPUTED_VALUE"""),"")</f>
        <v/>
      </c>
    </row>
    <row r="2110" spans="1:2" ht="15" customHeight="1">
      <c r="A2110" t="str">
        <f ca="1">IFERROR(__xludf.DUMMYFUNCTION("""COMPUTED_VALUE"""),"")</f>
        <v/>
      </c>
      <c r="B2110" t="str">
        <f ca="1">IFERROR(__xludf.DUMMYFUNCTION("""COMPUTED_VALUE"""),"")</f>
        <v/>
      </c>
    </row>
    <row r="2111" spans="1:2" ht="15" customHeight="1">
      <c r="A2111" t="str">
        <f ca="1">IFERROR(__xludf.DUMMYFUNCTION("""COMPUTED_VALUE"""),"")</f>
        <v/>
      </c>
      <c r="B2111" t="str">
        <f ca="1">IFERROR(__xludf.DUMMYFUNCTION("""COMPUTED_VALUE"""),"")</f>
        <v/>
      </c>
    </row>
    <row r="2112" spans="1:2" ht="15" customHeight="1">
      <c r="A2112" t="str">
        <f ca="1">IFERROR(__xludf.DUMMYFUNCTION("""COMPUTED_VALUE"""),"")</f>
        <v/>
      </c>
      <c r="B2112" t="str">
        <f ca="1">IFERROR(__xludf.DUMMYFUNCTION("""COMPUTED_VALUE"""),"")</f>
        <v/>
      </c>
    </row>
    <row r="2113" spans="1:2" ht="15" customHeight="1">
      <c r="A2113" t="str">
        <f ca="1">IFERROR(__xludf.DUMMYFUNCTION("""COMPUTED_VALUE"""),"")</f>
        <v/>
      </c>
      <c r="B2113" t="str">
        <f ca="1">IFERROR(__xludf.DUMMYFUNCTION("""COMPUTED_VALUE"""),"")</f>
        <v/>
      </c>
    </row>
    <row r="2114" spans="1:2" ht="15" customHeight="1">
      <c r="A2114" t="str">
        <f ca="1">IFERROR(__xludf.DUMMYFUNCTION("""COMPUTED_VALUE"""),"")</f>
        <v/>
      </c>
      <c r="B2114" t="str">
        <f ca="1">IFERROR(__xludf.DUMMYFUNCTION("""COMPUTED_VALUE"""),"")</f>
        <v/>
      </c>
    </row>
    <row r="2115" spans="1:2" ht="15" customHeight="1">
      <c r="A2115" t="str">
        <f ca="1">IFERROR(__xludf.DUMMYFUNCTION("""COMPUTED_VALUE"""),"")</f>
        <v/>
      </c>
      <c r="B2115" t="str">
        <f ca="1">IFERROR(__xludf.DUMMYFUNCTION("""COMPUTED_VALUE"""),"")</f>
        <v/>
      </c>
    </row>
    <row r="2116" spans="1:2" ht="15" customHeight="1">
      <c r="A2116" t="str">
        <f ca="1">IFERROR(__xludf.DUMMYFUNCTION("""COMPUTED_VALUE"""),"")</f>
        <v/>
      </c>
      <c r="B2116" t="str">
        <f ca="1">IFERROR(__xludf.DUMMYFUNCTION("""COMPUTED_VALUE"""),"")</f>
        <v/>
      </c>
    </row>
    <row r="2117" spans="1:2" ht="15" customHeight="1">
      <c r="A2117" t="str">
        <f ca="1">IFERROR(__xludf.DUMMYFUNCTION("""COMPUTED_VALUE"""),"")</f>
        <v/>
      </c>
      <c r="B2117" t="str">
        <f ca="1">IFERROR(__xludf.DUMMYFUNCTION("""COMPUTED_VALUE"""),"")</f>
        <v/>
      </c>
    </row>
    <row r="2118" spans="1:2" ht="15" customHeight="1">
      <c r="A2118" t="str">
        <f ca="1">IFERROR(__xludf.DUMMYFUNCTION("""COMPUTED_VALUE"""),"")</f>
        <v/>
      </c>
      <c r="B2118" t="str">
        <f ca="1">IFERROR(__xludf.DUMMYFUNCTION("""COMPUTED_VALUE"""),"")</f>
        <v/>
      </c>
    </row>
    <row r="2119" spans="1:2" ht="15" customHeight="1">
      <c r="A2119" t="str">
        <f ca="1">IFERROR(__xludf.DUMMYFUNCTION("""COMPUTED_VALUE"""),"")</f>
        <v/>
      </c>
      <c r="B2119" t="str">
        <f ca="1">IFERROR(__xludf.DUMMYFUNCTION("""COMPUTED_VALUE"""),"")</f>
        <v/>
      </c>
    </row>
    <row r="2120" spans="1:2" ht="15" customHeight="1">
      <c r="A2120" t="str">
        <f ca="1">IFERROR(__xludf.DUMMYFUNCTION("""COMPUTED_VALUE"""),"")</f>
        <v/>
      </c>
      <c r="B2120" t="str">
        <f ca="1">IFERROR(__xludf.DUMMYFUNCTION("""COMPUTED_VALUE"""),"")</f>
        <v/>
      </c>
    </row>
    <row r="2121" spans="1:2" ht="15" customHeight="1">
      <c r="A2121" t="str">
        <f ca="1">IFERROR(__xludf.DUMMYFUNCTION("""COMPUTED_VALUE"""),"")</f>
        <v/>
      </c>
      <c r="B2121" t="str">
        <f ca="1">IFERROR(__xludf.DUMMYFUNCTION("""COMPUTED_VALUE"""),"")</f>
        <v/>
      </c>
    </row>
    <row r="2122" spans="1:2" ht="15" customHeight="1">
      <c r="A2122" t="str">
        <f ca="1">IFERROR(__xludf.DUMMYFUNCTION("""COMPUTED_VALUE"""),"")</f>
        <v/>
      </c>
      <c r="B2122" t="str">
        <f ca="1">IFERROR(__xludf.DUMMYFUNCTION("""COMPUTED_VALUE"""),"")</f>
        <v/>
      </c>
    </row>
    <row r="2123" spans="1:2" ht="15" customHeight="1">
      <c r="A2123" t="str">
        <f ca="1">IFERROR(__xludf.DUMMYFUNCTION("""COMPUTED_VALUE"""),"")</f>
        <v/>
      </c>
      <c r="B2123" t="str">
        <f ca="1">IFERROR(__xludf.DUMMYFUNCTION("""COMPUTED_VALUE"""),"")</f>
        <v/>
      </c>
    </row>
    <row r="2124" spans="1:2" ht="15" customHeight="1">
      <c r="A2124" t="str">
        <f ca="1">IFERROR(__xludf.DUMMYFUNCTION("""COMPUTED_VALUE"""),"")</f>
        <v/>
      </c>
      <c r="B2124" t="str">
        <f ca="1">IFERROR(__xludf.DUMMYFUNCTION("""COMPUTED_VALUE"""),"")</f>
        <v/>
      </c>
    </row>
    <row r="2125" spans="1:2" ht="15" customHeight="1">
      <c r="A2125" t="str">
        <f ca="1">IFERROR(__xludf.DUMMYFUNCTION("""COMPUTED_VALUE"""),"")</f>
        <v/>
      </c>
      <c r="B2125" t="str">
        <f ca="1">IFERROR(__xludf.DUMMYFUNCTION("""COMPUTED_VALUE"""),"")</f>
        <v/>
      </c>
    </row>
    <row r="2126" spans="1:2" ht="15" customHeight="1">
      <c r="A2126" t="str">
        <f ca="1">IFERROR(__xludf.DUMMYFUNCTION("""COMPUTED_VALUE"""),"")</f>
        <v/>
      </c>
      <c r="B2126" t="str">
        <f ca="1">IFERROR(__xludf.DUMMYFUNCTION("""COMPUTED_VALUE"""),"")</f>
        <v/>
      </c>
    </row>
    <row r="2127" spans="1:2" ht="15" customHeight="1">
      <c r="A2127" t="str">
        <f ca="1">IFERROR(__xludf.DUMMYFUNCTION("""COMPUTED_VALUE"""),"")</f>
        <v/>
      </c>
      <c r="B2127" t="str">
        <f ca="1">IFERROR(__xludf.DUMMYFUNCTION("""COMPUTED_VALUE"""),"")</f>
        <v/>
      </c>
    </row>
    <row r="2128" spans="1:2" ht="15" customHeight="1">
      <c r="A2128" t="str">
        <f ca="1">IFERROR(__xludf.DUMMYFUNCTION("""COMPUTED_VALUE"""),"")</f>
        <v/>
      </c>
      <c r="B2128" t="str">
        <f ca="1">IFERROR(__xludf.DUMMYFUNCTION("""COMPUTED_VALUE"""),"")</f>
        <v/>
      </c>
    </row>
    <row r="2129" spans="1:2" ht="15" customHeight="1">
      <c r="A2129" t="str">
        <f ca="1">IFERROR(__xludf.DUMMYFUNCTION("""COMPUTED_VALUE"""),"")</f>
        <v/>
      </c>
      <c r="B2129" t="str">
        <f ca="1">IFERROR(__xludf.DUMMYFUNCTION("""COMPUTED_VALUE"""),"")</f>
        <v/>
      </c>
    </row>
    <row r="2130" spans="1:2" ht="15" customHeight="1">
      <c r="A2130" t="str">
        <f ca="1">IFERROR(__xludf.DUMMYFUNCTION("""COMPUTED_VALUE"""),"")</f>
        <v/>
      </c>
      <c r="B2130" t="str">
        <f ca="1">IFERROR(__xludf.DUMMYFUNCTION("""COMPUTED_VALUE"""),"")</f>
        <v/>
      </c>
    </row>
    <row r="2131" spans="1:2" ht="15" customHeight="1">
      <c r="A2131" t="str">
        <f ca="1">IFERROR(__xludf.DUMMYFUNCTION("""COMPUTED_VALUE"""),"")</f>
        <v/>
      </c>
      <c r="B2131" t="str">
        <f ca="1">IFERROR(__xludf.DUMMYFUNCTION("""COMPUTED_VALUE"""),"")</f>
        <v/>
      </c>
    </row>
    <row r="2132" spans="1:2" ht="15" customHeight="1">
      <c r="A2132" t="str">
        <f ca="1">IFERROR(__xludf.DUMMYFUNCTION("""COMPUTED_VALUE"""),"")</f>
        <v/>
      </c>
      <c r="B2132" t="str">
        <f ca="1">IFERROR(__xludf.DUMMYFUNCTION("""COMPUTED_VALUE"""),"")</f>
        <v/>
      </c>
    </row>
    <row r="2133" spans="1:2" ht="15" customHeight="1">
      <c r="A2133" t="str">
        <f ca="1">IFERROR(__xludf.DUMMYFUNCTION("""COMPUTED_VALUE"""),"")</f>
        <v/>
      </c>
      <c r="B2133" t="str">
        <f ca="1">IFERROR(__xludf.DUMMYFUNCTION("""COMPUTED_VALUE"""),"")</f>
        <v/>
      </c>
    </row>
    <row r="2134" spans="1:2" ht="15" customHeight="1">
      <c r="A2134" t="str">
        <f ca="1">IFERROR(__xludf.DUMMYFUNCTION("""COMPUTED_VALUE"""),"")</f>
        <v/>
      </c>
      <c r="B2134" t="str">
        <f ca="1">IFERROR(__xludf.DUMMYFUNCTION("""COMPUTED_VALUE"""),"")</f>
        <v/>
      </c>
    </row>
    <row r="2135" spans="1:2" ht="15" customHeight="1">
      <c r="A2135" t="str">
        <f ca="1">IFERROR(__xludf.DUMMYFUNCTION("""COMPUTED_VALUE"""),"")</f>
        <v/>
      </c>
      <c r="B2135" t="str">
        <f ca="1">IFERROR(__xludf.DUMMYFUNCTION("""COMPUTED_VALUE"""),"")</f>
        <v/>
      </c>
    </row>
    <row r="2136" spans="1:2" ht="15" customHeight="1">
      <c r="A2136" t="str">
        <f ca="1">IFERROR(__xludf.DUMMYFUNCTION("""COMPUTED_VALUE"""),"")</f>
        <v/>
      </c>
      <c r="B2136" t="str">
        <f ca="1">IFERROR(__xludf.DUMMYFUNCTION("""COMPUTED_VALUE"""),"")</f>
        <v/>
      </c>
    </row>
    <row r="2137" spans="1:2" ht="15" customHeight="1">
      <c r="A2137" t="str">
        <f ca="1">IFERROR(__xludf.DUMMYFUNCTION("""COMPUTED_VALUE"""),"")</f>
        <v/>
      </c>
      <c r="B2137" t="str">
        <f ca="1">IFERROR(__xludf.DUMMYFUNCTION("""COMPUTED_VALUE"""),"")</f>
        <v/>
      </c>
    </row>
    <row r="2138" spans="1:2" ht="15" customHeight="1">
      <c r="A2138" t="str">
        <f ca="1">IFERROR(__xludf.DUMMYFUNCTION("""COMPUTED_VALUE"""),"")</f>
        <v/>
      </c>
      <c r="B2138" t="str">
        <f ca="1">IFERROR(__xludf.DUMMYFUNCTION("""COMPUTED_VALUE"""),"")</f>
        <v/>
      </c>
    </row>
    <row r="2139" spans="1:2" ht="15" customHeight="1">
      <c r="A2139" t="str">
        <f ca="1">IFERROR(__xludf.DUMMYFUNCTION("""COMPUTED_VALUE"""),"")</f>
        <v/>
      </c>
      <c r="B2139" t="str">
        <f ca="1">IFERROR(__xludf.DUMMYFUNCTION("""COMPUTED_VALUE"""),"")</f>
        <v/>
      </c>
    </row>
    <row r="2140" spans="1:2" ht="15" customHeight="1">
      <c r="A2140" t="str">
        <f ca="1">IFERROR(__xludf.DUMMYFUNCTION("""COMPUTED_VALUE"""),"")</f>
        <v/>
      </c>
      <c r="B2140" t="str">
        <f ca="1">IFERROR(__xludf.DUMMYFUNCTION("""COMPUTED_VALUE"""),"")</f>
        <v/>
      </c>
    </row>
    <row r="2141" spans="1:2" ht="15" customHeight="1">
      <c r="A2141" t="str">
        <f ca="1">IFERROR(__xludf.DUMMYFUNCTION("""COMPUTED_VALUE"""),"")</f>
        <v/>
      </c>
      <c r="B2141" t="str">
        <f ca="1">IFERROR(__xludf.DUMMYFUNCTION("""COMPUTED_VALUE"""),"")</f>
        <v/>
      </c>
    </row>
    <row r="2142" spans="1:2" ht="15" customHeight="1">
      <c r="A2142" t="str">
        <f ca="1">IFERROR(__xludf.DUMMYFUNCTION("""COMPUTED_VALUE"""),"")</f>
        <v/>
      </c>
      <c r="B2142" t="str">
        <f ca="1">IFERROR(__xludf.DUMMYFUNCTION("""COMPUTED_VALUE"""),"")</f>
        <v/>
      </c>
    </row>
    <row r="2143" spans="1:2" ht="15" customHeight="1">
      <c r="A2143" t="str">
        <f ca="1">IFERROR(__xludf.DUMMYFUNCTION("""COMPUTED_VALUE"""),"")</f>
        <v/>
      </c>
      <c r="B2143" t="str">
        <f ca="1">IFERROR(__xludf.DUMMYFUNCTION("""COMPUTED_VALUE"""),"")</f>
        <v/>
      </c>
    </row>
    <row r="2144" spans="1:2" ht="15" customHeight="1">
      <c r="A2144" t="str">
        <f ca="1">IFERROR(__xludf.DUMMYFUNCTION("""COMPUTED_VALUE"""),"")</f>
        <v/>
      </c>
      <c r="B2144" t="str">
        <f ca="1">IFERROR(__xludf.DUMMYFUNCTION("""COMPUTED_VALUE"""),"")</f>
        <v/>
      </c>
    </row>
    <row r="2145" spans="1:2" ht="15" customHeight="1">
      <c r="A2145" t="str">
        <f ca="1">IFERROR(__xludf.DUMMYFUNCTION("""COMPUTED_VALUE"""),"")</f>
        <v/>
      </c>
      <c r="B2145" t="str">
        <f ca="1">IFERROR(__xludf.DUMMYFUNCTION("""COMPUTED_VALUE"""),"")</f>
        <v/>
      </c>
    </row>
    <row r="2146" spans="1:2" ht="15" customHeight="1">
      <c r="A2146" t="str">
        <f ca="1">IFERROR(__xludf.DUMMYFUNCTION("""COMPUTED_VALUE"""),"")</f>
        <v/>
      </c>
      <c r="B2146" t="str">
        <f ca="1">IFERROR(__xludf.DUMMYFUNCTION("""COMPUTED_VALUE"""),"")</f>
        <v/>
      </c>
    </row>
    <row r="2147" spans="1:2" ht="15" customHeight="1">
      <c r="A2147" t="str">
        <f ca="1">IFERROR(__xludf.DUMMYFUNCTION("""COMPUTED_VALUE"""),"")</f>
        <v/>
      </c>
      <c r="B2147" t="str">
        <f ca="1">IFERROR(__xludf.DUMMYFUNCTION("""COMPUTED_VALUE"""),"")</f>
        <v/>
      </c>
    </row>
    <row r="2148" spans="1:2" ht="15" customHeight="1">
      <c r="A2148" t="str">
        <f ca="1">IFERROR(__xludf.DUMMYFUNCTION("""COMPUTED_VALUE"""),"")</f>
        <v/>
      </c>
      <c r="B2148" t="str">
        <f ca="1">IFERROR(__xludf.DUMMYFUNCTION("""COMPUTED_VALUE"""),"")</f>
        <v/>
      </c>
    </row>
    <row r="2149" spans="1:2" ht="15" customHeight="1">
      <c r="A2149" t="str">
        <f ca="1">IFERROR(__xludf.DUMMYFUNCTION("""COMPUTED_VALUE"""),"")</f>
        <v/>
      </c>
      <c r="B2149" t="str">
        <f ca="1">IFERROR(__xludf.DUMMYFUNCTION("""COMPUTED_VALUE"""),"")</f>
        <v/>
      </c>
    </row>
    <row r="2150" spans="1:2" ht="15" customHeight="1">
      <c r="A2150" t="str">
        <f ca="1">IFERROR(__xludf.DUMMYFUNCTION("""COMPUTED_VALUE"""),"")</f>
        <v/>
      </c>
      <c r="B2150" t="str">
        <f ca="1">IFERROR(__xludf.DUMMYFUNCTION("""COMPUTED_VALUE"""),"")</f>
        <v/>
      </c>
    </row>
    <row r="2151" spans="1:2" ht="15" customHeight="1">
      <c r="A2151" t="str">
        <f ca="1">IFERROR(__xludf.DUMMYFUNCTION("""COMPUTED_VALUE"""),"")</f>
        <v/>
      </c>
      <c r="B2151" t="str">
        <f ca="1">IFERROR(__xludf.DUMMYFUNCTION("""COMPUTED_VALUE"""),"")</f>
        <v/>
      </c>
    </row>
    <row r="2152" spans="1:2" ht="15" customHeight="1">
      <c r="A2152" t="str">
        <f ca="1">IFERROR(__xludf.DUMMYFUNCTION("""COMPUTED_VALUE"""),"")</f>
        <v/>
      </c>
      <c r="B2152" t="str">
        <f ca="1">IFERROR(__xludf.DUMMYFUNCTION("""COMPUTED_VALUE"""),"")</f>
        <v/>
      </c>
    </row>
    <row r="2153" spans="1:2" ht="15" customHeight="1">
      <c r="A2153" t="str">
        <f ca="1">IFERROR(__xludf.DUMMYFUNCTION("""COMPUTED_VALUE"""),"")</f>
        <v/>
      </c>
      <c r="B2153" t="str">
        <f ca="1">IFERROR(__xludf.DUMMYFUNCTION("""COMPUTED_VALUE"""),"")</f>
        <v/>
      </c>
    </row>
    <row r="2154" spans="1:2" ht="15" customHeight="1">
      <c r="A2154" t="str">
        <f ca="1">IFERROR(__xludf.DUMMYFUNCTION("""COMPUTED_VALUE"""),"")</f>
        <v/>
      </c>
      <c r="B2154" t="str">
        <f ca="1">IFERROR(__xludf.DUMMYFUNCTION("""COMPUTED_VALUE"""),"")</f>
        <v/>
      </c>
    </row>
    <row r="2155" spans="1:2" ht="15" customHeight="1">
      <c r="A2155" t="str">
        <f ca="1">IFERROR(__xludf.DUMMYFUNCTION("""COMPUTED_VALUE"""),"")</f>
        <v/>
      </c>
      <c r="B2155" t="str">
        <f ca="1">IFERROR(__xludf.DUMMYFUNCTION("""COMPUTED_VALUE"""),"")</f>
        <v/>
      </c>
    </row>
    <row r="2156" spans="1:2" ht="15" customHeight="1">
      <c r="A2156" t="str">
        <f ca="1">IFERROR(__xludf.DUMMYFUNCTION("""COMPUTED_VALUE"""),"")</f>
        <v/>
      </c>
      <c r="B2156" t="str">
        <f ca="1">IFERROR(__xludf.DUMMYFUNCTION("""COMPUTED_VALUE"""),"")</f>
        <v/>
      </c>
    </row>
    <row r="2157" spans="1:2" ht="15" customHeight="1">
      <c r="A2157" t="str">
        <f ca="1">IFERROR(__xludf.DUMMYFUNCTION("""COMPUTED_VALUE"""),"")</f>
        <v/>
      </c>
      <c r="B2157" t="str">
        <f ca="1">IFERROR(__xludf.DUMMYFUNCTION("""COMPUTED_VALUE"""),"")</f>
        <v/>
      </c>
    </row>
    <row r="2158" spans="1:2" ht="15" customHeight="1">
      <c r="A2158" t="str">
        <f ca="1">IFERROR(__xludf.DUMMYFUNCTION("""COMPUTED_VALUE"""),"")</f>
        <v/>
      </c>
      <c r="B2158" t="str">
        <f ca="1">IFERROR(__xludf.DUMMYFUNCTION("""COMPUTED_VALUE"""),"")</f>
        <v/>
      </c>
    </row>
    <row r="2159" spans="1:2" ht="15" customHeight="1">
      <c r="A2159" t="str">
        <f ca="1">IFERROR(__xludf.DUMMYFUNCTION("""COMPUTED_VALUE"""),"")</f>
        <v/>
      </c>
      <c r="B2159" t="str">
        <f ca="1">IFERROR(__xludf.DUMMYFUNCTION("""COMPUTED_VALUE"""),"")</f>
        <v/>
      </c>
    </row>
    <row r="2160" spans="1:2" ht="15" customHeight="1">
      <c r="A2160" t="str">
        <f ca="1">IFERROR(__xludf.DUMMYFUNCTION("""COMPUTED_VALUE"""),"")</f>
        <v/>
      </c>
      <c r="B2160" t="str">
        <f ca="1">IFERROR(__xludf.DUMMYFUNCTION("""COMPUTED_VALUE"""),"")</f>
        <v/>
      </c>
    </row>
    <row r="2161" spans="1:2" ht="15" customHeight="1">
      <c r="A2161" t="str">
        <f ca="1">IFERROR(__xludf.DUMMYFUNCTION("""COMPUTED_VALUE"""),"")</f>
        <v/>
      </c>
      <c r="B2161" t="str">
        <f ca="1">IFERROR(__xludf.DUMMYFUNCTION("""COMPUTED_VALUE"""),"")</f>
        <v/>
      </c>
    </row>
    <row r="2162" spans="1:2" ht="15" customHeight="1">
      <c r="A2162" t="str">
        <f ca="1">IFERROR(__xludf.DUMMYFUNCTION("""COMPUTED_VALUE"""),"")</f>
        <v/>
      </c>
      <c r="B2162" t="str">
        <f ca="1">IFERROR(__xludf.DUMMYFUNCTION("""COMPUTED_VALUE"""),"")</f>
        <v/>
      </c>
    </row>
    <row r="2163" spans="1:2" ht="15" customHeight="1">
      <c r="A2163" t="str">
        <f ca="1">IFERROR(__xludf.DUMMYFUNCTION("""COMPUTED_VALUE"""),"")</f>
        <v/>
      </c>
      <c r="B2163" t="str">
        <f ca="1">IFERROR(__xludf.DUMMYFUNCTION("""COMPUTED_VALUE"""),"")</f>
        <v/>
      </c>
    </row>
    <row r="2164" spans="1:2" ht="15" customHeight="1">
      <c r="A2164" t="str">
        <f ca="1">IFERROR(__xludf.DUMMYFUNCTION("""COMPUTED_VALUE"""),"")</f>
        <v/>
      </c>
      <c r="B2164" t="str">
        <f ca="1">IFERROR(__xludf.DUMMYFUNCTION("""COMPUTED_VALUE"""),"")</f>
        <v/>
      </c>
    </row>
    <row r="2165" spans="1:2" ht="15" customHeight="1">
      <c r="A2165" t="str">
        <f ca="1">IFERROR(__xludf.DUMMYFUNCTION("""COMPUTED_VALUE"""),"")</f>
        <v/>
      </c>
      <c r="B2165" t="str">
        <f ca="1">IFERROR(__xludf.DUMMYFUNCTION("""COMPUTED_VALUE"""),"")</f>
        <v/>
      </c>
    </row>
    <row r="2166" spans="1:2" ht="15" customHeight="1">
      <c r="A2166" t="str">
        <f ca="1">IFERROR(__xludf.DUMMYFUNCTION("""COMPUTED_VALUE"""),"")</f>
        <v/>
      </c>
      <c r="B2166" t="str">
        <f ca="1">IFERROR(__xludf.DUMMYFUNCTION("""COMPUTED_VALUE"""),"")</f>
        <v/>
      </c>
    </row>
    <row r="2167" spans="1:2" ht="15" customHeight="1">
      <c r="A2167" t="str">
        <f ca="1">IFERROR(__xludf.DUMMYFUNCTION("""COMPUTED_VALUE"""),"")</f>
        <v/>
      </c>
      <c r="B2167" t="str">
        <f ca="1">IFERROR(__xludf.DUMMYFUNCTION("""COMPUTED_VALUE"""),"")</f>
        <v/>
      </c>
    </row>
    <row r="2168" spans="1:2" ht="15" customHeight="1">
      <c r="A2168" t="str">
        <f ca="1">IFERROR(__xludf.DUMMYFUNCTION("""COMPUTED_VALUE"""),"")</f>
        <v/>
      </c>
      <c r="B2168" t="str">
        <f ca="1">IFERROR(__xludf.DUMMYFUNCTION("""COMPUTED_VALUE"""),"")</f>
        <v/>
      </c>
    </row>
    <row r="2169" spans="1:2" ht="15" customHeight="1">
      <c r="A2169" t="str">
        <f ca="1">IFERROR(__xludf.DUMMYFUNCTION("""COMPUTED_VALUE"""),"")</f>
        <v/>
      </c>
      <c r="B2169" t="str">
        <f ca="1">IFERROR(__xludf.DUMMYFUNCTION("""COMPUTED_VALUE"""),"")</f>
        <v/>
      </c>
    </row>
    <row r="2170" spans="1:2" ht="15" customHeight="1">
      <c r="A2170" t="str">
        <f ca="1">IFERROR(__xludf.DUMMYFUNCTION("""COMPUTED_VALUE"""),"")</f>
        <v/>
      </c>
      <c r="B2170" t="str">
        <f ca="1">IFERROR(__xludf.DUMMYFUNCTION("""COMPUTED_VALUE"""),"")</f>
        <v/>
      </c>
    </row>
    <row r="2171" spans="1:2" ht="15" customHeight="1">
      <c r="A2171" t="str">
        <f ca="1">IFERROR(__xludf.DUMMYFUNCTION("""COMPUTED_VALUE"""),"")</f>
        <v/>
      </c>
      <c r="B2171" t="str">
        <f ca="1">IFERROR(__xludf.DUMMYFUNCTION("""COMPUTED_VALUE"""),"")</f>
        <v/>
      </c>
    </row>
    <row r="2172" spans="1:2" ht="15" customHeight="1">
      <c r="A2172" t="str">
        <f ca="1">IFERROR(__xludf.DUMMYFUNCTION("""COMPUTED_VALUE"""),"")</f>
        <v/>
      </c>
      <c r="B2172" t="str">
        <f ca="1">IFERROR(__xludf.DUMMYFUNCTION("""COMPUTED_VALUE"""),"")</f>
        <v/>
      </c>
    </row>
    <row r="2173" spans="1:2" ht="15" customHeight="1">
      <c r="A2173" t="str">
        <f ca="1">IFERROR(__xludf.DUMMYFUNCTION("""COMPUTED_VALUE"""),"")</f>
        <v/>
      </c>
      <c r="B2173" t="str">
        <f ca="1">IFERROR(__xludf.DUMMYFUNCTION("""COMPUTED_VALUE"""),"")</f>
        <v/>
      </c>
    </row>
    <row r="2174" spans="1:2" ht="15" customHeight="1">
      <c r="A2174" t="str">
        <f ca="1">IFERROR(__xludf.DUMMYFUNCTION("""COMPUTED_VALUE"""),"")</f>
        <v/>
      </c>
      <c r="B2174" t="str">
        <f ca="1">IFERROR(__xludf.DUMMYFUNCTION("""COMPUTED_VALUE"""),"")</f>
        <v/>
      </c>
    </row>
    <row r="2175" spans="1:2" ht="15" customHeight="1">
      <c r="A2175" t="str">
        <f ca="1">IFERROR(__xludf.DUMMYFUNCTION("""COMPUTED_VALUE"""),"")</f>
        <v/>
      </c>
      <c r="B2175" t="str">
        <f ca="1">IFERROR(__xludf.DUMMYFUNCTION("""COMPUTED_VALUE"""),"")</f>
        <v/>
      </c>
    </row>
    <row r="2176" spans="1:2" ht="15" customHeight="1">
      <c r="A2176" t="str">
        <f ca="1">IFERROR(__xludf.DUMMYFUNCTION("""COMPUTED_VALUE"""),"")</f>
        <v/>
      </c>
      <c r="B2176" t="str">
        <f ca="1">IFERROR(__xludf.DUMMYFUNCTION("""COMPUTED_VALUE"""),"")</f>
        <v/>
      </c>
    </row>
    <row r="2177" spans="1:2" ht="15" customHeight="1">
      <c r="A2177" t="str">
        <f ca="1">IFERROR(__xludf.DUMMYFUNCTION("""COMPUTED_VALUE"""),"")</f>
        <v/>
      </c>
      <c r="B2177" t="str">
        <f ca="1">IFERROR(__xludf.DUMMYFUNCTION("""COMPUTED_VALUE"""),"")</f>
        <v/>
      </c>
    </row>
    <row r="2178" spans="1:2" ht="15" customHeight="1">
      <c r="A2178" t="str">
        <f ca="1">IFERROR(__xludf.DUMMYFUNCTION("""COMPUTED_VALUE"""),"")</f>
        <v/>
      </c>
      <c r="B2178" t="str">
        <f ca="1">IFERROR(__xludf.DUMMYFUNCTION("""COMPUTED_VALUE"""),"")</f>
        <v/>
      </c>
    </row>
    <row r="2179" spans="1:2" ht="15" customHeight="1">
      <c r="A2179" t="str">
        <f ca="1">IFERROR(__xludf.DUMMYFUNCTION("""COMPUTED_VALUE"""),"")</f>
        <v/>
      </c>
      <c r="B2179" t="str">
        <f ca="1">IFERROR(__xludf.DUMMYFUNCTION("""COMPUTED_VALUE"""),"")</f>
        <v/>
      </c>
    </row>
    <row r="2180" spans="1:2" ht="15" customHeight="1">
      <c r="A2180" t="str">
        <f ca="1">IFERROR(__xludf.DUMMYFUNCTION("""COMPUTED_VALUE"""),"")</f>
        <v/>
      </c>
      <c r="B2180" t="str">
        <f ca="1">IFERROR(__xludf.DUMMYFUNCTION("""COMPUTED_VALUE"""),"")</f>
        <v/>
      </c>
    </row>
    <row r="2181" spans="1:2" ht="15" customHeight="1">
      <c r="A2181" t="str">
        <f ca="1">IFERROR(__xludf.DUMMYFUNCTION("""COMPUTED_VALUE"""),"")</f>
        <v/>
      </c>
      <c r="B2181" t="str">
        <f ca="1">IFERROR(__xludf.DUMMYFUNCTION("""COMPUTED_VALUE"""),"")</f>
        <v/>
      </c>
    </row>
    <row r="2182" spans="1:2" ht="15" customHeight="1">
      <c r="A2182" t="str">
        <f ca="1">IFERROR(__xludf.DUMMYFUNCTION("""COMPUTED_VALUE"""),"")</f>
        <v/>
      </c>
      <c r="B2182" t="str">
        <f ca="1">IFERROR(__xludf.DUMMYFUNCTION("""COMPUTED_VALUE"""),"")</f>
        <v/>
      </c>
    </row>
    <row r="2183" spans="1:2" ht="15" customHeight="1">
      <c r="A2183" t="str">
        <f ca="1">IFERROR(__xludf.DUMMYFUNCTION("""COMPUTED_VALUE"""),"")</f>
        <v/>
      </c>
      <c r="B2183" t="str">
        <f ca="1">IFERROR(__xludf.DUMMYFUNCTION("""COMPUTED_VALUE"""),"")</f>
        <v/>
      </c>
    </row>
    <row r="2184" spans="1:2" ht="15" customHeight="1">
      <c r="A2184" t="str">
        <f ca="1">IFERROR(__xludf.DUMMYFUNCTION("""COMPUTED_VALUE"""),"")</f>
        <v/>
      </c>
      <c r="B2184" t="str">
        <f ca="1">IFERROR(__xludf.DUMMYFUNCTION("""COMPUTED_VALUE"""),"")</f>
        <v/>
      </c>
    </row>
    <row r="2185" spans="1:2" ht="15" customHeight="1">
      <c r="A2185" t="str">
        <f ca="1">IFERROR(__xludf.DUMMYFUNCTION("""COMPUTED_VALUE"""),"")</f>
        <v/>
      </c>
      <c r="B2185" t="str">
        <f ca="1">IFERROR(__xludf.DUMMYFUNCTION("""COMPUTED_VALUE"""),"")</f>
        <v/>
      </c>
    </row>
    <row r="2186" spans="1:2" ht="15" customHeight="1">
      <c r="A2186" t="str">
        <f ca="1">IFERROR(__xludf.DUMMYFUNCTION("""COMPUTED_VALUE"""),"")</f>
        <v/>
      </c>
      <c r="B2186" t="str">
        <f ca="1">IFERROR(__xludf.DUMMYFUNCTION("""COMPUTED_VALUE"""),"")</f>
        <v/>
      </c>
    </row>
    <row r="2187" spans="1:2" ht="15" customHeight="1">
      <c r="A2187" t="str">
        <f ca="1">IFERROR(__xludf.DUMMYFUNCTION("""COMPUTED_VALUE"""),"")</f>
        <v/>
      </c>
      <c r="B2187" t="str">
        <f ca="1">IFERROR(__xludf.DUMMYFUNCTION("""COMPUTED_VALUE"""),"")</f>
        <v/>
      </c>
    </row>
    <row r="2188" spans="1:2" ht="15" customHeight="1">
      <c r="A2188" t="str">
        <f ca="1">IFERROR(__xludf.DUMMYFUNCTION("""COMPUTED_VALUE"""),"")</f>
        <v/>
      </c>
      <c r="B2188" t="str">
        <f ca="1">IFERROR(__xludf.DUMMYFUNCTION("""COMPUTED_VALUE"""),"")</f>
        <v/>
      </c>
    </row>
    <row r="2189" spans="1:2" ht="15" customHeight="1">
      <c r="A2189" t="str">
        <f ca="1">IFERROR(__xludf.DUMMYFUNCTION("""COMPUTED_VALUE"""),"")</f>
        <v/>
      </c>
      <c r="B2189" t="str">
        <f ca="1">IFERROR(__xludf.DUMMYFUNCTION("""COMPUTED_VALUE"""),"")</f>
        <v/>
      </c>
    </row>
    <row r="2190" spans="1:2" ht="15" customHeight="1">
      <c r="A2190" t="str">
        <f ca="1">IFERROR(__xludf.DUMMYFUNCTION("""COMPUTED_VALUE"""),"")</f>
        <v/>
      </c>
      <c r="B2190" t="str">
        <f ca="1">IFERROR(__xludf.DUMMYFUNCTION("""COMPUTED_VALUE"""),"")</f>
        <v/>
      </c>
    </row>
    <row r="2191" spans="1:2" ht="15" customHeight="1">
      <c r="A2191" t="str">
        <f ca="1">IFERROR(__xludf.DUMMYFUNCTION("""COMPUTED_VALUE"""),"")</f>
        <v/>
      </c>
      <c r="B2191" t="str">
        <f ca="1">IFERROR(__xludf.DUMMYFUNCTION("""COMPUTED_VALUE"""),"")</f>
        <v/>
      </c>
    </row>
    <row r="2192" spans="1:2" ht="15" customHeight="1">
      <c r="A2192" t="str">
        <f ca="1">IFERROR(__xludf.DUMMYFUNCTION("""COMPUTED_VALUE"""),"")</f>
        <v/>
      </c>
      <c r="B2192" t="str">
        <f ca="1">IFERROR(__xludf.DUMMYFUNCTION("""COMPUTED_VALUE"""),"")</f>
        <v/>
      </c>
    </row>
    <row r="2193" spans="1:2" ht="15" customHeight="1">
      <c r="A2193" t="str">
        <f ca="1">IFERROR(__xludf.DUMMYFUNCTION("""COMPUTED_VALUE"""),"")</f>
        <v/>
      </c>
      <c r="B2193" t="str">
        <f ca="1">IFERROR(__xludf.DUMMYFUNCTION("""COMPUTED_VALUE"""),"")</f>
        <v/>
      </c>
    </row>
    <row r="2194" spans="1:2" ht="15" customHeight="1">
      <c r="A2194" t="str">
        <f ca="1">IFERROR(__xludf.DUMMYFUNCTION("""COMPUTED_VALUE"""),"")</f>
        <v/>
      </c>
      <c r="B2194" t="str">
        <f ca="1">IFERROR(__xludf.DUMMYFUNCTION("""COMPUTED_VALUE"""),"")</f>
        <v/>
      </c>
    </row>
    <row r="2195" spans="1:2" ht="15" customHeight="1">
      <c r="A2195" t="str">
        <f ca="1">IFERROR(__xludf.DUMMYFUNCTION("""COMPUTED_VALUE"""),"")</f>
        <v/>
      </c>
      <c r="B2195" t="str">
        <f ca="1">IFERROR(__xludf.DUMMYFUNCTION("""COMPUTED_VALUE"""),"")</f>
        <v/>
      </c>
    </row>
    <row r="2196" spans="1:2" ht="15" customHeight="1">
      <c r="A2196" t="str">
        <f ca="1">IFERROR(__xludf.DUMMYFUNCTION("""COMPUTED_VALUE"""),"")</f>
        <v/>
      </c>
      <c r="B2196" t="str">
        <f ca="1">IFERROR(__xludf.DUMMYFUNCTION("""COMPUTED_VALUE"""),"")</f>
        <v/>
      </c>
    </row>
    <row r="2197" spans="1:2" ht="15" customHeight="1">
      <c r="A2197" t="str">
        <f ca="1">IFERROR(__xludf.DUMMYFUNCTION("""COMPUTED_VALUE"""),"")</f>
        <v/>
      </c>
      <c r="B2197" t="str">
        <f ca="1">IFERROR(__xludf.DUMMYFUNCTION("""COMPUTED_VALUE"""),"")</f>
        <v/>
      </c>
    </row>
  </sheetData>
  <phoneticPr fontId="5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E1505"/>
  <sheetViews>
    <sheetView workbookViewId="0"/>
  </sheetViews>
  <sheetFormatPr baseColWidth="10" defaultColWidth="11.28515625" defaultRowHeight="15" customHeight="1" x14ac:dyDescent="0"/>
  <sheetData>
    <row r="1" spans="1:5" ht="15" customHeight="1">
      <c r="A1" s="39" t="s">
        <v>1674</v>
      </c>
      <c r="B1" t="str">
        <f t="shared" ref="B1:B2" si="0">IF(D1="v",E1,"")</f>
        <v>修身堂</v>
      </c>
      <c r="C1" s="39" t="s">
        <v>1674</v>
      </c>
      <c r="D1" s="208" t="s">
        <v>59</v>
      </c>
      <c r="E1" s="209" t="s">
        <v>2103</v>
      </c>
    </row>
    <row r="2" spans="1:5" ht="15" customHeight="1">
      <c r="A2" s="121" t="str">
        <f>C2</f>
        <v>10706-0080</v>
      </c>
      <c r="B2" t="str">
        <f t="shared" si="0"/>
        <v>修身堂</v>
      </c>
      <c r="C2" s="39" t="s">
        <v>1383</v>
      </c>
      <c r="D2" s="208" t="s">
        <v>59</v>
      </c>
      <c r="E2" s="209" t="s">
        <v>2103</v>
      </c>
    </row>
    <row r="3" spans="1:5" ht="15" customHeight="1">
      <c r="A3" s="39" t="s">
        <v>1197</v>
      </c>
      <c r="B3" s="210" t="s">
        <v>4008</v>
      </c>
      <c r="C3" s="39" t="s">
        <v>1197</v>
      </c>
      <c r="D3" s="208" t="s">
        <v>59</v>
      </c>
      <c r="E3" s="210" t="s">
        <v>4008</v>
      </c>
    </row>
    <row r="4" spans="1:5" ht="15" customHeight="1">
      <c r="A4" s="39"/>
      <c r="B4" s="210"/>
      <c r="C4" s="209" t="str">
        <f ca="1">IFERROR(__xludf.DUMMYFUNCTION("IMPORTRANGE(""https://docs.google.com/spreadsheets/d/101BdHiEKCGvckEjLOEKQYRn2lvWndpPEHI2BTsUwmNE/edit#gid=1512548907"",""'訂購總表 '!A3:a10000"")"),"")</f>
        <v/>
      </c>
      <c r="D4" s="209" t="str">
        <f ca="1">IFERROR(__xludf.DUMMYFUNCTION("IMPORTRANGE(""https://docs.google.com/spreadsheets/d/101BdHiEKCGvckEjLOEKQYRn2lvWndpPEHI2BTsUwmNE/edit#gid=1512548907"",""'訂購總表 '!o3:o10000"")"),"")</f>
        <v/>
      </c>
      <c r="E4" s="209" t="str">
        <f ca="1">IFERROR(__xludf.DUMMYFUNCTION("IMPORTRANGE(""https://docs.google.com/spreadsheets/d/101BdHiEKCGvckEjLOEKQYRn2lvWndpPEHI2BTsUwmNE/edit#gid=1512548907"",""'訂購總表 '!D3:D10000"")"),"")</f>
        <v/>
      </c>
    </row>
    <row r="5" spans="1:5" ht="15" customHeight="1">
      <c r="A5" s="121" t="str">
        <f t="shared" ref="A5:A866" ca="1" si="1">IF(D5="V",C5,"")</f>
        <v/>
      </c>
      <c r="B5" t="str">
        <f t="shared" ref="B5:B1004" ca="1" si="2">IF(D5="v",E5,"")</f>
        <v/>
      </c>
      <c r="C5" s="211" t="str">
        <f ca="1">IFERROR(__xludf.DUMMYFUNCTION("""COMPUTED_VALUE"""),"AA001711")</f>
        <v>AA001711</v>
      </c>
      <c r="D5" s="209" t="str">
        <f ca="1">IFERROR(__xludf.DUMMYFUNCTION("""COMPUTED_VALUE"""),"")</f>
        <v/>
      </c>
      <c r="E5" s="211" t="str">
        <f ca="1">IFERROR(__xludf.DUMMYFUNCTION("""COMPUTED_VALUE"""),"高燕彬")</f>
        <v>高燕彬</v>
      </c>
    </row>
    <row r="6" spans="1:5" ht="15" customHeight="1">
      <c r="A6" s="121" t="str">
        <f t="shared" ca="1" si="1"/>
        <v/>
      </c>
      <c r="B6" t="str">
        <f t="shared" ca="1" si="2"/>
        <v/>
      </c>
      <c r="C6" s="205" t="str">
        <f ca="1">IFERROR(__xludf.DUMMYFUNCTION("""COMPUTED_VALUE"""),"AA001711")</f>
        <v>AA001711</v>
      </c>
      <c r="D6" t="str">
        <f ca="1">IFERROR(__xludf.DUMMYFUNCTION("""COMPUTED_VALUE"""),"")</f>
        <v/>
      </c>
      <c r="E6" s="205" t="str">
        <f ca="1">IFERROR(__xludf.DUMMYFUNCTION("""COMPUTED_VALUE"""),"高燕彬")</f>
        <v>高燕彬</v>
      </c>
    </row>
    <row r="7" spans="1:5" ht="15" customHeight="1">
      <c r="A7" s="121" t="str">
        <f t="shared" ca="1" si="1"/>
        <v/>
      </c>
      <c r="B7" t="str">
        <f t="shared" ca="1" si="2"/>
        <v/>
      </c>
      <c r="C7" s="205" t="str">
        <f ca="1">IFERROR(__xludf.DUMMYFUNCTION("""COMPUTED_VALUE"""),"AA001402")</f>
        <v>AA001402</v>
      </c>
      <c r="D7" t="str">
        <f ca="1">IFERROR(__xludf.DUMMYFUNCTION("""COMPUTED_VALUE"""),"")</f>
        <v/>
      </c>
      <c r="E7" s="205" t="str">
        <f ca="1">IFERROR(__xludf.DUMMYFUNCTION("""COMPUTED_VALUE"""),"楊碧雲")</f>
        <v>楊碧雲</v>
      </c>
    </row>
    <row r="8" spans="1:5" ht="15" customHeight="1">
      <c r="A8" s="121" t="str">
        <f t="shared" ca="1" si="1"/>
        <v/>
      </c>
      <c r="B8" t="str">
        <f t="shared" ca="1" si="2"/>
        <v/>
      </c>
      <c r="C8" s="205" t="str">
        <f ca="1">IFERROR(__xludf.DUMMYFUNCTION("""COMPUTED_VALUE"""),"AA001402")</f>
        <v>AA001402</v>
      </c>
      <c r="D8" t="str">
        <f ca="1">IFERROR(__xludf.DUMMYFUNCTION("""COMPUTED_VALUE"""),"")</f>
        <v/>
      </c>
      <c r="E8" s="205" t="str">
        <f ca="1">IFERROR(__xludf.DUMMYFUNCTION("""COMPUTED_VALUE"""),"楊碧雲")</f>
        <v>楊碧雲</v>
      </c>
    </row>
    <row r="9" spans="1:5" ht="15" customHeight="1">
      <c r="A9" s="121" t="str">
        <f t="shared" ca="1" si="1"/>
        <v/>
      </c>
      <c r="B9" t="str">
        <f t="shared" ca="1" si="2"/>
        <v/>
      </c>
      <c r="C9" s="205" t="str">
        <f ca="1">IFERROR(__xludf.DUMMYFUNCTION("""COMPUTED_VALUE"""),"AA001712")</f>
        <v>AA001712</v>
      </c>
      <c r="D9" t="str">
        <f ca="1">IFERROR(__xludf.DUMMYFUNCTION("""COMPUTED_VALUE"""),"")</f>
        <v/>
      </c>
      <c r="E9" s="205" t="str">
        <f ca="1">IFERROR(__xludf.DUMMYFUNCTION("""COMPUTED_VALUE"""),"黃楷玲")</f>
        <v>黃楷玲</v>
      </c>
    </row>
    <row r="10" spans="1:5" ht="15" customHeight="1">
      <c r="A10" s="121" t="str">
        <f t="shared" ca="1" si="1"/>
        <v/>
      </c>
      <c r="B10" t="str">
        <f t="shared" ca="1" si="2"/>
        <v/>
      </c>
      <c r="C10" s="205" t="str">
        <f ca="1">IFERROR(__xludf.DUMMYFUNCTION("""COMPUTED_VALUE"""),"AA001712")</f>
        <v>AA001712</v>
      </c>
      <c r="D10" t="str">
        <f ca="1">IFERROR(__xludf.DUMMYFUNCTION("""COMPUTED_VALUE"""),"")</f>
        <v/>
      </c>
      <c r="E10" s="205" t="str">
        <f ca="1">IFERROR(__xludf.DUMMYFUNCTION("""COMPUTED_VALUE"""),"黃楷玲")</f>
        <v>黃楷玲</v>
      </c>
    </row>
    <row r="11" spans="1:5" ht="15" customHeight="1">
      <c r="A11" s="121" t="str">
        <f t="shared" ca="1" si="1"/>
        <v/>
      </c>
      <c r="B11" t="str">
        <f t="shared" ca="1" si="2"/>
        <v/>
      </c>
      <c r="C11" s="205" t="str">
        <f ca="1">IFERROR(__xludf.DUMMYFUNCTION("""COMPUTED_VALUE"""),"AA001681")</f>
        <v>AA001681</v>
      </c>
      <c r="D11" t="str">
        <f ca="1">IFERROR(__xludf.DUMMYFUNCTION("""COMPUTED_VALUE"""),"")</f>
        <v/>
      </c>
      <c r="E11" s="205" t="str">
        <f ca="1">IFERROR(__xludf.DUMMYFUNCTION("""COMPUTED_VALUE"""),"周佩霞")</f>
        <v>周佩霞</v>
      </c>
    </row>
    <row r="12" spans="1:5" ht="15" customHeight="1">
      <c r="A12" s="121" t="str">
        <f t="shared" ca="1" si="1"/>
        <v/>
      </c>
      <c r="B12" t="str">
        <f t="shared" ca="1" si="2"/>
        <v/>
      </c>
      <c r="C12" s="205" t="str">
        <f ca="1">IFERROR(__xludf.DUMMYFUNCTION("""COMPUTED_VALUE"""),"AA001661")</f>
        <v>AA001661</v>
      </c>
      <c r="D12" t="str">
        <f ca="1">IFERROR(__xludf.DUMMYFUNCTION("""COMPUTED_VALUE"""),"")</f>
        <v/>
      </c>
      <c r="E12" s="205" t="str">
        <f ca="1">IFERROR(__xludf.DUMMYFUNCTION("""COMPUTED_VALUE"""),"俞如玲")</f>
        <v>俞如玲</v>
      </c>
    </row>
    <row r="13" spans="1:5" ht="15" customHeight="1">
      <c r="A13" s="121" t="str">
        <f t="shared" ca="1" si="1"/>
        <v/>
      </c>
      <c r="B13" t="str">
        <f t="shared" ca="1" si="2"/>
        <v/>
      </c>
      <c r="C13" s="205" t="str">
        <f ca="1">IFERROR(__xludf.DUMMYFUNCTION("""COMPUTED_VALUE"""),"AA001713")</f>
        <v>AA001713</v>
      </c>
      <c r="D13" t="str">
        <f ca="1">IFERROR(__xludf.DUMMYFUNCTION("""COMPUTED_VALUE"""),"")</f>
        <v/>
      </c>
      <c r="E13" s="205" t="str">
        <f ca="1">IFERROR(__xludf.DUMMYFUNCTION("""COMPUTED_VALUE"""),"郭馨蓮")</f>
        <v>郭馨蓮</v>
      </c>
    </row>
    <row r="14" spans="1:5" ht="15" customHeight="1">
      <c r="A14" s="121" t="str">
        <f t="shared" ca="1" si="1"/>
        <v/>
      </c>
      <c r="B14" t="str">
        <f t="shared" ca="1" si="2"/>
        <v/>
      </c>
      <c r="C14" s="205" t="str">
        <f ca="1">IFERROR(__xludf.DUMMYFUNCTION("""COMPUTED_VALUE"""),"AA001662")</f>
        <v>AA001662</v>
      </c>
      <c r="D14" t="str">
        <f ca="1">IFERROR(__xludf.DUMMYFUNCTION("""COMPUTED_VALUE"""),"")</f>
        <v/>
      </c>
      <c r="E14" s="205" t="str">
        <f ca="1">IFERROR(__xludf.DUMMYFUNCTION("""COMPUTED_VALUE"""),"明濟慧")</f>
        <v>明濟慧</v>
      </c>
    </row>
    <row r="15" spans="1:5" ht="15" customHeight="1">
      <c r="A15" s="121" t="str">
        <f t="shared" ca="1" si="1"/>
        <v/>
      </c>
      <c r="B15" t="str">
        <f t="shared" ca="1" si="2"/>
        <v/>
      </c>
      <c r="C15" s="205" t="str">
        <f ca="1">IFERROR(__xludf.DUMMYFUNCTION("""COMPUTED_VALUE"""),"AA001662")</f>
        <v>AA001662</v>
      </c>
      <c r="D15" t="str">
        <f ca="1">IFERROR(__xludf.DUMMYFUNCTION("""COMPUTED_VALUE"""),"")</f>
        <v/>
      </c>
      <c r="E15" s="205" t="str">
        <f ca="1">IFERROR(__xludf.DUMMYFUNCTION("""COMPUTED_VALUE"""),"明濟慧")</f>
        <v>明濟慧</v>
      </c>
    </row>
    <row r="16" spans="1:5" ht="15" customHeight="1">
      <c r="A16" s="121" t="str">
        <f t="shared" ca="1" si="1"/>
        <v/>
      </c>
      <c r="B16" t="str">
        <f t="shared" ca="1" si="2"/>
        <v/>
      </c>
      <c r="C16" s="205" t="str">
        <f ca="1">IFERROR(__xludf.DUMMYFUNCTION("""COMPUTED_VALUE"""),"AA001422")</f>
        <v>AA001422</v>
      </c>
      <c r="D16" t="str">
        <f ca="1">IFERROR(__xludf.DUMMYFUNCTION("""COMPUTED_VALUE"""),"")</f>
        <v/>
      </c>
      <c r="E16" s="205" t="str">
        <f ca="1">IFERROR(__xludf.DUMMYFUNCTION("""COMPUTED_VALUE"""),"羅珀齡")</f>
        <v>羅珀齡</v>
      </c>
    </row>
    <row r="17" spans="1:5" ht="15" customHeight="1">
      <c r="A17" s="121" t="str">
        <f t="shared" ca="1" si="1"/>
        <v/>
      </c>
      <c r="B17" t="str">
        <f t="shared" ca="1" si="2"/>
        <v/>
      </c>
      <c r="C17" s="205" t="str">
        <f ca="1">IFERROR(__xludf.DUMMYFUNCTION("""COMPUTED_VALUE"""),"AA001741")</f>
        <v>AA001741</v>
      </c>
      <c r="D17" t="str">
        <f ca="1">IFERROR(__xludf.DUMMYFUNCTION("""COMPUTED_VALUE"""),"")</f>
        <v/>
      </c>
      <c r="E17" s="205" t="str">
        <f ca="1">IFERROR(__xludf.DUMMYFUNCTION("""COMPUTED_VALUE"""),"鄭忠秋")</f>
        <v>鄭忠秋</v>
      </c>
    </row>
    <row r="18" spans="1:5" ht="15" customHeight="1">
      <c r="A18" s="121" t="str">
        <f t="shared" ca="1" si="1"/>
        <v/>
      </c>
      <c r="B18" t="str">
        <f t="shared" ca="1" si="2"/>
        <v/>
      </c>
      <c r="C18" s="205" t="str">
        <f ca="1">IFERROR(__xludf.DUMMYFUNCTION("""COMPUTED_VALUE"""),"AA001651")</f>
        <v>AA001651</v>
      </c>
      <c r="D18" t="str">
        <f ca="1">IFERROR(__xludf.DUMMYFUNCTION("""COMPUTED_VALUE"""),"")</f>
        <v/>
      </c>
      <c r="E18" s="205" t="str">
        <f ca="1">IFERROR(__xludf.DUMMYFUNCTION("""COMPUTED_VALUE"""),"唐石保蓮")</f>
        <v>唐石保蓮</v>
      </c>
    </row>
    <row r="19" spans="1:5" ht="15" customHeight="1">
      <c r="A19" s="121" t="str">
        <f t="shared" ca="1" si="1"/>
        <v/>
      </c>
      <c r="B19" t="str">
        <f t="shared" ca="1" si="2"/>
        <v/>
      </c>
      <c r="C19" s="205" t="str">
        <f ca="1">IFERROR(__xludf.DUMMYFUNCTION("""COMPUTED_VALUE"""),"AA001423")</f>
        <v>AA001423</v>
      </c>
      <c r="D19" t="str">
        <f ca="1">IFERROR(__xludf.DUMMYFUNCTION("""COMPUTED_VALUE"""),"")</f>
        <v/>
      </c>
      <c r="E19" s="205" t="str">
        <f ca="1">IFERROR(__xludf.DUMMYFUNCTION("""COMPUTED_VALUE"""),"陳斐娜")</f>
        <v>陳斐娜</v>
      </c>
    </row>
    <row r="20" spans="1:5" ht="15" customHeight="1">
      <c r="A20" s="121" t="str">
        <f t="shared" ca="1" si="1"/>
        <v/>
      </c>
      <c r="B20" t="str">
        <f t="shared" ca="1" si="2"/>
        <v/>
      </c>
      <c r="C20" s="205" t="str">
        <f ca="1">IFERROR(__xludf.DUMMYFUNCTION("""COMPUTED_VALUE"""),"AA001721")</f>
        <v>AA001721</v>
      </c>
      <c r="D20" t="str">
        <f ca="1">IFERROR(__xludf.DUMMYFUNCTION("""COMPUTED_VALUE"""),"")</f>
        <v/>
      </c>
      <c r="E20" s="205" t="str">
        <f ca="1">IFERROR(__xludf.DUMMYFUNCTION("""COMPUTED_VALUE"""),"徐偉哲")</f>
        <v>徐偉哲</v>
      </c>
    </row>
    <row r="21" spans="1:5" ht="15" customHeight="1">
      <c r="A21" s="121" t="str">
        <f t="shared" ca="1" si="1"/>
        <v/>
      </c>
      <c r="B21" t="str">
        <f t="shared" ca="1" si="2"/>
        <v/>
      </c>
      <c r="C21" s="205" t="str">
        <f ca="1">IFERROR(__xludf.DUMMYFUNCTION("""COMPUTED_VALUE"""),"AA001622")</f>
        <v>AA001622</v>
      </c>
      <c r="D21" t="str">
        <f ca="1">IFERROR(__xludf.DUMMYFUNCTION("""COMPUTED_VALUE"""),"")</f>
        <v/>
      </c>
      <c r="E21" s="205" t="str">
        <f ca="1">IFERROR(__xludf.DUMMYFUNCTION("""COMPUTED_VALUE"""),"童逸安")</f>
        <v>童逸安</v>
      </c>
    </row>
    <row r="22" spans="1:5" ht="15" customHeight="1">
      <c r="A22" s="121" t="str">
        <f t="shared" ca="1" si="1"/>
        <v/>
      </c>
      <c r="B22" t="str">
        <f t="shared" ca="1" si="2"/>
        <v/>
      </c>
      <c r="C22" s="205" t="str">
        <f ca="1">IFERROR(__xludf.DUMMYFUNCTION("""COMPUTED_VALUE"""),"AA001621")</f>
        <v>AA001621</v>
      </c>
      <c r="D22" t="str">
        <f ca="1">IFERROR(__xludf.DUMMYFUNCTION("""COMPUTED_VALUE"""),"")</f>
        <v/>
      </c>
      <c r="E22" s="205" t="str">
        <f ca="1">IFERROR(__xludf.DUMMYFUNCTION("""COMPUTED_VALUE"""),"郭清香")</f>
        <v>郭清香</v>
      </c>
    </row>
    <row r="23" spans="1:5" ht="15" customHeight="1">
      <c r="A23" s="121" t="str">
        <f t="shared" ca="1" si="1"/>
        <v/>
      </c>
      <c r="B23" t="str">
        <f t="shared" ca="1" si="2"/>
        <v/>
      </c>
      <c r="C23" s="205" t="str">
        <f ca="1">IFERROR(__xludf.DUMMYFUNCTION("""COMPUTED_VALUE"""),"AA001722")</f>
        <v>AA001722</v>
      </c>
      <c r="D23" t="str">
        <f ca="1">IFERROR(__xludf.DUMMYFUNCTION("""COMPUTED_VALUE"""),"")</f>
        <v/>
      </c>
      <c r="E23" s="205" t="str">
        <f ca="1">IFERROR(__xludf.DUMMYFUNCTION("""COMPUTED_VALUE"""),"黃貞慧")</f>
        <v>黃貞慧</v>
      </c>
    </row>
    <row r="24" spans="1:5" ht="15" customHeight="1">
      <c r="A24" s="121" t="str">
        <f t="shared" ca="1" si="1"/>
        <v/>
      </c>
      <c r="B24" t="str">
        <f t="shared" ca="1" si="2"/>
        <v/>
      </c>
      <c r="C24" s="205" t="str">
        <f ca="1">IFERROR(__xludf.DUMMYFUNCTION("""COMPUTED_VALUE"""),"AA001623")</f>
        <v>AA001623</v>
      </c>
      <c r="D24" t="str">
        <f ca="1">IFERROR(__xludf.DUMMYFUNCTION("""COMPUTED_VALUE"""),"")</f>
        <v/>
      </c>
      <c r="E24" s="205" t="str">
        <f ca="1">IFERROR(__xludf.DUMMYFUNCTION("""COMPUTED_VALUE"""),"張秀雅")</f>
        <v>張秀雅</v>
      </c>
    </row>
    <row r="25" spans="1:5" ht="15" customHeight="1">
      <c r="A25" s="121" t="str">
        <f t="shared" ca="1" si="1"/>
        <v/>
      </c>
      <c r="B25" t="str">
        <f t="shared" ca="1" si="2"/>
        <v/>
      </c>
      <c r="C25" s="205" t="str">
        <f ca="1">IFERROR(__xludf.DUMMYFUNCTION("""COMPUTED_VALUE"""),"AA001424")</f>
        <v>AA001424</v>
      </c>
      <c r="D25" t="str">
        <f ca="1">IFERROR(__xludf.DUMMYFUNCTION("""COMPUTED_VALUE"""),"")</f>
        <v/>
      </c>
      <c r="E25" s="205" t="str">
        <f ca="1">IFERROR(__xludf.DUMMYFUNCTION("""COMPUTED_VALUE"""),"吳伊尼")</f>
        <v>吳伊尼</v>
      </c>
    </row>
    <row r="26" spans="1:5" ht="15" customHeight="1">
      <c r="A26" s="121" t="str">
        <f t="shared" ca="1" si="1"/>
        <v/>
      </c>
      <c r="B26" t="str">
        <f t="shared" ca="1" si="2"/>
        <v/>
      </c>
      <c r="C26" s="205" t="str">
        <f ca="1">IFERROR(__xludf.DUMMYFUNCTION("""COMPUTED_VALUE"""),"AA001663")</f>
        <v>AA001663</v>
      </c>
      <c r="D26" t="str">
        <f ca="1">IFERROR(__xludf.DUMMYFUNCTION("""COMPUTED_VALUE"""),"")</f>
        <v/>
      </c>
      <c r="E26" s="205" t="str">
        <f ca="1">IFERROR(__xludf.DUMMYFUNCTION("""COMPUTED_VALUE"""),"王琍平")</f>
        <v>王琍平</v>
      </c>
    </row>
    <row r="27" spans="1:5" ht="15" customHeight="1">
      <c r="A27" s="121" t="str">
        <f t="shared" ca="1" si="1"/>
        <v/>
      </c>
      <c r="B27" t="str">
        <f t="shared" ca="1" si="2"/>
        <v/>
      </c>
      <c r="C27" s="205" t="str">
        <f ca="1">IFERROR(__xludf.DUMMYFUNCTION("""COMPUTED_VALUE"""),"AA001403")</f>
        <v>AA001403</v>
      </c>
      <c r="D27" t="str">
        <f ca="1">IFERROR(__xludf.DUMMYFUNCTION("""COMPUTED_VALUE"""),"")</f>
        <v/>
      </c>
      <c r="E27" s="205" t="str">
        <f ca="1">IFERROR(__xludf.DUMMYFUNCTION("""COMPUTED_VALUE"""),"賴麗珍")</f>
        <v>賴麗珍</v>
      </c>
    </row>
    <row r="28" spans="1:5" ht="15" customHeight="1">
      <c r="A28" s="121" t="str">
        <f t="shared" ca="1" si="1"/>
        <v/>
      </c>
      <c r="B28" t="str">
        <f t="shared" ca="1" si="2"/>
        <v/>
      </c>
      <c r="C28" s="205" t="str">
        <f ca="1">IFERROR(__xludf.DUMMYFUNCTION("""COMPUTED_VALUE"""),"AA001731")</f>
        <v>AA001731</v>
      </c>
      <c r="D28" t="str">
        <f ca="1">IFERROR(__xludf.DUMMYFUNCTION("""COMPUTED_VALUE"""),"")</f>
        <v/>
      </c>
      <c r="E28" s="205" t="str">
        <f ca="1">IFERROR(__xludf.DUMMYFUNCTION("""COMPUTED_VALUE"""),"吳信德")</f>
        <v>吳信德</v>
      </c>
    </row>
    <row r="29" spans="1:5" ht="15" customHeight="1">
      <c r="A29" s="121" t="str">
        <f t="shared" ca="1" si="1"/>
        <v/>
      </c>
      <c r="B29" t="str">
        <f t="shared" ca="1" si="2"/>
        <v/>
      </c>
      <c r="C29" s="205" t="str">
        <f ca="1">IFERROR(__xludf.DUMMYFUNCTION("""COMPUTED_VALUE"""),"AA001691")</f>
        <v>AA001691</v>
      </c>
      <c r="D29" t="str">
        <f ca="1">IFERROR(__xludf.DUMMYFUNCTION("""COMPUTED_VALUE"""),"")</f>
        <v/>
      </c>
      <c r="E29" s="205" t="str">
        <f ca="1">IFERROR(__xludf.DUMMYFUNCTION("""COMPUTED_VALUE"""),"王淑芬")</f>
        <v>王淑芬</v>
      </c>
    </row>
    <row r="30" spans="1:5" ht="15" customHeight="1">
      <c r="A30" s="121" t="str">
        <f t="shared" ca="1" si="1"/>
        <v/>
      </c>
      <c r="B30" t="str">
        <f t="shared" ca="1" si="2"/>
        <v/>
      </c>
      <c r="C30" s="205" t="str">
        <f ca="1">IFERROR(__xludf.DUMMYFUNCTION("""COMPUTED_VALUE"""),"AA001404")</f>
        <v>AA001404</v>
      </c>
      <c r="D30" t="str">
        <f ca="1">IFERROR(__xludf.DUMMYFUNCTION("""COMPUTED_VALUE"""),"")</f>
        <v/>
      </c>
      <c r="E30" s="205" t="str">
        <f ca="1">IFERROR(__xludf.DUMMYFUNCTION("""COMPUTED_VALUE"""),"黃素梅")</f>
        <v>黃素梅</v>
      </c>
    </row>
    <row r="31" spans="1:5" ht="15" customHeight="1">
      <c r="A31" s="121" t="str">
        <f t="shared" ca="1" si="1"/>
        <v/>
      </c>
      <c r="B31" t="str">
        <f t="shared" ca="1" si="2"/>
        <v/>
      </c>
      <c r="C31" s="205" t="str">
        <f ca="1">IFERROR(__xludf.DUMMYFUNCTION("""COMPUTED_VALUE"""),"AA001664")</f>
        <v>AA001664</v>
      </c>
      <c r="D31" t="str">
        <f ca="1">IFERROR(__xludf.DUMMYFUNCTION("""COMPUTED_VALUE"""),"")</f>
        <v/>
      </c>
      <c r="E31" s="205" t="str">
        <f ca="1">IFERROR(__xludf.DUMMYFUNCTION("""COMPUTED_VALUE"""),"謝沛瑜")</f>
        <v>謝沛瑜</v>
      </c>
    </row>
    <row r="32" spans="1:5" ht="15" customHeight="1">
      <c r="A32" s="121" t="str">
        <f t="shared" ca="1" si="1"/>
        <v/>
      </c>
      <c r="B32" t="str">
        <f t="shared" ca="1" si="2"/>
        <v/>
      </c>
      <c r="C32" s="205" t="str">
        <f ca="1">IFERROR(__xludf.DUMMYFUNCTION("""COMPUTED_VALUE"""),"AA001665")</f>
        <v>AA001665</v>
      </c>
      <c r="D32" t="str">
        <f ca="1">IFERROR(__xludf.DUMMYFUNCTION("""COMPUTED_VALUE"""),"")</f>
        <v/>
      </c>
      <c r="E32" s="205" t="str">
        <f ca="1">IFERROR(__xludf.DUMMYFUNCTION("""COMPUTED_VALUE"""),"陳燕芳")</f>
        <v>陳燕芳</v>
      </c>
    </row>
    <row r="33" spans="1:5" ht="15" customHeight="1">
      <c r="A33" s="121" t="str">
        <f t="shared" ca="1" si="1"/>
        <v/>
      </c>
      <c r="B33" t="str">
        <f t="shared" ca="1" si="2"/>
        <v/>
      </c>
      <c r="C33" s="205" t="str">
        <f ca="1">IFERROR(__xludf.DUMMYFUNCTION("""COMPUTED_VALUE"""),"AA001405")</f>
        <v>AA001405</v>
      </c>
      <c r="D33" t="str">
        <f ca="1">IFERROR(__xludf.DUMMYFUNCTION("""COMPUTED_VALUE"""),"")</f>
        <v/>
      </c>
      <c r="E33" s="205" t="str">
        <f ca="1">IFERROR(__xludf.DUMMYFUNCTION("""COMPUTED_VALUE"""),"林芳玉")</f>
        <v>林芳玉</v>
      </c>
    </row>
    <row r="34" spans="1:5" ht="15" customHeight="1">
      <c r="A34" s="121" t="str">
        <f t="shared" ca="1" si="1"/>
        <v/>
      </c>
      <c r="B34" t="str">
        <f t="shared" ca="1" si="2"/>
        <v/>
      </c>
      <c r="C34" s="205" t="str">
        <f ca="1">IFERROR(__xludf.DUMMYFUNCTION("""COMPUTED_VALUE"""),"AA001405")</f>
        <v>AA001405</v>
      </c>
      <c r="D34" t="str">
        <f ca="1">IFERROR(__xludf.DUMMYFUNCTION("""COMPUTED_VALUE"""),"")</f>
        <v/>
      </c>
      <c r="E34" s="205" t="str">
        <f ca="1">IFERROR(__xludf.DUMMYFUNCTION("""COMPUTED_VALUE"""),"林芳玉")</f>
        <v>林芳玉</v>
      </c>
    </row>
    <row r="35" spans="1:5" ht="15" customHeight="1">
      <c r="A35" s="121" t="str">
        <f t="shared" ca="1" si="1"/>
        <v/>
      </c>
      <c r="B35" t="str">
        <f t="shared" ca="1" si="2"/>
        <v/>
      </c>
      <c r="C35" s="205" t="str">
        <f ca="1">IFERROR(__xludf.DUMMYFUNCTION("""COMPUTED_VALUE"""),"AA001405")</f>
        <v>AA001405</v>
      </c>
      <c r="D35" t="str">
        <f ca="1">IFERROR(__xludf.DUMMYFUNCTION("""COMPUTED_VALUE"""),"")</f>
        <v/>
      </c>
      <c r="E35" s="205" t="str">
        <f ca="1">IFERROR(__xludf.DUMMYFUNCTION("""COMPUTED_VALUE"""),"林芳玉")</f>
        <v>林芳玉</v>
      </c>
    </row>
    <row r="36" spans="1:5" ht="15" customHeight="1">
      <c r="A36" s="121" t="str">
        <f t="shared" ca="1" si="1"/>
        <v/>
      </c>
      <c r="B36" t="str">
        <f t="shared" ca="1" si="2"/>
        <v/>
      </c>
      <c r="C36" s="205" t="str">
        <f ca="1">IFERROR(__xludf.DUMMYFUNCTION("""COMPUTED_VALUE"""),"AA001405")</f>
        <v>AA001405</v>
      </c>
      <c r="D36" t="str">
        <f ca="1">IFERROR(__xludf.DUMMYFUNCTION("""COMPUTED_VALUE"""),"")</f>
        <v/>
      </c>
      <c r="E36" s="205" t="str">
        <f ca="1">IFERROR(__xludf.DUMMYFUNCTION("""COMPUTED_VALUE"""),"林芳玉")</f>
        <v>林芳玉</v>
      </c>
    </row>
    <row r="37" spans="1:5" ht="15" customHeight="1">
      <c r="A37" s="121" t="str">
        <f t="shared" ca="1" si="1"/>
        <v/>
      </c>
      <c r="B37" t="str">
        <f t="shared" ca="1" si="2"/>
        <v/>
      </c>
      <c r="C37" s="205" t="str">
        <f ca="1">IFERROR(__xludf.DUMMYFUNCTION("""COMPUTED_VALUE"""),"AA001641")</f>
        <v>AA001641</v>
      </c>
      <c r="D37" t="str">
        <f ca="1">IFERROR(__xludf.DUMMYFUNCTION("""COMPUTED_VALUE"""),"")</f>
        <v/>
      </c>
      <c r="E37" s="205" t="str">
        <f ca="1">IFERROR(__xludf.DUMMYFUNCTION("""COMPUTED_VALUE"""),"徐士荃")</f>
        <v>徐士荃</v>
      </c>
    </row>
    <row r="38" spans="1:5" ht="15" customHeight="1">
      <c r="A38" s="121" t="str">
        <f t="shared" ca="1" si="1"/>
        <v/>
      </c>
      <c r="B38" t="str">
        <f t="shared" ca="1" si="2"/>
        <v/>
      </c>
      <c r="C38" s="205" t="str">
        <f ca="1">IFERROR(__xludf.DUMMYFUNCTION("""COMPUTED_VALUE"""),"AA001425")</f>
        <v>AA001425</v>
      </c>
      <c r="D38" t="str">
        <f ca="1">IFERROR(__xludf.DUMMYFUNCTION("""COMPUTED_VALUE"""),"")</f>
        <v/>
      </c>
      <c r="E38" s="205" t="str">
        <f ca="1">IFERROR(__xludf.DUMMYFUNCTION("""COMPUTED_VALUE"""),"張啟雄")</f>
        <v>張啟雄</v>
      </c>
    </row>
    <row r="39" spans="1:5" ht="15" customHeight="1">
      <c r="A39" s="121" t="str">
        <f t="shared" ca="1" si="1"/>
        <v/>
      </c>
      <c r="B39" t="str">
        <f t="shared" ca="1" si="2"/>
        <v/>
      </c>
      <c r="C39" s="205" t="str">
        <f ca="1">IFERROR(__xludf.DUMMYFUNCTION("""COMPUTED_VALUE"""),"AA001425")</f>
        <v>AA001425</v>
      </c>
      <c r="D39" t="str">
        <f ca="1">IFERROR(__xludf.DUMMYFUNCTION("""COMPUTED_VALUE"""),"")</f>
        <v/>
      </c>
      <c r="E39" s="205" t="str">
        <f ca="1">IFERROR(__xludf.DUMMYFUNCTION("""COMPUTED_VALUE"""),"張啟雄")</f>
        <v>張啟雄</v>
      </c>
    </row>
    <row r="40" spans="1:5" ht="15" customHeight="1">
      <c r="A40" s="121" t="str">
        <f t="shared" ca="1" si="1"/>
        <v/>
      </c>
      <c r="B40" t="str">
        <f t="shared" ca="1" si="2"/>
        <v/>
      </c>
      <c r="C40" s="205" t="str">
        <f ca="1">IFERROR(__xludf.DUMMYFUNCTION("""COMPUTED_VALUE"""),"AA001666")</f>
        <v>AA001666</v>
      </c>
      <c r="D40" t="str">
        <f ca="1">IFERROR(__xludf.DUMMYFUNCTION("""COMPUTED_VALUE"""),"")</f>
        <v/>
      </c>
      <c r="E40" s="205" t="str">
        <f ca="1">IFERROR(__xludf.DUMMYFUNCTION("""COMPUTED_VALUE"""),"賴蕙芬 ")</f>
        <v xml:space="preserve">賴蕙芬 </v>
      </c>
    </row>
    <row r="41" spans="1:5" ht="15" customHeight="1">
      <c r="A41" s="121" t="str">
        <f t="shared" ca="1" si="1"/>
        <v/>
      </c>
      <c r="B41" t="str">
        <f t="shared" ca="1" si="2"/>
        <v/>
      </c>
      <c r="C41" s="205" t="str">
        <f ca="1">IFERROR(__xludf.DUMMYFUNCTION("""COMPUTED_VALUE"""),"AA001742")</f>
        <v>AA001742</v>
      </c>
      <c r="D41" t="str">
        <f ca="1">IFERROR(__xludf.DUMMYFUNCTION("""COMPUTED_VALUE"""),"")</f>
        <v/>
      </c>
      <c r="E41" s="205" t="str">
        <f ca="1">IFERROR(__xludf.DUMMYFUNCTION("""COMPUTED_VALUE"""),"陳雅馨")</f>
        <v>陳雅馨</v>
      </c>
    </row>
    <row r="42" spans="1:5" ht="15" customHeight="1">
      <c r="A42" s="121" t="str">
        <f t="shared" ca="1" si="1"/>
        <v/>
      </c>
      <c r="B42" t="str">
        <f t="shared" ca="1" si="2"/>
        <v/>
      </c>
      <c r="C42" s="205" t="str">
        <f ca="1">IFERROR(__xludf.DUMMYFUNCTION("""COMPUTED_VALUE"""),"AA001671")</f>
        <v>AA001671</v>
      </c>
      <c r="D42" t="str">
        <f ca="1">IFERROR(__xludf.DUMMYFUNCTION("""COMPUTED_VALUE"""),"")</f>
        <v/>
      </c>
      <c r="E42" s="205" t="str">
        <f ca="1">IFERROR(__xludf.DUMMYFUNCTION("""COMPUTED_VALUE"""),"洪明芬")</f>
        <v>洪明芬</v>
      </c>
    </row>
    <row r="43" spans="1:5" ht="15" customHeight="1">
      <c r="A43" s="121" t="str">
        <f t="shared" ca="1" si="1"/>
        <v/>
      </c>
      <c r="B43" t="str">
        <f t="shared" ca="1" si="2"/>
        <v/>
      </c>
      <c r="C43" s="205" t="str">
        <f ca="1">IFERROR(__xludf.DUMMYFUNCTION("""COMPUTED_VALUE"""),"AA001672")</f>
        <v>AA001672</v>
      </c>
      <c r="D43" t="str">
        <f ca="1">IFERROR(__xludf.DUMMYFUNCTION("""COMPUTED_VALUE"""),"")</f>
        <v/>
      </c>
      <c r="E43" s="205" t="str">
        <f ca="1">IFERROR(__xludf.DUMMYFUNCTION("""COMPUTED_VALUE"""),"許春琴")</f>
        <v>許春琴</v>
      </c>
    </row>
    <row r="44" spans="1:5" ht="15" customHeight="1">
      <c r="A44" s="121" t="str">
        <f t="shared" ca="1" si="1"/>
        <v/>
      </c>
      <c r="B44" t="str">
        <f t="shared" ca="1" si="2"/>
        <v/>
      </c>
      <c r="C44" s="205" t="str">
        <f ca="1">IFERROR(__xludf.DUMMYFUNCTION("""COMPUTED_VALUE"""),"AA001673")</f>
        <v>AA001673</v>
      </c>
      <c r="D44" t="str">
        <f ca="1">IFERROR(__xludf.DUMMYFUNCTION("""COMPUTED_VALUE"""),"")</f>
        <v/>
      </c>
      <c r="E44" s="205" t="str">
        <f ca="1">IFERROR(__xludf.DUMMYFUNCTION("""COMPUTED_VALUE"""),"王素華")</f>
        <v>王素華</v>
      </c>
    </row>
    <row r="45" spans="1:5" ht="15" customHeight="1">
      <c r="A45" s="121" t="str">
        <f t="shared" ca="1" si="1"/>
        <v/>
      </c>
      <c r="B45" t="str">
        <f t="shared" ca="1" si="2"/>
        <v/>
      </c>
      <c r="C45" s="205" t="str">
        <f ca="1">IFERROR(__xludf.DUMMYFUNCTION("""COMPUTED_VALUE"""),"AA001674")</f>
        <v>AA001674</v>
      </c>
      <c r="D45" t="str">
        <f ca="1">IFERROR(__xludf.DUMMYFUNCTION("""COMPUTED_VALUE"""),"")</f>
        <v/>
      </c>
      <c r="E45" s="205" t="str">
        <f ca="1">IFERROR(__xludf.DUMMYFUNCTION("""COMPUTED_VALUE"""),"楊瑞蓉")</f>
        <v>楊瑞蓉</v>
      </c>
    </row>
    <row r="46" spans="1:5" ht="15" customHeight="1">
      <c r="A46" s="121" t="str">
        <f t="shared" ca="1" si="1"/>
        <v/>
      </c>
      <c r="B46" t="str">
        <f t="shared" ca="1" si="2"/>
        <v/>
      </c>
      <c r="C46" s="205" t="str">
        <f ca="1">IFERROR(__xludf.DUMMYFUNCTION("""COMPUTED_VALUE"""),"AA001732")</f>
        <v>AA001732</v>
      </c>
      <c r="D46" t="str">
        <f ca="1">IFERROR(__xludf.DUMMYFUNCTION("""COMPUTED_VALUE"""),"")</f>
        <v/>
      </c>
      <c r="E46" s="205" t="str">
        <f ca="1">IFERROR(__xludf.DUMMYFUNCTION("""COMPUTED_VALUE"""),"黃玉婷")</f>
        <v>黃玉婷</v>
      </c>
    </row>
    <row r="47" spans="1:5" ht="15" customHeight="1">
      <c r="A47" s="121" t="str">
        <f t="shared" ca="1" si="1"/>
        <v/>
      </c>
      <c r="B47" t="str">
        <f t="shared" ca="1" si="2"/>
        <v/>
      </c>
      <c r="C47" s="205" t="str">
        <f ca="1">IFERROR(__xludf.DUMMYFUNCTION("""COMPUTED_VALUE"""),"AA001426")</f>
        <v>AA001426</v>
      </c>
      <c r="D47" t="str">
        <f ca="1">IFERROR(__xludf.DUMMYFUNCTION("""COMPUTED_VALUE"""),"")</f>
        <v/>
      </c>
      <c r="E47" s="205" t="str">
        <f ca="1">IFERROR(__xludf.DUMMYFUNCTION("""COMPUTED_VALUE"""),"洪明芬")</f>
        <v>洪明芬</v>
      </c>
    </row>
    <row r="48" spans="1:5" ht="15" customHeight="1">
      <c r="A48" s="121" t="str">
        <f t="shared" ca="1" si="1"/>
        <v/>
      </c>
      <c r="B48" t="str">
        <f t="shared" ca="1" si="2"/>
        <v/>
      </c>
      <c r="C48" s="205" t="str">
        <f ca="1">IFERROR(__xludf.DUMMYFUNCTION("""COMPUTED_VALUE"""),"AA001427")</f>
        <v>AA001427</v>
      </c>
      <c r="D48" t="str">
        <f ca="1">IFERROR(__xludf.DUMMYFUNCTION("""COMPUTED_VALUE"""),"")</f>
        <v/>
      </c>
      <c r="E48" s="205" t="str">
        <f ca="1">IFERROR(__xludf.DUMMYFUNCTION("""COMPUTED_VALUE"""),"張啟雄")</f>
        <v>張啟雄</v>
      </c>
    </row>
    <row r="49" spans="1:5" ht="15" customHeight="1">
      <c r="A49" s="121" t="str">
        <f t="shared" ca="1" si="1"/>
        <v/>
      </c>
      <c r="B49" t="str">
        <f t="shared" ca="1" si="2"/>
        <v/>
      </c>
      <c r="C49" s="205" t="str">
        <f ca="1">IFERROR(__xludf.DUMMYFUNCTION("""COMPUTED_VALUE"""),"AA001733")</f>
        <v>AA001733</v>
      </c>
      <c r="D49" t="str">
        <f ca="1">IFERROR(__xludf.DUMMYFUNCTION("""COMPUTED_VALUE"""),"")</f>
        <v/>
      </c>
      <c r="E49" s="205" t="str">
        <f ca="1">IFERROR(__xludf.DUMMYFUNCTION("""COMPUTED_VALUE"""),"劉樹銘")</f>
        <v>劉樹銘</v>
      </c>
    </row>
    <row r="50" spans="1:5" ht="15" customHeight="1">
      <c r="A50" s="121" t="str">
        <f t="shared" ca="1" si="1"/>
        <v/>
      </c>
      <c r="B50" t="str">
        <f t="shared" ca="1" si="2"/>
        <v/>
      </c>
      <c r="C50" s="205" t="str">
        <f ca="1">IFERROR(__xludf.DUMMYFUNCTION("""COMPUTED_VALUE"""),"AA001733")</f>
        <v>AA001733</v>
      </c>
      <c r="D50" t="str">
        <f ca="1">IFERROR(__xludf.DUMMYFUNCTION("""COMPUTED_VALUE"""),"")</f>
        <v/>
      </c>
      <c r="E50" s="205" t="str">
        <f ca="1">IFERROR(__xludf.DUMMYFUNCTION("""COMPUTED_VALUE"""),"劉樹銘")</f>
        <v>劉樹銘</v>
      </c>
    </row>
    <row r="51" spans="1:5" ht="15" customHeight="1">
      <c r="A51" s="121" t="str">
        <f t="shared" ca="1" si="1"/>
        <v/>
      </c>
      <c r="B51" t="str">
        <f t="shared" ca="1" si="2"/>
        <v/>
      </c>
      <c r="C51" s="205" t="str">
        <f ca="1">IFERROR(__xludf.DUMMYFUNCTION("""COMPUTED_VALUE"""),"AA001733")</f>
        <v>AA001733</v>
      </c>
      <c r="D51" t="str">
        <f ca="1">IFERROR(__xludf.DUMMYFUNCTION("""COMPUTED_VALUE"""),"")</f>
        <v/>
      </c>
      <c r="E51" s="205" t="str">
        <f ca="1">IFERROR(__xludf.DUMMYFUNCTION("""COMPUTED_VALUE"""),"劉樹銘")</f>
        <v>劉樹銘</v>
      </c>
    </row>
    <row r="52" spans="1:5" ht="15" customHeight="1">
      <c r="A52" s="121" t="str">
        <f t="shared" ca="1" si="1"/>
        <v/>
      </c>
      <c r="B52" t="str">
        <f t="shared" ca="1" si="2"/>
        <v/>
      </c>
      <c r="C52" s="205" t="str">
        <f ca="1">IFERROR(__xludf.DUMMYFUNCTION("""COMPUTED_VALUE"""),"AA001692")</f>
        <v>AA001692</v>
      </c>
      <c r="D52" t="str">
        <f ca="1">IFERROR(__xludf.DUMMYFUNCTION("""COMPUTED_VALUE"""),"")</f>
        <v/>
      </c>
      <c r="E52" s="205" t="str">
        <f ca="1">IFERROR(__xludf.DUMMYFUNCTION("""COMPUTED_VALUE"""),"張潔遠")</f>
        <v>張潔遠</v>
      </c>
    </row>
    <row r="53" spans="1:5" ht="15" customHeight="1">
      <c r="A53" s="121" t="str">
        <f t="shared" ca="1" si="1"/>
        <v/>
      </c>
      <c r="B53" t="str">
        <f t="shared" ca="1" si="2"/>
        <v/>
      </c>
      <c r="C53" s="205" t="str">
        <f ca="1">IFERROR(__xludf.DUMMYFUNCTION("""COMPUTED_VALUE"""),"AA001693")</f>
        <v>AA001693</v>
      </c>
      <c r="D53" t="str">
        <f ca="1">IFERROR(__xludf.DUMMYFUNCTION("""COMPUTED_VALUE"""),"")</f>
        <v/>
      </c>
      <c r="E53" s="205" t="str">
        <f ca="1">IFERROR(__xludf.DUMMYFUNCTION("""COMPUTED_VALUE"""),"曹世釗")</f>
        <v>曹世釗</v>
      </c>
    </row>
    <row r="54" spans="1:5" ht="15" customHeight="1">
      <c r="A54" s="121" t="str">
        <f t="shared" ca="1" si="1"/>
        <v/>
      </c>
      <c r="B54" t="str">
        <f t="shared" ca="1" si="2"/>
        <v/>
      </c>
      <c r="C54" s="205" t="str">
        <f ca="1">IFERROR(__xludf.DUMMYFUNCTION("""COMPUTED_VALUE"""),"AA001601")</f>
        <v>AA001601</v>
      </c>
      <c r="D54" t="str">
        <f ca="1">IFERROR(__xludf.DUMMYFUNCTION("""COMPUTED_VALUE"""),"")</f>
        <v/>
      </c>
      <c r="E54" s="205" t="str">
        <f ca="1">IFERROR(__xludf.DUMMYFUNCTION("""COMPUTED_VALUE"""),"林筠樺")</f>
        <v>林筠樺</v>
      </c>
    </row>
    <row r="55" spans="1:5" ht="15" customHeight="1">
      <c r="A55" s="121" t="str">
        <f t="shared" ca="1" si="1"/>
        <v/>
      </c>
      <c r="B55" t="str">
        <f t="shared" ca="1" si="2"/>
        <v/>
      </c>
      <c r="C55" s="205" t="str">
        <f ca="1">IFERROR(__xludf.DUMMYFUNCTION("""COMPUTED_VALUE"""),"AA001412")</f>
        <v>AA001412</v>
      </c>
      <c r="D55" t="str">
        <f ca="1">IFERROR(__xludf.DUMMYFUNCTION("""COMPUTED_VALUE"""),"")</f>
        <v/>
      </c>
      <c r="E55" s="205" t="str">
        <f ca="1">IFERROR(__xludf.DUMMYFUNCTION("""COMPUTED_VALUE"""),"吳桂英")</f>
        <v>吳桂英</v>
      </c>
    </row>
    <row r="56" spans="1:5" ht="15" customHeight="1">
      <c r="A56" s="121" t="str">
        <f t="shared" ca="1" si="1"/>
        <v/>
      </c>
      <c r="B56" t="str">
        <f t="shared" ca="1" si="2"/>
        <v/>
      </c>
      <c r="C56" s="205" t="str">
        <f ca="1">IFERROR(__xludf.DUMMYFUNCTION("""COMPUTED_VALUE"""),"AA001652")</f>
        <v>AA001652</v>
      </c>
      <c r="D56" t="str">
        <f ca="1">IFERROR(__xludf.DUMMYFUNCTION("""COMPUTED_VALUE"""),"")</f>
        <v/>
      </c>
      <c r="E56" s="205" t="str">
        <f ca="1">IFERROR(__xludf.DUMMYFUNCTION("""COMPUTED_VALUE"""),"何依靜")</f>
        <v>何依靜</v>
      </c>
    </row>
    <row r="57" spans="1:5" ht="15" customHeight="1">
      <c r="A57" s="121" t="str">
        <f t="shared" ca="1" si="1"/>
        <v/>
      </c>
      <c r="B57" t="str">
        <f t="shared" ca="1" si="2"/>
        <v/>
      </c>
      <c r="C57" s="205" t="str">
        <f ca="1">IFERROR(__xludf.DUMMYFUNCTION("""COMPUTED_VALUE"""),"AA001652")</f>
        <v>AA001652</v>
      </c>
      <c r="D57" t="str">
        <f ca="1">IFERROR(__xludf.DUMMYFUNCTION("""COMPUTED_VALUE"""),"")</f>
        <v/>
      </c>
      <c r="E57" s="205" t="str">
        <f ca="1">IFERROR(__xludf.DUMMYFUNCTION("""COMPUTED_VALUE"""),"何依靜")</f>
        <v>何依靜</v>
      </c>
    </row>
    <row r="58" spans="1:5" ht="15" customHeight="1">
      <c r="A58" s="121" t="str">
        <f t="shared" ca="1" si="1"/>
        <v/>
      </c>
      <c r="B58" t="str">
        <f t="shared" ca="1" si="2"/>
        <v/>
      </c>
      <c r="C58" s="205" t="str">
        <f ca="1">IFERROR(__xludf.DUMMYFUNCTION("""COMPUTED_VALUE"""),"AA001714")</f>
        <v>AA001714</v>
      </c>
      <c r="D58" t="str">
        <f ca="1">IFERROR(__xludf.DUMMYFUNCTION("""COMPUTED_VALUE"""),"")</f>
        <v/>
      </c>
      <c r="E58" s="205" t="str">
        <f ca="1">IFERROR(__xludf.DUMMYFUNCTION("""COMPUTED_VALUE"""),"南瑞芳")</f>
        <v>南瑞芳</v>
      </c>
    </row>
    <row r="59" spans="1:5" ht="15" customHeight="1">
      <c r="A59" s="121" t="str">
        <f t="shared" ca="1" si="1"/>
        <v/>
      </c>
      <c r="B59" t="str">
        <f t="shared" ca="1" si="2"/>
        <v/>
      </c>
      <c r="C59" s="205" t="str">
        <f ca="1">IFERROR(__xludf.DUMMYFUNCTION("""COMPUTED_VALUE"""),"AA001406")</f>
        <v>AA001406</v>
      </c>
      <c r="D59" t="str">
        <f ca="1">IFERROR(__xludf.DUMMYFUNCTION("""COMPUTED_VALUE"""),"")</f>
        <v/>
      </c>
      <c r="E59" s="205" t="str">
        <f ca="1">IFERROR(__xludf.DUMMYFUNCTION("""COMPUTED_VALUE"""),"陳家誼")</f>
        <v>陳家誼</v>
      </c>
    </row>
    <row r="60" spans="1:5" ht="15" customHeight="1">
      <c r="A60" s="121" t="str">
        <f t="shared" ca="1" si="1"/>
        <v/>
      </c>
      <c r="B60" t="str">
        <f t="shared" ca="1" si="2"/>
        <v/>
      </c>
      <c r="C60" s="205" t="str">
        <f ca="1">IFERROR(__xludf.DUMMYFUNCTION("""COMPUTED_VALUE"""),"AA001653")</f>
        <v>AA001653</v>
      </c>
      <c r="D60" t="str">
        <f ca="1">IFERROR(__xludf.DUMMYFUNCTION("""COMPUTED_VALUE"""),"")</f>
        <v/>
      </c>
      <c r="E60" s="205" t="str">
        <f ca="1">IFERROR(__xludf.DUMMYFUNCTION("""COMPUTED_VALUE"""),"陳麗莉")</f>
        <v>陳麗莉</v>
      </c>
    </row>
    <row r="61" spans="1:5" ht="15" customHeight="1">
      <c r="A61" s="121" t="str">
        <f t="shared" ca="1" si="1"/>
        <v/>
      </c>
      <c r="B61" t="str">
        <f t="shared" ca="1" si="2"/>
        <v/>
      </c>
      <c r="C61" s="205" t="str">
        <f ca="1">IFERROR(__xludf.DUMMYFUNCTION("""COMPUTED_VALUE"""),"AA001428")</f>
        <v>AA001428</v>
      </c>
      <c r="D61" t="str">
        <f ca="1">IFERROR(__xludf.DUMMYFUNCTION("""COMPUTED_VALUE"""),"")</f>
        <v/>
      </c>
      <c r="E61" s="205" t="str">
        <f ca="1">IFERROR(__xludf.DUMMYFUNCTION("""COMPUTED_VALUE"""),"吳維卿")</f>
        <v>吳維卿</v>
      </c>
    </row>
    <row r="62" spans="1:5" ht="15" customHeight="1">
      <c r="A62" s="121" t="str">
        <f t="shared" ca="1" si="1"/>
        <v/>
      </c>
      <c r="B62" t="str">
        <f t="shared" ca="1" si="2"/>
        <v/>
      </c>
      <c r="C62" s="205" t="str">
        <f ca="1">IFERROR(__xludf.DUMMYFUNCTION("""COMPUTED_VALUE"""),"AA001413")</f>
        <v>AA001413</v>
      </c>
      <c r="D62" t="str">
        <f ca="1">IFERROR(__xludf.DUMMYFUNCTION("""COMPUTED_VALUE"""),"")</f>
        <v/>
      </c>
      <c r="E62" s="205" t="str">
        <f ca="1">IFERROR(__xludf.DUMMYFUNCTION("""COMPUTED_VALUE"""),"陳金子")</f>
        <v>陳金子</v>
      </c>
    </row>
    <row r="63" spans="1:5" ht="15" customHeight="1">
      <c r="A63" s="121" t="str">
        <f t="shared" ca="1" si="1"/>
        <v/>
      </c>
      <c r="B63" t="str">
        <f t="shared" ca="1" si="2"/>
        <v/>
      </c>
      <c r="C63" s="205" t="str">
        <f ca="1">IFERROR(__xludf.DUMMYFUNCTION("""COMPUTED_VALUE"""),"AA001413")</f>
        <v>AA001413</v>
      </c>
      <c r="D63" t="str">
        <f ca="1">IFERROR(__xludf.DUMMYFUNCTION("""COMPUTED_VALUE"""),"")</f>
        <v/>
      </c>
      <c r="E63" s="205" t="str">
        <f ca="1">IFERROR(__xludf.DUMMYFUNCTION("""COMPUTED_VALUE"""),"陳金子")</f>
        <v>陳金子</v>
      </c>
    </row>
    <row r="64" spans="1:5" ht="15" customHeight="1">
      <c r="A64" s="121" t="str">
        <f t="shared" ca="1" si="1"/>
        <v/>
      </c>
      <c r="B64" t="str">
        <f t="shared" ca="1" si="2"/>
        <v/>
      </c>
      <c r="C64" s="205" t="str">
        <f ca="1">IFERROR(__xludf.DUMMYFUNCTION("""COMPUTED_VALUE"""),"AA001407")</f>
        <v>AA001407</v>
      </c>
      <c r="D64" t="str">
        <f ca="1">IFERROR(__xludf.DUMMYFUNCTION("""COMPUTED_VALUE"""),"")</f>
        <v/>
      </c>
      <c r="E64" s="205" t="str">
        <f ca="1">IFERROR(__xludf.DUMMYFUNCTION("""COMPUTED_VALUE"""),"陳金泉")</f>
        <v>陳金泉</v>
      </c>
    </row>
    <row r="65" spans="1:5" ht="15" customHeight="1">
      <c r="A65" s="121" t="str">
        <f t="shared" ca="1" si="1"/>
        <v/>
      </c>
      <c r="B65" t="str">
        <f t="shared" ca="1" si="2"/>
        <v/>
      </c>
      <c r="C65" s="205" t="str">
        <f ca="1">IFERROR(__xludf.DUMMYFUNCTION("""COMPUTED_VALUE"""),"AA001407")</f>
        <v>AA001407</v>
      </c>
      <c r="D65" t="str">
        <f ca="1">IFERROR(__xludf.DUMMYFUNCTION("""COMPUTED_VALUE"""),"")</f>
        <v/>
      </c>
      <c r="E65" s="205" t="str">
        <f ca="1">IFERROR(__xludf.DUMMYFUNCTION("""COMPUTED_VALUE"""),"陳金泉")</f>
        <v>陳金泉</v>
      </c>
    </row>
    <row r="66" spans="1:5" ht="15" customHeight="1">
      <c r="A66" s="121" t="str">
        <f t="shared" ca="1" si="1"/>
        <v/>
      </c>
      <c r="B66" t="str">
        <f t="shared" ca="1" si="2"/>
        <v/>
      </c>
      <c r="C66" s="205" t="str">
        <f ca="1">IFERROR(__xludf.DUMMYFUNCTION("""COMPUTED_VALUE"""),"AA001407")</f>
        <v>AA001407</v>
      </c>
      <c r="D66" t="str">
        <f ca="1">IFERROR(__xludf.DUMMYFUNCTION("""COMPUTED_VALUE"""),"")</f>
        <v/>
      </c>
      <c r="E66" s="205" t="str">
        <f ca="1">IFERROR(__xludf.DUMMYFUNCTION("""COMPUTED_VALUE"""),"陳金泉")</f>
        <v>陳金泉</v>
      </c>
    </row>
    <row r="67" spans="1:5" ht="15" customHeight="1">
      <c r="A67" s="121" t="str">
        <f t="shared" ca="1" si="1"/>
        <v/>
      </c>
      <c r="B67" t="str">
        <f t="shared" ca="1" si="2"/>
        <v/>
      </c>
      <c r="C67" s="205" t="str">
        <f ca="1">IFERROR(__xludf.DUMMYFUNCTION("""COMPUTED_VALUE"""),"AA001734")</f>
        <v>AA001734</v>
      </c>
      <c r="D67" t="str">
        <f ca="1">IFERROR(__xludf.DUMMYFUNCTION("""COMPUTED_VALUE"""),"")</f>
        <v/>
      </c>
      <c r="E67" s="205" t="str">
        <f ca="1">IFERROR(__xludf.DUMMYFUNCTION("""COMPUTED_VALUE"""),"呂怡芬")</f>
        <v>呂怡芬</v>
      </c>
    </row>
    <row r="68" spans="1:5" ht="15" customHeight="1">
      <c r="A68" s="121" t="str">
        <f t="shared" ca="1" si="1"/>
        <v/>
      </c>
      <c r="B68" t="str">
        <f t="shared" ca="1" si="2"/>
        <v/>
      </c>
      <c r="C68" s="205" t="str">
        <f ca="1">IFERROR(__xludf.DUMMYFUNCTION("""COMPUTED_VALUE"""),"AA001734")</f>
        <v>AA001734</v>
      </c>
      <c r="D68" t="str">
        <f ca="1">IFERROR(__xludf.DUMMYFUNCTION("""COMPUTED_VALUE"""),"")</f>
        <v/>
      </c>
      <c r="E68" s="205" t="str">
        <f ca="1">IFERROR(__xludf.DUMMYFUNCTION("""COMPUTED_VALUE"""),"呂怡芬")</f>
        <v>呂怡芬</v>
      </c>
    </row>
    <row r="69" spans="1:5" ht="15" customHeight="1">
      <c r="A69" s="121" t="str">
        <f t="shared" ca="1" si="1"/>
        <v/>
      </c>
      <c r="B69" t="str">
        <f t="shared" ca="1" si="2"/>
        <v/>
      </c>
      <c r="C69" s="205" t="str">
        <f ca="1">IFERROR(__xludf.DUMMYFUNCTION("""COMPUTED_VALUE"""),"AA001624")</f>
        <v>AA001624</v>
      </c>
      <c r="D69" t="str">
        <f ca="1">IFERROR(__xludf.DUMMYFUNCTION("""COMPUTED_VALUE"""),"")</f>
        <v/>
      </c>
      <c r="E69" s="205" t="str">
        <f ca="1">IFERROR(__xludf.DUMMYFUNCTION("""COMPUTED_VALUE"""),"李桂蓮")</f>
        <v>李桂蓮</v>
      </c>
    </row>
    <row r="70" spans="1:5" ht="15" customHeight="1">
      <c r="A70" s="121" t="str">
        <f t="shared" ca="1" si="1"/>
        <v/>
      </c>
      <c r="B70" t="str">
        <f t="shared" ca="1" si="2"/>
        <v/>
      </c>
      <c r="C70" s="205" t="str">
        <f ca="1">IFERROR(__xludf.DUMMYFUNCTION("""COMPUTED_VALUE"""),"AA001408")</f>
        <v>AA001408</v>
      </c>
      <c r="D70" t="str">
        <f ca="1">IFERROR(__xludf.DUMMYFUNCTION("""COMPUTED_VALUE"""),"")</f>
        <v/>
      </c>
      <c r="E70" s="205" t="str">
        <f ca="1">IFERROR(__xludf.DUMMYFUNCTION("""COMPUTED_VALUE"""),"李財旺")</f>
        <v>李財旺</v>
      </c>
    </row>
    <row r="71" spans="1:5" ht="15" customHeight="1">
      <c r="A71" s="121" t="str">
        <f t="shared" ca="1" si="1"/>
        <v/>
      </c>
      <c r="B71" t="str">
        <f t="shared" ca="1" si="2"/>
        <v/>
      </c>
      <c r="C71" s="205" t="str">
        <f ca="1">IFERROR(__xludf.DUMMYFUNCTION("""COMPUTED_VALUE"""),"AA001429")</f>
        <v>AA001429</v>
      </c>
      <c r="D71" t="str">
        <f ca="1">IFERROR(__xludf.DUMMYFUNCTION("""COMPUTED_VALUE"""),"")</f>
        <v/>
      </c>
      <c r="E71" s="205" t="str">
        <f ca="1">IFERROR(__xludf.DUMMYFUNCTION("""COMPUTED_VALUE"""),"胡倫仁")</f>
        <v>胡倫仁</v>
      </c>
    </row>
    <row r="72" spans="1:5" ht="15" customHeight="1">
      <c r="A72" s="121" t="str">
        <f t="shared" ca="1" si="1"/>
        <v/>
      </c>
      <c r="B72" t="str">
        <f t="shared" ca="1" si="2"/>
        <v/>
      </c>
      <c r="C72" s="205" t="str">
        <f ca="1">IFERROR(__xludf.DUMMYFUNCTION("""COMPUTED_VALUE"""),"AA001432")</f>
        <v>AA001432</v>
      </c>
      <c r="D72" t="str">
        <f ca="1">IFERROR(__xludf.DUMMYFUNCTION("""COMPUTED_VALUE"""),"")</f>
        <v/>
      </c>
      <c r="E72" s="205" t="str">
        <f ca="1">IFERROR(__xludf.DUMMYFUNCTION("""COMPUTED_VALUE"""),"張瑾宜")</f>
        <v>張瑾宜</v>
      </c>
    </row>
    <row r="73" spans="1:5" ht="15" customHeight="1">
      <c r="A73" s="121" t="str">
        <f t="shared" ca="1" si="1"/>
        <v/>
      </c>
      <c r="B73" t="str">
        <f t="shared" ca="1" si="2"/>
        <v/>
      </c>
      <c r="C73" s="205" t="str">
        <f ca="1">IFERROR(__xludf.DUMMYFUNCTION("""COMPUTED_VALUE"""),"AA001415")</f>
        <v>AA001415</v>
      </c>
      <c r="D73" t="str">
        <f ca="1">IFERROR(__xludf.DUMMYFUNCTION("""COMPUTED_VALUE"""),"")</f>
        <v/>
      </c>
      <c r="E73" s="205" t="str">
        <f ca="1">IFERROR(__xludf.DUMMYFUNCTION("""COMPUTED_VALUE"""),"王碧霞")</f>
        <v>王碧霞</v>
      </c>
    </row>
    <row r="74" spans="1:5" ht="15" customHeight="1">
      <c r="A74" s="121" t="str">
        <f t="shared" ca="1" si="1"/>
        <v/>
      </c>
      <c r="B74" t="str">
        <f t="shared" ca="1" si="2"/>
        <v/>
      </c>
      <c r="C74" s="205" t="str">
        <f ca="1">IFERROR(__xludf.DUMMYFUNCTION("""COMPUTED_VALUE"""),"AA001415")</f>
        <v>AA001415</v>
      </c>
      <c r="D74" t="str">
        <f ca="1">IFERROR(__xludf.DUMMYFUNCTION("""COMPUTED_VALUE"""),"")</f>
        <v/>
      </c>
      <c r="E74" s="205" t="str">
        <f ca="1">IFERROR(__xludf.DUMMYFUNCTION("""COMPUTED_VALUE"""),"陳昭吟")</f>
        <v>陳昭吟</v>
      </c>
    </row>
    <row r="75" spans="1:5" ht="15" customHeight="1">
      <c r="A75" s="121" t="str">
        <f t="shared" ca="1" si="1"/>
        <v/>
      </c>
      <c r="B75" t="str">
        <f t="shared" ca="1" si="2"/>
        <v/>
      </c>
      <c r="C75" s="205" t="str">
        <f ca="1">IFERROR(__xludf.DUMMYFUNCTION("""COMPUTED_VALUE"""),"AA001716")</f>
        <v>AA001716</v>
      </c>
      <c r="D75" t="str">
        <f ca="1">IFERROR(__xludf.DUMMYFUNCTION("""COMPUTED_VALUE"""),"")</f>
        <v/>
      </c>
      <c r="E75" s="205" t="str">
        <f ca="1">IFERROR(__xludf.DUMMYFUNCTION("""COMPUTED_VALUE"""),"陳繪惠")</f>
        <v>陳繪惠</v>
      </c>
    </row>
    <row r="76" spans="1:5" ht="15" customHeight="1">
      <c r="A76" s="121" t="str">
        <f t="shared" ca="1" si="1"/>
        <v/>
      </c>
      <c r="B76" t="str">
        <f t="shared" ca="1" si="2"/>
        <v/>
      </c>
      <c r="C76" s="205" t="str">
        <f ca="1">IFERROR(__xludf.DUMMYFUNCTION("""COMPUTED_VALUE"""),"AA001716")</f>
        <v>AA001716</v>
      </c>
      <c r="D76" t="str">
        <f ca="1">IFERROR(__xludf.DUMMYFUNCTION("""COMPUTED_VALUE"""),"")</f>
        <v/>
      </c>
      <c r="E76" s="205" t="str">
        <f ca="1">IFERROR(__xludf.DUMMYFUNCTION("""COMPUTED_VALUE"""),"陳繪惠")</f>
        <v>陳繪惠</v>
      </c>
    </row>
    <row r="77" spans="1:5" ht="15" customHeight="1">
      <c r="A77" s="121" t="str">
        <f t="shared" ca="1" si="1"/>
        <v/>
      </c>
      <c r="B77" t="str">
        <f t="shared" ca="1" si="2"/>
        <v/>
      </c>
      <c r="C77" s="205" t="str">
        <f ca="1">IFERROR(__xludf.DUMMYFUNCTION("""COMPUTED_VALUE"""),"AA001416")</f>
        <v>AA001416</v>
      </c>
      <c r="D77" t="str">
        <f ca="1">IFERROR(__xludf.DUMMYFUNCTION("""COMPUTED_VALUE"""),"")</f>
        <v/>
      </c>
      <c r="E77" s="205" t="str">
        <f ca="1">IFERROR(__xludf.DUMMYFUNCTION("""COMPUTED_VALUE"""),"曾恆禎")</f>
        <v>曾恆禎</v>
      </c>
    </row>
    <row r="78" spans="1:5" ht="15" customHeight="1">
      <c r="A78" s="121" t="str">
        <f t="shared" ca="1" si="1"/>
        <v/>
      </c>
      <c r="B78" t="str">
        <f t="shared" ca="1" si="2"/>
        <v/>
      </c>
      <c r="C78" s="205" t="str">
        <f ca="1">IFERROR(__xludf.DUMMYFUNCTION("""COMPUTED_VALUE"""),"AA001735")</f>
        <v>AA001735</v>
      </c>
      <c r="D78" t="str">
        <f ca="1">IFERROR(__xludf.DUMMYFUNCTION("""COMPUTED_VALUE"""),"")</f>
        <v/>
      </c>
      <c r="E78" s="205" t="str">
        <f ca="1">IFERROR(__xludf.DUMMYFUNCTION("""COMPUTED_VALUE"""),"洪瑞鴻")</f>
        <v>洪瑞鴻</v>
      </c>
    </row>
    <row r="79" spans="1:5" ht="15" customHeight="1">
      <c r="A79" s="121" t="str">
        <f t="shared" ca="1" si="1"/>
        <v/>
      </c>
      <c r="B79" t="str">
        <f t="shared" ca="1" si="2"/>
        <v/>
      </c>
      <c r="C79" s="205" t="str">
        <f ca="1">IFERROR(__xludf.DUMMYFUNCTION("""COMPUTED_VALUE"""),"AA001715")</f>
        <v>AA001715</v>
      </c>
      <c r="D79" t="str">
        <f ca="1">IFERROR(__xludf.DUMMYFUNCTION("""COMPUTED_VALUE"""),"")</f>
        <v/>
      </c>
      <c r="E79" s="205" t="str">
        <f ca="1">IFERROR(__xludf.DUMMYFUNCTION("""COMPUTED_VALUE"""),"俞瑪麗")</f>
        <v>俞瑪麗</v>
      </c>
    </row>
    <row r="80" spans="1:5" ht="15" customHeight="1">
      <c r="A80" s="121" t="str">
        <f t="shared" ca="1" si="1"/>
        <v/>
      </c>
      <c r="B80" t="str">
        <f t="shared" ca="1" si="2"/>
        <v/>
      </c>
      <c r="C80" s="205" t="str">
        <f ca="1">IFERROR(__xludf.DUMMYFUNCTION("""COMPUTED_VALUE"""),"AA001715")</f>
        <v>AA001715</v>
      </c>
      <c r="D80" t="str">
        <f ca="1">IFERROR(__xludf.DUMMYFUNCTION("""COMPUTED_VALUE"""),"")</f>
        <v/>
      </c>
      <c r="E80" s="205" t="str">
        <f ca="1">IFERROR(__xludf.DUMMYFUNCTION("""COMPUTED_VALUE"""),"俞瑪麗")</f>
        <v>俞瑪麗</v>
      </c>
    </row>
    <row r="81" spans="1:5" ht="15" customHeight="1">
      <c r="A81" s="121" t="str">
        <f t="shared" ca="1" si="1"/>
        <v/>
      </c>
      <c r="B81" t="str">
        <f t="shared" ca="1" si="2"/>
        <v/>
      </c>
      <c r="C81" s="205" t="str">
        <f ca="1">IFERROR(__xludf.DUMMYFUNCTION("""COMPUTED_VALUE"""),"AA001715")</f>
        <v>AA001715</v>
      </c>
      <c r="D81" t="str">
        <f ca="1">IFERROR(__xludf.DUMMYFUNCTION("""COMPUTED_VALUE"""),"")</f>
        <v/>
      </c>
      <c r="E81" s="205" t="str">
        <f ca="1">IFERROR(__xludf.DUMMYFUNCTION("""COMPUTED_VALUE"""),"俞瑪麗")</f>
        <v>俞瑪麗</v>
      </c>
    </row>
    <row r="82" spans="1:5" ht="15" customHeight="1">
      <c r="A82" s="121" t="str">
        <f t="shared" ca="1" si="1"/>
        <v/>
      </c>
      <c r="B82" t="str">
        <f t="shared" ca="1" si="2"/>
        <v/>
      </c>
      <c r="C82" s="205" t="str">
        <f ca="1">IFERROR(__xludf.DUMMYFUNCTION("""COMPUTED_VALUE"""),"AA001625")</f>
        <v>AA001625</v>
      </c>
      <c r="D82" t="str">
        <f ca="1">IFERROR(__xludf.DUMMYFUNCTION("""COMPUTED_VALUE"""),"")</f>
        <v/>
      </c>
      <c r="E82" s="205" t="str">
        <f ca="1">IFERROR(__xludf.DUMMYFUNCTION("""COMPUTED_VALUE"""),"宋元慈")</f>
        <v>宋元慈</v>
      </c>
    </row>
    <row r="83" spans="1:5" ht="15" customHeight="1">
      <c r="A83" s="121" t="str">
        <f t="shared" ca="1" si="1"/>
        <v/>
      </c>
      <c r="B83" t="str">
        <f t="shared" ca="1" si="2"/>
        <v/>
      </c>
      <c r="C83" s="205" t="str">
        <f ca="1">IFERROR(__xludf.DUMMYFUNCTION("""COMPUTED_VALUE"""),"AA001602")</f>
        <v>AA001602</v>
      </c>
      <c r="D83" t="str">
        <f ca="1">IFERROR(__xludf.DUMMYFUNCTION("""COMPUTED_VALUE"""),"")</f>
        <v/>
      </c>
      <c r="E83" s="205" t="str">
        <f ca="1">IFERROR(__xludf.DUMMYFUNCTION("""COMPUTED_VALUE"""),"何惠心")</f>
        <v>何惠心</v>
      </c>
    </row>
    <row r="84" spans="1:5" ht="15" customHeight="1">
      <c r="A84" s="121" t="str">
        <f t="shared" ca="1" si="1"/>
        <v/>
      </c>
      <c r="B84" t="str">
        <f t="shared" ca="1" si="2"/>
        <v/>
      </c>
      <c r="C84" s="205" t="str">
        <f ca="1">IFERROR(__xludf.DUMMYFUNCTION("""COMPUTED_VALUE"""),"AA001139")</f>
        <v>AA001139</v>
      </c>
      <c r="D84" t="str">
        <f ca="1">IFERROR(__xludf.DUMMYFUNCTION("""COMPUTED_VALUE"""),"")</f>
        <v/>
      </c>
      <c r="E84" s="205" t="str">
        <f ca="1">IFERROR(__xludf.DUMMYFUNCTION("""COMPUTED_VALUE"""),"郭容偉")</f>
        <v>郭容偉</v>
      </c>
    </row>
    <row r="85" spans="1:5" ht="15" customHeight="1">
      <c r="A85" s="121" t="str">
        <f t="shared" ca="1" si="1"/>
        <v/>
      </c>
      <c r="B85" t="str">
        <f t="shared" ca="1" si="2"/>
        <v/>
      </c>
      <c r="C85" s="205" t="str">
        <f ca="1">IFERROR(__xludf.DUMMYFUNCTION("""COMPUTED_VALUE"""),"AA001401")</f>
        <v>AA001401</v>
      </c>
      <c r="D85" t="str">
        <f ca="1">IFERROR(__xludf.DUMMYFUNCTION("""COMPUTED_VALUE"""),"")</f>
        <v/>
      </c>
      <c r="E85" s="205" t="str">
        <f ca="1">IFERROR(__xludf.DUMMYFUNCTION("""COMPUTED_VALUE"""),"陳冠伃")</f>
        <v>陳冠伃</v>
      </c>
    </row>
    <row r="86" spans="1:5" ht="15" customHeight="1">
      <c r="A86" s="121" t="str">
        <f t="shared" ca="1" si="1"/>
        <v/>
      </c>
      <c r="B86" t="str">
        <f t="shared" ca="1" si="2"/>
        <v/>
      </c>
      <c r="C86" s="205" t="str">
        <f ca="1">IFERROR(__xludf.DUMMYFUNCTION("""COMPUTED_VALUE"""),"AA001753")</f>
        <v>AA001753</v>
      </c>
      <c r="D86" t="str">
        <f ca="1">IFERROR(__xludf.DUMMYFUNCTION("""COMPUTED_VALUE"""),"")</f>
        <v/>
      </c>
      <c r="E86" s="205" t="str">
        <f ca="1">IFERROR(__xludf.DUMMYFUNCTION("""COMPUTED_VALUE"""),"劉昭麟")</f>
        <v>劉昭麟</v>
      </c>
    </row>
    <row r="87" spans="1:5" ht="15" customHeight="1">
      <c r="A87" s="121" t="str">
        <f t="shared" ca="1" si="1"/>
        <v/>
      </c>
      <c r="B87" t="str">
        <f t="shared" ca="1" si="2"/>
        <v/>
      </c>
      <c r="C87" s="205" t="str">
        <f ca="1">IFERROR(__xludf.DUMMYFUNCTION("""COMPUTED_VALUE"""),"AA001751")</f>
        <v>AA001751</v>
      </c>
      <c r="D87" t="str">
        <f ca="1">IFERROR(__xludf.DUMMYFUNCTION("""COMPUTED_VALUE"""),"")</f>
        <v/>
      </c>
      <c r="E87" s="205" t="str">
        <f ca="1">IFERROR(__xludf.DUMMYFUNCTION("""COMPUTED_VALUE"""),"方怡婷")</f>
        <v>方怡婷</v>
      </c>
    </row>
    <row r="88" spans="1:5" ht="15" customHeight="1">
      <c r="A88" s="121" t="str">
        <f t="shared" ca="1" si="1"/>
        <v/>
      </c>
      <c r="B88" t="str">
        <f t="shared" ca="1" si="2"/>
        <v/>
      </c>
      <c r="C88" s="205" t="str">
        <f ca="1">IFERROR(__xludf.DUMMYFUNCTION("""COMPUTED_VALUE"""),"AA001751")</f>
        <v>AA001751</v>
      </c>
      <c r="D88" t="str">
        <f ca="1">IFERROR(__xludf.DUMMYFUNCTION("""COMPUTED_VALUE"""),"")</f>
        <v/>
      </c>
      <c r="E88" s="205" t="str">
        <f ca="1">IFERROR(__xludf.DUMMYFUNCTION("""COMPUTED_VALUE"""),"方怡婷")</f>
        <v>方怡婷</v>
      </c>
    </row>
    <row r="89" spans="1:5" ht="15" customHeight="1">
      <c r="A89" s="121" t="str">
        <f t="shared" ca="1" si="1"/>
        <v/>
      </c>
      <c r="B89" t="str">
        <f t="shared" ca="1" si="2"/>
        <v/>
      </c>
      <c r="C89" s="205" t="str">
        <f ca="1">IFERROR(__xludf.DUMMYFUNCTION("""COMPUTED_VALUE"""),"AA001599")</f>
        <v>AA001599</v>
      </c>
      <c r="D89" t="str">
        <f ca="1">IFERROR(__xludf.DUMMYFUNCTION("""COMPUTED_VALUE"""),"")</f>
        <v/>
      </c>
      <c r="E89" s="205" t="str">
        <f ca="1">IFERROR(__xludf.DUMMYFUNCTION("""COMPUTED_VALUE"""),"黃嘉鈴")</f>
        <v>黃嘉鈴</v>
      </c>
    </row>
    <row r="90" spans="1:5" ht="15" customHeight="1">
      <c r="A90" s="121" t="str">
        <f t="shared" ca="1" si="1"/>
        <v/>
      </c>
      <c r="B90" t="str">
        <f t="shared" ca="1" si="2"/>
        <v/>
      </c>
      <c r="C90" s="205" t="str">
        <f ca="1">IFERROR(__xludf.DUMMYFUNCTION("""COMPUTED_VALUE"""),"AA001598")</f>
        <v>AA001598</v>
      </c>
      <c r="D90" t="str">
        <f ca="1">IFERROR(__xludf.DUMMYFUNCTION("""COMPUTED_VALUE"""),"")</f>
        <v/>
      </c>
      <c r="E90" s="205" t="str">
        <f ca="1">IFERROR(__xludf.DUMMYFUNCTION("""COMPUTED_VALUE"""),"邱春淑")</f>
        <v>邱春淑</v>
      </c>
    </row>
    <row r="91" spans="1:5" ht="15" customHeight="1">
      <c r="A91" s="121" t="str">
        <f t="shared" ca="1" si="1"/>
        <v/>
      </c>
      <c r="B91" t="str">
        <f t="shared" ca="1" si="2"/>
        <v/>
      </c>
      <c r="C91" s="205" t="str">
        <f ca="1">IFERROR(__xludf.DUMMYFUNCTION("""COMPUTED_VALUE"""),"AA001597")</f>
        <v>AA001597</v>
      </c>
      <c r="D91" t="str">
        <f ca="1">IFERROR(__xludf.DUMMYFUNCTION("""COMPUTED_VALUE"""),"")</f>
        <v/>
      </c>
      <c r="E91" s="205" t="str">
        <f ca="1">IFERROR(__xludf.DUMMYFUNCTION("""COMPUTED_VALUE"""),"林詩傑")</f>
        <v>林詩傑</v>
      </c>
    </row>
    <row r="92" spans="1:5" ht="15" customHeight="1">
      <c r="A92" s="121" t="str">
        <f t="shared" ca="1" si="1"/>
        <v/>
      </c>
      <c r="B92" t="str">
        <f t="shared" ca="1" si="2"/>
        <v/>
      </c>
      <c r="C92" s="205" t="str">
        <f ca="1">IFERROR(__xludf.DUMMYFUNCTION("""COMPUTED_VALUE"""),"AA001614")</f>
        <v>AA001614</v>
      </c>
      <c r="D92" t="str">
        <f ca="1">IFERROR(__xludf.DUMMYFUNCTION("""COMPUTED_VALUE"""),"")</f>
        <v/>
      </c>
      <c r="E92" s="205" t="str">
        <f ca="1">IFERROR(__xludf.DUMMYFUNCTION("""COMPUTED_VALUE"""),"大江生醫股份有限公司")</f>
        <v>大江生醫股份有限公司</v>
      </c>
    </row>
    <row r="93" spans="1:5" ht="15" customHeight="1">
      <c r="A93" s="121" t="str">
        <f t="shared" ca="1" si="1"/>
        <v/>
      </c>
      <c r="B93" t="str">
        <f t="shared" ca="1" si="2"/>
        <v/>
      </c>
      <c r="C93" s="205" t="str">
        <f ca="1">IFERROR(__xludf.DUMMYFUNCTION("""COMPUTED_VALUE"""),"AA001431")</f>
        <v>AA001431</v>
      </c>
      <c r="D93" t="str">
        <f ca="1">IFERROR(__xludf.DUMMYFUNCTION("""COMPUTED_VALUE"""),"")</f>
        <v/>
      </c>
      <c r="E93" s="205" t="str">
        <f ca="1">IFERROR(__xludf.DUMMYFUNCTION("""COMPUTED_VALUE"""),"鄭歌詠")</f>
        <v>鄭歌詠</v>
      </c>
    </row>
    <row r="94" spans="1:5" ht="15" customHeight="1">
      <c r="A94" s="121" t="str">
        <f t="shared" ca="1" si="1"/>
        <v/>
      </c>
      <c r="B94" t="str">
        <f t="shared" ca="1" si="2"/>
        <v/>
      </c>
      <c r="C94" s="205" t="str">
        <f ca="1">IFERROR(__xludf.DUMMYFUNCTION("""COMPUTED_VALUE"""),"AA001723")</f>
        <v>AA001723</v>
      </c>
      <c r="D94" t="str">
        <f ca="1">IFERROR(__xludf.DUMMYFUNCTION("""COMPUTED_VALUE"""),"")</f>
        <v/>
      </c>
      <c r="E94" s="205" t="str">
        <f ca="1">IFERROR(__xludf.DUMMYFUNCTION("""COMPUTED_VALUE"""),"李文才")</f>
        <v>李文才</v>
      </c>
    </row>
    <row r="95" spans="1:5" ht="15" customHeight="1">
      <c r="A95" s="121" t="str">
        <f t="shared" ca="1" si="1"/>
        <v/>
      </c>
      <c r="B95" t="str">
        <f t="shared" ca="1" si="2"/>
        <v/>
      </c>
      <c r="C95" s="205" t="str">
        <f ca="1">IFERROR(__xludf.DUMMYFUNCTION("""COMPUTED_VALUE"""),"AA001723")</f>
        <v>AA001723</v>
      </c>
      <c r="D95" t="str">
        <f ca="1">IFERROR(__xludf.DUMMYFUNCTION("""COMPUTED_VALUE"""),"")</f>
        <v/>
      </c>
      <c r="E95" s="205" t="str">
        <f ca="1">IFERROR(__xludf.DUMMYFUNCTION("""COMPUTED_VALUE"""),"李文才")</f>
        <v>李文才</v>
      </c>
    </row>
    <row r="96" spans="1:5" ht="15" customHeight="1">
      <c r="A96" s="121" t="str">
        <f t="shared" ca="1" si="1"/>
        <v/>
      </c>
      <c r="B96" t="str">
        <f t="shared" ca="1" si="2"/>
        <v/>
      </c>
      <c r="C96" s="205" t="str">
        <f ca="1">IFERROR(__xludf.DUMMYFUNCTION("""COMPUTED_VALUE"""),"AA001736")</f>
        <v>AA001736</v>
      </c>
      <c r="D96" t="str">
        <f ca="1">IFERROR(__xludf.DUMMYFUNCTION("""COMPUTED_VALUE"""),"")</f>
        <v/>
      </c>
      <c r="E96" s="205" t="str">
        <f ca="1">IFERROR(__xludf.DUMMYFUNCTION("""COMPUTED_VALUE"""),"任念珠")</f>
        <v>任念珠</v>
      </c>
    </row>
    <row r="97" spans="1:5" ht="15" customHeight="1">
      <c r="A97" s="121" t="str">
        <f t="shared" ca="1" si="1"/>
        <v/>
      </c>
      <c r="B97" t="str">
        <f t="shared" ca="1" si="2"/>
        <v/>
      </c>
      <c r="C97" s="205" t="str">
        <f ca="1">IFERROR(__xludf.DUMMYFUNCTION("""COMPUTED_VALUE"""),"AA001736")</f>
        <v>AA001736</v>
      </c>
      <c r="D97" t="str">
        <f ca="1">IFERROR(__xludf.DUMMYFUNCTION("""COMPUTED_VALUE"""),"")</f>
        <v/>
      </c>
      <c r="E97" s="205" t="str">
        <f ca="1">IFERROR(__xludf.DUMMYFUNCTION("""COMPUTED_VALUE"""),"任念珠")</f>
        <v>任念珠</v>
      </c>
    </row>
    <row r="98" spans="1:5" ht="15" customHeight="1">
      <c r="A98" s="121" t="str">
        <f t="shared" ca="1" si="1"/>
        <v/>
      </c>
      <c r="B98" t="str">
        <f t="shared" ca="1" si="2"/>
        <v/>
      </c>
      <c r="C98" s="205" t="str">
        <f ca="1">IFERROR(__xludf.DUMMYFUNCTION("""COMPUTED_VALUE"""),"AA001736")</f>
        <v>AA001736</v>
      </c>
      <c r="D98" t="str">
        <f ca="1">IFERROR(__xludf.DUMMYFUNCTION("""COMPUTED_VALUE"""),"")</f>
        <v/>
      </c>
      <c r="E98" s="205" t="str">
        <f ca="1">IFERROR(__xludf.DUMMYFUNCTION("""COMPUTED_VALUE"""),"任念珠")</f>
        <v>任念珠</v>
      </c>
    </row>
    <row r="99" spans="1:5" ht="15" customHeight="1">
      <c r="A99" s="121" t="str">
        <f t="shared" ca="1" si="1"/>
        <v/>
      </c>
      <c r="B99" t="str">
        <f t="shared" ca="1" si="2"/>
        <v/>
      </c>
      <c r="C99" s="205" t="str">
        <f ca="1">IFERROR(__xludf.DUMMYFUNCTION("""COMPUTED_VALUE"""),"AA001626")</f>
        <v>AA001626</v>
      </c>
      <c r="D99" t="str">
        <f ca="1">IFERROR(__xludf.DUMMYFUNCTION("""COMPUTED_VALUE"""),"")</f>
        <v/>
      </c>
      <c r="E99" s="205" t="str">
        <f ca="1">IFERROR(__xludf.DUMMYFUNCTION("""COMPUTED_VALUE"""),"許美越")</f>
        <v>許美越</v>
      </c>
    </row>
    <row r="100" spans="1:5" ht="15" customHeight="1">
      <c r="A100" s="121" t="str">
        <f t="shared" ca="1" si="1"/>
        <v/>
      </c>
      <c r="B100" t="str">
        <f t="shared" ca="1" si="2"/>
        <v/>
      </c>
      <c r="C100" s="205" t="str">
        <f ca="1">IFERROR(__xludf.DUMMYFUNCTION("""COMPUTED_VALUE"""),"AA001409")</f>
        <v>AA001409</v>
      </c>
      <c r="D100" t="str">
        <f ca="1">IFERROR(__xludf.DUMMYFUNCTION("""COMPUTED_VALUE"""),"")</f>
        <v/>
      </c>
      <c r="E100" s="205" t="str">
        <f ca="1">IFERROR(__xludf.DUMMYFUNCTION("""COMPUTED_VALUE"""),"彭菊英")</f>
        <v>彭菊英</v>
      </c>
    </row>
    <row r="101" spans="1:5" ht="15" customHeight="1">
      <c r="A101" s="121" t="str">
        <f t="shared" ca="1" si="1"/>
        <v/>
      </c>
      <c r="B101" t="str">
        <f t="shared" ca="1" si="2"/>
        <v/>
      </c>
      <c r="C101" s="205" t="str">
        <f ca="1">IFERROR(__xludf.DUMMYFUNCTION("""COMPUTED_VALUE"""),"AA001611")</f>
        <v>AA001611</v>
      </c>
      <c r="D101" t="str">
        <f ca="1">IFERROR(__xludf.DUMMYFUNCTION("""COMPUTED_VALUE"""),"")</f>
        <v/>
      </c>
      <c r="E101" s="205" t="str">
        <f ca="1">IFERROR(__xludf.DUMMYFUNCTION("""COMPUTED_VALUE"""),"歐寶貴")</f>
        <v>歐寶貴</v>
      </c>
    </row>
    <row r="102" spans="1:5" ht="15" customHeight="1">
      <c r="A102" s="121" t="str">
        <f t="shared" ca="1" si="1"/>
        <v/>
      </c>
      <c r="B102" t="str">
        <f t="shared" ca="1" si="2"/>
        <v/>
      </c>
      <c r="C102" s="205" t="str">
        <f ca="1">IFERROR(__xludf.DUMMYFUNCTION("""COMPUTED_VALUE"""),"AA001631")</f>
        <v>AA001631</v>
      </c>
      <c r="D102" t="str">
        <f ca="1">IFERROR(__xludf.DUMMYFUNCTION("""COMPUTED_VALUE"""),"")</f>
        <v/>
      </c>
      <c r="E102" s="205" t="str">
        <f ca="1">IFERROR(__xludf.DUMMYFUNCTION("""COMPUTED_VALUE"""),"韋哲啓")</f>
        <v>韋哲啓</v>
      </c>
    </row>
    <row r="103" spans="1:5" ht="15" customHeight="1">
      <c r="A103" s="121" t="str">
        <f t="shared" ca="1" si="1"/>
        <v/>
      </c>
      <c r="B103" t="str">
        <f t="shared" ca="1" si="2"/>
        <v/>
      </c>
      <c r="C103" s="205" t="str">
        <f ca="1">IFERROR(__xludf.DUMMYFUNCTION("""COMPUTED_VALUE"""),"AA001682")</f>
        <v>AA001682</v>
      </c>
      <c r="D103" t="str">
        <f ca="1">IFERROR(__xludf.DUMMYFUNCTION("""COMPUTED_VALUE"""),"")</f>
        <v/>
      </c>
      <c r="E103" s="205" t="str">
        <f ca="1">IFERROR(__xludf.DUMMYFUNCTION("""COMPUTED_VALUE"""),"李若淳")</f>
        <v>李若淳</v>
      </c>
    </row>
    <row r="104" spans="1:5" ht="15" customHeight="1">
      <c r="A104" s="121" t="str">
        <f t="shared" ca="1" si="1"/>
        <v/>
      </c>
      <c r="B104" t="str">
        <f t="shared" ca="1" si="2"/>
        <v/>
      </c>
      <c r="C104" s="205" t="str">
        <f ca="1">IFERROR(__xludf.DUMMYFUNCTION("""COMPUTED_VALUE"""),"AA001682")</f>
        <v>AA001682</v>
      </c>
      <c r="D104" t="str">
        <f ca="1">IFERROR(__xludf.DUMMYFUNCTION("""COMPUTED_VALUE"""),"")</f>
        <v/>
      </c>
      <c r="E104" s="205" t="str">
        <f ca="1">IFERROR(__xludf.DUMMYFUNCTION("""COMPUTED_VALUE"""),"李若淳")</f>
        <v>李若淳</v>
      </c>
    </row>
    <row r="105" spans="1:5" ht="15" customHeight="1">
      <c r="A105" s="121" t="str">
        <f t="shared" ca="1" si="1"/>
        <v/>
      </c>
      <c r="B105" t="str">
        <f t="shared" ca="1" si="2"/>
        <v/>
      </c>
      <c r="C105" s="205" t="str">
        <f ca="1">IFERROR(__xludf.DUMMYFUNCTION("""COMPUTED_VALUE"""),"AA001612")</f>
        <v>AA001612</v>
      </c>
      <c r="D105" t="str">
        <f ca="1">IFERROR(__xludf.DUMMYFUNCTION("""COMPUTED_VALUE"""),"")</f>
        <v/>
      </c>
      <c r="E105" s="205" t="str">
        <f ca="1">IFERROR(__xludf.DUMMYFUNCTION("""COMPUTED_VALUE"""),"黃櫻鎮")</f>
        <v>黃櫻鎮</v>
      </c>
    </row>
    <row r="106" spans="1:5" ht="15" customHeight="1">
      <c r="A106" s="121" t="str">
        <f t="shared" ca="1" si="1"/>
        <v/>
      </c>
      <c r="B106" t="str">
        <f t="shared" ca="1" si="2"/>
        <v/>
      </c>
      <c r="C106" s="205" t="str">
        <f ca="1">IFERROR(__xludf.DUMMYFUNCTION("""COMPUTED_VALUE"""),"AA001612")</f>
        <v>AA001612</v>
      </c>
      <c r="D106" t="str">
        <f ca="1">IFERROR(__xludf.DUMMYFUNCTION("""COMPUTED_VALUE"""),"")</f>
        <v/>
      </c>
      <c r="E106" s="205" t="str">
        <f ca="1">IFERROR(__xludf.DUMMYFUNCTION("""COMPUTED_VALUE"""),"黃櫻鎮")</f>
        <v>黃櫻鎮</v>
      </c>
    </row>
    <row r="107" spans="1:5" ht="15" customHeight="1">
      <c r="A107" s="121" t="str">
        <f t="shared" ca="1" si="1"/>
        <v/>
      </c>
      <c r="B107" t="str">
        <f t="shared" ca="1" si="2"/>
        <v/>
      </c>
      <c r="C107" s="205" t="str">
        <f ca="1">IFERROR(__xludf.DUMMYFUNCTION("""COMPUTED_VALUE"""),"AA001627")</f>
        <v>AA001627</v>
      </c>
      <c r="D107" t="str">
        <f ca="1">IFERROR(__xludf.DUMMYFUNCTION("""COMPUTED_VALUE"""),"")</f>
        <v/>
      </c>
      <c r="E107" s="205" t="str">
        <f ca="1">IFERROR(__xludf.DUMMYFUNCTION("""COMPUTED_VALUE"""),"劉青菁")</f>
        <v>劉青菁</v>
      </c>
    </row>
    <row r="108" spans="1:5" ht="15" customHeight="1">
      <c r="A108" s="121" t="str">
        <f t="shared" ca="1" si="1"/>
        <v/>
      </c>
      <c r="B108" t="str">
        <f t="shared" ca="1" si="2"/>
        <v/>
      </c>
      <c r="C108" s="205" t="str">
        <f ca="1">IFERROR(__xludf.DUMMYFUNCTION("""COMPUTED_VALUE"""),"AA001702")</f>
        <v>AA001702</v>
      </c>
      <c r="D108" t="str">
        <f ca="1">IFERROR(__xludf.DUMMYFUNCTION("""COMPUTED_VALUE"""),"")</f>
        <v/>
      </c>
      <c r="E108" s="205" t="str">
        <f ca="1">IFERROR(__xludf.DUMMYFUNCTION("""COMPUTED_VALUE"""),"楊金在")</f>
        <v>楊金在</v>
      </c>
    </row>
    <row r="109" spans="1:5" ht="15" customHeight="1">
      <c r="A109" s="121" t="str">
        <f t="shared" ca="1" si="1"/>
        <v/>
      </c>
      <c r="B109" t="str">
        <f t="shared" ca="1" si="2"/>
        <v/>
      </c>
      <c r="C109" s="205" t="str">
        <f ca="1">IFERROR(__xludf.DUMMYFUNCTION("""COMPUTED_VALUE"""),"AA001724")</f>
        <v>AA001724</v>
      </c>
      <c r="D109" t="str">
        <f ca="1">IFERROR(__xludf.DUMMYFUNCTION("""COMPUTED_VALUE"""),"")</f>
        <v/>
      </c>
      <c r="E109" s="205" t="str">
        <f ca="1">IFERROR(__xludf.DUMMYFUNCTION("""COMPUTED_VALUE"""),"李文才")</f>
        <v>李文才</v>
      </c>
    </row>
    <row r="110" spans="1:5" ht="15" customHeight="1">
      <c r="A110" s="121" t="str">
        <f t="shared" ca="1" si="1"/>
        <v/>
      </c>
      <c r="B110" t="str">
        <f t="shared" ca="1" si="2"/>
        <v/>
      </c>
      <c r="C110" s="205" t="str">
        <f ca="1">IFERROR(__xludf.DUMMYFUNCTION("""COMPUTED_VALUE"""),"AA001725")</f>
        <v>AA001725</v>
      </c>
      <c r="D110" t="str">
        <f ca="1">IFERROR(__xludf.DUMMYFUNCTION("""COMPUTED_VALUE"""),"")</f>
        <v/>
      </c>
      <c r="E110" s="205" t="str">
        <f ca="1">IFERROR(__xludf.DUMMYFUNCTION("""COMPUTED_VALUE"""),"許春年")</f>
        <v>許春年</v>
      </c>
    </row>
    <row r="111" spans="1:5" ht="15" customHeight="1">
      <c r="A111" s="121" t="str">
        <f t="shared" ca="1" si="1"/>
        <v/>
      </c>
      <c r="B111" t="str">
        <f t="shared" ca="1" si="2"/>
        <v/>
      </c>
      <c r="C111" s="205" t="str">
        <f ca="1">IFERROR(__xludf.DUMMYFUNCTION("""COMPUTED_VALUE"""),"AA001703")</f>
        <v>AA001703</v>
      </c>
      <c r="D111" t="str">
        <f ca="1">IFERROR(__xludf.DUMMYFUNCTION("""COMPUTED_VALUE"""),"")</f>
        <v/>
      </c>
      <c r="E111" s="205" t="str">
        <f ca="1">IFERROR(__xludf.DUMMYFUNCTION("""COMPUTED_VALUE"""),"林春億")</f>
        <v>林春億</v>
      </c>
    </row>
    <row r="112" spans="1:5" ht="15" customHeight="1">
      <c r="A112" s="121" t="str">
        <f t="shared" ca="1" si="1"/>
        <v/>
      </c>
      <c r="B112" t="str">
        <f t="shared" ca="1" si="2"/>
        <v/>
      </c>
      <c r="C112" s="205" t="str">
        <f ca="1">IFERROR(__xludf.DUMMYFUNCTION("""COMPUTED_VALUE"""),"AA001704")</f>
        <v>AA001704</v>
      </c>
      <c r="D112" t="str">
        <f ca="1">IFERROR(__xludf.DUMMYFUNCTION("""COMPUTED_VALUE"""),"")</f>
        <v/>
      </c>
      <c r="E112" s="205" t="str">
        <f ca="1">IFERROR(__xludf.DUMMYFUNCTION("""COMPUTED_VALUE"""),"朱明郎")</f>
        <v>朱明郎</v>
      </c>
    </row>
    <row r="113" spans="1:5" ht="15" customHeight="1">
      <c r="A113" s="121" t="str">
        <f t="shared" ca="1" si="1"/>
        <v/>
      </c>
      <c r="B113" t="str">
        <f t="shared" ca="1" si="2"/>
        <v/>
      </c>
      <c r="C113" s="205" t="str">
        <f ca="1">IFERROR(__xludf.DUMMYFUNCTION("""COMPUTED_VALUE"""),"AA001705")</f>
        <v>AA001705</v>
      </c>
      <c r="D113" t="str">
        <f ca="1">IFERROR(__xludf.DUMMYFUNCTION("""COMPUTED_VALUE"""),"")</f>
        <v/>
      </c>
      <c r="E113" s="205" t="str">
        <f ca="1">IFERROR(__xludf.DUMMYFUNCTION("""COMPUTED_VALUE"""),"林春億")</f>
        <v>林春億</v>
      </c>
    </row>
    <row r="114" spans="1:5" ht="15" customHeight="1">
      <c r="A114" s="121" t="str">
        <f t="shared" ca="1" si="1"/>
        <v/>
      </c>
      <c r="B114" t="str">
        <f t="shared" ca="1" si="2"/>
        <v/>
      </c>
      <c r="C114" s="205" t="str">
        <f ca="1">IFERROR(__xludf.DUMMYFUNCTION("""COMPUTED_VALUE"""),"AA001613")</f>
        <v>AA001613</v>
      </c>
      <c r="D114" t="str">
        <f ca="1">IFERROR(__xludf.DUMMYFUNCTION("""COMPUTED_VALUE"""),"")</f>
        <v/>
      </c>
      <c r="E114" s="205" t="str">
        <f ca="1">IFERROR(__xludf.DUMMYFUNCTION("""COMPUTED_VALUE"""),"胡茹雯")</f>
        <v>胡茹雯</v>
      </c>
    </row>
    <row r="115" spans="1:5" ht="15" customHeight="1">
      <c r="A115" s="121" t="str">
        <f t="shared" ca="1" si="1"/>
        <v/>
      </c>
      <c r="B115" t="str">
        <f t="shared" ca="1" si="2"/>
        <v/>
      </c>
      <c r="C115" s="205" t="str">
        <f ca="1">IFERROR(__xludf.DUMMYFUNCTION("""COMPUTED_VALUE"""),"AA001717")</f>
        <v>AA001717</v>
      </c>
      <c r="D115" t="str">
        <f ca="1">IFERROR(__xludf.DUMMYFUNCTION("""COMPUTED_VALUE"""),"")</f>
        <v/>
      </c>
      <c r="E115" s="205" t="str">
        <f ca="1">IFERROR(__xludf.DUMMYFUNCTION("""COMPUTED_VALUE"""),"劉貴英")</f>
        <v>劉貴英</v>
      </c>
    </row>
    <row r="116" spans="1:5" ht="15" customHeight="1">
      <c r="A116" s="121" t="str">
        <f t="shared" ca="1" si="1"/>
        <v/>
      </c>
      <c r="B116" t="str">
        <f t="shared" ca="1" si="2"/>
        <v/>
      </c>
      <c r="C116" s="205" t="str">
        <f ca="1">IFERROR(__xludf.DUMMYFUNCTION("""COMPUTED_VALUE"""),"AA001410")</f>
        <v>AA001410</v>
      </c>
      <c r="D116" t="str">
        <f ca="1">IFERROR(__xludf.DUMMYFUNCTION("""COMPUTED_VALUE"""),"")</f>
        <v/>
      </c>
      <c r="E116" s="205" t="str">
        <f ca="1">IFERROR(__xludf.DUMMYFUNCTION("""COMPUTED_VALUE"""),"張巧筑")</f>
        <v>張巧筑</v>
      </c>
    </row>
    <row r="117" spans="1:5" ht="15" customHeight="1">
      <c r="A117" s="121" t="str">
        <f t="shared" ca="1" si="1"/>
        <v/>
      </c>
      <c r="B117" t="str">
        <f t="shared" ca="1" si="2"/>
        <v/>
      </c>
      <c r="C117" s="205" t="str">
        <f ca="1">IFERROR(__xludf.DUMMYFUNCTION("""COMPUTED_VALUE"""),"AA001410")</f>
        <v>AA001410</v>
      </c>
      <c r="D117" t="str">
        <f ca="1">IFERROR(__xludf.DUMMYFUNCTION("""COMPUTED_VALUE"""),"")</f>
        <v/>
      </c>
      <c r="E117" s="205" t="str">
        <f ca="1">IFERROR(__xludf.DUMMYFUNCTION("""COMPUTED_VALUE"""),"張巧筑")</f>
        <v>張巧筑</v>
      </c>
    </row>
    <row r="118" spans="1:5" ht="15" customHeight="1">
      <c r="A118" s="121" t="str">
        <f t="shared" ca="1" si="1"/>
        <v/>
      </c>
      <c r="B118" t="str">
        <f t="shared" ca="1" si="2"/>
        <v/>
      </c>
      <c r="C118" s="205" t="str">
        <f ca="1">IFERROR(__xludf.DUMMYFUNCTION("""COMPUTED_VALUE"""),"AA001694")</f>
        <v>AA001694</v>
      </c>
      <c r="D118" t="str">
        <f ca="1">IFERROR(__xludf.DUMMYFUNCTION("""COMPUTED_VALUE"""),"")</f>
        <v/>
      </c>
      <c r="E118" s="205" t="str">
        <f ca="1">IFERROR(__xludf.DUMMYFUNCTION("""COMPUTED_VALUE"""),"楊曜駿")</f>
        <v>楊曜駿</v>
      </c>
    </row>
    <row r="119" spans="1:5" ht="15" customHeight="1">
      <c r="A119" s="121" t="str">
        <f t="shared" ca="1" si="1"/>
        <v/>
      </c>
      <c r="B119" t="str">
        <f t="shared" ca="1" si="2"/>
        <v/>
      </c>
      <c r="C119" s="205" t="str">
        <f ca="1">IFERROR(__xludf.DUMMYFUNCTION("""COMPUTED_VALUE"""),"AA001694")</f>
        <v>AA001694</v>
      </c>
      <c r="D119" t="str">
        <f ca="1">IFERROR(__xludf.DUMMYFUNCTION("""COMPUTED_VALUE"""),"")</f>
        <v/>
      </c>
      <c r="E119" s="205" t="str">
        <f ca="1">IFERROR(__xludf.DUMMYFUNCTION("""COMPUTED_VALUE"""),"楊曜駿")</f>
        <v>楊曜駿</v>
      </c>
    </row>
    <row r="120" spans="1:5" ht="15" customHeight="1">
      <c r="A120" s="121" t="str">
        <f t="shared" ca="1" si="1"/>
        <v/>
      </c>
      <c r="B120" t="str">
        <f t="shared" ca="1" si="2"/>
        <v/>
      </c>
      <c r="C120" s="205" t="str">
        <f ca="1">IFERROR(__xludf.DUMMYFUNCTION("""COMPUTED_VALUE"""),"AA001433")</f>
        <v>AA001433</v>
      </c>
      <c r="D120" t="str">
        <f ca="1">IFERROR(__xludf.DUMMYFUNCTION("""COMPUTED_VALUE"""),"")</f>
        <v/>
      </c>
      <c r="E120" s="205" t="str">
        <f ca="1">IFERROR(__xludf.DUMMYFUNCTION("""COMPUTED_VALUE"""),"徐文華")</f>
        <v>徐文華</v>
      </c>
    </row>
    <row r="121" spans="1:5" ht="15" customHeight="1">
      <c r="A121" s="121" t="str">
        <f t="shared" ca="1" si="1"/>
        <v/>
      </c>
      <c r="B121" t="str">
        <f t="shared" ca="1" si="2"/>
        <v/>
      </c>
      <c r="C121" s="205" t="str">
        <f ca="1">IFERROR(__xludf.DUMMYFUNCTION("""COMPUTED_VALUE"""),"AA001434")</f>
        <v>AA001434</v>
      </c>
      <c r="D121" t="str">
        <f ca="1">IFERROR(__xludf.DUMMYFUNCTION("""COMPUTED_VALUE"""),"")</f>
        <v/>
      </c>
      <c r="E121" s="205" t="str">
        <f ca="1">IFERROR(__xludf.DUMMYFUNCTION("""COMPUTED_VALUE"""),"張俊基")</f>
        <v>張俊基</v>
      </c>
    </row>
    <row r="122" spans="1:5" ht="15" customHeight="1">
      <c r="A122" s="121" t="str">
        <f t="shared" ca="1" si="1"/>
        <v/>
      </c>
      <c r="B122" t="str">
        <f t="shared" ca="1" si="2"/>
        <v/>
      </c>
      <c r="C122" s="205" t="str">
        <f ca="1">IFERROR(__xludf.DUMMYFUNCTION("""COMPUTED_VALUE"""),"AA001683")</f>
        <v>AA001683</v>
      </c>
      <c r="D122" t="str">
        <f ca="1">IFERROR(__xludf.DUMMYFUNCTION("""COMPUTED_VALUE"""),"")</f>
        <v/>
      </c>
      <c r="E122" s="205" t="str">
        <f ca="1">IFERROR(__xludf.DUMMYFUNCTION("""COMPUTED_VALUE"""),"廖若荑")</f>
        <v>廖若荑</v>
      </c>
    </row>
    <row r="123" spans="1:5" ht="15" customHeight="1">
      <c r="A123" s="121" t="str">
        <f t="shared" ca="1" si="1"/>
        <v/>
      </c>
      <c r="B123" t="str">
        <f t="shared" ca="1" si="2"/>
        <v/>
      </c>
      <c r="C123" s="205" t="str">
        <f ca="1">IFERROR(__xludf.DUMMYFUNCTION("""COMPUTED_VALUE"""),"AA001706")</f>
        <v>AA001706</v>
      </c>
      <c r="D123" t="str">
        <f ca="1">IFERROR(__xludf.DUMMYFUNCTION("""COMPUTED_VALUE"""),"")</f>
        <v/>
      </c>
      <c r="E123" s="205" t="str">
        <f ca="1">IFERROR(__xludf.DUMMYFUNCTION("""COMPUTED_VALUE"""),"林政憲")</f>
        <v>林政憲</v>
      </c>
    </row>
    <row r="124" spans="1:5" ht="15" customHeight="1">
      <c r="A124" s="121" t="str">
        <f t="shared" ca="1" si="1"/>
        <v/>
      </c>
      <c r="B124" t="str">
        <f t="shared" ca="1" si="2"/>
        <v/>
      </c>
      <c r="C124" s="205" t="str">
        <f ca="1">IFERROR(__xludf.DUMMYFUNCTION("""COMPUTED_VALUE"""),"AA001707")</f>
        <v>AA001707</v>
      </c>
      <c r="D124" t="str">
        <f ca="1">IFERROR(__xludf.DUMMYFUNCTION("""COMPUTED_VALUE"""),"")</f>
        <v/>
      </c>
      <c r="E124" s="205" t="str">
        <f ca="1">IFERROR(__xludf.DUMMYFUNCTION("""COMPUTED_VALUE"""),"陳志昌")</f>
        <v>陳志昌</v>
      </c>
    </row>
    <row r="125" spans="1:5" ht="15" customHeight="1">
      <c r="A125" s="121" t="str">
        <f t="shared" ca="1" si="1"/>
        <v/>
      </c>
      <c r="B125" t="str">
        <f t="shared" ca="1" si="2"/>
        <v/>
      </c>
      <c r="C125" s="205" t="str">
        <f ca="1">IFERROR(__xludf.DUMMYFUNCTION("""COMPUTED_VALUE"""),"AA001660")</f>
        <v>AA001660</v>
      </c>
      <c r="D125" t="str">
        <f ca="1">IFERROR(__xludf.DUMMYFUNCTION("""COMPUTED_VALUE"""),"")</f>
        <v/>
      </c>
      <c r="E125" s="205" t="str">
        <f ca="1">IFERROR(__xludf.DUMMYFUNCTION("""COMPUTED_VALUE"""),"陳志昌")</f>
        <v>陳志昌</v>
      </c>
    </row>
    <row r="126" spans="1:5" ht="15" customHeight="1">
      <c r="A126" s="121" t="str">
        <f t="shared" ca="1" si="1"/>
        <v/>
      </c>
      <c r="B126" t="str">
        <f t="shared" ca="1" si="2"/>
        <v/>
      </c>
      <c r="C126" s="205" t="str">
        <f ca="1">IFERROR(__xludf.DUMMYFUNCTION("""COMPUTED_VALUE"""),"AA001709")</f>
        <v>AA001709</v>
      </c>
      <c r="D126" t="str">
        <f ca="1">IFERROR(__xludf.DUMMYFUNCTION("""COMPUTED_VALUE"""),"")</f>
        <v/>
      </c>
      <c r="E126" s="205" t="str">
        <f ca="1">IFERROR(__xludf.DUMMYFUNCTION("""COMPUTED_VALUE"""),"蔡秋鴻")</f>
        <v>蔡秋鴻</v>
      </c>
    </row>
    <row r="127" spans="1:5" ht="15" customHeight="1">
      <c r="A127" s="121" t="str">
        <f t="shared" ca="1" si="1"/>
        <v/>
      </c>
      <c r="B127" t="str">
        <f t="shared" ca="1" si="2"/>
        <v/>
      </c>
      <c r="C127" s="205" t="str">
        <f ca="1">IFERROR(__xludf.DUMMYFUNCTION("""COMPUTED_VALUE"""),"AA001708")</f>
        <v>AA001708</v>
      </c>
      <c r="D127" t="str">
        <f ca="1">IFERROR(__xludf.DUMMYFUNCTION("""COMPUTED_VALUE"""),"")</f>
        <v/>
      </c>
      <c r="E127" s="205" t="str">
        <f ca="1">IFERROR(__xludf.DUMMYFUNCTION("""COMPUTED_VALUE"""),"許逸徳")</f>
        <v>許逸徳</v>
      </c>
    </row>
    <row r="128" spans="1:5" ht="15" customHeight="1">
      <c r="A128" s="121" t="str">
        <f t="shared" ca="1" si="1"/>
        <v/>
      </c>
      <c r="B128" t="str">
        <f t="shared" ca="1" si="2"/>
        <v/>
      </c>
      <c r="C128" s="205" t="str">
        <f ca="1">IFERROR(__xludf.DUMMYFUNCTION("""COMPUTED_VALUE"""),"AA001643")</f>
        <v>AA001643</v>
      </c>
      <c r="D128" t="str">
        <f ca="1">IFERROR(__xludf.DUMMYFUNCTION("""COMPUTED_VALUE"""),"")</f>
        <v/>
      </c>
      <c r="E128" s="205" t="str">
        <f ca="1">IFERROR(__xludf.DUMMYFUNCTION("""COMPUTED_VALUE"""),"曾仲銘")</f>
        <v>曾仲銘</v>
      </c>
    </row>
    <row r="129" spans="1:5" ht="15" customHeight="1">
      <c r="A129" s="121" t="str">
        <f t="shared" ca="1" si="1"/>
        <v/>
      </c>
      <c r="B129" t="str">
        <f t="shared" ca="1" si="2"/>
        <v/>
      </c>
      <c r="C129" s="205" t="str">
        <f ca="1">IFERROR(__xludf.DUMMYFUNCTION("""COMPUTED_VALUE"""),"AA001643")</f>
        <v>AA001643</v>
      </c>
      <c r="D129" t="str">
        <f ca="1">IFERROR(__xludf.DUMMYFUNCTION("""COMPUTED_VALUE"""),"")</f>
        <v/>
      </c>
      <c r="E129" s="205" t="str">
        <f ca="1">IFERROR(__xludf.DUMMYFUNCTION("""COMPUTED_VALUE"""),"曾仲銘")</f>
        <v>曾仲銘</v>
      </c>
    </row>
    <row r="130" spans="1:5" ht="15" customHeight="1">
      <c r="A130" s="121" t="str">
        <f t="shared" ca="1" si="1"/>
        <v/>
      </c>
      <c r="B130" t="str">
        <f t="shared" ca="1" si="2"/>
        <v/>
      </c>
      <c r="C130" s="205" t="str">
        <f ca="1">IFERROR(__xludf.DUMMYFUNCTION("""COMPUTED_VALUE"""),"AA001710")</f>
        <v>AA001710</v>
      </c>
      <c r="D130" t="str">
        <f ca="1">IFERROR(__xludf.DUMMYFUNCTION("""COMPUTED_VALUE"""),"")</f>
        <v/>
      </c>
      <c r="E130" s="205" t="str">
        <f ca="1">IFERROR(__xludf.DUMMYFUNCTION("""COMPUTED_VALUE"""),"高維屏")</f>
        <v>高維屏</v>
      </c>
    </row>
    <row r="131" spans="1:5" ht="15" customHeight="1">
      <c r="A131" s="121" t="str">
        <f t="shared" ca="1" si="1"/>
        <v/>
      </c>
      <c r="B131" t="str">
        <f t="shared" ca="1" si="2"/>
        <v/>
      </c>
      <c r="C131" s="205" t="str">
        <f ca="1">IFERROR(__xludf.DUMMYFUNCTION("""COMPUTED_VALUE"""),"AA001718")</f>
        <v>AA001718</v>
      </c>
      <c r="D131" t="str">
        <f ca="1">IFERROR(__xludf.DUMMYFUNCTION("""COMPUTED_VALUE"""),"")</f>
        <v/>
      </c>
      <c r="E131" s="205" t="str">
        <f ca="1">IFERROR(__xludf.DUMMYFUNCTION("""COMPUTED_VALUE"""),"張耀仁")</f>
        <v>張耀仁</v>
      </c>
    </row>
    <row r="132" spans="1:5" ht="15" customHeight="1">
      <c r="A132" s="121" t="str">
        <f t="shared" ca="1" si="1"/>
        <v/>
      </c>
      <c r="B132" t="str">
        <f t="shared" ca="1" si="2"/>
        <v/>
      </c>
      <c r="C132" s="205" t="str">
        <f ca="1">IFERROR(__xludf.DUMMYFUNCTION("""COMPUTED_VALUE"""),"AA001644")</f>
        <v>AA001644</v>
      </c>
      <c r="D132" t="str">
        <f ca="1">IFERROR(__xludf.DUMMYFUNCTION("""COMPUTED_VALUE"""),"")</f>
        <v/>
      </c>
      <c r="E132" s="205" t="str">
        <f ca="1">IFERROR(__xludf.DUMMYFUNCTION("""COMPUTED_VALUE"""),"李殷獎")</f>
        <v>李殷獎</v>
      </c>
    </row>
    <row r="133" spans="1:5" ht="15" customHeight="1">
      <c r="A133" s="121" t="str">
        <f t="shared" ca="1" si="1"/>
        <v/>
      </c>
      <c r="B133" t="str">
        <f t="shared" ca="1" si="2"/>
        <v/>
      </c>
      <c r="C133" s="205" t="str">
        <f ca="1">IFERROR(__xludf.DUMMYFUNCTION("""COMPUTED_VALUE"""),"AA001719")</f>
        <v>AA001719</v>
      </c>
      <c r="D133" t="str">
        <f ca="1">IFERROR(__xludf.DUMMYFUNCTION("""COMPUTED_VALUE"""),"")</f>
        <v/>
      </c>
      <c r="E133" s="205" t="str">
        <f ca="1">IFERROR(__xludf.DUMMYFUNCTION("""COMPUTED_VALUE"""),"黃彥融")</f>
        <v>黃彥融</v>
      </c>
    </row>
    <row r="134" spans="1:5" ht="15" customHeight="1">
      <c r="A134" s="121" t="str">
        <f t="shared" ca="1" si="1"/>
        <v/>
      </c>
      <c r="B134" t="str">
        <f t="shared" ca="1" si="2"/>
        <v/>
      </c>
      <c r="C134" s="205" t="str">
        <f ca="1">IFERROR(__xludf.DUMMYFUNCTION("""COMPUTED_VALUE"""),"AA001658")</f>
        <v>AA001658</v>
      </c>
      <c r="D134" t="str">
        <f ca="1">IFERROR(__xludf.DUMMYFUNCTION("""COMPUTED_VALUE"""),"")</f>
        <v/>
      </c>
      <c r="E134" s="205" t="str">
        <f ca="1">IFERROR(__xludf.DUMMYFUNCTION("""COMPUTED_VALUE"""),"錢文莉")</f>
        <v>錢文莉</v>
      </c>
    </row>
    <row r="135" spans="1:5" ht="15" customHeight="1">
      <c r="A135" s="121" t="str">
        <f t="shared" ca="1" si="1"/>
        <v/>
      </c>
      <c r="B135" t="str">
        <f t="shared" ca="1" si="2"/>
        <v/>
      </c>
      <c r="C135" s="205" t="str">
        <f ca="1">IFERROR(__xludf.DUMMYFUNCTION("""COMPUTED_VALUE"""),"AA001656")</f>
        <v>AA001656</v>
      </c>
      <c r="D135" t="str">
        <f ca="1">IFERROR(__xludf.DUMMYFUNCTION("""COMPUTED_VALUE"""),"")</f>
        <v/>
      </c>
      <c r="E135" s="205" t="str">
        <f ca="1">IFERROR(__xludf.DUMMYFUNCTION("""COMPUTED_VALUE"""),"陳素甜")</f>
        <v>陳素甜</v>
      </c>
    </row>
    <row r="136" spans="1:5" ht="15" customHeight="1">
      <c r="A136" s="121" t="str">
        <f t="shared" ca="1" si="1"/>
        <v/>
      </c>
      <c r="B136" t="str">
        <f t="shared" ca="1" si="2"/>
        <v/>
      </c>
      <c r="C136" s="205" t="str">
        <f ca="1">IFERROR(__xludf.DUMMYFUNCTION("""COMPUTED_VALUE"""),"AA001646")</f>
        <v>AA001646</v>
      </c>
      <c r="D136" t="str">
        <f ca="1">IFERROR(__xludf.DUMMYFUNCTION("""COMPUTED_VALUE"""),"")</f>
        <v/>
      </c>
      <c r="E136" s="205" t="str">
        <f ca="1">IFERROR(__xludf.DUMMYFUNCTION("""COMPUTED_VALUE"""),"吳玲玲")</f>
        <v>吳玲玲</v>
      </c>
    </row>
    <row r="137" spans="1:5" ht="15" customHeight="1">
      <c r="A137" s="121" t="str">
        <f t="shared" ca="1" si="1"/>
        <v/>
      </c>
      <c r="B137" t="str">
        <f t="shared" ca="1" si="2"/>
        <v/>
      </c>
      <c r="C137" s="205" t="str">
        <f ca="1">IFERROR(__xludf.DUMMYFUNCTION("""COMPUTED_VALUE"""),"AA001657")</f>
        <v>AA001657</v>
      </c>
      <c r="D137" t="str">
        <f ca="1">IFERROR(__xludf.DUMMYFUNCTION("""COMPUTED_VALUE"""),"")</f>
        <v/>
      </c>
      <c r="E137" s="205" t="str">
        <f ca="1">IFERROR(__xludf.DUMMYFUNCTION("""COMPUTED_VALUE"""),"黃麟雅")</f>
        <v>黃麟雅</v>
      </c>
    </row>
    <row r="138" spans="1:5" ht="15" customHeight="1">
      <c r="A138" s="121" t="str">
        <f t="shared" ca="1" si="1"/>
        <v/>
      </c>
      <c r="B138" t="str">
        <f t="shared" ca="1" si="2"/>
        <v/>
      </c>
      <c r="C138" s="205" t="str">
        <f ca="1">IFERROR(__xludf.DUMMYFUNCTION("""COMPUTED_VALUE"""),"AA001720")</f>
        <v>AA001720</v>
      </c>
      <c r="D138" t="str">
        <f ca="1">IFERROR(__xludf.DUMMYFUNCTION("""COMPUTED_VALUE"""),"")</f>
        <v/>
      </c>
      <c r="E138" s="205" t="str">
        <f ca="1">IFERROR(__xludf.DUMMYFUNCTION("""COMPUTED_VALUE"""),"林志茂")</f>
        <v>林志茂</v>
      </c>
    </row>
    <row r="139" spans="1:5" ht="15" customHeight="1">
      <c r="A139" s="121" t="str">
        <f t="shared" ca="1" si="1"/>
        <v/>
      </c>
      <c r="B139" t="str">
        <f t="shared" ca="1" si="2"/>
        <v/>
      </c>
      <c r="C139" s="205" t="str">
        <f ca="1">IFERROR(__xludf.DUMMYFUNCTION("""COMPUTED_VALUE"""),"AA001647")</f>
        <v>AA001647</v>
      </c>
      <c r="D139" t="str">
        <f ca="1">IFERROR(__xludf.DUMMYFUNCTION("""COMPUTED_VALUE"""),"")</f>
        <v/>
      </c>
      <c r="E139" s="205" t="str">
        <f ca="1">IFERROR(__xludf.DUMMYFUNCTION("""COMPUTED_VALUE"""),"陳曜芳")</f>
        <v>陳曜芳</v>
      </c>
    </row>
    <row r="140" spans="1:5" ht="15" customHeight="1">
      <c r="A140" s="121" t="str">
        <f t="shared" ca="1" si="1"/>
        <v/>
      </c>
      <c r="B140" t="str">
        <f t="shared" ca="1" si="2"/>
        <v/>
      </c>
      <c r="C140" s="205" t="str">
        <f ca="1">IFERROR(__xludf.DUMMYFUNCTION("""COMPUTED_VALUE"""),"AA001430")</f>
        <v>AA001430</v>
      </c>
      <c r="D140" t="str">
        <f ca="1">IFERROR(__xludf.DUMMYFUNCTION("""COMPUTED_VALUE"""),"")</f>
        <v/>
      </c>
      <c r="E140" s="205" t="str">
        <f ca="1">IFERROR(__xludf.DUMMYFUNCTION("""COMPUTED_VALUE"""),"黃惠群")</f>
        <v>黃惠群</v>
      </c>
    </row>
    <row r="141" spans="1:5" ht="15" customHeight="1">
      <c r="A141" s="121" t="str">
        <f t="shared" ca="1" si="1"/>
        <v/>
      </c>
      <c r="B141" t="str">
        <f t="shared" ca="1" si="2"/>
        <v/>
      </c>
      <c r="C141" s="205" t="str">
        <f ca="1">IFERROR(__xludf.DUMMYFUNCTION("""COMPUTED_VALUE"""),"AA001435")</f>
        <v>AA001435</v>
      </c>
      <c r="D141" t="str">
        <f ca="1">IFERROR(__xludf.DUMMYFUNCTION("""COMPUTED_VALUE"""),"")</f>
        <v/>
      </c>
      <c r="E141" s="205" t="str">
        <f ca="1">IFERROR(__xludf.DUMMYFUNCTION("""COMPUTED_VALUE"""),"蔡娟秀")</f>
        <v>蔡娟秀</v>
      </c>
    </row>
    <row r="142" spans="1:5" ht="15" customHeight="1">
      <c r="A142" s="121" t="str">
        <f t="shared" ca="1" si="1"/>
        <v/>
      </c>
      <c r="B142" t="str">
        <f t="shared" ca="1" si="2"/>
        <v/>
      </c>
      <c r="C142" s="205" t="str">
        <f ca="1">IFERROR(__xludf.DUMMYFUNCTION("""COMPUTED_VALUE"""),"AA001659")</f>
        <v>AA001659</v>
      </c>
      <c r="D142" t="str">
        <f ca="1">IFERROR(__xludf.DUMMYFUNCTION("""COMPUTED_VALUE"""),"")</f>
        <v/>
      </c>
      <c r="E142" s="205" t="str">
        <f ca="1">IFERROR(__xludf.DUMMYFUNCTION("""COMPUTED_VALUE"""),"何子明")</f>
        <v>何子明</v>
      </c>
    </row>
    <row r="143" spans="1:5" ht="15" customHeight="1">
      <c r="A143" s="121" t="str">
        <f t="shared" ca="1" si="1"/>
        <v/>
      </c>
      <c r="B143" t="str">
        <f t="shared" ca="1" si="2"/>
        <v/>
      </c>
      <c r="C143" s="205" t="str">
        <f ca="1">IFERROR(__xludf.DUMMYFUNCTION("""COMPUTED_VALUE"""),"AA001659")</f>
        <v>AA001659</v>
      </c>
      <c r="D143" t="str">
        <f ca="1">IFERROR(__xludf.DUMMYFUNCTION("""COMPUTED_VALUE"""),"")</f>
        <v/>
      </c>
      <c r="E143" s="205" t="str">
        <f ca="1">IFERROR(__xludf.DUMMYFUNCTION("""COMPUTED_VALUE"""),"何子明")</f>
        <v>何子明</v>
      </c>
    </row>
    <row r="144" spans="1:5" ht="15" customHeight="1">
      <c r="A144" s="121" t="str">
        <f t="shared" ca="1" si="1"/>
        <v/>
      </c>
      <c r="B144" t="str">
        <f t="shared" ca="1" si="2"/>
        <v/>
      </c>
      <c r="C144" s="205" t="str">
        <f ca="1">IFERROR(__xludf.DUMMYFUNCTION("""COMPUTED_VALUE"""),"AA001195")</f>
        <v>AA001195</v>
      </c>
      <c r="D144" t="str">
        <f ca="1">IFERROR(__xludf.DUMMYFUNCTION("""COMPUTED_VALUE"""),"")</f>
        <v/>
      </c>
      <c r="E144" s="205" t="str">
        <f ca="1">IFERROR(__xludf.DUMMYFUNCTION("""COMPUTED_VALUE"""),"大江生醫股份有限公司")</f>
        <v>大江生醫股份有限公司</v>
      </c>
    </row>
    <row r="145" spans="1:5" ht="15" customHeight="1">
      <c r="A145" s="121" t="str">
        <f t="shared" ca="1" si="1"/>
        <v/>
      </c>
      <c r="B145" t="str">
        <f t="shared" ca="1" si="2"/>
        <v/>
      </c>
      <c r="C145" s="205" t="str">
        <f ca="1">IFERROR(__xludf.DUMMYFUNCTION("""COMPUTED_VALUE"""),"AA001197")</f>
        <v>AA001197</v>
      </c>
      <c r="D145" t="str">
        <f ca="1">IFERROR(__xludf.DUMMYFUNCTION("""COMPUTED_VALUE"""),"")</f>
        <v/>
      </c>
      <c r="E145" s="205" t="str">
        <f ca="1">IFERROR(__xludf.DUMMYFUNCTION("""COMPUTED_VALUE"""),"黃真慧")</f>
        <v>黃真慧</v>
      </c>
    </row>
    <row r="146" spans="1:5" ht="15" customHeight="1">
      <c r="A146" s="121" t="str">
        <f t="shared" ca="1" si="1"/>
        <v/>
      </c>
      <c r="B146" t="str">
        <f t="shared" ca="1" si="2"/>
        <v/>
      </c>
      <c r="C146" s="205" t="str">
        <f ca="1">IFERROR(__xludf.DUMMYFUNCTION("""COMPUTED_VALUE"""),"AA001197")</f>
        <v>AA001197</v>
      </c>
      <c r="D146" t="str">
        <f ca="1">IFERROR(__xludf.DUMMYFUNCTION("""COMPUTED_VALUE"""),"")</f>
        <v/>
      </c>
      <c r="E146" s="205" t="str">
        <f ca="1">IFERROR(__xludf.DUMMYFUNCTION("""COMPUTED_VALUE"""),"黃真慧")</f>
        <v>黃真慧</v>
      </c>
    </row>
    <row r="147" spans="1:5" ht="15" customHeight="1">
      <c r="A147" s="121" t="str">
        <f t="shared" ca="1" si="1"/>
        <v/>
      </c>
      <c r="B147" t="str">
        <f t="shared" ca="1" si="2"/>
        <v/>
      </c>
      <c r="C147" s="205" t="str">
        <f ca="1">IFERROR(__xludf.DUMMYFUNCTION("""COMPUTED_VALUE"""),"AA001197")</f>
        <v>AA001197</v>
      </c>
      <c r="D147" t="str">
        <f ca="1">IFERROR(__xludf.DUMMYFUNCTION("""COMPUTED_VALUE"""),"")</f>
        <v/>
      </c>
      <c r="E147" s="205" t="str">
        <f ca="1">IFERROR(__xludf.DUMMYFUNCTION("""COMPUTED_VALUE"""),"黃真慧")</f>
        <v>黃真慧</v>
      </c>
    </row>
    <row r="148" spans="1:5" ht="15" customHeight="1">
      <c r="A148" s="121" t="str">
        <f t="shared" ca="1" si="1"/>
        <v/>
      </c>
      <c r="B148" t="str">
        <f t="shared" ca="1" si="2"/>
        <v/>
      </c>
      <c r="C148" s="205" t="str">
        <f ca="1">IFERROR(__xludf.DUMMYFUNCTION("""COMPUTED_VALUE"""),"AA001197")</f>
        <v>AA001197</v>
      </c>
      <c r="D148" t="str">
        <f ca="1">IFERROR(__xludf.DUMMYFUNCTION("""COMPUTED_VALUE"""),"")</f>
        <v/>
      </c>
      <c r="E148" s="205" t="str">
        <f ca="1">IFERROR(__xludf.DUMMYFUNCTION("""COMPUTED_VALUE"""),"黃真慧")</f>
        <v>黃真慧</v>
      </c>
    </row>
    <row r="149" spans="1:5" ht="15" customHeight="1">
      <c r="A149" s="121" t="str">
        <f t="shared" ca="1" si="1"/>
        <v/>
      </c>
      <c r="B149" t="str">
        <f t="shared" ca="1" si="2"/>
        <v/>
      </c>
      <c r="C149" s="205" t="str">
        <f ca="1">IFERROR(__xludf.DUMMYFUNCTION("""COMPUTED_VALUE"""),"AA001197")</f>
        <v>AA001197</v>
      </c>
      <c r="D149" t="str">
        <f ca="1">IFERROR(__xludf.DUMMYFUNCTION("""COMPUTED_VALUE"""),"")</f>
        <v/>
      </c>
      <c r="E149" s="205" t="str">
        <f ca="1">IFERROR(__xludf.DUMMYFUNCTION("""COMPUTED_VALUE"""),"黃真慧")</f>
        <v>黃真慧</v>
      </c>
    </row>
    <row r="150" spans="1:5" ht="15" customHeight="1">
      <c r="A150" s="121" t="str">
        <f t="shared" ca="1" si="1"/>
        <v/>
      </c>
      <c r="B150" t="str">
        <f t="shared" ca="1" si="2"/>
        <v/>
      </c>
      <c r="C150" s="205" t="str">
        <f ca="1">IFERROR(__xludf.DUMMYFUNCTION("""COMPUTED_VALUE"""),"AA001197")</f>
        <v>AA001197</v>
      </c>
      <c r="D150" t="str">
        <f ca="1">IFERROR(__xludf.DUMMYFUNCTION("""COMPUTED_VALUE"""),"")</f>
        <v/>
      </c>
      <c r="E150" s="205" t="str">
        <f ca="1">IFERROR(__xludf.DUMMYFUNCTION("""COMPUTED_VALUE"""),"黃真慧")</f>
        <v>黃真慧</v>
      </c>
    </row>
    <row r="151" spans="1:5" ht="15" customHeight="1">
      <c r="A151" s="121" t="str">
        <f t="shared" ca="1" si="1"/>
        <v/>
      </c>
      <c r="B151" t="str">
        <f t="shared" ca="1" si="2"/>
        <v/>
      </c>
      <c r="C151" s="205" t="str">
        <f ca="1">IFERROR(__xludf.DUMMYFUNCTION("""COMPUTED_VALUE"""),"AA001091")</f>
        <v>AA001091</v>
      </c>
      <c r="D151" t="str">
        <f ca="1">IFERROR(__xludf.DUMMYFUNCTION("""COMPUTED_VALUE"""),"")</f>
        <v/>
      </c>
      <c r="E151" s="205" t="str">
        <f ca="1">IFERROR(__xludf.DUMMYFUNCTION("""COMPUTED_VALUE"""),"林錦坤")</f>
        <v>林錦坤</v>
      </c>
    </row>
    <row r="152" spans="1:5" ht="15" customHeight="1">
      <c r="A152" s="121" t="str">
        <f t="shared" ca="1" si="1"/>
        <v/>
      </c>
      <c r="B152" t="str">
        <f t="shared" ca="1" si="2"/>
        <v/>
      </c>
      <c r="C152" s="205" t="str">
        <f ca="1">IFERROR(__xludf.DUMMYFUNCTION("""COMPUTED_VALUE"""),"AA001356")</f>
        <v>AA001356</v>
      </c>
      <c r="D152" t="str">
        <f ca="1">IFERROR(__xludf.DUMMYFUNCTION("""COMPUTED_VALUE"""),"")</f>
        <v/>
      </c>
      <c r="E152" s="205" t="str">
        <f ca="1">IFERROR(__xludf.DUMMYFUNCTION("""COMPUTED_VALUE"""),"安妮")</f>
        <v>安妮</v>
      </c>
    </row>
    <row r="153" spans="1:5" ht="15" customHeight="1">
      <c r="A153" s="121" t="str">
        <f t="shared" ca="1" si="1"/>
        <v/>
      </c>
      <c r="B153" t="str">
        <f t="shared" ca="1" si="2"/>
        <v/>
      </c>
      <c r="C153" s="205" t="str">
        <f ca="1">IFERROR(__xludf.DUMMYFUNCTION("""COMPUTED_VALUE"""),"AA001361")</f>
        <v>AA001361</v>
      </c>
      <c r="D153" t="str">
        <f ca="1">IFERROR(__xludf.DUMMYFUNCTION("""COMPUTED_VALUE"""),"")</f>
        <v/>
      </c>
      <c r="E153" s="205" t="str">
        <f ca="1">IFERROR(__xludf.DUMMYFUNCTION("""COMPUTED_VALUE"""),"阮幸本")</f>
        <v>阮幸本</v>
      </c>
    </row>
    <row r="154" spans="1:5" ht="15" customHeight="1">
      <c r="A154" s="121" t="str">
        <f t="shared" ca="1" si="1"/>
        <v/>
      </c>
      <c r="B154" t="str">
        <f t="shared" ca="1" si="2"/>
        <v/>
      </c>
      <c r="C154" s="205" t="str">
        <f ca="1">IFERROR(__xludf.DUMMYFUNCTION("""COMPUTED_VALUE"""),"AA001359")</f>
        <v>AA001359</v>
      </c>
      <c r="D154" t="str">
        <f ca="1">IFERROR(__xludf.DUMMYFUNCTION("""COMPUTED_VALUE"""),"")</f>
        <v/>
      </c>
      <c r="E154" s="205" t="str">
        <f ca="1">IFERROR(__xludf.DUMMYFUNCTION("""COMPUTED_VALUE"""),"吳安奇")</f>
        <v>吳安奇</v>
      </c>
    </row>
    <row r="155" spans="1:5" ht="15" customHeight="1">
      <c r="A155" s="121" t="str">
        <f t="shared" ca="1" si="1"/>
        <v/>
      </c>
      <c r="B155" t="str">
        <f t="shared" ca="1" si="2"/>
        <v/>
      </c>
      <c r="C155" s="205" t="str">
        <f ca="1">IFERROR(__xludf.DUMMYFUNCTION("""COMPUTED_VALUE"""),"AA001363")</f>
        <v>AA001363</v>
      </c>
      <c r="D155" t="str">
        <f ca="1">IFERROR(__xludf.DUMMYFUNCTION("""COMPUTED_VALUE"""),"")</f>
        <v/>
      </c>
      <c r="E155" s="205" t="str">
        <f ca="1">IFERROR(__xludf.DUMMYFUNCTION("""COMPUTED_VALUE"""),"許茹雯")</f>
        <v>許茹雯</v>
      </c>
    </row>
    <row r="156" spans="1:5" ht="15" customHeight="1">
      <c r="A156" s="121" t="str">
        <f t="shared" ca="1" si="1"/>
        <v/>
      </c>
      <c r="B156" t="str">
        <f t="shared" ca="1" si="2"/>
        <v/>
      </c>
      <c r="C156" s="205" t="str">
        <f ca="1">IFERROR(__xludf.DUMMYFUNCTION("""COMPUTED_VALUE"""),"AA001685")</f>
        <v>AA001685</v>
      </c>
      <c r="D156" t="str">
        <f ca="1">IFERROR(__xludf.DUMMYFUNCTION("""COMPUTED_VALUE"""),"")</f>
        <v/>
      </c>
      <c r="E156" s="205" t="str">
        <f ca="1">IFERROR(__xludf.DUMMYFUNCTION("""COMPUTED_VALUE"""),"福爾摩沙醫院管理顧問有限公司")</f>
        <v>福爾摩沙醫院管理顧問有限公司</v>
      </c>
    </row>
    <row r="157" spans="1:5" ht="15" customHeight="1">
      <c r="A157" s="121" t="str">
        <f t="shared" ca="1" si="1"/>
        <v/>
      </c>
      <c r="B157" t="str">
        <f t="shared" ca="1" si="2"/>
        <v/>
      </c>
      <c r="C157" s="205" t="str">
        <f ca="1">IFERROR(__xludf.DUMMYFUNCTION("""COMPUTED_VALUE"""),"AA001730")</f>
        <v>AA001730</v>
      </c>
      <c r="D157" t="str">
        <f ca="1">IFERROR(__xludf.DUMMYFUNCTION("""COMPUTED_VALUE"""),"")</f>
        <v/>
      </c>
      <c r="E157" s="205" t="str">
        <f ca="1">IFERROR(__xludf.DUMMYFUNCTION("""COMPUTED_VALUE"""),"陳金泉")</f>
        <v>陳金泉</v>
      </c>
    </row>
    <row r="158" spans="1:5" ht="15" customHeight="1">
      <c r="A158" s="121" t="str">
        <f t="shared" ca="1" si="1"/>
        <v/>
      </c>
      <c r="B158" t="str">
        <f t="shared" ca="1" si="2"/>
        <v/>
      </c>
      <c r="C158" s="205" t="str">
        <f ca="1">IFERROR(__xludf.DUMMYFUNCTION("""COMPUTED_VALUE"""),"AA001077")</f>
        <v>AA001077</v>
      </c>
      <c r="D158" t="str">
        <f ca="1">IFERROR(__xludf.DUMMYFUNCTION("""COMPUTED_VALUE"""),"")</f>
        <v/>
      </c>
      <c r="E158" s="205" t="str">
        <f ca="1">IFERROR(__xludf.DUMMYFUNCTION("""COMPUTED_VALUE"""),"吳玉霞")</f>
        <v>吳玉霞</v>
      </c>
    </row>
    <row r="159" spans="1:5" ht="15" customHeight="1">
      <c r="A159" s="121" t="str">
        <f t="shared" ca="1" si="1"/>
        <v/>
      </c>
      <c r="B159" t="str">
        <f t="shared" ca="1" si="2"/>
        <v/>
      </c>
      <c r="C159" s="205" t="str">
        <f ca="1">IFERROR(__xludf.DUMMYFUNCTION("""COMPUTED_VALUE"""),"AA001372")</f>
        <v>AA001372</v>
      </c>
      <c r="D159" t="str">
        <f ca="1">IFERROR(__xludf.DUMMYFUNCTION("""COMPUTED_VALUE"""),"")</f>
        <v/>
      </c>
      <c r="E159" s="205" t="str">
        <f ca="1">IFERROR(__xludf.DUMMYFUNCTION("""COMPUTED_VALUE"""),"李崇義")</f>
        <v>李崇義</v>
      </c>
    </row>
    <row r="160" spans="1:5" ht="15" customHeight="1">
      <c r="A160" s="121" t="str">
        <f t="shared" ca="1" si="1"/>
        <v/>
      </c>
      <c r="B160" t="str">
        <f t="shared" ca="1" si="2"/>
        <v/>
      </c>
      <c r="C160" s="205" t="str">
        <f ca="1">IFERROR(__xludf.DUMMYFUNCTION("""COMPUTED_VALUE"""),"AA001369")</f>
        <v>AA001369</v>
      </c>
      <c r="D160" t="str">
        <f ca="1">IFERROR(__xludf.DUMMYFUNCTION("""COMPUTED_VALUE"""),"")</f>
        <v/>
      </c>
      <c r="E160" s="205" t="str">
        <f ca="1">IFERROR(__xludf.DUMMYFUNCTION("""COMPUTED_VALUE"""),"蘇駿瑞")</f>
        <v>蘇駿瑞</v>
      </c>
    </row>
    <row r="161" spans="1:5" ht="15" customHeight="1">
      <c r="A161" s="121" t="str">
        <f t="shared" ca="1" si="1"/>
        <v/>
      </c>
      <c r="B161" t="str">
        <f t="shared" ca="1" si="2"/>
        <v/>
      </c>
      <c r="C161" s="205" t="str">
        <f ca="1">IFERROR(__xludf.DUMMYFUNCTION("""COMPUTED_VALUE"""),"AA001369")</f>
        <v>AA001369</v>
      </c>
      <c r="D161" t="str">
        <f ca="1">IFERROR(__xludf.DUMMYFUNCTION("""COMPUTED_VALUE"""),"")</f>
        <v/>
      </c>
      <c r="E161" s="205" t="str">
        <f ca="1">IFERROR(__xludf.DUMMYFUNCTION("""COMPUTED_VALUE"""),"蘇駿瑞")</f>
        <v>蘇駿瑞</v>
      </c>
    </row>
    <row r="162" spans="1:5" ht="15" customHeight="1">
      <c r="A162" s="121" t="str">
        <f t="shared" ca="1" si="1"/>
        <v/>
      </c>
      <c r="B162" t="str">
        <f t="shared" ca="1" si="2"/>
        <v/>
      </c>
      <c r="C162" s="205" t="str">
        <f ca="1">IFERROR(__xludf.DUMMYFUNCTION("""COMPUTED_VALUE"""),"AA001369")</f>
        <v>AA001369</v>
      </c>
      <c r="D162" t="str">
        <f ca="1">IFERROR(__xludf.DUMMYFUNCTION("""COMPUTED_VALUE"""),"")</f>
        <v/>
      </c>
      <c r="E162" s="205" t="str">
        <f ca="1">IFERROR(__xludf.DUMMYFUNCTION("""COMPUTED_VALUE"""),"蘇駿瑞")</f>
        <v>蘇駿瑞</v>
      </c>
    </row>
    <row r="163" spans="1:5" ht="15" customHeight="1">
      <c r="A163" s="121" t="str">
        <f t="shared" ca="1" si="1"/>
        <v/>
      </c>
      <c r="B163" t="str">
        <f t="shared" ca="1" si="2"/>
        <v/>
      </c>
      <c r="C163" s="205" t="str">
        <f ca="1">IFERROR(__xludf.DUMMYFUNCTION("""COMPUTED_VALUE"""),"AA001367")</f>
        <v>AA001367</v>
      </c>
      <c r="D163" t="str">
        <f ca="1">IFERROR(__xludf.DUMMYFUNCTION("""COMPUTED_VALUE"""),"")</f>
        <v/>
      </c>
      <c r="E163" s="205" t="str">
        <f ca="1">IFERROR(__xludf.DUMMYFUNCTION("""COMPUTED_VALUE"""),"周書羽 ")</f>
        <v xml:space="preserve">周書羽 </v>
      </c>
    </row>
    <row r="164" spans="1:5" ht="15" customHeight="1">
      <c r="A164" s="121" t="str">
        <f t="shared" ca="1" si="1"/>
        <v/>
      </c>
      <c r="B164" t="str">
        <f t="shared" ca="1" si="2"/>
        <v/>
      </c>
      <c r="C164" s="205" t="str">
        <f ca="1">IFERROR(__xludf.DUMMYFUNCTION("""COMPUTED_VALUE"""),"AA001687")</f>
        <v>AA001687</v>
      </c>
      <c r="D164" t="str">
        <f ca="1">IFERROR(__xludf.DUMMYFUNCTION("""COMPUTED_VALUE"""),"")</f>
        <v/>
      </c>
      <c r="E164" s="205" t="str">
        <f ca="1">IFERROR(__xludf.DUMMYFUNCTION("""COMPUTED_VALUE"""),"陳清美")</f>
        <v>陳清美</v>
      </c>
    </row>
    <row r="165" spans="1:5" ht="15" customHeight="1">
      <c r="A165" s="121" t="str">
        <f t="shared" ca="1" si="1"/>
        <v/>
      </c>
      <c r="B165" t="str">
        <f t="shared" ca="1" si="2"/>
        <v/>
      </c>
      <c r="C165" s="205" t="str">
        <f ca="1">IFERROR(__xludf.DUMMYFUNCTION("""COMPUTED_VALUE"""),"AA001383")</f>
        <v>AA001383</v>
      </c>
      <c r="D165" t="str">
        <f ca="1">IFERROR(__xludf.DUMMYFUNCTION("""COMPUTED_VALUE"""),"")</f>
        <v/>
      </c>
      <c r="E165" s="205" t="str">
        <f ca="1">IFERROR(__xludf.DUMMYFUNCTION("""COMPUTED_VALUE"""),"林素菁")</f>
        <v>林素菁</v>
      </c>
    </row>
    <row r="166" spans="1:5" ht="15" customHeight="1">
      <c r="A166" s="121" t="str">
        <f t="shared" ca="1" si="1"/>
        <v/>
      </c>
      <c r="B166" t="str">
        <f t="shared" ca="1" si="2"/>
        <v/>
      </c>
      <c r="C166" s="205" t="str">
        <f ca="1">IFERROR(__xludf.DUMMYFUNCTION("""COMPUTED_VALUE"""),"AA001383")</f>
        <v>AA001383</v>
      </c>
      <c r="D166" t="str">
        <f ca="1">IFERROR(__xludf.DUMMYFUNCTION("""COMPUTED_VALUE"""),"")</f>
        <v/>
      </c>
      <c r="E166" s="205" t="str">
        <f ca="1">IFERROR(__xludf.DUMMYFUNCTION("""COMPUTED_VALUE"""),"林素菁")</f>
        <v>林素菁</v>
      </c>
    </row>
    <row r="167" spans="1:5" ht="15" customHeight="1">
      <c r="A167" s="121" t="str">
        <f t="shared" ca="1" si="1"/>
        <v/>
      </c>
      <c r="B167" t="str">
        <f t="shared" ca="1" si="2"/>
        <v/>
      </c>
      <c r="C167" s="205" t="str">
        <f ca="1">IFERROR(__xludf.DUMMYFUNCTION("""COMPUTED_VALUE"""),"AA001384")</f>
        <v>AA001384</v>
      </c>
      <c r="D167" t="str">
        <f ca="1">IFERROR(__xludf.DUMMYFUNCTION("""COMPUTED_VALUE"""),"")</f>
        <v/>
      </c>
      <c r="E167" s="205" t="str">
        <f ca="1">IFERROR(__xludf.DUMMYFUNCTION("""COMPUTED_VALUE"""),"曹世釗")</f>
        <v>曹世釗</v>
      </c>
    </row>
    <row r="168" spans="1:5" ht="15" customHeight="1">
      <c r="A168" s="121" t="str">
        <f t="shared" ca="1" si="1"/>
        <v/>
      </c>
      <c r="B168" t="str">
        <f t="shared" ca="1" si="2"/>
        <v/>
      </c>
      <c r="C168" s="205" t="str">
        <f ca="1">IFERROR(__xludf.DUMMYFUNCTION("""COMPUTED_VALUE"""),"AA001728")</f>
        <v>AA001728</v>
      </c>
      <c r="D168" t="str">
        <f ca="1">IFERROR(__xludf.DUMMYFUNCTION("""COMPUTED_VALUE"""),"")</f>
        <v/>
      </c>
      <c r="E168" s="205" t="str">
        <f ca="1">IFERROR(__xludf.DUMMYFUNCTION("""COMPUTED_VALUE"""),"陳威仁")</f>
        <v>陳威仁</v>
      </c>
    </row>
    <row r="169" spans="1:5" ht="15" customHeight="1">
      <c r="A169" s="121" t="str">
        <f t="shared" ca="1" si="1"/>
        <v/>
      </c>
      <c r="B169" t="str">
        <f t="shared" ca="1" si="2"/>
        <v/>
      </c>
      <c r="C169" s="205" t="str">
        <f ca="1">IFERROR(__xludf.DUMMYFUNCTION("""COMPUTED_VALUE"""),"AA001689")</f>
        <v>AA001689</v>
      </c>
      <c r="D169" t="str">
        <f ca="1">IFERROR(__xludf.DUMMYFUNCTION("""COMPUTED_VALUE"""),"")</f>
        <v/>
      </c>
      <c r="E169" s="205" t="str">
        <f ca="1">IFERROR(__xludf.DUMMYFUNCTION("""COMPUTED_VALUE"""),"張羽儀")</f>
        <v>張羽儀</v>
      </c>
    </row>
    <row r="170" spans="1:5" ht="15" customHeight="1">
      <c r="A170" s="121" t="str">
        <f t="shared" ca="1" si="1"/>
        <v/>
      </c>
      <c r="B170" t="str">
        <f t="shared" ca="1" si="2"/>
        <v/>
      </c>
      <c r="C170" s="205" t="str">
        <f ca="1">IFERROR(__xludf.DUMMYFUNCTION("""COMPUTED_VALUE"""),"AA001690")</f>
        <v>AA001690</v>
      </c>
      <c r="D170" t="str">
        <f ca="1">IFERROR(__xludf.DUMMYFUNCTION("""COMPUTED_VALUE"""),"")</f>
        <v/>
      </c>
      <c r="E170" s="205" t="str">
        <f ca="1">IFERROR(__xludf.DUMMYFUNCTION("""COMPUTED_VALUE"""),"大江生醫")</f>
        <v>大江生醫</v>
      </c>
    </row>
    <row r="171" spans="1:5" ht="15" customHeight="1">
      <c r="A171" s="121" t="str">
        <f t="shared" ca="1" si="1"/>
        <v/>
      </c>
      <c r="B171" t="str">
        <f t="shared" ca="1" si="2"/>
        <v/>
      </c>
      <c r="C171" s="205" t="str">
        <f ca="1">IFERROR(__xludf.DUMMYFUNCTION("""COMPUTED_VALUE"""),"AA001377")</f>
        <v>AA001377</v>
      </c>
      <c r="D171" t="str">
        <f ca="1">IFERROR(__xludf.DUMMYFUNCTION("""COMPUTED_VALUE"""),"")</f>
        <v/>
      </c>
      <c r="E171" s="205" t="str">
        <f ca="1">IFERROR(__xludf.DUMMYFUNCTION("""COMPUTED_VALUE"""),"王欣儀")</f>
        <v>王欣儀</v>
      </c>
    </row>
    <row r="172" spans="1:5" ht="15" customHeight="1">
      <c r="A172" s="121" t="str">
        <f t="shared" ca="1" si="1"/>
        <v/>
      </c>
      <c r="B172" t="str">
        <f t="shared" ca="1" si="2"/>
        <v/>
      </c>
      <c r="C172" s="205" t="str">
        <f ca="1">IFERROR(__xludf.DUMMYFUNCTION("""COMPUTED_VALUE"""),"AA001377")</f>
        <v>AA001377</v>
      </c>
      <c r="D172" t="str">
        <f ca="1">IFERROR(__xludf.DUMMYFUNCTION("""COMPUTED_VALUE"""),"")</f>
        <v/>
      </c>
      <c r="E172" s="205" t="str">
        <f ca="1">IFERROR(__xludf.DUMMYFUNCTION("""COMPUTED_VALUE"""),"王欣儀")</f>
        <v>王欣儀</v>
      </c>
    </row>
    <row r="173" spans="1:5" ht="15" customHeight="1">
      <c r="A173" s="121" t="str">
        <f t="shared" ca="1" si="1"/>
        <v/>
      </c>
      <c r="B173" t="str">
        <f t="shared" ca="1" si="2"/>
        <v/>
      </c>
      <c r="C173" s="205" t="str">
        <f ca="1">IFERROR(__xludf.DUMMYFUNCTION("""COMPUTED_VALUE"""),"AA001388")</f>
        <v>AA001388</v>
      </c>
      <c r="D173" t="str">
        <f ca="1">IFERROR(__xludf.DUMMYFUNCTION("""COMPUTED_VALUE"""),"")</f>
        <v/>
      </c>
      <c r="E173" s="205" t="str">
        <f ca="1">IFERROR(__xludf.DUMMYFUNCTION("""COMPUTED_VALUE"""),"王欣儀")</f>
        <v>王欣儀</v>
      </c>
    </row>
    <row r="174" spans="1:5" ht="15" customHeight="1">
      <c r="A174" s="121" t="str">
        <f t="shared" ca="1" si="1"/>
        <v/>
      </c>
      <c r="B174" t="str">
        <f t="shared" ca="1" si="2"/>
        <v/>
      </c>
      <c r="C174" s="205" t="str">
        <f ca="1">IFERROR(__xludf.DUMMYFUNCTION("""COMPUTED_VALUE"""),"AA001388")</f>
        <v>AA001388</v>
      </c>
      <c r="D174" t="str">
        <f ca="1">IFERROR(__xludf.DUMMYFUNCTION("""COMPUTED_VALUE"""),"")</f>
        <v/>
      </c>
      <c r="E174" s="205" t="str">
        <f ca="1">IFERROR(__xludf.DUMMYFUNCTION("""COMPUTED_VALUE"""),"王欣儀")</f>
        <v>王欣儀</v>
      </c>
    </row>
    <row r="175" spans="1:5" ht="15" customHeight="1">
      <c r="A175" s="121" t="str">
        <f t="shared" ca="1" si="1"/>
        <v/>
      </c>
      <c r="B175" t="str">
        <f t="shared" ca="1" si="2"/>
        <v/>
      </c>
      <c r="C175" s="205" t="str">
        <f ca="1">IFERROR(__xludf.DUMMYFUNCTION("""COMPUTED_VALUE"""),"AA001378")</f>
        <v>AA001378</v>
      </c>
      <c r="D175" t="str">
        <f ca="1">IFERROR(__xludf.DUMMYFUNCTION("""COMPUTED_VALUE"""),"")</f>
        <v/>
      </c>
      <c r="E175" s="205" t="str">
        <f ca="1">IFERROR(__xludf.DUMMYFUNCTION("""COMPUTED_VALUE"""),"吳思慧")</f>
        <v>吳思慧</v>
      </c>
    </row>
    <row r="176" spans="1:5" ht="15" customHeight="1">
      <c r="A176" s="121" t="str">
        <f t="shared" ca="1" si="1"/>
        <v/>
      </c>
      <c r="B176" t="str">
        <f t="shared" ca="1" si="2"/>
        <v/>
      </c>
      <c r="C176" s="205" t="str">
        <f ca="1">IFERROR(__xludf.DUMMYFUNCTION("""COMPUTED_VALUE"""),"AA001378")</f>
        <v>AA001378</v>
      </c>
      <c r="D176" t="str">
        <f ca="1">IFERROR(__xludf.DUMMYFUNCTION("""COMPUTED_VALUE"""),"")</f>
        <v/>
      </c>
      <c r="E176" s="205" t="str">
        <f ca="1">IFERROR(__xludf.DUMMYFUNCTION("""COMPUTED_VALUE"""),"吳思慧")</f>
        <v>吳思慧</v>
      </c>
    </row>
    <row r="177" spans="1:5" ht="15" customHeight="1">
      <c r="A177" s="121" t="str">
        <f t="shared" ca="1" si="1"/>
        <v/>
      </c>
      <c r="B177" t="str">
        <f t="shared" ca="1" si="2"/>
        <v/>
      </c>
      <c r="C177" s="205" t="str">
        <f ca="1">IFERROR(__xludf.DUMMYFUNCTION("""COMPUTED_VALUE"""),"AA001744")</f>
        <v>AA001744</v>
      </c>
      <c r="D177" t="str">
        <f ca="1">IFERROR(__xludf.DUMMYFUNCTION("""COMPUTED_VALUE"""),"")</f>
        <v/>
      </c>
      <c r="E177" s="205" t="str">
        <f ca="1">IFERROR(__xludf.DUMMYFUNCTION("""COMPUTED_VALUE"""),"吳思慧")</f>
        <v>吳思慧</v>
      </c>
    </row>
    <row r="178" spans="1:5" ht="15" customHeight="1">
      <c r="A178" s="121" t="str">
        <f t="shared" ca="1" si="1"/>
        <v/>
      </c>
      <c r="B178" t="str">
        <f t="shared" ca="1" si="2"/>
        <v/>
      </c>
      <c r="C178" s="205" t="str">
        <f ca="1">IFERROR(__xludf.DUMMYFUNCTION("""COMPUTED_VALUE"""),"AA001744")</f>
        <v>AA001744</v>
      </c>
      <c r="D178" t="str">
        <f ca="1">IFERROR(__xludf.DUMMYFUNCTION("""COMPUTED_VALUE"""),"")</f>
        <v/>
      </c>
      <c r="E178" s="205" t="str">
        <f ca="1">IFERROR(__xludf.DUMMYFUNCTION("""COMPUTED_VALUE"""),"吳思慧")</f>
        <v>吳思慧</v>
      </c>
    </row>
    <row r="179" spans="1:5" ht="15" customHeight="1">
      <c r="A179" s="121" t="str">
        <f t="shared" ca="1" si="1"/>
        <v/>
      </c>
      <c r="B179" t="str">
        <f t="shared" ca="1" si="2"/>
        <v/>
      </c>
      <c r="C179" s="205" t="str">
        <f ca="1">IFERROR(__xludf.DUMMYFUNCTION("""COMPUTED_VALUE"""),"AA001392")</f>
        <v>AA001392</v>
      </c>
      <c r="D179" t="str">
        <f ca="1">IFERROR(__xludf.DUMMYFUNCTION("""COMPUTED_VALUE"""),"")</f>
        <v/>
      </c>
      <c r="E179" s="205" t="str">
        <f ca="1">IFERROR(__xludf.DUMMYFUNCTION("""COMPUTED_VALUE"""),"吳思慧")</f>
        <v>吳思慧</v>
      </c>
    </row>
    <row r="180" spans="1:5" ht="15" customHeight="1">
      <c r="A180" s="121" t="str">
        <f t="shared" ca="1" si="1"/>
        <v/>
      </c>
      <c r="B180" t="str">
        <f t="shared" ca="1" si="2"/>
        <v/>
      </c>
      <c r="C180" s="205" t="str">
        <f ca="1">IFERROR(__xludf.DUMMYFUNCTION("""COMPUTED_VALUE"""),"AA001385")</f>
        <v>AA001385</v>
      </c>
      <c r="D180" t="str">
        <f ca="1">IFERROR(__xludf.DUMMYFUNCTION("""COMPUTED_VALUE"""),"")</f>
        <v/>
      </c>
      <c r="E180" s="205" t="str">
        <f ca="1">IFERROR(__xludf.DUMMYFUNCTION("""COMPUTED_VALUE"""),"朱阮碧蓮")</f>
        <v>朱阮碧蓮</v>
      </c>
    </row>
    <row r="181" spans="1:5" ht="15" customHeight="1">
      <c r="A181" s="121" t="str">
        <f t="shared" ca="1" si="1"/>
        <v/>
      </c>
      <c r="B181" t="str">
        <f t="shared" ca="1" si="2"/>
        <v/>
      </c>
      <c r="C181" s="205" t="str">
        <f ca="1">IFERROR(__xludf.DUMMYFUNCTION("""COMPUTED_VALUE"""),"AA001394")</f>
        <v>AA001394</v>
      </c>
      <c r="D181" t="str">
        <f ca="1">IFERROR(__xludf.DUMMYFUNCTION("""COMPUTED_VALUE"""),"")</f>
        <v/>
      </c>
      <c r="E181" s="205" t="str">
        <f ca="1">IFERROR(__xludf.DUMMYFUNCTION("""COMPUTED_VALUE"""),"林秀娟")</f>
        <v>林秀娟</v>
      </c>
    </row>
    <row r="182" spans="1:5" ht="15" customHeight="1">
      <c r="A182" s="121" t="str">
        <f t="shared" ca="1" si="1"/>
        <v/>
      </c>
      <c r="B182" t="str">
        <f t="shared" ca="1" si="2"/>
        <v/>
      </c>
      <c r="C182" s="205" t="str">
        <f ca="1">IFERROR(__xludf.DUMMYFUNCTION("""COMPUTED_VALUE"""),"AA001394")</f>
        <v>AA001394</v>
      </c>
      <c r="D182" t="str">
        <f ca="1">IFERROR(__xludf.DUMMYFUNCTION("""COMPUTED_VALUE"""),"")</f>
        <v/>
      </c>
      <c r="E182" s="205" t="str">
        <f ca="1">IFERROR(__xludf.DUMMYFUNCTION("""COMPUTED_VALUE"""),"林秀娟")</f>
        <v>林秀娟</v>
      </c>
    </row>
    <row r="183" spans="1:5" ht="15" customHeight="1">
      <c r="A183" s="121" t="str">
        <f t="shared" ca="1" si="1"/>
        <v/>
      </c>
      <c r="B183" t="str">
        <f t="shared" ca="1" si="2"/>
        <v/>
      </c>
      <c r="C183" s="205" t="str">
        <f ca="1">IFERROR(__xludf.DUMMYFUNCTION("""COMPUTED_VALUE"""),"AA001615")</f>
        <v>AA001615</v>
      </c>
      <c r="D183" t="str">
        <f ca="1">IFERROR(__xludf.DUMMYFUNCTION("""COMPUTED_VALUE"""),"")</f>
        <v/>
      </c>
      <c r="E183" s="205" t="str">
        <f ca="1">IFERROR(__xludf.DUMMYFUNCTION("""COMPUTED_VALUE"""),"鐘鈞斌、吳珮寧、王家琳")</f>
        <v>鐘鈞斌、吳珮寧、王家琳</v>
      </c>
    </row>
    <row r="184" spans="1:5" ht="15" customHeight="1">
      <c r="A184" s="121" t="str">
        <f t="shared" ca="1" si="1"/>
        <v/>
      </c>
      <c r="B184" t="str">
        <f t="shared" ca="1" si="2"/>
        <v/>
      </c>
      <c r="C184" s="205" t="str">
        <f ca="1">IFERROR(__xludf.DUMMYFUNCTION("""COMPUTED_VALUE"""),"AA001616")</f>
        <v>AA001616</v>
      </c>
      <c r="D184" t="str">
        <f ca="1">IFERROR(__xludf.DUMMYFUNCTION("""COMPUTED_VALUE"""),"")</f>
        <v/>
      </c>
      <c r="E184" s="205" t="str">
        <f ca="1">IFERROR(__xludf.DUMMYFUNCTION("""COMPUTED_VALUE"""),"員購")</f>
        <v>員購</v>
      </c>
    </row>
    <row r="185" spans="1:5" ht="15" customHeight="1">
      <c r="A185" s="121" t="str">
        <f t="shared" ca="1" si="1"/>
        <v/>
      </c>
      <c r="B185" t="str">
        <f t="shared" ca="1" si="2"/>
        <v/>
      </c>
      <c r="C185" s="205" t="str">
        <f ca="1">IFERROR(__xludf.DUMMYFUNCTION("""COMPUTED_VALUE"""),"AA000000")</f>
        <v>AA000000</v>
      </c>
      <c r="D185" t="str">
        <f ca="1">IFERROR(__xludf.DUMMYFUNCTION("""COMPUTED_VALUE"""),"")</f>
        <v/>
      </c>
      <c r="E185" s="205" t="str">
        <f ca="1">IFERROR(__xludf.DUMMYFUNCTION("""COMPUTED_VALUE"""),"林秀娟 ")</f>
        <v xml:space="preserve">林秀娟 </v>
      </c>
    </row>
    <row r="186" spans="1:5" ht="15" customHeight="1">
      <c r="A186" s="121" t="str">
        <f t="shared" ca="1" si="1"/>
        <v/>
      </c>
      <c r="B186" t="str">
        <f t="shared" ca="1" si="2"/>
        <v/>
      </c>
      <c r="C186" s="205" t="str">
        <f ca="1">IFERROR(__xludf.DUMMYFUNCTION("""COMPUTED_VALUE"""),"AA001106")</f>
        <v>AA001106</v>
      </c>
      <c r="D186" t="str">
        <f ca="1">IFERROR(__xludf.DUMMYFUNCTION("""COMPUTED_VALUE"""),"")</f>
        <v/>
      </c>
      <c r="E186" s="205" t="str">
        <f ca="1">IFERROR(__xludf.DUMMYFUNCTION("""COMPUTED_VALUE"""),"魏浩然")</f>
        <v>魏浩然</v>
      </c>
    </row>
    <row r="187" spans="1:5" ht="15" customHeight="1">
      <c r="A187" s="121" t="str">
        <f t="shared" ca="1" si="1"/>
        <v/>
      </c>
      <c r="B187" t="str">
        <f t="shared" ca="1" si="2"/>
        <v/>
      </c>
      <c r="C187" s="205" t="str">
        <f ca="1">IFERROR(__xludf.DUMMYFUNCTION("""COMPUTED_VALUE"""),"AA001726")</f>
        <v>AA001726</v>
      </c>
      <c r="D187" t="str">
        <f ca="1">IFERROR(__xludf.DUMMYFUNCTION("""COMPUTED_VALUE"""),"")</f>
        <v/>
      </c>
      <c r="E187" s="205" t="str">
        <f ca="1">IFERROR(__xludf.DUMMYFUNCTION("""COMPUTED_VALUE"""),"Aaron")</f>
        <v>Aaron</v>
      </c>
    </row>
    <row r="188" spans="1:5" ht="15" customHeight="1">
      <c r="A188" s="121" t="str">
        <f t="shared" ca="1" si="1"/>
        <v/>
      </c>
      <c r="B188" t="str">
        <f t="shared" ca="1" si="2"/>
        <v/>
      </c>
      <c r="C188" s="205" t="str">
        <f ca="1">IFERROR(__xludf.DUMMYFUNCTION("""COMPUTED_VALUE"""),"AA001726")</f>
        <v>AA001726</v>
      </c>
      <c r="D188" t="str">
        <f ca="1">IFERROR(__xludf.DUMMYFUNCTION("""COMPUTED_VALUE"""),"")</f>
        <v/>
      </c>
      <c r="E188" s="205" t="str">
        <f ca="1">IFERROR(__xludf.DUMMYFUNCTION("""COMPUTED_VALUE"""),"Aaron")</f>
        <v>Aaron</v>
      </c>
    </row>
    <row r="189" spans="1:5" ht="15" customHeight="1">
      <c r="A189" s="121" t="str">
        <f t="shared" ca="1" si="1"/>
        <v/>
      </c>
      <c r="B189" t="str">
        <f t="shared" ca="1" si="2"/>
        <v/>
      </c>
      <c r="C189" s="205" t="str">
        <f ca="1">IFERROR(__xludf.DUMMYFUNCTION("""COMPUTED_VALUE"""),"AA001726")</f>
        <v>AA001726</v>
      </c>
      <c r="D189" t="str">
        <f ca="1">IFERROR(__xludf.DUMMYFUNCTION("""COMPUTED_VALUE"""),"")</f>
        <v/>
      </c>
      <c r="E189" s="205" t="str">
        <f ca="1">IFERROR(__xludf.DUMMYFUNCTION("""COMPUTED_VALUE"""),"Aaron")</f>
        <v>Aaron</v>
      </c>
    </row>
    <row r="190" spans="1:5" ht="15" customHeight="1">
      <c r="A190" s="121" t="str">
        <f t="shared" ca="1" si="1"/>
        <v/>
      </c>
      <c r="B190" t="str">
        <f t="shared" ca="1" si="2"/>
        <v/>
      </c>
      <c r="C190" s="205" t="str">
        <f ca="1">IFERROR(__xludf.DUMMYFUNCTION("""COMPUTED_VALUE"""),"AA001726")</f>
        <v>AA001726</v>
      </c>
      <c r="D190" t="str">
        <f ca="1">IFERROR(__xludf.DUMMYFUNCTION("""COMPUTED_VALUE"""),"")</f>
        <v/>
      </c>
      <c r="E190" s="205" t="str">
        <f ca="1">IFERROR(__xludf.DUMMYFUNCTION("""COMPUTED_VALUE"""),"Aaron")</f>
        <v>Aaron</v>
      </c>
    </row>
    <row r="191" spans="1:5" ht="15" customHeight="1">
      <c r="A191" s="121" t="str">
        <f t="shared" ca="1" si="1"/>
        <v/>
      </c>
      <c r="B191" t="str">
        <f t="shared" ca="1" si="2"/>
        <v/>
      </c>
      <c r="C191" s="205" t="str">
        <f ca="1">IFERROR(__xludf.DUMMYFUNCTION("""COMPUTED_VALUE"""),"AA001634")</f>
        <v>AA001634</v>
      </c>
      <c r="D191" t="str">
        <f ca="1">IFERROR(__xludf.DUMMYFUNCTION("""COMPUTED_VALUE"""),"")</f>
        <v/>
      </c>
      <c r="E191" s="205" t="str">
        <f ca="1">IFERROR(__xludf.DUMMYFUNCTION("""COMPUTED_VALUE"""),"洪明芬")</f>
        <v>洪明芬</v>
      </c>
    </row>
    <row r="192" spans="1:5" ht="15" customHeight="1">
      <c r="A192" s="121" t="str">
        <f t="shared" ca="1" si="1"/>
        <v/>
      </c>
      <c r="B192" t="str">
        <f t="shared" ca="1" si="2"/>
        <v/>
      </c>
      <c r="C192" s="205" t="str">
        <f ca="1">IFERROR(__xludf.DUMMYFUNCTION("""COMPUTED_VALUE"""),"AA001633")</f>
        <v>AA001633</v>
      </c>
      <c r="D192" t="str">
        <f ca="1">IFERROR(__xludf.DUMMYFUNCTION("""COMPUTED_VALUE"""),"")</f>
        <v/>
      </c>
      <c r="E192" s="205" t="str">
        <f ca="1">IFERROR(__xludf.DUMMYFUNCTION("""COMPUTED_VALUE"""),"許春琴")</f>
        <v>許春琴</v>
      </c>
    </row>
    <row r="193" spans="1:5" ht="15" customHeight="1">
      <c r="A193" s="121" t="str">
        <f t="shared" ca="1" si="1"/>
        <v/>
      </c>
      <c r="B193" t="str">
        <f t="shared" ca="1" si="2"/>
        <v/>
      </c>
      <c r="C193" s="205" t="str">
        <f ca="1">IFERROR(__xludf.DUMMYFUNCTION("""COMPUTED_VALUE"""),"AA001603")</f>
        <v>AA001603</v>
      </c>
      <c r="D193" t="str">
        <f ca="1">IFERROR(__xludf.DUMMYFUNCTION("""COMPUTED_VALUE"""),"")</f>
        <v/>
      </c>
      <c r="E193" s="205" t="str">
        <f ca="1">IFERROR(__xludf.DUMMYFUNCTION("""COMPUTED_VALUE"""),"王素華")</f>
        <v>王素華</v>
      </c>
    </row>
    <row r="194" spans="1:5" ht="15" customHeight="1">
      <c r="A194" s="121" t="str">
        <f t="shared" ca="1" si="1"/>
        <v/>
      </c>
      <c r="B194" t="str">
        <f t="shared" ca="1" si="2"/>
        <v/>
      </c>
      <c r="C194" s="205" t="str">
        <f ca="1">IFERROR(__xludf.DUMMYFUNCTION("""COMPUTED_VALUE"""),"AA001667")</f>
        <v>AA001667</v>
      </c>
      <c r="D194" t="str">
        <f ca="1">IFERROR(__xludf.DUMMYFUNCTION("""COMPUTED_VALUE"""),"")</f>
        <v/>
      </c>
      <c r="E194" s="205" t="str">
        <f ca="1">IFERROR(__xludf.DUMMYFUNCTION("""COMPUTED_VALUE"""),"張瑾宜")</f>
        <v>張瑾宜</v>
      </c>
    </row>
    <row r="195" spans="1:5" ht="15" customHeight="1">
      <c r="A195" s="121" t="str">
        <f t="shared" ca="1" si="1"/>
        <v/>
      </c>
      <c r="B195" t="str">
        <f t="shared" ca="1" si="2"/>
        <v/>
      </c>
      <c r="C195" s="205" t="str">
        <f ca="1">IFERROR(__xludf.DUMMYFUNCTION("""COMPUTED_VALUE"""),"AA001749")</f>
        <v>AA001749</v>
      </c>
      <c r="D195" t="str">
        <f ca="1">IFERROR(__xludf.DUMMYFUNCTION("""COMPUTED_VALUE"""),"")</f>
        <v/>
      </c>
      <c r="E195" s="205" t="str">
        <f ca="1">IFERROR(__xludf.DUMMYFUNCTION("""COMPUTED_VALUE"""),"黃苡瑄")</f>
        <v>黃苡瑄</v>
      </c>
    </row>
    <row r="196" spans="1:5" ht="15" customHeight="1">
      <c r="A196" s="121" t="str">
        <f t="shared" ca="1" si="1"/>
        <v/>
      </c>
      <c r="B196" t="str">
        <f t="shared" ca="1" si="2"/>
        <v/>
      </c>
      <c r="C196" s="205" t="str">
        <f ca="1">IFERROR(__xludf.DUMMYFUNCTION("""COMPUTED_VALUE"""),"AA001399")</f>
        <v>AA001399</v>
      </c>
      <c r="D196" t="str">
        <f ca="1">IFERROR(__xludf.DUMMYFUNCTION("""COMPUTED_VALUE"""),"")</f>
        <v/>
      </c>
      <c r="E196" s="205" t="str">
        <f ca="1">IFERROR(__xludf.DUMMYFUNCTION("""COMPUTED_VALUE"""),"WongChiChing")</f>
        <v>WongChiChing</v>
      </c>
    </row>
    <row r="197" spans="1:5" ht="15" customHeight="1">
      <c r="A197" s="121" t="str">
        <f t="shared" ca="1" si="1"/>
        <v/>
      </c>
      <c r="B197" t="str">
        <f t="shared" ca="1" si="2"/>
        <v/>
      </c>
      <c r="C197" s="205" t="str">
        <f ca="1">IFERROR(__xludf.DUMMYFUNCTION("""COMPUTED_VALUE"""),"AA001399")</f>
        <v>AA001399</v>
      </c>
      <c r="D197" t="str">
        <f ca="1">IFERROR(__xludf.DUMMYFUNCTION("""COMPUTED_VALUE"""),"")</f>
        <v/>
      </c>
      <c r="E197" s="205" t="str">
        <f ca="1">IFERROR(__xludf.DUMMYFUNCTION("""COMPUTED_VALUE"""),"WongChiChing")</f>
        <v>WongChiChing</v>
      </c>
    </row>
    <row r="198" spans="1:5" ht="15" customHeight="1">
      <c r="A198" s="121" t="str">
        <f t="shared" ca="1" si="1"/>
        <v/>
      </c>
      <c r="B198" t="str">
        <f t="shared" ca="1" si="2"/>
        <v/>
      </c>
      <c r="C198" s="205" t="str">
        <f ca="1">IFERROR(__xludf.DUMMYFUNCTION("""COMPUTED_VALUE"""),"AA001698")</f>
        <v>AA001698</v>
      </c>
      <c r="D198" t="str">
        <f ca="1">IFERROR(__xludf.DUMMYFUNCTION("""COMPUTED_VALUE"""),"")</f>
        <v/>
      </c>
      <c r="E198" s="205" t="str">
        <f ca="1">IFERROR(__xludf.DUMMYFUNCTION("""COMPUTED_VALUE"""),"楊曜駿")</f>
        <v>楊曜駿</v>
      </c>
    </row>
    <row r="199" spans="1:5" ht="15" customHeight="1">
      <c r="A199" s="121" t="str">
        <f t="shared" ca="1" si="1"/>
        <v/>
      </c>
      <c r="B199" t="str">
        <f t="shared" ca="1" si="2"/>
        <v/>
      </c>
      <c r="C199" s="205" t="str">
        <f ca="1">IFERROR(__xludf.DUMMYFUNCTION("""COMPUTED_VALUE"""),"AA001668")</f>
        <v>AA001668</v>
      </c>
      <c r="D199" t="str">
        <f ca="1">IFERROR(__xludf.DUMMYFUNCTION("""COMPUTED_VALUE"""),"")</f>
        <v/>
      </c>
      <c r="E199" s="205" t="str">
        <f ca="1">IFERROR(__xludf.DUMMYFUNCTION("""COMPUTED_VALUE"""),"王虹新")</f>
        <v>王虹新</v>
      </c>
    </row>
    <row r="200" spans="1:5" ht="15" customHeight="1">
      <c r="A200" s="121" t="str">
        <f t="shared" ca="1" si="1"/>
        <v/>
      </c>
      <c r="B200" t="str">
        <f t="shared" ca="1" si="2"/>
        <v/>
      </c>
      <c r="C200" s="205" t="str">
        <f ca="1">IFERROR(__xludf.DUMMYFUNCTION("""COMPUTED_VALUE"""),"AA001700")</f>
        <v>AA001700</v>
      </c>
      <c r="D200" t="str">
        <f ca="1">IFERROR(__xludf.DUMMYFUNCTION("""COMPUTED_VALUE"""),"")</f>
        <v/>
      </c>
      <c r="E200" s="205" t="str">
        <f ca="1">IFERROR(__xludf.DUMMYFUNCTION("""COMPUTED_VALUE"""),"李若淳")</f>
        <v>李若淳</v>
      </c>
    </row>
    <row r="201" spans="1:5" ht="15" customHeight="1">
      <c r="A201" s="121" t="str">
        <f t="shared" ca="1" si="1"/>
        <v/>
      </c>
      <c r="B201" t="str">
        <f t="shared" ca="1" si="2"/>
        <v/>
      </c>
      <c r="C201" s="205" t="str">
        <f ca="1">IFERROR(__xludf.DUMMYFUNCTION("""COMPUTED_VALUE"""),"AA001700")</f>
        <v>AA001700</v>
      </c>
      <c r="D201" t="str">
        <f ca="1">IFERROR(__xludf.DUMMYFUNCTION("""COMPUTED_VALUE"""),"")</f>
        <v/>
      </c>
      <c r="E201" s="205" t="str">
        <f ca="1">IFERROR(__xludf.DUMMYFUNCTION("""COMPUTED_VALUE"""),"李若淳")</f>
        <v>李若淳</v>
      </c>
    </row>
    <row r="202" spans="1:5" ht="15" customHeight="1">
      <c r="A202" s="121" t="str">
        <f t="shared" ca="1" si="1"/>
        <v/>
      </c>
      <c r="B202" t="str">
        <f t="shared" ca="1" si="2"/>
        <v/>
      </c>
      <c r="C202" s="205" t="str">
        <f ca="1">IFERROR(__xludf.DUMMYFUNCTION("""COMPUTED_VALUE"""),"AA001417")</f>
        <v>AA001417</v>
      </c>
      <c r="D202" t="str">
        <f ca="1">IFERROR(__xludf.DUMMYFUNCTION("""COMPUTED_VALUE"""),"")</f>
        <v/>
      </c>
      <c r="E202" s="205" t="str">
        <f ca="1">IFERROR(__xludf.DUMMYFUNCTION("""COMPUTED_VALUE"""),"大江生醫股份有限公司-職福會")</f>
        <v>大江生醫股份有限公司-職福會</v>
      </c>
    </row>
    <row r="203" spans="1:5" ht="15" customHeight="1">
      <c r="A203" s="121" t="str">
        <f t="shared" ca="1" si="1"/>
        <v/>
      </c>
      <c r="B203" t="str">
        <f t="shared" ca="1" si="2"/>
        <v/>
      </c>
      <c r="C203" s="205" t="str">
        <f ca="1">IFERROR(__xludf.DUMMYFUNCTION("""COMPUTED_VALUE"""),"AA001755")</f>
        <v>AA001755</v>
      </c>
      <c r="D203" t="str">
        <f ca="1">IFERROR(__xludf.DUMMYFUNCTION("""COMPUTED_VALUE"""),"")</f>
        <v/>
      </c>
      <c r="E203" s="205" t="str">
        <f ca="1">IFERROR(__xludf.DUMMYFUNCTION("""COMPUTED_VALUE"""),"許秀菁")</f>
        <v>許秀菁</v>
      </c>
    </row>
    <row r="204" spans="1:5" ht="15" customHeight="1">
      <c r="A204" s="121" t="str">
        <f t="shared" ca="1" si="1"/>
        <v/>
      </c>
      <c r="B204" t="str">
        <f t="shared" ca="1" si="2"/>
        <v/>
      </c>
      <c r="C204" s="205" t="str">
        <f ca="1">IFERROR(__xludf.DUMMYFUNCTION("""COMPUTED_VALUE"""),"AA001756")</f>
        <v>AA001756</v>
      </c>
      <c r="D204" t="str">
        <f ca="1">IFERROR(__xludf.DUMMYFUNCTION("""COMPUTED_VALUE"""),"")</f>
        <v/>
      </c>
      <c r="E204" s="205" t="str">
        <f ca="1">IFERROR(__xludf.DUMMYFUNCTION("""COMPUTED_VALUE"""),"許佩真")</f>
        <v>許佩真</v>
      </c>
    </row>
    <row r="205" spans="1:5" ht="15" customHeight="1">
      <c r="A205" s="121" t="str">
        <f t="shared" ca="1" si="1"/>
        <v/>
      </c>
      <c r="B205" t="str">
        <f t="shared" ca="1" si="2"/>
        <v/>
      </c>
      <c r="C205" s="205" t="str">
        <f ca="1">IFERROR(__xludf.DUMMYFUNCTION("""COMPUTED_VALUE"""),"AA001757")</f>
        <v>AA001757</v>
      </c>
      <c r="D205" t="str">
        <f ca="1">IFERROR(__xludf.DUMMYFUNCTION("""COMPUTED_VALUE"""),"")</f>
        <v/>
      </c>
      <c r="E205" s="205" t="str">
        <f ca="1">IFERROR(__xludf.DUMMYFUNCTION("""COMPUTED_VALUE"""),"林怡中")</f>
        <v>林怡中</v>
      </c>
    </row>
    <row r="206" spans="1:5" ht="15" customHeight="1">
      <c r="A206" s="121" t="str">
        <f t="shared" ca="1" si="1"/>
        <v/>
      </c>
      <c r="B206" t="str">
        <f t="shared" ca="1" si="2"/>
        <v/>
      </c>
      <c r="C206" s="205" t="str">
        <f ca="1">IFERROR(__xludf.DUMMYFUNCTION("""COMPUTED_VALUE"""),"AA001758")</f>
        <v>AA001758</v>
      </c>
      <c r="D206" t="str">
        <f ca="1">IFERROR(__xludf.DUMMYFUNCTION("""COMPUTED_VALUE"""),"")</f>
        <v/>
      </c>
      <c r="E206" s="205" t="str">
        <f ca="1">IFERROR(__xludf.DUMMYFUNCTION("""COMPUTED_VALUE"""),"黃秀鸞")</f>
        <v>黃秀鸞</v>
      </c>
    </row>
    <row r="207" spans="1:5" ht="15" customHeight="1">
      <c r="A207" s="121" t="str">
        <f t="shared" ca="1" si="1"/>
        <v/>
      </c>
      <c r="B207" t="str">
        <f t="shared" ca="1" si="2"/>
        <v/>
      </c>
      <c r="C207" s="205" t="str">
        <f ca="1">IFERROR(__xludf.DUMMYFUNCTION("""COMPUTED_VALUE"""),"AA001759")</f>
        <v>AA001759</v>
      </c>
      <c r="D207" t="str">
        <f ca="1">IFERROR(__xludf.DUMMYFUNCTION("""COMPUTED_VALUE"""),"")</f>
        <v/>
      </c>
      <c r="E207" s="205" t="str">
        <f ca="1">IFERROR(__xludf.DUMMYFUNCTION("""COMPUTED_VALUE"""),"謝敬賢")</f>
        <v>謝敬賢</v>
      </c>
    </row>
    <row r="208" spans="1:5" ht="15" customHeight="1">
      <c r="A208" s="121" t="str">
        <f t="shared" ca="1" si="1"/>
        <v/>
      </c>
      <c r="B208" t="str">
        <f t="shared" ca="1" si="2"/>
        <v/>
      </c>
      <c r="C208" s="205" t="str">
        <f ca="1">IFERROR(__xludf.DUMMYFUNCTION("""COMPUTED_VALUE"""),"AA001760")</f>
        <v>AA001760</v>
      </c>
      <c r="D208" t="str">
        <f ca="1">IFERROR(__xludf.DUMMYFUNCTION("""COMPUTED_VALUE"""),"")</f>
        <v/>
      </c>
      <c r="E208" s="205" t="str">
        <f ca="1">IFERROR(__xludf.DUMMYFUNCTION("""COMPUTED_VALUE"""),"鄭凱如")</f>
        <v>鄭凱如</v>
      </c>
    </row>
    <row r="209" spans="1:5" ht="15" customHeight="1">
      <c r="A209" s="121" t="str">
        <f t="shared" ca="1" si="1"/>
        <v/>
      </c>
      <c r="B209" t="str">
        <f t="shared" ca="1" si="2"/>
        <v/>
      </c>
      <c r="C209" t="str">
        <f ca="1">IFERROR(__xludf.DUMMYFUNCTION("""COMPUTED_VALUE"""),"AA001420")</f>
        <v>AA001420</v>
      </c>
      <c r="D209" t="str">
        <f ca="1">IFERROR(__xludf.DUMMYFUNCTION("""COMPUTED_VALUE"""),"")</f>
        <v/>
      </c>
      <c r="E209" s="205" t="str">
        <f ca="1">IFERROR(__xludf.DUMMYFUNCTION("""COMPUTED_VALUE"""),"楊蕙霞")</f>
        <v>楊蕙霞</v>
      </c>
    </row>
    <row r="210" spans="1:5" ht="15" customHeight="1">
      <c r="A210" s="121" t="str">
        <f t="shared" ca="1" si="1"/>
        <v/>
      </c>
      <c r="B210" t="str">
        <f t="shared" ca="1" si="2"/>
        <v/>
      </c>
      <c r="C210" s="205" t="str">
        <f ca="1">IFERROR(__xludf.DUMMYFUNCTION("""COMPUTED_VALUE"""),"AA001771")</f>
        <v>AA001771</v>
      </c>
      <c r="D210" t="str">
        <f ca="1">IFERROR(__xludf.DUMMYFUNCTION("""COMPUTED_VALUE"""),"")</f>
        <v/>
      </c>
      <c r="E210" s="205" t="str">
        <f ca="1">IFERROR(__xludf.DUMMYFUNCTION("""COMPUTED_VALUE"""),"楊蕙霞")</f>
        <v>楊蕙霞</v>
      </c>
    </row>
    <row r="211" spans="1:5" ht="15" customHeight="1">
      <c r="A211" s="121" t="str">
        <f t="shared" ca="1" si="1"/>
        <v/>
      </c>
      <c r="B211" t="str">
        <f t="shared" ca="1" si="2"/>
        <v/>
      </c>
      <c r="C211" s="205" t="str">
        <f ca="1">IFERROR(__xludf.DUMMYFUNCTION("""COMPUTED_VALUE"""),"AA001745")</f>
        <v>AA001745</v>
      </c>
      <c r="D211" t="str">
        <f ca="1">IFERROR(__xludf.DUMMYFUNCTION("""COMPUTED_VALUE"""),"")</f>
        <v/>
      </c>
      <c r="E211" s="205" t="str">
        <f ca="1">IFERROR(__xludf.DUMMYFUNCTION("""COMPUTED_VALUE"""),"許美越")</f>
        <v>許美越</v>
      </c>
    </row>
    <row r="212" spans="1:5" ht="15" customHeight="1">
      <c r="A212" s="121" t="str">
        <f t="shared" ca="1" si="1"/>
        <v/>
      </c>
      <c r="B212" t="str">
        <f t="shared" ca="1" si="2"/>
        <v/>
      </c>
      <c r="C212" s="205" t="str">
        <f ca="1">IFERROR(__xludf.DUMMYFUNCTION("""COMPUTED_VALUE"""),"AA001761")</f>
        <v>AA001761</v>
      </c>
      <c r="D212" t="str">
        <f ca="1">IFERROR(__xludf.DUMMYFUNCTION("""COMPUTED_VALUE"""),"")</f>
        <v/>
      </c>
      <c r="E212" s="205" t="str">
        <f ca="1">IFERROR(__xludf.DUMMYFUNCTION("""COMPUTED_VALUE"""),"李國豪")</f>
        <v>李國豪</v>
      </c>
    </row>
    <row r="213" spans="1:5" ht="15" customHeight="1">
      <c r="A213" s="121" t="str">
        <f t="shared" ca="1" si="1"/>
        <v/>
      </c>
      <c r="B213" t="str">
        <f t="shared" ca="1" si="2"/>
        <v/>
      </c>
      <c r="C213" s="205" t="str">
        <f ca="1">IFERROR(__xludf.DUMMYFUNCTION("""COMPUTED_VALUE"""),"AA001695")</f>
        <v>AA001695</v>
      </c>
      <c r="D213" t="str">
        <f ca="1">IFERROR(__xludf.DUMMYFUNCTION("""COMPUTED_VALUE"""),"")</f>
        <v/>
      </c>
      <c r="E213" s="205" t="str">
        <f ca="1">IFERROR(__xludf.DUMMYFUNCTION("""COMPUTED_VALUE"""),"洪麗梅")</f>
        <v>洪麗梅</v>
      </c>
    </row>
    <row r="214" spans="1:5" ht="15" customHeight="1">
      <c r="A214" s="121" t="str">
        <f t="shared" ca="1" si="1"/>
        <v/>
      </c>
      <c r="B214" t="str">
        <f t="shared" ca="1" si="2"/>
        <v/>
      </c>
      <c r="C214" s="205" t="str">
        <f ca="1">IFERROR(__xludf.DUMMYFUNCTION("""COMPUTED_VALUE"""),"AA001781")</f>
        <v>AA001781</v>
      </c>
      <c r="D214" t="str">
        <f ca="1">IFERROR(__xludf.DUMMYFUNCTION("""COMPUTED_VALUE"""),"")</f>
        <v/>
      </c>
      <c r="E214" s="205" t="str">
        <f ca="1">IFERROR(__xludf.DUMMYFUNCTION("""COMPUTED_VALUE"""),"許逸德")</f>
        <v>許逸德</v>
      </c>
    </row>
    <row r="215" spans="1:5" ht="15" customHeight="1">
      <c r="A215" s="121" t="str">
        <f t="shared" ca="1" si="1"/>
        <v/>
      </c>
      <c r="B215" t="str">
        <f t="shared" ca="1" si="2"/>
        <v/>
      </c>
      <c r="C215" s="205" t="str">
        <f ca="1">IFERROR(__xludf.DUMMYFUNCTION("""COMPUTED_VALUE"""),"AA001767")</f>
        <v>AA001767</v>
      </c>
      <c r="D215" t="str">
        <f ca="1">IFERROR(__xludf.DUMMYFUNCTION("""COMPUTED_VALUE"""),"")</f>
        <v/>
      </c>
      <c r="E215" s="205" t="str">
        <f ca="1">IFERROR(__xludf.DUMMYFUNCTION("""COMPUTED_VALUE"""),"巫宜禎")</f>
        <v>巫宜禎</v>
      </c>
    </row>
    <row r="216" spans="1:5" ht="15" customHeight="1">
      <c r="A216" s="121" t="str">
        <f t="shared" ca="1" si="1"/>
        <v/>
      </c>
      <c r="B216" t="str">
        <f t="shared" ca="1" si="2"/>
        <v/>
      </c>
      <c r="C216" s="205" t="str">
        <f ca="1">IFERROR(__xludf.DUMMYFUNCTION("""COMPUTED_VALUE"""),"AA001762")</f>
        <v>AA001762</v>
      </c>
      <c r="D216" t="str">
        <f ca="1">IFERROR(__xludf.DUMMYFUNCTION("""COMPUTED_VALUE"""),"")</f>
        <v/>
      </c>
      <c r="E216" s="205" t="str">
        <f ca="1">IFERROR(__xludf.DUMMYFUNCTION("""COMPUTED_VALUE"""),"盧怡君")</f>
        <v>盧怡君</v>
      </c>
    </row>
    <row r="217" spans="1:5" ht="15" customHeight="1">
      <c r="A217" s="121" t="str">
        <f t="shared" ca="1" si="1"/>
        <v/>
      </c>
      <c r="B217" t="str">
        <f t="shared" ca="1" si="2"/>
        <v/>
      </c>
      <c r="C217" s="205" t="str">
        <f ca="1">IFERROR(__xludf.DUMMYFUNCTION("""COMPUTED_VALUE"""),"AA001782")</f>
        <v>AA001782</v>
      </c>
      <c r="D217" t="str">
        <f ca="1">IFERROR(__xludf.DUMMYFUNCTION("""COMPUTED_VALUE"""),"")</f>
        <v/>
      </c>
      <c r="E217" s="205" t="str">
        <f ca="1">IFERROR(__xludf.DUMMYFUNCTION("""COMPUTED_VALUE"""),"黃晟瑋")</f>
        <v>黃晟瑋</v>
      </c>
    </row>
    <row r="218" spans="1:5" ht="15" customHeight="1">
      <c r="A218" s="121" t="str">
        <f t="shared" ca="1" si="1"/>
        <v/>
      </c>
      <c r="B218" t="str">
        <f t="shared" ca="1" si="2"/>
        <v/>
      </c>
      <c r="C218" s="205" t="str">
        <f ca="1">IFERROR(__xludf.DUMMYFUNCTION("""COMPUTED_VALUE"""),"AA001804")</f>
        <v>AA001804</v>
      </c>
      <c r="D218" t="str">
        <f ca="1">IFERROR(__xludf.DUMMYFUNCTION("""COMPUTED_VALUE"""),"")</f>
        <v/>
      </c>
      <c r="E218" s="205" t="str">
        <f ca="1">IFERROR(__xludf.DUMMYFUNCTION("""COMPUTED_VALUE"""),"張耀仁")</f>
        <v>張耀仁</v>
      </c>
    </row>
    <row r="219" spans="1:5" ht="15" customHeight="1">
      <c r="A219" s="121" t="str">
        <f t="shared" ca="1" si="1"/>
        <v/>
      </c>
      <c r="B219" t="str">
        <f t="shared" ca="1" si="2"/>
        <v/>
      </c>
      <c r="C219" s="205" t="str">
        <f ca="1">IFERROR(__xludf.DUMMYFUNCTION("""COMPUTED_VALUE"""),"AA001813")</f>
        <v>AA001813</v>
      </c>
      <c r="D219" t="str">
        <f ca="1">IFERROR(__xludf.DUMMYFUNCTION("""COMPUTED_VALUE"""),"")</f>
        <v/>
      </c>
      <c r="E219" s="205" t="str">
        <f ca="1">IFERROR(__xludf.DUMMYFUNCTION("""COMPUTED_VALUE"""),"鄧凱嶸")</f>
        <v>鄧凱嶸</v>
      </c>
    </row>
    <row r="220" spans="1:5" ht="15" customHeight="1">
      <c r="A220" s="121" t="str">
        <f t="shared" ca="1" si="1"/>
        <v/>
      </c>
      <c r="B220" t="str">
        <f t="shared" ca="1" si="2"/>
        <v/>
      </c>
      <c r="C220" s="205" t="str">
        <f ca="1">IFERROR(__xludf.DUMMYFUNCTION("""COMPUTED_VALUE"""),"AA001813")</f>
        <v>AA001813</v>
      </c>
      <c r="D220" t="str">
        <f ca="1">IFERROR(__xludf.DUMMYFUNCTION("""COMPUTED_VALUE"""),"")</f>
        <v/>
      </c>
      <c r="E220" s="205" t="str">
        <f ca="1">IFERROR(__xludf.DUMMYFUNCTION("""COMPUTED_VALUE"""),"鄧凱嶸")</f>
        <v>鄧凱嶸</v>
      </c>
    </row>
    <row r="221" spans="1:5" ht="15" customHeight="1">
      <c r="A221" s="121" t="str">
        <f t="shared" ca="1" si="1"/>
        <v/>
      </c>
      <c r="B221" t="str">
        <f t="shared" ca="1" si="2"/>
        <v/>
      </c>
      <c r="C221" s="205" t="str">
        <f ca="1">IFERROR(__xludf.DUMMYFUNCTION("""COMPUTED_VALUE"""),"AA001812")</f>
        <v>AA001812</v>
      </c>
      <c r="D221" t="str">
        <f ca="1">IFERROR(__xludf.DUMMYFUNCTION("""COMPUTED_VALUE"""),"")</f>
        <v/>
      </c>
      <c r="E221" s="205" t="str">
        <f ca="1">IFERROR(__xludf.DUMMYFUNCTION("""COMPUTED_VALUE"""),"吳彩燕")</f>
        <v>吳彩燕</v>
      </c>
    </row>
    <row r="222" spans="1:5" ht="15" customHeight="1">
      <c r="A222" s="121" t="str">
        <f t="shared" ca="1" si="1"/>
        <v/>
      </c>
      <c r="B222" t="str">
        <f t="shared" ca="1" si="2"/>
        <v/>
      </c>
      <c r="C222" s="205" t="str">
        <f ca="1">IFERROR(__xludf.DUMMYFUNCTION("""COMPUTED_VALUE"""),"AA001438")</f>
        <v>AA001438</v>
      </c>
      <c r="D222" t="str">
        <f ca="1">IFERROR(__xludf.DUMMYFUNCTION("""COMPUTED_VALUE"""),"")</f>
        <v/>
      </c>
      <c r="E222" s="205" t="str">
        <f ca="1">IFERROR(__xludf.DUMMYFUNCTION("""COMPUTED_VALUE"""),"張志誠")</f>
        <v>張志誠</v>
      </c>
    </row>
    <row r="223" spans="1:5" ht="15" customHeight="1">
      <c r="A223" s="121" t="str">
        <f t="shared" ca="1" si="1"/>
        <v/>
      </c>
      <c r="B223" t="str">
        <f t="shared" ca="1" si="2"/>
        <v/>
      </c>
      <c r="C223" s="205" t="str">
        <f ca="1">IFERROR(__xludf.DUMMYFUNCTION("""COMPUTED_VALUE"""),"AA001824")</f>
        <v>AA001824</v>
      </c>
      <c r="D223" t="str">
        <f ca="1">IFERROR(__xludf.DUMMYFUNCTION("""COMPUTED_VALUE"""),"")</f>
        <v/>
      </c>
      <c r="E223" s="205" t="str">
        <f ca="1">IFERROR(__xludf.DUMMYFUNCTION("""COMPUTED_VALUE"""),"戴筠修")</f>
        <v>戴筠修</v>
      </c>
    </row>
    <row r="224" spans="1:5" ht="15" customHeight="1">
      <c r="A224" s="121" t="str">
        <f t="shared" ca="1" si="1"/>
        <v/>
      </c>
      <c r="B224" t="str">
        <f t="shared" ca="1" si="2"/>
        <v/>
      </c>
      <c r="C224" s="205" t="str">
        <f ca="1">IFERROR(__xludf.DUMMYFUNCTION("""COMPUTED_VALUE"""),"AA001828")</f>
        <v>AA001828</v>
      </c>
      <c r="D224" t="str">
        <f ca="1">IFERROR(__xludf.DUMMYFUNCTION("""COMPUTED_VALUE"""),"")</f>
        <v/>
      </c>
      <c r="E224" s="205" t="str">
        <f ca="1">IFERROR(__xludf.DUMMYFUNCTION("""COMPUTED_VALUE"""),"吳玲玲")</f>
        <v>吳玲玲</v>
      </c>
    </row>
    <row r="225" spans="1:5" ht="15" customHeight="1">
      <c r="A225" s="121" t="str">
        <f t="shared" ca="1" si="1"/>
        <v/>
      </c>
      <c r="B225" t="str">
        <f t="shared" ca="1" si="2"/>
        <v/>
      </c>
      <c r="C225" s="205" t="str">
        <f ca="1">IFERROR(__xludf.DUMMYFUNCTION("""COMPUTED_VALUE"""),"AA001842")</f>
        <v>AA001842</v>
      </c>
      <c r="D225" t="str">
        <f ca="1">IFERROR(__xludf.DUMMYFUNCTION("""COMPUTED_VALUE"""),"")</f>
        <v/>
      </c>
      <c r="E225" s="205" t="str">
        <f ca="1">IFERROR(__xludf.DUMMYFUNCTION("""COMPUTED_VALUE"""),"梁伯榮")</f>
        <v>梁伯榮</v>
      </c>
    </row>
    <row r="226" spans="1:5" ht="15" customHeight="1">
      <c r="A226" s="121" t="str">
        <f t="shared" ca="1" si="1"/>
        <v/>
      </c>
      <c r="B226" t="str">
        <f t="shared" ca="1" si="2"/>
        <v/>
      </c>
      <c r="C226" s="205" t="str">
        <f ca="1">IFERROR(__xludf.DUMMYFUNCTION("""COMPUTED_VALUE"""),"AA001843")</f>
        <v>AA001843</v>
      </c>
      <c r="D226" t="str">
        <f ca="1">IFERROR(__xludf.DUMMYFUNCTION("""COMPUTED_VALUE"""),"")</f>
        <v/>
      </c>
      <c r="E226" s="205" t="str">
        <f ca="1">IFERROR(__xludf.DUMMYFUNCTION("""COMPUTED_VALUE"""),"盧怡君")</f>
        <v>盧怡君</v>
      </c>
    </row>
    <row r="227" spans="1:5" ht="15" customHeight="1">
      <c r="A227" s="121" t="str">
        <f t="shared" ca="1" si="1"/>
        <v/>
      </c>
      <c r="B227" t="str">
        <f t="shared" ca="1" si="2"/>
        <v/>
      </c>
      <c r="C227" s="205" t="str">
        <f ca="1">IFERROR(__xludf.DUMMYFUNCTION("""COMPUTED_VALUE"""),"AA001844")</f>
        <v>AA001844</v>
      </c>
      <c r="D227" t="str">
        <f ca="1">IFERROR(__xludf.DUMMYFUNCTION("""COMPUTED_VALUE"""),"")</f>
        <v/>
      </c>
      <c r="E227" s="205" t="str">
        <f ca="1">IFERROR(__xludf.DUMMYFUNCTION("""COMPUTED_VALUE"""),"黃治綱")</f>
        <v>黃治綱</v>
      </c>
    </row>
    <row r="228" spans="1:5" ht="15" customHeight="1">
      <c r="A228" s="121" t="str">
        <f t="shared" ca="1" si="1"/>
        <v/>
      </c>
      <c r="B228" t="str">
        <f t="shared" ca="1" si="2"/>
        <v/>
      </c>
      <c r="C228" s="205" t="str">
        <f ca="1">IFERROR(__xludf.DUMMYFUNCTION("""COMPUTED_VALUE"""),"AA001845")</f>
        <v>AA001845</v>
      </c>
      <c r="D228" t="str">
        <f ca="1">IFERROR(__xludf.DUMMYFUNCTION("""COMPUTED_VALUE"""),"")</f>
        <v/>
      </c>
      <c r="E228" s="205" t="str">
        <f ca="1">IFERROR(__xludf.DUMMYFUNCTION("""COMPUTED_VALUE"""),"李珮宸")</f>
        <v>李珮宸</v>
      </c>
    </row>
    <row r="229" spans="1:5" ht="15" customHeight="1">
      <c r="A229" s="121" t="str">
        <f t="shared" ca="1" si="1"/>
        <v/>
      </c>
      <c r="B229" t="str">
        <f t="shared" ca="1" si="2"/>
        <v/>
      </c>
      <c r="C229" s="205" t="str">
        <f ca="1">IFERROR(__xludf.DUMMYFUNCTION("""COMPUTED_VALUE"""),"AA001846")</f>
        <v>AA001846</v>
      </c>
      <c r="D229" t="str">
        <f ca="1">IFERROR(__xludf.DUMMYFUNCTION("""COMPUTED_VALUE"""),"")</f>
        <v/>
      </c>
      <c r="E229" s="205" t="str">
        <f ca="1">IFERROR(__xludf.DUMMYFUNCTION("""COMPUTED_VALUE"""),"王亞筠")</f>
        <v>王亞筠</v>
      </c>
    </row>
    <row r="230" spans="1:5" ht="15" customHeight="1">
      <c r="A230" s="121" t="str">
        <f t="shared" ca="1" si="1"/>
        <v/>
      </c>
      <c r="B230" t="str">
        <f t="shared" ca="1" si="2"/>
        <v/>
      </c>
      <c r="C230" s="205" t="str">
        <f ca="1">IFERROR(__xludf.DUMMYFUNCTION("""COMPUTED_VALUE"""),"AA001847")</f>
        <v>AA001847</v>
      </c>
      <c r="D230" t="str">
        <f ca="1">IFERROR(__xludf.DUMMYFUNCTION("""COMPUTED_VALUE"""),"")</f>
        <v/>
      </c>
      <c r="E230" s="205" t="str">
        <f ca="1">IFERROR(__xludf.DUMMYFUNCTION("""COMPUTED_VALUE"""),"許嫺音")</f>
        <v>許嫺音</v>
      </c>
    </row>
    <row r="231" spans="1:5" ht="15" customHeight="1">
      <c r="A231" s="121" t="str">
        <f t="shared" ca="1" si="1"/>
        <v/>
      </c>
      <c r="B231" t="str">
        <f t="shared" ca="1" si="2"/>
        <v/>
      </c>
      <c r="C231" s="206" t="str">
        <f ca="1">IFERROR(__xludf.DUMMYFUNCTION("""COMPUTED_VALUE"""),"AA001873")</f>
        <v>AA001873</v>
      </c>
      <c r="D231" t="str">
        <f ca="1">IFERROR(__xludf.DUMMYFUNCTION("""COMPUTED_VALUE"""),"")</f>
        <v/>
      </c>
      <c r="E231" s="206" t="str">
        <f ca="1">IFERROR(__xludf.DUMMYFUNCTION("""COMPUTED_VALUE"""),"賴玟卉")</f>
        <v>賴玟卉</v>
      </c>
    </row>
    <row r="232" spans="1:5" ht="15" customHeight="1">
      <c r="A232" s="121" t="str">
        <f t="shared" ca="1" si="1"/>
        <v/>
      </c>
      <c r="B232" t="str">
        <f t="shared" ca="1" si="2"/>
        <v/>
      </c>
      <c r="C232" s="206" t="str">
        <f ca="1">IFERROR(__xludf.DUMMYFUNCTION("""COMPUTED_VALUE"""),"AA001917")</f>
        <v>AA001917</v>
      </c>
      <c r="D232" t="str">
        <f ca="1">IFERROR(__xludf.DUMMYFUNCTION("""COMPUTED_VALUE"""),"")</f>
        <v/>
      </c>
      <c r="E232" s="206" t="str">
        <f ca="1">IFERROR(__xludf.DUMMYFUNCTION("""COMPUTED_VALUE"""),"邱春淑")</f>
        <v>邱春淑</v>
      </c>
    </row>
    <row r="233" spans="1:5" ht="15" customHeight="1">
      <c r="A233" s="121" t="str">
        <f t="shared" ca="1" si="1"/>
        <v/>
      </c>
      <c r="B233" t="str">
        <f t="shared" ca="1" si="2"/>
        <v/>
      </c>
      <c r="C233" s="206" t="str">
        <f ca="1">IFERROR(__xludf.DUMMYFUNCTION("""COMPUTED_VALUE"""),"AA001917")</f>
        <v>AA001917</v>
      </c>
      <c r="D233" t="str">
        <f ca="1">IFERROR(__xludf.DUMMYFUNCTION("""COMPUTED_VALUE"""),"")</f>
        <v/>
      </c>
      <c r="E233" s="206" t="str">
        <f ca="1">IFERROR(__xludf.DUMMYFUNCTION("""COMPUTED_VALUE"""),"邱春淑")</f>
        <v>邱春淑</v>
      </c>
    </row>
    <row r="234" spans="1:5" ht="15" customHeight="1">
      <c r="A234" s="121" t="str">
        <f t="shared" ca="1" si="1"/>
        <v/>
      </c>
      <c r="B234" t="str">
        <f t="shared" ca="1" si="2"/>
        <v/>
      </c>
      <c r="C234" s="206" t="str">
        <f ca="1">IFERROR(__xludf.DUMMYFUNCTION("""COMPUTED_VALUE"""),"AA001637")</f>
        <v>AA001637</v>
      </c>
      <c r="D234" t="str">
        <f ca="1">IFERROR(__xludf.DUMMYFUNCTION("""COMPUTED_VALUE"""),"")</f>
        <v/>
      </c>
      <c r="E234" s="206" t="str">
        <f ca="1">IFERROR(__xludf.DUMMYFUNCTION("""COMPUTED_VALUE"""),"大江基因醫學股份有限公司")</f>
        <v>大江基因醫學股份有限公司</v>
      </c>
    </row>
    <row r="235" spans="1:5" ht="15" customHeight="1">
      <c r="A235" s="121" t="str">
        <f t="shared" ca="1" si="1"/>
        <v/>
      </c>
      <c r="B235" t="str">
        <f t="shared" ca="1" si="2"/>
        <v/>
      </c>
      <c r="C235" s="206" t="str">
        <f ca="1">IFERROR(__xludf.DUMMYFUNCTION("""COMPUTED_VALUE"""),"AA001637")</f>
        <v>AA001637</v>
      </c>
      <c r="D235" t="str">
        <f ca="1">IFERROR(__xludf.DUMMYFUNCTION("""COMPUTED_VALUE"""),"")</f>
        <v/>
      </c>
      <c r="E235" s="206" t="str">
        <f ca="1">IFERROR(__xludf.DUMMYFUNCTION("""COMPUTED_VALUE"""),"大江基因醫學股份有限公司")</f>
        <v>大江基因醫學股份有限公司</v>
      </c>
    </row>
    <row r="236" spans="1:5" ht="15" customHeight="1">
      <c r="A236" s="121" t="str">
        <f t="shared" ca="1" si="1"/>
        <v/>
      </c>
      <c r="B236" t="str">
        <f t="shared" ca="1" si="2"/>
        <v/>
      </c>
      <c r="C236" s="206" t="str">
        <f ca="1">IFERROR(__xludf.DUMMYFUNCTION("""COMPUTED_VALUE"""),"AA001637")</f>
        <v>AA001637</v>
      </c>
      <c r="D236" t="str">
        <f ca="1">IFERROR(__xludf.DUMMYFUNCTION("""COMPUTED_VALUE"""),"")</f>
        <v/>
      </c>
      <c r="E236" s="206" t="str">
        <f ca="1">IFERROR(__xludf.DUMMYFUNCTION("""COMPUTED_VALUE"""),"大江基因醫學股份有限公司")</f>
        <v>大江基因醫學股份有限公司</v>
      </c>
    </row>
    <row r="237" spans="1:5" ht="15" customHeight="1">
      <c r="A237" s="121" t="str">
        <f t="shared" ca="1" si="1"/>
        <v/>
      </c>
      <c r="B237" t="str">
        <f t="shared" ca="1" si="2"/>
        <v/>
      </c>
      <c r="C237" s="206" t="str">
        <f ca="1">IFERROR(__xludf.DUMMYFUNCTION("""COMPUTED_VALUE"""),"AA001637")</f>
        <v>AA001637</v>
      </c>
      <c r="D237" t="str">
        <f ca="1">IFERROR(__xludf.DUMMYFUNCTION("""COMPUTED_VALUE"""),"")</f>
        <v/>
      </c>
      <c r="E237" s="206" t="str">
        <f ca="1">IFERROR(__xludf.DUMMYFUNCTION("""COMPUTED_VALUE"""),"大江基因醫學股份有限公司")</f>
        <v>大江基因醫學股份有限公司</v>
      </c>
    </row>
    <row r="238" spans="1:5" ht="15" customHeight="1">
      <c r="A238" s="121" t="str">
        <f t="shared" ca="1" si="1"/>
        <v/>
      </c>
      <c r="B238" t="str">
        <f t="shared" ca="1" si="2"/>
        <v/>
      </c>
      <c r="C238" s="206" t="str">
        <f ca="1">IFERROR(__xludf.DUMMYFUNCTION("""COMPUTED_VALUE"""),"AA001637")</f>
        <v>AA001637</v>
      </c>
      <c r="D238" t="str">
        <f ca="1">IFERROR(__xludf.DUMMYFUNCTION("""COMPUTED_VALUE"""),"")</f>
        <v/>
      </c>
      <c r="E238" s="206" t="str">
        <f ca="1">IFERROR(__xludf.DUMMYFUNCTION("""COMPUTED_VALUE"""),"大江基因醫學股份有限公司")</f>
        <v>大江基因醫學股份有限公司</v>
      </c>
    </row>
    <row r="239" spans="1:5" ht="15" customHeight="1">
      <c r="A239" s="121" t="str">
        <f t="shared" ca="1" si="1"/>
        <v/>
      </c>
      <c r="B239" t="str">
        <f t="shared" ca="1" si="2"/>
        <v/>
      </c>
      <c r="C239" s="206" t="str">
        <f ca="1">IFERROR(__xludf.DUMMYFUNCTION("""COMPUTED_VALUE"""),"AA001637")</f>
        <v>AA001637</v>
      </c>
      <c r="D239" t="str">
        <f ca="1">IFERROR(__xludf.DUMMYFUNCTION("""COMPUTED_VALUE"""),"")</f>
        <v/>
      </c>
      <c r="E239" s="206" t="str">
        <f ca="1">IFERROR(__xludf.DUMMYFUNCTION("""COMPUTED_VALUE"""),"大江基因醫學股份有限公司")</f>
        <v>大江基因醫學股份有限公司</v>
      </c>
    </row>
    <row r="240" spans="1:5" ht="15" customHeight="1">
      <c r="A240" s="121" t="str">
        <f t="shared" ca="1" si="1"/>
        <v/>
      </c>
      <c r="B240" t="str">
        <f t="shared" ca="1" si="2"/>
        <v/>
      </c>
      <c r="C240" s="206" t="str">
        <f ca="1">IFERROR(__xludf.DUMMYFUNCTION("""COMPUTED_VALUE"""),"AA001637")</f>
        <v>AA001637</v>
      </c>
      <c r="D240" t="str">
        <f ca="1">IFERROR(__xludf.DUMMYFUNCTION("""COMPUTED_VALUE"""),"")</f>
        <v/>
      </c>
      <c r="E240" s="206" t="str">
        <f ca="1">IFERROR(__xludf.DUMMYFUNCTION("""COMPUTED_VALUE"""),"大江基因醫學股份有限公司")</f>
        <v>大江基因醫學股份有限公司</v>
      </c>
    </row>
    <row r="241" spans="1:5" ht="15" customHeight="1">
      <c r="A241" s="121" t="str">
        <f t="shared" ca="1" si="1"/>
        <v/>
      </c>
      <c r="B241" t="str">
        <f t="shared" ca="1" si="2"/>
        <v/>
      </c>
      <c r="C241" s="206" t="str">
        <f ca="1">IFERROR(__xludf.DUMMYFUNCTION("""COMPUTED_VALUE"""),"AA001830")</f>
        <v>AA001830</v>
      </c>
      <c r="D241" t="str">
        <f ca="1">IFERROR(__xludf.DUMMYFUNCTION("""COMPUTED_VALUE"""),"")</f>
        <v/>
      </c>
      <c r="E241" s="206" t="str">
        <f ca="1">IFERROR(__xludf.DUMMYFUNCTION("""COMPUTED_VALUE"""),"阮幸本")</f>
        <v>阮幸本</v>
      </c>
    </row>
    <row r="242" spans="1:5" ht="15" customHeight="1">
      <c r="A242" s="121" t="str">
        <f t="shared" ca="1" si="1"/>
        <v/>
      </c>
      <c r="B242" t="str">
        <f t="shared" ca="1" si="2"/>
        <v/>
      </c>
      <c r="C242" s="206" t="str">
        <f ca="1">IFERROR(__xludf.DUMMYFUNCTION("""COMPUTED_VALUE"""),"AB001262")</f>
        <v>AB001262</v>
      </c>
      <c r="D242" t="str">
        <f ca="1">IFERROR(__xludf.DUMMYFUNCTION("""COMPUTED_VALUE"""),"")</f>
        <v/>
      </c>
      <c r="E242" s="206" t="str">
        <f ca="1">IFERROR(__xludf.DUMMYFUNCTION("""COMPUTED_VALUE"""),"百岳特生物技術")</f>
        <v>百岳特生物技術</v>
      </c>
    </row>
    <row r="243" spans="1:5" ht="15" customHeight="1">
      <c r="A243" s="121" t="str">
        <f t="shared" ca="1" si="1"/>
        <v/>
      </c>
      <c r="B243" t="str">
        <f t="shared" ca="1" si="2"/>
        <v/>
      </c>
      <c r="C243" s="206" t="str">
        <f ca="1">IFERROR(__xludf.DUMMYFUNCTION("""COMPUTED_VALUE"""),"AA001956")</f>
        <v>AA001956</v>
      </c>
      <c r="D243" t="str">
        <f ca="1">IFERROR(__xludf.DUMMYFUNCTION("""COMPUTED_VALUE"""),"")</f>
        <v/>
      </c>
      <c r="E243" s="206" t="str">
        <f ca="1">IFERROR(__xludf.DUMMYFUNCTION("""COMPUTED_VALUE"""),"福爾摩沙醫院管理顧問有限公司")</f>
        <v>福爾摩沙醫院管理顧問有限公司</v>
      </c>
    </row>
    <row r="244" spans="1:5" ht="15" customHeight="1">
      <c r="A244" s="121" t="str">
        <f t="shared" ca="1" si="1"/>
        <v/>
      </c>
      <c r="B244" t="str">
        <f t="shared" ca="1" si="2"/>
        <v/>
      </c>
      <c r="C244" s="206" t="str">
        <f ca="1">IFERROR(__xludf.DUMMYFUNCTION("""COMPUTED_VALUE"""),"AA001838")</f>
        <v>AA001838</v>
      </c>
      <c r="D244" t="str">
        <f ca="1">IFERROR(__xludf.DUMMYFUNCTION("""COMPUTED_VALUE"""),"")</f>
        <v/>
      </c>
      <c r="E244" s="206" t="str">
        <f ca="1">IFERROR(__xludf.DUMMYFUNCTION("""COMPUTED_VALUE"""),"陳家誼")</f>
        <v>陳家誼</v>
      </c>
    </row>
    <row r="245" spans="1:5" ht="15" customHeight="1">
      <c r="A245" s="121" t="str">
        <f t="shared" ca="1" si="1"/>
        <v/>
      </c>
      <c r="B245" t="str">
        <f t="shared" ca="1" si="2"/>
        <v/>
      </c>
      <c r="C245" s="206" t="str">
        <f ca="1">IFERROR(__xludf.DUMMYFUNCTION("""COMPUTED_VALUE"""),"AA001833")</f>
        <v>AA001833</v>
      </c>
      <c r="D245" t="str">
        <f ca="1">IFERROR(__xludf.DUMMYFUNCTION("""COMPUTED_VALUE"""),"")</f>
        <v/>
      </c>
      <c r="E245" s="206" t="str">
        <f ca="1">IFERROR(__xludf.DUMMYFUNCTION("""COMPUTED_VALUE"""),"謝官俸")</f>
        <v>謝官俸</v>
      </c>
    </row>
    <row r="246" spans="1:5" ht="15" customHeight="1">
      <c r="A246" s="121" t="str">
        <f t="shared" ca="1" si="1"/>
        <v/>
      </c>
      <c r="B246" t="str">
        <f t="shared" ca="1" si="2"/>
        <v/>
      </c>
      <c r="C246" s="206" t="str">
        <f ca="1">IFERROR(__xludf.DUMMYFUNCTION("""COMPUTED_VALUE"""),"AA001973")</f>
        <v>AA001973</v>
      </c>
      <c r="D246" t="str">
        <f ca="1">IFERROR(__xludf.DUMMYFUNCTION("""COMPUTED_VALUE"""),"")</f>
        <v/>
      </c>
      <c r="E246" s="206" t="str">
        <f ca="1">IFERROR(__xludf.DUMMYFUNCTION("""COMPUTED_VALUE"""),"曾建堯")</f>
        <v>曾建堯</v>
      </c>
    </row>
    <row r="247" spans="1:5" ht="15" customHeight="1">
      <c r="A247" s="121" t="str">
        <f t="shared" ca="1" si="1"/>
        <v/>
      </c>
      <c r="B247" t="str">
        <f t="shared" ca="1" si="2"/>
        <v/>
      </c>
      <c r="C247" s="206" t="str">
        <f ca="1">IFERROR(__xludf.DUMMYFUNCTION("""COMPUTED_VALUE"""),"AA001963")</f>
        <v>AA001963</v>
      </c>
      <c r="D247" t="str">
        <f ca="1">IFERROR(__xludf.DUMMYFUNCTION("""COMPUTED_VALUE"""),"")</f>
        <v/>
      </c>
      <c r="E247" s="206" t="str">
        <f ca="1">IFERROR(__xludf.DUMMYFUNCTION("""COMPUTED_VALUE"""),"林素菁")</f>
        <v>林素菁</v>
      </c>
    </row>
    <row r="248" spans="1:5" ht="15" customHeight="1">
      <c r="A248" s="121" t="str">
        <f t="shared" ca="1" si="1"/>
        <v/>
      </c>
      <c r="B248" t="str">
        <f t="shared" ca="1" si="2"/>
        <v/>
      </c>
      <c r="C248" s="206" t="str">
        <f ca="1">IFERROR(__xludf.DUMMYFUNCTION("""COMPUTED_VALUE"""),"AA001967")</f>
        <v>AA001967</v>
      </c>
      <c r="D248" t="str">
        <f ca="1">IFERROR(__xludf.DUMMYFUNCTION("""COMPUTED_VALUE"""),"")</f>
        <v/>
      </c>
      <c r="E248" s="206" t="str">
        <f ca="1">IFERROR(__xludf.DUMMYFUNCTION("""COMPUTED_VALUE"""),"林秀娟")</f>
        <v>林秀娟</v>
      </c>
    </row>
    <row r="249" spans="1:5" ht="15" customHeight="1">
      <c r="A249" s="121" t="str">
        <f t="shared" ca="1" si="1"/>
        <v/>
      </c>
      <c r="B249" t="str">
        <f t="shared" ca="1" si="2"/>
        <v/>
      </c>
      <c r="C249" s="206" t="str">
        <f ca="1">IFERROR(__xludf.DUMMYFUNCTION("""COMPUTED_VALUE"""),"AA001967")</f>
        <v>AA001967</v>
      </c>
      <c r="D249" t="str">
        <f ca="1">IFERROR(__xludf.DUMMYFUNCTION("""COMPUTED_VALUE"""),"")</f>
        <v/>
      </c>
      <c r="E249" s="206" t="str">
        <f ca="1">IFERROR(__xludf.DUMMYFUNCTION("""COMPUTED_VALUE"""),"林秀娟")</f>
        <v>林秀娟</v>
      </c>
    </row>
    <row r="250" spans="1:5" ht="15" customHeight="1">
      <c r="A250" s="121" t="str">
        <f t="shared" ca="1" si="1"/>
        <v/>
      </c>
      <c r="B250" t="str">
        <f t="shared" ca="1" si="2"/>
        <v/>
      </c>
      <c r="C250" s="206" t="str">
        <f ca="1">IFERROR(__xludf.DUMMYFUNCTION("""COMPUTED_VALUE"""),"AA001967")</f>
        <v>AA001967</v>
      </c>
      <c r="D250" t="str">
        <f ca="1">IFERROR(__xludf.DUMMYFUNCTION("""COMPUTED_VALUE"""),"")</f>
        <v/>
      </c>
      <c r="E250" s="206" t="str">
        <f ca="1">IFERROR(__xludf.DUMMYFUNCTION("""COMPUTED_VALUE"""),"林秀娟")</f>
        <v>林秀娟</v>
      </c>
    </row>
    <row r="251" spans="1:5" ht="15" customHeight="1">
      <c r="A251" s="121" t="str">
        <f t="shared" ca="1" si="1"/>
        <v/>
      </c>
      <c r="B251" t="str">
        <f t="shared" ca="1" si="2"/>
        <v/>
      </c>
      <c r="C251" s="206" t="str">
        <f ca="1">IFERROR(__xludf.DUMMYFUNCTION("""COMPUTED_VALUE"""),"AA001972")</f>
        <v>AA001972</v>
      </c>
      <c r="D251" t="str">
        <f ca="1">IFERROR(__xludf.DUMMYFUNCTION("""COMPUTED_VALUE"""),"")</f>
        <v/>
      </c>
      <c r="E251" s="205" t="str">
        <f ca="1">IFERROR(__xludf.DUMMYFUNCTION("""COMPUTED_VALUE"""),"大江生醫股份有限公司")</f>
        <v>大江生醫股份有限公司</v>
      </c>
    </row>
    <row r="252" spans="1:5" ht="15" customHeight="1">
      <c r="A252" s="121" t="str">
        <f t="shared" ca="1" si="1"/>
        <v/>
      </c>
      <c r="B252" t="str">
        <f t="shared" ca="1" si="2"/>
        <v/>
      </c>
      <c r="C252" s="206" t="str">
        <f ca="1">IFERROR(__xludf.DUMMYFUNCTION("""COMPUTED_VALUE"""),"AA001972")</f>
        <v>AA001972</v>
      </c>
      <c r="D252" t="str">
        <f ca="1">IFERROR(__xludf.DUMMYFUNCTION("""COMPUTED_VALUE"""),"")</f>
        <v/>
      </c>
      <c r="E252" s="205" t="str">
        <f ca="1">IFERROR(__xludf.DUMMYFUNCTION("""COMPUTED_VALUE"""),"大江生醫股份有限公司")</f>
        <v>大江生醫股份有限公司</v>
      </c>
    </row>
    <row r="253" spans="1:5" ht="15" customHeight="1">
      <c r="A253" s="121" t="str">
        <f t="shared" ca="1" si="1"/>
        <v/>
      </c>
      <c r="B253" t="str">
        <f t="shared" ca="1" si="2"/>
        <v/>
      </c>
      <c r="C253" s="206" t="str">
        <f ca="1">IFERROR(__xludf.DUMMYFUNCTION("""COMPUTED_VALUE"""),"AA001841")</f>
        <v>AA001841</v>
      </c>
      <c r="D253" t="str">
        <f ca="1">IFERROR(__xludf.DUMMYFUNCTION("""COMPUTED_VALUE"""),"")</f>
        <v/>
      </c>
      <c r="E253" s="205" t="str">
        <f ca="1">IFERROR(__xludf.DUMMYFUNCTION("""COMPUTED_VALUE"""),"黃詩茜")</f>
        <v>黃詩茜</v>
      </c>
    </row>
    <row r="254" spans="1:5" ht="15" customHeight="1">
      <c r="A254" s="121" t="str">
        <f t="shared" ca="1" si="1"/>
        <v/>
      </c>
      <c r="B254" t="str">
        <f t="shared" ca="1" si="2"/>
        <v/>
      </c>
      <c r="C254" s="206" t="str">
        <f ca="1">IFERROR(__xludf.DUMMYFUNCTION("""COMPUTED_VALUE"""),"AA001989")</f>
        <v>AA001989</v>
      </c>
      <c r="D254" t="str">
        <f ca="1">IFERROR(__xludf.DUMMYFUNCTION("""COMPUTED_VALUE"""),"")</f>
        <v/>
      </c>
      <c r="E254" s="205" t="str">
        <f ca="1">IFERROR(__xludf.DUMMYFUNCTION("""COMPUTED_VALUE"""),"高維屏")</f>
        <v>高維屏</v>
      </c>
    </row>
    <row r="255" spans="1:5" ht="15" customHeight="1">
      <c r="A255" s="121" t="str">
        <f t="shared" ca="1" si="1"/>
        <v/>
      </c>
      <c r="B255" t="str">
        <f t="shared" ca="1" si="2"/>
        <v/>
      </c>
      <c r="C255" s="206" t="str">
        <f ca="1">IFERROR(__xludf.DUMMYFUNCTION("""COMPUTED_VALUE"""),"AA001994")</f>
        <v>AA001994</v>
      </c>
      <c r="D255" t="str">
        <f ca="1">IFERROR(__xludf.DUMMYFUNCTION("""COMPUTED_VALUE"""),"")</f>
        <v/>
      </c>
      <c r="E255" s="205" t="str">
        <f ca="1">IFERROR(__xludf.DUMMYFUNCTION("""COMPUTED_VALUE"""),"劉哲瑄")</f>
        <v>劉哲瑄</v>
      </c>
    </row>
    <row r="256" spans="1:5" ht="15" customHeight="1">
      <c r="A256" s="121" t="str">
        <f t="shared" ca="1" si="1"/>
        <v/>
      </c>
      <c r="B256" t="str">
        <f t="shared" ca="1" si="2"/>
        <v/>
      </c>
      <c r="C256" s="206" t="str">
        <f ca="1">IFERROR(__xludf.DUMMYFUNCTION("""COMPUTED_VALUE"""),"AA001994")</f>
        <v>AA001994</v>
      </c>
      <c r="D256" t="str">
        <f ca="1">IFERROR(__xludf.DUMMYFUNCTION("""COMPUTED_VALUE"""),"")</f>
        <v/>
      </c>
      <c r="E256" s="205" t="str">
        <f ca="1">IFERROR(__xludf.DUMMYFUNCTION("""COMPUTED_VALUE"""),"劉哲瑄")</f>
        <v>劉哲瑄</v>
      </c>
    </row>
    <row r="257" spans="1:5" ht="15" customHeight="1">
      <c r="A257" s="121" t="str">
        <f t="shared" ca="1" si="1"/>
        <v/>
      </c>
      <c r="B257" t="str">
        <f t="shared" ca="1" si="2"/>
        <v/>
      </c>
      <c r="C257" s="206" t="str">
        <f ca="1">IFERROR(__xludf.DUMMYFUNCTION("""COMPUTED_VALUE"""),"AA001991")</f>
        <v>AA001991</v>
      </c>
      <c r="D257" t="str">
        <f ca="1">IFERROR(__xludf.DUMMYFUNCTION("""COMPUTED_VALUE"""),"")</f>
        <v/>
      </c>
      <c r="E257" s="205" t="str">
        <f ca="1">IFERROR(__xludf.DUMMYFUNCTION("""COMPUTED_VALUE"""),"呂雪米")</f>
        <v>呂雪米</v>
      </c>
    </row>
    <row r="258" spans="1:5" ht="15" customHeight="1">
      <c r="A258" s="121" t="str">
        <f t="shared" ca="1" si="1"/>
        <v/>
      </c>
      <c r="B258" t="str">
        <f t="shared" ca="1" si="2"/>
        <v/>
      </c>
      <c r="C258" s="206" t="str">
        <f ca="1">IFERROR(__xludf.DUMMYFUNCTION("""COMPUTED_VALUE"""),"AA001995")</f>
        <v>AA001995</v>
      </c>
      <c r="D258" t="str">
        <f ca="1">IFERROR(__xludf.DUMMYFUNCTION("""COMPUTED_VALUE"""),"")</f>
        <v/>
      </c>
      <c r="E258" s="205" t="str">
        <f ca="1">IFERROR(__xludf.DUMMYFUNCTION("""COMPUTED_VALUE"""),"林庭卉")</f>
        <v>林庭卉</v>
      </c>
    </row>
    <row r="259" spans="1:5" ht="15" customHeight="1">
      <c r="A259" s="121" t="str">
        <f t="shared" ca="1" si="1"/>
        <v/>
      </c>
      <c r="B259" t="str">
        <f t="shared" ca="1" si="2"/>
        <v/>
      </c>
      <c r="C259" s="206" t="str">
        <f ca="1">IFERROR(__xludf.DUMMYFUNCTION("""COMPUTED_VALUE"""),"AA001996")</f>
        <v>AA001996</v>
      </c>
      <c r="D259" t="str">
        <f ca="1">IFERROR(__xludf.DUMMYFUNCTION("""COMPUTED_VALUE"""),"")</f>
        <v/>
      </c>
      <c r="E259" s="205" t="str">
        <f ca="1">IFERROR(__xludf.DUMMYFUNCTION("""COMPUTED_VALUE"""),"周娟")</f>
        <v>周娟</v>
      </c>
    </row>
    <row r="260" spans="1:5" ht="15" customHeight="1">
      <c r="A260" s="121" t="str">
        <f t="shared" ca="1" si="1"/>
        <v/>
      </c>
      <c r="B260" t="str">
        <f t="shared" ca="1" si="2"/>
        <v/>
      </c>
      <c r="C260" s="206" t="str">
        <f ca="1">IFERROR(__xludf.DUMMYFUNCTION("""COMPUTED_VALUE"""),"AA001996")</f>
        <v>AA001996</v>
      </c>
      <c r="D260" t="str">
        <f ca="1">IFERROR(__xludf.DUMMYFUNCTION("""COMPUTED_VALUE"""),"")</f>
        <v/>
      </c>
      <c r="E260" s="205" t="str">
        <f ca="1">IFERROR(__xludf.DUMMYFUNCTION("""COMPUTED_VALUE"""),"周娟")</f>
        <v>周娟</v>
      </c>
    </row>
    <row r="261" spans="1:5" ht="15" customHeight="1">
      <c r="A261" s="121" t="str">
        <f t="shared" ca="1" si="1"/>
        <v/>
      </c>
      <c r="B261" t="str">
        <f t="shared" ca="1" si="2"/>
        <v/>
      </c>
      <c r="C261" s="206" t="str">
        <f ca="1">IFERROR(__xludf.DUMMYFUNCTION("""COMPUTED_VALUE"""),"AA001997")</f>
        <v>AA001997</v>
      </c>
      <c r="D261" t="str">
        <f ca="1">IFERROR(__xludf.DUMMYFUNCTION("""COMPUTED_VALUE"""),"")</f>
        <v/>
      </c>
      <c r="E261" s="205" t="str">
        <f ca="1">IFERROR(__xludf.DUMMYFUNCTION("""COMPUTED_VALUE"""),"施盈如")</f>
        <v>施盈如</v>
      </c>
    </row>
    <row r="262" spans="1:5" ht="15" customHeight="1">
      <c r="A262" s="121" t="str">
        <f t="shared" ca="1" si="1"/>
        <v/>
      </c>
      <c r="B262" t="str">
        <f t="shared" ca="1" si="2"/>
        <v/>
      </c>
      <c r="C262" s="206" t="str">
        <f ca="1">IFERROR(__xludf.DUMMYFUNCTION("""COMPUTED_VALUE"""),"AA001993")</f>
        <v>AA001993</v>
      </c>
      <c r="D262" t="str">
        <f ca="1">IFERROR(__xludf.DUMMYFUNCTION("""COMPUTED_VALUE"""),"")</f>
        <v/>
      </c>
      <c r="E262" s="205" t="str">
        <f ca="1">IFERROR(__xludf.DUMMYFUNCTION("""COMPUTED_VALUE"""),"福爾摩沙醫院管理顧問有限公司")</f>
        <v>福爾摩沙醫院管理顧問有限公司</v>
      </c>
    </row>
    <row r="263" spans="1:5" ht="15" customHeight="1">
      <c r="A263" s="121" t="str">
        <f t="shared" ca="1" si="1"/>
        <v/>
      </c>
      <c r="B263" t="str">
        <f t="shared" ca="1" si="2"/>
        <v/>
      </c>
      <c r="C263" s="206" t="str">
        <f ca="1">IFERROR(__xludf.DUMMYFUNCTION("""COMPUTED_VALUE"""),"AA001849")</f>
        <v>AA001849</v>
      </c>
      <c r="D263" t="str">
        <f ca="1">IFERROR(__xludf.DUMMYFUNCTION("""COMPUTED_VALUE"""),"")</f>
        <v/>
      </c>
      <c r="E263" s="205" t="str">
        <f ca="1">IFERROR(__xludf.DUMMYFUNCTION("""COMPUTED_VALUE"""),"黃湘瑜")</f>
        <v>黃湘瑜</v>
      </c>
    </row>
    <row r="264" spans="1:5" ht="15" customHeight="1">
      <c r="A264" s="121" t="str">
        <f t="shared" ca="1" si="1"/>
        <v/>
      </c>
      <c r="B264" t="str">
        <f t="shared" ca="1" si="2"/>
        <v/>
      </c>
      <c r="C264" s="206" t="str">
        <f ca="1">IFERROR(__xludf.DUMMYFUNCTION("""COMPUTED_VALUE"""),"AA030507")</f>
        <v>AA030507</v>
      </c>
      <c r="D264" t="str">
        <f ca="1">IFERROR(__xludf.DUMMYFUNCTION("""COMPUTED_VALUE"""),"")</f>
        <v/>
      </c>
      <c r="E264" s="205" t="str">
        <f ca="1">IFERROR(__xludf.DUMMYFUNCTION("""COMPUTED_VALUE"""),"蔣柳霞")</f>
        <v>蔣柳霞</v>
      </c>
    </row>
    <row r="265" spans="1:5" ht="15" customHeight="1">
      <c r="A265" s="121" t="str">
        <f t="shared" ca="1" si="1"/>
        <v/>
      </c>
      <c r="B265" t="str">
        <f t="shared" ca="1" si="2"/>
        <v/>
      </c>
      <c r="C265" s="206" t="str">
        <f ca="1">IFERROR(__xludf.DUMMYFUNCTION("""COMPUTED_VALUE"""),"AA0305")</f>
        <v>AA0305</v>
      </c>
      <c r="D265" t="str">
        <f ca="1">IFERROR(__xludf.DUMMYFUNCTION("""COMPUTED_VALUE"""),"")</f>
        <v/>
      </c>
      <c r="E265" s="205" t="str">
        <f ca="1">IFERROR(__xludf.DUMMYFUNCTION("""COMPUTED_VALUE"""),"邱振乾")</f>
        <v>邱振乾</v>
      </c>
    </row>
    <row r="266" spans="1:5" ht="15" customHeight="1">
      <c r="A266" s="121" t="str">
        <f t="shared" ca="1" si="1"/>
        <v/>
      </c>
      <c r="B266" t="str">
        <f t="shared" ca="1" si="2"/>
        <v/>
      </c>
      <c r="C266" s="206" t="str">
        <f ca="1">IFERROR(__xludf.DUMMYFUNCTION("""COMPUTED_VALUE"""),"AA030503")</f>
        <v>AA030503</v>
      </c>
      <c r="D266" t="str">
        <f ca="1">IFERROR(__xludf.DUMMYFUNCTION("""COMPUTED_VALUE"""),"")</f>
        <v/>
      </c>
      <c r="E266" s="205" t="str">
        <f ca="1">IFERROR(__xludf.DUMMYFUNCTION("""COMPUTED_VALUE"""),"楊德勝")</f>
        <v>楊德勝</v>
      </c>
    </row>
    <row r="267" spans="1:5" ht="15" customHeight="1">
      <c r="A267" s="121" t="str">
        <f t="shared" ca="1" si="1"/>
        <v/>
      </c>
      <c r="B267" t="str">
        <f t="shared" ca="1" si="2"/>
        <v/>
      </c>
      <c r="C267" s="206" t="str">
        <f ca="1">IFERROR(__xludf.DUMMYFUNCTION("""COMPUTED_VALUE"""),"AA030504")</f>
        <v>AA030504</v>
      </c>
      <c r="D267" t="str">
        <f ca="1">IFERROR(__xludf.DUMMYFUNCTION("""COMPUTED_VALUE"""),"")</f>
        <v/>
      </c>
      <c r="E267" s="206" t="str">
        <f ca="1">IFERROR(__xludf.DUMMYFUNCTION("""COMPUTED_VALUE"""),"Vincent、張水玉、林和順")</f>
        <v>Vincent、張水玉、林和順</v>
      </c>
    </row>
    <row r="268" spans="1:5" ht="15" customHeight="1">
      <c r="A268" s="121" t="str">
        <f t="shared" ca="1" si="1"/>
        <v/>
      </c>
      <c r="B268" t="str">
        <f t="shared" ca="1" si="2"/>
        <v/>
      </c>
      <c r="C268" s="206" t="str">
        <f ca="1">IFERROR(__xludf.DUMMYFUNCTION("""COMPUTED_VALUE"""),"AA030504")</f>
        <v>AA030504</v>
      </c>
      <c r="D268" t="str">
        <f ca="1">IFERROR(__xludf.DUMMYFUNCTION("""COMPUTED_VALUE"""),"")</f>
        <v/>
      </c>
      <c r="E268" s="206" t="str">
        <f ca="1">IFERROR(__xludf.DUMMYFUNCTION("""COMPUTED_VALUE"""),"Vincent、張水玉、林和順")</f>
        <v>Vincent、張水玉、林和順</v>
      </c>
    </row>
    <row r="269" spans="1:5" ht="15" customHeight="1">
      <c r="A269" s="121" t="str">
        <f t="shared" ca="1" si="1"/>
        <v/>
      </c>
      <c r="B269" t="str">
        <f t="shared" ca="1" si="2"/>
        <v/>
      </c>
      <c r="C269" s="206" t="str">
        <f ca="1">IFERROR(__xludf.DUMMYFUNCTION("""COMPUTED_VALUE"""),"AA030504")</f>
        <v>AA030504</v>
      </c>
      <c r="D269" t="str">
        <f ca="1">IFERROR(__xludf.DUMMYFUNCTION("""COMPUTED_VALUE"""),"")</f>
        <v/>
      </c>
      <c r="E269" s="206" t="str">
        <f ca="1">IFERROR(__xludf.DUMMYFUNCTION("""COMPUTED_VALUE"""),"Vincent、張水玉、林和順")</f>
        <v>Vincent、張水玉、林和順</v>
      </c>
    </row>
    <row r="270" spans="1:5" ht="15" customHeight="1">
      <c r="A270" s="121" t="str">
        <f t="shared" ca="1" si="1"/>
        <v/>
      </c>
      <c r="B270" t="str">
        <f t="shared" ca="1" si="2"/>
        <v/>
      </c>
      <c r="C270" s="206" t="str">
        <f ca="1">IFERROR(__xludf.DUMMYFUNCTION("""COMPUTED_VALUE"""),"AA030504")</f>
        <v>AA030504</v>
      </c>
      <c r="D270" t="str">
        <f ca="1">IFERROR(__xludf.DUMMYFUNCTION("""COMPUTED_VALUE"""),"")</f>
        <v/>
      </c>
      <c r="E270" s="206" t="str">
        <f ca="1">IFERROR(__xludf.DUMMYFUNCTION("""COMPUTED_VALUE"""),"Vincent、張水玉、林和順")</f>
        <v>Vincent、張水玉、林和順</v>
      </c>
    </row>
    <row r="271" spans="1:5" ht="15" customHeight="1">
      <c r="A271" s="121" t="str">
        <f t="shared" ca="1" si="1"/>
        <v/>
      </c>
      <c r="B271" t="str">
        <f t="shared" ca="1" si="2"/>
        <v/>
      </c>
      <c r="C271" s="206" t="str">
        <f ca="1">IFERROR(__xludf.DUMMYFUNCTION("""COMPUTED_VALUE"""),"AA030505")</f>
        <v>AA030505</v>
      </c>
      <c r="D271" t="str">
        <f ca="1">IFERROR(__xludf.DUMMYFUNCTION("""COMPUTED_VALUE"""),"")</f>
        <v/>
      </c>
      <c r="E271" s="206" t="str">
        <f ca="1">IFERROR(__xludf.DUMMYFUNCTION("""COMPUTED_VALUE"""),"Athenia")</f>
        <v>Athenia</v>
      </c>
    </row>
    <row r="272" spans="1:5" ht="15" customHeight="1">
      <c r="A272" s="121" t="str">
        <f t="shared" ca="1" si="1"/>
        <v/>
      </c>
      <c r="B272" t="str">
        <f t="shared" ca="1" si="2"/>
        <v/>
      </c>
      <c r="C272" s="206" t="str">
        <f ca="1">IFERROR(__xludf.DUMMYFUNCTION("""COMPUTED_VALUE"""),"AA030506")</f>
        <v>AA030506</v>
      </c>
      <c r="D272" t="str">
        <f ca="1">IFERROR(__xludf.DUMMYFUNCTION("""COMPUTED_VALUE"""),"")</f>
        <v/>
      </c>
      <c r="E272" s="206" t="str">
        <f ca="1">IFERROR(__xludf.DUMMYFUNCTION("""COMPUTED_VALUE"""),"Karen/林筱恬")</f>
        <v>Karen/林筱恬</v>
      </c>
    </row>
    <row r="273" spans="1:5" ht="15" customHeight="1">
      <c r="A273" s="121" t="str">
        <f t="shared" ca="1" si="1"/>
        <v/>
      </c>
      <c r="B273" t="str">
        <f t="shared" ca="1" si="2"/>
        <v/>
      </c>
      <c r="C273" s="206" t="str">
        <f ca="1">IFERROR(__xludf.DUMMYFUNCTION("""COMPUTED_VALUE"""),"AA030506")</f>
        <v>AA030506</v>
      </c>
      <c r="D273" t="str">
        <f ca="1">IFERROR(__xludf.DUMMYFUNCTION("""COMPUTED_VALUE"""),"")</f>
        <v/>
      </c>
      <c r="E273" s="206" t="str">
        <f ca="1">IFERROR(__xludf.DUMMYFUNCTION("""COMPUTED_VALUE"""),"Karen/林筱恬")</f>
        <v>Karen/林筱恬</v>
      </c>
    </row>
    <row r="274" spans="1:5" ht="15" customHeight="1">
      <c r="A274" s="121" t="str">
        <f t="shared" ca="1" si="1"/>
        <v/>
      </c>
      <c r="B274" t="str">
        <f t="shared" ca="1" si="2"/>
        <v/>
      </c>
      <c r="C274" s="206" t="str">
        <f ca="1">IFERROR(__xludf.DUMMYFUNCTION("""COMPUTED_VALUE"""),"AA030511")</f>
        <v>AA030511</v>
      </c>
      <c r="D274" t="str">
        <f ca="1">IFERROR(__xludf.DUMMYFUNCTION("""COMPUTED_VALUE"""),"")</f>
        <v/>
      </c>
      <c r="E274" t="str">
        <f ca="1">IFERROR(__xludf.DUMMYFUNCTION("""COMPUTED_VALUE"""),"大江生醫職工福利委員會")</f>
        <v>大江生醫職工福利委員會</v>
      </c>
    </row>
    <row r="275" spans="1:5" ht="15" customHeight="1">
      <c r="A275" s="121" t="str">
        <f t="shared" ca="1" si="1"/>
        <v/>
      </c>
      <c r="B275" t="str">
        <f t="shared" ca="1" si="2"/>
        <v/>
      </c>
      <c r="C275" s="206" t="str">
        <f ca="1">IFERROR(__xludf.DUMMYFUNCTION("""COMPUTED_VALUE"""),"AA030511")</f>
        <v>AA030511</v>
      </c>
      <c r="D275" t="str">
        <f ca="1">IFERROR(__xludf.DUMMYFUNCTION("""COMPUTED_VALUE"""),"")</f>
        <v/>
      </c>
      <c r="E275" t="str">
        <f ca="1">IFERROR(__xludf.DUMMYFUNCTION("""COMPUTED_VALUE"""),"大江生醫職工福利委員會")</f>
        <v>大江生醫職工福利委員會</v>
      </c>
    </row>
    <row r="276" spans="1:5" ht="15" customHeight="1">
      <c r="A276" s="121" t="str">
        <f t="shared" ca="1" si="1"/>
        <v/>
      </c>
      <c r="B276" t="str">
        <f t="shared" ca="1" si="2"/>
        <v/>
      </c>
      <c r="C276" s="206" t="str">
        <f ca="1">IFERROR(__xludf.DUMMYFUNCTION("""COMPUTED_VALUE"""),"AA030511")</f>
        <v>AA030511</v>
      </c>
      <c r="D276" t="str">
        <f ca="1">IFERROR(__xludf.DUMMYFUNCTION("""COMPUTED_VALUE"""),"")</f>
        <v/>
      </c>
      <c r="E276" t="str">
        <f ca="1">IFERROR(__xludf.DUMMYFUNCTION("""COMPUTED_VALUE"""),"大江生醫職工福利委員會")</f>
        <v>大江生醫職工福利委員會</v>
      </c>
    </row>
    <row r="277" spans="1:5" ht="15" customHeight="1">
      <c r="A277" s="121" t="str">
        <f t="shared" ca="1" si="1"/>
        <v/>
      </c>
      <c r="B277" t="str">
        <f t="shared" ca="1" si="2"/>
        <v/>
      </c>
      <c r="C277" s="206" t="str">
        <f ca="1">IFERROR(__xludf.DUMMYFUNCTION("""COMPUTED_VALUE"""),"AA030511")</f>
        <v>AA030511</v>
      </c>
      <c r="D277" t="str">
        <f ca="1">IFERROR(__xludf.DUMMYFUNCTION("""COMPUTED_VALUE"""),"")</f>
        <v/>
      </c>
      <c r="E277" t="str">
        <f ca="1">IFERROR(__xludf.DUMMYFUNCTION("""COMPUTED_VALUE"""),"大江生醫職工福利委員會")</f>
        <v>大江生醫職工福利委員會</v>
      </c>
    </row>
    <row r="278" spans="1:5" ht="15" customHeight="1">
      <c r="A278" s="121" t="str">
        <f t="shared" ca="1" si="1"/>
        <v/>
      </c>
      <c r="B278" t="str">
        <f t="shared" ca="1" si="2"/>
        <v/>
      </c>
      <c r="C278" s="206" t="str">
        <f ca="1">IFERROR(__xludf.DUMMYFUNCTION("""COMPUTED_VALUE"""),"AA030511")</f>
        <v>AA030511</v>
      </c>
      <c r="D278" t="str">
        <f ca="1">IFERROR(__xludf.DUMMYFUNCTION("""COMPUTED_VALUE"""),"")</f>
        <v/>
      </c>
      <c r="E278" t="str">
        <f ca="1">IFERROR(__xludf.DUMMYFUNCTION("""COMPUTED_VALUE"""),"大江生醫職工福利委員會")</f>
        <v>大江生醫職工福利委員會</v>
      </c>
    </row>
    <row r="279" spans="1:5" ht="15" customHeight="1">
      <c r="A279" s="121" t="str">
        <f t="shared" ca="1" si="1"/>
        <v/>
      </c>
      <c r="B279" t="str">
        <f t="shared" ca="1" si="2"/>
        <v/>
      </c>
      <c r="C279" s="206" t="str">
        <f ca="1">IFERROR(__xludf.DUMMYFUNCTION("""COMPUTED_VALUE"""),"AA030511")</f>
        <v>AA030511</v>
      </c>
      <c r="D279" t="str">
        <f ca="1">IFERROR(__xludf.DUMMYFUNCTION("""COMPUTED_VALUE"""),"")</f>
        <v/>
      </c>
      <c r="E279" t="str">
        <f ca="1">IFERROR(__xludf.DUMMYFUNCTION("""COMPUTED_VALUE"""),"大江生醫股份有限公司")</f>
        <v>大江生醫股份有限公司</v>
      </c>
    </row>
    <row r="280" spans="1:5" ht="15" customHeight="1">
      <c r="A280" s="121" t="str">
        <f t="shared" ca="1" si="1"/>
        <v/>
      </c>
      <c r="B280" t="str">
        <f t="shared" ca="1" si="2"/>
        <v/>
      </c>
      <c r="C280" s="206" t="str">
        <f ca="1">IFERROR(__xludf.DUMMYFUNCTION("""COMPUTED_VALUE"""),"AA030511")</f>
        <v>AA030511</v>
      </c>
      <c r="D280" t="str">
        <f ca="1">IFERROR(__xludf.DUMMYFUNCTION("""COMPUTED_VALUE"""),"")</f>
        <v/>
      </c>
      <c r="E280" t="str">
        <f ca="1">IFERROR(__xludf.DUMMYFUNCTION("""COMPUTED_VALUE"""),"大江生醫股份有限公司")</f>
        <v>大江生醫股份有限公司</v>
      </c>
    </row>
    <row r="281" spans="1:5" ht="15" customHeight="1">
      <c r="A281" s="121" t="str">
        <f t="shared" ca="1" si="1"/>
        <v/>
      </c>
      <c r="B281" t="str">
        <f t="shared" ca="1" si="2"/>
        <v/>
      </c>
      <c r="C281" s="206" t="str">
        <f ca="1">IFERROR(__xludf.DUMMYFUNCTION("""COMPUTED_VALUE"""),"AA030511")</f>
        <v>AA030511</v>
      </c>
      <c r="D281" t="str">
        <f ca="1">IFERROR(__xludf.DUMMYFUNCTION("""COMPUTED_VALUE"""),"")</f>
        <v/>
      </c>
      <c r="E281" t="str">
        <f ca="1">IFERROR(__xludf.DUMMYFUNCTION("""COMPUTED_VALUE"""),"大江生醫職工福利委員會")</f>
        <v>大江生醫職工福利委員會</v>
      </c>
    </row>
    <row r="282" spans="1:5" ht="15" customHeight="1">
      <c r="A282" s="121" t="str">
        <f t="shared" ca="1" si="1"/>
        <v/>
      </c>
      <c r="B282" t="str">
        <f t="shared" ca="1" si="2"/>
        <v/>
      </c>
      <c r="C282" s="206" t="str">
        <f ca="1">IFERROR(__xludf.DUMMYFUNCTION("""COMPUTED_VALUE"""),"AA002000")</f>
        <v>AA002000</v>
      </c>
      <c r="D282" t="str">
        <f ca="1">IFERROR(__xludf.DUMMYFUNCTION("""COMPUTED_VALUE"""),"")</f>
        <v/>
      </c>
      <c r="E282" t="str">
        <f ca="1">IFERROR(__xludf.DUMMYFUNCTION("""COMPUTED_VALUE"""),"大江生醫職工福利委員會")</f>
        <v>大江生醫職工福利委員會</v>
      </c>
    </row>
    <row r="283" spans="1:5" ht="15" customHeight="1">
      <c r="A283" s="121" t="str">
        <f t="shared" ca="1" si="1"/>
        <v/>
      </c>
      <c r="B283" t="str">
        <f t="shared" ca="1" si="2"/>
        <v/>
      </c>
      <c r="C283" s="206" t="str">
        <f ca="1">IFERROR(__xludf.DUMMYFUNCTION("""COMPUTED_VALUE"""),"AA002000")</f>
        <v>AA002000</v>
      </c>
      <c r="D283" t="str">
        <f ca="1">IFERROR(__xludf.DUMMYFUNCTION("""COMPUTED_VALUE"""),"")</f>
        <v/>
      </c>
      <c r="E283" t="str">
        <f ca="1">IFERROR(__xludf.DUMMYFUNCTION("""COMPUTED_VALUE"""),"大江生醫職工福利委員會")</f>
        <v>大江生醫職工福利委員會</v>
      </c>
    </row>
    <row r="284" spans="1:5" ht="15" customHeight="1">
      <c r="A284" s="121" t="str">
        <f t="shared" ca="1" si="1"/>
        <v/>
      </c>
      <c r="B284" t="str">
        <f t="shared" ca="1" si="2"/>
        <v/>
      </c>
      <c r="C284" s="206" t="str">
        <f ca="1">IFERROR(__xludf.DUMMYFUNCTION("""COMPUTED_VALUE"""),"AA002000")</f>
        <v>AA002000</v>
      </c>
      <c r="D284" t="str">
        <f ca="1">IFERROR(__xludf.DUMMYFUNCTION("""COMPUTED_VALUE"""),"")</f>
        <v/>
      </c>
      <c r="E284" t="str">
        <f ca="1">IFERROR(__xludf.DUMMYFUNCTION("""COMPUTED_VALUE"""),"大江生醫職工福利委員會")</f>
        <v>大江生醫職工福利委員會</v>
      </c>
    </row>
    <row r="285" spans="1:5" ht="15" customHeight="1">
      <c r="A285" s="121" t="str">
        <f t="shared" ca="1" si="1"/>
        <v/>
      </c>
      <c r="B285" t="str">
        <f t="shared" ca="1" si="2"/>
        <v/>
      </c>
      <c r="C285" s="206" t="str">
        <f ca="1">IFERROR(__xludf.DUMMYFUNCTION("""COMPUTED_VALUE"""),"AA002000")</f>
        <v>AA002000</v>
      </c>
      <c r="D285" t="str">
        <f ca="1">IFERROR(__xludf.DUMMYFUNCTION("""COMPUTED_VALUE"""),"")</f>
        <v/>
      </c>
      <c r="E285" t="str">
        <f ca="1">IFERROR(__xludf.DUMMYFUNCTION("""COMPUTED_VALUE"""),"大江生醫職工福利委員會")</f>
        <v>大江生醫職工福利委員會</v>
      </c>
    </row>
    <row r="286" spans="1:5" ht="15" customHeight="1">
      <c r="A286" s="121" t="str">
        <f t="shared" ca="1" si="1"/>
        <v/>
      </c>
      <c r="B286" t="str">
        <f t="shared" ca="1" si="2"/>
        <v/>
      </c>
      <c r="C286" s="206" t="str">
        <f ca="1">IFERROR(__xludf.DUMMYFUNCTION("""COMPUTED_VALUE"""),"AA002000")</f>
        <v>AA002000</v>
      </c>
      <c r="D286" t="str">
        <f ca="1">IFERROR(__xludf.DUMMYFUNCTION("""COMPUTED_VALUE"""),"")</f>
        <v/>
      </c>
      <c r="E286" t="str">
        <f ca="1">IFERROR(__xludf.DUMMYFUNCTION("""COMPUTED_VALUE"""),"大江生醫職工福利委員會")</f>
        <v>大江生醫職工福利委員會</v>
      </c>
    </row>
    <row r="287" spans="1:5" ht="15" customHeight="1">
      <c r="A287" s="121" t="str">
        <f t="shared" ca="1" si="1"/>
        <v/>
      </c>
      <c r="B287" t="str">
        <f t="shared" ca="1" si="2"/>
        <v/>
      </c>
      <c r="C287" s="206" t="str">
        <f ca="1">IFERROR(__xludf.DUMMYFUNCTION("""COMPUTED_VALUE"""),"AA002000")</f>
        <v>AA002000</v>
      </c>
      <c r="D287" t="str">
        <f ca="1">IFERROR(__xludf.DUMMYFUNCTION("""COMPUTED_VALUE"""),"")</f>
        <v/>
      </c>
      <c r="E287" t="str">
        <f ca="1">IFERROR(__xludf.DUMMYFUNCTION("""COMPUTED_VALUE"""),"大江生醫職工福利委員會")</f>
        <v>大江生醫職工福利委員會</v>
      </c>
    </row>
    <row r="288" spans="1:5" ht="15" customHeight="1">
      <c r="A288" s="121" t="str">
        <f t="shared" ca="1" si="1"/>
        <v/>
      </c>
      <c r="B288" t="str">
        <f t="shared" ca="1" si="2"/>
        <v/>
      </c>
      <c r="C288" s="206" t="str">
        <f ca="1">IFERROR(__xludf.DUMMYFUNCTION("""COMPUTED_VALUE"""),"AA002000")</f>
        <v>AA002000</v>
      </c>
      <c r="D288" t="str">
        <f ca="1">IFERROR(__xludf.DUMMYFUNCTION("""COMPUTED_VALUE"""),"")</f>
        <v/>
      </c>
      <c r="E288" t="str">
        <f ca="1">IFERROR(__xludf.DUMMYFUNCTION("""COMPUTED_VALUE"""),"大江生醫職工福利委員會")</f>
        <v>大江生醫職工福利委員會</v>
      </c>
    </row>
    <row r="289" spans="1:5" ht="15" customHeight="1">
      <c r="A289" s="121" t="str">
        <f t="shared" ca="1" si="1"/>
        <v/>
      </c>
      <c r="B289" t="str">
        <f t="shared" ca="1" si="2"/>
        <v/>
      </c>
      <c r="C289" s="206" t="str">
        <f ca="1">IFERROR(__xludf.DUMMYFUNCTION("""COMPUTED_VALUE"""),"AA002000")</f>
        <v>AA002000</v>
      </c>
      <c r="D289" t="str">
        <f ca="1">IFERROR(__xludf.DUMMYFUNCTION("""COMPUTED_VALUE"""),"")</f>
        <v/>
      </c>
      <c r="E289" t="str">
        <f ca="1">IFERROR(__xludf.DUMMYFUNCTION("""COMPUTED_VALUE"""),"大江生醫職工福利委員會")</f>
        <v>大江生醫職工福利委員會</v>
      </c>
    </row>
    <row r="290" spans="1:5" ht="15" customHeight="1">
      <c r="A290" s="121" t="str">
        <f t="shared" ca="1" si="1"/>
        <v/>
      </c>
      <c r="B290" t="str">
        <f t="shared" ca="1" si="2"/>
        <v/>
      </c>
      <c r="C290" s="206" t="str">
        <f ca="1">IFERROR(__xludf.DUMMYFUNCTION("""COMPUTED_VALUE"""),"AA030509")</f>
        <v>AA030509</v>
      </c>
      <c r="D290" t="str">
        <f ca="1">IFERROR(__xludf.DUMMYFUNCTION("""COMPUTED_VALUE"""),"")</f>
        <v/>
      </c>
      <c r="E290" s="205" t="str">
        <f ca="1">IFERROR(__xludf.DUMMYFUNCTION("""COMPUTED_VALUE"""),"王瑞霖")</f>
        <v>王瑞霖</v>
      </c>
    </row>
    <row r="291" spans="1:5" ht="15" customHeight="1">
      <c r="A291" s="121" t="str">
        <f t="shared" ca="1" si="1"/>
        <v/>
      </c>
      <c r="B291" t="str">
        <f t="shared" ca="1" si="2"/>
        <v/>
      </c>
      <c r="C291" s="206" t="str">
        <f ca="1">IFERROR(__xludf.DUMMYFUNCTION("""COMPUTED_VALUE"""),"AA030509")</f>
        <v>AA030509</v>
      </c>
      <c r="D291" t="str">
        <f ca="1">IFERROR(__xludf.DUMMYFUNCTION("""COMPUTED_VALUE"""),"")</f>
        <v/>
      </c>
      <c r="E291" s="205" t="str">
        <f ca="1">IFERROR(__xludf.DUMMYFUNCTION("""COMPUTED_VALUE"""),"王瑞霖")</f>
        <v>王瑞霖</v>
      </c>
    </row>
    <row r="292" spans="1:5" ht="15" customHeight="1">
      <c r="A292" s="121" t="str">
        <f t="shared" ca="1" si="1"/>
        <v/>
      </c>
      <c r="B292" t="str">
        <f t="shared" ca="1" si="2"/>
        <v/>
      </c>
      <c r="C292" s="206" t="str">
        <f ca="1">IFERROR(__xludf.DUMMYFUNCTION("""COMPUTED_VALUE"""),"AA030509")</f>
        <v>AA030509</v>
      </c>
      <c r="D292" t="str">
        <f ca="1">IFERROR(__xludf.DUMMYFUNCTION("""COMPUTED_VALUE"""),"")</f>
        <v/>
      </c>
      <c r="E292" s="205" t="str">
        <f ca="1">IFERROR(__xludf.DUMMYFUNCTION("""COMPUTED_VALUE"""),"王瑞霖")</f>
        <v>王瑞霖</v>
      </c>
    </row>
    <row r="293" spans="1:5" ht="15" customHeight="1">
      <c r="A293" s="121" t="str">
        <f t="shared" ca="1" si="1"/>
        <v/>
      </c>
      <c r="B293" t="str">
        <f t="shared" ca="1" si="2"/>
        <v/>
      </c>
      <c r="C293" s="206" t="str">
        <f ca="1">IFERROR(__xludf.DUMMYFUNCTION("""COMPUTED_VALUE"""),"AA030509")</f>
        <v>AA030509</v>
      </c>
      <c r="D293" t="str">
        <f ca="1">IFERROR(__xludf.DUMMYFUNCTION("""COMPUTED_VALUE"""),"")</f>
        <v/>
      </c>
      <c r="E293" s="205" t="str">
        <f ca="1">IFERROR(__xludf.DUMMYFUNCTION("""COMPUTED_VALUE"""),"王瑞霖")</f>
        <v>王瑞霖</v>
      </c>
    </row>
    <row r="294" spans="1:5" ht="15" customHeight="1">
      <c r="A294" s="121" t="str">
        <f t="shared" ca="1" si="1"/>
        <v/>
      </c>
      <c r="B294" t="str">
        <f t="shared" ca="1" si="2"/>
        <v/>
      </c>
      <c r="C294" s="206" t="str">
        <f ca="1">IFERROR(__xludf.DUMMYFUNCTION("""COMPUTED_VALUE"""),"AA030509")</f>
        <v>AA030509</v>
      </c>
      <c r="D294" t="str">
        <f ca="1">IFERROR(__xludf.DUMMYFUNCTION("""COMPUTED_VALUE"""),"")</f>
        <v/>
      </c>
      <c r="E294" s="205" t="str">
        <f ca="1">IFERROR(__xludf.DUMMYFUNCTION("""COMPUTED_VALUE"""),"王瑞霖")</f>
        <v>王瑞霖</v>
      </c>
    </row>
    <row r="295" spans="1:5" ht="15" customHeight="1">
      <c r="A295" s="121" t="str">
        <f t="shared" ca="1" si="1"/>
        <v/>
      </c>
      <c r="B295" t="str">
        <f t="shared" ca="1" si="2"/>
        <v/>
      </c>
      <c r="C295" s="206" t="str">
        <f ca="1">IFERROR(__xludf.DUMMYFUNCTION("""COMPUTED_VALUE"""),"AA030509")</f>
        <v>AA030509</v>
      </c>
      <c r="D295" t="str">
        <f ca="1">IFERROR(__xludf.DUMMYFUNCTION("""COMPUTED_VALUE"""),"")</f>
        <v/>
      </c>
      <c r="E295" s="205" t="str">
        <f ca="1">IFERROR(__xludf.DUMMYFUNCTION("""COMPUTED_VALUE"""),"王瑞霖")</f>
        <v>王瑞霖</v>
      </c>
    </row>
    <row r="296" spans="1:5" ht="15" customHeight="1">
      <c r="A296" s="121" t="str">
        <f t="shared" ca="1" si="1"/>
        <v/>
      </c>
      <c r="B296" t="str">
        <f t="shared" ca="1" si="2"/>
        <v/>
      </c>
      <c r="C296" s="206" t="str">
        <f ca="1">IFERROR(__xludf.DUMMYFUNCTION("""COMPUTED_VALUE"""),"AA030509")</f>
        <v>AA030509</v>
      </c>
      <c r="D296" t="str">
        <f ca="1">IFERROR(__xludf.DUMMYFUNCTION("""COMPUTED_VALUE"""),"")</f>
        <v/>
      </c>
      <c r="E296" s="205" t="str">
        <f ca="1">IFERROR(__xludf.DUMMYFUNCTION("""COMPUTED_VALUE"""),"王瑞霖")</f>
        <v>王瑞霖</v>
      </c>
    </row>
    <row r="297" spans="1:5" ht="15" customHeight="1">
      <c r="A297" s="121" t="str">
        <f t="shared" ca="1" si="1"/>
        <v/>
      </c>
      <c r="B297" t="str">
        <f t="shared" ca="1" si="2"/>
        <v/>
      </c>
      <c r="C297" s="206" t="str">
        <f ca="1">IFERROR(__xludf.DUMMYFUNCTION("""COMPUTED_VALUE"""),"AA030510")</f>
        <v>AA030510</v>
      </c>
      <c r="D297" t="str">
        <f ca="1">IFERROR(__xludf.DUMMYFUNCTION("""COMPUTED_VALUE"""),"")</f>
        <v/>
      </c>
      <c r="E297" s="205" t="str">
        <f ca="1">IFERROR(__xludf.DUMMYFUNCTION("""COMPUTED_VALUE"""),"MyGene")</f>
        <v>MyGene</v>
      </c>
    </row>
    <row r="298" spans="1:5" ht="15" customHeight="1">
      <c r="A298" s="121" t="str">
        <f t="shared" ca="1" si="1"/>
        <v/>
      </c>
      <c r="B298" t="str">
        <f t="shared" ca="1" si="2"/>
        <v/>
      </c>
      <c r="C298" s="206" t="str">
        <f ca="1">IFERROR(__xludf.DUMMYFUNCTION("""COMPUTED_VALUE"""),"AA030712")</f>
        <v>AA030712</v>
      </c>
      <c r="D298" t="str">
        <f ca="1">IFERROR(__xludf.DUMMYFUNCTION("""COMPUTED_VALUE"""),"")</f>
        <v/>
      </c>
      <c r="E298" s="205" t="str">
        <f ca="1">IFERROR(__xludf.DUMMYFUNCTION("""COMPUTED_VALUE"""),"劉德儀")</f>
        <v>劉德儀</v>
      </c>
    </row>
    <row r="299" spans="1:5" ht="15" customHeight="1">
      <c r="A299" s="121" t="str">
        <f t="shared" ca="1" si="1"/>
        <v/>
      </c>
      <c r="B299" t="str">
        <f t="shared" ca="1" si="2"/>
        <v/>
      </c>
      <c r="C299" s="206" t="str">
        <f ca="1">IFERROR(__xludf.DUMMYFUNCTION("""COMPUTED_VALUE"""),"AA030712")</f>
        <v>AA030712</v>
      </c>
      <c r="D299" t="str">
        <f ca="1">IFERROR(__xludf.DUMMYFUNCTION("""COMPUTED_VALUE"""),"")</f>
        <v/>
      </c>
      <c r="E299" s="205" t="str">
        <f ca="1">IFERROR(__xludf.DUMMYFUNCTION("""COMPUTED_VALUE"""),"劉德儀")</f>
        <v>劉德儀</v>
      </c>
    </row>
    <row r="300" spans="1:5" ht="15" customHeight="1">
      <c r="A300" s="121" t="str">
        <f t="shared" ca="1" si="1"/>
        <v/>
      </c>
      <c r="B300" t="str">
        <f t="shared" ca="1" si="2"/>
        <v/>
      </c>
      <c r="C300" s="206" t="str">
        <f ca="1">IFERROR(__xludf.DUMMYFUNCTION("""COMPUTED_VALUE"""),"AA030708")</f>
        <v>AA030708</v>
      </c>
      <c r="D300" t="str">
        <f ca="1">IFERROR(__xludf.DUMMYFUNCTION("""COMPUTED_VALUE"""),"")</f>
        <v/>
      </c>
      <c r="E300" s="205" t="str">
        <f ca="1">IFERROR(__xludf.DUMMYFUNCTION("""COMPUTED_VALUE"""),"蔡素韶")</f>
        <v>蔡素韶</v>
      </c>
    </row>
    <row r="301" spans="1:5" ht="15" customHeight="1">
      <c r="A301" s="121" t="str">
        <f t="shared" ca="1" si="1"/>
        <v/>
      </c>
      <c r="B301" t="str">
        <f t="shared" ca="1" si="2"/>
        <v/>
      </c>
      <c r="C301" s="206" t="str">
        <f ca="1">IFERROR(__xludf.DUMMYFUNCTION("""COMPUTED_VALUE"""),"AA030710")</f>
        <v>AA030710</v>
      </c>
      <c r="D301" t="str">
        <f ca="1">IFERROR(__xludf.DUMMYFUNCTION("""COMPUTED_VALUE"""),"")</f>
        <v/>
      </c>
      <c r="E301" s="205" t="str">
        <f ca="1">IFERROR(__xludf.DUMMYFUNCTION("""COMPUTED_VALUE"""),"楊惠敏")</f>
        <v>楊惠敏</v>
      </c>
    </row>
    <row r="302" spans="1:5" ht="15" customHeight="1">
      <c r="A302" s="121" t="str">
        <f t="shared" ca="1" si="1"/>
        <v/>
      </c>
      <c r="B302" t="str">
        <f t="shared" ca="1" si="2"/>
        <v/>
      </c>
      <c r="C302" s="206" t="str">
        <f ca="1">IFERROR(__xludf.DUMMYFUNCTION("""COMPUTED_VALUE"""),"AA030711")</f>
        <v>AA030711</v>
      </c>
      <c r="D302" t="str">
        <f ca="1">IFERROR(__xludf.DUMMYFUNCTION("""COMPUTED_VALUE"""),"")</f>
        <v/>
      </c>
      <c r="E302" s="205" t="str">
        <f ca="1">IFERROR(__xludf.DUMMYFUNCTION("""COMPUTED_VALUE"""),"劉秀郁")</f>
        <v>劉秀郁</v>
      </c>
    </row>
    <row r="303" spans="1:5" ht="15" customHeight="1">
      <c r="A303" s="121" t="str">
        <f t="shared" ca="1" si="1"/>
        <v/>
      </c>
      <c r="B303" t="str">
        <f t="shared" ca="1" si="2"/>
        <v/>
      </c>
      <c r="C303" s="206" t="str">
        <f ca="1">IFERROR(__xludf.DUMMYFUNCTION("""COMPUTED_VALUE"""),"AA030711")</f>
        <v>AA030711</v>
      </c>
      <c r="D303" t="str">
        <f ca="1">IFERROR(__xludf.DUMMYFUNCTION("""COMPUTED_VALUE"""),"")</f>
        <v/>
      </c>
      <c r="E303" s="205" t="str">
        <f ca="1">IFERROR(__xludf.DUMMYFUNCTION("""COMPUTED_VALUE"""),"劉秀郁")</f>
        <v>劉秀郁</v>
      </c>
    </row>
    <row r="304" spans="1:5" ht="15" customHeight="1">
      <c r="A304" s="121" t="str">
        <f t="shared" ca="1" si="1"/>
        <v/>
      </c>
      <c r="B304" t="str">
        <f t="shared" ca="1" si="2"/>
        <v/>
      </c>
      <c r="C304" s="206" t="str">
        <f ca="1">IFERROR(__xludf.DUMMYFUNCTION("""COMPUTED_VALUE"""),"AA030711")</f>
        <v>AA030711</v>
      </c>
      <c r="D304" t="str">
        <f ca="1">IFERROR(__xludf.DUMMYFUNCTION("""COMPUTED_VALUE"""),"")</f>
        <v/>
      </c>
      <c r="E304" s="205" t="str">
        <f ca="1">IFERROR(__xludf.DUMMYFUNCTION("""COMPUTED_VALUE"""),"劉秀郁")</f>
        <v>劉秀郁</v>
      </c>
    </row>
    <row r="305" spans="1:5" ht="15" customHeight="1">
      <c r="A305" s="121" t="str">
        <f t="shared" ca="1" si="1"/>
        <v/>
      </c>
      <c r="B305" t="str">
        <f t="shared" ca="1" si="2"/>
        <v/>
      </c>
      <c r="C305" s="206" t="str">
        <f ca="1">IFERROR(__xludf.DUMMYFUNCTION("""COMPUTED_VALUE"""),"AA030702")</f>
        <v>AA030702</v>
      </c>
      <c r="D305" t="str">
        <f ca="1">IFERROR(__xludf.DUMMYFUNCTION("""COMPUTED_VALUE"""),"")</f>
        <v/>
      </c>
      <c r="E305" s="205" t="str">
        <f ca="1">IFERROR(__xludf.DUMMYFUNCTION("""COMPUTED_VALUE"""),"福爾摩沙醫院管理顧問有限公司")</f>
        <v>福爾摩沙醫院管理顧問有限公司</v>
      </c>
    </row>
    <row r="306" spans="1:5" ht="15" customHeight="1">
      <c r="A306" s="121" t="str">
        <f t="shared" ca="1" si="1"/>
        <v/>
      </c>
      <c r="B306" t="str">
        <f t="shared" ca="1" si="2"/>
        <v/>
      </c>
      <c r="C306" s="206" t="str">
        <f ca="1">IFERROR(__xludf.DUMMYFUNCTION("""COMPUTED_VALUE"""),"AA0307")</f>
        <v>AA0307</v>
      </c>
      <c r="D306" t="str">
        <f ca="1">IFERROR(__xludf.DUMMYFUNCTION("""COMPUTED_VALUE"""),"")</f>
        <v/>
      </c>
      <c r="E306" s="205" t="str">
        <f ca="1">IFERROR(__xludf.DUMMYFUNCTION("""COMPUTED_VALUE"""),"俞如玲")</f>
        <v>俞如玲</v>
      </c>
    </row>
    <row r="307" spans="1:5" ht="15" customHeight="1">
      <c r="A307" s="121" t="str">
        <f t="shared" ca="1" si="1"/>
        <v/>
      </c>
      <c r="B307" t="str">
        <f t="shared" ca="1" si="2"/>
        <v/>
      </c>
      <c r="C307" s="206" t="str">
        <f ca="1">IFERROR(__xludf.DUMMYFUNCTION("""COMPUTED_VALUE"""),"AA030508")</f>
        <v>AA030508</v>
      </c>
      <c r="D307" t="str">
        <f ca="1">IFERROR(__xludf.DUMMYFUNCTION("""COMPUTED_VALUE"""),"")</f>
        <v/>
      </c>
      <c r="E307" s="206" t="str">
        <f ca="1">IFERROR(__xludf.DUMMYFUNCTION("""COMPUTED_VALUE"""),"Kevin.Viana.Remi.Sandra")</f>
        <v>Kevin.Viana.Remi.Sandra</v>
      </c>
    </row>
    <row r="308" spans="1:5" ht="15" customHeight="1">
      <c r="A308" s="121" t="str">
        <f t="shared" ca="1" si="1"/>
        <v/>
      </c>
      <c r="B308" t="str">
        <f t="shared" ca="1" si="2"/>
        <v/>
      </c>
      <c r="C308" s="206" t="str">
        <f ca="1">IFERROR(__xludf.DUMMYFUNCTION("""COMPUTED_VALUE"""),"AA030703")</f>
        <v>AA030703</v>
      </c>
      <c r="D308" t="str">
        <f ca="1">IFERROR(__xludf.DUMMYFUNCTION("""COMPUTED_VALUE"""),"")</f>
        <v/>
      </c>
      <c r="E308" s="205" t="str">
        <f ca="1">IFERROR(__xludf.DUMMYFUNCTION("""COMPUTED_VALUE"""),"大江生醫股份有限公司")</f>
        <v>大江生醫股份有限公司</v>
      </c>
    </row>
    <row r="309" spans="1:5" ht="15" customHeight="1">
      <c r="A309" s="121" t="str">
        <f t="shared" ca="1" si="1"/>
        <v/>
      </c>
      <c r="B309" t="str">
        <f t="shared" ca="1" si="2"/>
        <v/>
      </c>
      <c r="C309" s="206" t="str">
        <f ca="1">IFERROR(__xludf.DUMMYFUNCTION("""COMPUTED_VALUE"""),"AA030703")</f>
        <v>AA030703</v>
      </c>
      <c r="D309" t="str">
        <f ca="1">IFERROR(__xludf.DUMMYFUNCTION("""COMPUTED_VALUE"""),"")</f>
        <v/>
      </c>
      <c r="E309" s="205" t="str">
        <f ca="1">IFERROR(__xludf.DUMMYFUNCTION("""COMPUTED_VALUE"""),"大江生醫股份有限公司")</f>
        <v>大江生醫股份有限公司</v>
      </c>
    </row>
    <row r="310" spans="1:5" ht="15" customHeight="1">
      <c r="A310" s="121" t="str">
        <f t="shared" ca="1" si="1"/>
        <v/>
      </c>
      <c r="B310" t="str">
        <f t="shared" ca="1" si="2"/>
        <v/>
      </c>
      <c r="C310" s="206" t="str">
        <f ca="1">IFERROR(__xludf.DUMMYFUNCTION("""COMPUTED_VALUE"""),"AA030803")</f>
        <v>AA030803</v>
      </c>
      <c r="D310" t="str">
        <f ca="1">IFERROR(__xludf.DUMMYFUNCTION("""COMPUTED_VALUE"""),"")</f>
        <v/>
      </c>
      <c r="E310" s="205" t="str">
        <f ca="1">IFERROR(__xludf.DUMMYFUNCTION("""COMPUTED_VALUE"""),"蔡秋鴻")</f>
        <v>蔡秋鴻</v>
      </c>
    </row>
    <row r="311" spans="1:5" ht="15" customHeight="1">
      <c r="A311" s="121" t="str">
        <f t="shared" ca="1" si="1"/>
        <v/>
      </c>
      <c r="B311" t="str">
        <f t="shared" ca="1" si="2"/>
        <v/>
      </c>
      <c r="C311" s="206" t="str">
        <f ca="1">IFERROR(__xludf.DUMMYFUNCTION("""COMPUTED_VALUE"""),"AA030802")</f>
        <v>AA030802</v>
      </c>
      <c r="D311" t="str">
        <f ca="1">IFERROR(__xludf.DUMMYFUNCTION("""COMPUTED_VALUE"""),"")</f>
        <v/>
      </c>
      <c r="E311" s="205" t="str">
        <f ca="1">IFERROR(__xludf.DUMMYFUNCTION("""COMPUTED_VALUE"""),"林庭卉")</f>
        <v>林庭卉</v>
      </c>
    </row>
    <row r="312" spans="1:5" ht="15" customHeight="1">
      <c r="A312" s="121" t="str">
        <f t="shared" ca="1" si="1"/>
        <v/>
      </c>
      <c r="B312" t="str">
        <f t="shared" ca="1" si="2"/>
        <v/>
      </c>
      <c r="C312" s="206" t="str">
        <f ca="1">IFERROR(__xludf.DUMMYFUNCTION("""COMPUTED_VALUE"""),"AA031105")</f>
        <v>AA031105</v>
      </c>
      <c r="D312" t="str">
        <f ca="1">IFERROR(__xludf.DUMMYFUNCTION("""COMPUTED_VALUE"""),"")</f>
        <v/>
      </c>
      <c r="E312" s="205" t="str">
        <f ca="1">IFERROR(__xludf.DUMMYFUNCTION("""COMPUTED_VALUE"""),"施如珊")</f>
        <v>施如珊</v>
      </c>
    </row>
    <row r="313" spans="1:5" ht="15" customHeight="1">
      <c r="A313" s="121" t="str">
        <f t="shared" ca="1" si="1"/>
        <v/>
      </c>
      <c r="B313" t="str">
        <f t="shared" ca="1" si="2"/>
        <v/>
      </c>
      <c r="C313" s="206" t="str">
        <f ca="1">IFERROR(__xludf.DUMMYFUNCTION("""COMPUTED_VALUE"""),"AA031105")</f>
        <v>AA031105</v>
      </c>
      <c r="D313" t="str">
        <f ca="1">IFERROR(__xludf.DUMMYFUNCTION("""COMPUTED_VALUE"""),"")</f>
        <v/>
      </c>
      <c r="E313" s="205" t="str">
        <f ca="1">IFERROR(__xludf.DUMMYFUNCTION("""COMPUTED_VALUE"""),"施如珊")</f>
        <v>施如珊</v>
      </c>
    </row>
    <row r="314" spans="1:5" ht="15" customHeight="1">
      <c r="A314" s="121" t="str">
        <f t="shared" ca="1" si="1"/>
        <v/>
      </c>
      <c r="B314" t="str">
        <f t="shared" ca="1" si="2"/>
        <v/>
      </c>
      <c r="C314" s="206" t="str">
        <f ca="1">IFERROR(__xludf.DUMMYFUNCTION("""COMPUTED_VALUE"""),"AA031107")</f>
        <v>AA031107</v>
      </c>
      <c r="D314" t="str">
        <f ca="1">IFERROR(__xludf.DUMMYFUNCTION("""COMPUTED_VALUE"""),"")</f>
        <v/>
      </c>
      <c r="E314" s="205" t="str">
        <f ca="1">IFERROR(__xludf.DUMMYFUNCTION("""COMPUTED_VALUE"""),"林傲梵")</f>
        <v>林傲梵</v>
      </c>
    </row>
    <row r="315" spans="1:5" ht="15" customHeight="1">
      <c r="A315" s="121" t="str">
        <f t="shared" ca="1" si="1"/>
        <v/>
      </c>
      <c r="B315" t="str">
        <f t="shared" ca="1" si="2"/>
        <v/>
      </c>
      <c r="C315" s="206" t="str">
        <f ca="1">IFERROR(__xludf.DUMMYFUNCTION("""COMPUTED_VALUE"""),"AA031109")</f>
        <v>AA031109</v>
      </c>
      <c r="D315" t="str">
        <f ca="1">IFERROR(__xludf.DUMMYFUNCTION("""COMPUTED_VALUE"""),"")</f>
        <v/>
      </c>
      <c r="E315" s="205" t="str">
        <f ca="1">IFERROR(__xludf.DUMMYFUNCTION("""COMPUTED_VALUE"""),"陳少婷")</f>
        <v>陳少婷</v>
      </c>
    </row>
    <row r="316" spans="1:5" ht="15" customHeight="1">
      <c r="A316" s="121" t="str">
        <f t="shared" ca="1" si="1"/>
        <v/>
      </c>
      <c r="B316" t="str">
        <f t="shared" ca="1" si="2"/>
        <v/>
      </c>
      <c r="C316" s="206" t="str">
        <f ca="1">IFERROR(__xludf.DUMMYFUNCTION("""COMPUTED_VALUE"""),"AA031106")</f>
        <v>AA031106</v>
      </c>
      <c r="D316" t="str">
        <f ca="1">IFERROR(__xludf.DUMMYFUNCTION("""COMPUTED_VALUE"""),"")</f>
        <v/>
      </c>
      <c r="E316" s="205" t="str">
        <f ca="1">IFERROR(__xludf.DUMMYFUNCTION("""COMPUTED_VALUE"""),"蔡松彥")</f>
        <v>蔡松彥</v>
      </c>
    </row>
    <row r="317" spans="1:5" ht="15" customHeight="1">
      <c r="A317" s="121" t="str">
        <f t="shared" ca="1" si="1"/>
        <v/>
      </c>
      <c r="B317" t="str">
        <f t="shared" ca="1" si="2"/>
        <v/>
      </c>
      <c r="C317" s="206" t="str">
        <f ca="1">IFERROR(__xludf.DUMMYFUNCTION("""COMPUTED_VALUE"""),"AA031104")</f>
        <v>AA031104</v>
      </c>
      <c r="D317" t="str">
        <f ca="1">IFERROR(__xludf.DUMMYFUNCTION("""COMPUTED_VALUE"""),"")</f>
        <v/>
      </c>
      <c r="E317" s="205" t="str">
        <f ca="1">IFERROR(__xludf.DUMMYFUNCTION("""COMPUTED_VALUE"""),"張勝鈞")</f>
        <v>張勝鈞</v>
      </c>
    </row>
    <row r="318" spans="1:5" ht="15" customHeight="1">
      <c r="A318" s="121" t="str">
        <f t="shared" ca="1" si="1"/>
        <v/>
      </c>
      <c r="B318" t="str">
        <f t="shared" ca="1" si="2"/>
        <v/>
      </c>
      <c r="C318" s="206" t="str">
        <f ca="1">IFERROR(__xludf.DUMMYFUNCTION("""COMPUTED_VALUE"""),"AA031108")</f>
        <v>AA031108</v>
      </c>
      <c r="D318" t="str">
        <f ca="1">IFERROR(__xludf.DUMMYFUNCTION("""COMPUTED_VALUE"""),"")</f>
        <v/>
      </c>
      <c r="E318" s="205" t="str">
        <f ca="1">IFERROR(__xludf.DUMMYFUNCTION("""COMPUTED_VALUE"""),"鄭靜宜")</f>
        <v>鄭靜宜</v>
      </c>
    </row>
    <row r="319" spans="1:5" ht="15" customHeight="1">
      <c r="A319" s="121" t="str">
        <f t="shared" ca="1" si="1"/>
        <v/>
      </c>
      <c r="B319" t="str">
        <f t="shared" ca="1" si="2"/>
        <v/>
      </c>
      <c r="C319" s="206" t="str">
        <f ca="1">IFERROR(__xludf.DUMMYFUNCTION("""COMPUTED_VALUE"""),"AA031103")</f>
        <v>AA031103</v>
      </c>
      <c r="D319" t="str">
        <f ca="1">IFERROR(__xludf.DUMMYFUNCTION("""COMPUTED_VALUE"""),"")</f>
        <v/>
      </c>
      <c r="E319" s="205" t="str">
        <f ca="1">IFERROR(__xludf.DUMMYFUNCTION("""COMPUTED_VALUE"""),"美麗傳奇有限公司")</f>
        <v>美麗傳奇有限公司</v>
      </c>
    </row>
    <row r="320" spans="1:5" ht="15" customHeight="1">
      <c r="A320" s="121" t="str">
        <f t="shared" ca="1" si="1"/>
        <v/>
      </c>
      <c r="B320" t="str">
        <f t="shared" ca="1" si="2"/>
        <v/>
      </c>
      <c r="C320" s="206" t="str">
        <f ca="1">IFERROR(__xludf.DUMMYFUNCTION("""COMPUTED_VALUE"""),"AA031102")</f>
        <v>AA031102</v>
      </c>
      <c r="D320" t="str">
        <f ca="1">IFERROR(__xludf.DUMMYFUNCTION("""COMPUTED_VALUE"""),"")</f>
        <v/>
      </c>
      <c r="E320" s="205" t="str">
        <f ca="1">IFERROR(__xludf.DUMMYFUNCTION("""COMPUTED_VALUE"""),"常閎國際有限公司")</f>
        <v>常閎國際有限公司</v>
      </c>
    </row>
    <row r="321" spans="1:5" ht="15" customHeight="1">
      <c r="A321" s="121" t="str">
        <f t="shared" ca="1" si="1"/>
        <v/>
      </c>
      <c r="B321" t="str">
        <f t="shared" ca="1" si="2"/>
        <v/>
      </c>
      <c r="C321" s="206" t="str">
        <f ca="1">IFERROR(__xludf.DUMMYFUNCTION("""COMPUTED_VALUE"""),"AA031114")</f>
        <v>AA031114</v>
      </c>
      <c r="D321" t="str">
        <f ca="1">IFERROR(__xludf.DUMMYFUNCTION("""COMPUTED_VALUE"""),"")</f>
        <v/>
      </c>
      <c r="E321" s="205" t="str">
        <f ca="1">IFERROR(__xludf.DUMMYFUNCTION("""COMPUTED_VALUE"""),"宋慶敏")</f>
        <v>宋慶敏</v>
      </c>
    </row>
    <row r="322" spans="1:5" ht="15" customHeight="1">
      <c r="A322" s="121" t="str">
        <f t="shared" ca="1" si="1"/>
        <v/>
      </c>
      <c r="B322" t="str">
        <f t="shared" ca="1" si="2"/>
        <v/>
      </c>
      <c r="C322" s="206" t="str">
        <f ca="1">IFERROR(__xludf.DUMMYFUNCTION("""COMPUTED_VALUE"""),"AA0311")</f>
        <v>AA0311</v>
      </c>
      <c r="D322" t="str">
        <f ca="1">IFERROR(__xludf.DUMMYFUNCTION("""COMPUTED_VALUE"""),"")</f>
        <v/>
      </c>
      <c r="E322" s="205" t="str">
        <f ca="1">IFERROR(__xludf.DUMMYFUNCTION("""COMPUTED_VALUE"""),"沈瑞斌")</f>
        <v>沈瑞斌</v>
      </c>
    </row>
    <row r="323" spans="1:5" ht="15" customHeight="1">
      <c r="A323" s="121" t="str">
        <f t="shared" ca="1" si="1"/>
        <v/>
      </c>
      <c r="B323" t="str">
        <f t="shared" ca="1" si="2"/>
        <v/>
      </c>
      <c r="C323" s="206" t="str">
        <f ca="1">IFERROR(__xludf.DUMMYFUNCTION("""COMPUTED_VALUE"""),"AA031203")</f>
        <v>AA031203</v>
      </c>
      <c r="D323" t="str">
        <f ca="1">IFERROR(__xludf.DUMMYFUNCTION("""COMPUTED_VALUE"""),"")</f>
        <v/>
      </c>
      <c r="E323" s="205" t="str">
        <f ca="1">IFERROR(__xludf.DUMMYFUNCTION("""COMPUTED_VALUE"""),"陳宗仁")</f>
        <v>陳宗仁</v>
      </c>
    </row>
    <row r="324" spans="1:5" ht="15" customHeight="1">
      <c r="A324" s="121" t="str">
        <f t="shared" ca="1" si="1"/>
        <v/>
      </c>
      <c r="B324" t="str">
        <f t="shared" ca="1" si="2"/>
        <v/>
      </c>
      <c r="C324" s="206" t="str">
        <f ca="1">IFERROR(__xludf.DUMMYFUNCTION("""COMPUTED_VALUE"""),"AA031201")</f>
        <v>AA031201</v>
      </c>
      <c r="D324" t="str">
        <f ca="1">IFERROR(__xludf.DUMMYFUNCTION("""COMPUTED_VALUE"""),"")</f>
        <v/>
      </c>
      <c r="E324" s="205" t="str">
        <f ca="1">IFERROR(__xludf.DUMMYFUNCTION("""COMPUTED_VALUE"""),"王宜玄")</f>
        <v>王宜玄</v>
      </c>
    </row>
    <row r="325" spans="1:5" ht="15" customHeight="1">
      <c r="A325" s="121" t="str">
        <f t="shared" ca="1" si="1"/>
        <v/>
      </c>
      <c r="B325" t="str">
        <f t="shared" ca="1" si="2"/>
        <v/>
      </c>
      <c r="C325" s="206" t="str">
        <f ca="1">IFERROR(__xludf.DUMMYFUNCTION("""COMPUTED_VALUE"""),"AA031111")</f>
        <v>AA031111</v>
      </c>
      <c r="D325" t="str">
        <f ca="1">IFERROR(__xludf.DUMMYFUNCTION("""COMPUTED_VALUE"""),"")</f>
        <v/>
      </c>
      <c r="E325" s="205" t="str">
        <f ca="1">IFERROR(__xludf.DUMMYFUNCTION("""COMPUTED_VALUE"""),"戴筠修")</f>
        <v>戴筠修</v>
      </c>
    </row>
    <row r="326" spans="1:5" ht="15" customHeight="1">
      <c r="A326" s="121" t="str">
        <f t="shared" ca="1" si="1"/>
        <v/>
      </c>
      <c r="B326" t="str">
        <f t="shared" ca="1" si="2"/>
        <v/>
      </c>
      <c r="C326" s="206" t="str">
        <f ca="1">IFERROR(__xludf.DUMMYFUNCTION("""COMPUTED_VALUE"""),"AA0311")</f>
        <v>AA0311</v>
      </c>
      <c r="D326" t="str">
        <f ca="1">IFERROR(__xludf.DUMMYFUNCTION("""COMPUTED_VALUE"""),"")</f>
        <v/>
      </c>
      <c r="E326" s="205" t="str">
        <f ca="1">IFERROR(__xludf.DUMMYFUNCTION("""COMPUTED_VALUE"""),"鄧凱嶸")</f>
        <v>鄧凱嶸</v>
      </c>
    </row>
    <row r="327" spans="1:5" ht="15" customHeight="1">
      <c r="A327" s="121" t="str">
        <f t="shared" ca="1" si="1"/>
        <v/>
      </c>
      <c r="B327" t="str">
        <f t="shared" ca="1" si="2"/>
        <v/>
      </c>
      <c r="C327" s="206" t="str">
        <f ca="1">IFERROR(__xludf.DUMMYFUNCTION("""COMPUTED_VALUE"""),"AA0311")</f>
        <v>AA0311</v>
      </c>
      <c r="D327" t="str">
        <f ca="1">IFERROR(__xludf.DUMMYFUNCTION("""COMPUTED_VALUE"""),"")</f>
        <v/>
      </c>
      <c r="E327" s="205" t="str">
        <f ca="1">IFERROR(__xludf.DUMMYFUNCTION("""COMPUTED_VALUE"""),"鄧凱嶸")</f>
        <v>鄧凱嶸</v>
      </c>
    </row>
    <row r="328" spans="1:5" ht="15" customHeight="1">
      <c r="A328" s="121" t="str">
        <f t="shared" ca="1" si="1"/>
        <v/>
      </c>
      <c r="B328" t="str">
        <f t="shared" ca="1" si="2"/>
        <v/>
      </c>
      <c r="C328" s="206" t="str">
        <f ca="1">IFERROR(__xludf.DUMMYFUNCTION("""COMPUTED_VALUE"""),"AA0311")</f>
        <v>AA0311</v>
      </c>
      <c r="D328" t="str">
        <f ca="1">IFERROR(__xludf.DUMMYFUNCTION("""COMPUTED_VALUE"""),"")</f>
        <v/>
      </c>
      <c r="E328" s="205" t="str">
        <f ca="1">IFERROR(__xludf.DUMMYFUNCTION("""COMPUTED_VALUE"""),"鄧凱嶸")</f>
        <v>鄧凱嶸</v>
      </c>
    </row>
    <row r="329" spans="1:5" ht="15" customHeight="1">
      <c r="A329" s="121" t="str">
        <f t="shared" ca="1" si="1"/>
        <v/>
      </c>
      <c r="B329" t="str">
        <f t="shared" ca="1" si="2"/>
        <v/>
      </c>
      <c r="C329" s="206" t="str">
        <f ca="1">IFERROR(__xludf.DUMMYFUNCTION("""COMPUTED_VALUE"""),"AA031113")</f>
        <v>AA031113</v>
      </c>
      <c r="D329" t="str">
        <f ca="1">IFERROR(__xludf.DUMMYFUNCTION("""COMPUTED_VALUE"""),"")</f>
        <v/>
      </c>
      <c r="E329" s="205" t="str">
        <f ca="1">IFERROR(__xludf.DUMMYFUNCTION("""COMPUTED_VALUE"""),"王樂安")</f>
        <v>王樂安</v>
      </c>
    </row>
    <row r="330" spans="1:5" ht="15" customHeight="1">
      <c r="A330" s="121" t="str">
        <f t="shared" ca="1" si="1"/>
        <v/>
      </c>
      <c r="B330" t="str">
        <f t="shared" ca="1" si="2"/>
        <v/>
      </c>
      <c r="C330" s="206" t="str">
        <f ca="1">IFERROR(__xludf.DUMMYFUNCTION("""COMPUTED_VALUE"""),"AA031113")</f>
        <v>AA031113</v>
      </c>
      <c r="D330" t="str">
        <f ca="1">IFERROR(__xludf.DUMMYFUNCTION("""COMPUTED_VALUE"""),"")</f>
        <v/>
      </c>
      <c r="E330" s="205" t="str">
        <f ca="1">IFERROR(__xludf.DUMMYFUNCTION("""COMPUTED_VALUE"""),"王樂安")</f>
        <v>王樂安</v>
      </c>
    </row>
    <row r="331" spans="1:5" ht="15" customHeight="1">
      <c r="A331" s="121" t="str">
        <f t="shared" ca="1" si="1"/>
        <v/>
      </c>
      <c r="B331" t="str">
        <f t="shared" ca="1" si="2"/>
        <v/>
      </c>
      <c r="C331" s="206" t="str">
        <f ca="1">IFERROR(__xludf.DUMMYFUNCTION("""COMPUTED_VALUE"""),"AA031110")</f>
        <v>AA031110</v>
      </c>
      <c r="D331" t="str">
        <f ca="1">IFERROR(__xludf.DUMMYFUNCTION("""COMPUTED_VALUE"""),"")</f>
        <v/>
      </c>
      <c r="E331" s="205" t="str">
        <f ca="1">IFERROR(__xludf.DUMMYFUNCTION("""COMPUTED_VALUE"""),"林秀娟")</f>
        <v>林秀娟</v>
      </c>
    </row>
    <row r="332" spans="1:5" ht="15" customHeight="1">
      <c r="A332" s="121" t="str">
        <f t="shared" ca="1" si="1"/>
        <v/>
      </c>
      <c r="B332" t="str">
        <f t="shared" ca="1" si="2"/>
        <v/>
      </c>
      <c r="C332" s="206" t="str">
        <f ca="1">IFERROR(__xludf.DUMMYFUNCTION("""COMPUTED_VALUE"""),"AA031110")</f>
        <v>AA031110</v>
      </c>
      <c r="D332" t="str">
        <f ca="1">IFERROR(__xludf.DUMMYFUNCTION("""COMPUTED_VALUE"""),"")</f>
        <v/>
      </c>
      <c r="E332" s="205" t="str">
        <f ca="1">IFERROR(__xludf.DUMMYFUNCTION("""COMPUTED_VALUE"""),"林秀娟")</f>
        <v>林秀娟</v>
      </c>
    </row>
    <row r="333" spans="1:5" ht="15" customHeight="1">
      <c r="A333" s="121" t="str">
        <f t="shared" ca="1" si="1"/>
        <v/>
      </c>
      <c r="B333" t="str">
        <f t="shared" ca="1" si="2"/>
        <v/>
      </c>
      <c r="C333" s="206" t="str">
        <f ca="1">IFERROR(__xludf.DUMMYFUNCTION("""COMPUTED_VALUE"""),"AA031110")</f>
        <v>AA031110</v>
      </c>
      <c r="D333" t="str">
        <f ca="1">IFERROR(__xludf.DUMMYFUNCTION("""COMPUTED_VALUE"""),"")</f>
        <v/>
      </c>
      <c r="E333" s="205" t="str">
        <f ca="1">IFERROR(__xludf.DUMMYFUNCTION("""COMPUTED_VALUE"""),"林秀娟")</f>
        <v>林秀娟</v>
      </c>
    </row>
    <row r="334" spans="1:5" ht="15" customHeight="1">
      <c r="A334" s="213" t="str">
        <f t="shared" ca="1" si="1"/>
        <v>AA000966</v>
      </c>
      <c r="B334" t="str">
        <f t="shared" ca="1" si="2"/>
        <v>同陽牙醫-陳宏瑞</v>
      </c>
      <c r="C334" s="206" t="str">
        <f ca="1">IFERROR(__xludf.DUMMYFUNCTION("""COMPUTED_VALUE"""),"AA000966")</f>
        <v>AA000966</v>
      </c>
      <c r="D334" s="214" t="str">
        <f ca="1">IFERROR(__xludf.DUMMYFUNCTION("""COMPUTED_VALUE"""),"v")</f>
        <v>v</v>
      </c>
      <c r="E334" t="str">
        <f ca="1">IFERROR(__xludf.DUMMYFUNCTION("""COMPUTED_VALUE"""),"同陽牙醫-陳宏瑞")</f>
        <v>同陽牙醫-陳宏瑞</v>
      </c>
    </row>
    <row r="335" spans="1:5" ht="15" customHeight="1">
      <c r="A335" s="121" t="str">
        <f t="shared" ca="1" si="1"/>
        <v/>
      </c>
      <c r="B335" t="str">
        <f t="shared" ca="1" si="2"/>
        <v/>
      </c>
      <c r="C335" s="206" t="str">
        <f ca="1">IFERROR(__xludf.DUMMYFUNCTION("""COMPUTED_VALUE""")," AA0311")</f>
        <v xml:space="preserve"> AA0311</v>
      </c>
      <c r="D335" t="str">
        <f ca="1">IFERROR(__xludf.DUMMYFUNCTION("""COMPUTED_VALUE"""),"")</f>
        <v/>
      </c>
      <c r="E335" s="205" t="str">
        <f ca="1">IFERROR(__xludf.DUMMYFUNCTION("""COMPUTED_VALUE"""),"大江生醫股份有限公司")</f>
        <v>大江生醫股份有限公司</v>
      </c>
    </row>
    <row r="336" spans="1:5" ht="15" customHeight="1">
      <c r="A336" s="121" t="str">
        <f t="shared" ca="1" si="1"/>
        <v/>
      </c>
      <c r="B336" t="str">
        <f t="shared" ca="1" si="2"/>
        <v/>
      </c>
      <c r="C336" s="206" t="str">
        <f ca="1">IFERROR(__xludf.DUMMYFUNCTION("""COMPUTED_VALUE"""),"AA031301")</f>
        <v>AA031301</v>
      </c>
      <c r="D336" t="str">
        <f ca="1">IFERROR(__xludf.DUMMYFUNCTION("""COMPUTED_VALUE"""),"")</f>
        <v/>
      </c>
      <c r="E336" s="205" t="str">
        <f ca="1">IFERROR(__xludf.DUMMYFUNCTION("""COMPUTED_VALUE"""),"盧蓓荻")</f>
        <v>盧蓓荻</v>
      </c>
    </row>
    <row r="337" spans="1:5" ht="15" customHeight="1">
      <c r="A337" s="121" t="str">
        <f t="shared" ca="1" si="1"/>
        <v/>
      </c>
      <c r="B337" t="str">
        <f t="shared" ca="1" si="2"/>
        <v/>
      </c>
      <c r="C337" s="206" t="str">
        <f ca="1">IFERROR(__xludf.DUMMYFUNCTION("""COMPUTED_VALUE"""),"AB001001")</f>
        <v>AB001001</v>
      </c>
      <c r="D337" t="str">
        <f ca="1">IFERROR(__xludf.DUMMYFUNCTION("""COMPUTED_VALUE"""),"")</f>
        <v/>
      </c>
      <c r="E337" s="205" t="str">
        <f ca="1">IFERROR(__xludf.DUMMYFUNCTION("""COMPUTED_VALUE"""),"楊德勝")</f>
        <v>楊德勝</v>
      </c>
    </row>
    <row r="338" spans="1:5" ht="15" customHeight="1">
      <c r="A338" s="121" t="str">
        <f t="shared" ca="1" si="1"/>
        <v/>
      </c>
      <c r="B338" t="str">
        <f t="shared" ca="1" si="2"/>
        <v/>
      </c>
      <c r="C338" s="206" t="str">
        <f ca="1">IFERROR(__xludf.DUMMYFUNCTION("""COMPUTED_VALUE"""),"AB000041")</f>
        <v>AB000041</v>
      </c>
      <c r="D338" t="str">
        <f ca="1">IFERROR(__xludf.DUMMYFUNCTION("""COMPUTED_VALUE"""),"")</f>
        <v/>
      </c>
      <c r="E338" s="205" t="str">
        <f ca="1">IFERROR(__xludf.DUMMYFUNCTION("""COMPUTED_VALUE"""),"蔡慧媛")</f>
        <v>蔡慧媛</v>
      </c>
    </row>
    <row r="339" spans="1:5" ht="15" customHeight="1">
      <c r="A339" s="121" t="str">
        <f t="shared" ca="1" si="1"/>
        <v/>
      </c>
      <c r="B339" t="str">
        <f t="shared" ca="1" si="2"/>
        <v/>
      </c>
      <c r="C339" s="206" t="str">
        <f ca="1">IFERROR(__xludf.DUMMYFUNCTION("""COMPUTED_VALUE"""),"AB000011")</f>
        <v>AB000011</v>
      </c>
      <c r="D339" t="str">
        <f ca="1">IFERROR(__xludf.DUMMYFUNCTION("""COMPUTED_VALUE"""),"")</f>
        <v/>
      </c>
      <c r="E339" s="205" t="str">
        <f ca="1">IFERROR(__xludf.DUMMYFUNCTION("""COMPUTED_VALUE"""),"金苡?")</f>
        <v>金苡?</v>
      </c>
    </row>
    <row r="340" spans="1:5" ht="15" customHeight="1">
      <c r="A340" s="121" t="str">
        <f t="shared" ca="1" si="1"/>
        <v/>
      </c>
      <c r="B340" t="str">
        <f t="shared" ca="1" si="2"/>
        <v/>
      </c>
      <c r="C340" s="206" t="str">
        <f ca="1">IFERROR(__xludf.DUMMYFUNCTION("""COMPUTED_VALUE"""),"AB000019")</f>
        <v>AB000019</v>
      </c>
      <c r="D340" t="str">
        <f ca="1">IFERROR(__xludf.DUMMYFUNCTION("""COMPUTED_VALUE"""),"")</f>
        <v/>
      </c>
      <c r="E340" s="205" t="str">
        <f ca="1">IFERROR(__xludf.DUMMYFUNCTION("""COMPUTED_VALUE"""),"金苡蓓")</f>
        <v>金苡蓓</v>
      </c>
    </row>
    <row r="341" spans="1:5" ht="15" customHeight="1">
      <c r="A341" s="121" t="str">
        <f t="shared" ca="1" si="1"/>
        <v/>
      </c>
      <c r="B341" t="str">
        <f t="shared" ca="1" si="2"/>
        <v/>
      </c>
      <c r="C341" s="206" t="str">
        <f ca="1">IFERROR(__xludf.DUMMYFUNCTION("""COMPUTED_VALUE"""),"AB000003")</f>
        <v>AB000003</v>
      </c>
      <c r="D341" t="str">
        <f ca="1">IFERROR(__xludf.DUMMYFUNCTION("""COMPUTED_VALUE"""),"")</f>
        <v/>
      </c>
      <c r="E341" s="205" t="str">
        <f ca="1">IFERROR(__xludf.DUMMYFUNCTION("""COMPUTED_VALUE"""),"盧大有")</f>
        <v>盧大有</v>
      </c>
    </row>
    <row r="342" spans="1:5" ht="15" customHeight="1">
      <c r="A342" s="121" t="str">
        <f t="shared" ca="1" si="1"/>
        <v/>
      </c>
      <c r="B342" t="str">
        <f t="shared" ca="1" si="2"/>
        <v/>
      </c>
      <c r="C342" s="206" t="str">
        <f ca="1">IFERROR(__xludf.DUMMYFUNCTION("""COMPUTED_VALUE"""),"AB000033")</f>
        <v>AB000033</v>
      </c>
      <c r="D342" t="str">
        <f ca="1">IFERROR(__xludf.DUMMYFUNCTION("""COMPUTED_VALUE"""),"")</f>
        <v/>
      </c>
      <c r="E342" s="205" t="str">
        <f ca="1">IFERROR(__xludf.DUMMYFUNCTION("""COMPUTED_VALUE"""),"張彩金")</f>
        <v>張彩金</v>
      </c>
    </row>
    <row r="343" spans="1:5" ht="15" customHeight="1">
      <c r="A343" s="121" t="str">
        <f t="shared" ca="1" si="1"/>
        <v/>
      </c>
      <c r="B343" t="str">
        <f t="shared" ca="1" si="2"/>
        <v/>
      </c>
      <c r="C343" s="206" t="str">
        <f ca="1">IFERROR(__xludf.DUMMYFUNCTION("""COMPUTED_VALUE"""),"AB000042")</f>
        <v>AB000042</v>
      </c>
      <c r="D343" t="str">
        <f ca="1">IFERROR(__xludf.DUMMYFUNCTION("""COMPUTED_VALUE"""),"")</f>
        <v/>
      </c>
      <c r="E343" s="205" t="str">
        <f ca="1">IFERROR(__xludf.DUMMYFUNCTION("""COMPUTED_VALUE"""),"蔣柳霞")</f>
        <v>蔣柳霞</v>
      </c>
    </row>
    <row r="344" spans="1:5" ht="15" customHeight="1">
      <c r="A344" s="121" t="str">
        <f t="shared" ca="1" si="1"/>
        <v/>
      </c>
      <c r="B344" t="str">
        <f t="shared" ca="1" si="2"/>
        <v/>
      </c>
      <c r="C344" s="206" t="str">
        <f ca="1">IFERROR(__xludf.DUMMYFUNCTION("""COMPUTED_VALUE"""),"AB000042")</f>
        <v>AB000042</v>
      </c>
      <c r="D344" t="str">
        <f ca="1">IFERROR(__xludf.DUMMYFUNCTION("""COMPUTED_VALUE"""),"")</f>
        <v/>
      </c>
      <c r="E344" s="205" t="str">
        <f ca="1">IFERROR(__xludf.DUMMYFUNCTION("""COMPUTED_VALUE"""),"蔣柳霞")</f>
        <v>蔣柳霞</v>
      </c>
    </row>
    <row r="345" spans="1:5" ht="15" customHeight="1">
      <c r="A345" s="121" t="str">
        <f t="shared" ca="1" si="1"/>
        <v/>
      </c>
      <c r="B345" t="str">
        <f t="shared" ca="1" si="2"/>
        <v/>
      </c>
      <c r="C345" s="206" t="str">
        <f ca="1">IFERROR(__xludf.DUMMYFUNCTION("""COMPUTED_VALUE"""),"AB000042")</f>
        <v>AB000042</v>
      </c>
      <c r="D345" t="str">
        <f ca="1">IFERROR(__xludf.DUMMYFUNCTION("""COMPUTED_VALUE"""),"")</f>
        <v/>
      </c>
      <c r="E345" s="205" t="str">
        <f ca="1">IFERROR(__xludf.DUMMYFUNCTION("""COMPUTED_VALUE"""),"蔣柳霞")</f>
        <v>蔣柳霞</v>
      </c>
    </row>
    <row r="346" spans="1:5" ht="15" customHeight="1">
      <c r="A346" s="121" t="str">
        <f t="shared" ca="1" si="1"/>
        <v/>
      </c>
      <c r="B346" t="str">
        <f t="shared" ca="1" si="2"/>
        <v/>
      </c>
      <c r="C346" s="206" t="str">
        <f ca="1">IFERROR(__xludf.DUMMYFUNCTION("""COMPUTED_VALUE"""),"AB000012")</f>
        <v>AB000012</v>
      </c>
      <c r="D346" t="str">
        <f ca="1">IFERROR(__xludf.DUMMYFUNCTION("""COMPUTED_VALUE"""),"")</f>
        <v/>
      </c>
      <c r="E346" s="205" t="str">
        <f ca="1">IFERROR(__xludf.DUMMYFUNCTION("""COMPUTED_VALUE"""),"張家韻")</f>
        <v>張家韻</v>
      </c>
    </row>
    <row r="347" spans="1:5" ht="15" customHeight="1">
      <c r="A347" s="121" t="str">
        <f t="shared" ca="1" si="1"/>
        <v/>
      </c>
      <c r="B347" t="str">
        <f t="shared" ca="1" si="2"/>
        <v/>
      </c>
      <c r="C347" s="206" t="str">
        <f ca="1">IFERROR(__xludf.DUMMYFUNCTION("""COMPUTED_VALUE"""),"AB000004")</f>
        <v>AB000004</v>
      </c>
      <c r="D347" t="str">
        <f ca="1">IFERROR(__xludf.DUMMYFUNCTION("""COMPUTED_VALUE"""),"")</f>
        <v/>
      </c>
      <c r="E347" s="205" t="str">
        <f ca="1">IFERROR(__xludf.DUMMYFUNCTION("""COMPUTED_VALUE"""),"黃瑞龍")</f>
        <v>黃瑞龍</v>
      </c>
    </row>
    <row r="348" spans="1:5" ht="15" customHeight="1">
      <c r="A348" s="121" t="str">
        <f t="shared" ca="1" si="1"/>
        <v/>
      </c>
      <c r="B348" t="str">
        <f t="shared" ca="1" si="2"/>
        <v/>
      </c>
      <c r="C348" s="206" t="str">
        <f ca="1">IFERROR(__xludf.DUMMYFUNCTION("""COMPUTED_VALUE"""),"AB000015")</f>
        <v>AB000015</v>
      </c>
      <c r="D348" t="str">
        <f ca="1">IFERROR(__xludf.DUMMYFUNCTION("""COMPUTED_VALUE"""),"")</f>
        <v/>
      </c>
      <c r="E348" s="205" t="str">
        <f ca="1">IFERROR(__xludf.DUMMYFUNCTION("""COMPUTED_VALUE"""),"王雪雲")</f>
        <v>王雪雲</v>
      </c>
    </row>
    <row r="349" spans="1:5" ht="15" customHeight="1">
      <c r="A349" s="121" t="str">
        <f t="shared" ca="1" si="1"/>
        <v/>
      </c>
      <c r="B349" t="str">
        <f t="shared" ca="1" si="2"/>
        <v/>
      </c>
      <c r="C349" s="206" t="str">
        <f ca="1">IFERROR(__xludf.DUMMYFUNCTION("""COMPUTED_VALUE"""),"AB000136")</f>
        <v>AB000136</v>
      </c>
      <c r="D349" t="str">
        <f ca="1">IFERROR(__xludf.DUMMYFUNCTION("""COMPUTED_VALUE"""),"")</f>
        <v/>
      </c>
      <c r="E349" s="205" t="str">
        <f ca="1">IFERROR(__xludf.DUMMYFUNCTION("""COMPUTED_VALUE"""),"陳餘鈞")</f>
        <v>陳餘鈞</v>
      </c>
    </row>
    <row r="350" spans="1:5" ht="15" customHeight="1">
      <c r="A350" s="121" t="str">
        <f t="shared" ca="1" si="1"/>
        <v/>
      </c>
      <c r="B350" t="str">
        <f t="shared" ca="1" si="2"/>
        <v/>
      </c>
      <c r="C350" s="206" t="str">
        <f ca="1">IFERROR(__xludf.DUMMYFUNCTION("""COMPUTED_VALUE"""),"AB000016")</f>
        <v>AB000016</v>
      </c>
      <c r="D350" t="str">
        <f ca="1">IFERROR(__xludf.DUMMYFUNCTION("""COMPUTED_VALUE"""),"")</f>
        <v/>
      </c>
      <c r="E350" s="205" t="str">
        <f ca="1">IFERROR(__xludf.DUMMYFUNCTION("""COMPUTED_VALUE"""),"劉悅君")</f>
        <v>劉悅君</v>
      </c>
    </row>
    <row r="351" spans="1:5" ht="15" customHeight="1">
      <c r="A351" s="121" t="str">
        <f t="shared" ca="1" si="1"/>
        <v/>
      </c>
      <c r="B351" t="str">
        <f t="shared" ca="1" si="2"/>
        <v/>
      </c>
      <c r="C351" s="206" t="str">
        <f ca="1">IFERROR(__xludf.DUMMYFUNCTION("""COMPUTED_VALUE"""),"AB000137")</f>
        <v>AB000137</v>
      </c>
      <c r="D351" t="str">
        <f ca="1">IFERROR(__xludf.DUMMYFUNCTION("""COMPUTED_VALUE"""),"")</f>
        <v/>
      </c>
      <c r="E351" s="205" t="str">
        <f ca="1">IFERROR(__xludf.DUMMYFUNCTION("""COMPUTED_VALUE"""),"何元仁")</f>
        <v>何元仁</v>
      </c>
    </row>
    <row r="352" spans="1:5" ht="15" customHeight="1">
      <c r="A352" s="121" t="str">
        <f t="shared" ca="1" si="1"/>
        <v/>
      </c>
      <c r="B352" t="str">
        <f t="shared" ca="1" si="2"/>
        <v/>
      </c>
      <c r="C352" s="206" t="str">
        <f ca="1">IFERROR(__xludf.DUMMYFUNCTION("""COMPUTED_VALUE"""),"AB000023")</f>
        <v>AB000023</v>
      </c>
      <c r="D352" t="str">
        <f ca="1">IFERROR(__xludf.DUMMYFUNCTION("""COMPUTED_VALUE"""),"")</f>
        <v/>
      </c>
      <c r="E352" s="205" t="str">
        <f ca="1">IFERROR(__xludf.DUMMYFUNCTION("""COMPUTED_VALUE"""),"吳初美")</f>
        <v>吳初美</v>
      </c>
    </row>
    <row r="353" spans="1:5" ht="15" customHeight="1">
      <c r="A353" s="121" t="str">
        <f t="shared" ca="1" si="1"/>
        <v/>
      </c>
      <c r="B353" t="str">
        <f t="shared" ca="1" si="2"/>
        <v/>
      </c>
      <c r="C353" s="206" t="str">
        <f ca="1">IFERROR(__xludf.DUMMYFUNCTION("""COMPUTED_VALUE"""),"AB001004")</f>
        <v>AB001004</v>
      </c>
      <c r="D353" t="str">
        <f ca="1">IFERROR(__xludf.DUMMYFUNCTION("""COMPUTED_VALUE"""),"")</f>
        <v/>
      </c>
      <c r="E353" s="205" t="str">
        <f ca="1">IFERROR(__xludf.DUMMYFUNCTION("""COMPUTED_VALUE"""),"賴雪月")</f>
        <v>賴雪月</v>
      </c>
    </row>
    <row r="354" spans="1:5" ht="15" customHeight="1">
      <c r="A354" s="121" t="str">
        <f t="shared" ca="1" si="1"/>
        <v/>
      </c>
      <c r="B354" t="str">
        <f t="shared" ca="1" si="2"/>
        <v/>
      </c>
      <c r="C354" s="206" t="str">
        <f ca="1">IFERROR(__xludf.DUMMYFUNCTION("""COMPUTED_VALUE"""),"AB001005")</f>
        <v>AB001005</v>
      </c>
      <c r="D354" t="str">
        <f ca="1">IFERROR(__xludf.DUMMYFUNCTION("""COMPUTED_VALUE"""),"")</f>
        <v/>
      </c>
      <c r="E354" s="205" t="str">
        <f ca="1">IFERROR(__xludf.DUMMYFUNCTION("""COMPUTED_VALUE"""),"賴芳延")</f>
        <v>賴芳延</v>
      </c>
    </row>
    <row r="355" spans="1:5" ht="15" customHeight="1">
      <c r="A355" s="121" t="str">
        <f t="shared" ca="1" si="1"/>
        <v/>
      </c>
      <c r="B355" t="str">
        <f t="shared" ca="1" si="2"/>
        <v/>
      </c>
      <c r="C355" s="206" t="str">
        <f ca="1">IFERROR(__xludf.DUMMYFUNCTION("""COMPUTED_VALUE"""),"AB000091")</f>
        <v>AB000091</v>
      </c>
      <c r="D355" t="str">
        <f ca="1">IFERROR(__xludf.DUMMYFUNCTION("""COMPUTED_VALUE"""),"")</f>
        <v/>
      </c>
      <c r="E355" s="205" t="str">
        <f ca="1">IFERROR(__xludf.DUMMYFUNCTION("""COMPUTED_VALUE"""),"張謝春桃")</f>
        <v>張謝春桃</v>
      </c>
    </row>
    <row r="356" spans="1:5" ht="15" customHeight="1">
      <c r="A356" s="121" t="str">
        <f t="shared" ca="1" si="1"/>
        <v/>
      </c>
      <c r="B356" t="str">
        <f t="shared" ca="1" si="2"/>
        <v/>
      </c>
      <c r="C356" s="206" t="str">
        <f ca="1">IFERROR(__xludf.DUMMYFUNCTION("""COMPUTED_VALUE"""),"AB001007")</f>
        <v>AB001007</v>
      </c>
      <c r="D356" t="str">
        <f ca="1">IFERROR(__xludf.DUMMYFUNCTION("""COMPUTED_VALUE"""),"")</f>
        <v/>
      </c>
      <c r="E356" s="205" t="str">
        <f ca="1">IFERROR(__xludf.DUMMYFUNCTION("""COMPUTED_VALUE"""),"于蘋")</f>
        <v>于蘋</v>
      </c>
    </row>
    <row r="357" spans="1:5" ht="15" customHeight="1">
      <c r="A357" s="121" t="str">
        <f t="shared" ca="1" si="1"/>
        <v/>
      </c>
      <c r="B357" t="str">
        <f t="shared" ca="1" si="2"/>
        <v/>
      </c>
      <c r="C357" s="206" t="str">
        <f ca="1">IFERROR(__xludf.DUMMYFUNCTION("""COMPUTED_VALUE"""),"AB001007")</f>
        <v>AB001007</v>
      </c>
      <c r="D357" t="str">
        <f ca="1">IFERROR(__xludf.DUMMYFUNCTION("""COMPUTED_VALUE"""),"")</f>
        <v/>
      </c>
      <c r="E357" s="205" t="str">
        <f ca="1">IFERROR(__xludf.DUMMYFUNCTION("""COMPUTED_VALUE"""),"于蘋")</f>
        <v>于蘋</v>
      </c>
    </row>
    <row r="358" spans="1:5" ht="15" customHeight="1">
      <c r="A358" s="121" t="str">
        <f t="shared" ca="1" si="1"/>
        <v/>
      </c>
      <c r="B358" t="str">
        <f t="shared" ca="1" si="2"/>
        <v/>
      </c>
      <c r="C358" s="206" t="str">
        <f ca="1">IFERROR(__xludf.DUMMYFUNCTION("""COMPUTED_VALUE"""),"AB001008")</f>
        <v>AB001008</v>
      </c>
      <c r="D358" t="str">
        <f ca="1">IFERROR(__xludf.DUMMYFUNCTION("""COMPUTED_VALUE"""),"")</f>
        <v/>
      </c>
      <c r="E358" s="205" t="str">
        <f ca="1">IFERROR(__xludf.DUMMYFUNCTION("""COMPUTED_VALUE"""),"蔡淑惠")</f>
        <v>蔡淑惠</v>
      </c>
    </row>
    <row r="359" spans="1:5" ht="15" customHeight="1">
      <c r="A359" s="121" t="str">
        <f t="shared" ca="1" si="1"/>
        <v/>
      </c>
      <c r="B359" t="str">
        <f t="shared" ca="1" si="2"/>
        <v/>
      </c>
      <c r="C359" s="206" t="str">
        <f ca="1">IFERROR(__xludf.DUMMYFUNCTION("""COMPUTED_VALUE"""),"AB001008")</f>
        <v>AB001008</v>
      </c>
      <c r="D359" t="str">
        <f ca="1">IFERROR(__xludf.DUMMYFUNCTION("""COMPUTED_VALUE"""),"")</f>
        <v/>
      </c>
      <c r="E359" s="205" t="str">
        <f ca="1">IFERROR(__xludf.DUMMYFUNCTION("""COMPUTED_VALUE"""),"蔡淑惠")</f>
        <v>蔡淑惠</v>
      </c>
    </row>
    <row r="360" spans="1:5" ht="15" customHeight="1">
      <c r="A360" s="121" t="str">
        <f t="shared" ca="1" si="1"/>
        <v/>
      </c>
      <c r="B360" t="str">
        <f t="shared" ca="1" si="2"/>
        <v/>
      </c>
      <c r="C360" s="206" t="str">
        <f ca="1">IFERROR(__xludf.DUMMYFUNCTION("""COMPUTED_VALUE"""),"AB001008")</f>
        <v>AB001008</v>
      </c>
      <c r="D360" t="str">
        <f ca="1">IFERROR(__xludf.DUMMYFUNCTION("""COMPUTED_VALUE"""),"")</f>
        <v/>
      </c>
      <c r="E360" s="205" t="str">
        <f ca="1">IFERROR(__xludf.DUMMYFUNCTION("""COMPUTED_VALUE"""),"蔡淑惠")</f>
        <v>蔡淑惠</v>
      </c>
    </row>
    <row r="361" spans="1:5" ht="15" customHeight="1">
      <c r="A361" s="121" t="str">
        <f t="shared" ca="1" si="1"/>
        <v/>
      </c>
      <c r="B361" t="str">
        <f t="shared" ca="1" si="2"/>
        <v/>
      </c>
      <c r="C361" s="206" t="str">
        <f ca="1">IFERROR(__xludf.DUMMYFUNCTION("""COMPUTED_VALUE"""),"AB001008")</f>
        <v>AB001008</v>
      </c>
      <c r="D361" t="str">
        <f ca="1">IFERROR(__xludf.DUMMYFUNCTION("""COMPUTED_VALUE"""),"")</f>
        <v/>
      </c>
      <c r="E361" s="205" t="str">
        <f ca="1">IFERROR(__xludf.DUMMYFUNCTION("""COMPUTED_VALUE"""),"蔡淑惠")</f>
        <v>蔡淑惠</v>
      </c>
    </row>
    <row r="362" spans="1:5" ht="15" customHeight="1">
      <c r="A362" s="121" t="str">
        <f t="shared" ca="1" si="1"/>
        <v/>
      </c>
      <c r="B362" t="str">
        <f t="shared" ca="1" si="2"/>
        <v/>
      </c>
      <c r="C362" s="206" t="str">
        <f ca="1">IFERROR(__xludf.DUMMYFUNCTION("""COMPUTED_VALUE"""),"AB000027")</f>
        <v>AB000027</v>
      </c>
      <c r="D362" t="str">
        <f ca="1">IFERROR(__xludf.DUMMYFUNCTION("""COMPUTED_VALUE"""),"")</f>
        <v/>
      </c>
      <c r="E362" s="205" t="str">
        <f ca="1">IFERROR(__xludf.DUMMYFUNCTION("""COMPUTED_VALUE"""),"李靖中")</f>
        <v>李靖中</v>
      </c>
    </row>
    <row r="363" spans="1:5" ht="15" customHeight="1">
      <c r="A363" s="121" t="str">
        <f t="shared" ca="1" si="1"/>
        <v/>
      </c>
      <c r="B363" t="str">
        <f t="shared" ca="1" si="2"/>
        <v/>
      </c>
      <c r="C363" s="206" t="str">
        <f ca="1">IFERROR(__xludf.DUMMYFUNCTION("""COMPUTED_VALUE"""),"AB001009")</f>
        <v>AB001009</v>
      </c>
      <c r="D363" t="str">
        <f ca="1">IFERROR(__xludf.DUMMYFUNCTION("""COMPUTED_VALUE"""),"")</f>
        <v/>
      </c>
      <c r="E363" s="205" t="str">
        <f ca="1">IFERROR(__xludf.DUMMYFUNCTION("""COMPUTED_VALUE"""),"胡懋祥")</f>
        <v>胡懋祥</v>
      </c>
    </row>
    <row r="364" spans="1:5" ht="15" customHeight="1">
      <c r="A364" s="121" t="str">
        <f t="shared" ca="1" si="1"/>
        <v/>
      </c>
      <c r="B364" t="str">
        <f t="shared" ca="1" si="2"/>
        <v/>
      </c>
      <c r="C364" s="206" t="str">
        <f ca="1">IFERROR(__xludf.DUMMYFUNCTION("""COMPUTED_VALUE"""),"AB001010")</f>
        <v>AB001010</v>
      </c>
      <c r="D364" t="str">
        <f ca="1">IFERROR(__xludf.DUMMYFUNCTION("""COMPUTED_VALUE"""),"")</f>
        <v/>
      </c>
      <c r="E364" s="205" t="str">
        <f ca="1">IFERROR(__xludf.DUMMYFUNCTION("""COMPUTED_VALUE"""),"藍昌利")</f>
        <v>藍昌利</v>
      </c>
    </row>
    <row r="365" spans="1:5" ht="15" customHeight="1">
      <c r="A365" s="121" t="str">
        <f t="shared" ca="1" si="1"/>
        <v/>
      </c>
      <c r="B365" t="str">
        <f t="shared" ca="1" si="2"/>
        <v/>
      </c>
      <c r="C365" s="206" t="str">
        <f ca="1">IFERROR(__xludf.DUMMYFUNCTION("""COMPUTED_VALUE"""),"AB001011")</f>
        <v>AB001011</v>
      </c>
      <c r="D365" t="str">
        <f ca="1">IFERROR(__xludf.DUMMYFUNCTION("""COMPUTED_VALUE"""),"")</f>
        <v/>
      </c>
      <c r="E365" s="205" t="str">
        <f ca="1">IFERROR(__xludf.DUMMYFUNCTION("""COMPUTED_VALUE"""),"施炎基")</f>
        <v>施炎基</v>
      </c>
    </row>
    <row r="366" spans="1:5" ht="15" customHeight="1">
      <c r="A366" s="121" t="str">
        <f t="shared" ca="1" si="1"/>
        <v/>
      </c>
      <c r="B366" t="str">
        <f t="shared" ca="1" si="2"/>
        <v/>
      </c>
      <c r="C366" s="206" t="str">
        <f ca="1">IFERROR(__xludf.DUMMYFUNCTION("""COMPUTED_VALUE"""),"AB001011")</f>
        <v>AB001011</v>
      </c>
      <c r="D366" t="str">
        <f ca="1">IFERROR(__xludf.DUMMYFUNCTION("""COMPUTED_VALUE"""),"")</f>
        <v/>
      </c>
      <c r="E366" s="205" t="str">
        <f ca="1">IFERROR(__xludf.DUMMYFUNCTION("""COMPUTED_VALUE"""),"施炎基")</f>
        <v>施炎基</v>
      </c>
    </row>
    <row r="367" spans="1:5" ht="15" customHeight="1">
      <c r="A367" s="121" t="str">
        <f t="shared" ca="1" si="1"/>
        <v/>
      </c>
      <c r="B367" t="str">
        <f t="shared" ca="1" si="2"/>
        <v/>
      </c>
      <c r="C367" s="206" t="str">
        <f ca="1">IFERROR(__xludf.DUMMYFUNCTION("""COMPUTED_VALUE"""),"AB001011")</f>
        <v>AB001011</v>
      </c>
      <c r="D367" t="str">
        <f ca="1">IFERROR(__xludf.DUMMYFUNCTION("""COMPUTED_VALUE"""),"")</f>
        <v/>
      </c>
      <c r="E367" s="205" t="str">
        <f ca="1">IFERROR(__xludf.DUMMYFUNCTION("""COMPUTED_VALUE"""),"施炎基")</f>
        <v>施炎基</v>
      </c>
    </row>
    <row r="368" spans="1:5" ht="15" customHeight="1">
      <c r="A368" s="121" t="str">
        <f t="shared" ca="1" si="1"/>
        <v/>
      </c>
      <c r="B368" t="str">
        <f t="shared" ca="1" si="2"/>
        <v/>
      </c>
      <c r="C368" s="206" t="str">
        <f ca="1">IFERROR(__xludf.DUMMYFUNCTION("""COMPUTED_VALUE"""),"AB001011")</f>
        <v>AB001011</v>
      </c>
      <c r="D368" t="str">
        <f ca="1">IFERROR(__xludf.DUMMYFUNCTION("""COMPUTED_VALUE"""),"")</f>
        <v/>
      </c>
      <c r="E368" s="205" t="str">
        <f ca="1">IFERROR(__xludf.DUMMYFUNCTION("""COMPUTED_VALUE"""),"施炎基")</f>
        <v>施炎基</v>
      </c>
    </row>
    <row r="369" spans="1:5" ht="15" customHeight="1">
      <c r="A369" s="121" t="str">
        <f t="shared" ca="1" si="1"/>
        <v/>
      </c>
      <c r="B369" t="str">
        <f t="shared" ca="1" si="2"/>
        <v/>
      </c>
      <c r="C369" s="206" t="str">
        <f ca="1">IFERROR(__xludf.DUMMYFUNCTION("""COMPUTED_VALUE"""),"AB000092")</f>
        <v>AB000092</v>
      </c>
      <c r="D369" t="str">
        <f ca="1">IFERROR(__xludf.DUMMYFUNCTION("""COMPUTED_VALUE"""),"")</f>
        <v/>
      </c>
      <c r="E369" s="205" t="str">
        <f ca="1">IFERROR(__xludf.DUMMYFUNCTION("""COMPUTED_VALUE"""),"黃光亮")</f>
        <v>黃光亮</v>
      </c>
    </row>
    <row r="370" spans="1:5" ht="15" customHeight="1">
      <c r="A370" s="121" t="str">
        <f t="shared" ca="1" si="1"/>
        <v/>
      </c>
      <c r="B370" t="str">
        <f t="shared" ca="1" si="2"/>
        <v/>
      </c>
      <c r="C370" s="206" t="str">
        <f ca="1">IFERROR(__xludf.DUMMYFUNCTION("""COMPUTED_VALUE"""),"AB000092")</f>
        <v>AB000092</v>
      </c>
      <c r="D370" t="str">
        <f ca="1">IFERROR(__xludf.DUMMYFUNCTION("""COMPUTED_VALUE"""),"")</f>
        <v/>
      </c>
      <c r="E370" s="205" t="str">
        <f ca="1">IFERROR(__xludf.DUMMYFUNCTION("""COMPUTED_VALUE"""),"黃光亮")</f>
        <v>黃光亮</v>
      </c>
    </row>
    <row r="371" spans="1:5" ht="15" customHeight="1">
      <c r="A371" s="121" t="str">
        <f t="shared" ca="1" si="1"/>
        <v/>
      </c>
      <c r="B371" t="str">
        <f t="shared" ca="1" si="2"/>
        <v/>
      </c>
      <c r="C371" s="206" t="str">
        <f ca="1">IFERROR(__xludf.DUMMYFUNCTION("""COMPUTED_VALUE"""),"AB001012")</f>
        <v>AB001012</v>
      </c>
      <c r="D371" t="str">
        <f ca="1">IFERROR(__xludf.DUMMYFUNCTION("""COMPUTED_VALUE"""),"")</f>
        <v/>
      </c>
      <c r="E371" s="205" t="str">
        <f ca="1">IFERROR(__xludf.DUMMYFUNCTION("""COMPUTED_VALUE"""),"陳照")</f>
        <v>陳照</v>
      </c>
    </row>
    <row r="372" spans="1:5" ht="15" customHeight="1">
      <c r="A372" s="121" t="str">
        <f t="shared" ca="1" si="1"/>
        <v/>
      </c>
      <c r="B372" t="str">
        <f t="shared" ca="1" si="2"/>
        <v/>
      </c>
      <c r="C372" s="206" t="str">
        <f ca="1">IFERROR(__xludf.DUMMYFUNCTION("""COMPUTED_VALUE"""),"AB001013")</f>
        <v>AB001013</v>
      </c>
      <c r="D372" t="str">
        <f ca="1">IFERROR(__xludf.DUMMYFUNCTION("""COMPUTED_VALUE"""),"")</f>
        <v/>
      </c>
      <c r="E372" s="205" t="str">
        <f ca="1">IFERROR(__xludf.DUMMYFUNCTION("""COMPUTED_VALUE"""),"藍昌利")</f>
        <v>藍昌利</v>
      </c>
    </row>
    <row r="373" spans="1:5" ht="15" customHeight="1">
      <c r="A373" s="121" t="str">
        <f t="shared" ca="1" si="1"/>
        <v/>
      </c>
      <c r="B373" t="str">
        <f t="shared" ca="1" si="2"/>
        <v/>
      </c>
      <c r="C373" s="206" t="str">
        <f ca="1">IFERROR(__xludf.DUMMYFUNCTION("""COMPUTED_VALUE"""),"AB001014")</f>
        <v>AB001014</v>
      </c>
      <c r="D373" t="str">
        <f ca="1">IFERROR(__xludf.DUMMYFUNCTION("""COMPUTED_VALUE"""),"")</f>
        <v/>
      </c>
      <c r="E373" s="205" t="str">
        <f ca="1">IFERROR(__xludf.DUMMYFUNCTION("""COMPUTED_VALUE"""),"王碧玉")</f>
        <v>王碧玉</v>
      </c>
    </row>
    <row r="374" spans="1:5" ht="15" customHeight="1">
      <c r="A374" s="121" t="str">
        <f t="shared" ca="1" si="1"/>
        <v/>
      </c>
      <c r="B374" t="str">
        <f t="shared" ca="1" si="2"/>
        <v/>
      </c>
      <c r="C374" s="206" t="str">
        <f ca="1">IFERROR(__xludf.DUMMYFUNCTION("""COMPUTED_VALUE"""),"AB001015")</f>
        <v>AB001015</v>
      </c>
      <c r="D374" t="str">
        <f ca="1">IFERROR(__xludf.DUMMYFUNCTION("""COMPUTED_VALUE"""),"")</f>
        <v/>
      </c>
      <c r="E374" s="205" t="str">
        <f ca="1">IFERROR(__xludf.DUMMYFUNCTION("""COMPUTED_VALUE"""),"孫珮芸")</f>
        <v>孫珮芸</v>
      </c>
    </row>
    <row r="375" spans="1:5" ht="15" customHeight="1">
      <c r="A375" s="121" t="str">
        <f t="shared" ca="1" si="1"/>
        <v/>
      </c>
      <c r="B375" t="str">
        <f t="shared" ca="1" si="2"/>
        <v/>
      </c>
      <c r="C375" s="206" t="str">
        <f ca="1">IFERROR(__xludf.DUMMYFUNCTION("""COMPUTED_VALUE"""),"AB001016")</f>
        <v>AB001016</v>
      </c>
      <c r="D375" t="str">
        <f ca="1">IFERROR(__xludf.DUMMYFUNCTION("""COMPUTED_VALUE"""),"")</f>
        <v/>
      </c>
      <c r="E375" s="205" t="str">
        <f ca="1">IFERROR(__xludf.DUMMYFUNCTION("""COMPUTED_VALUE"""),"戴嬿樺")</f>
        <v>戴嬿樺</v>
      </c>
    </row>
    <row r="376" spans="1:5" ht="15" customHeight="1">
      <c r="A376" s="121" t="str">
        <f t="shared" ca="1" si="1"/>
        <v/>
      </c>
      <c r="B376" t="str">
        <f t="shared" ca="1" si="2"/>
        <v/>
      </c>
      <c r="C376" s="206" t="str">
        <f ca="1">IFERROR(__xludf.DUMMYFUNCTION("""COMPUTED_VALUE"""),"AB000028")</f>
        <v>AB000028</v>
      </c>
      <c r="D376" t="str">
        <f ca="1">IFERROR(__xludf.DUMMYFUNCTION("""COMPUTED_VALUE"""),"")</f>
        <v/>
      </c>
      <c r="E376" s="205" t="str">
        <f ca="1">IFERROR(__xludf.DUMMYFUNCTION("""COMPUTED_VALUE"""),"姜則名")</f>
        <v>姜則名</v>
      </c>
    </row>
    <row r="377" spans="1:5" ht="15" customHeight="1">
      <c r="A377" s="121" t="str">
        <f t="shared" ca="1" si="1"/>
        <v/>
      </c>
      <c r="B377" t="str">
        <f t="shared" ca="1" si="2"/>
        <v/>
      </c>
      <c r="C377" s="206" t="str">
        <f ca="1">IFERROR(__xludf.DUMMYFUNCTION("""COMPUTED_VALUE"""),"AB001017")</f>
        <v>AB001017</v>
      </c>
      <c r="D377" t="str">
        <f ca="1">IFERROR(__xludf.DUMMYFUNCTION("""COMPUTED_VALUE"""),"")</f>
        <v/>
      </c>
      <c r="E377" s="205" t="str">
        <f ca="1">IFERROR(__xludf.DUMMYFUNCTION("""COMPUTED_VALUE"""),"陳逸慈")</f>
        <v>陳逸慈</v>
      </c>
    </row>
    <row r="378" spans="1:5" ht="15" customHeight="1">
      <c r="A378" s="121" t="str">
        <f t="shared" ca="1" si="1"/>
        <v/>
      </c>
      <c r="B378" t="str">
        <f t="shared" ca="1" si="2"/>
        <v/>
      </c>
      <c r="C378" s="206" t="str">
        <f ca="1">IFERROR(__xludf.DUMMYFUNCTION("""COMPUTED_VALUE"""),"AB000010")</f>
        <v>AB000010</v>
      </c>
      <c r="D378" t="str">
        <f ca="1">IFERROR(__xludf.DUMMYFUNCTION("""COMPUTED_VALUE"""),"")</f>
        <v/>
      </c>
      <c r="E378" s="205" t="str">
        <f ca="1">IFERROR(__xludf.DUMMYFUNCTION("""COMPUTED_VALUE"""),"郭明傑")</f>
        <v>郭明傑</v>
      </c>
    </row>
    <row r="379" spans="1:5" ht="15" customHeight="1">
      <c r="A379" s="121" t="str">
        <f t="shared" ca="1" si="1"/>
        <v/>
      </c>
      <c r="B379" t="str">
        <f t="shared" ca="1" si="2"/>
        <v/>
      </c>
      <c r="C379" s="206" t="str">
        <f ca="1">IFERROR(__xludf.DUMMYFUNCTION("""COMPUTED_VALUE"""),"AB001018")</f>
        <v>AB001018</v>
      </c>
      <c r="D379" t="str">
        <f ca="1">IFERROR(__xludf.DUMMYFUNCTION("""COMPUTED_VALUE"""),"")</f>
        <v/>
      </c>
      <c r="E379" s="205" t="str">
        <f ca="1">IFERROR(__xludf.DUMMYFUNCTION("""COMPUTED_VALUE"""),"楊芳萍")</f>
        <v>楊芳萍</v>
      </c>
    </row>
    <row r="380" spans="1:5" ht="15" customHeight="1">
      <c r="A380" s="121" t="str">
        <f t="shared" ca="1" si="1"/>
        <v/>
      </c>
      <c r="B380" t="str">
        <f t="shared" ca="1" si="2"/>
        <v/>
      </c>
      <c r="C380" s="206" t="str">
        <f ca="1">IFERROR(__xludf.DUMMYFUNCTION("""COMPUTED_VALUE"""),"AB001039")</f>
        <v>AB001039</v>
      </c>
      <c r="D380" t="str">
        <f ca="1">IFERROR(__xludf.DUMMYFUNCTION("""COMPUTED_VALUE"""),"")</f>
        <v/>
      </c>
      <c r="E380" s="205" t="str">
        <f ca="1">IFERROR(__xludf.DUMMYFUNCTION("""COMPUTED_VALUE"""),"楊雯")</f>
        <v>楊雯</v>
      </c>
    </row>
    <row r="381" spans="1:5" ht="15" customHeight="1">
      <c r="A381" s="121" t="str">
        <f t="shared" ca="1" si="1"/>
        <v/>
      </c>
      <c r="B381" t="str">
        <f t="shared" ca="1" si="2"/>
        <v/>
      </c>
      <c r="C381" s="206" t="str">
        <f ca="1">IFERROR(__xludf.DUMMYFUNCTION("""COMPUTED_VALUE"""),"AB001039")</f>
        <v>AB001039</v>
      </c>
      <c r="D381" t="str">
        <f ca="1">IFERROR(__xludf.DUMMYFUNCTION("""COMPUTED_VALUE"""),"")</f>
        <v/>
      </c>
      <c r="E381" s="205" t="str">
        <f ca="1">IFERROR(__xludf.DUMMYFUNCTION("""COMPUTED_VALUE"""),"楊雯")</f>
        <v>楊雯</v>
      </c>
    </row>
    <row r="382" spans="1:5" ht="15" customHeight="1">
      <c r="A382" s="121" t="str">
        <f t="shared" ca="1" si="1"/>
        <v/>
      </c>
      <c r="B382" t="str">
        <f t="shared" ca="1" si="2"/>
        <v/>
      </c>
      <c r="C382" s="206" t="str">
        <f ca="1">IFERROR(__xludf.DUMMYFUNCTION("""COMPUTED_VALUE"""),"AB001039")</f>
        <v>AB001039</v>
      </c>
      <c r="D382" t="str">
        <f ca="1">IFERROR(__xludf.DUMMYFUNCTION("""COMPUTED_VALUE"""),"")</f>
        <v/>
      </c>
      <c r="E382" s="205" t="str">
        <f ca="1">IFERROR(__xludf.DUMMYFUNCTION("""COMPUTED_VALUE"""),"楊雯")</f>
        <v>楊雯</v>
      </c>
    </row>
    <row r="383" spans="1:5" ht="15" customHeight="1">
      <c r="A383" s="121" t="str">
        <f t="shared" ca="1" si="1"/>
        <v/>
      </c>
      <c r="B383" t="str">
        <f t="shared" ca="1" si="2"/>
        <v/>
      </c>
      <c r="C383" s="206" t="str">
        <f ca="1">IFERROR(__xludf.DUMMYFUNCTION("""COMPUTED_VALUE"""),"AA001020")</f>
        <v>AA001020</v>
      </c>
      <c r="D383" t="str">
        <f ca="1">IFERROR(__xludf.DUMMYFUNCTION("""COMPUTED_VALUE"""),"")</f>
        <v/>
      </c>
      <c r="E383" s="205" t="str">
        <f ca="1">IFERROR(__xludf.DUMMYFUNCTION("""COMPUTED_VALUE"""),"蘇游祥")</f>
        <v>蘇游祥</v>
      </c>
    </row>
    <row r="384" spans="1:5" ht="15" customHeight="1">
      <c r="A384" s="121" t="str">
        <f t="shared" ca="1" si="1"/>
        <v/>
      </c>
      <c r="B384" t="str">
        <f t="shared" ca="1" si="2"/>
        <v/>
      </c>
      <c r="C384" s="206" t="str">
        <f ca="1">IFERROR(__xludf.DUMMYFUNCTION("""COMPUTED_VALUE"""),"AB001021")</f>
        <v>AB001021</v>
      </c>
      <c r="D384" t="str">
        <f ca="1">IFERROR(__xludf.DUMMYFUNCTION("""COMPUTED_VALUE"""),"")</f>
        <v/>
      </c>
      <c r="E384" s="205" t="str">
        <f ca="1">IFERROR(__xludf.DUMMYFUNCTION("""COMPUTED_VALUE"""),"蔣景青")</f>
        <v>蔣景青</v>
      </c>
    </row>
    <row r="385" spans="1:5" ht="15" customHeight="1">
      <c r="A385" s="121" t="str">
        <f t="shared" ca="1" si="1"/>
        <v/>
      </c>
      <c r="B385" t="str">
        <f t="shared" ca="1" si="2"/>
        <v/>
      </c>
      <c r="C385" s="206" t="str">
        <f ca="1">IFERROR(__xludf.DUMMYFUNCTION("""COMPUTED_VALUE"""),"AB000049")</f>
        <v>AB000049</v>
      </c>
      <c r="D385" t="str">
        <f ca="1">IFERROR(__xludf.DUMMYFUNCTION("""COMPUTED_VALUE"""),"")</f>
        <v/>
      </c>
      <c r="E385" s="205" t="str">
        <f ca="1">IFERROR(__xludf.DUMMYFUNCTION("""COMPUTED_VALUE"""),"李祥玉")</f>
        <v>李祥玉</v>
      </c>
    </row>
    <row r="386" spans="1:5" ht="15" customHeight="1">
      <c r="A386" s="121" t="str">
        <f t="shared" ca="1" si="1"/>
        <v/>
      </c>
      <c r="B386" t="str">
        <f t="shared" ca="1" si="2"/>
        <v/>
      </c>
      <c r="C386" s="206" t="str">
        <f ca="1">IFERROR(__xludf.DUMMYFUNCTION("""COMPUTED_VALUE"""),"AB000021")</f>
        <v>AB000021</v>
      </c>
      <c r="D386" t="str">
        <f ca="1">IFERROR(__xludf.DUMMYFUNCTION("""COMPUTED_VALUE"""),"")</f>
        <v/>
      </c>
      <c r="E386" s="205" t="str">
        <f ca="1">IFERROR(__xludf.DUMMYFUNCTION("""COMPUTED_VALUE"""),"程原祥")</f>
        <v>程原祥</v>
      </c>
    </row>
    <row r="387" spans="1:5" ht="15" customHeight="1">
      <c r="A387" s="121" t="str">
        <f t="shared" ca="1" si="1"/>
        <v/>
      </c>
      <c r="B387" t="str">
        <f t="shared" ca="1" si="2"/>
        <v/>
      </c>
      <c r="C387" s="206" t="str">
        <f ca="1">IFERROR(__xludf.DUMMYFUNCTION("""COMPUTED_VALUE"""),"AB001022")</f>
        <v>AB001022</v>
      </c>
      <c r="D387" t="str">
        <f ca="1">IFERROR(__xludf.DUMMYFUNCTION("""COMPUTED_VALUE"""),"")</f>
        <v/>
      </c>
      <c r="E387" s="205" t="str">
        <f ca="1">IFERROR(__xludf.DUMMYFUNCTION("""COMPUTED_VALUE"""),"芈(ㄇ一ㄝ)瑞")</f>
        <v>芈(ㄇ一ㄝ)瑞</v>
      </c>
    </row>
    <row r="388" spans="1:5" ht="15" customHeight="1">
      <c r="A388" s="121" t="str">
        <f t="shared" ca="1" si="1"/>
        <v/>
      </c>
      <c r="B388" t="str">
        <f t="shared" ca="1" si="2"/>
        <v/>
      </c>
      <c r="C388" s="206" t="str">
        <f ca="1">IFERROR(__xludf.DUMMYFUNCTION("""COMPUTED_VALUE"""),"AB001023")</f>
        <v>AB001023</v>
      </c>
      <c r="D388" t="str">
        <f ca="1">IFERROR(__xludf.DUMMYFUNCTION("""COMPUTED_VALUE"""),"")</f>
        <v/>
      </c>
      <c r="E388" s="205" t="str">
        <f ca="1">IFERROR(__xludf.DUMMYFUNCTION("""COMPUTED_VALUE"""),"許捷芳")</f>
        <v>許捷芳</v>
      </c>
    </row>
    <row r="389" spans="1:5" ht="15" customHeight="1">
      <c r="A389" s="121" t="str">
        <f t="shared" ca="1" si="1"/>
        <v/>
      </c>
      <c r="B389" t="str">
        <f t="shared" ca="1" si="2"/>
        <v/>
      </c>
      <c r="C389" s="206" t="str">
        <f ca="1">IFERROR(__xludf.DUMMYFUNCTION("""COMPUTED_VALUE"""),"AB000022")</f>
        <v>AB000022</v>
      </c>
      <c r="D389" t="str">
        <f ca="1">IFERROR(__xludf.DUMMYFUNCTION("""COMPUTED_VALUE"""),"")</f>
        <v/>
      </c>
      <c r="E389" s="205" t="str">
        <f ca="1">IFERROR(__xludf.DUMMYFUNCTION("""COMPUTED_VALUE"""),"羅健菲")</f>
        <v>羅健菲</v>
      </c>
    </row>
    <row r="390" spans="1:5" ht="15" customHeight="1">
      <c r="A390" s="121" t="str">
        <f t="shared" ca="1" si="1"/>
        <v/>
      </c>
      <c r="B390" t="str">
        <f t="shared" ca="1" si="2"/>
        <v/>
      </c>
      <c r="C390" s="206" t="str">
        <f ca="1">IFERROR(__xludf.DUMMYFUNCTION("""COMPUTED_VALUE"""),"AB001024")</f>
        <v>AB001024</v>
      </c>
      <c r="D390" t="str">
        <f ca="1">IFERROR(__xludf.DUMMYFUNCTION("""COMPUTED_VALUE"""),"")</f>
        <v/>
      </c>
      <c r="E390" s="205" t="str">
        <f ca="1">IFERROR(__xludf.DUMMYFUNCTION("""COMPUTED_VALUE"""),"陳斐娜")</f>
        <v>陳斐娜</v>
      </c>
    </row>
    <row r="391" spans="1:5" ht="15" customHeight="1">
      <c r="A391" s="121" t="str">
        <f t="shared" ca="1" si="1"/>
        <v/>
      </c>
      <c r="B391" t="str">
        <f t="shared" ca="1" si="2"/>
        <v/>
      </c>
      <c r="C391" s="206" t="str">
        <f ca="1">IFERROR(__xludf.DUMMYFUNCTION("""COMPUTED_VALUE"""),"AB001024")</f>
        <v>AB001024</v>
      </c>
      <c r="D391" t="str">
        <f ca="1">IFERROR(__xludf.DUMMYFUNCTION("""COMPUTED_VALUE"""),"")</f>
        <v/>
      </c>
      <c r="E391" s="205" t="str">
        <f ca="1">IFERROR(__xludf.DUMMYFUNCTION("""COMPUTED_VALUE"""),"陳斐娜")</f>
        <v>陳斐娜</v>
      </c>
    </row>
    <row r="392" spans="1:5" ht="15" customHeight="1">
      <c r="A392" s="121" t="str">
        <f t="shared" ca="1" si="1"/>
        <v/>
      </c>
      <c r="B392" t="str">
        <f t="shared" ca="1" si="2"/>
        <v/>
      </c>
      <c r="C392" s="206" t="str">
        <f ca="1">IFERROR(__xludf.DUMMYFUNCTION("""COMPUTED_VALUE"""),"AB001024")</f>
        <v>AB001024</v>
      </c>
      <c r="D392" t="str">
        <f ca="1">IFERROR(__xludf.DUMMYFUNCTION("""COMPUTED_VALUE"""),"")</f>
        <v/>
      </c>
      <c r="E392" s="205" t="str">
        <f ca="1">IFERROR(__xludf.DUMMYFUNCTION("""COMPUTED_VALUE"""),"陳斐娜")</f>
        <v>陳斐娜</v>
      </c>
    </row>
    <row r="393" spans="1:5" ht="15" customHeight="1">
      <c r="A393" s="121" t="str">
        <f t="shared" ca="1" si="1"/>
        <v/>
      </c>
      <c r="B393" t="str">
        <f t="shared" ca="1" si="2"/>
        <v/>
      </c>
      <c r="C393" s="206" t="str">
        <f ca="1">IFERROR(__xludf.DUMMYFUNCTION("""COMPUTED_VALUE"""),"AB001024")</f>
        <v>AB001024</v>
      </c>
      <c r="D393" t="str">
        <f ca="1">IFERROR(__xludf.DUMMYFUNCTION("""COMPUTED_VALUE"""),"")</f>
        <v/>
      </c>
      <c r="E393" s="205" t="str">
        <f ca="1">IFERROR(__xludf.DUMMYFUNCTION("""COMPUTED_VALUE"""),"陳斐娜")</f>
        <v>陳斐娜</v>
      </c>
    </row>
    <row r="394" spans="1:5" ht="15" customHeight="1">
      <c r="A394" s="121" t="str">
        <f t="shared" ca="1" si="1"/>
        <v/>
      </c>
      <c r="B394" t="str">
        <f t="shared" ca="1" si="2"/>
        <v/>
      </c>
      <c r="C394" s="206" t="str">
        <f ca="1">IFERROR(__xludf.DUMMYFUNCTION("""COMPUTED_VALUE"""),"AB001027")</f>
        <v>AB001027</v>
      </c>
      <c r="D394" t="str">
        <f ca="1">IFERROR(__xludf.DUMMYFUNCTION("""COMPUTED_VALUE"""),"")</f>
        <v/>
      </c>
      <c r="E394" s="205" t="str">
        <f ca="1">IFERROR(__xludf.DUMMYFUNCTION("""COMPUTED_VALUE"""),"陳復華")</f>
        <v>陳復華</v>
      </c>
    </row>
    <row r="395" spans="1:5" ht="15" customHeight="1">
      <c r="A395" s="121" t="str">
        <f t="shared" ca="1" si="1"/>
        <v/>
      </c>
      <c r="B395" t="str">
        <f t="shared" ca="1" si="2"/>
        <v/>
      </c>
      <c r="C395" s="206" t="str">
        <f ca="1">IFERROR(__xludf.DUMMYFUNCTION("""COMPUTED_VALUE"""),"AB001027")</f>
        <v>AB001027</v>
      </c>
      <c r="D395" t="str">
        <f ca="1">IFERROR(__xludf.DUMMYFUNCTION("""COMPUTED_VALUE"""),"")</f>
        <v/>
      </c>
      <c r="E395" s="205" t="str">
        <f ca="1">IFERROR(__xludf.DUMMYFUNCTION("""COMPUTED_VALUE"""),"陳復華")</f>
        <v>陳復華</v>
      </c>
    </row>
    <row r="396" spans="1:5" ht="15" customHeight="1">
      <c r="A396" s="121" t="str">
        <f t="shared" ca="1" si="1"/>
        <v/>
      </c>
      <c r="B396" t="str">
        <f t="shared" ca="1" si="2"/>
        <v/>
      </c>
      <c r="C396" s="206" t="str">
        <f ca="1">IFERROR(__xludf.DUMMYFUNCTION("""COMPUTED_VALUE"""),"AB001028")</f>
        <v>AB001028</v>
      </c>
      <c r="D396" t="str">
        <f ca="1">IFERROR(__xludf.DUMMYFUNCTION("""COMPUTED_VALUE"""),"")</f>
        <v/>
      </c>
      <c r="E396" s="205" t="str">
        <f ca="1">IFERROR(__xludf.DUMMYFUNCTION("""COMPUTED_VALUE"""),"陳復華")</f>
        <v>陳復華</v>
      </c>
    </row>
    <row r="397" spans="1:5" ht="15" customHeight="1">
      <c r="A397" s="121" t="str">
        <f t="shared" ca="1" si="1"/>
        <v/>
      </c>
      <c r="B397" t="str">
        <f t="shared" ca="1" si="2"/>
        <v/>
      </c>
      <c r="C397" s="206" t="str">
        <f ca="1">IFERROR(__xludf.DUMMYFUNCTION("""COMPUTED_VALUE"""),"AB000009")</f>
        <v>AB000009</v>
      </c>
      <c r="D397" t="str">
        <f ca="1">IFERROR(__xludf.DUMMYFUNCTION("""COMPUTED_VALUE"""),"")</f>
        <v/>
      </c>
      <c r="E397" s="205" t="str">
        <f ca="1">IFERROR(__xludf.DUMMYFUNCTION("""COMPUTED_VALUE"""),"姚小菊")</f>
        <v>姚小菊</v>
      </c>
    </row>
    <row r="398" spans="1:5" ht="15" customHeight="1">
      <c r="A398" s="121" t="str">
        <f t="shared" ca="1" si="1"/>
        <v/>
      </c>
      <c r="B398" t="str">
        <f t="shared" ca="1" si="2"/>
        <v/>
      </c>
      <c r="C398" s="206" t="str">
        <f ca="1">IFERROR(__xludf.DUMMYFUNCTION("""COMPUTED_VALUE"""),"AB001083")</f>
        <v>AB001083</v>
      </c>
      <c r="D398" t="str">
        <f ca="1">IFERROR(__xludf.DUMMYFUNCTION("""COMPUTED_VALUE"""),"")</f>
        <v/>
      </c>
      <c r="E398" s="205" t="str">
        <f ca="1">IFERROR(__xludf.DUMMYFUNCTION("""COMPUTED_VALUE"""),"高麗卿")</f>
        <v>高麗卿</v>
      </c>
    </row>
    <row r="399" spans="1:5" ht="15" customHeight="1">
      <c r="A399" s="121" t="str">
        <f t="shared" ca="1" si="1"/>
        <v/>
      </c>
      <c r="B399" t="str">
        <f t="shared" ca="1" si="2"/>
        <v/>
      </c>
      <c r="C399" s="206" t="str">
        <f ca="1">IFERROR(__xludf.DUMMYFUNCTION("""COMPUTED_VALUE"""),"AB001037")</f>
        <v>AB001037</v>
      </c>
      <c r="D399" t="str">
        <f ca="1">IFERROR(__xludf.DUMMYFUNCTION("""COMPUTED_VALUE"""),"")</f>
        <v/>
      </c>
      <c r="E399" s="205" t="str">
        <f ca="1">IFERROR(__xludf.DUMMYFUNCTION("""COMPUTED_VALUE"""),"余玉")</f>
        <v>余玉</v>
      </c>
    </row>
    <row r="400" spans="1:5" ht="15" customHeight="1">
      <c r="A400" s="121" t="str">
        <f t="shared" ca="1" si="1"/>
        <v/>
      </c>
      <c r="B400" t="str">
        <f t="shared" ca="1" si="2"/>
        <v/>
      </c>
      <c r="C400" s="206" t="str">
        <f ca="1">IFERROR(__xludf.DUMMYFUNCTION("""COMPUTED_VALUE"""),"AB001036")</f>
        <v>AB001036</v>
      </c>
      <c r="D400" t="str">
        <f ca="1">IFERROR(__xludf.DUMMYFUNCTION("""COMPUTED_VALUE"""),"")</f>
        <v/>
      </c>
      <c r="E400" s="205" t="str">
        <f ca="1">IFERROR(__xludf.DUMMYFUNCTION("""COMPUTED_VALUE"""),"李秀香")</f>
        <v>李秀香</v>
      </c>
    </row>
    <row r="401" spans="1:5" ht="15" customHeight="1">
      <c r="A401" s="121" t="str">
        <f t="shared" ca="1" si="1"/>
        <v/>
      </c>
      <c r="B401" t="str">
        <f t="shared" ca="1" si="2"/>
        <v/>
      </c>
      <c r="C401" s="206" t="str">
        <f ca="1">IFERROR(__xludf.DUMMYFUNCTION("""COMPUTED_VALUE"""),"AB001025")</f>
        <v>AB001025</v>
      </c>
      <c r="D401" t="str">
        <f ca="1">IFERROR(__xludf.DUMMYFUNCTION("""COMPUTED_VALUE"""),"")</f>
        <v/>
      </c>
      <c r="E401" s="205" t="str">
        <f ca="1">IFERROR(__xludf.DUMMYFUNCTION("""COMPUTED_VALUE"""),"李秀英")</f>
        <v>李秀英</v>
      </c>
    </row>
    <row r="402" spans="1:5" ht="15" customHeight="1">
      <c r="A402" s="121" t="str">
        <f t="shared" ca="1" si="1"/>
        <v/>
      </c>
      <c r="B402" t="str">
        <f t="shared" ca="1" si="2"/>
        <v/>
      </c>
      <c r="C402" s="206" t="str">
        <f ca="1">IFERROR(__xludf.DUMMYFUNCTION("""COMPUTED_VALUE"""),"AB001035")</f>
        <v>AB001035</v>
      </c>
      <c r="D402" t="str">
        <f ca="1">IFERROR(__xludf.DUMMYFUNCTION("""COMPUTED_VALUE"""),"")</f>
        <v/>
      </c>
      <c r="E402" s="205" t="str">
        <f ca="1">IFERROR(__xludf.DUMMYFUNCTION("""COMPUTED_VALUE"""),"何志生")</f>
        <v>何志生</v>
      </c>
    </row>
    <row r="403" spans="1:5" ht="15" customHeight="1">
      <c r="A403" s="121" t="str">
        <f t="shared" ca="1" si="1"/>
        <v/>
      </c>
      <c r="B403" t="str">
        <f t="shared" ca="1" si="2"/>
        <v/>
      </c>
      <c r="C403" s="206" t="str">
        <f ca="1">IFERROR(__xludf.DUMMYFUNCTION("""COMPUTED_VALUE"""),"AB001033")</f>
        <v>AB001033</v>
      </c>
      <c r="D403" t="str">
        <f ca="1">IFERROR(__xludf.DUMMYFUNCTION("""COMPUTED_VALUE"""),"")</f>
        <v/>
      </c>
      <c r="E403" s="205" t="str">
        <f ca="1">IFERROR(__xludf.DUMMYFUNCTION("""COMPUTED_VALUE"""),"高秀卿")</f>
        <v>高秀卿</v>
      </c>
    </row>
    <row r="404" spans="1:5" ht="15" customHeight="1">
      <c r="A404" s="121" t="str">
        <f t="shared" ca="1" si="1"/>
        <v/>
      </c>
      <c r="B404" t="str">
        <f t="shared" ca="1" si="2"/>
        <v/>
      </c>
      <c r="C404" s="206" t="str">
        <f ca="1">IFERROR(__xludf.DUMMYFUNCTION("""COMPUTED_VALUE"""),"AB001031")</f>
        <v>AB001031</v>
      </c>
      <c r="D404" t="str">
        <f ca="1">IFERROR(__xludf.DUMMYFUNCTION("""COMPUTED_VALUE"""),"")</f>
        <v/>
      </c>
      <c r="E404" s="205" t="str">
        <f ca="1">IFERROR(__xludf.DUMMYFUNCTION("""COMPUTED_VALUE"""),"林秀嬌")</f>
        <v>林秀嬌</v>
      </c>
    </row>
    <row r="405" spans="1:5" ht="15" customHeight="1">
      <c r="A405" s="121" t="str">
        <f t="shared" ca="1" si="1"/>
        <v/>
      </c>
      <c r="B405" t="str">
        <f t="shared" ca="1" si="2"/>
        <v/>
      </c>
      <c r="C405" s="206" t="str">
        <f ca="1">IFERROR(__xludf.DUMMYFUNCTION("""COMPUTED_VALUE"""),"AB001032")</f>
        <v>AB001032</v>
      </c>
      <c r="D405" t="str">
        <f ca="1">IFERROR(__xludf.DUMMYFUNCTION("""COMPUTED_VALUE"""),"")</f>
        <v/>
      </c>
      <c r="E405" s="205" t="str">
        <f ca="1">IFERROR(__xludf.DUMMYFUNCTION("""COMPUTED_VALUE"""),"葉斯晉")</f>
        <v>葉斯晉</v>
      </c>
    </row>
    <row r="406" spans="1:5" ht="15" customHeight="1">
      <c r="A406" s="121" t="str">
        <f t="shared" ca="1" si="1"/>
        <v/>
      </c>
      <c r="B406" t="str">
        <f t="shared" ca="1" si="2"/>
        <v/>
      </c>
      <c r="C406" s="206" t="str">
        <f ca="1">IFERROR(__xludf.DUMMYFUNCTION("""COMPUTED_VALUE"""),"AB001030")</f>
        <v>AB001030</v>
      </c>
      <c r="D406" t="str">
        <f ca="1">IFERROR(__xludf.DUMMYFUNCTION("""COMPUTED_VALUE"""),"")</f>
        <v/>
      </c>
      <c r="E406" s="205" t="str">
        <f ca="1">IFERROR(__xludf.DUMMYFUNCTION("""COMPUTED_VALUE"""),"何志生")</f>
        <v>何志生</v>
      </c>
    </row>
    <row r="407" spans="1:5" ht="15" customHeight="1">
      <c r="A407" s="121" t="str">
        <f t="shared" ca="1" si="1"/>
        <v/>
      </c>
      <c r="B407" t="str">
        <f t="shared" ca="1" si="2"/>
        <v/>
      </c>
      <c r="C407" s="206" t="str">
        <f ca="1">IFERROR(__xludf.DUMMYFUNCTION("""COMPUTED_VALUE"""),"AB000018")</f>
        <v>AB000018</v>
      </c>
      <c r="D407" t="str">
        <f ca="1">IFERROR(__xludf.DUMMYFUNCTION("""COMPUTED_VALUE"""),"")</f>
        <v/>
      </c>
      <c r="E407" s="205" t="str">
        <f ca="1">IFERROR(__xludf.DUMMYFUNCTION("""COMPUTED_VALUE"""),"王潘惠英")</f>
        <v>王潘惠英</v>
      </c>
    </row>
    <row r="408" spans="1:5" ht="15" customHeight="1">
      <c r="A408" s="121" t="str">
        <f t="shared" ca="1" si="1"/>
        <v/>
      </c>
      <c r="B408" t="str">
        <f t="shared" ca="1" si="2"/>
        <v/>
      </c>
      <c r="C408" s="206" t="str">
        <f ca="1">IFERROR(__xludf.DUMMYFUNCTION("""COMPUTED_VALUE"""),"AB001029")</f>
        <v>AB001029</v>
      </c>
      <c r="D408" t="str">
        <f ca="1">IFERROR(__xludf.DUMMYFUNCTION("""COMPUTED_VALUE"""),"")</f>
        <v/>
      </c>
      <c r="E408" s="205" t="str">
        <f ca="1">IFERROR(__xludf.DUMMYFUNCTION("""COMPUTED_VALUE"""),"王潘惠英")</f>
        <v>王潘惠英</v>
      </c>
    </row>
    <row r="409" spans="1:5" ht="15" customHeight="1">
      <c r="A409" s="121" t="str">
        <f t="shared" ca="1" si="1"/>
        <v/>
      </c>
      <c r="B409" t="str">
        <f t="shared" ca="1" si="2"/>
        <v/>
      </c>
      <c r="C409" s="206" t="str">
        <f ca="1">IFERROR(__xludf.DUMMYFUNCTION("""COMPUTED_VALUE"""),"AB000017")</f>
        <v>AB000017</v>
      </c>
      <c r="D409" t="str">
        <f ca="1">IFERROR(__xludf.DUMMYFUNCTION("""COMPUTED_VALUE"""),"")</f>
        <v/>
      </c>
      <c r="E409" s="205" t="str">
        <f ca="1">IFERROR(__xludf.DUMMYFUNCTION("""COMPUTED_VALUE"""),"劉倩吾")</f>
        <v>劉倩吾</v>
      </c>
    </row>
    <row r="410" spans="1:5" ht="15" customHeight="1">
      <c r="A410" s="121" t="str">
        <f t="shared" ca="1" si="1"/>
        <v/>
      </c>
      <c r="B410" t="str">
        <f t="shared" ca="1" si="2"/>
        <v/>
      </c>
      <c r="C410" s="206" t="str">
        <f ca="1">IFERROR(__xludf.DUMMYFUNCTION("""COMPUTED_VALUE"""),"AB000106")</f>
        <v>AB000106</v>
      </c>
      <c r="D410" t="str">
        <f ca="1">IFERROR(__xludf.DUMMYFUNCTION("""COMPUTED_VALUE"""),"")</f>
        <v/>
      </c>
      <c r="E410" s="205" t="str">
        <f ca="1">IFERROR(__xludf.DUMMYFUNCTION("""COMPUTED_VALUE"""),"李奕儒")</f>
        <v>李奕儒</v>
      </c>
    </row>
    <row r="411" spans="1:5" ht="15" customHeight="1">
      <c r="A411" s="121" t="str">
        <f t="shared" ca="1" si="1"/>
        <v/>
      </c>
      <c r="B411" t="str">
        <f t="shared" ca="1" si="2"/>
        <v/>
      </c>
      <c r="C411" s="206" t="str">
        <f ca="1">IFERROR(__xludf.DUMMYFUNCTION("""COMPUTED_VALUE"""),"AB001040-1")</f>
        <v>AB001040-1</v>
      </c>
      <c r="D411" t="str">
        <f ca="1">IFERROR(__xludf.DUMMYFUNCTION("""COMPUTED_VALUE"""),"")</f>
        <v/>
      </c>
      <c r="E411" s="205" t="str">
        <f ca="1">IFERROR(__xludf.DUMMYFUNCTION("""COMPUTED_VALUE"""),"李瑞雲")</f>
        <v>李瑞雲</v>
      </c>
    </row>
    <row r="412" spans="1:5" ht="15" customHeight="1">
      <c r="A412" s="121" t="str">
        <f t="shared" ca="1" si="1"/>
        <v/>
      </c>
      <c r="B412" t="str">
        <f t="shared" ca="1" si="2"/>
        <v/>
      </c>
      <c r="C412" s="206" t="str">
        <f ca="1">IFERROR(__xludf.DUMMYFUNCTION("""COMPUTED_VALUE"""),"AB000001")</f>
        <v>AB000001</v>
      </c>
      <c r="D412" t="str">
        <f ca="1">IFERROR(__xludf.DUMMYFUNCTION("""COMPUTED_VALUE"""),"")</f>
        <v/>
      </c>
      <c r="E412" s="205" t="str">
        <f ca="1">IFERROR(__xludf.DUMMYFUNCTION("""COMPUTED_VALUE"""),"蕭智遠")</f>
        <v>蕭智遠</v>
      </c>
    </row>
    <row r="413" spans="1:5" ht="15" customHeight="1">
      <c r="A413" s="121" t="str">
        <f t="shared" ca="1" si="1"/>
        <v/>
      </c>
      <c r="B413" t="str">
        <f t="shared" ca="1" si="2"/>
        <v/>
      </c>
      <c r="C413" s="206" t="str">
        <f ca="1">IFERROR(__xludf.DUMMYFUNCTION("""COMPUTED_VALUE"""),"AB001026")</f>
        <v>AB001026</v>
      </c>
      <c r="D413" t="str">
        <f ca="1">IFERROR(__xludf.DUMMYFUNCTION("""COMPUTED_VALUE"""),"")</f>
        <v/>
      </c>
      <c r="E413" s="205" t="str">
        <f ca="1">IFERROR(__xludf.DUMMYFUNCTION("""COMPUTED_VALUE"""),"劉樹銘")</f>
        <v>劉樹銘</v>
      </c>
    </row>
    <row r="414" spans="1:5" ht="15" customHeight="1">
      <c r="A414" s="121" t="str">
        <f t="shared" ca="1" si="1"/>
        <v/>
      </c>
      <c r="B414" t="str">
        <f t="shared" ca="1" si="2"/>
        <v/>
      </c>
      <c r="C414" s="206" t="str">
        <f ca="1">IFERROR(__xludf.DUMMYFUNCTION("""COMPUTED_VALUE"""),"AB001026")</f>
        <v>AB001026</v>
      </c>
      <c r="D414" t="str">
        <f ca="1">IFERROR(__xludf.DUMMYFUNCTION("""COMPUTED_VALUE"""),"")</f>
        <v/>
      </c>
      <c r="E414" s="205" t="str">
        <f ca="1">IFERROR(__xludf.DUMMYFUNCTION("""COMPUTED_VALUE"""),"劉樹銘")</f>
        <v>劉樹銘</v>
      </c>
    </row>
    <row r="415" spans="1:5" ht="15" customHeight="1">
      <c r="A415" s="121" t="str">
        <f t="shared" ca="1" si="1"/>
        <v/>
      </c>
      <c r="B415" t="str">
        <f t="shared" ca="1" si="2"/>
        <v/>
      </c>
      <c r="C415" s="206" t="str">
        <f ca="1">IFERROR(__xludf.DUMMYFUNCTION("""COMPUTED_VALUE"""),"AB000117")</f>
        <v>AB000117</v>
      </c>
      <c r="D415" t="str">
        <f ca="1">IFERROR(__xludf.DUMMYFUNCTION("""COMPUTED_VALUE"""),"")</f>
        <v/>
      </c>
      <c r="E415" s="205" t="str">
        <f ca="1">IFERROR(__xludf.DUMMYFUNCTION("""COMPUTED_VALUE"""),"黃佑蓮")</f>
        <v>黃佑蓮</v>
      </c>
    </row>
    <row r="416" spans="1:5" ht="15" customHeight="1">
      <c r="A416" s="121" t="str">
        <f t="shared" ca="1" si="1"/>
        <v/>
      </c>
      <c r="B416" t="str">
        <f t="shared" ca="1" si="2"/>
        <v/>
      </c>
      <c r="C416" s="206" t="str">
        <f ca="1">IFERROR(__xludf.DUMMYFUNCTION("""COMPUTED_VALUE"""),"AB000006")</f>
        <v>AB000006</v>
      </c>
      <c r="D416" t="str">
        <f ca="1">IFERROR(__xludf.DUMMYFUNCTION("""COMPUTED_VALUE"""),"")</f>
        <v/>
      </c>
      <c r="E416" s="205" t="str">
        <f ca="1">IFERROR(__xludf.DUMMYFUNCTION("""COMPUTED_VALUE"""),"林燕明")</f>
        <v>林燕明</v>
      </c>
    </row>
    <row r="417" spans="1:5" ht="15" customHeight="1">
      <c r="A417" s="121" t="str">
        <f t="shared" ca="1" si="1"/>
        <v/>
      </c>
      <c r="B417" t="str">
        <f t="shared" ca="1" si="2"/>
        <v/>
      </c>
      <c r="C417" s="206" t="str">
        <f ca="1">IFERROR(__xludf.DUMMYFUNCTION("""COMPUTED_VALUE"""),"AB000005")</f>
        <v>AB000005</v>
      </c>
      <c r="D417" t="str">
        <f ca="1">IFERROR(__xludf.DUMMYFUNCTION("""COMPUTED_VALUE"""),"")</f>
        <v/>
      </c>
      <c r="E417" s="205" t="str">
        <f ca="1">IFERROR(__xludf.DUMMYFUNCTION("""COMPUTED_VALUE"""),"楊雯")</f>
        <v>楊雯</v>
      </c>
    </row>
    <row r="418" spans="1:5" ht="15" customHeight="1">
      <c r="A418" s="121" t="str">
        <f t="shared" ca="1" si="1"/>
        <v/>
      </c>
      <c r="B418" t="str">
        <f t="shared" ca="1" si="2"/>
        <v/>
      </c>
      <c r="C418" s="206" t="str">
        <f ca="1">IFERROR(__xludf.DUMMYFUNCTION("""COMPUTED_VALUE"""),"AB000050")</f>
        <v>AB000050</v>
      </c>
      <c r="D418" t="str">
        <f ca="1">IFERROR(__xludf.DUMMYFUNCTION("""COMPUTED_VALUE"""),"")</f>
        <v/>
      </c>
      <c r="E418" s="205" t="str">
        <f ca="1">IFERROR(__xludf.DUMMYFUNCTION("""COMPUTED_VALUE"""),"李祥玉")</f>
        <v>李祥玉</v>
      </c>
    </row>
    <row r="419" spans="1:5" ht="15" customHeight="1">
      <c r="A419" s="121" t="str">
        <f t="shared" ca="1" si="1"/>
        <v/>
      </c>
      <c r="B419" t="str">
        <f t="shared" ca="1" si="2"/>
        <v/>
      </c>
      <c r="C419" s="206" t="str">
        <f ca="1">IFERROR(__xludf.DUMMYFUNCTION("""COMPUTED_VALUE"""),"AB000120")</f>
        <v>AB000120</v>
      </c>
      <c r="D419" t="str">
        <f ca="1">IFERROR(__xludf.DUMMYFUNCTION("""COMPUTED_VALUE"""),"")</f>
        <v/>
      </c>
      <c r="E419" s="205" t="str">
        <f ca="1">IFERROR(__xludf.DUMMYFUNCTION("""COMPUTED_VALUE"""),"張麗萍")</f>
        <v>張麗萍</v>
      </c>
    </row>
    <row r="420" spans="1:5" ht="15" customHeight="1">
      <c r="A420" s="121" t="str">
        <f t="shared" ca="1" si="1"/>
        <v/>
      </c>
      <c r="B420" t="str">
        <f t="shared" ca="1" si="2"/>
        <v/>
      </c>
      <c r="C420" s="206" t="str">
        <f ca="1">IFERROR(__xludf.DUMMYFUNCTION("""COMPUTED_VALUE"""),"AB001043")</f>
        <v>AB001043</v>
      </c>
      <c r="D420" t="str">
        <f ca="1">IFERROR(__xludf.DUMMYFUNCTION("""COMPUTED_VALUE"""),"")</f>
        <v/>
      </c>
      <c r="E420" s="205" t="str">
        <f ca="1">IFERROR(__xludf.DUMMYFUNCTION("""COMPUTED_VALUE"""),"李宇僑")</f>
        <v>李宇僑</v>
      </c>
    </row>
    <row r="421" spans="1:5" ht="15" customHeight="1">
      <c r="A421" s="121" t="str">
        <f t="shared" ca="1" si="1"/>
        <v/>
      </c>
      <c r="B421" t="str">
        <f t="shared" ca="1" si="2"/>
        <v/>
      </c>
      <c r="C421" s="206" t="str">
        <f ca="1">IFERROR(__xludf.DUMMYFUNCTION("""COMPUTED_VALUE"""),"AB001044")</f>
        <v>AB001044</v>
      </c>
      <c r="D421" t="str">
        <f ca="1">IFERROR(__xludf.DUMMYFUNCTION("""COMPUTED_VALUE"""),"")</f>
        <v/>
      </c>
      <c r="E421" s="205" t="str">
        <f ca="1">IFERROR(__xludf.DUMMYFUNCTION("""COMPUTED_VALUE"""),"游麗蘭")</f>
        <v>游麗蘭</v>
      </c>
    </row>
    <row r="422" spans="1:5" ht="15" customHeight="1">
      <c r="A422" s="121" t="str">
        <f t="shared" ca="1" si="1"/>
        <v/>
      </c>
      <c r="B422" t="str">
        <f t="shared" ca="1" si="2"/>
        <v/>
      </c>
      <c r="C422" s="206" t="str">
        <f ca="1">IFERROR(__xludf.DUMMYFUNCTION("""COMPUTED_VALUE"""),"AB000031")</f>
        <v>AB000031</v>
      </c>
      <c r="D422" t="str">
        <f ca="1">IFERROR(__xludf.DUMMYFUNCTION("""COMPUTED_VALUE"""),"")</f>
        <v/>
      </c>
      <c r="E422" s="205" t="str">
        <f ca="1">IFERROR(__xludf.DUMMYFUNCTION("""COMPUTED_VALUE"""),"許秋蘭")</f>
        <v>許秋蘭</v>
      </c>
    </row>
    <row r="423" spans="1:5" ht="15" customHeight="1">
      <c r="A423" s="121" t="str">
        <f t="shared" ca="1" si="1"/>
        <v/>
      </c>
      <c r="B423" t="str">
        <f t="shared" ca="1" si="2"/>
        <v/>
      </c>
      <c r="C423" s="206" t="str">
        <f ca="1">IFERROR(__xludf.DUMMYFUNCTION("""COMPUTED_VALUE"""),"AB000032")</f>
        <v>AB000032</v>
      </c>
      <c r="D423" t="str">
        <f ca="1">IFERROR(__xludf.DUMMYFUNCTION("""COMPUTED_VALUE"""),"")</f>
        <v/>
      </c>
      <c r="E423" s="205" t="str">
        <f ca="1">IFERROR(__xludf.DUMMYFUNCTION("""COMPUTED_VALUE"""),"尤茂松")</f>
        <v>尤茂松</v>
      </c>
    </row>
    <row r="424" spans="1:5" ht="15" customHeight="1">
      <c r="A424" s="121" t="str">
        <f t="shared" ca="1" si="1"/>
        <v/>
      </c>
      <c r="B424" t="str">
        <f t="shared" ca="1" si="2"/>
        <v/>
      </c>
      <c r="C424" s="206" t="str">
        <f ca="1">IFERROR(__xludf.DUMMYFUNCTION("""COMPUTED_VALUE"""),"AB000119")</f>
        <v>AB000119</v>
      </c>
      <c r="D424" t="str">
        <f ca="1">IFERROR(__xludf.DUMMYFUNCTION("""COMPUTED_VALUE"""),"")</f>
        <v/>
      </c>
      <c r="E424" s="205" t="str">
        <f ca="1">IFERROR(__xludf.DUMMYFUNCTION("""COMPUTED_VALUE"""),"黃杏娟")</f>
        <v>黃杏娟</v>
      </c>
    </row>
    <row r="425" spans="1:5" ht="15" customHeight="1">
      <c r="A425" s="121" t="str">
        <f t="shared" ca="1" si="1"/>
        <v/>
      </c>
      <c r="B425" t="str">
        <f t="shared" ca="1" si="2"/>
        <v/>
      </c>
      <c r="C425" s="206" t="str">
        <f ca="1">IFERROR(__xludf.DUMMYFUNCTION("""COMPUTED_VALUE"""),"AB001046")</f>
        <v>AB001046</v>
      </c>
      <c r="D425" t="str">
        <f ca="1">IFERROR(__xludf.DUMMYFUNCTION("""COMPUTED_VALUE"""),"")</f>
        <v/>
      </c>
      <c r="E425" s="205" t="str">
        <f ca="1">IFERROR(__xludf.DUMMYFUNCTION("""COMPUTED_VALUE"""),"陳珮欣")</f>
        <v>陳珮欣</v>
      </c>
    </row>
    <row r="426" spans="1:5" ht="15" customHeight="1">
      <c r="A426" s="121" t="str">
        <f t="shared" ca="1" si="1"/>
        <v/>
      </c>
      <c r="B426" t="str">
        <f t="shared" ca="1" si="2"/>
        <v/>
      </c>
      <c r="C426" s="206" t="str">
        <f ca="1">IFERROR(__xludf.DUMMYFUNCTION("""COMPUTED_VALUE"""),"AB001045")</f>
        <v>AB001045</v>
      </c>
      <c r="D426" t="str">
        <f ca="1">IFERROR(__xludf.DUMMYFUNCTION("""COMPUTED_VALUE"""),"")</f>
        <v/>
      </c>
      <c r="E426" s="205" t="str">
        <f ca="1">IFERROR(__xludf.DUMMYFUNCTION("""COMPUTED_VALUE"""),"蘇暖鑾")</f>
        <v>蘇暖鑾</v>
      </c>
    </row>
    <row r="427" spans="1:5" ht="15" customHeight="1">
      <c r="A427" s="121" t="str">
        <f t="shared" ca="1" si="1"/>
        <v/>
      </c>
      <c r="B427" t="str">
        <f t="shared" ca="1" si="2"/>
        <v/>
      </c>
      <c r="C427" s="206" t="str">
        <f ca="1">IFERROR(__xludf.DUMMYFUNCTION("""COMPUTED_VALUE"""),"AB001045")</f>
        <v>AB001045</v>
      </c>
      <c r="D427" t="str">
        <f ca="1">IFERROR(__xludf.DUMMYFUNCTION("""COMPUTED_VALUE"""),"")</f>
        <v/>
      </c>
      <c r="E427" s="205" t="str">
        <f ca="1">IFERROR(__xludf.DUMMYFUNCTION("""COMPUTED_VALUE"""),"蘇暖鑾")</f>
        <v>蘇暖鑾</v>
      </c>
    </row>
    <row r="428" spans="1:5" ht="15" customHeight="1">
      <c r="A428" s="121" t="str">
        <f t="shared" ca="1" si="1"/>
        <v/>
      </c>
      <c r="B428" t="str">
        <f t="shared" ca="1" si="2"/>
        <v/>
      </c>
      <c r="C428" s="206" t="str">
        <f ca="1">IFERROR(__xludf.DUMMYFUNCTION("""COMPUTED_VALUE"""),"AB001045")</f>
        <v>AB001045</v>
      </c>
      <c r="D428" t="str">
        <f ca="1">IFERROR(__xludf.DUMMYFUNCTION("""COMPUTED_VALUE"""),"")</f>
        <v/>
      </c>
      <c r="E428" s="205" t="str">
        <f ca="1">IFERROR(__xludf.DUMMYFUNCTION("""COMPUTED_VALUE"""),"蘇暖鑾")</f>
        <v>蘇暖鑾</v>
      </c>
    </row>
    <row r="429" spans="1:5" ht="15" customHeight="1">
      <c r="A429" s="121" t="str">
        <f t="shared" ca="1" si="1"/>
        <v/>
      </c>
      <c r="B429" t="str">
        <f t="shared" ca="1" si="2"/>
        <v/>
      </c>
      <c r="C429" s="206" t="str">
        <f ca="1">IFERROR(__xludf.DUMMYFUNCTION("""COMPUTED_VALUE"""),"AB001045")</f>
        <v>AB001045</v>
      </c>
      <c r="D429" t="str">
        <f ca="1">IFERROR(__xludf.DUMMYFUNCTION("""COMPUTED_VALUE"""),"")</f>
        <v/>
      </c>
      <c r="E429" s="205" t="str">
        <f ca="1">IFERROR(__xludf.DUMMYFUNCTION("""COMPUTED_VALUE"""),"蘇暖鑾")</f>
        <v>蘇暖鑾</v>
      </c>
    </row>
    <row r="430" spans="1:5" ht="15" customHeight="1">
      <c r="A430" s="121" t="str">
        <f t="shared" ca="1" si="1"/>
        <v/>
      </c>
      <c r="B430" t="str">
        <f t="shared" ca="1" si="2"/>
        <v/>
      </c>
      <c r="C430" s="206" t="str">
        <f ca="1">IFERROR(__xludf.DUMMYFUNCTION("""COMPUTED_VALUE"""),"AB001045")</f>
        <v>AB001045</v>
      </c>
      <c r="D430" t="str">
        <f ca="1">IFERROR(__xludf.DUMMYFUNCTION("""COMPUTED_VALUE"""),"")</f>
        <v/>
      </c>
      <c r="E430" s="205" t="str">
        <f ca="1">IFERROR(__xludf.DUMMYFUNCTION("""COMPUTED_VALUE"""),"蘇暖鑾")</f>
        <v>蘇暖鑾</v>
      </c>
    </row>
    <row r="431" spans="1:5" ht="15" customHeight="1">
      <c r="A431" s="121" t="str">
        <f t="shared" ca="1" si="1"/>
        <v/>
      </c>
      <c r="B431" t="str">
        <f t="shared" ca="1" si="2"/>
        <v/>
      </c>
      <c r="C431" s="206" t="str">
        <f ca="1">IFERROR(__xludf.DUMMYFUNCTION("""COMPUTED_VALUE"""),"AB001045")</f>
        <v>AB001045</v>
      </c>
      <c r="D431" t="str">
        <f ca="1">IFERROR(__xludf.DUMMYFUNCTION("""COMPUTED_VALUE"""),"")</f>
        <v/>
      </c>
      <c r="E431" s="205" t="str">
        <f ca="1">IFERROR(__xludf.DUMMYFUNCTION("""COMPUTED_VALUE"""),"蘇暖鑾")</f>
        <v>蘇暖鑾</v>
      </c>
    </row>
    <row r="432" spans="1:5" ht="15" customHeight="1">
      <c r="A432" s="121" t="str">
        <f t="shared" ca="1" si="1"/>
        <v/>
      </c>
      <c r="B432" t="str">
        <f t="shared" ca="1" si="2"/>
        <v/>
      </c>
      <c r="C432" s="206" t="str">
        <f ca="1">IFERROR(__xludf.DUMMYFUNCTION("""COMPUTED_VALUE"""),"AB000118")</f>
        <v>AB000118</v>
      </c>
      <c r="D432" t="str">
        <f ca="1">IFERROR(__xludf.DUMMYFUNCTION("""COMPUTED_VALUE"""),"")</f>
        <v/>
      </c>
      <c r="E432" s="205" t="str">
        <f ca="1">IFERROR(__xludf.DUMMYFUNCTION("""COMPUTED_VALUE"""),"李慧真")</f>
        <v>李慧真</v>
      </c>
    </row>
    <row r="433" spans="1:5" ht="15" customHeight="1">
      <c r="A433" s="121" t="str">
        <f t="shared" ca="1" si="1"/>
        <v/>
      </c>
      <c r="B433" t="str">
        <f t="shared" ca="1" si="2"/>
        <v/>
      </c>
      <c r="C433" s="206" t="str">
        <f ca="1">IFERROR(__xludf.DUMMYFUNCTION("""COMPUTED_VALUE"""),"AB000024")</f>
        <v>AB000024</v>
      </c>
      <c r="D433" t="str">
        <f ca="1">IFERROR(__xludf.DUMMYFUNCTION("""COMPUTED_VALUE"""),"")</f>
        <v/>
      </c>
      <c r="E433" s="205" t="str">
        <f ca="1">IFERROR(__xludf.DUMMYFUNCTION("""COMPUTED_VALUE"""),"韋紅英")</f>
        <v>韋紅英</v>
      </c>
    </row>
    <row r="434" spans="1:5" ht="15" customHeight="1">
      <c r="A434" s="121" t="str">
        <f t="shared" ca="1" si="1"/>
        <v/>
      </c>
      <c r="B434" t="str">
        <f t="shared" ca="1" si="2"/>
        <v/>
      </c>
      <c r="C434" s="206" t="str">
        <f ca="1">IFERROR(__xludf.DUMMYFUNCTION("""COMPUTED_VALUE"""),"AB000116")</f>
        <v>AB000116</v>
      </c>
      <c r="D434" t="str">
        <f ca="1">IFERROR(__xludf.DUMMYFUNCTION("""COMPUTED_VALUE"""),"")</f>
        <v/>
      </c>
      <c r="E434" s="205" t="str">
        <f ca="1">IFERROR(__xludf.DUMMYFUNCTION("""COMPUTED_VALUE"""),"詹佑德")</f>
        <v>詹佑德</v>
      </c>
    </row>
    <row r="435" spans="1:5" ht="15" customHeight="1">
      <c r="A435" s="121" t="str">
        <f t="shared" ca="1" si="1"/>
        <v/>
      </c>
      <c r="B435" t="str">
        <f t="shared" ca="1" si="2"/>
        <v/>
      </c>
      <c r="C435" s="206" t="str">
        <f ca="1">IFERROR(__xludf.DUMMYFUNCTION("""COMPUTED_VALUE"""),"AB000116")</f>
        <v>AB000116</v>
      </c>
      <c r="D435" t="str">
        <f ca="1">IFERROR(__xludf.DUMMYFUNCTION("""COMPUTED_VALUE"""),"")</f>
        <v/>
      </c>
      <c r="E435" s="205" t="str">
        <f ca="1">IFERROR(__xludf.DUMMYFUNCTION("""COMPUTED_VALUE"""),"詹佑德")</f>
        <v>詹佑德</v>
      </c>
    </row>
    <row r="436" spans="1:5" ht="15" customHeight="1">
      <c r="A436" s="121" t="str">
        <f t="shared" ca="1" si="1"/>
        <v/>
      </c>
      <c r="B436" t="str">
        <f t="shared" ca="1" si="2"/>
        <v/>
      </c>
      <c r="C436" s="206" t="str">
        <f ca="1">IFERROR(__xludf.DUMMYFUNCTION("""COMPUTED_VALUE"""),"AB000116")</f>
        <v>AB000116</v>
      </c>
      <c r="D436" t="str">
        <f ca="1">IFERROR(__xludf.DUMMYFUNCTION("""COMPUTED_VALUE"""),"")</f>
        <v/>
      </c>
      <c r="E436" s="205" t="str">
        <f ca="1">IFERROR(__xludf.DUMMYFUNCTION("""COMPUTED_VALUE"""),"詹佑德")</f>
        <v>詹佑德</v>
      </c>
    </row>
    <row r="437" spans="1:5" ht="15" customHeight="1">
      <c r="A437" s="121" t="str">
        <f t="shared" ca="1" si="1"/>
        <v/>
      </c>
      <c r="B437" t="str">
        <f t="shared" ca="1" si="2"/>
        <v/>
      </c>
      <c r="C437" s="206" t="str">
        <f ca="1">IFERROR(__xludf.DUMMYFUNCTION("""COMPUTED_VALUE"""),"AB000116")</f>
        <v>AB000116</v>
      </c>
      <c r="D437" t="str">
        <f ca="1">IFERROR(__xludf.DUMMYFUNCTION("""COMPUTED_VALUE"""),"")</f>
        <v/>
      </c>
      <c r="E437" s="205" t="str">
        <f ca="1">IFERROR(__xludf.DUMMYFUNCTION("""COMPUTED_VALUE"""),"詹佑德")</f>
        <v>詹佑德</v>
      </c>
    </row>
    <row r="438" spans="1:5" ht="15" customHeight="1">
      <c r="A438" s="121" t="str">
        <f t="shared" ca="1" si="1"/>
        <v/>
      </c>
      <c r="B438" t="str">
        <f t="shared" ca="1" si="2"/>
        <v/>
      </c>
      <c r="C438" s="206" t="str">
        <f ca="1">IFERROR(__xludf.DUMMYFUNCTION("""COMPUTED_VALUE"""),"AB001048")</f>
        <v>AB001048</v>
      </c>
      <c r="D438" t="str">
        <f ca="1">IFERROR(__xludf.DUMMYFUNCTION("""COMPUTED_VALUE"""),"")</f>
        <v/>
      </c>
      <c r="E438" s="205" t="str">
        <f ca="1">IFERROR(__xludf.DUMMYFUNCTION("""COMPUTED_VALUE"""),"莊蘊雯")</f>
        <v>莊蘊雯</v>
      </c>
    </row>
    <row r="439" spans="1:5" ht="15" customHeight="1">
      <c r="A439" s="121" t="str">
        <f t="shared" ca="1" si="1"/>
        <v/>
      </c>
      <c r="B439" t="str">
        <f t="shared" ca="1" si="2"/>
        <v/>
      </c>
      <c r="C439" s="206" t="str">
        <f ca="1">IFERROR(__xludf.DUMMYFUNCTION("""COMPUTED_VALUE"""),"AB001047")</f>
        <v>AB001047</v>
      </c>
      <c r="D439" t="str">
        <f ca="1">IFERROR(__xludf.DUMMYFUNCTION("""COMPUTED_VALUE"""),"")</f>
        <v/>
      </c>
      <c r="E439" s="205" t="str">
        <f ca="1">IFERROR(__xludf.DUMMYFUNCTION("""COMPUTED_VALUE"""),"洪麗姿")</f>
        <v>洪麗姿</v>
      </c>
    </row>
    <row r="440" spans="1:5" ht="15" customHeight="1">
      <c r="A440" s="121" t="str">
        <f t="shared" ca="1" si="1"/>
        <v/>
      </c>
      <c r="B440" t="str">
        <f t="shared" ca="1" si="2"/>
        <v/>
      </c>
      <c r="C440" s="206" t="str">
        <f ca="1">IFERROR(__xludf.DUMMYFUNCTION("""COMPUTED_VALUE"""),"AB000002")</f>
        <v>AB000002</v>
      </c>
      <c r="D440" t="str">
        <f ca="1">IFERROR(__xludf.DUMMYFUNCTION("""COMPUTED_VALUE"""),"")</f>
        <v/>
      </c>
      <c r="E440" s="205" t="str">
        <f ca="1">IFERROR(__xludf.DUMMYFUNCTION("""COMPUTED_VALUE"""),"師父")</f>
        <v>師父</v>
      </c>
    </row>
    <row r="441" spans="1:5" ht="15" customHeight="1">
      <c r="A441" s="121" t="str">
        <f t="shared" ca="1" si="1"/>
        <v/>
      </c>
      <c r="B441" t="str">
        <f t="shared" ca="1" si="2"/>
        <v/>
      </c>
      <c r="C441" s="206" t="str">
        <f ca="1">IFERROR(__xludf.DUMMYFUNCTION("""COMPUTED_VALUE"""),"AB001050")</f>
        <v>AB001050</v>
      </c>
      <c r="D441" t="str">
        <f ca="1">IFERROR(__xludf.DUMMYFUNCTION("""COMPUTED_VALUE"""),"")</f>
        <v/>
      </c>
      <c r="E441" s="205" t="str">
        <f ca="1">IFERROR(__xludf.DUMMYFUNCTION("""COMPUTED_VALUE"""),"梁嘉慶")</f>
        <v>梁嘉慶</v>
      </c>
    </row>
    <row r="442" spans="1:5" ht="15" customHeight="1">
      <c r="A442" s="121" t="str">
        <f t="shared" ca="1" si="1"/>
        <v/>
      </c>
      <c r="B442" t="str">
        <f t="shared" ca="1" si="2"/>
        <v/>
      </c>
      <c r="C442" s="206" t="str">
        <f ca="1">IFERROR(__xludf.DUMMYFUNCTION("""COMPUTED_VALUE"""),"AB000110")</f>
        <v>AB000110</v>
      </c>
      <c r="D442" t="str">
        <f ca="1">IFERROR(__xludf.DUMMYFUNCTION("""COMPUTED_VALUE"""),"")</f>
        <v/>
      </c>
      <c r="E442" s="205" t="str">
        <f ca="1">IFERROR(__xludf.DUMMYFUNCTION("""COMPUTED_VALUE"""),"莊于昀")</f>
        <v>莊于昀</v>
      </c>
    </row>
    <row r="443" spans="1:5" ht="15" customHeight="1">
      <c r="A443" s="121" t="str">
        <f t="shared" ca="1" si="1"/>
        <v/>
      </c>
      <c r="B443" t="str">
        <f t="shared" ca="1" si="2"/>
        <v/>
      </c>
      <c r="C443" s="206" t="str">
        <f ca="1">IFERROR(__xludf.DUMMYFUNCTION("""COMPUTED_VALUE"""),"AB001042")</f>
        <v>AB001042</v>
      </c>
      <c r="D443" t="str">
        <f ca="1">IFERROR(__xludf.DUMMYFUNCTION("""COMPUTED_VALUE"""),"")</f>
        <v/>
      </c>
      <c r="E443" s="205" t="str">
        <f ca="1">IFERROR(__xludf.DUMMYFUNCTION("""COMPUTED_VALUE"""),"范明發")</f>
        <v>范明發</v>
      </c>
    </row>
    <row r="444" spans="1:5" ht="15" customHeight="1">
      <c r="A444" s="121" t="str">
        <f t="shared" ca="1" si="1"/>
        <v/>
      </c>
      <c r="B444" t="str">
        <f t="shared" ca="1" si="2"/>
        <v/>
      </c>
      <c r="C444" s="206" t="str">
        <f ca="1">IFERROR(__xludf.DUMMYFUNCTION("""COMPUTED_VALUE"""),"AB000107")</f>
        <v>AB000107</v>
      </c>
      <c r="D444" t="str">
        <f ca="1">IFERROR(__xludf.DUMMYFUNCTION("""COMPUTED_VALUE"""),"")</f>
        <v/>
      </c>
      <c r="E444" s="205" t="str">
        <f ca="1">IFERROR(__xludf.DUMMYFUNCTION("""COMPUTED_VALUE"""),"張淑琴")</f>
        <v>張淑琴</v>
      </c>
    </row>
    <row r="445" spans="1:5" ht="15" customHeight="1">
      <c r="A445" s="121" t="str">
        <f t="shared" ca="1" si="1"/>
        <v/>
      </c>
      <c r="B445" t="str">
        <f t="shared" ca="1" si="2"/>
        <v/>
      </c>
      <c r="C445" s="206" t="str">
        <f ca="1">IFERROR(__xludf.DUMMYFUNCTION("""COMPUTED_VALUE"""),"AB000108")</f>
        <v>AB000108</v>
      </c>
      <c r="D445" t="str">
        <f ca="1">IFERROR(__xludf.DUMMYFUNCTION("""COMPUTED_VALUE"""),"")</f>
        <v/>
      </c>
      <c r="E445" s="205" t="str">
        <f ca="1">IFERROR(__xludf.DUMMYFUNCTION("""COMPUTED_VALUE"""),"劉正宇")</f>
        <v>劉正宇</v>
      </c>
    </row>
    <row r="446" spans="1:5" ht="15" customHeight="1">
      <c r="A446" s="121" t="str">
        <f t="shared" ca="1" si="1"/>
        <v/>
      </c>
      <c r="B446" t="str">
        <f t="shared" ca="1" si="2"/>
        <v/>
      </c>
      <c r="C446" s="206" t="str">
        <f ca="1">IFERROR(__xludf.DUMMYFUNCTION("""COMPUTED_VALUE"""),"AB000035")</f>
        <v>AB000035</v>
      </c>
      <c r="D446" t="str">
        <f ca="1">IFERROR(__xludf.DUMMYFUNCTION("""COMPUTED_VALUE"""),"")</f>
        <v/>
      </c>
      <c r="E446" s="205" t="str">
        <f ca="1">IFERROR(__xludf.DUMMYFUNCTION("""COMPUTED_VALUE"""),"張淑琴")</f>
        <v>張淑琴</v>
      </c>
    </row>
    <row r="447" spans="1:5" ht="15" customHeight="1">
      <c r="A447" s="121" t="str">
        <f t="shared" ca="1" si="1"/>
        <v/>
      </c>
      <c r="B447" t="str">
        <f t="shared" ca="1" si="2"/>
        <v/>
      </c>
      <c r="C447" s="206" t="str">
        <f ca="1">IFERROR(__xludf.DUMMYFUNCTION("""COMPUTED_VALUE"""),"AB000109")</f>
        <v>AB000109</v>
      </c>
      <c r="D447" t="str">
        <f ca="1">IFERROR(__xludf.DUMMYFUNCTION("""COMPUTED_VALUE"""),"")</f>
        <v/>
      </c>
      <c r="E447" s="205" t="str">
        <f ca="1">IFERROR(__xludf.DUMMYFUNCTION("""COMPUTED_VALUE"""),"唐子樂")</f>
        <v>唐子樂</v>
      </c>
    </row>
    <row r="448" spans="1:5" ht="15" customHeight="1">
      <c r="A448" s="121" t="str">
        <f t="shared" ca="1" si="1"/>
        <v/>
      </c>
      <c r="B448" t="str">
        <f t="shared" ca="1" si="2"/>
        <v/>
      </c>
      <c r="C448" s="206" t="str">
        <f ca="1">IFERROR(__xludf.DUMMYFUNCTION("""COMPUTED_VALUE"""),"AB000036")</f>
        <v>AB000036</v>
      </c>
      <c r="D448" t="str">
        <f ca="1">IFERROR(__xludf.DUMMYFUNCTION("""COMPUTED_VALUE"""),"")</f>
        <v/>
      </c>
      <c r="E448" s="205" t="str">
        <f ca="1">IFERROR(__xludf.DUMMYFUNCTION("""COMPUTED_VALUE"""),"褚?容")</f>
        <v>褚?容</v>
      </c>
    </row>
    <row r="449" spans="1:5" ht="15" customHeight="1">
      <c r="A449" s="121" t="str">
        <f t="shared" ca="1" si="1"/>
        <v/>
      </c>
      <c r="B449" t="str">
        <f t="shared" ca="1" si="2"/>
        <v/>
      </c>
      <c r="C449" s="206" t="str">
        <f ca="1">IFERROR(__xludf.DUMMYFUNCTION("""COMPUTED_VALUE"""),"AB000036")</f>
        <v>AB000036</v>
      </c>
      <c r="D449" t="str">
        <f ca="1">IFERROR(__xludf.DUMMYFUNCTION("""COMPUTED_VALUE"""),"")</f>
        <v/>
      </c>
      <c r="E449" s="205" t="str">
        <f ca="1">IFERROR(__xludf.DUMMYFUNCTION("""COMPUTED_VALUE"""),"褚?容")</f>
        <v>褚?容</v>
      </c>
    </row>
    <row r="450" spans="1:5" ht="15" customHeight="1">
      <c r="A450" s="121" t="str">
        <f t="shared" ca="1" si="1"/>
        <v/>
      </c>
      <c r="B450" t="str">
        <f t="shared" ca="1" si="2"/>
        <v/>
      </c>
      <c r="C450" s="206" t="str">
        <f ca="1">IFERROR(__xludf.DUMMYFUNCTION("""COMPUTED_VALUE"""),"AB000036")</f>
        <v>AB000036</v>
      </c>
      <c r="D450" t="str">
        <f ca="1">IFERROR(__xludf.DUMMYFUNCTION("""COMPUTED_VALUE"""),"")</f>
        <v/>
      </c>
      <c r="E450" s="205" t="str">
        <f ca="1">IFERROR(__xludf.DUMMYFUNCTION("""COMPUTED_VALUE"""),"褚?容")</f>
        <v>褚?容</v>
      </c>
    </row>
    <row r="451" spans="1:5" ht="15" customHeight="1">
      <c r="A451" s="121" t="str">
        <f t="shared" ca="1" si="1"/>
        <v/>
      </c>
      <c r="B451" t="str">
        <f t="shared" ca="1" si="2"/>
        <v/>
      </c>
      <c r="C451" s="206" t="str">
        <f ca="1">IFERROR(__xludf.DUMMYFUNCTION("""COMPUTED_VALUE"""),"AB000036")</f>
        <v>AB000036</v>
      </c>
      <c r="D451" t="str">
        <f ca="1">IFERROR(__xludf.DUMMYFUNCTION("""COMPUTED_VALUE"""),"")</f>
        <v/>
      </c>
      <c r="E451" s="205" t="str">
        <f ca="1">IFERROR(__xludf.DUMMYFUNCTION("""COMPUTED_VALUE"""),"褚?容")</f>
        <v>褚?容</v>
      </c>
    </row>
    <row r="452" spans="1:5" ht="15" customHeight="1">
      <c r="A452" s="121" t="str">
        <f t="shared" ca="1" si="1"/>
        <v/>
      </c>
      <c r="B452" t="str">
        <f t="shared" ca="1" si="2"/>
        <v/>
      </c>
      <c r="C452" s="206" t="str">
        <f ca="1">IFERROR(__xludf.DUMMYFUNCTION("""COMPUTED_VALUE"""),"AB000045")</f>
        <v>AB000045</v>
      </c>
      <c r="D452" t="str">
        <f ca="1">IFERROR(__xludf.DUMMYFUNCTION("""COMPUTED_VALUE"""),"")</f>
        <v/>
      </c>
      <c r="E452" s="205" t="str">
        <f ca="1">IFERROR(__xludf.DUMMYFUNCTION("""COMPUTED_VALUE"""),"林書含")</f>
        <v>林書含</v>
      </c>
    </row>
    <row r="453" spans="1:5" ht="15" customHeight="1">
      <c r="A453" s="121" t="str">
        <f t="shared" ca="1" si="1"/>
        <v/>
      </c>
      <c r="B453" t="str">
        <f t="shared" ca="1" si="2"/>
        <v/>
      </c>
      <c r="C453" s="206" t="str">
        <f ca="1">IFERROR(__xludf.DUMMYFUNCTION("""COMPUTED_VALUE"""),"AB001049")</f>
        <v>AB001049</v>
      </c>
      <c r="D453" t="str">
        <f ca="1">IFERROR(__xludf.DUMMYFUNCTION("""COMPUTED_VALUE"""),"")</f>
        <v/>
      </c>
      <c r="E453" s="205" t="str">
        <f ca="1">IFERROR(__xludf.DUMMYFUNCTION("""COMPUTED_VALUE"""),"余麗玉")</f>
        <v>余麗玉</v>
      </c>
    </row>
    <row r="454" spans="1:5" ht="15" customHeight="1">
      <c r="A454" s="121" t="str">
        <f t="shared" ca="1" si="1"/>
        <v/>
      </c>
      <c r="B454" t="str">
        <f t="shared" ca="1" si="2"/>
        <v/>
      </c>
      <c r="C454" s="206" t="str">
        <f ca="1">IFERROR(__xludf.DUMMYFUNCTION("""COMPUTED_VALUE"""),"AB001049")</f>
        <v>AB001049</v>
      </c>
      <c r="D454" t="str">
        <f ca="1">IFERROR(__xludf.DUMMYFUNCTION("""COMPUTED_VALUE"""),"")</f>
        <v/>
      </c>
      <c r="E454" s="205" t="str">
        <f ca="1">IFERROR(__xludf.DUMMYFUNCTION("""COMPUTED_VALUE"""),"余麗玉")</f>
        <v>余麗玉</v>
      </c>
    </row>
    <row r="455" spans="1:5" ht="15" customHeight="1">
      <c r="A455" s="121" t="str">
        <f t="shared" ca="1" si="1"/>
        <v/>
      </c>
      <c r="B455" t="str">
        <f t="shared" ca="1" si="2"/>
        <v/>
      </c>
      <c r="C455" s="206" t="str">
        <f ca="1">IFERROR(__xludf.DUMMYFUNCTION("""COMPUTED_VALUE"""),"AB001002")</f>
        <v>AB001002</v>
      </c>
      <c r="D455" t="str">
        <f ca="1">IFERROR(__xludf.DUMMYFUNCTION("""COMPUTED_VALUE"""),"")</f>
        <v/>
      </c>
      <c r="E455" s="205" t="str">
        <f ca="1">IFERROR(__xludf.DUMMYFUNCTION("""COMPUTED_VALUE"""),"楊立恆")</f>
        <v>楊立恆</v>
      </c>
    </row>
    <row r="456" spans="1:5" ht="15" customHeight="1">
      <c r="A456" s="121" t="str">
        <f t="shared" ca="1" si="1"/>
        <v/>
      </c>
      <c r="B456" t="str">
        <f t="shared" ca="1" si="2"/>
        <v/>
      </c>
      <c r="C456" s="206" t="str">
        <f ca="1">IFERROR(__xludf.DUMMYFUNCTION("""COMPUTED_VALUE"""),"AB001003")</f>
        <v>AB001003</v>
      </c>
      <c r="D456" t="str">
        <f ca="1">IFERROR(__xludf.DUMMYFUNCTION("""COMPUTED_VALUE"""),"")</f>
        <v/>
      </c>
      <c r="E456" s="205" t="str">
        <f ca="1">IFERROR(__xludf.DUMMYFUNCTION("""COMPUTED_VALUE"""),"林秀娟")</f>
        <v>林秀娟</v>
      </c>
    </row>
    <row r="457" spans="1:5" ht="15" customHeight="1">
      <c r="A457" s="121" t="str">
        <f t="shared" ca="1" si="1"/>
        <v/>
      </c>
      <c r="B457" t="str">
        <f t="shared" ca="1" si="2"/>
        <v/>
      </c>
      <c r="C457" s="206" t="str">
        <f ca="1">IFERROR(__xludf.DUMMYFUNCTION("""COMPUTED_VALUE"""),"AB001003")</f>
        <v>AB001003</v>
      </c>
      <c r="D457" t="str">
        <f ca="1">IFERROR(__xludf.DUMMYFUNCTION("""COMPUTED_VALUE"""),"")</f>
        <v/>
      </c>
      <c r="E457" s="205" t="str">
        <f ca="1">IFERROR(__xludf.DUMMYFUNCTION("""COMPUTED_VALUE"""),"林秀娟")</f>
        <v>林秀娟</v>
      </c>
    </row>
    <row r="458" spans="1:5" ht="15" customHeight="1">
      <c r="A458" s="121" t="str">
        <f t="shared" ca="1" si="1"/>
        <v/>
      </c>
      <c r="B458" t="str">
        <f t="shared" ca="1" si="2"/>
        <v/>
      </c>
      <c r="C458" s="206" t="str">
        <f ca="1">IFERROR(__xludf.DUMMYFUNCTION("""COMPUTED_VALUE"""),"AB000155")</f>
        <v>AB000155</v>
      </c>
      <c r="D458" t="str">
        <f ca="1">IFERROR(__xludf.DUMMYFUNCTION("""COMPUTED_VALUE"""),"")</f>
        <v/>
      </c>
      <c r="E458" s="205" t="str">
        <f ca="1">IFERROR(__xludf.DUMMYFUNCTION("""COMPUTED_VALUE"""),"榮峻緯")</f>
        <v>榮峻緯</v>
      </c>
    </row>
    <row r="459" spans="1:5" ht="15" customHeight="1">
      <c r="A459" s="121" t="str">
        <f t="shared" ca="1" si="1"/>
        <v/>
      </c>
      <c r="B459" t="str">
        <f t="shared" ca="1" si="2"/>
        <v/>
      </c>
      <c r="C459" s="206" t="str">
        <f ca="1">IFERROR(__xludf.DUMMYFUNCTION("""COMPUTED_VALUE"""),"AB000156")</f>
        <v>AB000156</v>
      </c>
      <c r="D459" t="str">
        <f ca="1">IFERROR(__xludf.DUMMYFUNCTION("""COMPUTED_VALUE"""),"")</f>
        <v/>
      </c>
      <c r="E459" s="205" t="str">
        <f ca="1">IFERROR(__xludf.DUMMYFUNCTION("""COMPUTED_VALUE"""),"劉德儀")</f>
        <v>劉德儀</v>
      </c>
    </row>
    <row r="460" spans="1:5" ht="15" customHeight="1">
      <c r="A460" s="121" t="str">
        <f t="shared" ca="1" si="1"/>
        <v/>
      </c>
      <c r="B460" t="str">
        <f t="shared" ca="1" si="2"/>
        <v/>
      </c>
      <c r="C460" s="206" t="str">
        <f ca="1">IFERROR(__xludf.DUMMYFUNCTION("""COMPUTED_VALUE"""),"AA031112")</f>
        <v>AA031112</v>
      </c>
      <c r="D460" t="str">
        <f ca="1">IFERROR(__xludf.DUMMYFUNCTION("""COMPUTED_VALUE"""),"")</f>
        <v/>
      </c>
      <c r="E460" s="205" t="str">
        <f ca="1">IFERROR(__xludf.DUMMYFUNCTION("""COMPUTED_VALUE"""),"林茂廷")</f>
        <v>林茂廷</v>
      </c>
    </row>
    <row r="461" spans="1:5" ht="15" customHeight="1">
      <c r="A461" s="121" t="str">
        <f t="shared" ca="1" si="1"/>
        <v/>
      </c>
      <c r="B461" t="str">
        <f t="shared" ca="1" si="2"/>
        <v/>
      </c>
      <c r="C461" s="206" t="str">
        <f ca="1">IFERROR(__xludf.DUMMYFUNCTION("""COMPUTED_VALUE"""),"PA000002")</f>
        <v>PA000002</v>
      </c>
      <c r="D461" t="str">
        <f ca="1">IFERROR(__xludf.DUMMYFUNCTION("""COMPUTED_VALUE"""),"")</f>
        <v/>
      </c>
      <c r="E461" s="205" t="str">
        <f ca="1">IFERROR(__xludf.DUMMYFUNCTION("""COMPUTED_VALUE"""),"陳復華")</f>
        <v>陳復華</v>
      </c>
    </row>
    <row r="462" spans="1:5" ht="15" customHeight="1">
      <c r="A462" s="121" t="str">
        <f t="shared" ca="1" si="1"/>
        <v/>
      </c>
      <c r="B462" t="str">
        <f t="shared" ca="1" si="2"/>
        <v/>
      </c>
      <c r="C462" s="206" t="str">
        <f ca="1">IFERROR(__xludf.DUMMYFUNCTION("""COMPUTED_VALUE"""),"PA000002")</f>
        <v>PA000002</v>
      </c>
      <c r="D462" t="str">
        <f ca="1">IFERROR(__xludf.DUMMYFUNCTION("""COMPUTED_VALUE"""),"")</f>
        <v/>
      </c>
      <c r="E462" s="205" t="str">
        <f ca="1">IFERROR(__xludf.DUMMYFUNCTION("""COMPUTED_VALUE"""),"陳復華")</f>
        <v>陳復華</v>
      </c>
    </row>
    <row r="463" spans="1:5" ht="15" customHeight="1">
      <c r="A463" s="121" t="str">
        <f t="shared" ca="1" si="1"/>
        <v/>
      </c>
      <c r="B463" t="str">
        <f t="shared" ca="1" si="2"/>
        <v/>
      </c>
      <c r="C463" s="206" t="str">
        <f ca="1">IFERROR(__xludf.DUMMYFUNCTION("""COMPUTED_VALUE"""),"AB001004")</f>
        <v>AB001004</v>
      </c>
      <c r="D463" t="str">
        <f ca="1">IFERROR(__xludf.DUMMYFUNCTION("""COMPUTED_VALUE"""),"")</f>
        <v/>
      </c>
      <c r="E463" s="205" t="str">
        <f ca="1">IFERROR(__xludf.DUMMYFUNCTION("""COMPUTED_VALUE"""),"黃正峰")</f>
        <v>黃正峰</v>
      </c>
    </row>
    <row r="464" spans="1:5" ht="15" customHeight="1">
      <c r="A464" s="121" t="str">
        <f t="shared" ca="1" si="1"/>
        <v/>
      </c>
      <c r="B464" t="str">
        <f t="shared" ca="1" si="2"/>
        <v/>
      </c>
      <c r="C464" s="206" t="str">
        <f ca="1">IFERROR(__xludf.DUMMYFUNCTION("""COMPUTED_VALUE"""),"AB001005")</f>
        <v>AB001005</v>
      </c>
      <c r="D464" t="str">
        <f ca="1">IFERROR(__xludf.DUMMYFUNCTION("""COMPUTED_VALUE"""),"")</f>
        <v/>
      </c>
      <c r="E464" s="205" t="str">
        <f ca="1">IFERROR(__xludf.DUMMYFUNCTION("""COMPUTED_VALUE"""),"蔣柳霞")</f>
        <v>蔣柳霞</v>
      </c>
    </row>
    <row r="465" spans="1:5" ht="15" customHeight="1">
      <c r="A465" s="121" t="str">
        <f t="shared" ca="1" si="1"/>
        <v/>
      </c>
      <c r="B465" t="str">
        <f t="shared" ca="1" si="2"/>
        <v/>
      </c>
      <c r="C465" s="206" t="str">
        <f ca="1">IFERROR(__xludf.DUMMYFUNCTION("""COMPUTED_VALUE"""),"AB001006")</f>
        <v>AB001006</v>
      </c>
      <c r="D465" t="str">
        <f ca="1">IFERROR(__xludf.DUMMYFUNCTION("""COMPUTED_VALUE"""),"")</f>
        <v/>
      </c>
      <c r="E465" s="205" t="str">
        <f ca="1">IFERROR(__xludf.DUMMYFUNCTION("""COMPUTED_VALUE"""),"周娟")</f>
        <v>周娟</v>
      </c>
    </row>
    <row r="466" spans="1:5" ht="15" customHeight="1">
      <c r="A466" s="121" t="str">
        <f t="shared" ca="1" si="1"/>
        <v/>
      </c>
      <c r="B466" t="str">
        <f t="shared" ca="1" si="2"/>
        <v/>
      </c>
      <c r="C466" s="206" t="str">
        <f ca="1">IFERROR(__xludf.DUMMYFUNCTION("""COMPUTED_VALUE"""),"AB001007")</f>
        <v>AB001007</v>
      </c>
      <c r="D466" t="str">
        <f ca="1">IFERROR(__xludf.DUMMYFUNCTION("""COMPUTED_VALUE"""),"")</f>
        <v/>
      </c>
      <c r="E466" s="205" t="str">
        <f ca="1">IFERROR(__xludf.DUMMYFUNCTION("""COMPUTED_VALUE"""),"林素菁")</f>
        <v>林素菁</v>
      </c>
    </row>
    <row r="467" spans="1:5" ht="15" customHeight="1">
      <c r="A467" s="121" t="str">
        <f t="shared" ca="1" si="1"/>
        <v/>
      </c>
      <c r="B467" t="str">
        <f t="shared" ca="1" si="2"/>
        <v/>
      </c>
      <c r="C467" s="206" t="str">
        <f ca="1">IFERROR(__xludf.DUMMYFUNCTION("""COMPUTED_VALUE"""),"AB000158")</f>
        <v>AB000158</v>
      </c>
      <c r="D467" t="str">
        <f ca="1">IFERROR(__xludf.DUMMYFUNCTION("""COMPUTED_VALUE"""),"")</f>
        <v/>
      </c>
      <c r="E467" s="205" t="str">
        <f ca="1">IFERROR(__xludf.DUMMYFUNCTION("""COMPUTED_VALUE"""),"大江基因醫學股份有限公司")</f>
        <v>大江基因醫學股份有限公司</v>
      </c>
    </row>
    <row r="468" spans="1:5" ht="15" customHeight="1">
      <c r="A468" s="121" t="str">
        <f t="shared" ca="1" si="1"/>
        <v/>
      </c>
      <c r="B468" t="str">
        <f t="shared" ca="1" si="2"/>
        <v/>
      </c>
      <c r="C468" s="206" t="str">
        <f ca="1">IFERROR(__xludf.DUMMYFUNCTION("""COMPUTED_VALUE"""),"AB000158")</f>
        <v>AB000158</v>
      </c>
      <c r="D468" t="str">
        <f ca="1">IFERROR(__xludf.DUMMYFUNCTION("""COMPUTED_VALUE"""),"")</f>
        <v/>
      </c>
      <c r="E468" s="205" t="str">
        <f ca="1">IFERROR(__xludf.DUMMYFUNCTION("""COMPUTED_VALUE"""),"大江基因醫學股份有限公司")</f>
        <v>大江基因醫學股份有限公司</v>
      </c>
    </row>
    <row r="469" spans="1:5" ht="15" customHeight="1">
      <c r="A469" s="121" t="str">
        <f t="shared" ca="1" si="1"/>
        <v/>
      </c>
      <c r="B469" t="str">
        <f t="shared" ca="1" si="2"/>
        <v/>
      </c>
      <c r="C469" s="206" t="str">
        <f ca="1">IFERROR(__xludf.DUMMYFUNCTION("""COMPUTED_VALUE"""),"AB000158")</f>
        <v>AB000158</v>
      </c>
      <c r="D469" t="str">
        <f ca="1">IFERROR(__xludf.DUMMYFUNCTION("""COMPUTED_VALUE"""),"")</f>
        <v/>
      </c>
      <c r="E469" s="205" t="str">
        <f ca="1">IFERROR(__xludf.DUMMYFUNCTION("""COMPUTED_VALUE"""),"大江基因醫學股份有限公司")</f>
        <v>大江基因醫學股份有限公司</v>
      </c>
    </row>
    <row r="470" spans="1:5" ht="15" customHeight="1">
      <c r="A470" s="121" t="str">
        <f t="shared" ca="1" si="1"/>
        <v/>
      </c>
      <c r="B470" t="str">
        <f t="shared" ca="1" si="2"/>
        <v/>
      </c>
      <c r="C470" s="206" t="str">
        <f ca="1">IFERROR(__xludf.DUMMYFUNCTION("""COMPUTED_VALUE"""),"AB000158")</f>
        <v>AB000158</v>
      </c>
      <c r="D470" t="str">
        <f ca="1">IFERROR(__xludf.DUMMYFUNCTION("""COMPUTED_VALUE"""),"")</f>
        <v/>
      </c>
      <c r="E470" s="205" t="str">
        <f ca="1">IFERROR(__xludf.DUMMYFUNCTION("""COMPUTED_VALUE"""),"大江基因醫學股份有限公司")</f>
        <v>大江基因醫學股份有限公司</v>
      </c>
    </row>
    <row r="471" spans="1:5" ht="15" customHeight="1">
      <c r="A471" s="121" t="str">
        <f t="shared" ca="1" si="1"/>
        <v/>
      </c>
      <c r="B471" t="str">
        <f t="shared" ca="1" si="2"/>
        <v/>
      </c>
      <c r="C471" s="206" t="str">
        <f ca="1">IFERROR(__xludf.DUMMYFUNCTION("""COMPUTED_VALUE"""),"AB000158")</f>
        <v>AB000158</v>
      </c>
      <c r="D471" t="str">
        <f ca="1">IFERROR(__xludf.DUMMYFUNCTION("""COMPUTED_VALUE"""),"")</f>
        <v/>
      </c>
      <c r="E471" s="205" t="str">
        <f ca="1">IFERROR(__xludf.DUMMYFUNCTION("""COMPUTED_VALUE"""),"大江基因醫學股份有限公司")</f>
        <v>大江基因醫學股份有限公司</v>
      </c>
    </row>
    <row r="472" spans="1:5" ht="15" customHeight="1">
      <c r="A472" s="121" t="str">
        <f t="shared" ca="1" si="1"/>
        <v/>
      </c>
      <c r="B472" t="str">
        <f t="shared" ca="1" si="2"/>
        <v/>
      </c>
      <c r="C472" s="206" t="str">
        <f ca="1">IFERROR(__xludf.DUMMYFUNCTION("""COMPUTED_VALUE"""),"AB000158")</f>
        <v>AB000158</v>
      </c>
      <c r="D472" t="str">
        <f ca="1">IFERROR(__xludf.DUMMYFUNCTION("""COMPUTED_VALUE"""),"")</f>
        <v/>
      </c>
      <c r="E472" s="205" t="str">
        <f ca="1">IFERROR(__xludf.DUMMYFUNCTION("""COMPUTED_VALUE"""),"大江基因醫學股份有限公司")</f>
        <v>大江基因醫學股份有限公司</v>
      </c>
    </row>
    <row r="473" spans="1:5" ht="15" customHeight="1">
      <c r="A473" s="121" t="str">
        <f t="shared" ca="1" si="1"/>
        <v/>
      </c>
      <c r="B473" t="str">
        <f t="shared" ca="1" si="2"/>
        <v/>
      </c>
      <c r="C473" s="206" t="str">
        <f ca="1">IFERROR(__xludf.DUMMYFUNCTION("""COMPUTED_VALUE"""),"AB000158")</f>
        <v>AB000158</v>
      </c>
      <c r="D473" t="str">
        <f ca="1">IFERROR(__xludf.DUMMYFUNCTION("""COMPUTED_VALUE"""),"")</f>
        <v/>
      </c>
      <c r="E473" s="205" t="str">
        <f ca="1">IFERROR(__xludf.DUMMYFUNCTION("""COMPUTED_VALUE"""),"大江基因醫學股份有限公司")</f>
        <v>大江基因醫學股份有限公司</v>
      </c>
    </row>
    <row r="474" spans="1:5" ht="15" customHeight="1">
      <c r="A474" s="121" t="str">
        <f t="shared" ca="1" si="1"/>
        <v/>
      </c>
      <c r="B474" t="str">
        <f t="shared" ca="1" si="2"/>
        <v/>
      </c>
      <c r="C474" s="206" t="str">
        <f ca="1">IFERROR(__xludf.DUMMYFUNCTION("""COMPUTED_VALUE"""),"AB000158")</f>
        <v>AB000158</v>
      </c>
      <c r="D474" t="str">
        <f ca="1">IFERROR(__xludf.DUMMYFUNCTION("""COMPUTED_VALUE"""),"")</f>
        <v/>
      </c>
      <c r="E474" s="205" t="str">
        <f ca="1">IFERROR(__xludf.DUMMYFUNCTION("""COMPUTED_VALUE"""),"大江基因醫學股份有限公司")</f>
        <v>大江基因醫學股份有限公司</v>
      </c>
    </row>
    <row r="475" spans="1:5" ht="15" customHeight="1">
      <c r="A475" s="121" t="str">
        <f t="shared" ca="1" si="1"/>
        <v/>
      </c>
      <c r="B475" t="str">
        <f t="shared" ca="1" si="2"/>
        <v/>
      </c>
      <c r="C475" s="206" t="str">
        <f ca="1">IFERROR(__xludf.DUMMYFUNCTION("""COMPUTED_VALUE"""),"AB000152")</f>
        <v>AB000152</v>
      </c>
      <c r="D475" t="str">
        <f ca="1">IFERROR(__xludf.DUMMYFUNCTION("""COMPUTED_VALUE"""),"")</f>
        <v/>
      </c>
      <c r="E475" s="205" t="str">
        <f ca="1">IFERROR(__xludf.DUMMYFUNCTION("""COMPUTED_VALUE"""),"大江生醫股份有限公司")</f>
        <v>大江生醫股份有限公司</v>
      </c>
    </row>
    <row r="476" spans="1:5" ht="15" customHeight="1">
      <c r="A476" s="121" t="str">
        <f t="shared" ca="1" si="1"/>
        <v/>
      </c>
      <c r="B476" t="str">
        <f t="shared" ca="1" si="2"/>
        <v/>
      </c>
      <c r="C476" s="206" t="str">
        <f ca="1">IFERROR(__xludf.DUMMYFUNCTION("""COMPUTED_VALUE"""),"AB000157")</f>
        <v>AB000157</v>
      </c>
      <c r="D476" t="str">
        <f ca="1">IFERROR(__xludf.DUMMYFUNCTION("""COMPUTED_VALUE"""),"")</f>
        <v/>
      </c>
      <c r="E476" s="205" t="str">
        <f ca="1">IFERROR(__xludf.DUMMYFUNCTION("""COMPUTED_VALUE"""),"石玉賢")</f>
        <v>石玉賢</v>
      </c>
    </row>
    <row r="477" spans="1:5" ht="15" customHeight="1">
      <c r="A477" s="121" t="str">
        <f t="shared" ca="1" si="1"/>
        <v/>
      </c>
      <c r="B477" t="str">
        <f t="shared" ca="1" si="2"/>
        <v/>
      </c>
      <c r="C477" s="206" t="str">
        <f ca="1">IFERROR(__xludf.DUMMYFUNCTION("""COMPUTED_VALUE"""),"AB001052")</f>
        <v>AB001052</v>
      </c>
      <c r="D477" t="str">
        <f ca="1">IFERROR(__xludf.DUMMYFUNCTION("""COMPUTED_VALUE"""),"")</f>
        <v/>
      </c>
      <c r="E477" s="205" t="str">
        <f ca="1">IFERROR(__xludf.DUMMYFUNCTION("""COMPUTED_VALUE"""),"林日秋")</f>
        <v>林日秋</v>
      </c>
    </row>
    <row r="478" spans="1:5" ht="15" customHeight="1">
      <c r="A478" s="121" t="str">
        <f t="shared" ca="1" si="1"/>
        <v/>
      </c>
      <c r="B478" t="str">
        <f t="shared" ca="1" si="2"/>
        <v/>
      </c>
      <c r="C478" s="206" t="str">
        <f ca="1">IFERROR(__xludf.DUMMYFUNCTION("""COMPUTED_VALUE"""),"PA000004")</f>
        <v>PA000004</v>
      </c>
      <c r="D478" t="str">
        <f ca="1">IFERROR(__xludf.DUMMYFUNCTION("""COMPUTED_VALUE"""),"")</f>
        <v/>
      </c>
      <c r="E478" s="205" t="str">
        <f ca="1">IFERROR(__xludf.DUMMYFUNCTION("""COMPUTED_VALUE"""),"福爾摩沙醫院管理顧問有限公司")</f>
        <v>福爾摩沙醫院管理顧問有限公司</v>
      </c>
    </row>
    <row r="479" spans="1:5" ht="15" customHeight="1">
      <c r="A479" s="121" t="str">
        <f t="shared" ca="1" si="1"/>
        <v/>
      </c>
      <c r="B479" t="str">
        <f t="shared" ca="1" si="2"/>
        <v/>
      </c>
      <c r="C479" s="206" t="str">
        <f ca="1">IFERROR(__xludf.DUMMYFUNCTION("""COMPUTED_VALUE"""),"AB000159")</f>
        <v>AB000159</v>
      </c>
      <c r="D479" t="str">
        <f ca="1">IFERROR(__xludf.DUMMYFUNCTION("""COMPUTED_VALUE"""),"")</f>
        <v/>
      </c>
      <c r="E479" s="205" t="str">
        <f ca="1">IFERROR(__xludf.DUMMYFUNCTION("""COMPUTED_VALUE"""),"大江生醫股份有限公司")</f>
        <v>大江生醫股份有限公司</v>
      </c>
    </row>
    <row r="480" spans="1:5" ht="15" customHeight="1">
      <c r="A480" s="121" t="str">
        <f t="shared" ca="1" si="1"/>
        <v/>
      </c>
      <c r="B480" t="str">
        <f t="shared" ca="1" si="2"/>
        <v/>
      </c>
      <c r="C480" s="206" t="str">
        <f ca="1">IFERROR(__xludf.DUMMYFUNCTION("""COMPUTED_VALUE"""),"AB001101")</f>
        <v>AB001101</v>
      </c>
      <c r="D480" t="str">
        <f ca="1">IFERROR(__xludf.DUMMYFUNCTION("""COMPUTED_VALUE"""),"")</f>
        <v/>
      </c>
      <c r="E480" s="205" t="str">
        <f ca="1">IFERROR(__xludf.DUMMYFUNCTION("""COMPUTED_VALUE"""),"吳台林")</f>
        <v>吳台林</v>
      </c>
    </row>
    <row r="481" spans="1:5" ht="15" customHeight="1">
      <c r="A481" s="121" t="str">
        <f t="shared" ca="1" si="1"/>
        <v/>
      </c>
      <c r="B481" t="str">
        <f t="shared" ca="1" si="2"/>
        <v/>
      </c>
      <c r="C481" s="206" t="str">
        <f ca="1">IFERROR(__xludf.DUMMYFUNCTION("""COMPUTED_VALUE"""),"AB001102")</f>
        <v>AB001102</v>
      </c>
      <c r="D481" t="str">
        <f ca="1">IFERROR(__xludf.DUMMYFUNCTION("""COMPUTED_VALUE"""),"")</f>
        <v/>
      </c>
      <c r="E481" s="205" t="str">
        <f ca="1">IFERROR(__xludf.DUMMYFUNCTION("""COMPUTED_VALUE"""),"楊珉雯")</f>
        <v>楊珉雯</v>
      </c>
    </row>
    <row r="482" spans="1:5" ht="15" customHeight="1">
      <c r="A482" s="121" t="str">
        <f t="shared" ca="1" si="1"/>
        <v/>
      </c>
      <c r="B482" t="str">
        <f t="shared" ca="1" si="2"/>
        <v/>
      </c>
      <c r="C482" s="206" t="str">
        <f ca="1">IFERROR(__xludf.DUMMYFUNCTION("""COMPUTED_VALUE"""),"AB001103")</f>
        <v>AB001103</v>
      </c>
      <c r="D482" t="str">
        <f ca="1">IFERROR(__xludf.DUMMYFUNCTION("""COMPUTED_VALUE"""),"")</f>
        <v/>
      </c>
      <c r="E482" s="205" t="str">
        <f ca="1">IFERROR(__xludf.DUMMYFUNCTION("""COMPUTED_VALUE"""),"郭冠廷")</f>
        <v>郭冠廷</v>
      </c>
    </row>
    <row r="483" spans="1:5" ht="15" customHeight="1">
      <c r="A483" s="121" t="str">
        <f t="shared" ca="1" si="1"/>
        <v/>
      </c>
      <c r="B483" t="str">
        <f t="shared" ca="1" si="2"/>
        <v/>
      </c>
      <c r="C483" s="206" t="str">
        <f ca="1">IFERROR(__xludf.DUMMYFUNCTION("""COMPUTED_VALUE"""),"AB001104")</f>
        <v>AB001104</v>
      </c>
      <c r="D483" t="str">
        <f ca="1">IFERROR(__xludf.DUMMYFUNCTION("""COMPUTED_VALUE"""),"")</f>
        <v/>
      </c>
      <c r="E483" s="205" t="str">
        <f ca="1">IFERROR(__xludf.DUMMYFUNCTION("""COMPUTED_VALUE"""),"楊淳芸")</f>
        <v>楊淳芸</v>
      </c>
    </row>
    <row r="484" spans="1:5" ht="15" customHeight="1">
      <c r="A484" s="121" t="str">
        <f t="shared" ca="1" si="1"/>
        <v/>
      </c>
      <c r="B484" t="str">
        <f t="shared" ca="1" si="2"/>
        <v/>
      </c>
      <c r="C484" s="206" t="str">
        <f ca="1">IFERROR(__xludf.DUMMYFUNCTION("""COMPUTED_VALUE"""),"AB001104")</f>
        <v>AB001104</v>
      </c>
      <c r="D484" t="str">
        <f ca="1">IFERROR(__xludf.DUMMYFUNCTION("""COMPUTED_VALUE"""),"")</f>
        <v/>
      </c>
      <c r="E484" s="205" t="str">
        <f ca="1">IFERROR(__xludf.DUMMYFUNCTION("""COMPUTED_VALUE"""),"楊淳芸")</f>
        <v>楊淳芸</v>
      </c>
    </row>
    <row r="485" spans="1:5" ht="15" customHeight="1">
      <c r="A485" s="121" t="str">
        <f t="shared" ca="1" si="1"/>
        <v/>
      </c>
      <c r="B485" t="str">
        <f t="shared" ca="1" si="2"/>
        <v/>
      </c>
      <c r="C485" s="206" t="str">
        <f ca="1">IFERROR(__xludf.DUMMYFUNCTION("""COMPUTED_VALUE"""),"AB001105")</f>
        <v>AB001105</v>
      </c>
      <c r="D485" t="str">
        <f ca="1">IFERROR(__xludf.DUMMYFUNCTION("""COMPUTED_VALUE"""),"")</f>
        <v/>
      </c>
      <c r="E485" s="205" t="str">
        <f ca="1">IFERROR(__xludf.DUMMYFUNCTION("""COMPUTED_VALUE"""),"陳怡雯")</f>
        <v>陳怡雯</v>
      </c>
    </row>
    <row r="486" spans="1:5" ht="15" customHeight="1">
      <c r="A486" s="121" t="str">
        <f t="shared" ca="1" si="1"/>
        <v/>
      </c>
      <c r="B486" t="str">
        <f t="shared" ca="1" si="2"/>
        <v/>
      </c>
      <c r="C486" s="206" t="str">
        <f ca="1">IFERROR(__xludf.DUMMYFUNCTION("""COMPUTED_VALUE"""),"AB001109")</f>
        <v>AB001109</v>
      </c>
      <c r="D486" t="str">
        <f ca="1">IFERROR(__xludf.DUMMYFUNCTION("""COMPUTED_VALUE"""),"")</f>
        <v/>
      </c>
      <c r="E486" s="205" t="str">
        <f ca="1">IFERROR(__xludf.DUMMYFUNCTION("""COMPUTED_VALUE"""),"劉育瑋")</f>
        <v>劉育瑋</v>
      </c>
    </row>
    <row r="487" spans="1:5" ht="15" customHeight="1">
      <c r="A487" s="121" t="str">
        <f t="shared" ca="1" si="1"/>
        <v/>
      </c>
      <c r="B487" t="str">
        <f t="shared" ca="1" si="2"/>
        <v/>
      </c>
      <c r="C487" s="206" t="str">
        <f ca="1">IFERROR(__xludf.DUMMYFUNCTION("""COMPUTED_VALUE"""),"AB001008")</f>
        <v>AB001008</v>
      </c>
      <c r="D487" t="str">
        <f ca="1">IFERROR(__xludf.DUMMYFUNCTION("""COMPUTED_VALUE"""),"")</f>
        <v/>
      </c>
      <c r="E487" s="205" t="str">
        <f ca="1">IFERROR(__xludf.DUMMYFUNCTION("""COMPUTED_VALUE"""),"王亞筠")</f>
        <v>王亞筠</v>
      </c>
    </row>
    <row r="488" spans="1:5" ht="15" customHeight="1">
      <c r="A488" s="121" t="str">
        <f t="shared" ca="1" si="1"/>
        <v/>
      </c>
      <c r="B488" t="str">
        <f t="shared" ca="1" si="2"/>
        <v/>
      </c>
      <c r="C488" s="206" t="str">
        <f ca="1">IFERROR(__xludf.DUMMYFUNCTION("""COMPUTED_VALUE"""),"AB001009")</f>
        <v>AB001009</v>
      </c>
      <c r="D488" t="str">
        <f ca="1">IFERROR(__xludf.DUMMYFUNCTION("""COMPUTED_VALUE"""),"")</f>
        <v/>
      </c>
      <c r="E488" s="205" t="str">
        <f ca="1">IFERROR(__xludf.DUMMYFUNCTION("""COMPUTED_VALUE"""),"賴建明")</f>
        <v>賴建明</v>
      </c>
    </row>
    <row r="489" spans="1:5" ht="15" customHeight="1">
      <c r="A489" s="121" t="str">
        <f t="shared" ca="1" si="1"/>
        <v/>
      </c>
      <c r="B489" t="str">
        <f t="shared" ca="1" si="2"/>
        <v/>
      </c>
      <c r="C489" s="206" t="str">
        <f ca="1">IFERROR(__xludf.DUMMYFUNCTION("""COMPUTED_VALUE"""),"AB001010")</f>
        <v>AB001010</v>
      </c>
      <c r="D489" t="str">
        <f ca="1">IFERROR(__xludf.DUMMYFUNCTION("""COMPUTED_VALUE"""),"")</f>
        <v/>
      </c>
      <c r="E489" s="205" t="str">
        <f ca="1">IFERROR(__xludf.DUMMYFUNCTION("""COMPUTED_VALUE"""),"楊迪勝")</f>
        <v>楊迪勝</v>
      </c>
    </row>
    <row r="490" spans="1:5" ht="15" customHeight="1">
      <c r="A490" s="121" t="str">
        <f t="shared" ca="1" si="1"/>
        <v/>
      </c>
      <c r="B490" t="str">
        <f t="shared" ca="1" si="2"/>
        <v/>
      </c>
      <c r="C490" s="206" t="str">
        <f ca="1">IFERROR(__xludf.DUMMYFUNCTION("""COMPUTED_VALUE"""),"AB001011")</f>
        <v>AB001011</v>
      </c>
      <c r="D490" t="str">
        <f ca="1">IFERROR(__xludf.DUMMYFUNCTION("""COMPUTED_VALUE"""),"")</f>
        <v/>
      </c>
      <c r="E490" s="205" t="str">
        <f ca="1">IFERROR(__xludf.DUMMYFUNCTION("""COMPUTED_VALUE"""),"李坤旺")</f>
        <v>李坤旺</v>
      </c>
    </row>
    <row r="491" spans="1:5" ht="15" customHeight="1">
      <c r="A491" s="121" t="str">
        <f t="shared" ca="1" si="1"/>
        <v/>
      </c>
      <c r="B491" t="str">
        <f t="shared" ca="1" si="2"/>
        <v/>
      </c>
      <c r="C491" s="206" t="str">
        <f ca="1">IFERROR(__xludf.DUMMYFUNCTION("""COMPUTED_VALUE"""),"AB000151")</f>
        <v>AB000151</v>
      </c>
      <c r="D491" t="str">
        <f ca="1">IFERROR(__xludf.DUMMYFUNCTION("""COMPUTED_VALUE"""),"")</f>
        <v/>
      </c>
      <c r="E491" s="205" t="str">
        <f ca="1">IFERROR(__xludf.DUMMYFUNCTION("""COMPUTED_VALUE"""),"大江生醫股份有限公司")</f>
        <v>大江生醫股份有限公司</v>
      </c>
    </row>
    <row r="492" spans="1:5" ht="15" customHeight="1">
      <c r="A492" s="121" t="str">
        <f t="shared" ca="1" si="1"/>
        <v/>
      </c>
      <c r="B492" t="str">
        <f t="shared" ca="1" si="2"/>
        <v/>
      </c>
      <c r="C492" s="206" t="str">
        <f ca="1">IFERROR(__xludf.DUMMYFUNCTION("""COMPUTED_VALUE"""),"AB000151")</f>
        <v>AB000151</v>
      </c>
      <c r="D492" t="str">
        <f ca="1">IFERROR(__xludf.DUMMYFUNCTION("""COMPUTED_VALUE"""),"")</f>
        <v/>
      </c>
      <c r="E492" s="205" t="str">
        <f ca="1">IFERROR(__xludf.DUMMYFUNCTION("""COMPUTED_VALUE"""),"大江生醫股份有限公司")</f>
        <v>大江生醫股份有限公司</v>
      </c>
    </row>
    <row r="493" spans="1:5" ht="15" customHeight="1">
      <c r="A493" s="121" t="str">
        <f t="shared" ca="1" si="1"/>
        <v/>
      </c>
      <c r="B493" t="str">
        <f t="shared" ca="1" si="2"/>
        <v/>
      </c>
      <c r="C493" s="206" t="str">
        <f ca="1">IFERROR(__xludf.DUMMYFUNCTION("""COMPUTED_VALUE"""),"AB001111")</f>
        <v>AB001111</v>
      </c>
      <c r="D493" t="str">
        <f ca="1">IFERROR(__xludf.DUMMYFUNCTION("""COMPUTED_VALUE"""),"")</f>
        <v/>
      </c>
      <c r="E493" s="205" t="str">
        <f ca="1">IFERROR(__xludf.DUMMYFUNCTION("""COMPUTED_VALUE"""),"蘇莉晴")</f>
        <v>蘇莉晴</v>
      </c>
    </row>
    <row r="494" spans="1:5" ht="15" customHeight="1">
      <c r="A494" s="121" t="str">
        <f t="shared" ca="1" si="1"/>
        <v/>
      </c>
      <c r="B494" t="str">
        <f t="shared" ca="1" si="2"/>
        <v/>
      </c>
      <c r="C494" s="206" t="str">
        <f ca="1">IFERROR(__xludf.DUMMYFUNCTION("""COMPUTED_VALUE"""),"AB001113")</f>
        <v>AB001113</v>
      </c>
      <c r="D494" t="str">
        <f ca="1">IFERROR(__xludf.DUMMYFUNCTION("""COMPUTED_VALUE"""),"")</f>
        <v/>
      </c>
      <c r="E494" s="205" t="str">
        <f ca="1">IFERROR(__xludf.DUMMYFUNCTION("""COMPUTED_VALUE"""),"賴本智")</f>
        <v>賴本智</v>
      </c>
    </row>
    <row r="495" spans="1:5" ht="15" customHeight="1">
      <c r="A495" s="121" t="str">
        <f t="shared" ca="1" si="1"/>
        <v/>
      </c>
      <c r="B495" t="str">
        <f t="shared" ca="1" si="2"/>
        <v/>
      </c>
      <c r="C495" s="206" t="str">
        <f ca="1">IFERROR(__xludf.DUMMYFUNCTION("""COMPUTED_VALUE"""),"AB001013")</f>
        <v>AB001013</v>
      </c>
      <c r="D495" t="str">
        <f ca="1">IFERROR(__xludf.DUMMYFUNCTION("""COMPUTED_VALUE"""),"")</f>
        <v/>
      </c>
      <c r="E495" s="205" t="str">
        <f ca="1">IFERROR(__xludf.DUMMYFUNCTION("""COMPUTED_VALUE"""),"裘力行")</f>
        <v>裘力行</v>
      </c>
    </row>
    <row r="496" spans="1:5" ht="15" customHeight="1">
      <c r="A496" s="121" t="str">
        <f t="shared" ca="1" si="1"/>
        <v/>
      </c>
      <c r="B496" t="str">
        <f t="shared" ca="1" si="2"/>
        <v/>
      </c>
      <c r="C496" s="206" t="str">
        <f ca="1">IFERROR(__xludf.DUMMYFUNCTION("""COMPUTED_VALUE"""),"AB001114")</f>
        <v>AB001114</v>
      </c>
      <c r="D496" t="str">
        <f ca="1">IFERROR(__xludf.DUMMYFUNCTION("""COMPUTED_VALUE"""),"")</f>
        <v/>
      </c>
      <c r="E496" s="205" t="str">
        <f ca="1">IFERROR(__xludf.DUMMYFUNCTION("""COMPUTED_VALUE"""),"陳復華")</f>
        <v>陳復華</v>
      </c>
    </row>
    <row r="497" spans="1:5" ht="15" customHeight="1">
      <c r="A497" s="121" t="str">
        <f t="shared" ca="1" si="1"/>
        <v/>
      </c>
      <c r="B497" t="str">
        <f t="shared" ca="1" si="2"/>
        <v/>
      </c>
      <c r="C497" s="206" t="str">
        <f ca="1">IFERROR(__xludf.DUMMYFUNCTION("""COMPUTED_VALUE"""),"AB001116")</f>
        <v>AB001116</v>
      </c>
      <c r="D497" t="str">
        <f ca="1">IFERROR(__xludf.DUMMYFUNCTION("""COMPUTED_VALUE"""),"")</f>
        <v/>
      </c>
      <c r="E497" s="205" t="str">
        <f ca="1">IFERROR(__xludf.DUMMYFUNCTION("""COMPUTED_VALUE"""),"愛米瑞可國際事業有限公司")</f>
        <v>愛米瑞可國際事業有限公司</v>
      </c>
    </row>
    <row r="498" spans="1:5" ht="15" customHeight="1">
      <c r="A498" s="121" t="str">
        <f t="shared" ca="1" si="1"/>
        <v/>
      </c>
      <c r="B498" t="str">
        <f t="shared" ca="1" si="2"/>
        <v/>
      </c>
      <c r="C498" s="206" t="str">
        <f ca="1">IFERROR(__xludf.DUMMYFUNCTION("""COMPUTED_VALUE"""),"AB001116")</f>
        <v>AB001116</v>
      </c>
      <c r="D498" t="str">
        <f ca="1">IFERROR(__xludf.DUMMYFUNCTION("""COMPUTED_VALUE"""),"")</f>
        <v/>
      </c>
      <c r="E498" s="205" t="str">
        <f ca="1">IFERROR(__xludf.DUMMYFUNCTION("""COMPUTED_VALUE"""),"愛米瑞可國際事業有限公司")</f>
        <v>愛米瑞可國際事業有限公司</v>
      </c>
    </row>
    <row r="499" spans="1:5" ht="15" customHeight="1">
      <c r="A499" s="121" t="str">
        <f t="shared" ca="1" si="1"/>
        <v/>
      </c>
      <c r="B499" t="str">
        <f t="shared" ca="1" si="2"/>
        <v/>
      </c>
      <c r="C499" s="206" t="str">
        <f ca="1">IFERROR(__xludf.DUMMYFUNCTION("""COMPUTED_VALUE"""),"AB001118")</f>
        <v>AB001118</v>
      </c>
      <c r="D499" t="str">
        <f ca="1">IFERROR(__xludf.DUMMYFUNCTION("""COMPUTED_VALUE"""),"")</f>
        <v/>
      </c>
      <c r="E499" s="205" t="str">
        <f ca="1">IFERROR(__xludf.DUMMYFUNCTION("""COMPUTED_VALUE"""),"胡逸惟")</f>
        <v>胡逸惟</v>
      </c>
    </row>
    <row r="500" spans="1:5" ht="15" customHeight="1">
      <c r="A500" s="121" t="str">
        <f t="shared" ca="1" si="1"/>
        <v/>
      </c>
      <c r="B500" t="str">
        <f t="shared" ca="1" si="2"/>
        <v/>
      </c>
      <c r="C500" s="206" t="str">
        <f ca="1">IFERROR(__xludf.DUMMYFUNCTION("""COMPUTED_VALUE"""),"AB001151")</f>
        <v>AB001151</v>
      </c>
      <c r="D500" t="str">
        <f ca="1">IFERROR(__xludf.DUMMYFUNCTION("""COMPUTED_VALUE"""),"")</f>
        <v/>
      </c>
      <c r="E500" s="205" t="str">
        <f ca="1">IFERROR(__xludf.DUMMYFUNCTION("""COMPUTED_VALUE"""),"蘇亭文")</f>
        <v>蘇亭文</v>
      </c>
    </row>
    <row r="501" spans="1:5" ht="15" customHeight="1">
      <c r="A501" s="121" t="str">
        <f t="shared" ca="1" si="1"/>
        <v/>
      </c>
      <c r="B501" t="str">
        <f t="shared" ca="1" si="2"/>
        <v/>
      </c>
      <c r="C501" s="206" t="str">
        <f ca="1">IFERROR(__xludf.DUMMYFUNCTION("""COMPUTED_VALUE"""),"AB001151")</f>
        <v>AB001151</v>
      </c>
      <c r="D501" t="str">
        <f ca="1">IFERROR(__xludf.DUMMYFUNCTION("""COMPUTED_VALUE"""),"")</f>
        <v/>
      </c>
      <c r="E501" s="205" t="str">
        <f ca="1">IFERROR(__xludf.DUMMYFUNCTION("""COMPUTED_VALUE"""),"蘇亭文")</f>
        <v>蘇亭文</v>
      </c>
    </row>
    <row r="502" spans="1:5" ht="15" customHeight="1">
      <c r="A502" s="121" t="str">
        <f t="shared" ca="1" si="1"/>
        <v/>
      </c>
      <c r="B502" t="str">
        <f t="shared" ca="1" si="2"/>
        <v/>
      </c>
      <c r="C502" s="206" t="str">
        <f ca="1">IFERROR(__xludf.DUMMYFUNCTION("""COMPUTED_VALUE"""),"AB001151")</f>
        <v>AB001151</v>
      </c>
      <c r="D502" t="str">
        <f ca="1">IFERROR(__xludf.DUMMYFUNCTION("""COMPUTED_VALUE"""),"")</f>
        <v/>
      </c>
      <c r="E502" s="205" t="str">
        <f ca="1">IFERROR(__xludf.DUMMYFUNCTION("""COMPUTED_VALUE"""),"蘇亭文")</f>
        <v>蘇亭文</v>
      </c>
    </row>
    <row r="503" spans="1:5" ht="15" customHeight="1">
      <c r="A503" s="121" t="str">
        <f t="shared" ca="1" si="1"/>
        <v/>
      </c>
      <c r="B503" t="str">
        <f t="shared" ca="1" si="2"/>
        <v/>
      </c>
      <c r="C503" s="206" t="str">
        <f ca="1">IFERROR(__xludf.DUMMYFUNCTION("""COMPUTED_VALUE"""),"AB001014")</f>
        <v>AB001014</v>
      </c>
      <c r="D503" t="str">
        <f ca="1">IFERROR(__xludf.DUMMYFUNCTION("""COMPUTED_VALUE"""),"")</f>
        <v/>
      </c>
      <c r="E503" s="205" t="str">
        <f ca="1">IFERROR(__xludf.DUMMYFUNCTION("""COMPUTED_VALUE"""),"陳復華")</f>
        <v>陳復華</v>
      </c>
    </row>
    <row r="504" spans="1:5" ht="15" customHeight="1">
      <c r="A504" s="121" t="str">
        <f t="shared" ca="1" si="1"/>
        <v/>
      </c>
      <c r="B504" t="str">
        <f t="shared" ca="1" si="2"/>
        <v/>
      </c>
      <c r="C504" s="206" t="str">
        <f ca="1">IFERROR(__xludf.DUMMYFUNCTION("""COMPUTED_VALUE"""),"AB001014")</f>
        <v>AB001014</v>
      </c>
      <c r="D504" t="str">
        <f ca="1">IFERROR(__xludf.DUMMYFUNCTION("""COMPUTED_VALUE"""),"")</f>
        <v/>
      </c>
      <c r="E504" s="205" t="str">
        <f ca="1">IFERROR(__xludf.DUMMYFUNCTION("""COMPUTED_VALUE"""),"陳復華")</f>
        <v>陳復華</v>
      </c>
    </row>
    <row r="505" spans="1:5" ht="15" customHeight="1">
      <c r="A505" s="121" t="str">
        <f t="shared" ca="1" si="1"/>
        <v/>
      </c>
      <c r="B505" t="str">
        <f t="shared" ca="1" si="2"/>
        <v/>
      </c>
      <c r="C505" s="206" t="str">
        <f ca="1">IFERROR(__xludf.DUMMYFUNCTION("""COMPUTED_VALUE"""),"AB001014")</f>
        <v>AB001014</v>
      </c>
      <c r="D505" t="str">
        <f ca="1">IFERROR(__xludf.DUMMYFUNCTION("""COMPUTED_VALUE"""),"")</f>
        <v/>
      </c>
      <c r="E505" s="205" t="str">
        <f ca="1">IFERROR(__xludf.DUMMYFUNCTION("""COMPUTED_VALUE"""),"陳復華")</f>
        <v>陳復華</v>
      </c>
    </row>
    <row r="506" spans="1:5" ht="15" customHeight="1">
      <c r="A506" s="121" t="str">
        <f t="shared" ca="1" si="1"/>
        <v/>
      </c>
      <c r="B506" t="str">
        <f t="shared" ca="1" si="2"/>
        <v/>
      </c>
      <c r="C506" s="206" t="str">
        <f ca="1">IFERROR(__xludf.DUMMYFUNCTION("""COMPUTED_VALUE"""),"AB001014")</f>
        <v>AB001014</v>
      </c>
      <c r="D506" t="str">
        <f ca="1">IFERROR(__xludf.DUMMYFUNCTION("""COMPUTED_VALUE"""),"")</f>
        <v/>
      </c>
      <c r="E506" s="205" t="str">
        <f ca="1">IFERROR(__xludf.DUMMYFUNCTION("""COMPUTED_VALUE"""),"陳復華")</f>
        <v>陳復華</v>
      </c>
    </row>
    <row r="507" spans="1:5" ht="15" customHeight="1">
      <c r="A507" s="121" t="str">
        <f t="shared" ca="1" si="1"/>
        <v/>
      </c>
      <c r="B507" t="str">
        <f t="shared" ca="1" si="2"/>
        <v/>
      </c>
      <c r="C507" s="206" t="str">
        <f ca="1">IFERROR(__xludf.DUMMYFUNCTION("""COMPUTED_VALUE"""),"AB001015")</f>
        <v>AB001015</v>
      </c>
      <c r="D507" t="str">
        <f ca="1">IFERROR(__xludf.DUMMYFUNCTION("""COMPUTED_VALUE"""),"")</f>
        <v/>
      </c>
      <c r="E507" s="205" t="str">
        <f ca="1">IFERROR(__xludf.DUMMYFUNCTION("""COMPUTED_VALUE"""),"蔡慧媛")</f>
        <v>蔡慧媛</v>
      </c>
    </row>
    <row r="508" spans="1:5" ht="15" customHeight="1">
      <c r="A508" s="121" t="str">
        <f t="shared" ca="1" si="1"/>
        <v/>
      </c>
      <c r="B508" t="str">
        <f t="shared" ca="1" si="2"/>
        <v/>
      </c>
      <c r="C508" s="206" t="str">
        <f ca="1">IFERROR(__xludf.DUMMYFUNCTION("""COMPUTED_VALUE"""),"AB001152")</f>
        <v>AB001152</v>
      </c>
      <c r="D508" t="str">
        <f ca="1">IFERROR(__xludf.DUMMYFUNCTION("""COMPUTED_VALUE"""),"")</f>
        <v/>
      </c>
      <c r="E508" s="205" t="str">
        <f ca="1">IFERROR(__xludf.DUMMYFUNCTION("""COMPUTED_VALUE"""),"劉二榛")</f>
        <v>劉二榛</v>
      </c>
    </row>
    <row r="509" spans="1:5" ht="15" customHeight="1">
      <c r="A509" s="121" t="str">
        <f t="shared" ca="1" si="1"/>
        <v/>
      </c>
      <c r="B509" t="str">
        <f t="shared" ca="1" si="2"/>
        <v/>
      </c>
      <c r="C509" s="206" t="str">
        <f ca="1">IFERROR(__xludf.DUMMYFUNCTION("""COMPUTED_VALUE"""),"AB001152")</f>
        <v>AB001152</v>
      </c>
      <c r="D509" t="str">
        <f ca="1">IFERROR(__xludf.DUMMYFUNCTION("""COMPUTED_VALUE"""),"")</f>
        <v/>
      </c>
      <c r="E509" s="205" t="str">
        <f ca="1">IFERROR(__xludf.DUMMYFUNCTION("""COMPUTED_VALUE"""),"劉二榛")</f>
        <v>劉二榛</v>
      </c>
    </row>
    <row r="510" spans="1:5" ht="15" customHeight="1">
      <c r="A510" s="121" t="str">
        <f t="shared" ca="1" si="1"/>
        <v/>
      </c>
      <c r="B510" t="str">
        <f t="shared" ca="1" si="2"/>
        <v/>
      </c>
      <c r="C510" s="206" t="str">
        <f ca="1">IFERROR(__xludf.DUMMYFUNCTION("""COMPUTED_VALUE"""),"AB001153")</f>
        <v>AB001153</v>
      </c>
      <c r="D510" t="str">
        <f ca="1">IFERROR(__xludf.DUMMYFUNCTION("""COMPUTED_VALUE"""),"")</f>
        <v/>
      </c>
      <c r="E510" s="205" t="str">
        <f ca="1">IFERROR(__xludf.DUMMYFUNCTION("""COMPUTED_VALUE"""),"零售")</f>
        <v>零售</v>
      </c>
    </row>
    <row r="511" spans="1:5" ht="15" customHeight="1">
      <c r="A511" s="121" t="str">
        <f t="shared" ca="1" si="1"/>
        <v/>
      </c>
      <c r="B511" t="str">
        <f t="shared" ca="1" si="2"/>
        <v/>
      </c>
      <c r="C511" s="206" t="str">
        <f ca="1">IFERROR(__xludf.DUMMYFUNCTION("""COMPUTED_VALUE"""),"AB001119")</f>
        <v>AB001119</v>
      </c>
      <c r="D511" t="str">
        <f ca="1">IFERROR(__xludf.DUMMYFUNCTION("""COMPUTED_VALUE"""),"")</f>
        <v/>
      </c>
      <c r="E511" s="205" t="str">
        <f ca="1">IFERROR(__xludf.DUMMYFUNCTION("""COMPUTED_VALUE"""),"員購")</f>
        <v>員購</v>
      </c>
    </row>
    <row r="512" spans="1:5" ht="15" customHeight="1">
      <c r="A512" s="121" t="str">
        <f t="shared" ca="1" si="1"/>
        <v/>
      </c>
      <c r="B512" t="str">
        <f t="shared" ca="1" si="2"/>
        <v/>
      </c>
      <c r="C512" s="206" t="str">
        <f ca="1">IFERROR(__xludf.DUMMYFUNCTION("""COMPUTED_VALUE"""),"AB001119")</f>
        <v>AB001119</v>
      </c>
      <c r="D512" t="str">
        <f ca="1">IFERROR(__xludf.DUMMYFUNCTION("""COMPUTED_VALUE"""),"")</f>
        <v/>
      </c>
      <c r="E512" s="205" t="str">
        <f ca="1">IFERROR(__xludf.DUMMYFUNCTION("""COMPUTED_VALUE"""),"員購")</f>
        <v>員購</v>
      </c>
    </row>
    <row r="513" spans="1:5" ht="15" customHeight="1">
      <c r="A513" s="121" t="str">
        <f t="shared" ca="1" si="1"/>
        <v/>
      </c>
      <c r="B513" t="str">
        <f t="shared" ca="1" si="2"/>
        <v/>
      </c>
      <c r="C513" s="206" t="str">
        <f ca="1">IFERROR(__xludf.DUMMYFUNCTION("""COMPUTED_VALUE"""),"AB001119")</f>
        <v>AB001119</v>
      </c>
      <c r="D513" t="str">
        <f ca="1">IFERROR(__xludf.DUMMYFUNCTION("""COMPUTED_VALUE"""),"")</f>
        <v/>
      </c>
      <c r="E513" s="205" t="str">
        <f ca="1">IFERROR(__xludf.DUMMYFUNCTION("""COMPUTED_VALUE"""),"員購")</f>
        <v>員購</v>
      </c>
    </row>
    <row r="514" spans="1:5" ht="15" customHeight="1">
      <c r="A514" s="121" t="str">
        <f t="shared" ca="1" si="1"/>
        <v/>
      </c>
      <c r="B514" t="str">
        <f t="shared" ca="1" si="2"/>
        <v/>
      </c>
      <c r="C514" s="206" t="str">
        <f ca="1">IFERROR(__xludf.DUMMYFUNCTION("""COMPUTED_VALUE"""),"AB001119")</f>
        <v>AB001119</v>
      </c>
      <c r="D514" t="str">
        <f ca="1">IFERROR(__xludf.DUMMYFUNCTION("""COMPUTED_VALUE"""),"")</f>
        <v/>
      </c>
      <c r="E514" s="205" t="str">
        <f ca="1">IFERROR(__xludf.DUMMYFUNCTION("""COMPUTED_VALUE"""),"員購")</f>
        <v>員購</v>
      </c>
    </row>
    <row r="515" spans="1:5" ht="15" customHeight="1">
      <c r="A515" s="121" t="str">
        <f t="shared" ca="1" si="1"/>
        <v/>
      </c>
      <c r="B515" t="str">
        <f t="shared" ca="1" si="2"/>
        <v/>
      </c>
      <c r="C515" s="206" t="str">
        <f ca="1">IFERROR(__xludf.DUMMYFUNCTION("""COMPUTED_VALUE"""),"AB001119")</f>
        <v>AB001119</v>
      </c>
      <c r="D515" t="str">
        <f ca="1">IFERROR(__xludf.DUMMYFUNCTION("""COMPUTED_VALUE"""),"")</f>
        <v/>
      </c>
      <c r="E515" s="205" t="str">
        <f ca="1">IFERROR(__xludf.DUMMYFUNCTION("""COMPUTED_VALUE"""),"員購")</f>
        <v>員購</v>
      </c>
    </row>
    <row r="516" spans="1:5" ht="15" customHeight="1">
      <c r="A516" s="121" t="str">
        <f t="shared" ca="1" si="1"/>
        <v/>
      </c>
      <c r="B516" t="str">
        <f t="shared" ca="1" si="2"/>
        <v/>
      </c>
      <c r="C516" s="206" t="str">
        <f ca="1">IFERROR(__xludf.DUMMYFUNCTION("""COMPUTED_VALUE"""),"AB001119")</f>
        <v>AB001119</v>
      </c>
      <c r="D516" t="str">
        <f ca="1">IFERROR(__xludf.DUMMYFUNCTION("""COMPUTED_VALUE"""),"")</f>
        <v/>
      </c>
      <c r="E516" s="205" t="str">
        <f ca="1">IFERROR(__xludf.DUMMYFUNCTION("""COMPUTED_VALUE"""),"員購")</f>
        <v>員購</v>
      </c>
    </row>
    <row r="517" spans="1:5" ht="15" customHeight="1">
      <c r="A517" s="121" t="str">
        <f t="shared" ca="1" si="1"/>
        <v/>
      </c>
      <c r="B517" t="str">
        <f t="shared" ca="1" si="2"/>
        <v/>
      </c>
      <c r="C517" s="206" t="str">
        <f ca="1">IFERROR(__xludf.DUMMYFUNCTION("""COMPUTED_VALUE"""),"AB001119")</f>
        <v>AB001119</v>
      </c>
      <c r="D517" t="str">
        <f ca="1">IFERROR(__xludf.DUMMYFUNCTION("""COMPUTED_VALUE"""),"")</f>
        <v/>
      </c>
      <c r="E517" s="205" t="str">
        <f ca="1">IFERROR(__xludf.DUMMYFUNCTION("""COMPUTED_VALUE"""),"員購")</f>
        <v>員購</v>
      </c>
    </row>
    <row r="518" spans="1:5" ht="15" customHeight="1">
      <c r="A518" s="121" t="str">
        <f t="shared" ca="1" si="1"/>
        <v/>
      </c>
      <c r="B518" t="str">
        <f t="shared" ca="1" si="2"/>
        <v/>
      </c>
      <c r="C518" s="206" t="str">
        <f ca="1">IFERROR(__xludf.DUMMYFUNCTION("""COMPUTED_VALUE"""),"AB001119")</f>
        <v>AB001119</v>
      </c>
      <c r="D518" t="str">
        <f ca="1">IFERROR(__xludf.DUMMYFUNCTION("""COMPUTED_VALUE"""),"")</f>
        <v/>
      </c>
      <c r="E518" s="205" t="str">
        <f ca="1">IFERROR(__xludf.DUMMYFUNCTION("""COMPUTED_VALUE"""),"員購")</f>
        <v>員購</v>
      </c>
    </row>
    <row r="519" spans="1:5" ht="15" customHeight="1">
      <c r="A519" s="121" t="str">
        <f t="shared" ca="1" si="1"/>
        <v/>
      </c>
      <c r="B519" t="str">
        <f t="shared" ca="1" si="2"/>
        <v/>
      </c>
      <c r="C519" s="206" t="str">
        <f ca="1">IFERROR(__xludf.DUMMYFUNCTION("""COMPUTED_VALUE"""),"AB001119")</f>
        <v>AB001119</v>
      </c>
      <c r="D519" t="str">
        <f ca="1">IFERROR(__xludf.DUMMYFUNCTION("""COMPUTED_VALUE"""),"")</f>
        <v/>
      </c>
      <c r="E519" s="205" t="str">
        <f ca="1">IFERROR(__xludf.DUMMYFUNCTION("""COMPUTED_VALUE"""),"員購")</f>
        <v>員購</v>
      </c>
    </row>
    <row r="520" spans="1:5" ht="15" customHeight="1">
      <c r="A520" s="121" t="str">
        <f t="shared" ca="1" si="1"/>
        <v/>
      </c>
      <c r="B520" t="str">
        <f t="shared" ca="1" si="2"/>
        <v/>
      </c>
      <c r="C520" s="206" t="str">
        <f ca="1">IFERROR(__xludf.DUMMYFUNCTION("""COMPUTED_VALUE"""),"AB001119")</f>
        <v>AB001119</v>
      </c>
      <c r="D520" t="str">
        <f ca="1">IFERROR(__xludf.DUMMYFUNCTION("""COMPUTED_VALUE"""),"")</f>
        <v/>
      </c>
      <c r="E520" s="205" t="str">
        <f ca="1">IFERROR(__xludf.DUMMYFUNCTION("""COMPUTED_VALUE"""),"員購")</f>
        <v>員購</v>
      </c>
    </row>
    <row r="521" spans="1:5" ht="15" customHeight="1">
      <c r="A521" s="121" t="str">
        <f t="shared" ca="1" si="1"/>
        <v/>
      </c>
      <c r="B521" t="str">
        <f t="shared" ca="1" si="2"/>
        <v/>
      </c>
      <c r="C521" s="206" t="str">
        <f ca="1">IFERROR(__xludf.DUMMYFUNCTION("""COMPUTED_VALUE"""),"AB001053")</f>
        <v>AB001053</v>
      </c>
      <c r="D521" t="str">
        <f ca="1">IFERROR(__xludf.DUMMYFUNCTION("""COMPUTED_VALUE"""),"")</f>
        <v/>
      </c>
      <c r="E521" s="205" t="str">
        <f ca="1">IFERROR(__xludf.DUMMYFUNCTION("""COMPUTED_VALUE"""),"林日秋")</f>
        <v>林日秋</v>
      </c>
    </row>
    <row r="522" spans="1:5" ht="15" customHeight="1">
      <c r="A522" s="121" t="str">
        <f t="shared" ca="1" si="1"/>
        <v/>
      </c>
      <c r="B522" t="str">
        <f t="shared" ca="1" si="2"/>
        <v/>
      </c>
      <c r="C522" s="206" t="str">
        <f ca="1">IFERROR(__xludf.DUMMYFUNCTION("""COMPUTED_VALUE"""),"AB001112")</f>
        <v>AB001112</v>
      </c>
      <c r="D522" t="str">
        <f ca="1">IFERROR(__xludf.DUMMYFUNCTION("""COMPUTED_VALUE"""),"")</f>
        <v/>
      </c>
      <c r="E522" s="205" t="str">
        <f ca="1">IFERROR(__xludf.DUMMYFUNCTION("""COMPUTED_VALUE"""),"曾看雲")</f>
        <v>曾看雲</v>
      </c>
    </row>
    <row r="523" spans="1:5" ht="15" customHeight="1">
      <c r="A523" s="121" t="str">
        <f t="shared" ca="1" si="1"/>
        <v/>
      </c>
      <c r="B523" t="str">
        <f t="shared" ca="1" si="2"/>
        <v/>
      </c>
      <c r="C523" s="206" t="str">
        <f ca="1">IFERROR(__xludf.DUMMYFUNCTION("""COMPUTED_VALUE"""),"AB001112")</f>
        <v>AB001112</v>
      </c>
      <c r="D523" t="str">
        <f ca="1">IFERROR(__xludf.DUMMYFUNCTION("""COMPUTED_VALUE"""),"")</f>
        <v/>
      </c>
      <c r="E523" s="205" t="str">
        <f ca="1">IFERROR(__xludf.DUMMYFUNCTION("""COMPUTED_VALUE"""),"曾看雲")</f>
        <v>曾看雲</v>
      </c>
    </row>
    <row r="524" spans="1:5" ht="15" customHeight="1">
      <c r="A524" s="121" t="str">
        <f t="shared" ca="1" si="1"/>
        <v/>
      </c>
      <c r="B524" t="str">
        <f t="shared" ca="1" si="2"/>
        <v/>
      </c>
      <c r="C524" s="206" t="str">
        <f ca="1">IFERROR(__xludf.DUMMYFUNCTION("""COMPUTED_VALUE"""),"AB001112")</f>
        <v>AB001112</v>
      </c>
      <c r="D524" t="str">
        <f ca="1">IFERROR(__xludf.DUMMYFUNCTION("""COMPUTED_VALUE"""),"")</f>
        <v/>
      </c>
      <c r="E524" s="205" t="str">
        <f ca="1">IFERROR(__xludf.DUMMYFUNCTION("""COMPUTED_VALUE"""),"曾看雲")</f>
        <v>曾看雲</v>
      </c>
    </row>
    <row r="525" spans="1:5" ht="15" customHeight="1">
      <c r="A525" s="121" t="str">
        <f t="shared" ca="1" si="1"/>
        <v/>
      </c>
      <c r="B525" t="str">
        <f t="shared" ca="1" si="2"/>
        <v/>
      </c>
      <c r="C525" s="206" t="str">
        <f ca="1">IFERROR(__xludf.DUMMYFUNCTION("""COMPUTED_VALUE"""),"AB001110")</f>
        <v>AB001110</v>
      </c>
      <c r="D525" t="str">
        <f ca="1">IFERROR(__xludf.DUMMYFUNCTION("""COMPUTED_VALUE"""),"")</f>
        <v/>
      </c>
      <c r="E525" s="205" t="str">
        <f ca="1">IFERROR(__xludf.DUMMYFUNCTION("""COMPUTED_VALUE"""),"Jack.Chin")</f>
        <v>Jack.Chin</v>
      </c>
    </row>
    <row r="526" spans="1:5" ht="15" customHeight="1">
      <c r="A526" s="121" t="str">
        <f t="shared" ca="1" si="1"/>
        <v/>
      </c>
      <c r="B526" t="str">
        <f t="shared" ca="1" si="2"/>
        <v/>
      </c>
      <c r="C526" s="206" t="str">
        <f ca="1">IFERROR(__xludf.DUMMYFUNCTION("""COMPUTED_VALUE"""),"AB001122")</f>
        <v>AB001122</v>
      </c>
      <c r="D526" t="str">
        <f ca="1">IFERROR(__xludf.DUMMYFUNCTION("""COMPUTED_VALUE"""),"")</f>
        <v/>
      </c>
      <c r="E526" s="205" t="str">
        <f ca="1">IFERROR(__xludf.DUMMYFUNCTION("""COMPUTED_VALUE"""),"大江生醫職工福利委員會")</f>
        <v>大江生醫職工福利委員會</v>
      </c>
    </row>
    <row r="527" spans="1:5" ht="15" customHeight="1">
      <c r="A527" s="121" t="str">
        <f t="shared" ca="1" si="1"/>
        <v/>
      </c>
      <c r="B527" t="str">
        <f t="shared" ca="1" si="2"/>
        <v/>
      </c>
      <c r="C527" s="206" t="str">
        <f ca="1">IFERROR(__xludf.DUMMYFUNCTION("""COMPUTED_VALUE"""),"AB001122")</f>
        <v>AB001122</v>
      </c>
      <c r="D527" t="str">
        <f ca="1">IFERROR(__xludf.DUMMYFUNCTION("""COMPUTED_VALUE"""),"")</f>
        <v/>
      </c>
      <c r="E527" s="205" t="str">
        <f ca="1">IFERROR(__xludf.DUMMYFUNCTION("""COMPUTED_VALUE"""),"大江生醫職工福利委員會")</f>
        <v>大江生醫職工福利委員會</v>
      </c>
    </row>
    <row r="528" spans="1:5" ht="15" customHeight="1">
      <c r="A528" s="121" t="str">
        <f t="shared" ca="1" si="1"/>
        <v/>
      </c>
      <c r="B528" t="str">
        <f t="shared" ca="1" si="2"/>
        <v/>
      </c>
      <c r="C528" s="206" t="str">
        <f ca="1">IFERROR(__xludf.DUMMYFUNCTION("""COMPUTED_VALUE"""),"AB001122")</f>
        <v>AB001122</v>
      </c>
      <c r="D528" t="str">
        <f ca="1">IFERROR(__xludf.DUMMYFUNCTION("""COMPUTED_VALUE"""),"")</f>
        <v/>
      </c>
      <c r="E528" s="205" t="str">
        <f ca="1">IFERROR(__xludf.DUMMYFUNCTION("""COMPUTED_VALUE"""),"大江生醫職工福利委員會")</f>
        <v>大江生醫職工福利委員會</v>
      </c>
    </row>
    <row r="529" spans="1:5" ht="15" customHeight="1">
      <c r="A529" s="121" t="str">
        <f t="shared" ca="1" si="1"/>
        <v/>
      </c>
      <c r="B529" t="str">
        <f t="shared" ca="1" si="2"/>
        <v/>
      </c>
      <c r="C529" s="206" t="str">
        <f ca="1">IFERROR(__xludf.DUMMYFUNCTION("""COMPUTED_VALUE"""),"AB001122")</f>
        <v>AB001122</v>
      </c>
      <c r="D529" t="str">
        <f ca="1">IFERROR(__xludf.DUMMYFUNCTION("""COMPUTED_VALUE"""),"")</f>
        <v/>
      </c>
      <c r="E529" s="205" t="str">
        <f ca="1">IFERROR(__xludf.DUMMYFUNCTION("""COMPUTED_VALUE"""),"大江生醫職工福利委員會")</f>
        <v>大江生醫職工福利委員會</v>
      </c>
    </row>
    <row r="530" spans="1:5" ht="15" customHeight="1">
      <c r="A530" s="121" t="str">
        <f t="shared" ca="1" si="1"/>
        <v/>
      </c>
      <c r="B530" t="str">
        <f t="shared" ca="1" si="2"/>
        <v/>
      </c>
      <c r="C530" s="206" t="str">
        <f ca="1">IFERROR(__xludf.DUMMYFUNCTION("""COMPUTED_VALUE"""),"AB001122")</f>
        <v>AB001122</v>
      </c>
      <c r="D530" t="str">
        <f ca="1">IFERROR(__xludf.DUMMYFUNCTION("""COMPUTED_VALUE"""),"")</f>
        <v/>
      </c>
      <c r="E530" s="205" t="str">
        <f ca="1">IFERROR(__xludf.DUMMYFUNCTION("""COMPUTED_VALUE"""),"大江生醫職工福利委員會")</f>
        <v>大江生醫職工福利委員會</v>
      </c>
    </row>
    <row r="531" spans="1:5" ht="15" customHeight="1">
      <c r="A531" s="121" t="str">
        <f t="shared" ca="1" si="1"/>
        <v/>
      </c>
      <c r="B531" t="str">
        <f t="shared" ca="1" si="2"/>
        <v/>
      </c>
      <c r="C531" s="206" t="str">
        <f ca="1">IFERROR(__xludf.DUMMYFUNCTION("""COMPUTED_VALUE"""),"AB001016")</f>
        <v>AB001016</v>
      </c>
      <c r="D531" t="str">
        <f ca="1">IFERROR(__xludf.DUMMYFUNCTION("""COMPUTED_VALUE"""),"")</f>
        <v/>
      </c>
      <c r="E531" s="205" t="str">
        <f ca="1">IFERROR(__xludf.DUMMYFUNCTION("""COMPUTED_VALUE"""),"黃宸如")</f>
        <v>黃宸如</v>
      </c>
    </row>
    <row r="532" spans="1:5" ht="15" customHeight="1">
      <c r="A532" s="121" t="str">
        <f t="shared" ca="1" si="1"/>
        <v/>
      </c>
      <c r="B532" t="str">
        <f t="shared" ca="1" si="2"/>
        <v/>
      </c>
      <c r="C532" s="206" t="str">
        <f ca="1">IFERROR(__xludf.DUMMYFUNCTION("""COMPUTED_VALUE"""),"AB001060")</f>
        <v>AB001060</v>
      </c>
      <c r="D532" t="str">
        <f ca="1">IFERROR(__xludf.DUMMYFUNCTION("""COMPUTED_VALUE"""),"")</f>
        <v/>
      </c>
      <c r="E532" s="205" t="str">
        <f ca="1">IFERROR(__xludf.DUMMYFUNCTION("""COMPUTED_VALUE"""),"梁淑卿")</f>
        <v>梁淑卿</v>
      </c>
    </row>
    <row r="533" spans="1:5" ht="15" customHeight="1">
      <c r="A533" s="121" t="str">
        <f t="shared" ca="1" si="1"/>
        <v/>
      </c>
      <c r="B533" t="str">
        <f t="shared" ca="1" si="2"/>
        <v/>
      </c>
      <c r="C533" s="206" t="str">
        <f ca="1">IFERROR(__xludf.DUMMYFUNCTION("""COMPUTED_VALUE"""),"AB001121")</f>
        <v>AB001121</v>
      </c>
      <c r="D533" t="str">
        <f ca="1">IFERROR(__xludf.DUMMYFUNCTION("""COMPUTED_VALUE"""),"")</f>
        <v/>
      </c>
      <c r="E533" s="205" t="str">
        <f ca="1">IFERROR(__xludf.DUMMYFUNCTION("""COMPUTED_VALUE"""),"持盈企業有限公司")</f>
        <v>持盈企業有限公司</v>
      </c>
    </row>
    <row r="534" spans="1:5" ht="15" customHeight="1">
      <c r="A534" s="121" t="str">
        <f t="shared" ca="1" si="1"/>
        <v/>
      </c>
      <c r="B534" t="str">
        <f t="shared" ca="1" si="2"/>
        <v/>
      </c>
      <c r="C534" s="206" t="str">
        <f ca="1">IFERROR(__xludf.DUMMYFUNCTION("""COMPUTED_VALUE"""),"AB001120")</f>
        <v>AB001120</v>
      </c>
      <c r="D534" t="str">
        <f ca="1">IFERROR(__xludf.DUMMYFUNCTION("""COMPUTED_VALUE"""),"")</f>
        <v/>
      </c>
      <c r="E534" s="205" t="str">
        <f ca="1">IFERROR(__xludf.DUMMYFUNCTION("""COMPUTED_VALUE"""),"持盈企業有限公司")</f>
        <v>持盈企業有限公司</v>
      </c>
    </row>
    <row r="535" spans="1:5" ht="15" customHeight="1">
      <c r="A535" s="121" t="str">
        <f t="shared" ca="1" si="1"/>
        <v/>
      </c>
      <c r="B535" t="str">
        <f t="shared" ca="1" si="2"/>
        <v/>
      </c>
      <c r="C535" s="206" t="str">
        <f ca="1">IFERROR(__xludf.DUMMYFUNCTION("""COMPUTED_VALUE"""),"AB001120")</f>
        <v>AB001120</v>
      </c>
      <c r="D535" t="str">
        <f ca="1">IFERROR(__xludf.DUMMYFUNCTION("""COMPUTED_VALUE"""),"")</f>
        <v/>
      </c>
      <c r="E535" s="205" t="str">
        <f ca="1">IFERROR(__xludf.DUMMYFUNCTION("""COMPUTED_VALUE"""),"持盈企業有限公司")</f>
        <v>持盈企業有限公司</v>
      </c>
    </row>
    <row r="536" spans="1:5" ht="15" customHeight="1">
      <c r="A536" s="121" t="str">
        <f t="shared" ca="1" si="1"/>
        <v/>
      </c>
      <c r="B536" t="str">
        <f t="shared" ca="1" si="2"/>
        <v/>
      </c>
      <c r="C536" s="206" t="str">
        <f ca="1">IFERROR(__xludf.DUMMYFUNCTION("""COMPUTED_VALUE"""),"AB001120")</f>
        <v>AB001120</v>
      </c>
      <c r="D536" t="str">
        <f ca="1">IFERROR(__xludf.DUMMYFUNCTION("""COMPUTED_VALUE"""),"")</f>
        <v/>
      </c>
      <c r="E536" s="205" t="str">
        <f ca="1">IFERROR(__xludf.DUMMYFUNCTION("""COMPUTED_VALUE"""),"持盈企業有限公司")</f>
        <v>持盈企業有限公司</v>
      </c>
    </row>
    <row r="537" spans="1:5" ht="15" customHeight="1">
      <c r="A537" s="121" t="str">
        <f t="shared" ca="1" si="1"/>
        <v/>
      </c>
      <c r="B537" t="str">
        <f t="shared" ca="1" si="2"/>
        <v/>
      </c>
      <c r="C537" s="206" t="str">
        <f ca="1">IFERROR(__xludf.DUMMYFUNCTION("""COMPUTED_VALUE"""),"AB001123")</f>
        <v>AB001123</v>
      </c>
      <c r="D537" t="str">
        <f ca="1">IFERROR(__xludf.DUMMYFUNCTION("""COMPUTED_VALUE"""),"")</f>
        <v/>
      </c>
      <c r="E537" s="205" t="str">
        <f ca="1">IFERROR(__xludf.DUMMYFUNCTION("""COMPUTED_VALUE"""),"劉秀郁")</f>
        <v>劉秀郁</v>
      </c>
    </row>
    <row r="538" spans="1:5" ht="15" customHeight="1">
      <c r="A538" s="121" t="str">
        <f t="shared" ca="1" si="1"/>
        <v/>
      </c>
      <c r="B538" t="str">
        <f t="shared" ca="1" si="2"/>
        <v/>
      </c>
      <c r="C538" s="206" t="str">
        <f ca="1">IFERROR(__xludf.DUMMYFUNCTION("""COMPUTED_VALUE"""),"AB001017")</f>
        <v>AB001017</v>
      </c>
      <c r="D538" t="str">
        <f ca="1">IFERROR(__xludf.DUMMYFUNCTION("""COMPUTED_VALUE"""),"")</f>
        <v/>
      </c>
      <c r="E538" s="205" t="str">
        <f ca="1">IFERROR(__xludf.DUMMYFUNCTION("""COMPUTED_VALUE"""),"林秀娟")</f>
        <v>林秀娟</v>
      </c>
    </row>
    <row r="539" spans="1:5" ht="15" customHeight="1">
      <c r="A539" s="121" t="str">
        <f t="shared" ca="1" si="1"/>
        <v/>
      </c>
      <c r="B539" t="str">
        <f t="shared" ca="1" si="2"/>
        <v/>
      </c>
      <c r="C539" s="206" t="str">
        <f ca="1">IFERROR(__xludf.DUMMYFUNCTION("""COMPUTED_VALUE"""),"AB001017")</f>
        <v>AB001017</v>
      </c>
      <c r="D539" t="str">
        <f ca="1">IFERROR(__xludf.DUMMYFUNCTION("""COMPUTED_VALUE"""),"")</f>
        <v/>
      </c>
      <c r="E539" s="205" t="str">
        <f ca="1">IFERROR(__xludf.DUMMYFUNCTION("""COMPUTED_VALUE"""),"林秀娟")</f>
        <v>林秀娟</v>
      </c>
    </row>
    <row r="540" spans="1:5" ht="15" customHeight="1">
      <c r="A540" s="121" t="str">
        <f t="shared" ca="1" si="1"/>
        <v/>
      </c>
      <c r="B540" t="str">
        <f t="shared" ca="1" si="2"/>
        <v/>
      </c>
      <c r="C540" s="206" t="str">
        <f ca="1">IFERROR(__xludf.DUMMYFUNCTION("""COMPUTED_VALUE"""),"AB001018")</f>
        <v>AB001018</v>
      </c>
      <c r="D540" t="str">
        <f ca="1">IFERROR(__xludf.DUMMYFUNCTION("""COMPUTED_VALUE"""),"")</f>
        <v/>
      </c>
      <c r="E540" s="205" t="str">
        <f ca="1">IFERROR(__xludf.DUMMYFUNCTION("""COMPUTED_VALUE"""),"楊家繼 ")</f>
        <v xml:space="preserve">楊家繼 </v>
      </c>
    </row>
    <row r="541" spans="1:5" ht="15" customHeight="1">
      <c r="A541" s="121" t="str">
        <f t="shared" ca="1" si="1"/>
        <v/>
      </c>
      <c r="B541" t="str">
        <f t="shared" ca="1" si="2"/>
        <v/>
      </c>
      <c r="C541" s="206" t="str">
        <f ca="1">IFERROR(__xludf.DUMMYFUNCTION("""COMPUTED_VALUE"""),"AB001054")</f>
        <v>AB001054</v>
      </c>
      <c r="D541" t="str">
        <f ca="1">IFERROR(__xludf.DUMMYFUNCTION("""COMPUTED_VALUE"""),"")</f>
        <v/>
      </c>
      <c r="E541" s="205" t="str">
        <f ca="1">IFERROR(__xludf.DUMMYFUNCTION("""COMPUTED_VALUE"""),"謝忠勳")</f>
        <v>謝忠勳</v>
      </c>
    </row>
    <row r="542" spans="1:5" ht="15" customHeight="1">
      <c r="A542" s="121" t="str">
        <f t="shared" ca="1" si="1"/>
        <v/>
      </c>
      <c r="B542" t="str">
        <f t="shared" ca="1" si="2"/>
        <v/>
      </c>
      <c r="C542" s="206" t="str">
        <f ca="1">IFERROR(__xludf.DUMMYFUNCTION("""COMPUTED_VALUE"""),"AB001055")</f>
        <v>AB001055</v>
      </c>
      <c r="D542" t="str">
        <f ca="1">IFERROR(__xludf.DUMMYFUNCTION("""COMPUTED_VALUE"""),"")</f>
        <v/>
      </c>
      <c r="E542" s="205" t="str">
        <f ca="1">IFERROR(__xludf.DUMMYFUNCTION("""COMPUTED_VALUE"""),"顏青慧")</f>
        <v>顏青慧</v>
      </c>
    </row>
    <row r="543" spans="1:5" ht="15" customHeight="1">
      <c r="A543" s="121" t="str">
        <f t="shared" ca="1" si="1"/>
        <v/>
      </c>
      <c r="B543" t="str">
        <f t="shared" ca="1" si="2"/>
        <v/>
      </c>
      <c r="C543" s="206" t="str">
        <f ca="1">IFERROR(__xludf.DUMMYFUNCTION("""COMPUTED_VALUE"""),"AB001106")</f>
        <v>AB001106</v>
      </c>
      <c r="D543" t="str">
        <f ca="1">IFERROR(__xludf.DUMMYFUNCTION("""COMPUTED_VALUE"""),"")</f>
        <v/>
      </c>
      <c r="E543" s="205" t="str">
        <f ca="1">IFERROR(__xludf.DUMMYFUNCTION("""COMPUTED_VALUE"""),"陳立弦")</f>
        <v>陳立弦</v>
      </c>
    </row>
    <row r="544" spans="1:5" ht="15" customHeight="1">
      <c r="A544" s="121" t="str">
        <f t="shared" ca="1" si="1"/>
        <v/>
      </c>
      <c r="B544" t="str">
        <f t="shared" ca="1" si="2"/>
        <v/>
      </c>
      <c r="C544" s="206" t="str">
        <f ca="1">IFERROR(__xludf.DUMMYFUNCTION("""COMPUTED_VALUE"""),"AB001056")</f>
        <v>AB001056</v>
      </c>
      <c r="D544" t="str">
        <f ca="1">IFERROR(__xludf.DUMMYFUNCTION("""COMPUTED_VALUE"""),"")</f>
        <v/>
      </c>
      <c r="E544" s="205" t="str">
        <f ca="1">IFERROR(__xludf.DUMMYFUNCTION("""COMPUTED_VALUE"""),"林顯書")</f>
        <v>林顯書</v>
      </c>
    </row>
    <row r="545" spans="1:5" ht="15" customHeight="1">
      <c r="A545" s="121" t="str">
        <f t="shared" ca="1" si="1"/>
        <v/>
      </c>
      <c r="B545" t="str">
        <f t="shared" ca="1" si="2"/>
        <v/>
      </c>
      <c r="C545" s="206" t="str">
        <f ca="1">IFERROR(__xludf.DUMMYFUNCTION("""COMPUTED_VALUE"""),"AB001131")</f>
        <v>AB001131</v>
      </c>
      <c r="D545" t="str">
        <f ca="1">IFERROR(__xludf.DUMMYFUNCTION("""COMPUTED_VALUE"""),"")</f>
        <v/>
      </c>
      <c r="E545" s="205" t="str">
        <f ca="1">IFERROR(__xludf.DUMMYFUNCTION("""COMPUTED_VALUE"""),"邵啟鳳")</f>
        <v>邵啟鳳</v>
      </c>
    </row>
    <row r="546" spans="1:5" ht="15" customHeight="1">
      <c r="A546" s="121" t="str">
        <f t="shared" ca="1" si="1"/>
        <v/>
      </c>
      <c r="B546" t="str">
        <f t="shared" ca="1" si="2"/>
        <v/>
      </c>
      <c r="C546" s="206" t="str">
        <f ca="1">IFERROR(__xludf.DUMMYFUNCTION("""COMPUTED_VALUE"""),"AB001130")</f>
        <v>AB001130</v>
      </c>
      <c r="D546" t="str">
        <f ca="1">IFERROR(__xludf.DUMMYFUNCTION("""COMPUTED_VALUE"""),"")</f>
        <v/>
      </c>
      <c r="E546" s="205" t="str">
        <f ca="1">IFERROR(__xludf.DUMMYFUNCTION("""COMPUTED_VALUE"""),"吳鈺芳")</f>
        <v>吳鈺芳</v>
      </c>
    </row>
    <row r="547" spans="1:5" ht="15" customHeight="1">
      <c r="A547" s="121" t="str">
        <f t="shared" ca="1" si="1"/>
        <v/>
      </c>
      <c r="B547" t="str">
        <f t="shared" ca="1" si="2"/>
        <v/>
      </c>
      <c r="C547" s="206" t="str">
        <f ca="1">IFERROR(__xludf.DUMMYFUNCTION("""COMPUTED_VALUE"""),"AB001127")</f>
        <v>AB001127</v>
      </c>
      <c r="D547" t="str">
        <f ca="1">IFERROR(__xludf.DUMMYFUNCTION("""COMPUTED_VALUE"""),"")</f>
        <v/>
      </c>
      <c r="E547" s="205" t="str">
        <f ca="1">IFERROR(__xludf.DUMMYFUNCTION("""COMPUTED_VALUE"""),"謝育村")</f>
        <v>謝育村</v>
      </c>
    </row>
    <row r="548" spans="1:5" ht="15" customHeight="1">
      <c r="A548" s="121" t="str">
        <f t="shared" ca="1" si="1"/>
        <v/>
      </c>
      <c r="B548" t="str">
        <f t="shared" ca="1" si="2"/>
        <v/>
      </c>
      <c r="C548" s="206" t="str">
        <f ca="1">IFERROR(__xludf.DUMMYFUNCTION("""COMPUTED_VALUE"""),"AB001019")</f>
        <v>AB001019</v>
      </c>
      <c r="D548" t="str">
        <f ca="1">IFERROR(__xludf.DUMMYFUNCTION("""COMPUTED_VALUE"""),"")</f>
        <v/>
      </c>
      <c r="E548" s="205" t="str">
        <f ca="1">IFERROR(__xludf.DUMMYFUNCTION("""COMPUTED_VALUE"""),"黃苡瑄")</f>
        <v>黃苡瑄</v>
      </c>
    </row>
    <row r="549" spans="1:5" ht="15" customHeight="1">
      <c r="A549" s="121" t="str">
        <f t="shared" ca="1" si="1"/>
        <v/>
      </c>
      <c r="B549" t="str">
        <f t="shared" ca="1" si="2"/>
        <v/>
      </c>
      <c r="C549" s="206" t="str">
        <f ca="1">IFERROR(__xludf.DUMMYFUNCTION("""COMPUTED_VALUE"""),"PA000026")</f>
        <v>PA000026</v>
      </c>
      <c r="D549" t="str">
        <f ca="1">IFERROR(__xludf.DUMMYFUNCTION("""COMPUTED_VALUE"""),"")</f>
        <v/>
      </c>
      <c r="E549" t="str">
        <f ca="1">IFERROR(__xludf.DUMMYFUNCTION("""COMPUTED_VALUE"""),"大江生醫職工福利委員會")</f>
        <v>大江生醫職工福利委員會</v>
      </c>
    </row>
    <row r="550" spans="1:5" ht="15" customHeight="1">
      <c r="A550" s="121" t="str">
        <f t="shared" ca="1" si="1"/>
        <v/>
      </c>
      <c r="B550" t="str">
        <f t="shared" ca="1" si="2"/>
        <v/>
      </c>
      <c r="C550" s="206" t="str">
        <f ca="1">IFERROR(__xludf.DUMMYFUNCTION("""COMPUTED_VALUE"""),"PA000026")</f>
        <v>PA000026</v>
      </c>
      <c r="D550" t="str">
        <f ca="1">IFERROR(__xludf.DUMMYFUNCTION("""COMPUTED_VALUE"""),"")</f>
        <v/>
      </c>
      <c r="E550" t="str">
        <f ca="1">IFERROR(__xludf.DUMMYFUNCTION("""COMPUTED_VALUE"""),"大江生醫職工福利委員會")</f>
        <v>大江生醫職工福利委員會</v>
      </c>
    </row>
    <row r="551" spans="1:5" ht="15" customHeight="1">
      <c r="A551" s="121" t="str">
        <f t="shared" ca="1" si="1"/>
        <v/>
      </c>
      <c r="B551" t="str">
        <f t="shared" ca="1" si="2"/>
        <v/>
      </c>
      <c r="C551" s="206" t="str">
        <f ca="1">IFERROR(__xludf.DUMMYFUNCTION("""COMPUTED_VALUE"""),"AB001132")</f>
        <v>AB001132</v>
      </c>
      <c r="D551" t="str">
        <f ca="1">IFERROR(__xludf.DUMMYFUNCTION("""COMPUTED_VALUE"""),"")</f>
        <v/>
      </c>
      <c r="E551" s="205" t="str">
        <f ca="1">IFERROR(__xludf.DUMMYFUNCTION("""COMPUTED_VALUE"""),"陳珮欣")</f>
        <v>陳珮欣</v>
      </c>
    </row>
    <row r="552" spans="1:5" ht="15" customHeight="1">
      <c r="A552" s="121" t="str">
        <f t="shared" ca="1" si="1"/>
        <v/>
      </c>
      <c r="B552" t="str">
        <f t="shared" ca="1" si="2"/>
        <v/>
      </c>
      <c r="C552" s="206" t="str">
        <f ca="1">IFERROR(__xludf.DUMMYFUNCTION("""COMPUTED_VALUE"""),"AB001132")</f>
        <v>AB001132</v>
      </c>
      <c r="D552" t="str">
        <f ca="1">IFERROR(__xludf.DUMMYFUNCTION("""COMPUTED_VALUE"""),"")</f>
        <v/>
      </c>
      <c r="E552" s="205" t="str">
        <f ca="1">IFERROR(__xludf.DUMMYFUNCTION("""COMPUTED_VALUE"""),"陳珮欣")</f>
        <v>陳珮欣</v>
      </c>
    </row>
    <row r="553" spans="1:5" ht="15" customHeight="1">
      <c r="A553" s="121" t="str">
        <f t="shared" ca="1" si="1"/>
        <v/>
      </c>
      <c r="B553" t="str">
        <f t="shared" ca="1" si="2"/>
        <v/>
      </c>
      <c r="C553" s="206" t="str">
        <f ca="1">IFERROR(__xludf.DUMMYFUNCTION("""COMPUTED_VALUE"""),"AB001132")</f>
        <v>AB001132</v>
      </c>
      <c r="D553" t="str">
        <f ca="1">IFERROR(__xludf.DUMMYFUNCTION("""COMPUTED_VALUE"""),"")</f>
        <v/>
      </c>
      <c r="E553" s="205" t="str">
        <f ca="1">IFERROR(__xludf.DUMMYFUNCTION("""COMPUTED_VALUE"""),"陳珮欣")</f>
        <v>陳珮欣</v>
      </c>
    </row>
    <row r="554" spans="1:5" ht="15" customHeight="1">
      <c r="A554" s="121" t="str">
        <f t="shared" ca="1" si="1"/>
        <v/>
      </c>
      <c r="B554" t="str">
        <f t="shared" ca="1" si="2"/>
        <v/>
      </c>
      <c r="C554" s="206" t="str">
        <f ca="1">IFERROR(__xludf.DUMMYFUNCTION("""COMPUTED_VALUE"""),"AB001132")</f>
        <v>AB001132</v>
      </c>
      <c r="D554" t="str">
        <f ca="1">IFERROR(__xludf.DUMMYFUNCTION("""COMPUTED_VALUE"""),"")</f>
        <v/>
      </c>
      <c r="E554" s="205" t="str">
        <f ca="1">IFERROR(__xludf.DUMMYFUNCTION("""COMPUTED_VALUE"""),"陳珮欣")</f>
        <v>陳珮欣</v>
      </c>
    </row>
    <row r="555" spans="1:5" ht="15" customHeight="1">
      <c r="A555" s="121" t="str">
        <f t="shared" ca="1" si="1"/>
        <v/>
      </c>
      <c r="B555" t="str">
        <f t="shared" ca="1" si="2"/>
        <v/>
      </c>
      <c r="C555" s="206" t="str">
        <f ca="1">IFERROR(__xludf.DUMMYFUNCTION("""COMPUTED_VALUE"""),"AB001107")</f>
        <v>AB001107</v>
      </c>
      <c r="D555" t="str">
        <f ca="1">IFERROR(__xludf.DUMMYFUNCTION("""COMPUTED_VALUE"""),"")</f>
        <v/>
      </c>
      <c r="E555" s="205" t="str">
        <f ca="1">IFERROR(__xludf.DUMMYFUNCTION("""COMPUTED_VALUE"""),"謝官俸")</f>
        <v>謝官俸</v>
      </c>
    </row>
    <row r="556" spans="1:5" ht="15" customHeight="1">
      <c r="A556" s="121" t="str">
        <f t="shared" ca="1" si="1"/>
        <v/>
      </c>
      <c r="B556" t="str">
        <f t="shared" ca="1" si="2"/>
        <v/>
      </c>
      <c r="C556" s="206" t="str">
        <f ca="1">IFERROR(__xludf.DUMMYFUNCTION("""COMPUTED_VALUE"""),"AB001124")</f>
        <v>AB001124</v>
      </c>
      <c r="D556" t="str">
        <f ca="1">IFERROR(__xludf.DUMMYFUNCTION("""COMPUTED_VALUE"""),"")</f>
        <v/>
      </c>
      <c r="E556" s="205" t="str">
        <f ca="1">IFERROR(__xludf.DUMMYFUNCTION("""COMPUTED_VALUE"""),"陳復華")</f>
        <v>陳復華</v>
      </c>
    </row>
    <row r="557" spans="1:5" ht="15" customHeight="1">
      <c r="A557" s="121" t="str">
        <f t="shared" ca="1" si="1"/>
        <v/>
      </c>
      <c r="B557" t="str">
        <f t="shared" ca="1" si="2"/>
        <v/>
      </c>
      <c r="C557" s="206" t="str">
        <f ca="1">IFERROR(__xludf.DUMMYFUNCTION("""COMPUTED_VALUE"""),"AB001124")</f>
        <v>AB001124</v>
      </c>
      <c r="D557" t="str">
        <f ca="1">IFERROR(__xludf.DUMMYFUNCTION("""COMPUTED_VALUE"""),"")</f>
        <v/>
      </c>
      <c r="E557" s="205" t="str">
        <f ca="1">IFERROR(__xludf.DUMMYFUNCTION("""COMPUTED_VALUE"""),"陳復華")</f>
        <v>陳復華</v>
      </c>
    </row>
    <row r="558" spans="1:5" ht="15" customHeight="1">
      <c r="A558" s="121" t="str">
        <f t="shared" ca="1" si="1"/>
        <v/>
      </c>
      <c r="B558" t="str">
        <f t="shared" ca="1" si="2"/>
        <v/>
      </c>
      <c r="C558" s="206" t="str">
        <f ca="1">IFERROR(__xludf.DUMMYFUNCTION("""COMPUTED_VALUE"""),"AB001124")</f>
        <v>AB001124</v>
      </c>
      <c r="D558" t="str">
        <f ca="1">IFERROR(__xludf.DUMMYFUNCTION("""COMPUTED_VALUE"""),"")</f>
        <v/>
      </c>
      <c r="E558" s="205" t="str">
        <f ca="1">IFERROR(__xludf.DUMMYFUNCTION("""COMPUTED_VALUE"""),"陳復華")</f>
        <v>陳復華</v>
      </c>
    </row>
    <row r="559" spans="1:5" ht="15" customHeight="1">
      <c r="A559" s="121" t="str">
        <f t="shared" ca="1" si="1"/>
        <v/>
      </c>
      <c r="B559" t="str">
        <f t="shared" ca="1" si="2"/>
        <v/>
      </c>
      <c r="C559" s="206" t="str">
        <f ca="1">IFERROR(__xludf.DUMMYFUNCTION("""COMPUTED_VALUE"""),"AB001124")</f>
        <v>AB001124</v>
      </c>
      <c r="D559" t="str">
        <f ca="1">IFERROR(__xludf.DUMMYFUNCTION("""COMPUTED_VALUE"""),"")</f>
        <v/>
      </c>
      <c r="E559" s="205" t="str">
        <f ca="1">IFERROR(__xludf.DUMMYFUNCTION("""COMPUTED_VALUE"""),"陳復華")</f>
        <v>陳復華</v>
      </c>
    </row>
    <row r="560" spans="1:5" ht="15" customHeight="1">
      <c r="A560" s="121" t="str">
        <f t="shared" ca="1" si="1"/>
        <v/>
      </c>
      <c r="B560" t="str">
        <f t="shared" ca="1" si="2"/>
        <v/>
      </c>
      <c r="C560" s="206" t="str">
        <f ca="1">IFERROR(__xludf.DUMMYFUNCTION("""COMPUTED_VALUE"""),"AB001124")</f>
        <v>AB001124</v>
      </c>
      <c r="D560" t="str">
        <f ca="1">IFERROR(__xludf.DUMMYFUNCTION("""COMPUTED_VALUE"""),"")</f>
        <v/>
      </c>
      <c r="E560" s="205" t="str">
        <f ca="1">IFERROR(__xludf.DUMMYFUNCTION("""COMPUTED_VALUE"""),"陳復華")</f>
        <v>陳復華</v>
      </c>
    </row>
    <row r="561" spans="1:5" ht="15" customHeight="1">
      <c r="A561" s="121" t="str">
        <f t="shared" ca="1" si="1"/>
        <v/>
      </c>
      <c r="B561" t="str">
        <f t="shared" ca="1" si="2"/>
        <v/>
      </c>
      <c r="C561" s="206" t="str">
        <f ca="1">IFERROR(__xludf.DUMMYFUNCTION("""COMPUTED_VALUE"""),"AB001124")</f>
        <v>AB001124</v>
      </c>
      <c r="D561" t="str">
        <f ca="1">IFERROR(__xludf.DUMMYFUNCTION("""COMPUTED_VALUE"""),"")</f>
        <v/>
      </c>
      <c r="E561" s="205" t="str">
        <f ca="1">IFERROR(__xludf.DUMMYFUNCTION("""COMPUTED_VALUE"""),"陳復華")</f>
        <v>陳復華</v>
      </c>
    </row>
    <row r="562" spans="1:5" ht="15" customHeight="1">
      <c r="A562" s="121" t="str">
        <f t="shared" ca="1" si="1"/>
        <v/>
      </c>
      <c r="B562" t="str">
        <f t="shared" ca="1" si="2"/>
        <v/>
      </c>
      <c r="C562" s="206" t="str">
        <f ca="1">IFERROR(__xludf.DUMMYFUNCTION("""COMPUTED_VALUE"""),"AB001124")</f>
        <v>AB001124</v>
      </c>
      <c r="D562" t="str">
        <f ca="1">IFERROR(__xludf.DUMMYFUNCTION("""COMPUTED_VALUE"""),"")</f>
        <v/>
      </c>
      <c r="E562" s="205" t="str">
        <f ca="1">IFERROR(__xludf.DUMMYFUNCTION("""COMPUTED_VALUE"""),"陳復華")</f>
        <v>陳復華</v>
      </c>
    </row>
    <row r="563" spans="1:5" ht="15" customHeight="1">
      <c r="A563" s="121" t="str">
        <f t="shared" ca="1" si="1"/>
        <v/>
      </c>
      <c r="B563" t="str">
        <f t="shared" ca="1" si="2"/>
        <v/>
      </c>
      <c r="C563" s="206" t="str">
        <f ca="1">IFERROR(__xludf.DUMMYFUNCTION("""COMPUTED_VALUE"""),"AB001124")</f>
        <v>AB001124</v>
      </c>
      <c r="D563" t="str">
        <f ca="1">IFERROR(__xludf.DUMMYFUNCTION("""COMPUTED_VALUE"""),"")</f>
        <v/>
      </c>
      <c r="E563" s="205" t="str">
        <f ca="1">IFERROR(__xludf.DUMMYFUNCTION("""COMPUTED_VALUE"""),"陳復華")</f>
        <v>陳復華</v>
      </c>
    </row>
    <row r="564" spans="1:5" ht="15" customHeight="1">
      <c r="A564" s="121" t="str">
        <f t="shared" ca="1" si="1"/>
        <v/>
      </c>
      <c r="B564" t="str">
        <f t="shared" ca="1" si="2"/>
        <v/>
      </c>
      <c r="C564" s="206" t="str">
        <f ca="1">IFERROR(__xludf.DUMMYFUNCTION("""COMPUTED_VALUE"""),"AB001124")</f>
        <v>AB001124</v>
      </c>
      <c r="D564" t="str">
        <f ca="1">IFERROR(__xludf.DUMMYFUNCTION("""COMPUTED_VALUE"""),"")</f>
        <v/>
      </c>
      <c r="E564" s="205" t="str">
        <f ca="1">IFERROR(__xludf.DUMMYFUNCTION("""COMPUTED_VALUE"""),"陳復華")</f>
        <v>陳復華</v>
      </c>
    </row>
    <row r="565" spans="1:5" ht="15" customHeight="1">
      <c r="A565" s="121" t="str">
        <f t="shared" ca="1" si="1"/>
        <v/>
      </c>
      <c r="B565" t="str">
        <f t="shared" ca="1" si="2"/>
        <v/>
      </c>
      <c r="C565" s="206" t="str">
        <f ca="1">IFERROR(__xludf.DUMMYFUNCTION("""COMPUTED_VALUE"""),"AB001124")</f>
        <v>AB001124</v>
      </c>
      <c r="D565" t="str">
        <f ca="1">IFERROR(__xludf.DUMMYFUNCTION("""COMPUTED_VALUE"""),"")</f>
        <v/>
      </c>
      <c r="E565" s="205" t="str">
        <f ca="1">IFERROR(__xludf.DUMMYFUNCTION("""COMPUTED_VALUE"""),"陳復華")</f>
        <v>陳復華</v>
      </c>
    </row>
    <row r="566" spans="1:5" ht="15" customHeight="1">
      <c r="A566" s="121" t="str">
        <f t="shared" ca="1" si="1"/>
        <v/>
      </c>
      <c r="B566" t="str">
        <f t="shared" ca="1" si="2"/>
        <v/>
      </c>
      <c r="C566" s="206" t="str">
        <f ca="1">IFERROR(__xludf.DUMMYFUNCTION("""COMPUTED_VALUE"""),"AB001124")</f>
        <v>AB001124</v>
      </c>
      <c r="D566" t="str">
        <f ca="1">IFERROR(__xludf.DUMMYFUNCTION("""COMPUTED_VALUE"""),"")</f>
        <v/>
      </c>
      <c r="E566" s="205" t="str">
        <f ca="1">IFERROR(__xludf.DUMMYFUNCTION("""COMPUTED_VALUE"""),"陳復華")</f>
        <v>陳復華</v>
      </c>
    </row>
    <row r="567" spans="1:5" ht="15" customHeight="1">
      <c r="A567" s="121" t="str">
        <f t="shared" ca="1" si="1"/>
        <v/>
      </c>
      <c r="B567" t="str">
        <f t="shared" ca="1" si="2"/>
        <v/>
      </c>
      <c r="C567" s="206" t="str">
        <f ca="1">IFERROR(__xludf.DUMMYFUNCTION("""COMPUTED_VALUE"""),"AB001124")</f>
        <v>AB001124</v>
      </c>
      <c r="D567" t="str">
        <f ca="1">IFERROR(__xludf.DUMMYFUNCTION("""COMPUTED_VALUE"""),"")</f>
        <v/>
      </c>
      <c r="E567" s="205" t="str">
        <f ca="1">IFERROR(__xludf.DUMMYFUNCTION("""COMPUTED_VALUE"""),"陳復華")</f>
        <v>陳復華</v>
      </c>
    </row>
    <row r="568" spans="1:5" ht="15" customHeight="1">
      <c r="A568" s="121" t="str">
        <f t="shared" ca="1" si="1"/>
        <v/>
      </c>
      <c r="B568" t="str">
        <f t="shared" ca="1" si="2"/>
        <v/>
      </c>
      <c r="C568" s="206" t="str">
        <f ca="1">IFERROR(__xludf.DUMMYFUNCTION("""COMPUTED_VALUE"""),"AB001124")</f>
        <v>AB001124</v>
      </c>
      <c r="D568" t="str">
        <f ca="1">IFERROR(__xludf.DUMMYFUNCTION("""COMPUTED_VALUE"""),"")</f>
        <v/>
      </c>
      <c r="E568" s="205" t="str">
        <f ca="1">IFERROR(__xludf.DUMMYFUNCTION("""COMPUTED_VALUE"""),"陳復華")</f>
        <v>陳復華</v>
      </c>
    </row>
    <row r="569" spans="1:5" ht="15" customHeight="1">
      <c r="A569" s="121" t="str">
        <f t="shared" ca="1" si="1"/>
        <v/>
      </c>
      <c r="B569" t="str">
        <f t="shared" ca="1" si="2"/>
        <v/>
      </c>
      <c r="C569" s="206" t="str">
        <f ca="1">IFERROR(__xludf.DUMMYFUNCTION("""COMPUTED_VALUE"""),"AB001124")</f>
        <v>AB001124</v>
      </c>
      <c r="D569" t="str">
        <f ca="1">IFERROR(__xludf.DUMMYFUNCTION("""COMPUTED_VALUE"""),"")</f>
        <v/>
      </c>
      <c r="E569" s="205" t="str">
        <f ca="1">IFERROR(__xludf.DUMMYFUNCTION("""COMPUTED_VALUE"""),"陳復華")</f>
        <v>陳復華</v>
      </c>
    </row>
    <row r="570" spans="1:5" ht="15" customHeight="1">
      <c r="A570" s="121" t="str">
        <f t="shared" ca="1" si="1"/>
        <v/>
      </c>
      <c r="B570" t="str">
        <f t="shared" ca="1" si="2"/>
        <v/>
      </c>
      <c r="C570" s="206" t="str">
        <f ca="1">IFERROR(__xludf.DUMMYFUNCTION("""COMPUTED_VALUE"""),"AB001124")</f>
        <v>AB001124</v>
      </c>
      <c r="D570" t="str">
        <f ca="1">IFERROR(__xludf.DUMMYFUNCTION("""COMPUTED_VALUE"""),"")</f>
        <v/>
      </c>
      <c r="E570" s="205" t="str">
        <f ca="1">IFERROR(__xludf.DUMMYFUNCTION("""COMPUTED_VALUE"""),"陳復華")</f>
        <v>陳復華</v>
      </c>
    </row>
    <row r="571" spans="1:5" ht="15" customHeight="1">
      <c r="A571" s="121" t="str">
        <f t="shared" ca="1" si="1"/>
        <v/>
      </c>
      <c r="B571" t="str">
        <f t="shared" ca="1" si="2"/>
        <v/>
      </c>
      <c r="C571" s="206" t="str">
        <f ca="1">IFERROR(__xludf.DUMMYFUNCTION("""COMPUTED_VALUE"""),"AB001124")</f>
        <v>AB001124</v>
      </c>
      <c r="D571" t="str">
        <f ca="1">IFERROR(__xludf.DUMMYFUNCTION("""COMPUTED_VALUE"""),"")</f>
        <v/>
      </c>
      <c r="E571" s="205" t="str">
        <f ca="1">IFERROR(__xludf.DUMMYFUNCTION("""COMPUTED_VALUE"""),"陳復華")</f>
        <v>陳復華</v>
      </c>
    </row>
    <row r="572" spans="1:5" ht="15" customHeight="1">
      <c r="A572" s="121" t="str">
        <f t="shared" ca="1" si="1"/>
        <v/>
      </c>
      <c r="B572" t="str">
        <f t="shared" ca="1" si="2"/>
        <v/>
      </c>
      <c r="C572" s="206" t="str">
        <f ca="1">IFERROR(__xludf.DUMMYFUNCTION("""COMPUTED_VALUE"""),"AB001124")</f>
        <v>AB001124</v>
      </c>
      <c r="D572" t="str">
        <f ca="1">IFERROR(__xludf.DUMMYFUNCTION("""COMPUTED_VALUE"""),"")</f>
        <v/>
      </c>
      <c r="E572" s="205" t="str">
        <f ca="1">IFERROR(__xludf.DUMMYFUNCTION("""COMPUTED_VALUE"""),"陳復華")</f>
        <v>陳復華</v>
      </c>
    </row>
    <row r="573" spans="1:5" ht="15" customHeight="1">
      <c r="A573" s="121" t="str">
        <f t="shared" ca="1" si="1"/>
        <v/>
      </c>
      <c r="B573" t="str">
        <f t="shared" ca="1" si="2"/>
        <v/>
      </c>
      <c r="C573" s="206" t="str">
        <f ca="1">IFERROR(__xludf.DUMMYFUNCTION("""COMPUTED_VALUE"""),"AB001124")</f>
        <v>AB001124</v>
      </c>
      <c r="D573" t="str">
        <f ca="1">IFERROR(__xludf.DUMMYFUNCTION("""COMPUTED_VALUE"""),"")</f>
        <v/>
      </c>
      <c r="E573" s="205" t="str">
        <f ca="1">IFERROR(__xludf.DUMMYFUNCTION("""COMPUTED_VALUE"""),"陳復華")</f>
        <v>陳復華</v>
      </c>
    </row>
    <row r="574" spans="1:5" ht="15" customHeight="1">
      <c r="A574" s="121" t="str">
        <f t="shared" ca="1" si="1"/>
        <v/>
      </c>
      <c r="B574" t="str">
        <f t="shared" ca="1" si="2"/>
        <v/>
      </c>
      <c r="C574" s="206" t="str">
        <f ca="1">IFERROR(__xludf.DUMMYFUNCTION("""COMPUTED_VALUE"""),"AB001124")</f>
        <v>AB001124</v>
      </c>
      <c r="D574" t="str">
        <f ca="1">IFERROR(__xludf.DUMMYFUNCTION("""COMPUTED_VALUE"""),"")</f>
        <v/>
      </c>
      <c r="E574" s="205" t="str">
        <f ca="1">IFERROR(__xludf.DUMMYFUNCTION("""COMPUTED_VALUE"""),"陳復華")</f>
        <v>陳復華</v>
      </c>
    </row>
    <row r="575" spans="1:5" ht="15" customHeight="1">
      <c r="A575" s="121" t="str">
        <f t="shared" ca="1" si="1"/>
        <v/>
      </c>
      <c r="B575" t="str">
        <f t="shared" ca="1" si="2"/>
        <v/>
      </c>
      <c r="C575" s="206" t="str">
        <f ca="1">IFERROR(__xludf.DUMMYFUNCTION("""COMPUTED_VALUE"""),"AB001124")</f>
        <v>AB001124</v>
      </c>
      <c r="D575" t="str">
        <f ca="1">IFERROR(__xludf.DUMMYFUNCTION("""COMPUTED_VALUE"""),"")</f>
        <v/>
      </c>
      <c r="E575" s="205" t="str">
        <f ca="1">IFERROR(__xludf.DUMMYFUNCTION("""COMPUTED_VALUE"""),"陳復華")</f>
        <v>陳復華</v>
      </c>
    </row>
    <row r="576" spans="1:5" ht="15" customHeight="1">
      <c r="A576" s="121" t="str">
        <f t="shared" ca="1" si="1"/>
        <v/>
      </c>
      <c r="B576" t="str">
        <f t="shared" ca="1" si="2"/>
        <v/>
      </c>
      <c r="C576" s="206" t="str">
        <f ca="1">IFERROR(__xludf.DUMMYFUNCTION("""COMPUTED_VALUE"""),"AB001124")</f>
        <v>AB001124</v>
      </c>
      <c r="D576" t="str">
        <f ca="1">IFERROR(__xludf.DUMMYFUNCTION("""COMPUTED_VALUE"""),"")</f>
        <v/>
      </c>
      <c r="E576" s="205" t="str">
        <f ca="1">IFERROR(__xludf.DUMMYFUNCTION("""COMPUTED_VALUE"""),"陳復華")</f>
        <v>陳復華</v>
      </c>
    </row>
    <row r="577" spans="1:5" ht="15" customHeight="1">
      <c r="A577" s="121" t="str">
        <f t="shared" ca="1" si="1"/>
        <v/>
      </c>
      <c r="B577" t="str">
        <f t="shared" ca="1" si="2"/>
        <v/>
      </c>
      <c r="C577" s="206" t="str">
        <f ca="1">IFERROR(__xludf.DUMMYFUNCTION("""COMPUTED_VALUE"""),"AB001124")</f>
        <v>AB001124</v>
      </c>
      <c r="D577" t="str">
        <f ca="1">IFERROR(__xludf.DUMMYFUNCTION("""COMPUTED_VALUE"""),"")</f>
        <v/>
      </c>
      <c r="E577" s="205" t="str">
        <f ca="1">IFERROR(__xludf.DUMMYFUNCTION("""COMPUTED_VALUE"""),"陳復華")</f>
        <v>陳復華</v>
      </c>
    </row>
    <row r="578" spans="1:5" ht="15" customHeight="1">
      <c r="A578" s="121" t="str">
        <f t="shared" ca="1" si="1"/>
        <v/>
      </c>
      <c r="B578" t="str">
        <f t="shared" ca="1" si="2"/>
        <v/>
      </c>
      <c r="C578" s="206" t="str">
        <f ca="1">IFERROR(__xludf.DUMMYFUNCTION("""COMPUTED_VALUE"""),"AB001124")</f>
        <v>AB001124</v>
      </c>
      <c r="D578" t="str">
        <f ca="1">IFERROR(__xludf.DUMMYFUNCTION("""COMPUTED_VALUE"""),"")</f>
        <v/>
      </c>
      <c r="E578" s="205" t="str">
        <f ca="1">IFERROR(__xludf.DUMMYFUNCTION("""COMPUTED_VALUE"""),"陳復華")</f>
        <v>陳復華</v>
      </c>
    </row>
    <row r="579" spans="1:5" ht="15" customHeight="1">
      <c r="A579" s="121" t="str">
        <f t="shared" ca="1" si="1"/>
        <v/>
      </c>
      <c r="B579" t="str">
        <f t="shared" ca="1" si="2"/>
        <v/>
      </c>
      <c r="C579" s="206" t="str">
        <f ca="1">IFERROR(__xludf.DUMMYFUNCTION("""COMPUTED_VALUE"""),"AB001124")</f>
        <v>AB001124</v>
      </c>
      <c r="D579" t="str">
        <f ca="1">IFERROR(__xludf.DUMMYFUNCTION("""COMPUTED_VALUE"""),"")</f>
        <v/>
      </c>
      <c r="E579" s="205" t="str">
        <f ca="1">IFERROR(__xludf.DUMMYFUNCTION("""COMPUTED_VALUE"""),"陳復華")</f>
        <v>陳復華</v>
      </c>
    </row>
    <row r="580" spans="1:5" ht="15" customHeight="1">
      <c r="A580" s="121" t="str">
        <f t="shared" ca="1" si="1"/>
        <v/>
      </c>
      <c r="B580" t="str">
        <f t="shared" ca="1" si="2"/>
        <v/>
      </c>
      <c r="C580" s="206" t="str">
        <f ca="1">IFERROR(__xludf.DUMMYFUNCTION("""COMPUTED_VALUE"""),"AB001124")</f>
        <v>AB001124</v>
      </c>
      <c r="D580" t="str">
        <f ca="1">IFERROR(__xludf.DUMMYFUNCTION("""COMPUTED_VALUE"""),"")</f>
        <v/>
      </c>
      <c r="E580" s="205" t="str">
        <f ca="1">IFERROR(__xludf.DUMMYFUNCTION("""COMPUTED_VALUE"""),"陳復華")</f>
        <v>陳復華</v>
      </c>
    </row>
    <row r="581" spans="1:5" ht="15" customHeight="1">
      <c r="A581" s="121" t="str">
        <f t="shared" ca="1" si="1"/>
        <v/>
      </c>
      <c r="B581" t="str">
        <f t="shared" ca="1" si="2"/>
        <v/>
      </c>
      <c r="C581" s="206" t="str">
        <f ca="1">IFERROR(__xludf.DUMMYFUNCTION("""COMPUTED_VALUE"""),"AB001020")</f>
        <v>AB001020</v>
      </c>
      <c r="D581" t="str">
        <f ca="1">IFERROR(__xludf.DUMMYFUNCTION("""COMPUTED_VALUE"""),"")</f>
        <v/>
      </c>
      <c r="E581" s="205" t="str">
        <f ca="1">IFERROR(__xludf.DUMMYFUNCTION("""COMPUTED_VALUE"""),"鄧慧如")</f>
        <v>鄧慧如</v>
      </c>
    </row>
    <row r="582" spans="1:5" ht="15" customHeight="1">
      <c r="A582" s="121" t="str">
        <f t="shared" ca="1" si="1"/>
        <v/>
      </c>
      <c r="B582" t="str">
        <f t="shared" ca="1" si="2"/>
        <v/>
      </c>
      <c r="C582" s="206" t="str">
        <f ca="1">IFERROR(__xludf.DUMMYFUNCTION("""COMPUTED_VALUE"""),"AB001061")</f>
        <v>AB001061</v>
      </c>
      <c r="D582" t="str">
        <f ca="1">IFERROR(__xludf.DUMMYFUNCTION("""COMPUTED_VALUE"""),"")</f>
        <v/>
      </c>
      <c r="E582" s="205" t="str">
        <f ca="1">IFERROR(__xludf.DUMMYFUNCTION("""COMPUTED_VALUE"""),"蔣明曉")</f>
        <v>蔣明曉</v>
      </c>
    </row>
    <row r="583" spans="1:5" ht="15" customHeight="1">
      <c r="A583" s="121" t="str">
        <f t="shared" ca="1" si="1"/>
        <v/>
      </c>
      <c r="B583" t="str">
        <f t="shared" ca="1" si="2"/>
        <v/>
      </c>
      <c r="C583" s="206" t="str">
        <f ca="1">IFERROR(__xludf.DUMMYFUNCTION("""COMPUTED_VALUE"""),"AB001063")</f>
        <v>AB001063</v>
      </c>
      <c r="D583" t="str">
        <f ca="1">IFERROR(__xludf.DUMMYFUNCTION("""COMPUTED_VALUE"""),"")</f>
        <v/>
      </c>
      <c r="E583" s="205" t="str">
        <f ca="1">IFERROR(__xludf.DUMMYFUNCTION("""COMPUTED_VALUE"""),"黃建智")</f>
        <v>黃建智</v>
      </c>
    </row>
    <row r="584" spans="1:5" ht="15" customHeight="1">
      <c r="A584" s="121" t="str">
        <f t="shared" ca="1" si="1"/>
        <v/>
      </c>
      <c r="B584" t="str">
        <f t="shared" ca="1" si="2"/>
        <v/>
      </c>
      <c r="C584" s="206" t="str">
        <f ca="1">IFERROR(__xludf.DUMMYFUNCTION("""COMPUTED_VALUE"""),"AB001064")</f>
        <v>AB001064</v>
      </c>
      <c r="D584" t="str">
        <f ca="1">IFERROR(__xludf.DUMMYFUNCTION("""COMPUTED_VALUE"""),"")</f>
        <v/>
      </c>
      <c r="E584" s="205" t="str">
        <f ca="1">IFERROR(__xludf.DUMMYFUNCTION("""COMPUTED_VALUE"""),"張云瑄")</f>
        <v>張云瑄</v>
      </c>
    </row>
    <row r="585" spans="1:5" ht="15" customHeight="1">
      <c r="A585" s="121" t="str">
        <f t="shared" ca="1" si="1"/>
        <v/>
      </c>
      <c r="B585" t="str">
        <f t="shared" ca="1" si="2"/>
        <v/>
      </c>
      <c r="C585" s="206" t="str">
        <f ca="1">IFERROR(__xludf.DUMMYFUNCTION("""COMPUTED_VALUE"""),"AB001021")</f>
        <v>AB001021</v>
      </c>
      <c r="D585" t="str">
        <f ca="1">IFERROR(__xludf.DUMMYFUNCTION("""COMPUTED_VALUE"""),"")</f>
        <v/>
      </c>
      <c r="E585" s="205" t="str">
        <f ca="1">IFERROR(__xludf.DUMMYFUNCTION("""COMPUTED_VALUE"""),"蔣景青")</f>
        <v>蔣景青</v>
      </c>
    </row>
    <row r="586" spans="1:5" ht="15" customHeight="1">
      <c r="A586" s="121" t="str">
        <f t="shared" ca="1" si="1"/>
        <v/>
      </c>
      <c r="B586" t="str">
        <f t="shared" ca="1" si="2"/>
        <v/>
      </c>
      <c r="C586" s="206" t="str">
        <f ca="1">IFERROR(__xludf.DUMMYFUNCTION("""COMPUTED_VALUE"""),"AB001065")</f>
        <v>AB001065</v>
      </c>
      <c r="D586" t="str">
        <f ca="1">IFERROR(__xludf.DUMMYFUNCTION("""COMPUTED_VALUE"""),"")</f>
        <v/>
      </c>
      <c r="E586" t="str">
        <f ca="1">IFERROR(__xludf.DUMMYFUNCTION("""COMPUTED_VALUE"""),"柯珮瑩")</f>
        <v>柯珮瑩</v>
      </c>
    </row>
    <row r="587" spans="1:5" ht="15" customHeight="1">
      <c r="A587" s="121" t="str">
        <f t="shared" ca="1" si="1"/>
        <v/>
      </c>
      <c r="B587" t="str">
        <f t="shared" ca="1" si="2"/>
        <v/>
      </c>
      <c r="C587" s="206" t="str">
        <f ca="1">IFERROR(__xludf.DUMMYFUNCTION("""COMPUTED_VALUE"""),"AB001143")</f>
        <v>AB001143</v>
      </c>
      <c r="D587" t="str">
        <f ca="1">IFERROR(__xludf.DUMMYFUNCTION("""COMPUTED_VALUE"""),"")</f>
        <v/>
      </c>
      <c r="E587" t="str">
        <f ca="1">IFERROR(__xludf.DUMMYFUNCTION("""COMPUTED_VALUE"""),"簡之文")</f>
        <v>簡之文</v>
      </c>
    </row>
    <row r="588" spans="1:5" ht="15" customHeight="1">
      <c r="A588" s="121" t="str">
        <f t="shared" ca="1" si="1"/>
        <v/>
      </c>
      <c r="B588" t="str">
        <f t="shared" ca="1" si="2"/>
        <v/>
      </c>
      <c r="C588" s="206" t="str">
        <f ca="1">IFERROR(__xludf.DUMMYFUNCTION("""COMPUTED_VALUE"""),"AB001144")</f>
        <v>AB001144</v>
      </c>
      <c r="D588" t="str">
        <f ca="1">IFERROR(__xludf.DUMMYFUNCTION("""COMPUTED_VALUE"""),"")</f>
        <v/>
      </c>
      <c r="E588" t="str">
        <f ca="1">IFERROR(__xludf.DUMMYFUNCTION("""COMPUTED_VALUE"""),"李凌華")</f>
        <v>李凌華</v>
      </c>
    </row>
    <row r="589" spans="1:5" ht="15" customHeight="1">
      <c r="A589" s="121" t="str">
        <f t="shared" ca="1" si="1"/>
        <v/>
      </c>
      <c r="B589" t="str">
        <f t="shared" ca="1" si="2"/>
        <v/>
      </c>
      <c r="C589" s="206" t="str">
        <f ca="1">IFERROR(__xludf.DUMMYFUNCTION("""COMPUTED_VALUE"""),"AB001057")</f>
        <v>AB001057</v>
      </c>
      <c r="D589" t="str">
        <f ca="1">IFERROR(__xludf.DUMMYFUNCTION("""COMPUTED_VALUE"""),"")</f>
        <v/>
      </c>
      <c r="E589" t="str">
        <f ca="1">IFERROR(__xludf.DUMMYFUNCTION("""COMPUTED_VALUE"""),"楊俊泓")</f>
        <v>楊俊泓</v>
      </c>
    </row>
    <row r="590" spans="1:5" ht="15" customHeight="1">
      <c r="A590" s="121" t="str">
        <f t="shared" ca="1" si="1"/>
        <v/>
      </c>
      <c r="B590" t="str">
        <f t="shared" ca="1" si="2"/>
        <v/>
      </c>
      <c r="C590" s="206" t="str">
        <f ca="1">IFERROR(__xludf.DUMMYFUNCTION("""COMPUTED_VALUE"""),"AB001022")</f>
        <v>AB001022</v>
      </c>
      <c r="D590" t="str">
        <f ca="1">IFERROR(__xludf.DUMMYFUNCTION("""COMPUTED_VALUE"""),"")</f>
        <v/>
      </c>
      <c r="E590" t="str">
        <f ca="1">IFERROR(__xludf.DUMMYFUNCTION("""COMPUTED_VALUE"""),"許家榕")</f>
        <v>許家榕</v>
      </c>
    </row>
    <row r="591" spans="1:5" ht="15" customHeight="1">
      <c r="A591" s="121" t="str">
        <f t="shared" ca="1" si="1"/>
        <v/>
      </c>
      <c r="B591" t="str">
        <f t="shared" ca="1" si="2"/>
        <v/>
      </c>
      <c r="C591" s="206" t="str">
        <f ca="1">IFERROR(__xludf.DUMMYFUNCTION("""COMPUTED_VALUE"""),"AB001146")</f>
        <v>AB001146</v>
      </c>
      <c r="D591" t="str">
        <f ca="1">IFERROR(__xludf.DUMMYFUNCTION("""COMPUTED_VALUE"""),"")</f>
        <v/>
      </c>
      <c r="E591" t="str">
        <f ca="1">IFERROR(__xludf.DUMMYFUNCTION("""COMPUTED_VALUE"""),"黎書綿")</f>
        <v>黎書綿</v>
      </c>
    </row>
    <row r="592" spans="1:5" ht="15" customHeight="1">
      <c r="A592" s="121" t="str">
        <f t="shared" ca="1" si="1"/>
        <v/>
      </c>
      <c r="B592" t="str">
        <f t="shared" ca="1" si="2"/>
        <v/>
      </c>
      <c r="C592" s="206" t="str">
        <f ca="1">IFERROR(__xludf.DUMMYFUNCTION("""COMPUTED_VALUE"""),"AB001147")</f>
        <v>AB001147</v>
      </c>
      <c r="D592" t="str">
        <f ca="1">IFERROR(__xludf.DUMMYFUNCTION("""COMPUTED_VALUE"""),"")</f>
        <v/>
      </c>
      <c r="E592" t="str">
        <f ca="1">IFERROR(__xludf.DUMMYFUNCTION("""COMPUTED_VALUE"""),"陳玉芬")</f>
        <v>陳玉芬</v>
      </c>
    </row>
    <row r="593" spans="1:5" ht="15" customHeight="1">
      <c r="A593" s="121" t="str">
        <f t="shared" ca="1" si="1"/>
        <v/>
      </c>
      <c r="B593" t="str">
        <f t="shared" ca="1" si="2"/>
        <v/>
      </c>
      <c r="C593" s="206" t="str">
        <f ca="1">IFERROR(__xludf.DUMMYFUNCTION("""COMPUTED_VALUE"""),"AB001066")</f>
        <v>AB001066</v>
      </c>
      <c r="D593" t="str">
        <f ca="1">IFERROR(__xludf.DUMMYFUNCTION("""COMPUTED_VALUE"""),"")</f>
        <v/>
      </c>
      <c r="E593" t="str">
        <f ca="1">IFERROR(__xludf.DUMMYFUNCTION("""COMPUTED_VALUE"""),"林日秋")</f>
        <v>林日秋</v>
      </c>
    </row>
    <row r="594" spans="1:5" ht="15" customHeight="1">
      <c r="A594" s="121" t="str">
        <f t="shared" ca="1" si="1"/>
        <v/>
      </c>
      <c r="B594" t="str">
        <f t="shared" ca="1" si="2"/>
        <v/>
      </c>
      <c r="C594" s="206" t="str">
        <f ca="1">IFERROR(__xludf.DUMMYFUNCTION("""COMPUTED_VALUE"""),"AB001145")</f>
        <v>AB001145</v>
      </c>
      <c r="D594" t="str">
        <f ca="1">IFERROR(__xludf.DUMMYFUNCTION("""COMPUTED_VALUE"""),"")</f>
        <v/>
      </c>
      <c r="E594" t="str">
        <f ca="1">IFERROR(__xludf.DUMMYFUNCTION("""COMPUTED_VALUE"""),"福爾摩沙醫院管理顧問有限公司")</f>
        <v>福爾摩沙醫院管理顧問有限公司</v>
      </c>
    </row>
    <row r="595" spans="1:5" ht="15" customHeight="1">
      <c r="A595" s="121" t="str">
        <f t="shared" ca="1" si="1"/>
        <v/>
      </c>
      <c r="B595" t="str">
        <f t="shared" ca="1" si="2"/>
        <v/>
      </c>
      <c r="C595" s="206" t="str">
        <f ca="1">IFERROR(__xludf.DUMMYFUNCTION("""COMPUTED_VALUE"""),"AB001067")</f>
        <v>AB001067</v>
      </c>
      <c r="D595" t="str">
        <f ca="1">IFERROR(__xludf.DUMMYFUNCTION("""COMPUTED_VALUE"""),"")</f>
        <v/>
      </c>
      <c r="E595" t="str">
        <f ca="1">IFERROR(__xludf.DUMMYFUNCTION("""COMPUTED_VALUE"""),"鄭寶猜")</f>
        <v>鄭寶猜</v>
      </c>
    </row>
    <row r="596" spans="1:5" ht="15" customHeight="1">
      <c r="A596" s="121" t="str">
        <f t="shared" ca="1" si="1"/>
        <v/>
      </c>
      <c r="B596" t="str">
        <f t="shared" ca="1" si="2"/>
        <v/>
      </c>
      <c r="C596" s="206" t="str">
        <f ca="1">IFERROR(__xludf.DUMMYFUNCTION("""COMPUTED_VALUE"""),"AB001023")</f>
        <v>AB001023</v>
      </c>
      <c r="D596" t="str">
        <f ca="1">IFERROR(__xludf.DUMMYFUNCTION("""COMPUTED_VALUE"""),"")</f>
        <v/>
      </c>
      <c r="E596" t="str">
        <f ca="1">IFERROR(__xludf.DUMMYFUNCTION("""COMPUTED_VALUE"""),"陳俊良")</f>
        <v>陳俊良</v>
      </c>
    </row>
    <row r="597" spans="1:5" ht="15" customHeight="1">
      <c r="A597" s="121" t="str">
        <f t="shared" ca="1" si="1"/>
        <v/>
      </c>
      <c r="B597" t="str">
        <f t="shared" ca="1" si="2"/>
        <v/>
      </c>
      <c r="C597" s="206" t="str">
        <f ca="1">IFERROR(__xludf.DUMMYFUNCTION("""COMPUTED_VALUE"""),"AB001149")</f>
        <v>AB001149</v>
      </c>
      <c r="D597" t="str">
        <f ca="1">IFERROR(__xludf.DUMMYFUNCTION("""COMPUTED_VALUE"""),"")</f>
        <v/>
      </c>
      <c r="E597" t="str">
        <f ca="1">IFERROR(__xludf.DUMMYFUNCTION("""COMPUTED_VALUE"""),"莊蘊雯")</f>
        <v>莊蘊雯</v>
      </c>
    </row>
    <row r="598" spans="1:5" ht="15" customHeight="1">
      <c r="A598" s="121" t="str">
        <f t="shared" ca="1" si="1"/>
        <v/>
      </c>
      <c r="B598" t="str">
        <f t="shared" ca="1" si="2"/>
        <v/>
      </c>
      <c r="C598" s="206" t="str">
        <f ca="1">IFERROR(__xludf.DUMMYFUNCTION("""COMPUTED_VALUE"""),"AB001149")</f>
        <v>AB001149</v>
      </c>
      <c r="D598" t="str">
        <f ca="1">IFERROR(__xludf.DUMMYFUNCTION("""COMPUTED_VALUE"""),"")</f>
        <v/>
      </c>
      <c r="E598" t="str">
        <f ca="1">IFERROR(__xludf.DUMMYFUNCTION("""COMPUTED_VALUE"""),"莊蘊雯")</f>
        <v>莊蘊雯</v>
      </c>
    </row>
    <row r="599" spans="1:5" ht="15" customHeight="1">
      <c r="A599" s="121" t="str">
        <f t="shared" ca="1" si="1"/>
        <v/>
      </c>
      <c r="B599" t="str">
        <f t="shared" ca="1" si="2"/>
        <v/>
      </c>
      <c r="C599" s="206" t="str">
        <f ca="1">IFERROR(__xludf.DUMMYFUNCTION("""COMPUTED_VALUE"""),"AB001025")</f>
        <v>AB001025</v>
      </c>
      <c r="D599" t="str">
        <f ca="1">IFERROR(__xludf.DUMMYFUNCTION("""COMPUTED_VALUE"""),"")</f>
        <v/>
      </c>
      <c r="E599" t="str">
        <f ca="1">IFERROR(__xludf.DUMMYFUNCTION("""COMPUTED_VALUE"""),"連子磊")</f>
        <v>連子磊</v>
      </c>
    </row>
    <row r="600" spans="1:5" ht="15" customHeight="1">
      <c r="A600" s="121" t="str">
        <f t="shared" ca="1" si="1"/>
        <v/>
      </c>
      <c r="B600" t="str">
        <f t="shared" ca="1" si="2"/>
        <v/>
      </c>
      <c r="C600" s="206" t="str">
        <f ca="1">IFERROR(__xludf.DUMMYFUNCTION("""COMPUTED_VALUE"""),"AB001027")</f>
        <v>AB001027</v>
      </c>
      <c r="D600" t="str">
        <f ca="1">IFERROR(__xludf.DUMMYFUNCTION("""COMPUTED_VALUE"""),"")</f>
        <v/>
      </c>
      <c r="E600" t="str">
        <f ca="1">IFERROR(__xludf.DUMMYFUNCTION("""COMPUTED_VALUE"""),"黃光亮")</f>
        <v>黃光亮</v>
      </c>
    </row>
    <row r="601" spans="1:5" ht="15" customHeight="1">
      <c r="A601" s="121" t="str">
        <f t="shared" ca="1" si="1"/>
        <v/>
      </c>
      <c r="B601" t="str">
        <f t="shared" ca="1" si="2"/>
        <v/>
      </c>
      <c r="C601" s="206" t="str">
        <f ca="1">IFERROR(__xludf.DUMMYFUNCTION("""COMPUTED_VALUE"""),"AB001026")</f>
        <v>AB001026</v>
      </c>
      <c r="D601" t="str">
        <f ca="1">IFERROR(__xludf.DUMMYFUNCTION("""COMPUTED_VALUE"""),"")</f>
        <v/>
      </c>
      <c r="E601" t="str">
        <f ca="1">IFERROR(__xludf.DUMMYFUNCTION("""COMPUTED_VALUE"""),"曾語涵")</f>
        <v>曾語涵</v>
      </c>
    </row>
    <row r="602" spans="1:5" ht="15" customHeight="1">
      <c r="A602" s="121" t="str">
        <f t="shared" ca="1" si="1"/>
        <v/>
      </c>
      <c r="B602" t="str">
        <f t="shared" ca="1" si="2"/>
        <v/>
      </c>
      <c r="C602" s="206" t="str">
        <f ca="1">IFERROR(__xludf.DUMMYFUNCTION("""COMPUTED_VALUE"""),"AB001028-2")</f>
        <v>AB001028-2</v>
      </c>
      <c r="D602" t="str">
        <f ca="1">IFERROR(__xludf.DUMMYFUNCTION("""COMPUTED_VALUE"""),"")</f>
        <v/>
      </c>
      <c r="E602" t="str">
        <f ca="1">IFERROR(__xludf.DUMMYFUNCTION("""COMPUTED_VALUE"""),"李添益")</f>
        <v>李添益</v>
      </c>
    </row>
    <row r="603" spans="1:5" ht="15" customHeight="1">
      <c r="A603" s="121" t="str">
        <f t="shared" ca="1" si="1"/>
        <v/>
      </c>
      <c r="B603" t="str">
        <f t="shared" ca="1" si="2"/>
        <v/>
      </c>
      <c r="C603" s="206" t="str">
        <f ca="1">IFERROR(__xludf.DUMMYFUNCTION("""COMPUTED_VALUE"""),"AB001150")</f>
        <v>AB001150</v>
      </c>
      <c r="D603" t="str">
        <f ca="1">IFERROR(__xludf.DUMMYFUNCTION("""COMPUTED_VALUE"""),"")</f>
        <v/>
      </c>
      <c r="E603" t="str">
        <f ca="1">IFERROR(__xludf.DUMMYFUNCTION("""COMPUTED_VALUE"""),"陳康良")</f>
        <v>陳康良</v>
      </c>
    </row>
    <row r="604" spans="1:5" ht="15" customHeight="1">
      <c r="A604" s="121" t="str">
        <f t="shared" ca="1" si="1"/>
        <v/>
      </c>
      <c r="B604" t="str">
        <f t="shared" ca="1" si="2"/>
        <v/>
      </c>
      <c r="C604" s="206" t="str">
        <f ca="1">IFERROR(__xludf.DUMMYFUNCTION("""COMPUTED_VALUE"""),"AB001069")</f>
        <v>AB001069</v>
      </c>
      <c r="D604" t="str">
        <f ca="1">IFERROR(__xludf.DUMMYFUNCTION("""COMPUTED_VALUE"""),"")</f>
        <v/>
      </c>
      <c r="E604" t="str">
        <f ca="1">IFERROR(__xludf.DUMMYFUNCTION("""COMPUTED_VALUE"""),"邱盈米")</f>
        <v>邱盈米</v>
      </c>
    </row>
    <row r="605" spans="1:5" ht="15" customHeight="1">
      <c r="A605" s="121" t="str">
        <f t="shared" ca="1" si="1"/>
        <v/>
      </c>
      <c r="B605" t="str">
        <f t="shared" ca="1" si="2"/>
        <v/>
      </c>
      <c r="C605" s="206" t="str">
        <f ca="1">IFERROR(__xludf.DUMMYFUNCTION("""COMPUTED_VALUE"""),"AB001068")</f>
        <v>AB001068</v>
      </c>
      <c r="D605" t="str">
        <f ca="1">IFERROR(__xludf.DUMMYFUNCTION("""COMPUTED_VALUE"""),"")</f>
        <v/>
      </c>
      <c r="E605" t="str">
        <f ca="1">IFERROR(__xludf.DUMMYFUNCTION("""COMPUTED_VALUE"""),"朱錦文")</f>
        <v>朱錦文</v>
      </c>
    </row>
    <row r="606" spans="1:5" ht="15" customHeight="1">
      <c r="A606" s="121" t="str">
        <f t="shared" ca="1" si="1"/>
        <v/>
      </c>
      <c r="B606" t="str">
        <f t="shared" ca="1" si="2"/>
        <v/>
      </c>
      <c r="C606" s="206" t="str">
        <f ca="1">IFERROR(__xludf.DUMMYFUNCTION("""COMPUTED_VALUE"""),"AB001070")</f>
        <v>AB001070</v>
      </c>
      <c r="D606" t="str">
        <f ca="1">IFERROR(__xludf.DUMMYFUNCTION("""COMPUTED_VALUE"""),"")</f>
        <v/>
      </c>
      <c r="E606" t="str">
        <f ca="1">IFERROR(__xludf.DUMMYFUNCTION("""COMPUTED_VALUE"""),"黃建智")</f>
        <v>黃建智</v>
      </c>
    </row>
    <row r="607" spans="1:5" ht="15" customHeight="1">
      <c r="A607" s="121" t="str">
        <f t="shared" ca="1" si="1"/>
        <v/>
      </c>
      <c r="B607" t="str">
        <f t="shared" ca="1" si="2"/>
        <v/>
      </c>
      <c r="C607" s="206" t="str">
        <f ca="1">IFERROR(__xludf.DUMMYFUNCTION("""COMPUTED_VALUE"""),"AB001071")</f>
        <v>AB001071</v>
      </c>
      <c r="D607" t="str">
        <f ca="1">IFERROR(__xludf.DUMMYFUNCTION("""COMPUTED_VALUE"""),"")</f>
        <v/>
      </c>
      <c r="E607" t="str">
        <f ca="1">IFERROR(__xludf.DUMMYFUNCTION("""COMPUTED_VALUE"""),"封秋霞")</f>
        <v>封秋霞</v>
      </c>
    </row>
    <row r="608" spans="1:5" ht="15" customHeight="1">
      <c r="A608" s="121" t="str">
        <f t="shared" ca="1" si="1"/>
        <v/>
      </c>
      <c r="B608" t="str">
        <f t="shared" ca="1" si="2"/>
        <v/>
      </c>
      <c r="C608" s="206" t="str">
        <f ca="1">IFERROR(__xludf.DUMMYFUNCTION("""COMPUTED_VALUE"""),"AA001932")</f>
        <v>AA001932</v>
      </c>
      <c r="D608" t="str">
        <f ca="1">IFERROR(__xludf.DUMMYFUNCTION("""COMPUTED_VALUE"""),"")</f>
        <v/>
      </c>
      <c r="E608" s="205" t="str">
        <f ca="1">IFERROR(__xludf.DUMMYFUNCTION("""COMPUTED_VALUE"""),"大江生醫職工福利委員會")</f>
        <v>大江生醫職工福利委員會</v>
      </c>
    </row>
    <row r="609" spans="1:5" ht="15" customHeight="1">
      <c r="A609" s="121" t="str">
        <f t="shared" ca="1" si="1"/>
        <v/>
      </c>
      <c r="B609" t="str">
        <f t="shared" ca="1" si="2"/>
        <v/>
      </c>
      <c r="C609" s="206" t="str">
        <f ca="1">IFERROR(__xludf.DUMMYFUNCTION("""COMPUTED_VALUE"""),"AA001932")</f>
        <v>AA001932</v>
      </c>
      <c r="D609" t="str">
        <f ca="1">IFERROR(__xludf.DUMMYFUNCTION("""COMPUTED_VALUE"""),"")</f>
        <v/>
      </c>
      <c r="E609" s="205" t="str">
        <f ca="1">IFERROR(__xludf.DUMMYFUNCTION("""COMPUTED_VALUE"""),"大江生醫職工福利委員會")</f>
        <v>大江生醫職工福利委員會</v>
      </c>
    </row>
    <row r="610" spans="1:5" ht="15" customHeight="1">
      <c r="A610" s="121" t="str">
        <f t="shared" ca="1" si="1"/>
        <v/>
      </c>
      <c r="B610" t="str">
        <f t="shared" ca="1" si="2"/>
        <v/>
      </c>
      <c r="C610" s="206" t="str">
        <f ca="1">IFERROR(__xludf.DUMMYFUNCTION("""COMPUTED_VALUE"""),"AA001932")</f>
        <v>AA001932</v>
      </c>
      <c r="D610" t="str">
        <f ca="1">IFERROR(__xludf.DUMMYFUNCTION("""COMPUTED_VALUE"""),"")</f>
        <v/>
      </c>
      <c r="E610" s="205" t="str">
        <f ca="1">IFERROR(__xludf.DUMMYFUNCTION("""COMPUTED_VALUE"""),"大江生醫職工福利委員會")</f>
        <v>大江生醫職工福利委員會</v>
      </c>
    </row>
    <row r="611" spans="1:5" ht="15" customHeight="1">
      <c r="A611" s="121" t="str">
        <f t="shared" ca="1" si="1"/>
        <v/>
      </c>
      <c r="B611" t="str">
        <f t="shared" ca="1" si="2"/>
        <v/>
      </c>
      <c r="C611" s="206" t="str">
        <f ca="1">IFERROR(__xludf.DUMMYFUNCTION("""COMPUTED_VALUE"""),"AA001932")</f>
        <v>AA001932</v>
      </c>
      <c r="D611" t="str">
        <f ca="1">IFERROR(__xludf.DUMMYFUNCTION("""COMPUTED_VALUE"""),"")</f>
        <v/>
      </c>
      <c r="E611" s="205" t="str">
        <f ca="1">IFERROR(__xludf.DUMMYFUNCTION("""COMPUTED_VALUE"""),"大江生醫職工福利委員會")</f>
        <v>大江生醫職工福利委員會</v>
      </c>
    </row>
    <row r="612" spans="1:5" ht="15" customHeight="1">
      <c r="A612" s="121" t="str">
        <f t="shared" ca="1" si="1"/>
        <v/>
      </c>
      <c r="B612" t="str">
        <f t="shared" ca="1" si="2"/>
        <v/>
      </c>
      <c r="C612" s="206" t="str">
        <f ca="1">IFERROR(__xludf.DUMMYFUNCTION("""COMPUTED_VALUE"""),"AA001932")</f>
        <v>AA001932</v>
      </c>
      <c r="D612" t="str">
        <f ca="1">IFERROR(__xludf.DUMMYFUNCTION("""COMPUTED_VALUE"""),"")</f>
        <v/>
      </c>
      <c r="E612" s="205" t="str">
        <f ca="1">IFERROR(__xludf.DUMMYFUNCTION("""COMPUTED_VALUE"""),"大江生醫職工福利委員會")</f>
        <v>大江生醫職工福利委員會</v>
      </c>
    </row>
    <row r="613" spans="1:5" ht="15" customHeight="1">
      <c r="A613" s="121" t="str">
        <f t="shared" ca="1" si="1"/>
        <v/>
      </c>
      <c r="B613" t="str">
        <f t="shared" ca="1" si="2"/>
        <v/>
      </c>
      <c r="C613" s="206" t="str">
        <f ca="1">IFERROR(__xludf.DUMMYFUNCTION("""COMPUTED_VALUE"""),"AA001932")</f>
        <v>AA001932</v>
      </c>
      <c r="D613" t="str">
        <f ca="1">IFERROR(__xludf.DUMMYFUNCTION("""COMPUTED_VALUE"""),"")</f>
        <v/>
      </c>
      <c r="E613" s="205" t="str">
        <f ca="1">IFERROR(__xludf.DUMMYFUNCTION("""COMPUTED_VALUE"""),"大江生醫職工福利委員會")</f>
        <v>大江生醫職工福利委員會</v>
      </c>
    </row>
    <row r="614" spans="1:5" ht="15" customHeight="1">
      <c r="A614" s="121" t="str">
        <f t="shared" ca="1" si="1"/>
        <v/>
      </c>
      <c r="B614" t="str">
        <f t="shared" ca="1" si="2"/>
        <v/>
      </c>
      <c r="C614" s="206" t="str">
        <f ca="1">IFERROR(__xludf.DUMMYFUNCTION("""COMPUTED_VALUE"""),"AA001932")</f>
        <v>AA001932</v>
      </c>
      <c r="D614" t="str">
        <f ca="1">IFERROR(__xludf.DUMMYFUNCTION("""COMPUTED_VALUE"""),"")</f>
        <v/>
      </c>
      <c r="E614" s="205" t="str">
        <f ca="1">IFERROR(__xludf.DUMMYFUNCTION("""COMPUTED_VALUE"""),"大江生醫職工福利委員會")</f>
        <v>大江生醫職工福利委員會</v>
      </c>
    </row>
    <row r="615" spans="1:5" ht="15" customHeight="1">
      <c r="A615" s="121" t="str">
        <f t="shared" ca="1" si="1"/>
        <v/>
      </c>
      <c r="B615" t="str">
        <f t="shared" ca="1" si="2"/>
        <v/>
      </c>
      <c r="C615" s="206" t="str">
        <f ca="1">IFERROR(__xludf.DUMMYFUNCTION("""COMPUTED_VALUE"""),"AA001932")</f>
        <v>AA001932</v>
      </c>
      <c r="D615" t="str">
        <f ca="1">IFERROR(__xludf.DUMMYFUNCTION("""COMPUTED_VALUE"""),"")</f>
        <v/>
      </c>
      <c r="E615" s="205" t="str">
        <f ca="1">IFERROR(__xludf.DUMMYFUNCTION("""COMPUTED_VALUE"""),"大江生醫職工福利委員會")</f>
        <v>大江生醫職工福利委員會</v>
      </c>
    </row>
    <row r="616" spans="1:5" ht="15" customHeight="1">
      <c r="A616" s="121" t="str">
        <f t="shared" ca="1" si="1"/>
        <v/>
      </c>
      <c r="B616" t="str">
        <f t="shared" ca="1" si="2"/>
        <v/>
      </c>
      <c r="C616" s="206" t="str">
        <f ca="1">IFERROR(__xludf.DUMMYFUNCTION("""COMPUTED_VALUE"""),"AA001932")</f>
        <v>AA001932</v>
      </c>
      <c r="D616" t="str">
        <f ca="1">IFERROR(__xludf.DUMMYFUNCTION("""COMPUTED_VALUE"""),"")</f>
        <v/>
      </c>
      <c r="E616" s="205" t="str">
        <f ca="1">IFERROR(__xludf.DUMMYFUNCTION("""COMPUTED_VALUE"""),"大江生醫職工福利委員會")</f>
        <v>大江生醫職工福利委員會</v>
      </c>
    </row>
    <row r="617" spans="1:5" ht="15" customHeight="1">
      <c r="A617" s="121" t="str">
        <f t="shared" ca="1" si="1"/>
        <v/>
      </c>
      <c r="B617" t="str">
        <f t="shared" ca="1" si="2"/>
        <v/>
      </c>
      <c r="C617" s="206" t="str">
        <f ca="1">IFERROR(__xludf.DUMMYFUNCTION("""COMPUTED_VALUE"""),"AA001933")</f>
        <v>AA001933</v>
      </c>
      <c r="D617" t="str">
        <f ca="1">IFERROR(__xludf.DUMMYFUNCTION("""COMPUTED_VALUE"""),"")</f>
        <v/>
      </c>
      <c r="E617" s="205" t="str">
        <f ca="1">IFERROR(__xludf.DUMMYFUNCTION("""COMPUTED_VALUE"""),"大江生醫股份有限公司")</f>
        <v>大江生醫股份有限公司</v>
      </c>
    </row>
    <row r="618" spans="1:5" ht="15" customHeight="1">
      <c r="A618" s="121" t="str">
        <f t="shared" ca="1" si="1"/>
        <v/>
      </c>
      <c r="B618" t="str">
        <f t="shared" ca="1" si="2"/>
        <v/>
      </c>
      <c r="C618" s="206" t="str">
        <f ca="1">IFERROR(__xludf.DUMMYFUNCTION("""COMPUTED_VALUE"""),"AB001030")</f>
        <v>AB001030</v>
      </c>
      <c r="D618" t="str">
        <f ca="1">IFERROR(__xludf.DUMMYFUNCTION("""COMPUTED_VALUE"""),"")</f>
        <v/>
      </c>
      <c r="E618" s="205" t="str">
        <f ca="1">IFERROR(__xludf.DUMMYFUNCTION("""COMPUTED_VALUE"""),"林怡中")</f>
        <v>林怡中</v>
      </c>
    </row>
    <row r="619" spans="1:5" ht="15" customHeight="1">
      <c r="A619" s="121" t="str">
        <f t="shared" ca="1" si="1"/>
        <v/>
      </c>
      <c r="B619" t="str">
        <f t="shared" ca="1" si="2"/>
        <v/>
      </c>
      <c r="C619" s="206" t="str">
        <f ca="1">IFERROR(__xludf.DUMMYFUNCTION("""COMPUTED_VALUE"""),"AB001030")</f>
        <v>AB001030</v>
      </c>
      <c r="D619" t="str">
        <f ca="1">IFERROR(__xludf.DUMMYFUNCTION("""COMPUTED_VALUE"""),"")</f>
        <v/>
      </c>
      <c r="E619" s="205" t="str">
        <f ca="1">IFERROR(__xludf.DUMMYFUNCTION("""COMPUTED_VALUE"""),"林怡中")</f>
        <v>林怡中</v>
      </c>
    </row>
    <row r="620" spans="1:5" ht="15" customHeight="1">
      <c r="A620" s="121" t="str">
        <f t="shared" ca="1" si="1"/>
        <v/>
      </c>
      <c r="B620" t="str">
        <f t="shared" ca="1" si="2"/>
        <v/>
      </c>
      <c r="C620" s="206" t="str">
        <f ca="1">IFERROR(__xludf.DUMMYFUNCTION("""COMPUTED_VALUE"""),"AB001201")</f>
        <v>AB001201</v>
      </c>
      <c r="D620" t="str">
        <f ca="1">IFERROR(__xludf.DUMMYFUNCTION("""COMPUTED_VALUE"""),"")</f>
        <v/>
      </c>
      <c r="E620" t="str">
        <f ca="1">IFERROR(__xludf.DUMMYFUNCTION("""COMPUTED_VALUE"""),"分子藥局")</f>
        <v>分子藥局</v>
      </c>
    </row>
    <row r="621" spans="1:5" ht="15" customHeight="1">
      <c r="A621" s="121" t="str">
        <f t="shared" ca="1" si="1"/>
        <v/>
      </c>
      <c r="B621" t="str">
        <f t="shared" ca="1" si="2"/>
        <v/>
      </c>
      <c r="C621" s="206" t="str">
        <f ca="1">IFERROR(__xludf.DUMMYFUNCTION("""COMPUTED_VALUE"""),"AB001201")</f>
        <v>AB001201</v>
      </c>
      <c r="D621" t="str">
        <f ca="1">IFERROR(__xludf.DUMMYFUNCTION("""COMPUTED_VALUE"""),"")</f>
        <v/>
      </c>
      <c r="E621" t="str">
        <f ca="1">IFERROR(__xludf.DUMMYFUNCTION("""COMPUTED_VALUE"""),"分子藥局")</f>
        <v>分子藥局</v>
      </c>
    </row>
    <row r="622" spans="1:5" ht="15" customHeight="1">
      <c r="A622" s="121" t="str">
        <f t="shared" ca="1" si="1"/>
        <v/>
      </c>
      <c r="B622" t="str">
        <f t="shared" ca="1" si="2"/>
        <v/>
      </c>
      <c r="C622" s="206" t="str">
        <f ca="1">IFERROR(__xludf.DUMMYFUNCTION("""COMPUTED_VALUE"""),"AB001031")</f>
        <v>AB001031</v>
      </c>
      <c r="D622" t="str">
        <f ca="1">IFERROR(__xludf.DUMMYFUNCTION("""COMPUTED_VALUE"""),"")</f>
        <v/>
      </c>
      <c r="E622" t="str">
        <f ca="1">IFERROR(__xludf.DUMMYFUNCTION("""COMPUTED_VALUE"""),"林秀娟")</f>
        <v>林秀娟</v>
      </c>
    </row>
    <row r="623" spans="1:5" ht="15" customHeight="1">
      <c r="A623" s="121" t="str">
        <f t="shared" ca="1" si="1"/>
        <v/>
      </c>
      <c r="B623" t="str">
        <f t="shared" ca="1" si="2"/>
        <v/>
      </c>
      <c r="C623" s="206" t="str">
        <f ca="1">IFERROR(__xludf.DUMMYFUNCTION("""COMPUTED_VALUE"""),"AB001148")</f>
        <v>AB001148</v>
      </c>
      <c r="D623" t="str">
        <f ca="1">IFERROR(__xludf.DUMMYFUNCTION("""COMPUTED_VALUE"""),"")</f>
        <v/>
      </c>
      <c r="E623" t="str">
        <f ca="1">IFERROR(__xludf.DUMMYFUNCTION("""COMPUTED_VALUE"""),"陳復華")</f>
        <v>陳復華</v>
      </c>
    </row>
    <row r="624" spans="1:5" ht="15" customHeight="1">
      <c r="A624" s="121" t="str">
        <f t="shared" ca="1" si="1"/>
        <v/>
      </c>
      <c r="B624" t="str">
        <f t="shared" ca="1" si="2"/>
        <v/>
      </c>
      <c r="C624" s="206" t="str">
        <f ca="1">IFERROR(__xludf.DUMMYFUNCTION("""COMPUTED_VALUE"""),"AB001148")</f>
        <v>AB001148</v>
      </c>
      <c r="D624" t="str">
        <f ca="1">IFERROR(__xludf.DUMMYFUNCTION("""COMPUTED_VALUE"""),"")</f>
        <v/>
      </c>
      <c r="E624" t="str">
        <f ca="1">IFERROR(__xludf.DUMMYFUNCTION("""COMPUTED_VALUE"""),"陳復華")</f>
        <v>陳復華</v>
      </c>
    </row>
    <row r="625" spans="1:5" ht="15" customHeight="1">
      <c r="A625" s="121" t="str">
        <f t="shared" ca="1" si="1"/>
        <v/>
      </c>
      <c r="B625" t="str">
        <f t="shared" ca="1" si="2"/>
        <v/>
      </c>
      <c r="C625" s="206" t="str">
        <f ca="1">IFERROR(__xludf.DUMMYFUNCTION("""COMPUTED_VALUE"""),"AB001148")</f>
        <v>AB001148</v>
      </c>
      <c r="D625" t="str">
        <f ca="1">IFERROR(__xludf.DUMMYFUNCTION("""COMPUTED_VALUE"""),"")</f>
        <v/>
      </c>
      <c r="E625" t="str">
        <f ca="1">IFERROR(__xludf.DUMMYFUNCTION("""COMPUTED_VALUE"""),"陳復華")</f>
        <v>陳復華</v>
      </c>
    </row>
    <row r="626" spans="1:5" ht="15" customHeight="1">
      <c r="A626" s="121" t="str">
        <f t="shared" ca="1" si="1"/>
        <v/>
      </c>
      <c r="B626" t="str">
        <f t="shared" ca="1" si="2"/>
        <v/>
      </c>
      <c r="C626" s="206" t="str">
        <f ca="1">IFERROR(__xludf.DUMMYFUNCTION("""COMPUTED_VALUE"""),"PA000064")</f>
        <v>PA000064</v>
      </c>
      <c r="D626" t="str">
        <f ca="1">IFERROR(__xludf.DUMMYFUNCTION("""COMPUTED_VALUE"""),"")</f>
        <v/>
      </c>
      <c r="E626" t="str">
        <f ca="1">IFERROR(__xludf.DUMMYFUNCTION("""COMPUTED_VALUE"""),"張紅梅")</f>
        <v>張紅梅</v>
      </c>
    </row>
    <row r="627" spans="1:5" ht="15" customHeight="1">
      <c r="A627" s="121" t="str">
        <f t="shared" ca="1" si="1"/>
        <v/>
      </c>
      <c r="B627" t="str">
        <f t="shared" ca="1" si="2"/>
        <v/>
      </c>
      <c r="C627" s="206" t="str">
        <f ca="1">IFERROR(__xludf.DUMMYFUNCTION("""COMPUTED_VALUE"""),"AB001029")</f>
        <v>AB001029</v>
      </c>
      <c r="D627" t="str">
        <f ca="1">IFERROR(__xludf.DUMMYFUNCTION("""COMPUTED_VALUE"""),"")</f>
        <v/>
      </c>
      <c r="E627" t="str">
        <f ca="1">IFERROR(__xludf.DUMMYFUNCTION("""COMPUTED_VALUE"""),"林秀青")</f>
        <v>林秀青</v>
      </c>
    </row>
    <row r="628" spans="1:5" ht="15" customHeight="1">
      <c r="A628" s="121" t="str">
        <f t="shared" ca="1" si="1"/>
        <v/>
      </c>
      <c r="B628" t="str">
        <f t="shared" ca="1" si="2"/>
        <v/>
      </c>
      <c r="C628" s="206" t="str">
        <f ca="1">IFERROR(__xludf.DUMMYFUNCTION("""COMPUTED_VALUE"""),"AB001072")</f>
        <v>AB001072</v>
      </c>
      <c r="D628" t="str">
        <f ca="1">IFERROR(__xludf.DUMMYFUNCTION("""COMPUTED_VALUE"""),"")</f>
        <v/>
      </c>
      <c r="E628" t="str">
        <f ca="1">IFERROR(__xludf.DUMMYFUNCTION("""COMPUTED_VALUE"""),"許哲銘")</f>
        <v>許哲銘</v>
      </c>
    </row>
    <row r="629" spans="1:5" ht="15" customHeight="1">
      <c r="A629" s="121" t="str">
        <f t="shared" ca="1" si="1"/>
        <v/>
      </c>
      <c r="B629" t="str">
        <f t="shared" ca="1" si="2"/>
        <v/>
      </c>
      <c r="C629" s="206" t="str">
        <f ca="1">IFERROR(__xludf.DUMMYFUNCTION("""COMPUTED_VALUE"""),"AB001032")</f>
        <v>AB001032</v>
      </c>
      <c r="D629" t="str">
        <f ca="1">IFERROR(__xludf.DUMMYFUNCTION("""COMPUTED_VALUE"""),"")</f>
        <v/>
      </c>
      <c r="E629" t="str">
        <f ca="1">IFERROR(__xludf.DUMMYFUNCTION("""COMPUTED_VALUE"""),"劉俐君")</f>
        <v>劉俐君</v>
      </c>
    </row>
    <row r="630" spans="1:5" ht="15" customHeight="1">
      <c r="A630" s="121" t="str">
        <f t="shared" ca="1" si="1"/>
        <v/>
      </c>
      <c r="B630" t="str">
        <f t="shared" ca="1" si="2"/>
        <v/>
      </c>
      <c r="C630" s="206" t="str">
        <f ca="1">IFERROR(__xludf.DUMMYFUNCTION("""COMPUTED_VALUE"""),"AB001202")</f>
        <v>AB001202</v>
      </c>
      <c r="D630" t="str">
        <f ca="1">IFERROR(__xludf.DUMMYFUNCTION("""COMPUTED_VALUE"""),"")</f>
        <v/>
      </c>
      <c r="E630" t="str">
        <f ca="1">IFERROR(__xludf.DUMMYFUNCTION("""COMPUTED_VALUE"""),"黃一芳")</f>
        <v>黃一芳</v>
      </c>
    </row>
    <row r="631" spans="1:5" ht="15" customHeight="1">
      <c r="A631" s="121" t="str">
        <f t="shared" ca="1" si="1"/>
        <v/>
      </c>
      <c r="B631" t="str">
        <f t="shared" ca="1" si="2"/>
        <v/>
      </c>
      <c r="C631" s="206" t="str">
        <f ca="1">IFERROR(__xludf.DUMMYFUNCTION("""COMPUTED_VALUE"""),"10705-0074")</f>
        <v>10705-0074</v>
      </c>
      <c r="D631" t="str">
        <f ca="1">IFERROR(__xludf.DUMMYFUNCTION("""COMPUTED_VALUE"""),"")</f>
        <v/>
      </c>
      <c r="E631" t="str">
        <f ca="1">IFERROR(__xludf.DUMMYFUNCTION("""COMPUTED_VALUE"""),"黃宸如")</f>
        <v>黃宸如</v>
      </c>
    </row>
    <row r="632" spans="1:5" ht="15" customHeight="1">
      <c r="A632" s="121" t="str">
        <f t="shared" ca="1" si="1"/>
        <v/>
      </c>
      <c r="B632" t="str">
        <f t="shared" ca="1" si="2"/>
        <v/>
      </c>
      <c r="C632" s="206" t="str">
        <f ca="1">IFERROR(__xludf.DUMMYFUNCTION("""COMPUTED_VALUE"""),"10705-0074")</f>
        <v>10705-0074</v>
      </c>
      <c r="D632" t="str">
        <f ca="1">IFERROR(__xludf.DUMMYFUNCTION("""COMPUTED_VALUE"""),"")</f>
        <v/>
      </c>
      <c r="E632" t="str">
        <f ca="1">IFERROR(__xludf.DUMMYFUNCTION("""COMPUTED_VALUE"""),"黃宸如")</f>
        <v>黃宸如</v>
      </c>
    </row>
    <row r="633" spans="1:5" ht="15" customHeight="1">
      <c r="A633" s="121" t="str">
        <f t="shared" ca="1" si="1"/>
        <v/>
      </c>
      <c r="B633" t="str">
        <f t="shared" ca="1" si="2"/>
        <v/>
      </c>
      <c r="C633" s="205" t="str">
        <f ca="1">IFERROR(__xludf.DUMMYFUNCTION("""COMPUTED_VALUE"""),"AA001425")</f>
        <v>AA001425</v>
      </c>
      <c r="D633" t="str">
        <f ca="1">IFERROR(__xludf.DUMMYFUNCTION("""COMPUTED_VALUE"""),"")</f>
        <v/>
      </c>
      <c r="E633" s="205" t="str">
        <f ca="1">IFERROR(__xludf.DUMMYFUNCTION("""COMPUTED_VALUE"""),"張啟雄")</f>
        <v>張啟雄</v>
      </c>
    </row>
    <row r="634" spans="1:5" ht="15" customHeight="1">
      <c r="A634" s="121" t="str">
        <f t="shared" ca="1" si="1"/>
        <v/>
      </c>
      <c r="B634" t="str">
        <f t="shared" ca="1" si="2"/>
        <v/>
      </c>
      <c r="C634" s="206" t="str">
        <f ca="1">IFERROR(__xludf.DUMMYFUNCTION("""COMPUTED_VALUE"""),"AA001934")</f>
        <v>AA001934</v>
      </c>
      <c r="D634" t="str">
        <f ca="1">IFERROR(__xludf.DUMMYFUNCTION("""COMPUTED_VALUE"""),"")</f>
        <v/>
      </c>
      <c r="E634" t="str">
        <f ca="1">IFERROR(__xludf.DUMMYFUNCTION("""COMPUTED_VALUE"""),"大江生醫職工福利委員會")</f>
        <v>大江生醫職工福利委員會</v>
      </c>
    </row>
    <row r="635" spans="1:5" ht="15" customHeight="1">
      <c r="A635" s="121" t="str">
        <f t="shared" ca="1" si="1"/>
        <v/>
      </c>
      <c r="B635" t="str">
        <f t="shared" ca="1" si="2"/>
        <v/>
      </c>
      <c r="C635" s="206" t="str">
        <f ca="1">IFERROR(__xludf.DUMMYFUNCTION("""COMPUTED_VALUE"""),"AB001204")</f>
        <v>AB001204</v>
      </c>
      <c r="D635" t="str">
        <f ca="1">IFERROR(__xludf.DUMMYFUNCTION("""COMPUTED_VALUE"""),"")</f>
        <v/>
      </c>
      <c r="E635" s="205" t="str">
        <f ca="1">IFERROR(__xludf.DUMMYFUNCTION("""COMPUTED_VALUE"""),"福爾摩沙醫院管理顧問有限公司")</f>
        <v>福爾摩沙醫院管理顧問有限公司</v>
      </c>
    </row>
    <row r="636" spans="1:5" ht="15" customHeight="1">
      <c r="A636" s="121" t="str">
        <f t="shared" ca="1" si="1"/>
        <v/>
      </c>
      <c r="B636" t="str">
        <f t="shared" ca="1" si="2"/>
        <v/>
      </c>
      <c r="C636" s="206" t="str">
        <f ca="1">IFERROR(__xludf.DUMMYFUNCTION("""COMPUTED_VALUE"""),"AB001203")</f>
        <v>AB001203</v>
      </c>
      <c r="D636" t="str">
        <f ca="1">IFERROR(__xludf.DUMMYFUNCTION("""COMPUTED_VALUE"""),"")</f>
        <v/>
      </c>
      <c r="E636" t="str">
        <f ca="1">IFERROR(__xludf.DUMMYFUNCTION("""COMPUTED_VALUE"""),"胡穗薑")</f>
        <v>胡穗薑</v>
      </c>
    </row>
    <row r="637" spans="1:5" ht="15" customHeight="1">
      <c r="A637" s="121" t="str">
        <f t="shared" ca="1" si="1"/>
        <v/>
      </c>
      <c r="B637" t="str">
        <f t="shared" ca="1" si="2"/>
        <v/>
      </c>
      <c r="C637" s="206" t="str">
        <f ca="1">IFERROR(__xludf.DUMMYFUNCTION("""COMPUTED_VALUE"""),"AB001073")</f>
        <v>AB001073</v>
      </c>
      <c r="D637" t="str">
        <f ca="1">IFERROR(__xludf.DUMMYFUNCTION("""COMPUTED_VALUE"""),"")</f>
        <v/>
      </c>
      <c r="E637" t="str">
        <f ca="1">IFERROR(__xludf.DUMMYFUNCTION("""COMPUTED_VALUE"""),"梁淑卿")</f>
        <v>梁淑卿</v>
      </c>
    </row>
    <row r="638" spans="1:5" ht="15" customHeight="1">
      <c r="A638" s="121" t="str">
        <f t="shared" ca="1" si="1"/>
        <v/>
      </c>
      <c r="B638" t="str">
        <f t="shared" ca="1" si="2"/>
        <v/>
      </c>
      <c r="C638" s="207" t="str">
        <f ca="1">IFERROR(__xludf.DUMMYFUNCTION("""COMPUTED_VALUE"""),"AB001074")</f>
        <v>AB001074</v>
      </c>
      <c r="D638" t="str">
        <f ca="1">IFERROR(__xludf.DUMMYFUNCTION("""COMPUTED_VALUE"""),"")</f>
        <v/>
      </c>
      <c r="E638" t="str">
        <f ca="1">IFERROR(__xludf.DUMMYFUNCTION("""COMPUTED_VALUE"""),"章智傑")</f>
        <v>章智傑</v>
      </c>
    </row>
    <row r="639" spans="1:5" ht="15" customHeight="1">
      <c r="A639" s="121" t="str">
        <f t="shared" ca="1" si="1"/>
        <v/>
      </c>
      <c r="B639" t="str">
        <f t="shared" ca="1" si="2"/>
        <v/>
      </c>
      <c r="C639" s="207" t="str">
        <f ca="1">IFERROR(__xludf.DUMMYFUNCTION("""COMPUTED_VALUE"""),"AB001033")</f>
        <v>AB001033</v>
      </c>
      <c r="D639" t="str">
        <f ca="1">IFERROR(__xludf.DUMMYFUNCTION("""COMPUTED_VALUE"""),"")</f>
        <v/>
      </c>
      <c r="E639" t="str">
        <f ca="1">IFERROR(__xludf.DUMMYFUNCTION("""COMPUTED_VALUE"""),"楊芳萍")</f>
        <v>楊芳萍</v>
      </c>
    </row>
    <row r="640" spans="1:5" ht="15" customHeight="1">
      <c r="A640" s="121" t="str">
        <f t="shared" ca="1" si="1"/>
        <v/>
      </c>
      <c r="B640" t="str">
        <f t="shared" ca="1" si="2"/>
        <v/>
      </c>
      <c r="C640" s="207" t="str">
        <f ca="1">IFERROR(__xludf.DUMMYFUNCTION("""COMPUTED_VALUE"""),"AB001034")</f>
        <v>AB001034</v>
      </c>
      <c r="D640" t="str">
        <f ca="1">IFERROR(__xludf.DUMMYFUNCTION("""COMPUTED_VALUE"""),"")</f>
        <v/>
      </c>
      <c r="E640" t="str">
        <f ca="1">IFERROR(__xludf.DUMMYFUNCTION("""COMPUTED_VALUE"""),"徐航健")</f>
        <v>徐航健</v>
      </c>
    </row>
    <row r="641" spans="1:5" ht="15" customHeight="1">
      <c r="A641" s="121" t="str">
        <f t="shared" ca="1" si="1"/>
        <v/>
      </c>
      <c r="B641" t="str">
        <f t="shared" ca="1" si="2"/>
        <v/>
      </c>
      <c r="C641" s="206" t="str">
        <f ca="1">IFERROR(__xludf.DUMMYFUNCTION("""COMPUTED_VALUE"""),"AB001035")</f>
        <v>AB001035</v>
      </c>
      <c r="D641" t="str">
        <f ca="1">IFERROR(__xludf.DUMMYFUNCTION("""COMPUTED_VALUE"""),"")</f>
        <v/>
      </c>
      <c r="E641" t="str">
        <f ca="1">IFERROR(__xludf.DUMMYFUNCTION("""COMPUTED_VALUE"""),"楊雯")</f>
        <v>楊雯</v>
      </c>
    </row>
    <row r="642" spans="1:5" ht="15" customHeight="1">
      <c r="A642" s="121" t="str">
        <f t="shared" ca="1" si="1"/>
        <v/>
      </c>
      <c r="B642" t="str">
        <f t="shared" ca="1" si="2"/>
        <v/>
      </c>
      <c r="C642" s="206" t="str">
        <f ca="1">IFERROR(__xludf.DUMMYFUNCTION("""COMPUTED_VALUE"""),"AB001076-1")</f>
        <v>AB001076-1</v>
      </c>
      <c r="D642" t="str">
        <f ca="1">IFERROR(__xludf.DUMMYFUNCTION("""COMPUTED_VALUE"""),"")</f>
        <v/>
      </c>
      <c r="E642" t="str">
        <f ca="1">IFERROR(__xludf.DUMMYFUNCTION("""COMPUTED_VALUE"""),"呂欣湉")</f>
        <v>呂欣湉</v>
      </c>
    </row>
    <row r="643" spans="1:5" ht="15" customHeight="1">
      <c r="A643" s="121" t="str">
        <f t="shared" ca="1" si="1"/>
        <v/>
      </c>
      <c r="B643" t="str">
        <f t="shared" ca="1" si="2"/>
        <v/>
      </c>
      <c r="C643" s="206" t="str">
        <f ca="1">IFERROR(__xludf.DUMMYFUNCTION("""COMPUTED_VALUE"""),"AB001206")</f>
        <v>AB001206</v>
      </c>
      <c r="D643" t="str">
        <f ca="1">IFERROR(__xludf.DUMMYFUNCTION("""COMPUTED_VALUE"""),"")</f>
        <v/>
      </c>
      <c r="E643" t="str">
        <f ca="1">IFERROR(__xludf.DUMMYFUNCTION("""COMPUTED_VALUE"""),"吳尉慈")</f>
        <v>吳尉慈</v>
      </c>
    </row>
    <row r="644" spans="1:5" ht="15" customHeight="1">
      <c r="A644" s="121" t="str">
        <f t="shared" ca="1" si="1"/>
        <v/>
      </c>
      <c r="B644" t="str">
        <f t="shared" ca="1" si="2"/>
        <v/>
      </c>
      <c r="C644" s="206" t="str">
        <f ca="1">IFERROR(__xludf.DUMMYFUNCTION("""COMPUTED_VALUE"""),"AB001206")</f>
        <v>AB001206</v>
      </c>
      <c r="D644" t="str">
        <f ca="1">IFERROR(__xludf.DUMMYFUNCTION("""COMPUTED_VALUE"""),"")</f>
        <v/>
      </c>
      <c r="E644" t="str">
        <f ca="1">IFERROR(__xludf.DUMMYFUNCTION("""COMPUTED_VALUE"""),"吳尉慈")</f>
        <v>吳尉慈</v>
      </c>
    </row>
    <row r="645" spans="1:5" ht="15" customHeight="1">
      <c r="A645" s="121" t="str">
        <f t="shared" ca="1" si="1"/>
        <v/>
      </c>
      <c r="B645" t="str">
        <f t="shared" ca="1" si="2"/>
        <v/>
      </c>
      <c r="C645" s="206" t="str">
        <f ca="1">IFERROR(__xludf.DUMMYFUNCTION("""COMPUTED_VALUE"""),"AB001036")</f>
        <v>AB001036</v>
      </c>
      <c r="D645" t="str">
        <f ca="1">IFERROR(__xludf.DUMMYFUNCTION("""COMPUTED_VALUE"""),"")</f>
        <v/>
      </c>
      <c r="E645" t="str">
        <f ca="1">IFERROR(__xludf.DUMMYFUNCTION("""COMPUTED_VALUE"""),"張云瑄")</f>
        <v>張云瑄</v>
      </c>
    </row>
    <row r="646" spans="1:5" ht="15" customHeight="1">
      <c r="A646" s="121" t="str">
        <f t="shared" ca="1" si="1"/>
        <v/>
      </c>
      <c r="B646" t="str">
        <f t="shared" ca="1" si="2"/>
        <v/>
      </c>
      <c r="C646" s="206" t="str">
        <f ca="1">IFERROR(__xludf.DUMMYFUNCTION("""COMPUTED_VALUE"""),"AB000155")</f>
        <v>AB000155</v>
      </c>
      <c r="D646" t="str">
        <f ca="1">IFERROR(__xludf.DUMMYFUNCTION("""COMPUTED_VALUE"""),"")</f>
        <v/>
      </c>
      <c r="E646" s="205" t="str">
        <f ca="1">IFERROR(__xludf.DUMMYFUNCTION("""COMPUTED_VALUE"""),"榮峻緯")</f>
        <v>榮峻緯</v>
      </c>
    </row>
    <row r="647" spans="1:5" ht="15" customHeight="1">
      <c r="A647" s="121" t="str">
        <f t="shared" ca="1" si="1"/>
        <v/>
      </c>
      <c r="B647" t="str">
        <f t="shared" ca="1" si="2"/>
        <v/>
      </c>
      <c r="C647" s="206" t="str">
        <f ca="1">IFERROR(__xludf.DUMMYFUNCTION("""COMPUTED_VALUE"""),"AB000155")</f>
        <v>AB000155</v>
      </c>
      <c r="D647" t="str">
        <f ca="1">IFERROR(__xludf.DUMMYFUNCTION("""COMPUTED_VALUE"""),"")</f>
        <v/>
      </c>
      <c r="E647" s="205" t="str">
        <f ca="1">IFERROR(__xludf.DUMMYFUNCTION("""COMPUTED_VALUE"""),"榮峻緯")</f>
        <v>榮峻緯</v>
      </c>
    </row>
    <row r="648" spans="1:5" ht="15" customHeight="1">
      <c r="A648" s="121" t="str">
        <f t="shared" ca="1" si="1"/>
        <v/>
      </c>
      <c r="B648" t="str">
        <f t="shared" ca="1" si="2"/>
        <v/>
      </c>
      <c r="C648" s="206" t="str">
        <f ca="1">IFERROR(__xludf.DUMMYFUNCTION("""COMPUTED_VALUE"""),"AB001058")</f>
        <v>AB001058</v>
      </c>
      <c r="D648" t="str">
        <f ca="1">IFERROR(__xludf.DUMMYFUNCTION("""COMPUTED_VALUE"""),"")</f>
        <v/>
      </c>
      <c r="E648" t="str">
        <f ca="1">IFERROR(__xludf.DUMMYFUNCTION("""COMPUTED_VALUE"""),"蕭雅月")</f>
        <v>蕭雅月</v>
      </c>
    </row>
    <row r="649" spans="1:5" ht="15" customHeight="1">
      <c r="A649" s="121" t="str">
        <f t="shared" ca="1" si="1"/>
        <v/>
      </c>
      <c r="B649" t="str">
        <f t="shared" ca="1" si="2"/>
        <v/>
      </c>
      <c r="C649" s="206" t="str">
        <f ca="1">IFERROR(__xludf.DUMMYFUNCTION("""COMPUTED_VALUE"""),"AB001059")</f>
        <v>AB001059</v>
      </c>
      <c r="D649" t="str">
        <f ca="1">IFERROR(__xludf.DUMMYFUNCTION("""COMPUTED_VALUE"""),"")</f>
        <v/>
      </c>
      <c r="E649" t="str">
        <f ca="1">IFERROR(__xludf.DUMMYFUNCTION("""COMPUTED_VALUE"""),"洪淑昇")</f>
        <v>洪淑昇</v>
      </c>
    </row>
    <row r="650" spans="1:5" ht="15" customHeight="1">
      <c r="A650" s="121" t="str">
        <f t="shared" ca="1" si="1"/>
        <v/>
      </c>
      <c r="B650" t="str">
        <f t="shared" ca="1" si="2"/>
        <v/>
      </c>
      <c r="C650" s="206" t="str">
        <f ca="1">IFERROR(__xludf.DUMMYFUNCTION("""COMPUTED_VALUE"""),"AB001133")</f>
        <v>AB001133</v>
      </c>
      <c r="D650" t="str">
        <f ca="1">IFERROR(__xludf.DUMMYFUNCTION("""COMPUTED_VALUE"""),"")</f>
        <v/>
      </c>
      <c r="E650" t="str">
        <f ca="1">IFERROR(__xludf.DUMMYFUNCTION("""COMPUTED_VALUE"""),"林顯書")</f>
        <v>林顯書</v>
      </c>
    </row>
    <row r="651" spans="1:5" ht="15" customHeight="1">
      <c r="A651" s="121" t="str">
        <f t="shared" ca="1" si="1"/>
        <v/>
      </c>
      <c r="B651" t="str">
        <f t="shared" ca="1" si="2"/>
        <v/>
      </c>
      <c r="C651" s="206" t="str">
        <f ca="1">IFERROR(__xludf.DUMMYFUNCTION("""COMPUTED_VALUE"""),"AB001037")</f>
        <v>AB001037</v>
      </c>
      <c r="D651" t="str">
        <f ca="1">IFERROR(__xludf.DUMMYFUNCTION("""COMPUTED_VALUE"""),"")</f>
        <v/>
      </c>
      <c r="E651" t="str">
        <f ca="1">IFERROR(__xludf.DUMMYFUNCTION("""COMPUTED_VALUE"""),"林淑萍")</f>
        <v>林淑萍</v>
      </c>
    </row>
    <row r="652" spans="1:5" ht="15" customHeight="1">
      <c r="A652" s="121" t="str">
        <f t="shared" ca="1" si="1"/>
        <v/>
      </c>
      <c r="B652" t="str">
        <f t="shared" ca="1" si="2"/>
        <v/>
      </c>
      <c r="C652" s="206" t="str">
        <f ca="1">IFERROR(__xludf.DUMMYFUNCTION("""COMPUTED_VALUE"""),"AB001077-1")</f>
        <v>AB001077-1</v>
      </c>
      <c r="D652" t="str">
        <f ca="1">IFERROR(__xludf.DUMMYFUNCTION("""COMPUTED_VALUE"""),"")</f>
        <v/>
      </c>
      <c r="E652" t="str">
        <f ca="1">IFERROR(__xludf.DUMMYFUNCTION("""COMPUTED_VALUE"""),"蔡旺錫")</f>
        <v>蔡旺錫</v>
      </c>
    </row>
    <row r="653" spans="1:5" ht="15" customHeight="1">
      <c r="A653" s="121" t="str">
        <f t="shared" ca="1" si="1"/>
        <v/>
      </c>
      <c r="B653" t="str">
        <f t="shared" ca="1" si="2"/>
        <v/>
      </c>
      <c r="C653" s="206" t="str">
        <f ca="1">IFERROR(__xludf.DUMMYFUNCTION("""COMPUTED_VALUE"""),"AB001207")</f>
        <v>AB001207</v>
      </c>
      <c r="D653" t="str">
        <f ca="1">IFERROR(__xludf.DUMMYFUNCTION("""COMPUTED_VALUE"""),"")</f>
        <v/>
      </c>
      <c r="E653" t="str">
        <f ca="1">IFERROR(__xludf.DUMMYFUNCTION("""COMPUTED_VALUE"""),"陳森榮")</f>
        <v>陳森榮</v>
      </c>
    </row>
    <row r="654" spans="1:5" ht="15" customHeight="1">
      <c r="A654" s="121" t="str">
        <f t="shared" ca="1" si="1"/>
        <v/>
      </c>
      <c r="B654" t="str">
        <f t="shared" ca="1" si="2"/>
        <v/>
      </c>
      <c r="C654" s="206" t="str">
        <f ca="1">IFERROR(__xludf.DUMMYFUNCTION("""COMPUTED_VALUE"""),"AB001078")</f>
        <v>AB001078</v>
      </c>
      <c r="D654" t="str">
        <f ca="1">IFERROR(__xludf.DUMMYFUNCTION("""COMPUTED_VALUE"""),"")</f>
        <v/>
      </c>
      <c r="E654" t="str">
        <f ca="1">IFERROR(__xludf.DUMMYFUNCTION("""COMPUTED_VALUE"""),"林日秋")</f>
        <v>林日秋</v>
      </c>
    </row>
    <row r="655" spans="1:5" ht="15" customHeight="1">
      <c r="A655" s="121" t="str">
        <f t="shared" ca="1" si="1"/>
        <v/>
      </c>
      <c r="B655" t="str">
        <f t="shared" ca="1" si="2"/>
        <v/>
      </c>
      <c r="C655" s="206" t="str">
        <f ca="1">IFERROR(__xludf.DUMMYFUNCTION("""COMPUTED_VALUE"""),"AB001039")</f>
        <v>AB001039</v>
      </c>
      <c r="D655" t="str">
        <f ca="1">IFERROR(__xludf.DUMMYFUNCTION("""COMPUTED_VALUE"""),"")</f>
        <v/>
      </c>
      <c r="E655" t="str">
        <f ca="1">IFERROR(__xludf.DUMMYFUNCTION("""COMPUTED_VALUE"""),"江賴麗美")</f>
        <v>江賴麗美</v>
      </c>
    </row>
    <row r="656" spans="1:5" ht="15" customHeight="1">
      <c r="A656" s="213" t="str">
        <f t="shared" ca="1" si="1"/>
        <v>AB001040</v>
      </c>
      <c r="B656" t="str">
        <f t="shared" ca="1" si="2"/>
        <v>天資基因</v>
      </c>
      <c r="C656" s="206" t="str">
        <f ca="1">IFERROR(__xludf.DUMMYFUNCTION("""COMPUTED_VALUE"""),"AB001040")</f>
        <v>AB001040</v>
      </c>
      <c r="D656" s="214" t="str">
        <f ca="1">IFERROR(__xludf.DUMMYFUNCTION("""COMPUTED_VALUE"""),"v")</f>
        <v>v</v>
      </c>
      <c r="E656" t="str">
        <f ca="1">IFERROR(__xludf.DUMMYFUNCTION("""COMPUTED_VALUE"""),"天資基因")</f>
        <v>天資基因</v>
      </c>
    </row>
    <row r="657" spans="1:5" ht="15" customHeight="1">
      <c r="A657" s="121" t="str">
        <f t="shared" ca="1" si="1"/>
        <v/>
      </c>
      <c r="B657" t="str">
        <f t="shared" ca="1" si="2"/>
        <v/>
      </c>
      <c r="C657" s="206" t="str">
        <f ca="1">IFERROR(__xludf.DUMMYFUNCTION("""COMPUTED_VALUE"""),"AB001040")</f>
        <v>AB001040</v>
      </c>
      <c r="D657" t="str">
        <f ca="1">IFERROR(__xludf.DUMMYFUNCTION("""COMPUTED_VALUE"""),"")</f>
        <v/>
      </c>
      <c r="E657" t="str">
        <f ca="1">IFERROR(__xludf.DUMMYFUNCTION("""COMPUTED_VALUE"""),"天資基因")</f>
        <v>天資基因</v>
      </c>
    </row>
    <row r="658" spans="1:5" ht="15" customHeight="1">
      <c r="A658" s="121" t="str">
        <f t="shared" ca="1" si="1"/>
        <v/>
      </c>
      <c r="B658" t="str">
        <f t="shared" ca="1" si="2"/>
        <v/>
      </c>
      <c r="C658" s="206" t="str">
        <f ca="1">IFERROR(__xludf.DUMMYFUNCTION("""COMPUTED_VALUE"""),"AB001040")</f>
        <v>AB001040</v>
      </c>
      <c r="D658" t="str">
        <f ca="1">IFERROR(__xludf.DUMMYFUNCTION("""COMPUTED_VALUE"""),"")</f>
        <v/>
      </c>
      <c r="E658" t="str">
        <f ca="1">IFERROR(__xludf.DUMMYFUNCTION("""COMPUTED_VALUE"""),"天資基因")</f>
        <v>天資基因</v>
      </c>
    </row>
    <row r="659" spans="1:5" ht="15" customHeight="1">
      <c r="A659" s="121" t="str">
        <f t="shared" ca="1" si="1"/>
        <v/>
      </c>
      <c r="B659" t="str">
        <f t="shared" ca="1" si="2"/>
        <v/>
      </c>
      <c r="C659" s="206" t="str">
        <f ca="1">IFERROR(__xludf.DUMMYFUNCTION("""COMPUTED_VALUE"""),"AB001040")</f>
        <v>AB001040</v>
      </c>
      <c r="D659" t="str">
        <f ca="1">IFERROR(__xludf.DUMMYFUNCTION("""COMPUTED_VALUE"""),"")</f>
        <v/>
      </c>
      <c r="E659" t="str">
        <f ca="1">IFERROR(__xludf.DUMMYFUNCTION("""COMPUTED_VALUE"""),"天資基因")</f>
        <v>天資基因</v>
      </c>
    </row>
    <row r="660" spans="1:5" ht="15" customHeight="1">
      <c r="A660" s="121" t="str">
        <f t="shared" ca="1" si="1"/>
        <v/>
      </c>
      <c r="B660" t="str">
        <f t="shared" ca="1" si="2"/>
        <v/>
      </c>
      <c r="C660" s="206" t="str">
        <f ca="1">IFERROR(__xludf.DUMMYFUNCTION("""COMPUTED_VALUE"""),"AB001040")</f>
        <v>AB001040</v>
      </c>
      <c r="D660" t="str">
        <f ca="1">IFERROR(__xludf.DUMMYFUNCTION("""COMPUTED_VALUE"""),"")</f>
        <v/>
      </c>
      <c r="E660" t="str">
        <f ca="1">IFERROR(__xludf.DUMMYFUNCTION("""COMPUTED_VALUE"""),"天資基因")</f>
        <v>天資基因</v>
      </c>
    </row>
    <row r="661" spans="1:5" ht="15" customHeight="1">
      <c r="A661" s="121" t="str">
        <f t="shared" ca="1" si="1"/>
        <v/>
      </c>
      <c r="B661" t="str">
        <f t="shared" ca="1" si="2"/>
        <v/>
      </c>
      <c r="C661" s="206" t="str">
        <f ca="1">IFERROR(__xludf.DUMMYFUNCTION("""COMPUTED_VALUE"""),"AB001040")</f>
        <v>AB001040</v>
      </c>
      <c r="D661" t="str">
        <f ca="1">IFERROR(__xludf.DUMMYFUNCTION("""COMPUTED_VALUE"""),"")</f>
        <v/>
      </c>
      <c r="E661" t="str">
        <f ca="1">IFERROR(__xludf.DUMMYFUNCTION("""COMPUTED_VALUE"""),"天資基因")</f>
        <v>天資基因</v>
      </c>
    </row>
    <row r="662" spans="1:5" ht="15" customHeight="1">
      <c r="A662" s="121" t="str">
        <f t="shared" ca="1" si="1"/>
        <v/>
      </c>
      <c r="B662" t="str">
        <f t="shared" ca="1" si="2"/>
        <v/>
      </c>
      <c r="C662" s="206" t="str">
        <f ca="1">IFERROR(__xludf.DUMMYFUNCTION("""COMPUTED_VALUE"""),"AB001040")</f>
        <v>AB001040</v>
      </c>
      <c r="D662" t="str">
        <f ca="1">IFERROR(__xludf.DUMMYFUNCTION("""COMPUTED_VALUE"""),"")</f>
        <v/>
      </c>
      <c r="E662" t="str">
        <f ca="1">IFERROR(__xludf.DUMMYFUNCTION("""COMPUTED_VALUE"""),"天資基因")</f>
        <v>天資基因</v>
      </c>
    </row>
    <row r="663" spans="1:5" ht="15" customHeight="1">
      <c r="A663" s="121" t="str">
        <f t="shared" ca="1" si="1"/>
        <v/>
      </c>
      <c r="B663" t="str">
        <f t="shared" ca="1" si="2"/>
        <v/>
      </c>
      <c r="C663" s="206" t="str">
        <f ca="1">IFERROR(__xludf.DUMMYFUNCTION("""COMPUTED_VALUE"""),"AB001040")</f>
        <v>AB001040</v>
      </c>
      <c r="D663" t="str">
        <f ca="1">IFERROR(__xludf.DUMMYFUNCTION("""COMPUTED_VALUE"""),"")</f>
        <v/>
      </c>
      <c r="E663" t="str">
        <f ca="1">IFERROR(__xludf.DUMMYFUNCTION("""COMPUTED_VALUE"""),"天資基因")</f>
        <v>天資基因</v>
      </c>
    </row>
    <row r="664" spans="1:5" ht="15" customHeight="1">
      <c r="A664" s="121" t="str">
        <f t="shared" ca="1" si="1"/>
        <v/>
      </c>
      <c r="B664" t="str">
        <f t="shared" ca="1" si="2"/>
        <v/>
      </c>
      <c r="C664" s="206" t="str">
        <f ca="1">IFERROR(__xludf.DUMMYFUNCTION("""COMPUTED_VALUE"""),"AB001040")</f>
        <v>AB001040</v>
      </c>
      <c r="D664" t="str">
        <f ca="1">IFERROR(__xludf.DUMMYFUNCTION("""COMPUTED_VALUE"""),"")</f>
        <v/>
      </c>
      <c r="E664" t="str">
        <f ca="1">IFERROR(__xludf.DUMMYFUNCTION("""COMPUTED_VALUE"""),"天資基因")</f>
        <v>天資基因</v>
      </c>
    </row>
    <row r="665" spans="1:5" ht="15" customHeight="1">
      <c r="A665" s="121" t="str">
        <f t="shared" ca="1" si="1"/>
        <v/>
      </c>
      <c r="B665" t="str">
        <f t="shared" ca="1" si="2"/>
        <v/>
      </c>
      <c r="C665" s="206" t="str">
        <f ca="1">IFERROR(__xludf.DUMMYFUNCTION("""COMPUTED_VALUE"""),"AB001040")</f>
        <v>AB001040</v>
      </c>
      <c r="D665" t="str">
        <f ca="1">IFERROR(__xludf.DUMMYFUNCTION("""COMPUTED_VALUE"""),"")</f>
        <v/>
      </c>
      <c r="E665" t="str">
        <f ca="1">IFERROR(__xludf.DUMMYFUNCTION("""COMPUTED_VALUE"""),"天資基因")</f>
        <v>天資基因</v>
      </c>
    </row>
    <row r="666" spans="1:5" ht="15" customHeight="1">
      <c r="A666" s="121" t="str">
        <f t="shared" ca="1" si="1"/>
        <v/>
      </c>
      <c r="B666" t="str">
        <f t="shared" ca="1" si="2"/>
        <v/>
      </c>
      <c r="C666" s="206" t="str">
        <f ca="1">IFERROR(__xludf.DUMMYFUNCTION("""COMPUTED_VALUE"""),"AB001040")</f>
        <v>AB001040</v>
      </c>
      <c r="D666" t="str">
        <f ca="1">IFERROR(__xludf.DUMMYFUNCTION("""COMPUTED_VALUE"""),"")</f>
        <v/>
      </c>
      <c r="E666" t="str">
        <f ca="1">IFERROR(__xludf.DUMMYFUNCTION("""COMPUTED_VALUE"""),"天資基因")</f>
        <v>天資基因</v>
      </c>
    </row>
    <row r="667" spans="1:5" ht="15" customHeight="1">
      <c r="A667" s="121" t="str">
        <f t="shared" ca="1" si="1"/>
        <v/>
      </c>
      <c r="B667" t="str">
        <f t="shared" ca="1" si="2"/>
        <v/>
      </c>
      <c r="C667" s="206" t="str">
        <f ca="1">IFERROR(__xludf.DUMMYFUNCTION("""COMPUTED_VALUE"""),"AB001040")</f>
        <v>AB001040</v>
      </c>
      <c r="D667" t="str">
        <f ca="1">IFERROR(__xludf.DUMMYFUNCTION("""COMPUTED_VALUE"""),"")</f>
        <v/>
      </c>
      <c r="E667" t="str">
        <f ca="1">IFERROR(__xludf.DUMMYFUNCTION("""COMPUTED_VALUE"""),"天資基因")</f>
        <v>天資基因</v>
      </c>
    </row>
    <row r="668" spans="1:5" ht="15" customHeight="1">
      <c r="A668" s="121" t="str">
        <f t="shared" ca="1" si="1"/>
        <v/>
      </c>
      <c r="B668" t="str">
        <f t="shared" ca="1" si="2"/>
        <v/>
      </c>
      <c r="C668" s="206" t="str">
        <f ca="1">IFERROR(__xludf.DUMMYFUNCTION("""COMPUTED_VALUE"""),"AB001040")</f>
        <v>AB001040</v>
      </c>
      <c r="D668" t="str">
        <f ca="1">IFERROR(__xludf.DUMMYFUNCTION("""COMPUTED_VALUE"""),"")</f>
        <v/>
      </c>
      <c r="E668" t="str">
        <f ca="1">IFERROR(__xludf.DUMMYFUNCTION("""COMPUTED_VALUE"""),"天資基因")</f>
        <v>天資基因</v>
      </c>
    </row>
    <row r="669" spans="1:5" ht="15" customHeight="1">
      <c r="A669" s="121" t="str">
        <f t="shared" ca="1" si="1"/>
        <v/>
      </c>
      <c r="B669" t="str">
        <f t="shared" ca="1" si="2"/>
        <v/>
      </c>
      <c r="C669" s="206" t="str">
        <f ca="1">IFERROR(__xludf.DUMMYFUNCTION("""COMPUTED_VALUE"""),"AB001040")</f>
        <v>AB001040</v>
      </c>
      <c r="D669" t="str">
        <f ca="1">IFERROR(__xludf.DUMMYFUNCTION("""COMPUTED_VALUE"""),"")</f>
        <v/>
      </c>
      <c r="E669" t="str">
        <f ca="1">IFERROR(__xludf.DUMMYFUNCTION("""COMPUTED_VALUE"""),"天資基因")</f>
        <v>天資基因</v>
      </c>
    </row>
    <row r="670" spans="1:5" ht="15" customHeight="1">
      <c r="A670" s="121" t="str">
        <f t="shared" ca="1" si="1"/>
        <v/>
      </c>
      <c r="B670" t="str">
        <f t="shared" ca="1" si="2"/>
        <v/>
      </c>
      <c r="C670" s="206" t="str">
        <f ca="1">IFERROR(__xludf.DUMMYFUNCTION("""COMPUTED_VALUE"""),"AB001040")</f>
        <v>AB001040</v>
      </c>
      <c r="D670" t="str">
        <f ca="1">IFERROR(__xludf.DUMMYFUNCTION("""COMPUTED_VALUE"""),"")</f>
        <v/>
      </c>
      <c r="E670" t="str">
        <f ca="1">IFERROR(__xludf.DUMMYFUNCTION("""COMPUTED_VALUE"""),"天資基因")</f>
        <v>天資基因</v>
      </c>
    </row>
    <row r="671" spans="1:5" ht="15" customHeight="1">
      <c r="A671" s="121" t="str">
        <f t="shared" ca="1" si="1"/>
        <v/>
      </c>
      <c r="B671" t="str">
        <f t="shared" ca="1" si="2"/>
        <v/>
      </c>
      <c r="C671" s="206" t="str">
        <f ca="1">IFERROR(__xludf.DUMMYFUNCTION("""COMPUTED_VALUE"""),"AB001040")</f>
        <v>AB001040</v>
      </c>
      <c r="D671" t="str">
        <f ca="1">IFERROR(__xludf.DUMMYFUNCTION("""COMPUTED_VALUE"""),"")</f>
        <v/>
      </c>
      <c r="E671" t="str">
        <f ca="1">IFERROR(__xludf.DUMMYFUNCTION("""COMPUTED_VALUE"""),"天資基因")</f>
        <v>天資基因</v>
      </c>
    </row>
    <row r="672" spans="1:5" ht="15" customHeight="1">
      <c r="A672" s="121" t="str">
        <f t="shared" ca="1" si="1"/>
        <v/>
      </c>
      <c r="B672" t="str">
        <f t="shared" ca="1" si="2"/>
        <v/>
      </c>
      <c r="C672" s="206" t="str">
        <f ca="1">IFERROR(__xludf.DUMMYFUNCTION("""COMPUTED_VALUE"""),"AB001040")</f>
        <v>AB001040</v>
      </c>
      <c r="D672" t="str">
        <f ca="1">IFERROR(__xludf.DUMMYFUNCTION("""COMPUTED_VALUE"""),"")</f>
        <v/>
      </c>
      <c r="E672" t="str">
        <f ca="1">IFERROR(__xludf.DUMMYFUNCTION("""COMPUTED_VALUE"""),"天資基因")</f>
        <v>天資基因</v>
      </c>
    </row>
    <row r="673" spans="1:5" ht="15" customHeight="1">
      <c r="A673" s="121" t="str">
        <f t="shared" ca="1" si="1"/>
        <v/>
      </c>
      <c r="B673" t="str">
        <f t="shared" ca="1" si="2"/>
        <v/>
      </c>
      <c r="C673" s="206" t="str">
        <f ca="1">IFERROR(__xludf.DUMMYFUNCTION("""COMPUTED_VALUE"""),"AB001040")</f>
        <v>AB001040</v>
      </c>
      <c r="D673" t="str">
        <f ca="1">IFERROR(__xludf.DUMMYFUNCTION("""COMPUTED_VALUE"""),"")</f>
        <v/>
      </c>
      <c r="E673" t="str">
        <f ca="1">IFERROR(__xludf.DUMMYFUNCTION("""COMPUTED_VALUE"""),"天資基因")</f>
        <v>天資基因</v>
      </c>
    </row>
    <row r="674" spans="1:5" ht="15" customHeight="1">
      <c r="A674" s="121" t="str">
        <f t="shared" ca="1" si="1"/>
        <v/>
      </c>
      <c r="B674" t="str">
        <f t="shared" ca="1" si="2"/>
        <v/>
      </c>
      <c r="C674" s="206" t="str">
        <f ca="1">IFERROR(__xludf.DUMMYFUNCTION("""COMPUTED_VALUE"""),"AB001040")</f>
        <v>AB001040</v>
      </c>
      <c r="D674" t="str">
        <f ca="1">IFERROR(__xludf.DUMMYFUNCTION("""COMPUTED_VALUE"""),"")</f>
        <v/>
      </c>
      <c r="E674" t="str">
        <f ca="1">IFERROR(__xludf.DUMMYFUNCTION("""COMPUTED_VALUE"""),"天資基因")</f>
        <v>天資基因</v>
      </c>
    </row>
    <row r="675" spans="1:5" ht="15" customHeight="1">
      <c r="A675" s="121" t="str">
        <f t="shared" ca="1" si="1"/>
        <v/>
      </c>
      <c r="B675" t="str">
        <f t="shared" ca="1" si="2"/>
        <v/>
      </c>
      <c r="C675" s="206" t="str">
        <f ca="1">IFERROR(__xludf.DUMMYFUNCTION("""COMPUTED_VALUE"""),"AB001040")</f>
        <v>AB001040</v>
      </c>
      <c r="D675" t="str">
        <f ca="1">IFERROR(__xludf.DUMMYFUNCTION("""COMPUTED_VALUE"""),"")</f>
        <v/>
      </c>
      <c r="E675" t="str">
        <f ca="1">IFERROR(__xludf.DUMMYFUNCTION("""COMPUTED_VALUE"""),"天資基因")</f>
        <v>天資基因</v>
      </c>
    </row>
    <row r="676" spans="1:5" ht="15" customHeight="1">
      <c r="A676" s="121" t="str">
        <f t="shared" ca="1" si="1"/>
        <v/>
      </c>
      <c r="B676" t="str">
        <f t="shared" ca="1" si="2"/>
        <v/>
      </c>
      <c r="C676" s="206" t="str">
        <f ca="1">IFERROR(__xludf.DUMMYFUNCTION("""COMPUTED_VALUE"""),"AB001040")</f>
        <v>AB001040</v>
      </c>
      <c r="D676" t="str">
        <f ca="1">IFERROR(__xludf.DUMMYFUNCTION("""COMPUTED_VALUE"""),"")</f>
        <v/>
      </c>
      <c r="E676" t="str">
        <f ca="1">IFERROR(__xludf.DUMMYFUNCTION("""COMPUTED_VALUE"""),"天資基因")</f>
        <v>天資基因</v>
      </c>
    </row>
    <row r="677" spans="1:5" ht="15" customHeight="1">
      <c r="A677" s="121" t="str">
        <f t="shared" ca="1" si="1"/>
        <v/>
      </c>
      <c r="B677" t="str">
        <f t="shared" ca="1" si="2"/>
        <v/>
      </c>
      <c r="C677" s="206" t="str">
        <f ca="1">IFERROR(__xludf.DUMMYFUNCTION("""COMPUTED_VALUE"""),"AB001040")</f>
        <v>AB001040</v>
      </c>
      <c r="D677" t="str">
        <f ca="1">IFERROR(__xludf.DUMMYFUNCTION("""COMPUTED_VALUE"""),"")</f>
        <v/>
      </c>
      <c r="E677" t="str">
        <f ca="1">IFERROR(__xludf.DUMMYFUNCTION("""COMPUTED_VALUE"""),"天資基因")</f>
        <v>天資基因</v>
      </c>
    </row>
    <row r="678" spans="1:5" ht="15" customHeight="1">
      <c r="A678" s="121" t="str">
        <f t="shared" ca="1" si="1"/>
        <v/>
      </c>
      <c r="B678" t="str">
        <f t="shared" ca="1" si="2"/>
        <v/>
      </c>
      <c r="C678" s="206" t="str">
        <f ca="1">IFERROR(__xludf.DUMMYFUNCTION("""COMPUTED_VALUE"""),"AB001040")</f>
        <v>AB001040</v>
      </c>
      <c r="D678" t="str">
        <f ca="1">IFERROR(__xludf.DUMMYFUNCTION("""COMPUTED_VALUE"""),"")</f>
        <v/>
      </c>
      <c r="E678" t="str">
        <f ca="1">IFERROR(__xludf.DUMMYFUNCTION("""COMPUTED_VALUE"""),"天資基因")</f>
        <v>天資基因</v>
      </c>
    </row>
    <row r="679" spans="1:5" ht="15" customHeight="1">
      <c r="A679" s="121" t="str">
        <f t="shared" ca="1" si="1"/>
        <v/>
      </c>
      <c r="B679" t="str">
        <f t="shared" ca="1" si="2"/>
        <v/>
      </c>
      <c r="C679" s="206" t="str">
        <f ca="1">IFERROR(__xludf.DUMMYFUNCTION("""COMPUTED_VALUE"""),"AB001040")</f>
        <v>AB001040</v>
      </c>
      <c r="D679" t="str">
        <f ca="1">IFERROR(__xludf.DUMMYFUNCTION("""COMPUTED_VALUE"""),"")</f>
        <v/>
      </c>
      <c r="E679" t="str">
        <f ca="1">IFERROR(__xludf.DUMMYFUNCTION("""COMPUTED_VALUE"""),"天資基因")</f>
        <v>天資基因</v>
      </c>
    </row>
    <row r="680" spans="1:5" ht="15" customHeight="1">
      <c r="A680" s="121" t="str">
        <f t="shared" ca="1" si="1"/>
        <v/>
      </c>
      <c r="B680" t="str">
        <f t="shared" ca="1" si="2"/>
        <v/>
      </c>
      <c r="C680" s="206" t="str">
        <f ca="1">IFERROR(__xludf.DUMMYFUNCTION("""COMPUTED_VALUE"""),"AB001040")</f>
        <v>AB001040</v>
      </c>
      <c r="D680" t="str">
        <f ca="1">IFERROR(__xludf.DUMMYFUNCTION("""COMPUTED_VALUE"""),"")</f>
        <v/>
      </c>
      <c r="E680" t="str">
        <f ca="1">IFERROR(__xludf.DUMMYFUNCTION("""COMPUTED_VALUE"""),"天資基因")</f>
        <v>天資基因</v>
      </c>
    </row>
    <row r="681" spans="1:5" ht="15" customHeight="1">
      <c r="A681" s="121" t="str">
        <f t="shared" ca="1" si="1"/>
        <v/>
      </c>
      <c r="B681" t="str">
        <f t="shared" ca="1" si="2"/>
        <v/>
      </c>
      <c r="C681" s="206" t="str">
        <f ca="1">IFERROR(__xludf.DUMMYFUNCTION("""COMPUTED_VALUE"""),"AB001040")</f>
        <v>AB001040</v>
      </c>
      <c r="D681" t="str">
        <f ca="1">IFERROR(__xludf.DUMMYFUNCTION("""COMPUTED_VALUE"""),"")</f>
        <v/>
      </c>
      <c r="E681" t="str">
        <f ca="1">IFERROR(__xludf.DUMMYFUNCTION("""COMPUTED_VALUE"""),"天資基因")</f>
        <v>天資基因</v>
      </c>
    </row>
    <row r="682" spans="1:5" ht="15" customHeight="1">
      <c r="A682" s="121" t="str">
        <f t="shared" ca="1" si="1"/>
        <v/>
      </c>
      <c r="B682" t="str">
        <f t="shared" ca="1" si="2"/>
        <v/>
      </c>
      <c r="C682" s="206" t="str">
        <f ca="1">IFERROR(__xludf.DUMMYFUNCTION("""COMPUTED_VALUE"""),"AB001040")</f>
        <v>AB001040</v>
      </c>
      <c r="D682" t="str">
        <f ca="1">IFERROR(__xludf.DUMMYFUNCTION("""COMPUTED_VALUE"""),"")</f>
        <v/>
      </c>
      <c r="E682" t="str">
        <f ca="1">IFERROR(__xludf.DUMMYFUNCTION("""COMPUTED_VALUE"""),"天資基因")</f>
        <v>天資基因</v>
      </c>
    </row>
    <row r="683" spans="1:5" ht="15" customHeight="1">
      <c r="A683" s="121" t="str">
        <f t="shared" ca="1" si="1"/>
        <v/>
      </c>
      <c r="B683" t="str">
        <f t="shared" ca="1" si="2"/>
        <v/>
      </c>
      <c r="C683" s="206" t="str">
        <f ca="1">IFERROR(__xludf.DUMMYFUNCTION("""COMPUTED_VALUE"""),"AB001040")</f>
        <v>AB001040</v>
      </c>
      <c r="D683" t="str">
        <f ca="1">IFERROR(__xludf.DUMMYFUNCTION("""COMPUTED_VALUE"""),"")</f>
        <v/>
      </c>
      <c r="E683" t="str">
        <f ca="1">IFERROR(__xludf.DUMMYFUNCTION("""COMPUTED_VALUE"""),"天資基因")</f>
        <v>天資基因</v>
      </c>
    </row>
    <row r="684" spans="1:5" ht="15" customHeight="1">
      <c r="A684" s="121" t="str">
        <f t="shared" ca="1" si="1"/>
        <v/>
      </c>
      <c r="B684" t="str">
        <f t="shared" ca="1" si="2"/>
        <v/>
      </c>
      <c r="C684" s="206" t="str">
        <f ca="1">IFERROR(__xludf.DUMMYFUNCTION("""COMPUTED_VALUE"""),"AB001040")</f>
        <v>AB001040</v>
      </c>
      <c r="D684" t="str">
        <f ca="1">IFERROR(__xludf.DUMMYFUNCTION("""COMPUTED_VALUE"""),"")</f>
        <v/>
      </c>
      <c r="E684" t="str">
        <f ca="1">IFERROR(__xludf.DUMMYFUNCTION("""COMPUTED_VALUE"""),"天資基因")</f>
        <v>天資基因</v>
      </c>
    </row>
    <row r="685" spans="1:5" ht="15" customHeight="1">
      <c r="A685" s="121" t="str">
        <f t="shared" ca="1" si="1"/>
        <v/>
      </c>
      <c r="B685" t="str">
        <f t="shared" ca="1" si="2"/>
        <v/>
      </c>
      <c r="C685" s="206" t="str">
        <f ca="1">IFERROR(__xludf.DUMMYFUNCTION("""COMPUTED_VALUE"""),"AB001040")</f>
        <v>AB001040</v>
      </c>
      <c r="D685" t="str">
        <f ca="1">IFERROR(__xludf.DUMMYFUNCTION("""COMPUTED_VALUE"""),"")</f>
        <v/>
      </c>
      <c r="E685" t="str">
        <f ca="1">IFERROR(__xludf.DUMMYFUNCTION("""COMPUTED_VALUE"""),"天資基因")</f>
        <v>天資基因</v>
      </c>
    </row>
    <row r="686" spans="1:5" ht="15" customHeight="1">
      <c r="A686" s="121" t="str">
        <f t="shared" ca="1" si="1"/>
        <v/>
      </c>
      <c r="B686" t="str">
        <f t="shared" ca="1" si="2"/>
        <v/>
      </c>
      <c r="C686" s="206" t="str">
        <f ca="1">IFERROR(__xludf.DUMMYFUNCTION("""COMPUTED_VALUE"""),"AB001040")</f>
        <v>AB001040</v>
      </c>
      <c r="D686" t="str">
        <f ca="1">IFERROR(__xludf.DUMMYFUNCTION("""COMPUTED_VALUE"""),"")</f>
        <v/>
      </c>
      <c r="E686" t="str">
        <f ca="1">IFERROR(__xludf.DUMMYFUNCTION("""COMPUTED_VALUE"""),"天資基因")</f>
        <v>天資基因</v>
      </c>
    </row>
    <row r="687" spans="1:5" ht="15" customHeight="1">
      <c r="A687" s="121" t="str">
        <f t="shared" ca="1" si="1"/>
        <v/>
      </c>
      <c r="B687" t="str">
        <f t="shared" ca="1" si="2"/>
        <v/>
      </c>
      <c r="C687" s="206" t="str">
        <f ca="1">IFERROR(__xludf.DUMMYFUNCTION("""COMPUTED_VALUE"""),"AB001040")</f>
        <v>AB001040</v>
      </c>
      <c r="D687" t="str">
        <f ca="1">IFERROR(__xludf.DUMMYFUNCTION("""COMPUTED_VALUE"""),"")</f>
        <v/>
      </c>
      <c r="E687" t="str">
        <f ca="1">IFERROR(__xludf.DUMMYFUNCTION("""COMPUTED_VALUE"""),"天資基因")</f>
        <v>天資基因</v>
      </c>
    </row>
    <row r="688" spans="1:5" ht="15" customHeight="1">
      <c r="A688" s="121" t="str">
        <f t="shared" ca="1" si="1"/>
        <v/>
      </c>
      <c r="B688" t="str">
        <f t="shared" ca="1" si="2"/>
        <v/>
      </c>
      <c r="C688" s="206" t="str">
        <f ca="1">IFERROR(__xludf.DUMMYFUNCTION("""COMPUTED_VALUE"""),"AB001040")</f>
        <v>AB001040</v>
      </c>
      <c r="D688" t="str">
        <f ca="1">IFERROR(__xludf.DUMMYFUNCTION("""COMPUTED_VALUE"""),"")</f>
        <v/>
      </c>
      <c r="E688" t="str">
        <f ca="1">IFERROR(__xludf.DUMMYFUNCTION("""COMPUTED_VALUE"""),"天資基因")</f>
        <v>天資基因</v>
      </c>
    </row>
    <row r="689" spans="1:5" ht="15" customHeight="1">
      <c r="A689" s="121" t="str">
        <f t="shared" ca="1" si="1"/>
        <v/>
      </c>
      <c r="B689" t="str">
        <f t="shared" ca="1" si="2"/>
        <v/>
      </c>
      <c r="C689" s="206" t="str">
        <f ca="1">IFERROR(__xludf.DUMMYFUNCTION("""COMPUTED_VALUE"""),"AB001040")</f>
        <v>AB001040</v>
      </c>
      <c r="D689" t="str">
        <f ca="1">IFERROR(__xludf.DUMMYFUNCTION("""COMPUTED_VALUE"""),"")</f>
        <v/>
      </c>
      <c r="E689" t="str">
        <f ca="1">IFERROR(__xludf.DUMMYFUNCTION("""COMPUTED_VALUE"""),"天資基因")</f>
        <v>天資基因</v>
      </c>
    </row>
    <row r="690" spans="1:5" ht="15" customHeight="1">
      <c r="A690" s="121" t="str">
        <f t="shared" ca="1" si="1"/>
        <v/>
      </c>
      <c r="B690" t="str">
        <f t="shared" ca="1" si="2"/>
        <v/>
      </c>
      <c r="C690" s="206" t="str">
        <f ca="1">IFERROR(__xludf.DUMMYFUNCTION("""COMPUTED_VALUE"""),"AB001040")</f>
        <v>AB001040</v>
      </c>
      <c r="D690" t="str">
        <f ca="1">IFERROR(__xludf.DUMMYFUNCTION("""COMPUTED_VALUE"""),"")</f>
        <v/>
      </c>
      <c r="E690" t="str">
        <f ca="1">IFERROR(__xludf.DUMMYFUNCTION("""COMPUTED_VALUE"""),"天資基因")</f>
        <v>天資基因</v>
      </c>
    </row>
    <row r="691" spans="1:5" ht="15" customHeight="1">
      <c r="A691" s="121" t="str">
        <f t="shared" ca="1" si="1"/>
        <v/>
      </c>
      <c r="B691" t="str">
        <f t="shared" ca="1" si="2"/>
        <v/>
      </c>
      <c r="C691" s="206" t="str">
        <f ca="1">IFERROR(__xludf.DUMMYFUNCTION("""COMPUTED_VALUE"""),"AB001040")</f>
        <v>AB001040</v>
      </c>
      <c r="D691" t="str">
        <f ca="1">IFERROR(__xludf.DUMMYFUNCTION("""COMPUTED_VALUE"""),"")</f>
        <v/>
      </c>
      <c r="E691" t="str">
        <f ca="1">IFERROR(__xludf.DUMMYFUNCTION("""COMPUTED_VALUE"""),"天資基因")</f>
        <v>天資基因</v>
      </c>
    </row>
    <row r="692" spans="1:5" ht="15" customHeight="1">
      <c r="A692" s="121" t="str">
        <f t="shared" ca="1" si="1"/>
        <v/>
      </c>
      <c r="B692" t="str">
        <f t="shared" ca="1" si="2"/>
        <v/>
      </c>
      <c r="C692" s="206" t="str">
        <f ca="1">IFERROR(__xludf.DUMMYFUNCTION("""COMPUTED_VALUE"""),"AB001040")</f>
        <v>AB001040</v>
      </c>
      <c r="D692" t="str">
        <f ca="1">IFERROR(__xludf.DUMMYFUNCTION("""COMPUTED_VALUE"""),"")</f>
        <v/>
      </c>
      <c r="E692" t="str">
        <f ca="1">IFERROR(__xludf.DUMMYFUNCTION("""COMPUTED_VALUE"""),"天資基因")</f>
        <v>天資基因</v>
      </c>
    </row>
    <row r="693" spans="1:5" ht="15" customHeight="1">
      <c r="A693" s="121" t="str">
        <f t="shared" ca="1" si="1"/>
        <v/>
      </c>
      <c r="B693" t="str">
        <f t="shared" ca="1" si="2"/>
        <v/>
      </c>
      <c r="C693" s="206" t="str">
        <f ca="1">IFERROR(__xludf.DUMMYFUNCTION("""COMPUTED_VALUE"""),"AB001040")</f>
        <v>AB001040</v>
      </c>
      <c r="D693" t="str">
        <f ca="1">IFERROR(__xludf.DUMMYFUNCTION("""COMPUTED_VALUE"""),"")</f>
        <v/>
      </c>
      <c r="E693" t="str">
        <f ca="1">IFERROR(__xludf.DUMMYFUNCTION("""COMPUTED_VALUE"""),"天資基因")</f>
        <v>天資基因</v>
      </c>
    </row>
    <row r="694" spans="1:5" ht="15" customHeight="1">
      <c r="A694" s="121" t="str">
        <f t="shared" ca="1" si="1"/>
        <v/>
      </c>
      <c r="B694" t="str">
        <f t="shared" ca="1" si="2"/>
        <v/>
      </c>
      <c r="C694" s="206" t="str">
        <f ca="1">IFERROR(__xludf.DUMMYFUNCTION("""COMPUTED_VALUE"""),"AB001040")</f>
        <v>AB001040</v>
      </c>
      <c r="D694" t="str">
        <f ca="1">IFERROR(__xludf.DUMMYFUNCTION("""COMPUTED_VALUE"""),"")</f>
        <v/>
      </c>
      <c r="E694" t="str">
        <f ca="1">IFERROR(__xludf.DUMMYFUNCTION("""COMPUTED_VALUE"""),"天資基因")</f>
        <v>天資基因</v>
      </c>
    </row>
    <row r="695" spans="1:5" ht="15" customHeight="1">
      <c r="A695" s="121" t="str">
        <f t="shared" ca="1" si="1"/>
        <v/>
      </c>
      <c r="B695" t="str">
        <f t="shared" ca="1" si="2"/>
        <v/>
      </c>
      <c r="C695" s="206" t="str">
        <f ca="1">IFERROR(__xludf.DUMMYFUNCTION("""COMPUTED_VALUE"""),"AB001040")</f>
        <v>AB001040</v>
      </c>
      <c r="D695" t="str">
        <f ca="1">IFERROR(__xludf.DUMMYFUNCTION("""COMPUTED_VALUE"""),"")</f>
        <v/>
      </c>
      <c r="E695" t="str">
        <f ca="1">IFERROR(__xludf.DUMMYFUNCTION("""COMPUTED_VALUE"""),"天資基因")</f>
        <v>天資基因</v>
      </c>
    </row>
    <row r="696" spans="1:5" ht="15" customHeight="1">
      <c r="A696" s="121" t="str">
        <f t="shared" ca="1" si="1"/>
        <v/>
      </c>
      <c r="B696" t="str">
        <f t="shared" ca="1" si="2"/>
        <v/>
      </c>
      <c r="C696" s="206" t="str">
        <f ca="1">IFERROR(__xludf.DUMMYFUNCTION("""COMPUTED_VALUE"""),"AB001040")</f>
        <v>AB001040</v>
      </c>
      <c r="D696" t="str">
        <f ca="1">IFERROR(__xludf.DUMMYFUNCTION("""COMPUTED_VALUE"""),"")</f>
        <v/>
      </c>
      <c r="E696" t="str">
        <f ca="1">IFERROR(__xludf.DUMMYFUNCTION("""COMPUTED_VALUE"""),"天資基因")</f>
        <v>天資基因</v>
      </c>
    </row>
    <row r="697" spans="1:5" ht="15" customHeight="1">
      <c r="A697" s="121" t="str">
        <f t="shared" ca="1" si="1"/>
        <v/>
      </c>
      <c r="B697" t="str">
        <f t="shared" ca="1" si="2"/>
        <v/>
      </c>
      <c r="C697" s="206" t="str">
        <f ca="1">IFERROR(__xludf.DUMMYFUNCTION("""COMPUTED_VALUE"""),"AB001040")</f>
        <v>AB001040</v>
      </c>
      <c r="D697" t="str">
        <f ca="1">IFERROR(__xludf.DUMMYFUNCTION("""COMPUTED_VALUE"""),"")</f>
        <v/>
      </c>
      <c r="E697" t="str">
        <f ca="1">IFERROR(__xludf.DUMMYFUNCTION("""COMPUTED_VALUE"""),"天資基因")</f>
        <v>天資基因</v>
      </c>
    </row>
    <row r="698" spans="1:5" ht="15" customHeight="1">
      <c r="A698" s="121" t="str">
        <f t="shared" ca="1" si="1"/>
        <v/>
      </c>
      <c r="B698" t="str">
        <f t="shared" ca="1" si="2"/>
        <v/>
      </c>
      <c r="C698" s="206" t="str">
        <f ca="1">IFERROR(__xludf.DUMMYFUNCTION("""COMPUTED_VALUE"""),"AB001040")</f>
        <v>AB001040</v>
      </c>
      <c r="D698" t="str">
        <f ca="1">IFERROR(__xludf.DUMMYFUNCTION("""COMPUTED_VALUE"""),"")</f>
        <v/>
      </c>
      <c r="E698" t="str">
        <f ca="1">IFERROR(__xludf.DUMMYFUNCTION("""COMPUTED_VALUE"""),"天資基因")</f>
        <v>天資基因</v>
      </c>
    </row>
    <row r="699" spans="1:5" ht="15" customHeight="1">
      <c r="A699" s="121" t="str">
        <f t="shared" ca="1" si="1"/>
        <v/>
      </c>
      <c r="B699" t="str">
        <f t="shared" ca="1" si="2"/>
        <v/>
      </c>
      <c r="C699" s="206" t="str">
        <f ca="1">IFERROR(__xludf.DUMMYFUNCTION("""COMPUTED_VALUE"""),"AB001040")</f>
        <v>AB001040</v>
      </c>
      <c r="D699" t="str">
        <f ca="1">IFERROR(__xludf.DUMMYFUNCTION("""COMPUTED_VALUE"""),"")</f>
        <v/>
      </c>
      <c r="E699" t="str">
        <f ca="1">IFERROR(__xludf.DUMMYFUNCTION("""COMPUTED_VALUE"""),"天資基因")</f>
        <v>天資基因</v>
      </c>
    </row>
    <row r="700" spans="1:5" ht="15" customHeight="1">
      <c r="A700" s="121" t="str">
        <f t="shared" ca="1" si="1"/>
        <v/>
      </c>
      <c r="B700" t="str">
        <f t="shared" ca="1" si="2"/>
        <v/>
      </c>
      <c r="C700" s="206" t="str">
        <f ca="1">IFERROR(__xludf.DUMMYFUNCTION("""COMPUTED_VALUE"""),"AB001040")</f>
        <v>AB001040</v>
      </c>
      <c r="D700" t="str">
        <f ca="1">IFERROR(__xludf.DUMMYFUNCTION("""COMPUTED_VALUE"""),"")</f>
        <v/>
      </c>
      <c r="E700" t="str">
        <f ca="1">IFERROR(__xludf.DUMMYFUNCTION("""COMPUTED_VALUE"""),"天資基因")</f>
        <v>天資基因</v>
      </c>
    </row>
    <row r="701" spans="1:5" ht="15" customHeight="1">
      <c r="A701" s="121" t="str">
        <f t="shared" ca="1" si="1"/>
        <v/>
      </c>
      <c r="B701" t="str">
        <f t="shared" ca="1" si="2"/>
        <v/>
      </c>
      <c r="C701" s="206" t="str">
        <f ca="1">IFERROR(__xludf.DUMMYFUNCTION("""COMPUTED_VALUE"""),"AB001040")</f>
        <v>AB001040</v>
      </c>
      <c r="D701" t="str">
        <f ca="1">IFERROR(__xludf.DUMMYFUNCTION("""COMPUTED_VALUE"""),"")</f>
        <v/>
      </c>
      <c r="E701" t="str">
        <f ca="1">IFERROR(__xludf.DUMMYFUNCTION("""COMPUTED_VALUE"""),"天資基因")</f>
        <v>天資基因</v>
      </c>
    </row>
    <row r="702" spans="1:5" ht="15" customHeight="1">
      <c r="A702" s="121" t="str">
        <f t="shared" ca="1" si="1"/>
        <v/>
      </c>
      <c r="B702" t="str">
        <f t="shared" ca="1" si="2"/>
        <v/>
      </c>
      <c r="C702" s="206" t="str">
        <f ca="1">IFERROR(__xludf.DUMMYFUNCTION("""COMPUTED_VALUE"""),"AB001040")</f>
        <v>AB001040</v>
      </c>
      <c r="D702" t="str">
        <f ca="1">IFERROR(__xludf.DUMMYFUNCTION("""COMPUTED_VALUE"""),"")</f>
        <v/>
      </c>
      <c r="E702" t="str">
        <f ca="1">IFERROR(__xludf.DUMMYFUNCTION("""COMPUTED_VALUE"""),"天資基因")</f>
        <v>天資基因</v>
      </c>
    </row>
    <row r="703" spans="1:5" ht="15" customHeight="1">
      <c r="A703" s="121" t="str">
        <f t="shared" ca="1" si="1"/>
        <v/>
      </c>
      <c r="B703" t="str">
        <f t="shared" ca="1" si="2"/>
        <v/>
      </c>
      <c r="C703" s="206" t="str">
        <f ca="1">IFERROR(__xludf.DUMMYFUNCTION("""COMPUTED_VALUE"""),"AB001040")</f>
        <v>AB001040</v>
      </c>
      <c r="D703" t="str">
        <f ca="1">IFERROR(__xludf.DUMMYFUNCTION("""COMPUTED_VALUE"""),"")</f>
        <v/>
      </c>
      <c r="E703" t="str">
        <f ca="1">IFERROR(__xludf.DUMMYFUNCTION("""COMPUTED_VALUE"""),"天資基因")</f>
        <v>天資基因</v>
      </c>
    </row>
    <row r="704" spans="1:5" ht="15" customHeight="1">
      <c r="A704" s="121" t="str">
        <f t="shared" ca="1" si="1"/>
        <v/>
      </c>
      <c r="B704" t="str">
        <f t="shared" ca="1" si="2"/>
        <v/>
      </c>
      <c r="C704" s="206" t="str">
        <f ca="1">IFERROR(__xludf.DUMMYFUNCTION("""COMPUTED_VALUE"""),"AB001040")</f>
        <v>AB001040</v>
      </c>
      <c r="D704" t="str">
        <f ca="1">IFERROR(__xludf.DUMMYFUNCTION("""COMPUTED_VALUE"""),"")</f>
        <v/>
      </c>
      <c r="E704" t="str">
        <f ca="1">IFERROR(__xludf.DUMMYFUNCTION("""COMPUTED_VALUE"""),"天資基因")</f>
        <v>天資基因</v>
      </c>
    </row>
    <row r="705" spans="1:5" ht="15" customHeight="1">
      <c r="A705" s="121" t="str">
        <f t="shared" ca="1" si="1"/>
        <v/>
      </c>
      <c r="B705" t="str">
        <f t="shared" ca="1" si="2"/>
        <v/>
      </c>
      <c r="C705" s="206" t="str">
        <f ca="1">IFERROR(__xludf.DUMMYFUNCTION("""COMPUTED_VALUE"""),"AB001040")</f>
        <v>AB001040</v>
      </c>
      <c r="D705" t="str">
        <f ca="1">IFERROR(__xludf.DUMMYFUNCTION("""COMPUTED_VALUE"""),"")</f>
        <v/>
      </c>
      <c r="E705" t="str">
        <f ca="1">IFERROR(__xludf.DUMMYFUNCTION("""COMPUTED_VALUE"""),"天資基因")</f>
        <v>天資基因</v>
      </c>
    </row>
    <row r="706" spans="1:5" ht="15" customHeight="1">
      <c r="A706" s="121" t="str">
        <f t="shared" ca="1" si="1"/>
        <v/>
      </c>
      <c r="B706" t="str">
        <f t="shared" ca="1" si="2"/>
        <v/>
      </c>
      <c r="C706" s="206" t="str">
        <f ca="1">IFERROR(__xludf.DUMMYFUNCTION("""COMPUTED_VALUE"""),"AB001040")</f>
        <v>AB001040</v>
      </c>
      <c r="D706" t="str">
        <f ca="1">IFERROR(__xludf.DUMMYFUNCTION("""COMPUTED_VALUE"""),"")</f>
        <v/>
      </c>
      <c r="E706" t="str">
        <f ca="1">IFERROR(__xludf.DUMMYFUNCTION("""COMPUTED_VALUE"""),"天資基因")</f>
        <v>天資基因</v>
      </c>
    </row>
    <row r="707" spans="1:5" ht="15" customHeight="1">
      <c r="A707" s="121" t="str">
        <f t="shared" ca="1" si="1"/>
        <v/>
      </c>
      <c r="B707" t="str">
        <f t="shared" ca="1" si="2"/>
        <v/>
      </c>
      <c r="C707" s="206" t="str">
        <f ca="1">IFERROR(__xludf.DUMMYFUNCTION("""COMPUTED_VALUE"""),"AB001040")</f>
        <v>AB001040</v>
      </c>
      <c r="D707" t="str">
        <f ca="1">IFERROR(__xludf.DUMMYFUNCTION("""COMPUTED_VALUE"""),"")</f>
        <v/>
      </c>
      <c r="E707" t="str">
        <f ca="1">IFERROR(__xludf.DUMMYFUNCTION("""COMPUTED_VALUE"""),"天資基因")</f>
        <v>天資基因</v>
      </c>
    </row>
    <row r="708" spans="1:5" ht="15" customHeight="1">
      <c r="A708" s="121" t="str">
        <f t="shared" ca="1" si="1"/>
        <v/>
      </c>
      <c r="B708" t="str">
        <f t="shared" ca="1" si="2"/>
        <v/>
      </c>
      <c r="C708" s="206" t="str">
        <f ca="1">IFERROR(__xludf.DUMMYFUNCTION("""COMPUTED_VALUE"""),"AB001040")</f>
        <v>AB001040</v>
      </c>
      <c r="D708" t="str">
        <f ca="1">IFERROR(__xludf.DUMMYFUNCTION("""COMPUTED_VALUE"""),"")</f>
        <v/>
      </c>
      <c r="E708" t="str">
        <f ca="1">IFERROR(__xludf.DUMMYFUNCTION("""COMPUTED_VALUE"""),"天資基因")</f>
        <v>天資基因</v>
      </c>
    </row>
    <row r="709" spans="1:5" ht="15" customHeight="1">
      <c r="A709" s="121" t="str">
        <f t="shared" ca="1" si="1"/>
        <v/>
      </c>
      <c r="B709" t="str">
        <f t="shared" ca="1" si="2"/>
        <v/>
      </c>
      <c r="C709" s="206" t="str">
        <f ca="1">IFERROR(__xludf.DUMMYFUNCTION("""COMPUTED_VALUE"""),"AB001040")</f>
        <v>AB001040</v>
      </c>
      <c r="D709" t="str">
        <f ca="1">IFERROR(__xludf.DUMMYFUNCTION("""COMPUTED_VALUE"""),"")</f>
        <v/>
      </c>
      <c r="E709" t="str">
        <f ca="1">IFERROR(__xludf.DUMMYFUNCTION("""COMPUTED_VALUE"""),"天資基因")</f>
        <v>天資基因</v>
      </c>
    </row>
    <row r="710" spans="1:5" ht="15" customHeight="1">
      <c r="A710" s="121" t="str">
        <f t="shared" ca="1" si="1"/>
        <v/>
      </c>
      <c r="B710" t="str">
        <f t="shared" ca="1" si="2"/>
        <v/>
      </c>
      <c r="C710" s="206" t="str">
        <f ca="1">IFERROR(__xludf.DUMMYFUNCTION("""COMPUTED_VALUE"""),"AB001039")</f>
        <v>AB001039</v>
      </c>
      <c r="D710" t="str">
        <f ca="1">IFERROR(__xludf.DUMMYFUNCTION("""COMPUTED_VALUE"""),"")</f>
        <v/>
      </c>
      <c r="E710" t="str">
        <f ca="1">IFERROR(__xludf.DUMMYFUNCTION("""COMPUTED_VALUE"""),"曾悟明")</f>
        <v>曾悟明</v>
      </c>
    </row>
    <row r="711" spans="1:5" ht="15" customHeight="1">
      <c r="A711" s="121" t="str">
        <f t="shared" ca="1" si="1"/>
        <v/>
      </c>
      <c r="B711" t="str">
        <f t="shared" ca="1" si="2"/>
        <v/>
      </c>
      <c r="C711" s="206" t="str">
        <f ca="1">IFERROR(__xludf.DUMMYFUNCTION("""COMPUTED_VALUE"""),"AB001041")</f>
        <v>AB001041</v>
      </c>
      <c r="D711" t="str">
        <f ca="1">IFERROR(__xludf.DUMMYFUNCTION("""COMPUTED_VALUE"""),"")</f>
        <v/>
      </c>
      <c r="E711" t="str">
        <f ca="1">IFERROR(__xludf.DUMMYFUNCTION("""COMPUTED_VALUE"""),"林秀娟")</f>
        <v>林秀娟</v>
      </c>
    </row>
    <row r="712" spans="1:5" ht="15" customHeight="1">
      <c r="A712" s="121" t="str">
        <f t="shared" ca="1" si="1"/>
        <v/>
      </c>
      <c r="B712" t="str">
        <f t="shared" ca="1" si="2"/>
        <v/>
      </c>
      <c r="C712" s="206" t="str">
        <f ca="1">IFERROR(__xludf.DUMMYFUNCTION("""COMPUTED_VALUE"""),"AB001041")</f>
        <v>AB001041</v>
      </c>
      <c r="D712" t="str">
        <f ca="1">IFERROR(__xludf.DUMMYFUNCTION("""COMPUTED_VALUE"""),"")</f>
        <v/>
      </c>
      <c r="E712" t="str">
        <f ca="1">IFERROR(__xludf.DUMMYFUNCTION("""COMPUTED_VALUE"""),"林秀娟")</f>
        <v>林秀娟</v>
      </c>
    </row>
    <row r="713" spans="1:5" ht="15" customHeight="1">
      <c r="A713" s="121" t="str">
        <f t="shared" ca="1" si="1"/>
        <v/>
      </c>
      <c r="B713" t="str">
        <f t="shared" ca="1" si="2"/>
        <v/>
      </c>
      <c r="C713" s="206" t="str">
        <f ca="1">IFERROR(__xludf.DUMMYFUNCTION("""COMPUTED_VALUE"""),"AB001209")</f>
        <v>AB001209</v>
      </c>
      <c r="D713" t="str">
        <f ca="1">IFERROR(__xludf.DUMMYFUNCTION("""COMPUTED_VALUE"""),"")</f>
        <v/>
      </c>
      <c r="E713" t="str">
        <f ca="1">IFERROR(__xludf.DUMMYFUNCTION("""COMPUTED_VALUE"""),"袁蓓芳")</f>
        <v>袁蓓芳</v>
      </c>
    </row>
    <row r="714" spans="1:5" ht="15" customHeight="1">
      <c r="A714" s="121" t="str">
        <f t="shared" ca="1" si="1"/>
        <v/>
      </c>
      <c r="B714" t="str">
        <f t="shared" ca="1" si="2"/>
        <v/>
      </c>
      <c r="C714" s="206" t="str">
        <f ca="1">IFERROR(__xludf.DUMMYFUNCTION("""COMPUTED_VALUE"""),"AB001042")</f>
        <v>AB001042</v>
      </c>
      <c r="D714" t="str">
        <f ca="1">IFERROR(__xludf.DUMMYFUNCTION("""COMPUTED_VALUE"""),"")</f>
        <v/>
      </c>
      <c r="E714" t="str">
        <f ca="1">IFERROR(__xludf.DUMMYFUNCTION("""COMPUTED_VALUE"""),"葉貴香")</f>
        <v>葉貴香</v>
      </c>
    </row>
    <row r="715" spans="1:5" ht="15" customHeight="1">
      <c r="A715" s="121" t="str">
        <f t="shared" ca="1" si="1"/>
        <v/>
      </c>
      <c r="B715" t="str">
        <f t="shared" ca="1" si="2"/>
        <v/>
      </c>
      <c r="C715" s="206" t="str">
        <f ca="1">IFERROR(__xludf.DUMMYFUNCTION("""COMPUTED_VALUE"""),"AA001936")</f>
        <v>AA001936</v>
      </c>
      <c r="D715" t="str">
        <f ca="1">IFERROR(__xludf.DUMMYFUNCTION("""COMPUTED_VALUE"""),"")</f>
        <v/>
      </c>
      <c r="E715" t="str">
        <f ca="1">IFERROR(__xludf.DUMMYFUNCTION("""COMPUTED_VALUE"""),"大江生醫職工福利委員會")</f>
        <v>大江生醫職工福利委員會</v>
      </c>
    </row>
    <row r="716" spans="1:5" ht="15" customHeight="1">
      <c r="A716" s="121" t="str">
        <f t="shared" ca="1" si="1"/>
        <v/>
      </c>
      <c r="B716" t="str">
        <f t="shared" ca="1" si="2"/>
        <v/>
      </c>
      <c r="C716" s="206" t="str">
        <f ca="1">IFERROR(__xludf.DUMMYFUNCTION("""COMPUTED_VALUE"""),"AA001936")</f>
        <v>AA001936</v>
      </c>
      <c r="D716" t="str">
        <f ca="1">IFERROR(__xludf.DUMMYFUNCTION("""COMPUTED_VALUE"""),"")</f>
        <v/>
      </c>
      <c r="E716" t="str">
        <f ca="1">IFERROR(__xludf.DUMMYFUNCTION("""COMPUTED_VALUE"""),"大江生醫職工福利委員會")</f>
        <v>大江生醫職工福利委員會</v>
      </c>
    </row>
    <row r="717" spans="1:5" ht="15" customHeight="1">
      <c r="A717" s="121" t="str">
        <f t="shared" ca="1" si="1"/>
        <v/>
      </c>
      <c r="B717" t="str">
        <f t="shared" ca="1" si="2"/>
        <v/>
      </c>
      <c r="C717" s="206" t="str">
        <f ca="1">IFERROR(__xludf.DUMMYFUNCTION("""COMPUTED_VALUE"""),"AA001936")</f>
        <v>AA001936</v>
      </c>
      <c r="D717" t="str">
        <f ca="1">IFERROR(__xludf.DUMMYFUNCTION("""COMPUTED_VALUE"""),"")</f>
        <v/>
      </c>
      <c r="E717" t="str">
        <f ca="1">IFERROR(__xludf.DUMMYFUNCTION("""COMPUTED_VALUE"""),"大江生醫職工福利委員會")</f>
        <v>大江生醫職工福利委員會</v>
      </c>
    </row>
    <row r="718" spans="1:5" ht="15" customHeight="1">
      <c r="A718" s="121" t="str">
        <f t="shared" ca="1" si="1"/>
        <v/>
      </c>
      <c r="B718" t="str">
        <f t="shared" ca="1" si="2"/>
        <v/>
      </c>
      <c r="C718" s="206" t="str">
        <f ca="1">IFERROR(__xludf.DUMMYFUNCTION("""COMPUTED_VALUE"""),"AA001936")</f>
        <v>AA001936</v>
      </c>
      <c r="D718" t="str">
        <f ca="1">IFERROR(__xludf.DUMMYFUNCTION("""COMPUTED_VALUE"""),"")</f>
        <v/>
      </c>
      <c r="E718" t="str">
        <f ca="1">IFERROR(__xludf.DUMMYFUNCTION("""COMPUTED_VALUE"""),"大江生醫職工福利委員會")</f>
        <v>大江生醫職工福利委員會</v>
      </c>
    </row>
    <row r="719" spans="1:5" ht="15" customHeight="1">
      <c r="A719" s="121" t="str">
        <f t="shared" ca="1" si="1"/>
        <v/>
      </c>
      <c r="B719" t="str">
        <f t="shared" ca="1" si="2"/>
        <v/>
      </c>
      <c r="C719" s="206" t="str">
        <f ca="1">IFERROR(__xludf.DUMMYFUNCTION("""COMPUTED_VALUE"""),"AA001936")</f>
        <v>AA001936</v>
      </c>
      <c r="D719" t="str">
        <f ca="1">IFERROR(__xludf.DUMMYFUNCTION("""COMPUTED_VALUE"""),"")</f>
        <v/>
      </c>
      <c r="E719" t="str">
        <f ca="1">IFERROR(__xludf.DUMMYFUNCTION("""COMPUTED_VALUE"""),"大江生醫職工福利委員會")</f>
        <v>大江生醫職工福利委員會</v>
      </c>
    </row>
    <row r="720" spans="1:5" ht="15" customHeight="1">
      <c r="A720" s="121" t="str">
        <f t="shared" ca="1" si="1"/>
        <v/>
      </c>
      <c r="B720" t="str">
        <f t="shared" ca="1" si="2"/>
        <v/>
      </c>
      <c r="C720" s="206" t="str">
        <f ca="1">IFERROR(__xludf.DUMMYFUNCTION("""COMPUTED_VALUE"""),"AA001936")</f>
        <v>AA001936</v>
      </c>
      <c r="D720" t="str">
        <f ca="1">IFERROR(__xludf.DUMMYFUNCTION("""COMPUTED_VALUE"""),"")</f>
        <v/>
      </c>
      <c r="E720" t="str">
        <f ca="1">IFERROR(__xludf.DUMMYFUNCTION("""COMPUTED_VALUE"""),"大江生醫職工福利委員會")</f>
        <v>大江生醫職工福利委員會</v>
      </c>
    </row>
    <row r="721" spans="1:5" ht="15" customHeight="1">
      <c r="A721" s="121" t="str">
        <f t="shared" ca="1" si="1"/>
        <v/>
      </c>
      <c r="B721" t="str">
        <f t="shared" ca="1" si="2"/>
        <v/>
      </c>
      <c r="C721" s="206" t="str">
        <f ca="1">IFERROR(__xludf.DUMMYFUNCTION("""COMPUTED_VALUE"""),"AA001936")</f>
        <v>AA001936</v>
      </c>
      <c r="D721" t="str">
        <f ca="1">IFERROR(__xludf.DUMMYFUNCTION("""COMPUTED_VALUE"""),"")</f>
        <v/>
      </c>
      <c r="E721" t="str">
        <f ca="1">IFERROR(__xludf.DUMMYFUNCTION("""COMPUTED_VALUE"""),"大江生醫職工福利委員會")</f>
        <v>大江生醫職工福利委員會</v>
      </c>
    </row>
    <row r="722" spans="1:5" ht="15" customHeight="1">
      <c r="A722" s="121" t="str">
        <f t="shared" ca="1" si="1"/>
        <v/>
      </c>
      <c r="B722" t="str">
        <f t="shared" ca="1" si="2"/>
        <v/>
      </c>
      <c r="C722" s="206" t="str">
        <f ca="1">IFERROR(__xludf.DUMMYFUNCTION("""COMPUTED_VALUE"""),"AA001936")</f>
        <v>AA001936</v>
      </c>
      <c r="D722" t="str">
        <f ca="1">IFERROR(__xludf.DUMMYFUNCTION("""COMPUTED_VALUE"""),"")</f>
        <v/>
      </c>
      <c r="E722" t="str">
        <f ca="1">IFERROR(__xludf.DUMMYFUNCTION("""COMPUTED_VALUE"""),"大江生醫職工福利委員會")</f>
        <v>大江生醫職工福利委員會</v>
      </c>
    </row>
    <row r="723" spans="1:5" ht="15" customHeight="1">
      <c r="A723" s="121" t="str">
        <f t="shared" ca="1" si="1"/>
        <v/>
      </c>
      <c r="B723" t="str">
        <f t="shared" ca="1" si="2"/>
        <v/>
      </c>
      <c r="C723" s="206" t="str">
        <f ca="1">IFERROR(__xludf.DUMMYFUNCTION("""COMPUTED_VALUE"""),"AA001936")</f>
        <v>AA001936</v>
      </c>
      <c r="D723" t="str">
        <f ca="1">IFERROR(__xludf.DUMMYFUNCTION("""COMPUTED_VALUE"""),"")</f>
        <v/>
      </c>
      <c r="E723" t="str">
        <f ca="1">IFERROR(__xludf.DUMMYFUNCTION("""COMPUTED_VALUE"""),"大江生醫職工福利委員會")</f>
        <v>大江生醫職工福利委員會</v>
      </c>
    </row>
    <row r="724" spans="1:5" ht="15" customHeight="1">
      <c r="A724" s="121" t="str">
        <f t="shared" ca="1" si="1"/>
        <v/>
      </c>
      <c r="B724" t="str">
        <f t="shared" ca="1" si="2"/>
        <v/>
      </c>
      <c r="C724" s="206" t="str">
        <f ca="1">IFERROR(__xludf.DUMMYFUNCTION("""COMPUTED_VALUE"""),"AA001937")</f>
        <v>AA001937</v>
      </c>
      <c r="D724" t="str">
        <f ca="1">IFERROR(__xludf.DUMMYFUNCTION("""COMPUTED_VALUE"""),"")</f>
        <v/>
      </c>
      <c r="E724" t="str">
        <f ca="1">IFERROR(__xludf.DUMMYFUNCTION("""COMPUTED_VALUE"""),"大江生醫職工福利委員會")</f>
        <v>大江生醫職工福利委員會</v>
      </c>
    </row>
    <row r="725" spans="1:5" ht="15" customHeight="1">
      <c r="A725" s="121" t="str">
        <f t="shared" ca="1" si="1"/>
        <v/>
      </c>
      <c r="B725" t="str">
        <f t="shared" ca="1" si="2"/>
        <v/>
      </c>
      <c r="C725" s="206" t="str">
        <f ca="1">IFERROR(__xludf.DUMMYFUNCTION("""COMPUTED_VALUE"""),"AA001937")</f>
        <v>AA001937</v>
      </c>
      <c r="D725" t="str">
        <f ca="1">IFERROR(__xludf.DUMMYFUNCTION("""COMPUTED_VALUE"""),"")</f>
        <v/>
      </c>
      <c r="E725" t="str">
        <f ca="1">IFERROR(__xludf.DUMMYFUNCTION("""COMPUTED_VALUE"""),"大江生醫職工福利委員會")</f>
        <v>大江生醫職工福利委員會</v>
      </c>
    </row>
    <row r="726" spans="1:5" ht="15" customHeight="1">
      <c r="A726" s="121" t="str">
        <f t="shared" ca="1" si="1"/>
        <v/>
      </c>
      <c r="B726" t="str">
        <f t="shared" ca="1" si="2"/>
        <v/>
      </c>
      <c r="C726" s="206" t="str">
        <f ca="1">IFERROR(__xludf.DUMMYFUNCTION("""COMPUTED_VALUE"""),"AA001937")</f>
        <v>AA001937</v>
      </c>
      <c r="D726" t="str">
        <f ca="1">IFERROR(__xludf.DUMMYFUNCTION("""COMPUTED_VALUE"""),"")</f>
        <v/>
      </c>
      <c r="E726" t="str">
        <f ca="1">IFERROR(__xludf.DUMMYFUNCTION("""COMPUTED_VALUE"""),"大江生醫職工福利委員會")</f>
        <v>大江生醫職工福利委員會</v>
      </c>
    </row>
    <row r="727" spans="1:5" ht="15" customHeight="1">
      <c r="A727" s="121" t="str">
        <f t="shared" ca="1" si="1"/>
        <v/>
      </c>
      <c r="B727" t="str">
        <f t="shared" ca="1" si="2"/>
        <v/>
      </c>
      <c r="C727" s="206" t="str">
        <f ca="1">IFERROR(__xludf.DUMMYFUNCTION("""COMPUTED_VALUE"""),"AA001937")</f>
        <v>AA001937</v>
      </c>
      <c r="D727" t="str">
        <f ca="1">IFERROR(__xludf.DUMMYFUNCTION("""COMPUTED_VALUE"""),"")</f>
        <v/>
      </c>
      <c r="E727" t="str">
        <f ca="1">IFERROR(__xludf.DUMMYFUNCTION("""COMPUTED_VALUE"""),"大江生醫職工福利委員會")</f>
        <v>大江生醫職工福利委員會</v>
      </c>
    </row>
    <row r="728" spans="1:5" ht="15" customHeight="1">
      <c r="A728" s="121" t="str">
        <f t="shared" ca="1" si="1"/>
        <v/>
      </c>
      <c r="B728" t="str">
        <f t="shared" ca="1" si="2"/>
        <v/>
      </c>
      <c r="C728" s="206" t="str">
        <f ca="1">IFERROR(__xludf.DUMMYFUNCTION("""COMPUTED_VALUE"""),"AA001937")</f>
        <v>AA001937</v>
      </c>
      <c r="D728" t="str">
        <f ca="1">IFERROR(__xludf.DUMMYFUNCTION("""COMPUTED_VALUE"""),"")</f>
        <v/>
      </c>
      <c r="E728" t="str">
        <f ca="1">IFERROR(__xludf.DUMMYFUNCTION("""COMPUTED_VALUE"""),"大江生醫職工福利委員會")</f>
        <v>大江生醫職工福利委員會</v>
      </c>
    </row>
    <row r="729" spans="1:5" ht="15" customHeight="1">
      <c r="A729" s="121" t="str">
        <f t="shared" ca="1" si="1"/>
        <v/>
      </c>
      <c r="B729" t="str">
        <f t="shared" ca="1" si="2"/>
        <v/>
      </c>
      <c r="C729" s="206" t="str">
        <f ca="1">IFERROR(__xludf.DUMMYFUNCTION("""COMPUTED_VALUE"""),"AA001937")</f>
        <v>AA001937</v>
      </c>
      <c r="D729" t="str">
        <f ca="1">IFERROR(__xludf.DUMMYFUNCTION("""COMPUTED_VALUE"""),"")</f>
        <v/>
      </c>
      <c r="E729" t="str">
        <f ca="1">IFERROR(__xludf.DUMMYFUNCTION("""COMPUTED_VALUE"""),"大江生醫職工福利委員會")</f>
        <v>大江生醫職工福利委員會</v>
      </c>
    </row>
    <row r="730" spans="1:5" ht="15" customHeight="1">
      <c r="A730" s="121" t="str">
        <f t="shared" ca="1" si="1"/>
        <v/>
      </c>
      <c r="B730" t="str">
        <f t="shared" ca="1" si="2"/>
        <v/>
      </c>
      <c r="C730" s="206" t="str">
        <f ca="1">IFERROR(__xludf.DUMMYFUNCTION("""COMPUTED_VALUE"""),"AA001937")</f>
        <v>AA001937</v>
      </c>
      <c r="D730" t="str">
        <f ca="1">IFERROR(__xludf.DUMMYFUNCTION("""COMPUTED_VALUE"""),"")</f>
        <v/>
      </c>
      <c r="E730" t="str">
        <f ca="1">IFERROR(__xludf.DUMMYFUNCTION("""COMPUTED_VALUE"""),"大江生醫職工福利委員會")</f>
        <v>大江生醫職工福利委員會</v>
      </c>
    </row>
    <row r="731" spans="1:5" ht="15" customHeight="1">
      <c r="A731" s="121" t="str">
        <f t="shared" ca="1" si="1"/>
        <v/>
      </c>
      <c r="B731" t="str">
        <f t="shared" ca="1" si="2"/>
        <v/>
      </c>
      <c r="C731" s="206" t="str">
        <f ca="1">IFERROR(__xludf.DUMMYFUNCTION("""COMPUTED_VALUE"""),"AA001937")</f>
        <v>AA001937</v>
      </c>
      <c r="D731" t="str">
        <f ca="1">IFERROR(__xludf.DUMMYFUNCTION("""COMPUTED_VALUE"""),"")</f>
        <v/>
      </c>
      <c r="E731" t="str">
        <f ca="1">IFERROR(__xludf.DUMMYFUNCTION("""COMPUTED_VALUE"""),"大江生醫職工福利委員會")</f>
        <v>大江生醫職工福利委員會</v>
      </c>
    </row>
    <row r="732" spans="1:5" ht="15" customHeight="1">
      <c r="A732" s="121" t="str">
        <f t="shared" ca="1" si="1"/>
        <v/>
      </c>
      <c r="B732" t="str">
        <f t="shared" ca="1" si="2"/>
        <v/>
      </c>
      <c r="C732" s="206" t="str">
        <f ca="1">IFERROR(__xludf.DUMMYFUNCTION("""COMPUTED_VALUE"""),"AB001212")</f>
        <v>AB001212</v>
      </c>
      <c r="D732" t="str">
        <f ca="1">IFERROR(__xludf.DUMMYFUNCTION("""COMPUTED_VALUE"""),"")</f>
        <v/>
      </c>
      <c r="E732" t="str">
        <f ca="1">IFERROR(__xludf.DUMMYFUNCTION("""COMPUTED_VALUE"""),"大江生醫職工福利委員會")</f>
        <v>大江生醫職工福利委員會</v>
      </c>
    </row>
    <row r="733" spans="1:5" ht="15" customHeight="1">
      <c r="A733" s="121" t="str">
        <f t="shared" ca="1" si="1"/>
        <v/>
      </c>
      <c r="B733" t="str">
        <f t="shared" ca="1" si="2"/>
        <v/>
      </c>
      <c r="C733" s="206" t="str">
        <f ca="1">IFERROR(__xludf.DUMMYFUNCTION("""COMPUTED_VALUE"""),"AB001212")</f>
        <v>AB001212</v>
      </c>
      <c r="D733" t="str">
        <f ca="1">IFERROR(__xludf.DUMMYFUNCTION("""COMPUTED_VALUE"""),"")</f>
        <v/>
      </c>
      <c r="E733" t="str">
        <f ca="1">IFERROR(__xludf.DUMMYFUNCTION("""COMPUTED_VALUE"""),"大江生醫職工福利委員會")</f>
        <v>大江生醫職工福利委員會</v>
      </c>
    </row>
    <row r="734" spans="1:5" ht="15" customHeight="1">
      <c r="A734" s="121" t="str">
        <f t="shared" ca="1" si="1"/>
        <v/>
      </c>
      <c r="B734" t="str">
        <f t="shared" ca="1" si="2"/>
        <v/>
      </c>
      <c r="C734" s="206" t="str">
        <f ca="1">IFERROR(__xludf.DUMMYFUNCTION("""COMPUTED_VALUE"""),"AB001213")</f>
        <v>AB001213</v>
      </c>
      <c r="D734" t="str">
        <f ca="1">IFERROR(__xludf.DUMMYFUNCTION("""COMPUTED_VALUE"""),"")</f>
        <v/>
      </c>
      <c r="E734" t="str">
        <f ca="1">IFERROR(__xludf.DUMMYFUNCTION("""COMPUTED_VALUE"""),"大江生醫股份有限公司")</f>
        <v>大江生醫股份有限公司</v>
      </c>
    </row>
    <row r="735" spans="1:5" ht="15" customHeight="1">
      <c r="A735" s="121" t="str">
        <f t="shared" ca="1" si="1"/>
        <v/>
      </c>
      <c r="B735" t="str">
        <f t="shared" ca="1" si="2"/>
        <v/>
      </c>
      <c r="C735" s="206" t="str">
        <f ca="1">IFERROR(__xludf.DUMMYFUNCTION("""COMPUTED_VALUE"""),"AB001210")</f>
        <v>AB001210</v>
      </c>
      <c r="D735" t="str">
        <f ca="1">IFERROR(__xludf.DUMMYFUNCTION("""COMPUTED_VALUE"""),"")</f>
        <v/>
      </c>
      <c r="E735" t="str">
        <f ca="1">IFERROR(__xludf.DUMMYFUNCTION("""COMPUTED_VALUE"""),"張瑾宜")</f>
        <v>張瑾宜</v>
      </c>
    </row>
    <row r="736" spans="1:5" ht="15" customHeight="1">
      <c r="A736" s="121" t="str">
        <f t="shared" ca="1" si="1"/>
        <v/>
      </c>
      <c r="B736" t="str">
        <f t="shared" ca="1" si="2"/>
        <v/>
      </c>
      <c r="C736" s="206" t="str">
        <f ca="1">IFERROR(__xludf.DUMMYFUNCTION("""COMPUTED_VALUE"""),"AB001043")</f>
        <v>AB001043</v>
      </c>
      <c r="D736" t="str">
        <f ca="1">IFERROR(__xludf.DUMMYFUNCTION("""COMPUTED_VALUE"""),"")</f>
        <v/>
      </c>
      <c r="E736" t="str">
        <f ca="1">IFERROR(__xludf.DUMMYFUNCTION("""COMPUTED_VALUE"""),"陳盈瑞")</f>
        <v>陳盈瑞</v>
      </c>
    </row>
    <row r="737" spans="1:5" ht="15" customHeight="1">
      <c r="A737" s="121" t="str">
        <f t="shared" ca="1" si="1"/>
        <v/>
      </c>
      <c r="B737" t="str">
        <f t="shared" ca="1" si="2"/>
        <v/>
      </c>
      <c r="C737" s="206" t="str">
        <f ca="1">IFERROR(__xludf.DUMMYFUNCTION("""COMPUTED_VALUE"""),"AB001214")</f>
        <v>AB001214</v>
      </c>
      <c r="D737" t="str">
        <f ca="1">IFERROR(__xludf.DUMMYFUNCTION("""COMPUTED_VALUE"""),"")</f>
        <v/>
      </c>
      <c r="E737" t="str">
        <f ca="1">IFERROR(__xludf.DUMMYFUNCTION("""COMPUTED_VALUE"""),"黃詠橞")</f>
        <v>黃詠橞</v>
      </c>
    </row>
    <row r="738" spans="1:5" ht="15" customHeight="1">
      <c r="A738" s="121" t="str">
        <f t="shared" ca="1" si="1"/>
        <v/>
      </c>
      <c r="B738" t="str">
        <f t="shared" ca="1" si="2"/>
        <v/>
      </c>
      <c r="C738" s="206" t="str">
        <f ca="1">IFERROR(__xludf.DUMMYFUNCTION("""COMPUTED_VALUE"""),"AB001048")</f>
        <v>AB001048</v>
      </c>
      <c r="D738" t="str">
        <f ca="1">IFERROR(__xludf.DUMMYFUNCTION("""COMPUTED_VALUE"""),"")</f>
        <v/>
      </c>
      <c r="E738" t="str">
        <f ca="1">IFERROR(__xludf.DUMMYFUNCTION("""COMPUTED_VALUE"""),"何美慧")</f>
        <v>何美慧</v>
      </c>
    </row>
    <row r="739" spans="1:5" ht="15" customHeight="1">
      <c r="A739" s="121" t="str">
        <f t="shared" ca="1" si="1"/>
        <v/>
      </c>
      <c r="B739" t="str">
        <f t="shared" ca="1" si="2"/>
        <v/>
      </c>
      <c r="C739" s="206" t="str">
        <f ca="1">IFERROR(__xludf.DUMMYFUNCTION("""COMPUTED_VALUE"""),"AB001215")</f>
        <v>AB001215</v>
      </c>
      <c r="D739" t="str">
        <f ca="1">IFERROR(__xludf.DUMMYFUNCTION("""COMPUTED_VALUE"""),"")</f>
        <v/>
      </c>
      <c r="E739" t="str">
        <f ca="1">IFERROR(__xludf.DUMMYFUNCTION("""COMPUTED_VALUE"""),"持盈企業有限公司")</f>
        <v>持盈企業有限公司</v>
      </c>
    </row>
    <row r="740" spans="1:5" ht="15" customHeight="1">
      <c r="A740" s="121" t="str">
        <f t="shared" ca="1" si="1"/>
        <v/>
      </c>
      <c r="B740" t="str">
        <f t="shared" ca="1" si="2"/>
        <v/>
      </c>
      <c r="C740" s="206" t="str">
        <f ca="1">IFERROR(__xludf.DUMMYFUNCTION("""COMPUTED_VALUE"""),"AB001215")</f>
        <v>AB001215</v>
      </c>
      <c r="D740" t="str">
        <f ca="1">IFERROR(__xludf.DUMMYFUNCTION("""COMPUTED_VALUE"""),"")</f>
        <v/>
      </c>
      <c r="E740" t="str">
        <f ca="1">IFERROR(__xludf.DUMMYFUNCTION("""COMPUTED_VALUE"""),"持盈企業有限公司")</f>
        <v>持盈企業有限公司</v>
      </c>
    </row>
    <row r="741" spans="1:5" ht="15" customHeight="1">
      <c r="A741" s="121" t="str">
        <f t="shared" ca="1" si="1"/>
        <v/>
      </c>
      <c r="B741" t="str">
        <f t="shared" ca="1" si="2"/>
        <v/>
      </c>
      <c r="C741" s="206" t="str">
        <f ca="1">IFERROR(__xludf.DUMMYFUNCTION("""COMPUTED_VALUE"""),"AB001045")</f>
        <v>AB001045</v>
      </c>
      <c r="D741" t="str">
        <f ca="1">IFERROR(__xludf.DUMMYFUNCTION("""COMPUTED_VALUE"""),"")</f>
        <v/>
      </c>
      <c r="E741" t="str">
        <f ca="1">IFERROR(__xludf.DUMMYFUNCTION("""COMPUTED_VALUE"""),"鍾清林")</f>
        <v>鍾清林</v>
      </c>
    </row>
    <row r="742" spans="1:5" ht="15" customHeight="1">
      <c r="A742" s="121" t="str">
        <f t="shared" ca="1" si="1"/>
        <v/>
      </c>
      <c r="B742" t="str">
        <f t="shared" ca="1" si="2"/>
        <v/>
      </c>
      <c r="C742" s="206" t="str">
        <f ca="1">IFERROR(__xludf.DUMMYFUNCTION("""COMPUTED_VALUE"""),"AB001046")</f>
        <v>AB001046</v>
      </c>
      <c r="D742" t="str">
        <f ca="1">IFERROR(__xludf.DUMMYFUNCTION("""COMPUTED_VALUE"""),"")</f>
        <v/>
      </c>
      <c r="E742" t="str">
        <f ca="1">IFERROR(__xludf.DUMMYFUNCTION("""COMPUTED_VALUE"""),"鍾清林")</f>
        <v>鍾清林</v>
      </c>
    </row>
    <row r="743" spans="1:5" ht="15" customHeight="1">
      <c r="A743" s="121" t="str">
        <f t="shared" ca="1" si="1"/>
        <v/>
      </c>
      <c r="B743" t="str">
        <f t="shared" ca="1" si="2"/>
        <v/>
      </c>
      <c r="C743" s="206" t="str">
        <f ca="1">IFERROR(__xludf.DUMMYFUNCTION("""COMPUTED_VALUE"""),"AB001253")</f>
        <v>AB001253</v>
      </c>
      <c r="D743" t="str">
        <f ca="1">IFERROR(__xludf.DUMMYFUNCTION("""COMPUTED_VALUE"""),"")</f>
        <v/>
      </c>
      <c r="E743" t="str">
        <f ca="1">IFERROR(__xludf.DUMMYFUNCTION("""COMPUTED_VALUE"""),"曾琬婷")</f>
        <v>曾琬婷</v>
      </c>
    </row>
    <row r="744" spans="1:5" ht="15" customHeight="1">
      <c r="A744" s="121" t="str">
        <f t="shared" ca="1" si="1"/>
        <v/>
      </c>
      <c r="B744" t="str">
        <f t="shared" ca="1" si="2"/>
        <v/>
      </c>
      <c r="C744" s="206" t="str">
        <f ca="1">IFERROR(__xludf.DUMMYFUNCTION("""COMPUTED_VALUE"""),"AB001253")</f>
        <v>AB001253</v>
      </c>
      <c r="D744" t="str">
        <f ca="1">IFERROR(__xludf.DUMMYFUNCTION("""COMPUTED_VALUE"""),"")</f>
        <v/>
      </c>
      <c r="E744" t="str">
        <f ca="1">IFERROR(__xludf.DUMMYFUNCTION("""COMPUTED_VALUE"""),"曾琬婷")</f>
        <v>曾琬婷</v>
      </c>
    </row>
    <row r="745" spans="1:5" ht="15" customHeight="1">
      <c r="A745" s="121" t="str">
        <f t="shared" ca="1" si="1"/>
        <v/>
      </c>
      <c r="B745" t="str">
        <f t="shared" ca="1" si="2"/>
        <v/>
      </c>
      <c r="C745" s="206" t="str">
        <f ca="1">IFERROR(__xludf.DUMMYFUNCTION("""COMPUTED_VALUE"""),"AB001253")</f>
        <v>AB001253</v>
      </c>
      <c r="D745" t="str">
        <f ca="1">IFERROR(__xludf.DUMMYFUNCTION("""COMPUTED_VALUE"""),"")</f>
        <v/>
      </c>
      <c r="E745" t="str">
        <f ca="1">IFERROR(__xludf.DUMMYFUNCTION("""COMPUTED_VALUE"""),"曾琬婷")</f>
        <v>曾琬婷</v>
      </c>
    </row>
    <row r="746" spans="1:5" ht="15" customHeight="1">
      <c r="A746" s="121" t="str">
        <f t="shared" ca="1" si="1"/>
        <v/>
      </c>
      <c r="B746" t="str">
        <f t="shared" ca="1" si="2"/>
        <v/>
      </c>
      <c r="C746" s="206" t="str">
        <f ca="1">IFERROR(__xludf.DUMMYFUNCTION("""COMPUTED_VALUE"""),"AB001253")</f>
        <v>AB001253</v>
      </c>
      <c r="D746" t="str">
        <f ca="1">IFERROR(__xludf.DUMMYFUNCTION("""COMPUTED_VALUE"""),"")</f>
        <v/>
      </c>
      <c r="E746" t="str">
        <f ca="1">IFERROR(__xludf.DUMMYFUNCTION("""COMPUTED_VALUE"""),"曾琬婷")</f>
        <v>曾琬婷</v>
      </c>
    </row>
    <row r="747" spans="1:5" ht="15" customHeight="1">
      <c r="A747" s="121" t="str">
        <f t="shared" ca="1" si="1"/>
        <v/>
      </c>
      <c r="B747" t="str">
        <f t="shared" ca="1" si="2"/>
        <v/>
      </c>
      <c r="C747" s="206" t="str">
        <f ca="1">IFERROR(__xludf.DUMMYFUNCTION("""COMPUTED_VALUE"""),"AB001253")</f>
        <v>AB001253</v>
      </c>
      <c r="D747" t="str">
        <f ca="1">IFERROR(__xludf.DUMMYFUNCTION("""COMPUTED_VALUE"""),"")</f>
        <v/>
      </c>
      <c r="E747" t="str">
        <f ca="1">IFERROR(__xludf.DUMMYFUNCTION("""COMPUTED_VALUE"""),"曾琬婷")</f>
        <v>曾琬婷</v>
      </c>
    </row>
    <row r="748" spans="1:5" ht="15" customHeight="1">
      <c r="A748" s="121" t="str">
        <f t="shared" ca="1" si="1"/>
        <v/>
      </c>
      <c r="B748" t="str">
        <f t="shared" ca="1" si="2"/>
        <v/>
      </c>
      <c r="C748" s="206" t="str">
        <f ca="1">IFERROR(__xludf.DUMMYFUNCTION("""COMPUTED_VALUE"""),"AB001253")</f>
        <v>AB001253</v>
      </c>
      <c r="D748" t="str">
        <f ca="1">IFERROR(__xludf.DUMMYFUNCTION("""COMPUTED_VALUE"""),"")</f>
        <v/>
      </c>
      <c r="E748" t="str">
        <f ca="1">IFERROR(__xludf.DUMMYFUNCTION("""COMPUTED_VALUE"""),"曾琬婷")</f>
        <v>曾琬婷</v>
      </c>
    </row>
    <row r="749" spans="1:5" ht="15" customHeight="1">
      <c r="A749" s="121" t="str">
        <f t="shared" ca="1" si="1"/>
        <v/>
      </c>
      <c r="B749" t="str">
        <f t="shared" ca="1" si="2"/>
        <v/>
      </c>
      <c r="C749" s="206" t="str">
        <f ca="1">IFERROR(__xludf.DUMMYFUNCTION("""COMPUTED_VALUE"""),"AB001253")</f>
        <v>AB001253</v>
      </c>
      <c r="D749" t="str">
        <f ca="1">IFERROR(__xludf.DUMMYFUNCTION("""COMPUTED_VALUE"""),"")</f>
        <v/>
      </c>
      <c r="E749" t="str">
        <f ca="1">IFERROR(__xludf.DUMMYFUNCTION("""COMPUTED_VALUE"""),"曾琬婷")</f>
        <v>曾琬婷</v>
      </c>
    </row>
    <row r="750" spans="1:5" ht="15" customHeight="1">
      <c r="A750" s="121" t="str">
        <f t="shared" ca="1" si="1"/>
        <v/>
      </c>
      <c r="B750" t="str">
        <f t="shared" ca="1" si="2"/>
        <v/>
      </c>
      <c r="C750" s="206" t="str">
        <f ca="1">IFERROR(__xludf.DUMMYFUNCTION("""COMPUTED_VALUE"""),"AB001252")</f>
        <v>AB001252</v>
      </c>
      <c r="D750" t="str">
        <f ca="1">IFERROR(__xludf.DUMMYFUNCTION("""COMPUTED_VALUE"""),"")</f>
        <v/>
      </c>
      <c r="E750" t="str">
        <f ca="1">IFERROR(__xludf.DUMMYFUNCTION("""COMPUTED_VALUE"""),"李育庭")</f>
        <v>李育庭</v>
      </c>
    </row>
    <row r="751" spans="1:5" ht="15" customHeight="1">
      <c r="A751" s="121" t="str">
        <f t="shared" ca="1" si="1"/>
        <v/>
      </c>
      <c r="B751" t="str">
        <f t="shared" ca="1" si="2"/>
        <v/>
      </c>
      <c r="C751" s="206" t="str">
        <f ca="1">IFERROR(__xludf.DUMMYFUNCTION("""COMPUTED_VALUE"""),"AB001135")</f>
        <v>AB001135</v>
      </c>
      <c r="D751" t="str">
        <f ca="1">IFERROR(__xludf.DUMMYFUNCTION("""COMPUTED_VALUE"""),"")</f>
        <v/>
      </c>
      <c r="E751" t="str">
        <f ca="1">IFERROR(__xludf.DUMMYFUNCTION("""COMPUTED_VALUE"""),"林顯書")</f>
        <v>林顯書</v>
      </c>
    </row>
    <row r="752" spans="1:5" ht="15" customHeight="1">
      <c r="A752" s="121" t="str">
        <f t="shared" ca="1" si="1"/>
        <v/>
      </c>
      <c r="B752" t="str">
        <f t="shared" ca="1" si="2"/>
        <v/>
      </c>
      <c r="C752" s="206" t="str">
        <f ca="1">IFERROR(__xludf.DUMMYFUNCTION("""COMPUTED_VALUE"""),"AB001079")</f>
        <v>AB001079</v>
      </c>
      <c r="D752" t="str">
        <f ca="1">IFERROR(__xludf.DUMMYFUNCTION("""COMPUTED_VALUE"""),"")</f>
        <v/>
      </c>
      <c r="E752" t="str">
        <f ca="1">IFERROR(__xludf.DUMMYFUNCTION("""COMPUTED_VALUE"""),"朱錦文")</f>
        <v>朱錦文</v>
      </c>
    </row>
    <row r="753" spans="1:5" ht="15" customHeight="1">
      <c r="A753" s="121" t="str">
        <f t="shared" ca="1" si="1"/>
        <v/>
      </c>
      <c r="B753" t="str">
        <f t="shared" ca="1" si="2"/>
        <v/>
      </c>
      <c r="C753" s="206" t="str">
        <f ca="1">IFERROR(__xludf.DUMMYFUNCTION("""COMPUTED_VALUE"""),"AB001137")</f>
        <v>AB001137</v>
      </c>
      <c r="D753" t="str">
        <f ca="1">IFERROR(__xludf.DUMMYFUNCTION("""COMPUTED_VALUE"""),"")</f>
        <v/>
      </c>
      <c r="E753" t="str">
        <f ca="1">IFERROR(__xludf.DUMMYFUNCTION("""COMPUTED_VALUE"""),"鍼鼎善中醫診所")</f>
        <v>鍼鼎善中醫診所</v>
      </c>
    </row>
    <row r="754" spans="1:5" ht="15" customHeight="1">
      <c r="A754" s="121" t="str">
        <f t="shared" ca="1" si="1"/>
        <v/>
      </c>
      <c r="B754" t="str">
        <f t="shared" ca="1" si="2"/>
        <v/>
      </c>
      <c r="C754" s="206" t="str">
        <f ca="1">IFERROR(__xludf.DUMMYFUNCTION("""COMPUTED_VALUE"""),"AB001216")</f>
        <v>AB001216</v>
      </c>
      <c r="D754" t="str">
        <f ca="1">IFERROR(__xludf.DUMMYFUNCTION("""COMPUTED_VALUE"""),"")</f>
        <v/>
      </c>
      <c r="E754" t="str">
        <f ca="1">IFERROR(__xludf.DUMMYFUNCTION("""COMPUTED_VALUE"""),"福爾摩沙醫院管理顧問有限公司")</f>
        <v>福爾摩沙醫院管理顧問有限公司</v>
      </c>
    </row>
    <row r="755" spans="1:5" ht="15" customHeight="1">
      <c r="A755" s="121" t="str">
        <f t="shared" ca="1" si="1"/>
        <v/>
      </c>
      <c r="B755" t="str">
        <f t="shared" ca="1" si="2"/>
        <v/>
      </c>
      <c r="C755" s="206" t="str">
        <f ca="1">IFERROR(__xludf.DUMMYFUNCTION("""COMPUTED_VALUE"""),"AB001217")</f>
        <v>AB001217</v>
      </c>
      <c r="D755" t="str">
        <f ca="1">IFERROR(__xludf.DUMMYFUNCTION("""COMPUTED_VALUE"""),"")</f>
        <v/>
      </c>
      <c r="E755" s="205" t="str">
        <f ca="1">IFERROR(__xludf.DUMMYFUNCTION("""COMPUTED_VALUE"""),"大江生醫股份有限公司")</f>
        <v>大江生醫股份有限公司</v>
      </c>
    </row>
    <row r="756" spans="1:5" ht="15" customHeight="1">
      <c r="A756" s="121" t="str">
        <f t="shared" ca="1" si="1"/>
        <v/>
      </c>
      <c r="B756" t="str">
        <f t="shared" ca="1" si="2"/>
        <v/>
      </c>
      <c r="C756" s="206" t="str">
        <f ca="1">IFERROR(__xludf.DUMMYFUNCTION("""COMPUTED_VALUE"""),"AB001138")</f>
        <v>AB001138</v>
      </c>
      <c r="D756" t="str">
        <f ca="1">IFERROR(__xludf.DUMMYFUNCTION("""COMPUTED_VALUE"""),"")</f>
        <v/>
      </c>
      <c r="E756" s="205" t="str">
        <f ca="1">IFERROR(__xludf.DUMMYFUNCTION("""COMPUTED_VALUE"""),"耐斯醫美診所")</f>
        <v>耐斯醫美診所</v>
      </c>
    </row>
    <row r="757" spans="1:5" ht="15" customHeight="1">
      <c r="A757" s="121" t="str">
        <f t="shared" ca="1" si="1"/>
        <v/>
      </c>
      <c r="B757" t="str">
        <f t="shared" ca="1" si="2"/>
        <v/>
      </c>
      <c r="C757" s="206" t="str">
        <f ca="1">IFERROR(__xludf.DUMMYFUNCTION("""COMPUTED_VALUE"""),"AB001138")</f>
        <v>AB001138</v>
      </c>
      <c r="D757" t="str">
        <f ca="1">IFERROR(__xludf.DUMMYFUNCTION("""COMPUTED_VALUE"""),"")</f>
        <v/>
      </c>
      <c r="E757" s="205" t="str">
        <f ca="1">IFERROR(__xludf.DUMMYFUNCTION("""COMPUTED_VALUE"""),"耐斯醫美診所")</f>
        <v>耐斯醫美診所</v>
      </c>
    </row>
    <row r="758" spans="1:5" ht="15" customHeight="1">
      <c r="A758" s="121" t="str">
        <f t="shared" ca="1" si="1"/>
        <v/>
      </c>
      <c r="B758" t="str">
        <f t="shared" ca="1" si="2"/>
        <v/>
      </c>
      <c r="C758" s="206" t="str">
        <f ca="1">IFERROR(__xludf.DUMMYFUNCTION("""COMPUTED_VALUE"""),"AB001139")</f>
        <v>AB001139</v>
      </c>
      <c r="D758" t="str">
        <f ca="1">IFERROR(__xludf.DUMMYFUNCTION("""COMPUTED_VALUE"""),"")</f>
        <v/>
      </c>
      <c r="E758" t="str">
        <f ca="1">IFERROR(__xludf.DUMMYFUNCTION("""COMPUTED_VALUE"""),"謝官俸")</f>
        <v>謝官俸</v>
      </c>
    </row>
    <row r="759" spans="1:5" ht="15" customHeight="1">
      <c r="A759" s="121" t="str">
        <f t="shared" ca="1" si="1"/>
        <v/>
      </c>
      <c r="B759" t="str">
        <f t="shared" ca="1" si="2"/>
        <v/>
      </c>
      <c r="C759" s="206" t="str">
        <f ca="1">IFERROR(__xludf.DUMMYFUNCTION("""COMPUTED_VALUE"""),"AB001255")</f>
        <v>AB001255</v>
      </c>
      <c r="D759" t="str">
        <f ca="1">IFERROR(__xludf.DUMMYFUNCTION("""COMPUTED_VALUE"""),"")</f>
        <v/>
      </c>
      <c r="E759" t="str">
        <f ca="1">IFERROR(__xludf.DUMMYFUNCTION("""COMPUTED_VALUE"""),"何幸芝")</f>
        <v>何幸芝</v>
      </c>
    </row>
    <row r="760" spans="1:5" ht="15" customHeight="1">
      <c r="A760" s="121" t="str">
        <f t="shared" ca="1" si="1"/>
        <v/>
      </c>
      <c r="B760" t="str">
        <f t="shared" ca="1" si="2"/>
        <v/>
      </c>
      <c r="C760" s="206" t="str">
        <f ca="1">IFERROR(__xludf.DUMMYFUNCTION("""COMPUTED_VALUE"""),"AB001218")</f>
        <v>AB001218</v>
      </c>
      <c r="D760" t="str">
        <f ca="1">IFERROR(__xludf.DUMMYFUNCTION("""COMPUTED_VALUE"""),"")</f>
        <v/>
      </c>
      <c r="E760" t="str">
        <f ca="1">IFERROR(__xludf.DUMMYFUNCTION("""COMPUTED_VALUE"""),"福爾摩沙醫院管理顧問有限公司")</f>
        <v>福爾摩沙醫院管理顧問有限公司</v>
      </c>
    </row>
    <row r="761" spans="1:5" ht="15" customHeight="1">
      <c r="A761" s="213" t="str">
        <f t="shared" ca="1" si="1"/>
        <v>AB001219</v>
      </c>
      <c r="B761" t="str">
        <f t="shared" ca="1" si="2"/>
        <v>晶鑽生醫</v>
      </c>
      <c r="C761" s="206" t="str">
        <f ca="1">IFERROR(__xludf.DUMMYFUNCTION("""COMPUTED_VALUE"""),"AB001219")</f>
        <v>AB001219</v>
      </c>
      <c r="D761" s="214" t="str">
        <f ca="1">IFERROR(__xludf.DUMMYFUNCTION("""COMPUTED_VALUE"""),"V")</f>
        <v>V</v>
      </c>
      <c r="E761" t="str">
        <f ca="1">IFERROR(__xludf.DUMMYFUNCTION("""COMPUTED_VALUE"""),"晶鑽生醫")</f>
        <v>晶鑽生醫</v>
      </c>
    </row>
    <row r="762" spans="1:5" ht="15" customHeight="1">
      <c r="A762" s="121" t="str">
        <f t="shared" ca="1" si="1"/>
        <v/>
      </c>
      <c r="B762" t="str">
        <f t="shared" ca="1" si="2"/>
        <v/>
      </c>
      <c r="C762" s="206" t="str">
        <f ca="1">IFERROR(__xludf.DUMMYFUNCTION("""COMPUTED_VALUE"""),"AB001080")</f>
        <v>AB001080</v>
      </c>
      <c r="D762" t="str">
        <f ca="1">IFERROR(__xludf.DUMMYFUNCTION("""COMPUTED_VALUE"""),"")</f>
        <v/>
      </c>
      <c r="E762" t="str">
        <f ca="1">IFERROR(__xludf.DUMMYFUNCTION("""COMPUTED_VALUE"""),"林日秋")</f>
        <v>林日秋</v>
      </c>
    </row>
    <row r="763" spans="1:5" ht="15" customHeight="1">
      <c r="A763" s="121" t="str">
        <f t="shared" ca="1" si="1"/>
        <v/>
      </c>
      <c r="B763" t="str">
        <f t="shared" ca="1" si="2"/>
        <v/>
      </c>
      <c r="C763" s="206" t="str">
        <f ca="1">IFERROR(__xludf.DUMMYFUNCTION("""COMPUTED_VALUE"""),"AB001257")</f>
        <v>AB001257</v>
      </c>
      <c r="D763" t="str">
        <f ca="1">IFERROR(__xludf.DUMMYFUNCTION("""COMPUTED_VALUE"""),"")</f>
        <v/>
      </c>
      <c r="E763" t="str">
        <f ca="1">IFERROR(__xludf.DUMMYFUNCTION("""COMPUTED_VALUE"""),"黃一芳")</f>
        <v>黃一芳</v>
      </c>
    </row>
    <row r="764" spans="1:5" ht="15" customHeight="1">
      <c r="A764" s="121" t="str">
        <f t="shared" ca="1" si="1"/>
        <v/>
      </c>
      <c r="B764" t="str">
        <f t="shared" ca="1" si="2"/>
        <v/>
      </c>
      <c r="C764" s="206" t="str">
        <f ca="1">IFERROR(__xludf.DUMMYFUNCTION("""COMPUTED_VALUE"""),"AB001257")</f>
        <v>AB001257</v>
      </c>
      <c r="D764" t="str">
        <f ca="1">IFERROR(__xludf.DUMMYFUNCTION("""COMPUTED_VALUE"""),"")</f>
        <v/>
      </c>
      <c r="E764" t="str">
        <f ca="1">IFERROR(__xludf.DUMMYFUNCTION("""COMPUTED_VALUE"""),"蘇靖雅")</f>
        <v>蘇靖雅</v>
      </c>
    </row>
    <row r="765" spans="1:5" ht="15" customHeight="1">
      <c r="A765" s="121" t="str">
        <f t="shared" ca="1" si="1"/>
        <v/>
      </c>
      <c r="B765" t="str">
        <f t="shared" ca="1" si="2"/>
        <v/>
      </c>
      <c r="C765" s="206" t="str">
        <f ca="1">IFERROR(__xludf.DUMMYFUNCTION("""COMPUTED_VALUE"""),"AB001258")</f>
        <v>AB001258</v>
      </c>
      <c r="D765" t="str">
        <f ca="1">IFERROR(__xludf.DUMMYFUNCTION("""COMPUTED_VALUE"""),"")</f>
        <v/>
      </c>
      <c r="E765" t="str">
        <f ca="1">IFERROR(__xludf.DUMMYFUNCTION("""COMPUTED_VALUE"""),"胡穗薑")</f>
        <v>胡穗薑</v>
      </c>
    </row>
    <row r="766" spans="1:5" ht="15" customHeight="1">
      <c r="A766" s="121" t="str">
        <f t="shared" ca="1" si="1"/>
        <v/>
      </c>
      <c r="B766" t="str">
        <f t="shared" ca="1" si="2"/>
        <v/>
      </c>
      <c r="C766" s="206" t="str">
        <f ca="1">IFERROR(__xludf.DUMMYFUNCTION("""COMPUTED_VALUE"""),"AB001254")</f>
        <v>AB001254</v>
      </c>
      <c r="D766" t="str">
        <f ca="1">IFERROR(__xludf.DUMMYFUNCTION("""COMPUTED_VALUE"""),"")</f>
        <v/>
      </c>
      <c r="E766" t="str">
        <f ca="1">IFERROR(__xludf.DUMMYFUNCTION("""COMPUTED_VALUE"""),"群祥國際企業有限公司")</f>
        <v>群祥國際企業有限公司</v>
      </c>
    </row>
    <row r="767" spans="1:5" ht="15" customHeight="1">
      <c r="A767" s="121" t="str">
        <f t="shared" ca="1" si="1"/>
        <v/>
      </c>
      <c r="B767" t="str">
        <f t="shared" ca="1" si="2"/>
        <v/>
      </c>
      <c r="C767" s="206" t="str">
        <f ca="1">IFERROR(__xludf.DUMMYFUNCTION("""COMPUTED_VALUE"""),"AB001220")</f>
        <v>AB001220</v>
      </c>
      <c r="D767" t="str">
        <f ca="1">IFERROR(__xludf.DUMMYFUNCTION("""COMPUTED_VALUE"""),"")</f>
        <v/>
      </c>
      <c r="E767" t="str">
        <f ca="1">IFERROR(__xludf.DUMMYFUNCTION("""COMPUTED_VALUE"""),"江佩穎")</f>
        <v>江佩穎</v>
      </c>
    </row>
    <row r="768" spans="1:5" ht="15" customHeight="1">
      <c r="A768" s="121" t="str">
        <f t="shared" ca="1" si="1"/>
        <v/>
      </c>
      <c r="B768" t="str">
        <f t="shared" ca="1" si="2"/>
        <v/>
      </c>
      <c r="C768" s="206" t="str">
        <f ca="1">IFERROR(__xludf.DUMMYFUNCTION("""COMPUTED_VALUE"""),"AB001221")</f>
        <v>AB001221</v>
      </c>
      <c r="D768" t="str">
        <f ca="1">IFERROR(__xludf.DUMMYFUNCTION("""COMPUTED_VALUE"""),"")</f>
        <v/>
      </c>
      <c r="E768" s="205" t="str">
        <f ca="1">IFERROR(__xludf.DUMMYFUNCTION("""COMPUTED_VALUE"""),"大江生醫股份有限公司")</f>
        <v>大江生醫股份有限公司</v>
      </c>
    </row>
    <row r="769" spans="1:5" ht="15" customHeight="1">
      <c r="A769" s="121" t="str">
        <f t="shared" ca="1" si="1"/>
        <v/>
      </c>
      <c r="B769" t="str">
        <f t="shared" ca="1" si="2"/>
        <v/>
      </c>
      <c r="C769" s="206" t="str">
        <f ca="1">IFERROR(__xludf.DUMMYFUNCTION("""COMPUTED_VALUE"""),"AA030508")</f>
        <v>AA030508</v>
      </c>
      <c r="D769" t="str">
        <f ca="1">IFERROR(__xludf.DUMMYFUNCTION("""COMPUTED_VALUE"""),"")</f>
        <v/>
      </c>
      <c r="E769" t="str">
        <f ca="1">IFERROR(__xludf.DUMMYFUNCTION("""COMPUTED_VALUE"""),"鄧慧如")</f>
        <v>鄧慧如</v>
      </c>
    </row>
    <row r="770" spans="1:5" ht="15" customHeight="1">
      <c r="A770" s="121" t="str">
        <f t="shared" ca="1" si="1"/>
        <v/>
      </c>
      <c r="B770" t="str">
        <f t="shared" ca="1" si="2"/>
        <v/>
      </c>
      <c r="C770" s="206" t="str">
        <f ca="1">IFERROR(__xludf.DUMMYFUNCTION("""COMPUTED_VALUE"""),"AB001224")</f>
        <v>AB001224</v>
      </c>
      <c r="D770" t="str">
        <f ca="1">IFERROR(__xludf.DUMMYFUNCTION("""COMPUTED_VALUE"""),"")</f>
        <v/>
      </c>
      <c r="E770" t="str">
        <f ca="1">IFERROR(__xludf.DUMMYFUNCTION("""COMPUTED_VALUE"""),"馮麗萍")</f>
        <v>馮麗萍</v>
      </c>
    </row>
    <row r="771" spans="1:5" ht="15" customHeight="1">
      <c r="A771" s="121" t="str">
        <f t="shared" ca="1" si="1"/>
        <v/>
      </c>
      <c r="B771" t="str">
        <f t="shared" ca="1" si="2"/>
        <v/>
      </c>
      <c r="C771" s="206" t="str">
        <f ca="1">IFERROR(__xludf.DUMMYFUNCTION("""COMPUTED_VALUE"""),"AB001227")</f>
        <v>AB001227</v>
      </c>
      <c r="D771" t="str">
        <f ca="1">IFERROR(__xludf.DUMMYFUNCTION("""COMPUTED_VALUE"""),"")</f>
        <v/>
      </c>
      <c r="E771" t="str">
        <f ca="1">IFERROR(__xludf.DUMMYFUNCTION("""COMPUTED_VALUE"""),"曾予薰")</f>
        <v>曾予薰</v>
      </c>
    </row>
    <row r="772" spans="1:5" ht="15" customHeight="1">
      <c r="A772" s="121" t="str">
        <f t="shared" ca="1" si="1"/>
        <v/>
      </c>
      <c r="B772" t="str">
        <f t="shared" ca="1" si="2"/>
        <v/>
      </c>
      <c r="C772" s="206" t="str">
        <f ca="1">IFERROR(__xludf.DUMMYFUNCTION("""COMPUTED_VALUE"""),"AB001251")</f>
        <v>AB001251</v>
      </c>
      <c r="D772" t="str">
        <f ca="1">IFERROR(__xludf.DUMMYFUNCTION("""COMPUTED_VALUE"""),"")</f>
        <v/>
      </c>
      <c r="E772" t="str">
        <f ca="1">IFERROR(__xludf.DUMMYFUNCTION("""COMPUTED_VALUE"""),"王則閎")</f>
        <v>王則閎</v>
      </c>
    </row>
    <row r="773" spans="1:5" ht="15" customHeight="1">
      <c r="A773" s="121" t="str">
        <f t="shared" ca="1" si="1"/>
        <v/>
      </c>
      <c r="B773" t="str">
        <f t="shared" ca="1" si="2"/>
        <v/>
      </c>
      <c r="C773" s="206" t="str">
        <f ca="1">IFERROR(__xludf.DUMMYFUNCTION("""COMPUTED_VALUE"""),"AB001228")</f>
        <v>AB001228</v>
      </c>
      <c r="D773" t="str">
        <f ca="1">IFERROR(__xludf.DUMMYFUNCTION("""COMPUTED_VALUE"""),"")</f>
        <v/>
      </c>
      <c r="E773" t="str">
        <f ca="1">IFERROR(__xludf.DUMMYFUNCTION("""COMPUTED_VALUE"""),"阮曼瑄")</f>
        <v>阮曼瑄</v>
      </c>
    </row>
    <row r="774" spans="1:5" ht="15" customHeight="1">
      <c r="A774" s="121" t="str">
        <f t="shared" ca="1" si="1"/>
        <v/>
      </c>
      <c r="B774" t="str">
        <f t="shared" ca="1" si="2"/>
        <v/>
      </c>
      <c r="C774" s="206" t="str">
        <f ca="1">IFERROR(__xludf.DUMMYFUNCTION("""COMPUTED_VALUE"""),"AA001938")</f>
        <v>AA001938</v>
      </c>
      <c r="D774" t="str">
        <f ca="1">IFERROR(__xludf.DUMMYFUNCTION("""COMPUTED_VALUE"""),"")</f>
        <v/>
      </c>
      <c r="E774" t="str">
        <f ca="1">IFERROR(__xludf.DUMMYFUNCTION("""COMPUTED_VALUE"""),"大江生醫職工福利委員會")</f>
        <v>大江生醫職工福利委員會</v>
      </c>
    </row>
    <row r="775" spans="1:5" ht="15" customHeight="1">
      <c r="A775" s="121" t="str">
        <f t="shared" ca="1" si="1"/>
        <v/>
      </c>
      <c r="B775" t="str">
        <f t="shared" ca="1" si="2"/>
        <v/>
      </c>
      <c r="C775" s="206" t="str">
        <f ca="1">IFERROR(__xludf.DUMMYFUNCTION("""COMPUTED_VALUE"""),"AA001938")</f>
        <v>AA001938</v>
      </c>
      <c r="D775" t="str">
        <f ca="1">IFERROR(__xludf.DUMMYFUNCTION("""COMPUTED_VALUE"""),"")</f>
        <v/>
      </c>
      <c r="E775" t="str">
        <f ca="1">IFERROR(__xludf.DUMMYFUNCTION("""COMPUTED_VALUE"""),"大江生醫職工福利委員會")</f>
        <v>大江生醫職工福利委員會</v>
      </c>
    </row>
    <row r="776" spans="1:5" ht="15" customHeight="1">
      <c r="A776" s="121" t="str">
        <f t="shared" ca="1" si="1"/>
        <v/>
      </c>
      <c r="B776" t="str">
        <f t="shared" ca="1" si="2"/>
        <v/>
      </c>
      <c r="C776" s="206" t="str">
        <f ca="1">IFERROR(__xludf.DUMMYFUNCTION("""COMPUTED_VALUE"""),"AA001938")</f>
        <v>AA001938</v>
      </c>
      <c r="D776" t="str">
        <f ca="1">IFERROR(__xludf.DUMMYFUNCTION("""COMPUTED_VALUE"""),"")</f>
        <v/>
      </c>
      <c r="E776" t="str">
        <f ca="1">IFERROR(__xludf.DUMMYFUNCTION("""COMPUTED_VALUE"""),"大江生醫職工福利委員會")</f>
        <v>大江生醫職工福利委員會</v>
      </c>
    </row>
    <row r="777" spans="1:5" ht="15" customHeight="1">
      <c r="A777" s="121" t="str">
        <f t="shared" ca="1" si="1"/>
        <v/>
      </c>
      <c r="B777" t="str">
        <f t="shared" ca="1" si="2"/>
        <v/>
      </c>
      <c r="C777" s="206" t="str">
        <f ca="1">IFERROR(__xludf.DUMMYFUNCTION("""COMPUTED_VALUE"""),"AB001259")</f>
        <v>AB001259</v>
      </c>
      <c r="D777" t="str">
        <f ca="1">IFERROR(__xludf.DUMMYFUNCTION("""COMPUTED_VALUE"""),"")</f>
        <v/>
      </c>
      <c r="E777" t="str">
        <f ca="1">IFERROR(__xludf.DUMMYFUNCTION("""COMPUTED_VALUE"""),"郭宣宏")</f>
        <v>郭宣宏</v>
      </c>
    </row>
    <row r="778" spans="1:5" ht="15" customHeight="1">
      <c r="A778" s="213" t="str">
        <f t="shared" ca="1" si="1"/>
        <v>AB001140</v>
      </c>
      <c r="B778" t="str">
        <f t="shared" ca="1" si="2"/>
        <v>鍼鼎善中醫診所-施如珊</v>
      </c>
      <c r="C778" s="206" t="str">
        <f ca="1">IFERROR(__xludf.DUMMYFUNCTION("""COMPUTED_VALUE"""),"AB001140")</f>
        <v>AB001140</v>
      </c>
      <c r="D778" s="214" t="str">
        <f ca="1">IFERROR(__xludf.DUMMYFUNCTION("""COMPUTED_VALUE"""),"v")</f>
        <v>v</v>
      </c>
      <c r="E778" t="str">
        <f ca="1">IFERROR(__xludf.DUMMYFUNCTION("""COMPUTED_VALUE"""),"鍼鼎善中醫診所-施如珊")</f>
        <v>鍼鼎善中醫診所-施如珊</v>
      </c>
    </row>
    <row r="779" spans="1:5" ht="15" customHeight="1">
      <c r="A779" s="121" t="str">
        <f t="shared" ca="1" si="1"/>
        <v/>
      </c>
      <c r="B779" t="str">
        <f t="shared" ca="1" si="2"/>
        <v/>
      </c>
      <c r="C779" s="206" t="str">
        <f ca="1">IFERROR(__xludf.DUMMYFUNCTION("""COMPUTED_VALUE"""),"AB001038")</f>
        <v>AB001038</v>
      </c>
      <c r="D779" t="str">
        <f ca="1">IFERROR(__xludf.DUMMYFUNCTION("""COMPUTED_VALUE"""),"")</f>
        <v/>
      </c>
      <c r="E779" t="str">
        <f ca="1">IFERROR(__xludf.DUMMYFUNCTION("""COMPUTED_VALUE"""),"林淑萍")</f>
        <v>林淑萍</v>
      </c>
    </row>
    <row r="780" spans="1:5" ht="15" customHeight="1">
      <c r="A780" s="121" t="str">
        <f t="shared" ca="1" si="1"/>
        <v/>
      </c>
      <c r="B780" t="str">
        <f t="shared" ca="1" si="2"/>
        <v/>
      </c>
      <c r="C780" s="206" t="str">
        <f ca="1">IFERROR(__xludf.DUMMYFUNCTION("""COMPUTED_VALUE"""),"AB001229")</f>
        <v>AB001229</v>
      </c>
      <c r="D780" t="str">
        <f ca="1">IFERROR(__xludf.DUMMYFUNCTION("""COMPUTED_VALUE"""),"")</f>
        <v/>
      </c>
      <c r="E780" t="str">
        <f ca="1">IFERROR(__xludf.DUMMYFUNCTION("""COMPUTED_VALUE"""),"徐巧穎")</f>
        <v>徐巧穎</v>
      </c>
    </row>
    <row r="781" spans="1:5" ht="15" customHeight="1">
      <c r="A781" s="121" t="str">
        <f t="shared" ca="1" si="1"/>
        <v/>
      </c>
      <c r="B781" t="str">
        <f t="shared" ca="1" si="2"/>
        <v/>
      </c>
      <c r="C781" s="206" t="str">
        <f ca="1">IFERROR(__xludf.DUMMYFUNCTION("""COMPUTED_VALUE"""),"AB001260")</f>
        <v>AB001260</v>
      </c>
      <c r="D781" t="str">
        <f ca="1">IFERROR(__xludf.DUMMYFUNCTION("""COMPUTED_VALUE"""),"")</f>
        <v/>
      </c>
      <c r="E781" t="str">
        <f ca="1">IFERROR(__xludf.DUMMYFUNCTION("""COMPUTED_VALUE"""),"大江生醫股份有限公司")</f>
        <v>大江生醫股份有限公司</v>
      </c>
    </row>
    <row r="782" spans="1:5" ht="15" customHeight="1">
      <c r="A782" s="121" t="str">
        <f t="shared" ca="1" si="1"/>
        <v/>
      </c>
      <c r="B782" t="str">
        <f t="shared" ca="1" si="2"/>
        <v/>
      </c>
      <c r="C782" s="206" t="str">
        <f ca="1">IFERROR(__xludf.DUMMYFUNCTION("""COMPUTED_VALUE"""),"AB001081")</f>
        <v>AB001081</v>
      </c>
      <c r="D782" t="str">
        <f ca="1">IFERROR(__xludf.DUMMYFUNCTION("""COMPUTED_VALUE"""),"")</f>
        <v/>
      </c>
      <c r="E782" t="str">
        <f ca="1">IFERROR(__xludf.DUMMYFUNCTION("""COMPUTED_VALUE"""),"蔡旻巧")</f>
        <v>蔡旻巧</v>
      </c>
    </row>
    <row r="783" spans="1:5" ht="15" customHeight="1">
      <c r="A783" s="121" t="str">
        <f t="shared" ca="1" si="1"/>
        <v/>
      </c>
      <c r="B783" t="str">
        <f t="shared" ca="1" si="2"/>
        <v/>
      </c>
      <c r="C783" s="206" t="str">
        <f ca="1">IFERROR(__xludf.DUMMYFUNCTION("""COMPUTED_VALUE"""),"AB001082")</f>
        <v>AB001082</v>
      </c>
      <c r="D783" t="str">
        <f ca="1">IFERROR(__xludf.DUMMYFUNCTION("""COMPUTED_VALUE"""),"")</f>
        <v/>
      </c>
      <c r="E783" t="str">
        <f ca="1">IFERROR(__xludf.DUMMYFUNCTION("""COMPUTED_VALUE"""),"陳裕慎")</f>
        <v>陳裕慎</v>
      </c>
    </row>
    <row r="784" spans="1:5" ht="15" customHeight="1">
      <c r="A784" s="121" t="str">
        <f t="shared" ca="1" si="1"/>
        <v/>
      </c>
      <c r="B784" t="str">
        <f t="shared" ca="1" si="2"/>
        <v/>
      </c>
      <c r="C784" s="206" t="str">
        <f ca="1">IFERROR(__xludf.DUMMYFUNCTION("""COMPUTED_VALUE"""),"AB001083")</f>
        <v>AB001083</v>
      </c>
      <c r="D784" t="str">
        <f ca="1">IFERROR(__xludf.DUMMYFUNCTION("""COMPUTED_VALUE"""),"")</f>
        <v/>
      </c>
      <c r="E784" t="str">
        <f ca="1">IFERROR(__xludf.DUMMYFUNCTION("""COMPUTED_VALUE"""),"丘皓升")</f>
        <v>丘皓升</v>
      </c>
    </row>
    <row r="785" spans="1:5" ht="15" customHeight="1">
      <c r="A785" s="121" t="str">
        <f t="shared" ca="1" si="1"/>
        <v/>
      </c>
      <c r="B785" t="str">
        <f t="shared" ca="1" si="2"/>
        <v/>
      </c>
      <c r="C785" s="206" t="str">
        <f ca="1">IFERROR(__xludf.DUMMYFUNCTION("""COMPUTED_VALUE"""),"AB001084")</f>
        <v>AB001084</v>
      </c>
      <c r="D785" t="str">
        <f ca="1">IFERROR(__xludf.DUMMYFUNCTION("""COMPUTED_VALUE"""),"")</f>
        <v/>
      </c>
      <c r="E785" t="str">
        <f ca="1">IFERROR(__xludf.DUMMYFUNCTION("""COMPUTED_VALUE"""),"許馨文")</f>
        <v>許馨文</v>
      </c>
    </row>
    <row r="786" spans="1:5" ht="15" customHeight="1">
      <c r="A786" s="121" t="str">
        <f t="shared" ca="1" si="1"/>
        <v/>
      </c>
      <c r="B786" t="str">
        <f t="shared" ca="1" si="2"/>
        <v/>
      </c>
      <c r="C786" s="206" t="str">
        <f ca="1">IFERROR(__xludf.DUMMYFUNCTION("""COMPUTED_VALUE"""),"AB001085")</f>
        <v>AB001085</v>
      </c>
      <c r="D786" t="str">
        <f ca="1">IFERROR(__xludf.DUMMYFUNCTION("""COMPUTED_VALUE"""),"")</f>
        <v/>
      </c>
      <c r="E786" t="str">
        <f ca="1">IFERROR(__xludf.DUMMYFUNCTION("""COMPUTED_VALUE"""),"曲箴語")</f>
        <v>曲箴語</v>
      </c>
    </row>
    <row r="787" spans="1:5" ht="15" customHeight="1">
      <c r="A787" s="121" t="str">
        <f t="shared" ca="1" si="1"/>
        <v/>
      </c>
      <c r="B787" t="str">
        <f t="shared" ca="1" si="2"/>
        <v/>
      </c>
      <c r="C787" s="206" t="str">
        <f ca="1">IFERROR(__xludf.DUMMYFUNCTION("""COMPUTED_VALUE"""),"AB001086")</f>
        <v>AB001086</v>
      </c>
      <c r="D787" t="str">
        <f ca="1">IFERROR(__xludf.DUMMYFUNCTION("""COMPUTED_VALUE"""),"")</f>
        <v/>
      </c>
      <c r="E787" t="str">
        <f ca="1">IFERROR(__xludf.DUMMYFUNCTION("""COMPUTED_VALUE"""),"林秀月")</f>
        <v>林秀月</v>
      </c>
    </row>
    <row r="788" spans="1:5" ht="15" customHeight="1">
      <c r="A788" s="121" t="str">
        <f t="shared" ca="1" si="1"/>
        <v/>
      </c>
      <c r="B788" t="str">
        <f t="shared" ca="1" si="2"/>
        <v/>
      </c>
      <c r="C788" s="206" t="str">
        <f ca="1">IFERROR(__xludf.DUMMYFUNCTION("""COMPUTED_VALUE"""),"AB001087")</f>
        <v>AB001087</v>
      </c>
      <c r="D788" t="str">
        <f ca="1">IFERROR(__xludf.DUMMYFUNCTION("""COMPUTED_VALUE"""),"")</f>
        <v/>
      </c>
      <c r="E788" t="str">
        <f ca="1">IFERROR(__xludf.DUMMYFUNCTION("""COMPUTED_VALUE"""),"林秀月")</f>
        <v>林秀月</v>
      </c>
    </row>
    <row r="789" spans="1:5" ht="15" customHeight="1">
      <c r="A789" s="121" t="str">
        <f t="shared" ca="1" si="1"/>
        <v/>
      </c>
      <c r="B789" t="str">
        <f t="shared" ca="1" si="2"/>
        <v/>
      </c>
      <c r="C789" s="206" t="str">
        <f ca="1">IFERROR(__xludf.DUMMYFUNCTION("""COMPUTED_VALUE"""),"AB001049")</f>
        <v>AB001049</v>
      </c>
      <c r="D789" t="str">
        <f ca="1">IFERROR(__xludf.DUMMYFUNCTION("""COMPUTED_VALUE"""),"")</f>
        <v/>
      </c>
      <c r="E789" t="str">
        <f ca="1">IFERROR(__xludf.DUMMYFUNCTION("""COMPUTED_VALUE"""),"林秀娟")</f>
        <v>林秀娟</v>
      </c>
    </row>
    <row r="790" spans="1:5" ht="15" customHeight="1">
      <c r="A790" s="121" t="str">
        <f t="shared" ca="1" si="1"/>
        <v/>
      </c>
      <c r="B790" t="str">
        <f t="shared" ca="1" si="2"/>
        <v/>
      </c>
      <c r="C790" s="206" t="str">
        <f ca="1">IFERROR(__xludf.DUMMYFUNCTION("""COMPUTED_VALUE"""),"AB001049")</f>
        <v>AB001049</v>
      </c>
      <c r="D790" t="str">
        <f ca="1">IFERROR(__xludf.DUMMYFUNCTION("""COMPUTED_VALUE"""),"")</f>
        <v/>
      </c>
      <c r="E790" t="str">
        <f ca="1">IFERROR(__xludf.DUMMYFUNCTION("""COMPUTED_VALUE"""),"林秀娟")</f>
        <v>林秀娟</v>
      </c>
    </row>
    <row r="791" spans="1:5" ht="15" customHeight="1">
      <c r="A791" s="121" t="str">
        <f t="shared" ca="1" si="1"/>
        <v/>
      </c>
      <c r="B791" t="str">
        <f t="shared" ca="1" si="2"/>
        <v/>
      </c>
      <c r="C791" s="206" t="str">
        <f ca="1">IFERROR(__xludf.DUMMYFUNCTION("""COMPUTED_VALUE"""),"AB001262")</f>
        <v>AB001262</v>
      </c>
      <c r="D791" t="str">
        <f ca="1">IFERROR(__xludf.DUMMYFUNCTION("""COMPUTED_VALUE"""),"")</f>
        <v/>
      </c>
      <c r="E791" t="str">
        <f ca="1">IFERROR(__xludf.DUMMYFUNCTION("""COMPUTED_VALUE"""),"百岳特生物技術")</f>
        <v>百岳特生物技術</v>
      </c>
    </row>
    <row r="792" spans="1:5" ht="15" customHeight="1">
      <c r="A792" s="121" t="str">
        <f t="shared" ca="1" si="1"/>
        <v/>
      </c>
      <c r="B792" t="str">
        <f t="shared" ca="1" si="2"/>
        <v/>
      </c>
      <c r="C792" s="206" t="str">
        <f ca="1">IFERROR(__xludf.DUMMYFUNCTION("""COMPUTED_VALUE"""),"AB001261")</f>
        <v>AB001261</v>
      </c>
      <c r="D792" t="str">
        <f ca="1">IFERROR(__xludf.DUMMYFUNCTION("""COMPUTED_VALUE"""),"")</f>
        <v/>
      </c>
      <c r="E792" t="str">
        <f ca="1">IFERROR(__xludf.DUMMYFUNCTION("""COMPUTED_VALUE"""),"羅鈺慧")</f>
        <v>羅鈺慧</v>
      </c>
    </row>
    <row r="793" spans="1:5" ht="15" customHeight="1">
      <c r="A793" s="121" t="str">
        <f t="shared" ca="1" si="1"/>
        <v/>
      </c>
      <c r="B793" t="str">
        <f t="shared" ca="1" si="2"/>
        <v/>
      </c>
      <c r="C793" s="206" t="str">
        <f ca="1">IFERROR(__xludf.DUMMYFUNCTION("""COMPUTED_VALUE"""),"AB001301")</f>
        <v>AB001301</v>
      </c>
      <c r="D793" t="str">
        <f ca="1">IFERROR(__xludf.DUMMYFUNCTION("""COMPUTED_VALUE"""),"")</f>
        <v/>
      </c>
      <c r="E793" t="str">
        <f ca="1">IFERROR(__xludf.DUMMYFUNCTION("""COMPUTED_VALUE"""),"陶宇安")</f>
        <v>陶宇安</v>
      </c>
    </row>
    <row r="794" spans="1:5" ht="15" customHeight="1">
      <c r="A794" s="121" t="str">
        <f t="shared" ca="1" si="1"/>
        <v/>
      </c>
      <c r="B794" t="str">
        <f t="shared" ca="1" si="2"/>
        <v/>
      </c>
      <c r="C794" s="206" t="str">
        <f ca="1">IFERROR(__xludf.DUMMYFUNCTION("""COMPUTED_VALUE"""),"AB001263")</f>
        <v>AB001263</v>
      </c>
      <c r="D794" t="str">
        <f ca="1">IFERROR(__xludf.DUMMYFUNCTION("""COMPUTED_VALUE"""),"")</f>
        <v/>
      </c>
      <c r="E794" t="str">
        <f ca="1">IFERROR(__xludf.DUMMYFUNCTION("""COMPUTED_VALUE"""),"吳台林")</f>
        <v>吳台林</v>
      </c>
    </row>
    <row r="795" spans="1:5" ht="15" customHeight="1">
      <c r="A795" s="121" t="str">
        <f t="shared" ca="1" si="1"/>
        <v/>
      </c>
      <c r="B795" t="str">
        <f t="shared" ca="1" si="2"/>
        <v/>
      </c>
      <c r="C795" s="206" t="str">
        <f ca="1">IFERROR(__xludf.DUMMYFUNCTION("""COMPUTED_VALUE"""),"AB001264")</f>
        <v>AB001264</v>
      </c>
      <c r="D795" t="str">
        <f ca="1">IFERROR(__xludf.DUMMYFUNCTION("""COMPUTED_VALUE"""),"")</f>
        <v/>
      </c>
      <c r="E795" t="str">
        <f ca="1">IFERROR(__xludf.DUMMYFUNCTION("""COMPUTED_VALUE"""),"陳立弦")</f>
        <v>陳立弦</v>
      </c>
    </row>
    <row r="796" spans="1:5" ht="15" customHeight="1">
      <c r="A796" s="121" t="str">
        <f t="shared" ca="1" si="1"/>
        <v/>
      </c>
      <c r="B796" t="str">
        <f t="shared" ca="1" si="2"/>
        <v/>
      </c>
      <c r="C796" s="206" t="str">
        <f ca="1">IFERROR(__xludf.DUMMYFUNCTION("""COMPUTED_VALUE"""),"AB001265")</f>
        <v>AB001265</v>
      </c>
      <c r="D796" t="str">
        <f ca="1">IFERROR(__xludf.DUMMYFUNCTION("""COMPUTED_VALUE"""),"")</f>
        <v/>
      </c>
      <c r="E796" t="str">
        <f ca="1">IFERROR(__xludf.DUMMYFUNCTION("""COMPUTED_VALUE"""),"持盈企業有限公司")</f>
        <v>持盈企業有限公司</v>
      </c>
    </row>
    <row r="797" spans="1:5" ht="15" customHeight="1">
      <c r="A797" s="121" t="str">
        <f t="shared" ca="1" si="1"/>
        <v/>
      </c>
      <c r="B797" t="str">
        <f t="shared" ca="1" si="2"/>
        <v/>
      </c>
      <c r="C797" s="206" t="str">
        <f ca="1">IFERROR(__xludf.DUMMYFUNCTION("""COMPUTED_VALUE"""),"AB001267")</f>
        <v>AB001267</v>
      </c>
      <c r="D797" t="str">
        <f ca="1">IFERROR(__xludf.DUMMYFUNCTION("""COMPUTED_VALUE"""),"")</f>
        <v/>
      </c>
      <c r="E797" t="str">
        <f ca="1">IFERROR(__xludf.DUMMYFUNCTION("""COMPUTED_VALUE"""),"持盈企業有限公司")</f>
        <v>持盈企業有限公司</v>
      </c>
    </row>
    <row r="798" spans="1:5" ht="15" customHeight="1">
      <c r="A798" s="121" t="str">
        <f t="shared" ca="1" si="1"/>
        <v/>
      </c>
      <c r="B798" t="str">
        <f t="shared" ca="1" si="2"/>
        <v/>
      </c>
      <c r="C798" s="206" t="str">
        <f ca="1">IFERROR(__xludf.DUMMYFUNCTION("""COMPUTED_VALUE"""),"AB001267")</f>
        <v>AB001267</v>
      </c>
      <c r="D798" t="str">
        <f ca="1">IFERROR(__xludf.DUMMYFUNCTION("""COMPUTED_VALUE"""),"")</f>
        <v/>
      </c>
      <c r="E798" t="str">
        <f ca="1">IFERROR(__xludf.DUMMYFUNCTION("""COMPUTED_VALUE"""),"持盈企業有限公司")</f>
        <v>持盈企業有限公司</v>
      </c>
    </row>
    <row r="799" spans="1:5" ht="15" customHeight="1">
      <c r="A799" s="121" t="str">
        <f t="shared" ca="1" si="1"/>
        <v/>
      </c>
      <c r="B799" t="str">
        <f t="shared" ca="1" si="2"/>
        <v/>
      </c>
      <c r="C799" s="206" t="str">
        <f ca="1">IFERROR(__xludf.DUMMYFUNCTION("""COMPUTED_VALUE"""),"AB001267")</f>
        <v>AB001267</v>
      </c>
      <c r="D799" t="str">
        <f ca="1">IFERROR(__xludf.DUMMYFUNCTION("""COMPUTED_VALUE"""),"")</f>
        <v/>
      </c>
      <c r="E799" t="str">
        <f ca="1">IFERROR(__xludf.DUMMYFUNCTION("""COMPUTED_VALUE"""),"持盈企業有限公司")</f>
        <v>持盈企業有限公司</v>
      </c>
    </row>
    <row r="800" spans="1:5" ht="15" customHeight="1">
      <c r="A800" s="121" t="str">
        <f t="shared" ca="1" si="1"/>
        <v/>
      </c>
      <c r="B800" t="str">
        <f t="shared" ca="1" si="2"/>
        <v/>
      </c>
      <c r="C800" s="206" t="str">
        <f ca="1">IFERROR(__xludf.DUMMYFUNCTION("""COMPUTED_VALUE"""),"AB001267")</f>
        <v>AB001267</v>
      </c>
      <c r="D800" t="str">
        <f ca="1">IFERROR(__xludf.DUMMYFUNCTION("""COMPUTED_VALUE"""),"")</f>
        <v/>
      </c>
      <c r="E800" t="str">
        <f ca="1">IFERROR(__xludf.DUMMYFUNCTION("""COMPUTED_VALUE"""),"持盈企業有限公司")</f>
        <v>持盈企業有限公司</v>
      </c>
    </row>
    <row r="801" spans="1:5" ht="15" customHeight="1">
      <c r="A801" s="121" t="str">
        <f t="shared" ca="1" si="1"/>
        <v/>
      </c>
      <c r="B801" t="str">
        <f t="shared" ca="1" si="2"/>
        <v/>
      </c>
      <c r="C801" s="206" t="str">
        <f ca="1">IFERROR(__xludf.DUMMYFUNCTION("""COMPUTED_VALUE"""),"AB001267")</f>
        <v>AB001267</v>
      </c>
      <c r="D801" t="str">
        <f ca="1">IFERROR(__xludf.DUMMYFUNCTION("""COMPUTED_VALUE"""),"")</f>
        <v/>
      </c>
      <c r="E801" t="str">
        <f ca="1">IFERROR(__xludf.DUMMYFUNCTION("""COMPUTED_VALUE"""),"持盈企業有限公司")</f>
        <v>持盈企業有限公司</v>
      </c>
    </row>
    <row r="802" spans="1:5" ht="15" customHeight="1">
      <c r="A802" s="121" t="str">
        <f t="shared" ca="1" si="1"/>
        <v/>
      </c>
      <c r="B802" t="str">
        <f t="shared" ca="1" si="2"/>
        <v/>
      </c>
      <c r="C802" s="206" t="str">
        <f ca="1">IFERROR(__xludf.DUMMYFUNCTION("""COMPUTED_VALUE"""),"AB001267")</f>
        <v>AB001267</v>
      </c>
      <c r="D802" t="str">
        <f ca="1">IFERROR(__xludf.DUMMYFUNCTION("""COMPUTED_VALUE"""),"")</f>
        <v/>
      </c>
      <c r="E802" t="str">
        <f ca="1">IFERROR(__xludf.DUMMYFUNCTION("""COMPUTED_VALUE"""),"持盈企業有限公司")</f>
        <v>持盈企業有限公司</v>
      </c>
    </row>
    <row r="803" spans="1:5" ht="15" customHeight="1">
      <c r="A803" s="121" t="str">
        <f t="shared" ca="1" si="1"/>
        <v/>
      </c>
      <c r="B803" t="str">
        <f t="shared" ca="1" si="2"/>
        <v/>
      </c>
      <c r="C803" s="206" t="str">
        <f ca="1">IFERROR(__xludf.DUMMYFUNCTION("""COMPUTED_VALUE"""),"AB001267")</f>
        <v>AB001267</v>
      </c>
      <c r="D803" t="str">
        <f ca="1">IFERROR(__xludf.DUMMYFUNCTION("""COMPUTED_VALUE"""),"")</f>
        <v/>
      </c>
      <c r="E803" t="str">
        <f ca="1">IFERROR(__xludf.DUMMYFUNCTION("""COMPUTED_VALUE"""),"持盈企業有限公司")</f>
        <v>持盈企業有限公司</v>
      </c>
    </row>
    <row r="804" spans="1:5" ht="15" customHeight="1">
      <c r="A804" s="121" t="str">
        <f t="shared" ca="1" si="1"/>
        <v/>
      </c>
      <c r="B804" t="str">
        <f t="shared" ca="1" si="2"/>
        <v/>
      </c>
      <c r="C804" s="206" t="str">
        <f ca="1">IFERROR(__xludf.DUMMYFUNCTION("""COMPUTED_VALUE"""),"AB001230")</f>
        <v>AB001230</v>
      </c>
      <c r="D804" t="str">
        <f ca="1">IFERROR(__xludf.DUMMYFUNCTION("""COMPUTED_VALUE"""),"")</f>
        <v/>
      </c>
      <c r="E804" t="str">
        <f ca="1">IFERROR(__xludf.DUMMYFUNCTION("""COMPUTED_VALUE"""),"關淑君")</f>
        <v>關淑君</v>
      </c>
    </row>
    <row r="805" spans="1:5" ht="15" customHeight="1">
      <c r="A805" s="121" t="str">
        <f t="shared" ca="1" si="1"/>
        <v/>
      </c>
      <c r="B805" t="str">
        <f t="shared" ca="1" si="2"/>
        <v/>
      </c>
      <c r="C805" s="206" t="str">
        <f ca="1">IFERROR(__xludf.DUMMYFUNCTION("""COMPUTED_VALUE"""),"AB001075")</f>
        <v>AB001075</v>
      </c>
      <c r="D805" t="str">
        <f ca="1">IFERROR(__xludf.DUMMYFUNCTION("""COMPUTED_VALUE"""),"")</f>
        <v/>
      </c>
      <c r="E805" t="str">
        <f ca="1">IFERROR(__xludf.DUMMYFUNCTION("""COMPUTED_VALUE"""),"鼎鈞中醫")</f>
        <v>鼎鈞中醫</v>
      </c>
    </row>
    <row r="806" spans="1:5" ht="15" customHeight="1">
      <c r="A806" s="121" t="str">
        <f t="shared" ca="1" si="1"/>
        <v/>
      </c>
      <c r="B806" t="str">
        <f t="shared" ca="1" si="2"/>
        <v/>
      </c>
      <c r="C806" s="206" t="str">
        <f ca="1">IFERROR(__xludf.DUMMYFUNCTION("""COMPUTED_VALUE"""),"AB001076")</f>
        <v>AB001076</v>
      </c>
      <c r="D806" t="str">
        <f ca="1">IFERROR(__xludf.DUMMYFUNCTION("""COMPUTED_VALUE"""),"")</f>
        <v/>
      </c>
      <c r="E806" t="str">
        <f ca="1">IFERROR(__xludf.DUMMYFUNCTION("""COMPUTED_VALUE"""),"鼎鈞中醫")</f>
        <v>鼎鈞中醫</v>
      </c>
    </row>
    <row r="807" spans="1:5" ht="15" customHeight="1">
      <c r="A807" s="121" t="str">
        <f t="shared" ca="1" si="1"/>
        <v/>
      </c>
      <c r="B807" t="str">
        <f t="shared" ca="1" si="2"/>
        <v/>
      </c>
      <c r="C807" s="206" t="str">
        <f ca="1">IFERROR(__xludf.DUMMYFUNCTION("""COMPUTED_VALUE"""),"AB001077")</f>
        <v>AB001077</v>
      </c>
      <c r="D807" t="str">
        <f ca="1">IFERROR(__xludf.DUMMYFUNCTION("""COMPUTED_VALUE"""),"")</f>
        <v/>
      </c>
      <c r="E807" t="str">
        <f ca="1">IFERROR(__xludf.DUMMYFUNCTION("""COMPUTED_VALUE"""),"鼎鈞中醫")</f>
        <v>鼎鈞中醫</v>
      </c>
    </row>
    <row r="808" spans="1:5" ht="15" customHeight="1">
      <c r="A808" s="121" t="str">
        <f t="shared" ca="1" si="1"/>
        <v/>
      </c>
      <c r="B808" t="str">
        <f t="shared" ca="1" si="2"/>
        <v/>
      </c>
      <c r="C808" s="206" t="str">
        <f ca="1">IFERROR(__xludf.DUMMYFUNCTION("""COMPUTED_VALUE"""),"AB001268")</f>
        <v>AB001268</v>
      </c>
      <c r="D808" t="str">
        <f ca="1">IFERROR(__xludf.DUMMYFUNCTION("""COMPUTED_VALUE"""),"")</f>
        <v/>
      </c>
      <c r="E808" t="str">
        <f ca="1">IFERROR(__xludf.DUMMYFUNCTION("""COMPUTED_VALUE"""),"林秀娟")</f>
        <v>林秀娟</v>
      </c>
    </row>
    <row r="809" spans="1:5" ht="15" customHeight="1">
      <c r="A809" s="121" t="str">
        <f t="shared" ca="1" si="1"/>
        <v/>
      </c>
      <c r="B809" t="str">
        <f t="shared" ca="1" si="2"/>
        <v/>
      </c>
      <c r="C809" s="206" t="str">
        <f ca="1">IFERROR(__xludf.DUMMYFUNCTION("""COMPUTED_VALUE"""),"AB001268")</f>
        <v>AB001268</v>
      </c>
      <c r="D809" t="str">
        <f ca="1">IFERROR(__xludf.DUMMYFUNCTION("""COMPUTED_VALUE"""),"")</f>
        <v/>
      </c>
      <c r="E809" t="str">
        <f ca="1">IFERROR(__xludf.DUMMYFUNCTION("""COMPUTED_VALUE"""),"林秀娟")</f>
        <v>林秀娟</v>
      </c>
    </row>
    <row r="810" spans="1:5" ht="15" customHeight="1">
      <c r="A810" s="121" t="str">
        <f t="shared" ca="1" si="1"/>
        <v/>
      </c>
      <c r="B810" t="str">
        <f t="shared" ca="1" si="2"/>
        <v/>
      </c>
      <c r="C810" s="206" t="str">
        <f ca="1">IFERROR(__xludf.DUMMYFUNCTION("""COMPUTED_VALUE"""),"AB001231")</f>
        <v>AB001231</v>
      </c>
      <c r="D810" t="str">
        <f ca="1">IFERROR(__xludf.DUMMYFUNCTION("""COMPUTED_VALUE"""),"")</f>
        <v/>
      </c>
      <c r="E810" t="str">
        <f ca="1">IFERROR(__xludf.DUMMYFUNCTION("""COMPUTED_VALUE"""),"林素菁")</f>
        <v>林素菁</v>
      </c>
    </row>
    <row r="811" spans="1:5" ht="15" customHeight="1">
      <c r="A811" s="121" t="str">
        <f t="shared" ca="1" si="1"/>
        <v/>
      </c>
      <c r="B811" t="str">
        <f t="shared" ca="1" si="2"/>
        <v/>
      </c>
      <c r="C811" s="206" t="str">
        <f ca="1">IFERROR(__xludf.DUMMYFUNCTION("""COMPUTED_VALUE"""),"AB001226")</f>
        <v>AB001226</v>
      </c>
      <c r="D811" t="str">
        <f ca="1">IFERROR(__xludf.DUMMYFUNCTION("""COMPUTED_VALUE"""),"")</f>
        <v/>
      </c>
      <c r="E811" t="str">
        <f ca="1">IFERROR(__xludf.DUMMYFUNCTION("""COMPUTED_VALUE"""),"毛文祥")</f>
        <v>毛文祥</v>
      </c>
    </row>
    <row r="812" spans="1:5" ht="15" customHeight="1">
      <c r="A812" s="121" t="str">
        <f t="shared" ca="1" si="1"/>
        <v/>
      </c>
      <c r="B812" t="str">
        <f t="shared" ca="1" si="2"/>
        <v/>
      </c>
      <c r="C812" s="206" t="str">
        <f ca="1">IFERROR(__xludf.DUMMYFUNCTION("""COMPUTED_VALUE"""),"AB001222")</f>
        <v>AB001222</v>
      </c>
      <c r="D812" t="str">
        <f ca="1">IFERROR(__xludf.DUMMYFUNCTION("""COMPUTED_VALUE"""),"")</f>
        <v/>
      </c>
      <c r="E812" t="str">
        <f ca="1">IFERROR(__xludf.DUMMYFUNCTION("""COMPUTED_VALUE"""),"鄧慧如")</f>
        <v>鄧慧如</v>
      </c>
    </row>
    <row r="813" spans="1:5" ht="15" customHeight="1">
      <c r="A813" s="121" t="str">
        <f t="shared" ca="1" si="1"/>
        <v/>
      </c>
      <c r="B813" t="str">
        <f t="shared" ca="1" si="2"/>
        <v/>
      </c>
      <c r="C813" s="206" t="str">
        <f ca="1">IFERROR(__xludf.DUMMYFUNCTION("""COMPUTED_VALUE"""),"AB001256")</f>
        <v>AB001256</v>
      </c>
      <c r="D813" t="str">
        <f ca="1">IFERROR(__xludf.DUMMYFUNCTION("""COMPUTED_VALUE"""),"")</f>
        <v/>
      </c>
      <c r="E813" t="str">
        <f ca="1">IFERROR(__xludf.DUMMYFUNCTION("""COMPUTED_VALUE"""),"林秉蓁")</f>
        <v>林秉蓁</v>
      </c>
    </row>
    <row r="814" spans="1:5" ht="15" customHeight="1">
      <c r="A814" s="121" t="str">
        <f t="shared" ca="1" si="1"/>
        <v/>
      </c>
      <c r="B814" t="str">
        <f t="shared" ca="1" si="2"/>
        <v/>
      </c>
      <c r="C814" s="206" t="str">
        <f ca="1">IFERROR(__xludf.DUMMYFUNCTION("""COMPUTED_VALUE"""),"AB001232")</f>
        <v>AB001232</v>
      </c>
      <c r="D814" t="str">
        <f ca="1">IFERROR(__xludf.DUMMYFUNCTION("""COMPUTED_VALUE"""),"")</f>
        <v/>
      </c>
      <c r="E814" t="str">
        <f ca="1">IFERROR(__xludf.DUMMYFUNCTION("""COMPUTED_VALUE"""),"福爾摩沙醫院管理顧問有限公司")</f>
        <v>福爾摩沙醫院管理顧問有限公司</v>
      </c>
    </row>
    <row r="815" spans="1:5" ht="15" customHeight="1">
      <c r="A815" s="121" t="str">
        <f t="shared" ca="1" si="1"/>
        <v/>
      </c>
      <c r="B815" t="str">
        <f t="shared" ca="1" si="2"/>
        <v/>
      </c>
      <c r="C815" s="206" t="str">
        <f ca="1">IFERROR(__xludf.DUMMYFUNCTION("""COMPUTED_VALUE"""),"AB001269")</f>
        <v>AB001269</v>
      </c>
      <c r="D815" t="str">
        <f ca="1">IFERROR(__xludf.DUMMYFUNCTION("""COMPUTED_VALUE"""),"")</f>
        <v/>
      </c>
      <c r="E815" t="str">
        <f ca="1">IFERROR(__xludf.DUMMYFUNCTION("""COMPUTED_VALUE"""),"呂宜靜")</f>
        <v>呂宜靜</v>
      </c>
    </row>
    <row r="816" spans="1:5" ht="15" customHeight="1">
      <c r="A816" s="121" t="str">
        <f t="shared" ca="1" si="1"/>
        <v/>
      </c>
      <c r="B816" t="str">
        <f t="shared" ca="1" si="2"/>
        <v/>
      </c>
      <c r="C816" s="206" t="str">
        <f ca="1">IFERROR(__xludf.DUMMYFUNCTION("""COMPUTED_VALUE"""),"AB001303")</f>
        <v>AB001303</v>
      </c>
      <c r="D816" t="str">
        <f ca="1">IFERROR(__xludf.DUMMYFUNCTION("""COMPUTED_VALUE"""),"")</f>
        <v/>
      </c>
      <c r="E816" t="str">
        <f ca="1">IFERROR(__xludf.DUMMYFUNCTION("""COMPUTED_VALUE"""),"平出莊司")</f>
        <v>平出莊司</v>
      </c>
    </row>
    <row r="817" spans="1:5" ht="15" customHeight="1">
      <c r="A817" s="121" t="str">
        <f t="shared" ca="1" si="1"/>
        <v/>
      </c>
      <c r="B817" t="str">
        <f t="shared" ca="1" si="2"/>
        <v/>
      </c>
      <c r="C817" s="206" t="str">
        <f ca="1">IFERROR(__xludf.DUMMYFUNCTION("""COMPUTED_VALUE"""),"AB001234")</f>
        <v>AB001234</v>
      </c>
      <c r="D817" t="str">
        <f ca="1">IFERROR(__xludf.DUMMYFUNCTION("""COMPUTED_VALUE"""),"")</f>
        <v/>
      </c>
      <c r="E817" t="str">
        <f ca="1">IFERROR(__xludf.DUMMYFUNCTION("""COMPUTED_VALUE"""),"施惠月")</f>
        <v>施惠月</v>
      </c>
    </row>
    <row r="818" spans="1:5" ht="15" customHeight="1">
      <c r="A818" s="121" t="str">
        <f t="shared" ca="1" si="1"/>
        <v/>
      </c>
      <c r="B818" t="str">
        <f t="shared" ca="1" si="2"/>
        <v/>
      </c>
      <c r="C818" s="206" t="str">
        <f ca="1">IFERROR(__xludf.DUMMYFUNCTION("""COMPUTED_VALUE"""),"AB001235")</f>
        <v>AB001235</v>
      </c>
      <c r="D818" t="str">
        <f ca="1">IFERROR(__xludf.DUMMYFUNCTION("""COMPUTED_VALUE"""),"")</f>
        <v/>
      </c>
      <c r="E818" t="str">
        <f ca="1">IFERROR(__xludf.DUMMYFUNCTION("""COMPUTED_VALUE"""),"楊馥寧")</f>
        <v>楊馥寧</v>
      </c>
    </row>
    <row r="819" spans="1:5" ht="15" customHeight="1">
      <c r="A819" s="121" t="str">
        <f t="shared" ca="1" si="1"/>
        <v/>
      </c>
      <c r="B819" t="str">
        <f t="shared" ca="1" si="2"/>
        <v/>
      </c>
      <c r="C819" s="206" t="str">
        <f ca="1">IFERROR(__xludf.DUMMYFUNCTION("""COMPUTED_VALUE"""),"AB001270")</f>
        <v>AB001270</v>
      </c>
      <c r="D819" t="str">
        <f ca="1">IFERROR(__xludf.DUMMYFUNCTION("""COMPUTED_VALUE"""),"")</f>
        <v/>
      </c>
      <c r="E819" t="str">
        <f ca="1">IFERROR(__xludf.DUMMYFUNCTION("""COMPUTED_VALUE"""),"鄭于真")</f>
        <v>鄭于真</v>
      </c>
    </row>
    <row r="820" spans="1:5" ht="15" customHeight="1">
      <c r="A820" s="121" t="str">
        <f t="shared" ca="1" si="1"/>
        <v/>
      </c>
      <c r="B820" t="str">
        <f t="shared" ca="1" si="2"/>
        <v/>
      </c>
      <c r="C820" s="206" t="str">
        <f ca="1">IFERROR(__xludf.DUMMYFUNCTION("""COMPUTED_VALUE"""),"AB001270")</f>
        <v>AB001270</v>
      </c>
      <c r="D820" t="str">
        <f ca="1">IFERROR(__xludf.DUMMYFUNCTION("""COMPUTED_VALUE"""),"")</f>
        <v/>
      </c>
      <c r="E820" t="str">
        <f ca="1">IFERROR(__xludf.DUMMYFUNCTION("""COMPUTED_VALUE"""),"鄭于真")</f>
        <v>鄭于真</v>
      </c>
    </row>
    <row r="821" spans="1:5" ht="15" customHeight="1">
      <c r="A821" s="121" t="str">
        <f t="shared" ca="1" si="1"/>
        <v/>
      </c>
      <c r="B821" t="str">
        <f t="shared" ca="1" si="2"/>
        <v/>
      </c>
      <c r="C821" t="str">
        <f ca="1">IFERROR(__xludf.DUMMYFUNCTION("""COMPUTED_VALUE"""),"AB001236")</f>
        <v>AB001236</v>
      </c>
      <c r="D821" t="str">
        <f ca="1">IFERROR(__xludf.DUMMYFUNCTION("""COMPUTED_VALUE"""),"")</f>
        <v/>
      </c>
      <c r="E821" t="str">
        <f ca="1">IFERROR(__xludf.DUMMYFUNCTION("""COMPUTED_VALUE"""),"呂秋蓮")</f>
        <v>呂秋蓮</v>
      </c>
    </row>
    <row r="822" spans="1:5" ht="15" customHeight="1">
      <c r="A822" s="121" t="str">
        <f t="shared" ca="1" si="1"/>
        <v/>
      </c>
      <c r="B822" t="str">
        <f t="shared" ca="1" si="2"/>
        <v/>
      </c>
      <c r="C822" t="str">
        <f ca="1">IFERROR(__xludf.DUMMYFUNCTION("""COMPUTED_VALUE"""),"AB001236")</f>
        <v>AB001236</v>
      </c>
      <c r="D822" t="str">
        <f ca="1">IFERROR(__xludf.DUMMYFUNCTION("""COMPUTED_VALUE"""),"")</f>
        <v/>
      </c>
      <c r="E822" t="str">
        <f ca="1">IFERROR(__xludf.DUMMYFUNCTION("""COMPUTED_VALUE"""),"呂秋蓮")</f>
        <v>呂秋蓮</v>
      </c>
    </row>
    <row r="823" spans="1:5" ht="15" customHeight="1">
      <c r="A823" s="121" t="str">
        <f t="shared" ca="1" si="1"/>
        <v/>
      </c>
      <c r="B823" t="str">
        <f t="shared" ca="1" si="2"/>
        <v/>
      </c>
      <c r="C823" t="str">
        <f ca="1">IFERROR(__xludf.DUMMYFUNCTION("""COMPUTED_VALUE"""),"AB001237")</f>
        <v>AB001237</v>
      </c>
      <c r="D823" t="str">
        <f ca="1">IFERROR(__xludf.DUMMYFUNCTION("""COMPUTED_VALUE"""),"")</f>
        <v/>
      </c>
      <c r="E823" t="str">
        <f ca="1">IFERROR(__xludf.DUMMYFUNCTION("""COMPUTED_VALUE"""),"陳玉芬")</f>
        <v>陳玉芬</v>
      </c>
    </row>
    <row r="824" spans="1:5" ht="15" customHeight="1">
      <c r="A824" s="121" t="str">
        <f t="shared" ca="1" si="1"/>
        <v/>
      </c>
      <c r="B824" t="str">
        <f t="shared" ca="1" si="2"/>
        <v/>
      </c>
      <c r="C824" t="str">
        <f ca="1">IFERROR(__xludf.DUMMYFUNCTION("""COMPUTED_VALUE"""),"AB001271")</f>
        <v>AB001271</v>
      </c>
      <c r="D824" t="str">
        <f ca="1">IFERROR(__xludf.DUMMYFUNCTION("""COMPUTED_VALUE"""),"")</f>
        <v/>
      </c>
      <c r="E824" t="str">
        <f ca="1">IFERROR(__xludf.DUMMYFUNCTION("""COMPUTED_VALUE"""),"持盈企業宥限公司")</f>
        <v>持盈企業宥限公司</v>
      </c>
    </row>
    <row r="825" spans="1:5" ht="15" customHeight="1">
      <c r="A825" s="121" t="str">
        <f t="shared" ca="1" si="1"/>
        <v/>
      </c>
      <c r="B825" t="str">
        <f t="shared" ca="1" si="2"/>
        <v/>
      </c>
      <c r="C825" t="str">
        <f ca="1">IFERROR(__xludf.DUMMYFUNCTION("""COMPUTED_VALUE"""),"AB001238")</f>
        <v>AB001238</v>
      </c>
      <c r="D825" t="str">
        <f ca="1">IFERROR(__xludf.DUMMYFUNCTION("""COMPUTED_VALUE"""),"")</f>
        <v/>
      </c>
      <c r="E825" t="str">
        <f ca="1">IFERROR(__xludf.DUMMYFUNCTION("""COMPUTED_VALUE"""),"蘇莉晴")</f>
        <v>蘇莉晴</v>
      </c>
    </row>
    <row r="826" spans="1:5" ht="15" customHeight="1">
      <c r="A826" s="121" t="str">
        <f t="shared" ca="1" si="1"/>
        <v>AB001141</v>
      </c>
      <c r="B826" t="str">
        <f t="shared" ca="1" si="2"/>
        <v>耐斯診所</v>
      </c>
      <c r="C826" t="str">
        <f ca="1">IFERROR(__xludf.DUMMYFUNCTION("""COMPUTED_VALUE"""),"AB001141")</f>
        <v>AB001141</v>
      </c>
      <c r="D826" s="214" t="str">
        <f ca="1">IFERROR(__xludf.DUMMYFUNCTION("""COMPUTED_VALUE"""),"v")</f>
        <v>v</v>
      </c>
      <c r="E826" t="str">
        <f ca="1">IFERROR(__xludf.DUMMYFUNCTION("""COMPUTED_VALUE"""),"耐斯診所")</f>
        <v>耐斯診所</v>
      </c>
    </row>
    <row r="827" spans="1:5" ht="15" customHeight="1">
      <c r="A827" s="121" t="str">
        <f t="shared" ca="1" si="1"/>
        <v>AB001141</v>
      </c>
      <c r="B827" t="str">
        <f t="shared" ca="1" si="2"/>
        <v>耐斯診所</v>
      </c>
      <c r="C827" t="str">
        <f ca="1">IFERROR(__xludf.DUMMYFUNCTION("""COMPUTED_VALUE"""),"AB001141")</f>
        <v>AB001141</v>
      </c>
      <c r="D827" s="214" t="str">
        <f ca="1">IFERROR(__xludf.DUMMYFUNCTION("""COMPUTED_VALUE"""),"v")</f>
        <v>v</v>
      </c>
      <c r="E827" t="str">
        <f ca="1">IFERROR(__xludf.DUMMYFUNCTION("""COMPUTED_VALUE"""),"耐斯診所")</f>
        <v>耐斯診所</v>
      </c>
    </row>
    <row r="828" spans="1:5" ht="15" customHeight="1">
      <c r="A828" s="121" t="str">
        <f t="shared" ca="1" si="1"/>
        <v/>
      </c>
      <c r="B828" t="str">
        <f t="shared" ca="1" si="2"/>
        <v/>
      </c>
      <c r="C828" t="str">
        <f ca="1">IFERROR(__xludf.DUMMYFUNCTION("""COMPUTED_VALUE"""),"AB001142")</f>
        <v>AB001142</v>
      </c>
      <c r="D828" t="str">
        <f ca="1">IFERROR(__xludf.DUMMYFUNCTION("""COMPUTED_VALUE"""),"")</f>
        <v/>
      </c>
      <c r="E828" t="str">
        <f ca="1">IFERROR(__xludf.DUMMYFUNCTION("""COMPUTED_VALUE"""),"張政文")</f>
        <v>張政文</v>
      </c>
    </row>
    <row r="829" spans="1:5" ht="15" customHeight="1">
      <c r="A829" s="121" t="str">
        <f t="shared" ca="1" si="1"/>
        <v/>
      </c>
      <c r="B829" t="str">
        <f t="shared" ca="1" si="2"/>
        <v/>
      </c>
      <c r="C829" t="str">
        <f ca="1">IFERROR(__xludf.DUMMYFUNCTION("""COMPUTED_VALUE"""),"AB001138")</f>
        <v>AB001138</v>
      </c>
      <c r="D829" t="str">
        <f ca="1">IFERROR(__xludf.DUMMYFUNCTION("""COMPUTED_VALUE"""),"")</f>
        <v/>
      </c>
      <c r="E829" t="str">
        <f ca="1">IFERROR(__xludf.DUMMYFUNCTION("""COMPUTED_VALUE"""),"耐斯醫美診所")</f>
        <v>耐斯醫美診所</v>
      </c>
    </row>
    <row r="830" spans="1:5" ht="15" customHeight="1">
      <c r="A830" s="121" t="str">
        <f t="shared" ca="1" si="1"/>
        <v/>
      </c>
      <c r="B830" t="str">
        <f t="shared" ca="1" si="2"/>
        <v/>
      </c>
      <c r="C830" t="str">
        <f ca="1">IFERROR(__xludf.DUMMYFUNCTION("""COMPUTED_VALUE"""),"AB001138")</f>
        <v>AB001138</v>
      </c>
      <c r="D830" t="str">
        <f ca="1">IFERROR(__xludf.DUMMYFUNCTION("""COMPUTED_VALUE"""),"")</f>
        <v/>
      </c>
      <c r="E830" t="str">
        <f ca="1">IFERROR(__xludf.DUMMYFUNCTION("""COMPUTED_VALUE"""),"耐斯醫美診所")</f>
        <v>耐斯醫美診所</v>
      </c>
    </row>
    <row r="831" spans="1:5" ht="15" customHeight="1">
      <c r="A831" s="121" t="str">
        <f t="shared" ca="1" si="1"/>
        <v/>
      </c>
      <c r="B831" t="str">
        <f t="shared" ca="1" si="2"/>
        <v/>
      </c>
      <c r="C831" t="str">
        <f ca="1">IFERROR(__xludf.DUMMYFUNCTION("""COMPUTED_VALUE"""),"AB001239")</f>
        <v>AB001239</v>
      </c>
      <c r="D831" t="str">
        <f ca="1">IFERROR(__xludf.DUMMYFUNCTION("""COMPUTED_VALUE"""),"")</f>
        <v/>
      </c>
      <c r="E831" t="str">
        <f ca="1">IFERROR(__xludf.DUMMYFUNCTION("""COMPUTED_VALUE"""),"何采凌")</f>
        <v>何采凌</v>
      </c>
    </row>
    <row r="832" spans="1:5" ht="15" customHeight="1">
      <c r="A832" s="121" t="str">
        <f t="shared" ca="1" si="1"/>
        <v/>
      </c>
      <c r="B832" t="str">
        <f t="shared" ca="1" si="2"/>
        <v/>
      </c>
      <c r="C832" t="str">
        <f ca="1">IFERROR(__xludf.DUMMYFUNCTION("""COMPUTED_VALUE"""),"AB001273")</f>
        <v>AB001273</v>
      </c>
      <c r="D832" t="str">
        <f ca="1">IFERROR(__xludf.DUMMYFUNCTION("""COMPUTED_VALUE"""),"")</f>
        <v/>
      </c>
      <c r="E832" t="str">
        <f ca="1">IFERROR(__xludf.DUMMYFUNCTION("""COMPUTED_VALUE"""),"持盈企業有限公")</f>
        <v>持盈企業有限公</v>
      </c>
    </row>
    <row r="833" spans="1:5" ht="15" customHeight="1">
      <c r="A833" s="121" t="str">
        <f t="shared" ca="1" si="1"/>
        <v/>
      </c>
      <c r="B833" t="str">
        <f t="shared" ca="1" si="2"/>
        <v/>
      </c>
      <c r="C833" t="str">
        <f ca="1">IFERROR(__xludf.DUMMYFUNCTION("""COMPUTED_VALUE"""),"AB001272")</f>
        <v>AB001272</v>
      </c>
      <c r="D833" t="str">
        <f ca="1">IFERROR(__xludf.DUMMYFUNCTION("""COMPUTED_VALUE"""),"")</f>
        <v/>
      </c>
      <c r="E833" t="str">
        <f ca="1">IFERROR(__xludf.DUMMYFUNCTION("""COMPUTED_VALUE"""),"林秀娟")</f>
        <v>林秀娟</v>
      </c>
    </row>
    <row r="834" spans="1:5" ht="15" customHeight="1">
      <c r="A834" s="121" t="str">
        <f t="shared" ca="1" si="1"/>
        <v/>
      </c>
      <c r="B834" t="str">
        <f t="shared" ca="1" si="2"/>
        <v/>
      </c>
      <c r="C834">
        <f ca="1">IFERROR(__xludf.DUMMYFUNCTION("""COMPUTED_VALUE"""),20190603)</f>
        <v>20190603</v>
      </c>
      <c r="D834" t="str">
        <f ca="1">IFERROR(__xludf.DUMMYFUNCTION("""COMPUTED_VALUE"""),"")</f>
        <v/>
      </c>
      <c r="E834" t="str">
        <f ca="1">IFERROR(__xludf.DUMMYFUNCTION("""COMPUTED_VALUE"""),"林秀娟")</f>
        <v>林秀娟</v>
      </c>
    </row>
    <row r="835" spans="1:5" ht="15" customHeight="1">
      <c r="A835" s="121" t="str">
        <f t="shared" ca="1" si="1"/>
        <v/>
      </c>
      <c r="B835" t="str">
        <f t="shared" ca="1" si="2"/>
        <v/>
      </c>
      <c r="C835" t="str">
        <f ca="1">IFERROR(__xludf.DUMMYFUNCTION("""COMPUTED_VALUE"""),"AB001240")</f>
        <v>AB001240</v>
      </c>
      <c r="D835" t="str">
        <f ca="1">IFERROR(__xludf.DUMMYFUNCTION("""COMPUTED_VALUE"""),"")</f>
        <v/>
      </c>
      <c r="E835" t="str">
        <f ca="1">IFERROR(__xludf.DUMMYFUNCTION("""COMPUTED_VALUE"""),"林淑英")</f>
        <v>林淑英</v>
      </c>
    </row>
    <row r="836" spans="1:5" ht="15" customHeight="1">
      <c r="A836" s="121" t="str">
        <f t="shared" ca="1" si="1"/>
        <v/>
      </c>
      <c r="B836" t="str">
        <f t="shared" ca="1" si="2"/>
        <v/>
      </c>
      <c r="C836" t="str">
        <f ca="1">IFERROR(__xludf.DUMMYFUNCTION("""COMPUTED_VALUE"""),"AB001243")</f>
        <v>AB001243</v>
      </c>
      <c r="D836" t="str">
        <f ca="1">IFERROR(__xludf.DUMMYFUNCTION("""COMPUTED_VALUE"""),"")</f>
        <v/>
      </c>
      <c r="E836" t="str">
        <f ca="1">IFERROR(__xludf.DUMMYFUNCTION("""COMPUTED_VALUE"""),"林素菁")</f>
        <v>林素菁</v>
      </c>
    </row>
    <row r="837" spans="1:5" ht="15" customHeight="1">
      <c r="A837" s="121" t="str">
        <f t="shared" ca="1" si="1"/>
        <v/>
      </c>
      <c r="B837" t="str">
        <f t="shared" ca="1" si="2"/>
        <v/>
      </c>
      <c r="C837" t="str">
        <f ca="1">IFERROR(__xludf.DUMMYFUNCTION("""COMPUTED_VALUE"""),"AB001242")</f>
        <v>AB001242</v>
      </c>
      <c r="D837" t="str">
        <f ca="1">IFERROR(__xludf.DUMMYFUNCTION("""COMPUTED_VALUE"""),"")</f>
        <v/>
      </c>
      <c r="E837" t="str">
        <f ca="1">IFERROR(__xludf.DUMMYFUNCTION("""COMPUTED_VALUE"""),"徐展圖")</f>
        <v>徐展圖</v>
      </c>
    </row>
    <row r="838" spans="1:5" ht="15" customHeight="1">
      <c r="A838" s="121" t="str">
        <f t="shared" ca="1" si="1"/>
        <v/>
      </c>
      <c r="B838" t="str">
        <f t="shared" ca="1" si="2"/>
        <v/>
      </c>
      <c r="C838" t="str">
        <f ca="1">IFERROR(__xludf.DUMMYFUNCTION("""COMPUTED_VALUE"""),"AB001242")</f>
        <v>AB001242</v>
      </c>
      <c r="D838" t="str">
        <f ca="1">IFERROR(__xludf.DUMMYFUNCTION("""COMPUTED_VALUE"""),"")</f>
        <v/>
      </c>
      <c r="E838" t="str">
        <f ca="1">IFERROR(__xludf.DUMMYFUNCTION("""COMPUTED_VALUE"""),"徐展圖")</f>
        <v>徐展圖</v>
      </c>
    </row>
    <row r="839" spans="1:5" ht="15" customHeight="1">
      <c r="A839" s="121" t="str">
        <f t="shared" ca="1" si="1"/>
        <v/>
      </c>
      <c r="B839" t="str">
        <f t="shared" ca="1" si="2"/>
        <v/>
      </c>
      <c r="C839" t="str">
        <f ca="1">IFERROR(__xludf.DUMMYFUNCTION("""COMPUTED_VALUE"""),"AB001241")</f>
        <v>AB001241</v>
      </c>
      <c r="D839" t="str">
        <f ca="1">IFERROR(__xludf.DUMMYFUNCTION("""COMPUTED_VALUE"""),"")</f>
        <v/>
      </c>
      <c r="E839" t="str">
        <f ca="1">IFERROR(__xludf.DUMMYFUNCTION("""COMPUTED_VALUE"""),"張雪婷")</f>
        <v>張雪婷</v>
      </c>
    </row>
    <row r="840" spans="1:5" ht="15" customHeight="1">
      <c r="A840" s="121" t="str">
        <f t="shared" ca="1" si="1"/>
        <v/>
      </c>
      <c r="B840" t="str">
        <f t="shared" ca="1" si="2"/>
        <v/>
      </c>
      <c r="C840" t="str">
        <f ca="1">IFERROR(__xludf.DUMMYFUNCTION("""COMPUTED_VALUE"""),"AB001241")</f>
        <v>AB001241</v>
      </c>
      <c r="D840" t="str">
        <f ca="1">IFERROR(__xludf.DUMMYFUNCTION("""COMPUTED_VALUE"""),"")</f>
        <v/>
      </c>
      <c r="E840" t="str">
        <f ca="1">IFERROR(__xludf.DUMMYFUNCTION("""COMPUTED_VALUE"""),"張雪婷")</f>
        <v>張雪婷</v>
      </c>
    </row>
    <row r="841" spans="1:5" ht="15" customHeight="1">
      <c r="A841" s="121" t="str">
        <f t="shared" ca="1" si="1"/>
        <v/>
      </c>
      <c r="B841" t="str">
        <f t="shared" ca="1" si="2"/>
        <v/>
      </c>
      <c r="C841" t="str">
        <f ca="1">IFERROR(__xludf.DUMMYFUNCTION("""COMPUTED_VALUE"""),"AB001244")</f>
        <v>AB001244</v>
      </c>
      <c r="D841" t="str">
        <f ca="1">IFERROR(__xludf.DUMMYFUNCTION("""COMPUTED_VALUE"""),"")</f>
        <v/>
      </c>
      <c r="E841" t="str">
        <f ca="1">IFERROR(__xludf.DUMMYFUNCTION("""COMPUTED_VALUE"""),"廖碧好")</f>
        <v>廖碧好</v>
      </c>
    </row>
    <row r="842" spans="1:5" ht="15" customHeight="1">
      <c r="A842" s="121" t="str">
        <f t="shared" ca="1" si="1"/>
        <v/>
      </c>
      <c r="B842" t="str">
        <f t="shared" ca="1" si="2"/>
        <v/>
      </c>
      <c r="C842" t="str">
        <f ca="1">IFERROR(__xludf.DUMMYFUNCTION("""COMPUTED_VALUE"""),"AB001304")</f>
        <v>AB001304</v>
      </c>
      <c r="D842" t="str">
        <f ca="1">IFERROR(__xludf.DUMMYFUNCTION("""COMPUTED_VALUE"""),"")</f>
        <v/>
      </c>
      <c r="E842" t="str">
        <f ca="1">IFERROR(__xludf.DUMMYFUNCTION("""COMPUTED_VALUE"""),"李育庭")</f>
        <v>李育庭</v>
      </c>
    </row>
    <row r="843" spans="1:5" ht="15" customHeight="1">
      <c r="A843" s="121" t="str">
        <f t="shared" ca="1" si="1"/>
        <v/>
      </c>
      <c r="B843" t="str">
        <f t="shared" ca="1" si="2"/>
        <v/>
      </c>
      <c r="C843" t="str">
        <f ca="1">IFERROR(__xludf.DUMMYFUNCTION("""COMPUTED_VALUE"""),"AB001304")</f>
        <v>AB001304</v>
      </c>
      <c r="D843" t="str">
        <f ca="1">IFERROR(__xludf.DUMMYFUNCTION("""COMPUTED_VALUE"""),"")</f>
        <v/>
      </c>
      <c r="E843" t="str">
        <f ca="1">IFERROR(__xludf.DUMMYFUNCTION("""COMPUTED_VALUE"""),"李育庭")</f>
        <v>李育庭</v>
      </c>
    </row>
    <row r="844" spans="1:5" ht="15" customHeight="1">
      <c r="A844" s="121" t="str">
        <f t="shared" ca="1" si="1"/>
        <v/>
      </c>
      <c r="B844" t="str">
        <f t="shared" ca="1" si="2"/>
        <v/>
      </c>
      <c r="C844" t="str">
        <f ca="1">IFERROR(__xludf.DUMMYFUNCTION("""COMPUTED_VALUE"""),"AB001304")</f>
        <v>AB001304</v>
      </c>
      <c r="D844" t="str">
        <f ca="1">IFERROR(__xludf.DUMMYFUNCTION("""COMPUTED_VALUE"""),"")</f>
        <v/>
      </c>
      <c r="E844" t="str">
        <f ca="1">IFERROR(__xludf.DUMMYFUNCTION("""COMPUTED_VALUE"""),"李育庭")</f>
        <v>李育庭</v>
      </c>
    </row>
    <row r="845" spans="1:5" ht="15" customHeight="1">
      <c r="A845" s="121" t="str">
        <f t="shared" ca="1" si="1"/>
        <v/>
      </c>
      <c r="B845" t="str">
        <f t="shared" ca="1" si="2"/>
        <v/>
      </c>
      <c r="C845" t="str">
        <f ca="1">IFERROR(__xludf.DUMMYFUNCTION("""COMPUTED_VALUE"""),"AB001304")</f>
        <v>AB001304</v>
      </c>
      <c r="D845" t="str">
        <f ca="1">IFERROR(__xludf.DUMMYFUNCTION("""COMPUTED_VALUE"""),"")</f>
        <v/>
      </c>
      <c r="E845" t="str">
        <f ca="1">IFERROR(__xludf.DUMMYFUNCTION("""COMPUTED_VALUE"""),"李育庭")</f>
        <v>李育庭</v>
      </c>
    </row>
    <row r="846" spans="1:5" ht="15" customHeight="1">
      <c r="A846" s="121" t="str">
        <f t="shared" ca="1" si="1"/>
        <v/>
      </c>
      <c r="B846" t="str">
        <f t="shared" ca="1" si="2"/>
        <v/>
      </c>
      <c r="C846" t="str">
        <f ca="1">IFERROR(__xludf.DUMMYFUNCTION("""COMPUTED_VALUE"""),"AB001304")</f>
        <v>AB001304</v>
      </c>
      <c r="D846" t="str">
        <f ca="1">IFERROR(__xludf.DUMMYFUNCTION("""COMPUTED_VALUE"""),"")</f>
        <v/>
      </c>
      <c r="E846" t="str">
        <f ca="1">IFERROR(__xludf.DUMMYFUNCTION("""COMPUTED_VALUE"""),"李育庭")</f>
        <v>李育庭</v>
      </c>
    </row>
    <row r="847" spans="1:5" ht="15" customHeight="1">
      <c r="A847" s="121" t="str">
        <f t="shared" ca="1" si="1"/>
        <v/>
      </c>
      <c r="B847" t="str">
        <f t="shared" ca="1" si="2"/>
        <v/>
      </c>
      <c r="C847" t="str">
        <f ca="1">IFERROR(__xludf.DUMMYFUNCTION("""COMPUTED_VALUE"""),"AB001304")</f>
        <v>AB001304</v>
      </c>
      <c r="D847" t="str">
        <f ca="1">IFERROR(__xludf.DUMMYFUNCTION("""COMPUTED_VALUE"""),"")</f>
        <v/>
      </c>
      <c r="E847" t="str">
        <f ca="1">IFERROR(__xludf.DUMMYFUNCTION("""COMPUTED_VALUE"""),"李育庭")</f>
        <v>李育庭</v>
      </c>
    </row>
    <row r="848" spans="1:5" ht="15" customHeight="1">
      <c r="A848" s="121" t="str">
        <f t="shared" ca="1" si="1"/>
        <v/>
      </c>
      <c r="B848" t="str">
        <f t="shared" ca="1" si="2"/>
        <v/>
      </c>
      <c r="C848" t="str">
        <f ca="1">IFERROR(__xludf.DUMMYFUNCTION("""COMPUTED_VALUE"""),"AB001304")</f>
        <v>AB001304</v>
      </c>
      <c r="D848" t="str">
        <f ca="1">IFERROR(__xludf.DUMMYFUNCTION("""COMPUTED_VALUE"""),"")</f>
        <v/>
      </c>
      <c r="E848" t="str">
        <f ca="1">IFERROR(__xludf.DUMMYFUNCTION("""COMPUTED_VALUE"""),"李育庭")</f>
        <v>李育庭</v>
      </c>
    </row>
    <row r="849" spans="1:5" ht="15" customHeight="1">
      <c r="A849" s="121" t="str">
        <f t="shared" ca="1" si="1"/>
        <v/>
      </c>
      <c r="B849" t="str">
        <f t="shared" ca="1" si="2"/>
        <v/>
      </c>
      <c r="C849" t="str">
        <f ca="1">IFERROR(__xludf.DUMMYFUNCTION("""COMPUTED_VALUE"""),"AB001304")</f>
        <v>AB001304</v>
      </c>
      <c r="D849" t="str">
        <f ca="1">IFERROR(__xludf.DUMMYFUNCTION("""COMPUTED_VALUE"""),"")</f>
        <v/>
      </c>
      <c r="E849" t="str">
        <f ca="1">IFERROR(__xludf.DUMMYFUNCTION("""COMPUTED_VALUE"""),"李育庭")</f>
        <v>李育庭</v>
      </c>
    </row>
    <row r="850" spans="1:5" ht="15" customHeight="1">
      <c r="A850" s="121" t="str">
        <f t="shared" ca="1" si="1"/>
        <v/>
      </c>
      <c r="B850" t="str">
        <f t="shared" ca="1" si="2"/>
        <v/>
      </c>
      <c r="C850" t="str">
        <f ca="1">IFERROR(__xludf.DUMMYFUNCTION("""COMPUTED_VALUE"""),"AB001245")</f>
        <v>AB001245</v>
      </c>
      <c r="D850" t="str">
        <f ca="1">IFERROR(__xludf.DUMMYFUNCTION("""COMPUTED_VALUE"""),"")</f>
        <v/>
      </c>
      <c r="E850" t="str">
        <f ca="1">IFERROR(__xludf.DUMMYFUNCTION("""COMPUTED_VALUE"""),"黃孝親")</f>
        <v>黃孝親</v>
      </c>
    </row>
    <row r="851" spans="1:5" ht="15" customHeight="1">
      <c r="A851" s="121" t="str">
        <f t="shared" ca="1" si="1"/>
        <v/>
      </c>
      <c r="B851" t="str">
        <f t="shared" ca="1" si="2"/>
        <v/>
      </c>
      <c r="C851" t="str">
        <f ca="1">IFERROR(__xludf.DUMMYFUNCTION("""COMPUTED_VALUE"""),"AB001246")</f>
        <v>AB001246</v>
      </c>
      <c r="D851" t="str">
        <f ca="1">IFERROR(__xludf.DUMMYFUNCTION("""COMPUTED_VALUE"""),"")</f>
        <v/>
      </c>
      <c r="E851" t="str">
        <f ca="1">IFERROR(__xludf.DUMMYFUNCTION("""COMPUTED_VALUE"""),"陳森榮")</f>
        <v>陳森榮</v>
      </c>
    </row>
    <row r="852" spans="1:5" ht="15" customHeight="1">
      <c r="A852" s="121" t="str">
        <f t="shared" ca="1" si="1"/>
        <v/>
      </c>
      <c r="B852" t="str">
        <f t="shared" ca="1" si="2"/>
        <v/>
      </c>
      <c r="C852" t="str">
        <f ca="1">IFERROR(__xludf.DUMMYFUNCTION("""COMPUTED_VALUE"""),"AB001247")</f>
        <v>AB001247</v>
      </c>
      <c r="D852" t="str">
        <f ca="1">IFERROR(__xludf.DUMMYFUNCTION("""COMPUTED_VALUE"""),"")</f>
        <v/>
      </c>
      <c r="E852" t="str">
        <f ca="1">IFERROR(__xludf.DUMMYFUNCTION("""COMPUTED_VALUE"""),"大江生醫股份有限公司")</f>
        <v>大江生醫股份有限公司</v>
      </c>
    </row>
    <row r="853" spans="1:5" ht="15" customHeight="1">
      <c r="A853" s="121" t="str">
        <f t="shared" ca="1" si="1"/>
        <v/>
      </c>
      <c r="B853" t="str">
        <f t="shared" ca="1" si="2"/>
        <v/>
      </c>
      <c r="C853" t="str">
        <f ca="1">IFERROR(__xludf.DUMMYFUNCTION("""COMPUTED_VALUE"""),"AB001248")</f>
        <v>AB001248</v>
      </c>
      <c r="D853" t="str">
        <f ca="1">IFERROR(__xludf.DUMMYFUNCTION("""COMPUTED_VALUE"""),"")</f>
        <v/>
      </c>
      <c r="E853" t="str">
        <f ca="1">IFERROR(__xludf.DUMMYFUNCTION("""COMPUTED_VALUE"""),"陳盈瑞")</f>
        <v>陳盈瑞</v>
      </c>
    </row>
    <row r="854" spans="1:5" ht="15" customHeight="1">
      <c r="A854" s="121" t="str">
        <f t="shared" ca="1" si="1"/>
        <v/>
      </c>
      <c r="B854" t="str">
        <f t="shared" ca="1" si="2"/>
        <v/>
      </c>
      <c r="C854" t="str">
        <f ca="1">IFERROR(__xludf.DUMMYFUNCTION("""COMPUTED_VALUE"""),"AB001275")</f>
        <v>AB001275</v>
      </c>
      <c r="D854" t="str">
        <f ca="1">IFERROR(__xludf.DUMMYFUNCTION("""COMPUTED_VALUE"""),"")</f>
        <v/>
      </c>
      <c r="E854" t="str">
        <f ca="1">IFERROR(__xludf.DUMMYFUNCTION("""COMPUTED_VALUE"""),"張紅梅")</f>
        <v>張紅梅</v>
      </c>
    </row>
    <row r="855" spans="1:5" ht="15" customHeight="1">
      <c r="A855" s="121" t="str">
        <f t="shared" ca="1" si="1"/>
        <v/>
      </c>
      <c r="B855" t="str">
        <f t="shared" ca="1" si="2"/>
        <v/>
      </c>
      <c r="C855" t="str">
        <f ca="1">IFERROR(__xludf.DUMMYFUNCTION("""COMPUTED_VALUE"""),"AB001249")</f>
        <v>AB001249</v>
      </c>
      <c r="D855" t="str">
        <f ca="1">IFERROR(__xludf.DUMMYFUNCTION("""COMPUTED_VALUE"""),"")</f>
        <v/>
      </c>
      <c r="E855" t="str">
        <f ca="1">IFERROR(__xludf.DUMMYFUNCTION("""COMPUTED_VALUE"""),"盧保田")</f>
        <v>盧保田</v>
      </c>
    </row>
    <row r="856" spans="1:5" ht="15" customHeight="1">
      <c r="A856" s="121" t="str">
        <f t="shared" ca="1" si="1"/>
        <v/>
      </c>
      <c r="B856" t="str">
        <f t="shared" ca="1" si="2"/>
        <v/>
      </c>
      <c r="C856" t="str">
        <f ca="1">IFERROR(__xludf.DUMMYFUNCTION("""COMPUTED_VALUE"""),"AB001249")</f>
        <v>AB001249</v>
      </c>
      <c r="D856" t="str">
        <f ca="1">IFERROR(__xludf.DUMMYFUNCTION("""COMPUTED_VALUE"""),"")</f>
        <v/>
      </c>
      <c r="E856" t="str">
        <f ca="1">IFERROR(__xludf.DUMMYFUNCTION("""COMPUTED_VALUE"""),"盧保田")</f>
        <v>盧保田</v>
      </c>
    </row>
    <row r="857" spans="1:5" ht="15" customHeight="1">
      <c r="A857" s="121" t="str">
        <f t="shared" ca="1" si="1"/>
        <v/>
      </c>
      <c r="B857" t="str">
        <f t="shared" ca="1" si="2"/>
        <v/>
      </c>
      <c r="C857" t="str">
        <f ca="1">IFERROR(__xludf.DUMMYFUNCTION("""COMPUTED_VALUE"""),"AB001305")</f>
        <v>AB001305</v>
      </c>
      <c r="D857" t="str">
        <f ca="1">IFERROR(__xludf.DUMMYFUNCTION("""COMPUTED_VALUE"""),"")</f>
        <v/>
      </c>
      <c r="E857" t="str">
        <f ca="1">IFERROR(__xludf.DUMMYFUNCTION("""COMPUTED_VALUE"""),"李育庭")</f>
        <v>李育庭</v>
      </c>
    </row>
    <row r="858" spans="1:5" ht="15" customHeight="1">
      <c r="A858" s="121" t="str">
        <f t="shared" ca="1" si="1"/>
        <v/>
      </c>
      <c r="B858" t="str">
        <f t="shared" ca="1" si="2"/>
        <v/>
      </c>
      <c r="C858" t="str">
        <f ca="1">IFERROR(__xludf.DUMMYFUNCTION("""COMPUTED_VALUE"""),"AB001305")</f>
        <v>AB001305</v>
      </c>
      <c r="D858" t="str">
        <f ca="1">IFERROR(__xludf.DUMMYFUNCTION("""COMPUTED_VALUE"""),"")</f>
        <v/>
      </c>
      <c r="E858" t="str">
        <f ca="1">IFERROR(__xludf.DUMMYFUNCTION("""COMPUTED_VALUE"""),"李育庭")</f>
        <v>李育庭</v>
      </c>
    </row>
    <row r="859" spans="1:5" ht="15" customHeight="1">
      <c r="A859" s="121" t="str">
        <f t="shared" ca="1" si="1"/>
        <v/>
      </c>
      <c r="B859" t="str">
        <f t="shared" ca="1" si="2"/>
        <v/>
      </c>
      <c r="C859" t="str">
        <f ca="1">IFERROR(__xludf.DUMMYFUNCTION("""COMPUTED_VALUE"""),"AB001305")</f>
        <v>AB001305</v>
      </c>
      <c r="D859" t="str">
        <f ca="1">IFERROR(__xludf.DUMMYFUNCTION("""COMPUTED_VALUE"""),"")</f>
        <v/>
      </c>
      <c r="E859" t="str">
        <f ca="1">IFERROR(__xludf.DUMMYFUNCTION("""COMPUTED_VALUE"""),"李育庭")</f>
        <v>李育庭</v>
      </c>
    </row>
    <row r="860" spans="1:5" ht="15" customHeight="1">
      <c r="A860" s="121" t="str">
        <f t="shared" ca="1" si="1"/>
        <v/>
      </c>
      <c r="B860" t="str">
        <f t="shared" ca="1" si="2"/>
        <v/>
      </c>
      <c r="C860" t="str">
        <f ca="1">IFERROR(__xludf.DUMMYFUNCTION("""COMPUTED_VALUE"""),"AB001305")</f>
        <v>AB001305</v>
      </c>
      <c r="D860" t="str">
        <f ca="1">IFERROR(__xludf.DUMMYFUNCTION("""COMPUTED_VALUE"""),"")</f>
        <v/>
      </c>
      <c r="E860" t="str">
        <f ca="1">IFERROR(__xludf.DUMMYFUNCTION("""COMPUTED_VALUE"""),"李育庭")</f>
        <v>李育庭</v>
      </c>
    </row>
    <row r="861" spans="1:5" ht="15" customHeight="1">
      <c r="A861" s="121" t="str">
        <f t="shared" ca="1" si="1"/>
        <v/>
      </c>
      <c r="B861" t="str">
        <f t="shared" ca="1" si="2"/>
        <v/>
      </c>
      <c r="C861" t="str">
        <f ca="1">IFERROR(__xludf.DUMMYFUNCTION("""COMPUTED_VALUE"""),"AB001305")</f>
        <v>AB001305</v>
      </c>
      <c r="D861" t="str">
        <f ca="1">IFERROR(__xludf.DUMMYFUNCTION("""COMPUTED_VALUE"""),"")</f>
        <v/>
      </c>
      <c r="E861" t="str">
        <f ca="1">IFERROR(__xludf.DUMMYFUNCTION("""COMPUTED_VALUE"""),"李育庭")</f>
        <v>李育庭</v>
      </c>
    </row>
    <row r="862" spans="1:5" ht="15" customHeight="1">
      <c r="A862" s="121" t="str">
        <f t="shared" ca="1" si="1"/>
        <v/>
      </c>
      <c r="B862" t="str">
        <f t="shared" ca="1" si="2"/>
        <v/>
      </c>
      <c r="C862" t="str">
        <f ca="1">IFERROR(__xludf.DUMMYFUNCTION("""COMPUTED_VALUE"""),"AB001305")</f>
        <v>AB001305</v>
      </c>
      <c r="D862" t="str">
        <f ca="1">IFERROR(__xludf.DUMMYFUNCTION("""COMPUTED_VALUE"""),"")</f>
        <v/>
      </c>
      <c r="E862" t="str">
        <f ca="1">IFERROR(__xludf.DUMMYFUNCTION("""COMPUTED_VALUE"""),"李育庭")</f>
        <v>李育庭</v>
      </c>
    </row>
    <row r="863" spans="1:5" ht="15" customHeight="1">
      <c r="A863" s="121" t="str">
        <f t="shared" ca="1" si="1"/>
        <v/>
      </c>
      <c r="B863" t="str">
        <f t="shared" ca="1" si="2"/>
        <v/>
      </c>
      <c r="C863" t="str">
        <f ca="1">IFERROR(__xludf.DUMMYFUNCTION("""COMPUTED_VALUE"""),"AB001305")</f>
        <v>AB001305</v>
      </c>
      <c r="D863" t="str">
        <f ca="1">IFERROR(__xludf.DUMMYFUNCTION("""COMPUTED_VALUE"""),"")</f>
        <v/>
      </c>
      <c r="E863" t="str">
        <f ca="1">IFERROR(__xludf.DUMMYFUNCTION("""COMPUTED_VALUE"""),"李育庭")</f>
        <v>李育庭</v>
      </c>
    </row>
    <row r="864" spans="1:5" ht="15" customHeight="1">
      <c r="A864" s="121" t="str">
        <f t="shared" ca="1" si="1"/>
        <v/>
      </c>
      <c r="B864" t="str">
        <f t="shared" ca="1" si="2"/>
        <v/>
      </c>
      <c r="C864" t="str">
        <f ca="1">IFERROR(__xludf.DUMMYFUNCTION("""COMPUTED_VALUE"""),"AB001305")</f>
        <v>AB001305</v>
      </c>
      <c r="D864" t="str">
        <f ca="1">IFERROR(__xludf.DUMMYFUNCTION("""COMPUTED_VALUE"""),"")</f>
        <v/>
      </c>
      <c r="E864" t="str">
        <f ca="1">IFERROR(__xludf.DUMMYFUNCTION("""COMPUTED_VALUE"""),"李育庭")</f>
        <v>李育庭</v>
      </c>
    </row>
    <row r="865" spans="1:5" ht="15" customHeight="1">
      <c r="A865" s="121" t="str">
        <f t="shared" ca="1" si="1"/>
        <v/>
      </c>
      <c r="B865" t="str">
        <f t="shared" ca="1" si="2"/>
        <v/>
      </c>
      <c r="C865" t="str">
        <f ca="1">IFERROR(__xludf.DUMMYFUNCTION("""COMPUTED_VALUE"""),"AB001312")</f>
        <v>AB001312</v>
      </c>
      <c r="D865" t="str">
        <f ca="1">IFERROR(__xludf.DUMMYFUNCTION("""COMPUTED_VALUE"""),"")</f>
        <v/>
      </c>
      <c r="E865" t="str">
        <f ca="1">IFERROR(__xludf.DUMMYFUNCTION("""COMPUTED_VALUE"""),"李凌華")</f>
        <v>李凌華</v>
      </c>
    </row>
    <row r="866" spans="1:5" ht="15" customHeight="1">
      <c r="A866" s="121" t="str">
        <f t="shared" ca="1" si="1"/>
        <v>AB001313</v>
      </c>
      <c r="B866" t="str">
        <f t="shared" ca="1" si="2"/>
        <v>亞典牙醫診所-抬頭會在回函寫上</v>
      </c>
      <c r="C866" t="str">
        <f ca="1">IFERROR(__xludf.DUMMYFUNCTION("""COMPUTED_VALUE"""),"AB001313")</f>
        <v>AB001313</v>
      </c>
      <c r="D866" s="214" t="str">
        <f ca="1">IFERROR(__xludf.DUMMYFUNCTION("""COMPUTED_VALUE"""),"v")</f>
        <v>v</v>
      </c>
      <c r="E866" t="str">
        <f ca="1">IFERROR(__xludf.DUMMYFUNCTION("""COMPUTED_VALUE"""),"亞典牙醫診所-抬頭會在回函寫上")</f>
        <v>亞典牙醫診所-抬頭會在回函寫上</v>
      </c>
    </row>
    <row r="867" spans="1:5" ht="15" customHeight="1">
      <c r="A867" s="121" t="str">
        <f t="shared" ref="A867:A1004" ca="1" si="3">C867</f>
        <v>AB001274</v>
      </c>
      <c r="B867" t="str">
        <f t="shared" ca="1" si="2"/>
        <v/>
      </c>
      <c r="C867" t="str">
        <f ca="1">IFERROR(__xludf.DUMMYFUNCTION("""COMPUTED_VALUE"""),"AB001274")</f>
        <v>AB001274</v>
      </c>
      <c r="D867" t="str">
        <f ca="1">IFERROR(__xludf.DUMMYFUNCTION("""COMPUTED_VALUE"""),"")</f>
        <v/>
      </c>
      <c r="E867" t="str">
        <f ca="1">IFERROR(__xludf.DUMMYFUNCTION("""COMPUTED_VALUE"""),"吳永芳")</f>
        <v>吳永芳</v>
      </c>
    </row>
    <row r="868" spans="1:5" ht="15" customHeight="1">
      <c r="A868" s="121" t="str">
        <f t="shared" ca="1" si="3"/>
        <v>AB001306</v>
      </c>
      <c r="B868" t="str">
        <f t="shared" ca="1" si="2"/>
        <v/>
      </c>
      <c r="C868" t="str">
        <f ca="1">IFERROR(__xludf.DUMMYFUNCTION("""COMPUTED_VALUE"""),"AB001306")</f>
        <v>AB001306</v>
      </c>
      <c r="D868" t="str">
        <f ca="1">IFERROR(__xludf.DUMMYFUNCTION("""COMPUTED_VALUE"""),"")</f>
        <v/>
      </c>
      <c r="E868" t="str">
        <f ca="1">IFERROR(__xludf.DUMMYFUNCTION("""COMPUTED_VALUE"""),"李育庭")</f>
        <v>李育庭</v>
      </c>
    </row>
    <row r="869" spans="1:5" ht="15" customHeight="1">
      <c r="A869" s="121" t="str">
        <f t="shared" ca="1" si="3"/>
        <v>AB001306</v>
      </c>
      <c r="B869" t="str">
        <f t="shared" ca="1" si="2"/>
        <v/>
      </c>
      <c r="C869" t="str">
        <f ca="1">IFERROR(__xludf.DUMMYFUNCTION("""COMPUTED_VALUE"""),"AB001306")</f>
        <v>AB001306</v>
      </c>
      <c r="D869" t="str">
        <f ca="1">IFERROR(__xludf.DUMMYFUNCTION("""COMPUTED_VALUE"""),"")</f>
        <v/>
      </c>
      <c r="E869" t="str">
        <f ca="1">IFERROR(__xludf.DUMMYFUNCTION("""COMPUTED_VALUE"""),"李育庭")</f>
        <v>李育庭</v>
      </c>
    </row>
    <row r="870" spans="1:5" ht="15" customHeight="1">
      <c r="A870" s="121" t="str">
        <f t="shared" ca="1" si="3"/>
        <v>AB001277</v>
      </c>
      <c r="B870" t="str">
        <f t="shared" ca="1" si="2"/>
        <v/>
      </c>
      <c r="C870" t="str">
        <f ca="1">IFERROR(__xludf.DUMMYFUNCTION("""COMPUTED_VALUE"""),"AB001277")</f>
        <v>AB001277</v>
      </c>
      <c r="D870" t="str">
        <f ca="1">IFERROR(__xludf.DUMMYFUNCTION("""COMPUTED_VALUE"""),"")</f>
        <v/>
      </c>
      <c r="E870" t="str">
        <f ca="1">IFERROR(__xludf.DUMMYFUNCTION("""COMPUTED_VALUE"""),"安妮")</f>
        <v>安妮</v>
      </c>
    </row>
    <row r="871" spans="1:5" ht="15" customHeight="1">
      <c r="A871" s="121" t="str">
        <f t="shared" ca="1" si="3"/>
        <v>AB001318</v>
      </c>
      <c r="B871" t="str">
        <f t="shared" ca="1" si="2"/>
        <v/>
      </c>
      <c r="C871" t="str">
        <f ca="1">IFERROR(__xludf.DUMMYFUNCTION("""COMPUTED_VALUE"""),"AB001318")</f>
        <v>AB001318</v>
      </c>
      <c r="D871" t="str">
        <f ca="1">IFERROR(__xludf.DUMMYFUNCTION("""COMPUTED_VALUE"""),"")</f>
        <v/>
      </c>
      <c r="E871" t="str">
        <f ca="1">IFERROR(__xludf.DUMMYFUNCTION("""COMPUTED_VALUE"""),"陶宇安")</f>
        <v>陶宇安</v>
      </c>
    </row>
    <row r="872" spans="1:5" ht="15" customHeight="1">
      <c r="A872" s="121" t="str">
        <f t="shared" ca="1" si="3"/>
        <v>AA001940</v>
      </c>
      <c r="B872" t="str">
        <f t="shared" ca="1" si="2"/>
        <v/>
      </c>
      <c r="C872" t="str">
        <f ca="1">IFERROR(__xludf.DUMMYFUNCTION("""COMPUTED_VALUE"""),"AA001940")</f>
        <v>AA001940</v>
      </c>
      <c r="D872" t="str">
        <f ca="1">IFERROR(__xludf.DUMMYFUNCTION("""COMPUTED_VALUE"""),"")</f>
        <v/>
      </c>
      <c r="E872" t="str">
        <f ca="1">IFERROR(__xludf.DUMMYFUNCTION("""COMPUTED_VALUE"""),"大江生醫職工福利委員會")</f>
        <v>大江生醫職工福利委員會</v>
      </c>
    </row>
    <row r="873" spans="1:5" ht="15" customHeight="1">
      <c r="A873" s="121" t="str">
        <f t="shared" ca="1" si="3"/>
        <v>AA001940</v>
      </c>
      <c r="B873" t="str">
        <f t="shared" ca="1" si="2"/>
        <v/>
      </c>
      <c r="C873" t="str">
        <f ca="1">IFERROR(__xludf.DUMMYFUNCTION("""COMPUTED_VALUE"""),"AA001940")</f>
        <v>AA001940</v>
      </c>
      <c r="D873" t="str">
        <f ca="1">IFERROR(__xludf.DUMMYFUNCTION("""COMPUTED_VALUE"""),"")</f>
        <v/>
      </c>
      <c r="E873" t="str">
        <f ca="1">IFERROR(__xludf.DUMMYFUNCTION("""COMPUTED_VALUE"""),"大江生醫職工福利委員會")</f>
        <v>大江生醫職工福利委員會</v>
      </c>
    </row>
    <row r="874" spans="1:5" ht="15" customHeight="1">
      <c r="A874" s="121" t="str">
        <f t="shared" ca="1" si="3"/>
        <v>AA001940</v>
      </c>
      <c r="B874" t="str">
        <f t="shared" ca="1" si="2"/>
        <v/>
      </c>
      <c r="C874" t="str">
        <f ca="1">IFERROR(__xludf.DUMMYFUNCTION("""COMPUTED_VALUE"""),"AA001940")</f>
        <v>AA001940</v>
      </c>
      <c r="D874" t="str">
        <f ca="1">IFERROR(__xludf.DUMMYFUNCTION("""COMPUTED_VALUE"""),"")</f>
        <v/>
      </c>
      <c r="E874" t="str">
        <f ca="1">IFERROR(__xludf.DUMMYFUNCTION("""COMPUTED_VALUE"""),"大江生醫職工福利委員會")</f>
        <v>大江生醫職工福利委員會</v>
      </c>
    </row>
    <row r="875" spans="1:5" ht="15" customHeight="1">
      <c r="A875" s="121" t="str">
        <f t="shared" ca="1" si="3"/>
        <v>AA001940</v>
      </c>
      <c r="B875" t="str">
        <f t="shared" ca="1" si="2"/>
        <v/>
      </c>
      <c r="C875" t="str">
        <f ca="1">IFERROR(__xludf.DUMMYFUNCTION("""COMPUTED_VALUE"""),"AA001940")</f>
        <v>AA001940</v>
      </c>
      <c r="D875" t="str">
        <f ca="1">IFERROR(__xludf.DUMMYFUNCTION("""COMPUTED_VALUE"""),"")</f>
        <v/>
      </c>
      <c r="E875" t="str">
        <f ca="1">IFERROR(__xludf.DUMMYFUNCTION("""COMPUTED_VALUE"""),"大江生醫職工福利委員會")</f>
        <v>大江生醫職工福利委員會</v>
      </c>
    </row>
    <row r="876" spans="1:5" ht="15" customHeight="1">
      <c r="A876" s="121" t="str">
        <f t="shared" ca="1" si="3"/>
        <v>AA001940</v>
      </c>
      <c r="B876" t="str">
        <f t="shared" ca="1" si="2"/>
        <v/>
      </c>
      <c r="C876" t="str">
        <f ca="1">IFERROR(__xludf.DUMMYFUNCTION("""COMPUTED_VALUE"""),"AA001940")</f>
        <v>AA001940</v>
      </c>
      <c r="D876" t="str">
        <f ca="1">IFERROR(__xludf.DUMMYFUNCTION("""COMPUTED_VALUE"""),"")</f>
        <v/>
      </c>
      <c r="E876" t="str">
        <f ca="1">IFERROR(__xludf.DUMMYFUNCTION("""COMPUTED_VALUE"""),"大江生醫職工福利委員會")</f>
        <v>大江生醫職工福利委員會</v>
      </c>
    </row>
    <row r="877" spans="1:5" ht="15" customHeight="1">
      <c r="A877" s="121" t="str">
        <f t="shared" ca="1" si="3"/>
        <v>AA001940</v>
      </c>
      <c r="B877" t="str">
        <f t="shared" ca="1" si="2"/>
        <v/>
      </c>
      <c r="C877" t="str">
        <f ca="1">IFERROR(__xludf.DUMMYFUNCTION("""COMPUTED_VALUE"""),"AA001940")</f>
        <v>AA001940</v>
      </c>
      <c r="D877" t="str">
        <f ca="1">IFERROR(__xludf.DUMMYFUNCTION("""COMPUTED_VALUE"""),"")</f>
        <v/>
      </c>
      <c r="E877" t="str">
        <f ca="1">IFERROR(__xludf.DUMMYFUNCTION("""COMPUTED_VALUE"""),"大江生醫職工福利委員會")</f>
        <v>大江生醫職工福利委員會</v>
      </c>
    </row>
    <row r="878" spans="1:5" ht="15" customHeight="1">
      <c r="A878" s="121" t="str">
        <f t="shared" ca="1" si="3"/>
        <v>AA001940</v>
      </c>
      <c r="B878" t="str">
        <f t="shared" ca="1" si="2"/>
        <v/>
      </c>
      <c r="C878" t="str">
        <f ca="1">IFERROR(__xludf.DUMMYFUNCTION("""COMPUTED_VALUE"""),"AA001940")</f>
        <v>AA001940</v>
      </c>
      <c r="D878" t="str">
        <f ca="1">IFERROR(__xludf.DUMMYFUNCTION("""COMPUTED_VALUE"""),"")</f>
        <v/>
      </c>
      <c r="E878" t="str">
        <f ca="1">IFERROR(__xludf.DUMMYFUNCTION("""COMPUTED_VALUE"""),"大江生醫職工福利委員會")</f>
        <v>大江生醫職工福利委員會</v>
      </c>
    </row>
    <row r="879" spans="1:5" ht="15" customHeight="1">
      <c r="A879" s="121" t="str">
        <f t="shared" ca="1" si="3"/>
        <v>AA001940</v>
      </c>
      <c r="B879" t="str">
        <f t="shared" ca="1" si="2"/>
        <v/>
      </c>
      <c r="C879" t="str">
        <f ca="1">IFERROR(__xludf.DUMMYFUNCTION("""COMPUTED_VALUE"""),"AA001940")</f>
        <v>AA001940</v>
      </c>
      <c r="D879" t="str">
        <f ca="1">IFERROR(__xludf.DUMMYFUNCTION("""COMPUTED_VALUE"""),"")</f>
        <v/>
      </c>
      <c r="E879" t="str">
        <f ca="1">IFERROR(__xludf.DUMMYFUNCTION("""COMPUTED_VALUE"""),"大江生醫職工福利委員會")</f>
        <v>大江生醫職工福利委員會</v>
      </c>
    </row>
    <row r="880" spans="1:5" ht="15" customHeight="1">
      <c r="A880" s="121" t="str">
        <f t="shared" ca="1" si="3"/>
        <v>AA001940</v>
      </c>
      <c r="B880" t="str">
        <f t="shared" ca="1" si="2"/>
        <v/>
      </c>
      <c r="C880" t="str">
        <f ca="1">IFERROR(__xludf.DUMMYFUNCTION("""COMPUTED_VALUE"""),"AA001940")</f>
        <v>AA001940</v>
      </c>
      <c r="D880" t="str">
        <f ca="1">IFERROR(__xludf.DUMMYFUNCTION("""COMPUTED_VALUE"""),"")</f>
        <v/>
      </c>
      <c r="E880" t="str">
        <f ca="1">IFERROR(__xludf.DUMMYFUNCTION("""COMPUTED_VALUE"""),"大江生醫職工福利委員會")</f>
        <v>大江生醫職工福利委員會</v>
      </c>
    </row>
    <row r="881" spans="1:5" ht="15" customHeight="1">
      <c r="A881" s="121" t="str">
        <f t="shared" ca="1" si="3"/>
        <v>AA001940</v>
      </c>
      <c r="B881" t="str">
        <f t="shared" ca="1" si="2"/>
        <v/>
      </c>
      <c r="C881" t="str">
        <f ca="1">IFERROR(__xludf.DUMMYFUNCTION("""COMPUTED_VALUE"""),"AA001940")</f>
        <v>AA001940</v>
      </c>
      <c r="D881" t="str">
        <f ca="1">IFERROR(__xludf.DUMMYFUNCTION("""COMPUTED_VALUE"""),"")</f>
        <v/>
      </c>
      <c r="E881" t="str">
        <f ca="1">IFERROR(__xludf.DUMMYFUNCTION("""COMPUTED_VALUE"""),"大江生醫職工福利委員會")</f>
        <v>大江生醫職工福利委員會</v>
      </c>
    </row>
    <row r="882" spans="1:5" ht="15" customHeight="1">
      <c r="A882" s="121" t="str">
        <f t="shared" ca="1" si="3"/>
        <v>AA001940</v>
      </c>
      <c r="B882" t="str">
        <f t="shared" ca="1" si="2"/>
        <v/>
      </c>
      <c r="C882" t="str">
        <f ca="1">IFERROR(__xludf.DUMMYFUNCTION("""COMPUTED_VALUE"""),"AA001940")</f>
        <v>AA001940</v>
      </c>
      <c r="D882" t="str">
        <f ca="1">IFERROR(__xludf.DUMMYFUNCTION("""COMPUTED_VALUE"""),"")</f>
        <v/>
      </c>
      <c r="E882" t="str">
        <f ca="1">IFERROR(__xludf.DUMMYFUNCTION("""COMPUTED_VALUE"""),"大江生醫職工福利委員會")</f>
        <v>大江生醫職工福利委員會</v>
      </c>
    </row>
    <row r="883" spans="1:5" ht="15" customHeight="1">
      <c r="A883" s="121" t="str">
        <f t="shared" ca="1" si="3"/>
        <v>AA001940</v>
      </c>
      <c r="B883" t="str">
        <f t="shared" ca="1" si="2"/>
        <v/>
      </c>
      <c r="C883" t="str">
        <f ca="1">IFERROR(__xludf.DUMMYFUNCTION("""COMPUTED_VALUE"""),"AA001940")</f>
        <v>AA001940</v>
      </c>
      <c r="D883" t="str">
        <f ca="1">IFERROR(__xludf.DUMMYFUNCTION("""COMPUTED_VALUE"""),"")</f>
        <v/>
      </c>
      <c r="E883" t="str">
        <f ca="1">IFERROR(__xludf.DUMMYFUNCTION("""COMPUTED_VALUE"""),"大江生醫職工福利委員會")</f>
        <v>大江生醫職工福利委員會</v>
      </c>
    </row>
    <row r="884" spans="1:5" ht="15" customHeight="1">
      <c r="A884" s="121" t="str">
        <f t="shared" ca="1" si="3"/>
        <v>AA001939</v>
      </c>
      <c r="B884" t="str">
        <f t="shared" ca="1" si="2"/>
        <v/>
      </c>
      <c r="C884" t="str">
        <f ca="1">IFERROR(__xludf.DUMMYFUNCTION("""COMPUTED_VALUE"""),"AA001939")</f>
        <v>AA001939</v>
      </c>
      <c r="D884" t="str">
        <f ca="1">IFERROR(__xludf.DUMMYFUNCTION("""COMPUTED_VALUE"""),"")</f>
        <v/>
      </c>
      <c r="E884" t="str">
        <f ca="1">IFERROR(__xludf.DUMMYFUNCTION("""COMPUTED_VALUE"""),"大江生醫職工福利委員會")</f>
        <v>大江生醫職工福利委員會</v>
      </c>
    </row>
    <row r="885" spans="1:5" ht="15" customHeight="1">
      <c r="A885" s="121" t="str">
        <f t="shared" ca="1" si="3"/>
        <v>AA001939</v>
      </c>
      <c r="B885" t="str">
        <f t="shared" ca="1" si="2"/>
        <v/>
      </c>
      <c r="C885" t="str">
        <f ca="1">IFERROR(__xludf.DUMMYFUNCTION("""COMPUTED_VALUE"""),"AA001939")</f>
        <v>AA001939</v>
      </c>
      <c r="D885" t="str">
        <f ca="1">IFERROR(__xludf.DUMMYFUNCTION("""COMPUTED_VALUE"""),"")</f>
        <v/>
      </c>
      <c r="E885" t="str">
        <f ca="1">IFERROR(__xludf.DUMMYFUNCTION("""COMPUTED_VALUE"""),"大江生醫職工福利委員會")</f>
        <v>大江生醫職工福利委員會</v>
      </c>
    </row>
    <row r="886" spans="1:5" ht="15" customHeight="1">
      <c r="A886" s="121" t="str">
        <f t="shared" ca="1" si="3"/>
        <v>AA001939</v>
      </c>
      <c r="B886" t="str">
        <f t="shared" ca="1" si="2"/>
        <v/>
      </c>
      <c r="C886" t="str">
        <f ca="1">IFERROR(__xludf.DUMMYFUNCTION("""COMPUTED_VALUE"""),"AA001939")</f>
        <v>AA001939</v>
      </c>
      <c r="D886" t="str">
        <f ca="1">IFERROR(__xludf.DUMMYFUNCTION("""COMPUTED_VALUE"""),"")</f>
        <v/>
      </c>
      <c r="E886" t="str">
        <f ca="1">IFERROR(__xludf.DUMMYFUNCTION("""COMPUTED_VALUE"""),"大江生醫職工福利委員會")</f>
        <v>大江生醫職工福利委員會</v>
      </c>
    </row>
    <row r="887" spans="1:5" ht="15" customHeight="1">
      <c r="A887" s="121" t="str">
        <f t="shared" ca="1" si="3"/>
        <v>AA001939</v>
      </c>
      <c r="B887" t="str">
        <f t="shared" ca="1" si="2"/>
        <v/>
      </c>
      <c r="C887" t="str">
        <f ca="1">IFERROR(__xludf.DUMMYFUNCTION("""COMPUTED_VALUE"""),"AA001939")</f>
        <v>AA001939</v>
      </c>
      <c r="D887" t="str">
        <f ca="1">IFERROR(__xludf.DUMMYFUNCTION("""COMPUTED_VALUE"""),"")</f>
        <v/>
      </c>
      <c r="E887" t="str">
        <f ca="1">IFERROR(__xludf.DUMMYFUNCTION("""COMPUTED_VALUE"""),"大江生醫職工福利委員會")</f>
        <v>大江生醫職工福利委員會</v>
      </c>
    </row>
    <row r="888" spans="1:5" ht="15" customHeight="1">
      <c r="A888" s="121" t="str">
        <f t="shared" ca="1" si="3"/>
        <v>AA001939</v>
      </c>
      <c r="B888" t="str">
        <f t="shared" ca="1" si="2"/>
        <v/>
      </c>
      <c r="C888" t="str">
        <f ca="1">IFERROR(__xludf.DUMMYFUNCTION("""COMPUTED_VALUE"""),"AA001939")</f>
        <v>AA001939</v>
      </c>
      <c r="D888" t="str">
        <f ca="1">IFERROR(__xludf.DUMMYFUNCTION("""COMPUTED_VALUE"""),"")</f>
        <v/>
      </c>
      <c r="E888" t="str">
        <f ca="1">IFERROR(__xludf.DUMMYFUNCTION("""COMPUTED_VALUE"""),"大江生醫職工福利委員會")</f>
        <v>大江生醫職工福利委員會</v>
      </c>
    </row>
    <row r="889" spans="1:5" ht="15" customHeight="1">
      <c r="A889" s="121" t="str">
        <f t="shared" ca="1" si="3"/>
        <v>AA001939</v>
      </c>
      <c r="B889" t="str">
        <f t="shared" ca="1" si="2"/>
        <v/>
      </c>
      <c r="C889" t="str">
        <f ca="1">IFERROR(__xludf.DUMMYFUNCTION("""COMPUTED_VALUE"""),"AA001939")</f>
        <v>AA001939</v>
      </c>
      <c r="D889" t="str">
        <f ca="1">IFERROR(__xludf.DUMMYFUNCTION("""COMPUTED_VALUE"""),"")</f>
        <v/>
      </c>
      <c r="E889" t="str">
        <f ca="1">IFERROR(__xludf.DUMMYFUNCTION("""COMPUTED_VALUE"""),"大江生醫職工福利委員會")</f>
        <v>大江生醫職工福利委員會</v>
      </c>
    </row>
    <row r="890" spans="1:5" ht="15" customHeight="1">
      <c r="A890" s="121" t="str">
        <f t="shared" ca="1" si="3"/>
        <v>AA001939</v>
      </c>
      <c r="B890" t="str">
        <f t="shared" ca="1" si="2"/>
        <v/>
      </c>
      <c r="C890" t="str">
        <f ca="1">IFERROR(__xludf.DUMMYFUNCTION("""COMPUTED_VALUE"""),"AA001939")</f>
        <v>AA001939</v>
      </c>
      <c r="D890" t="str">
        <f ca="1">IFERROR(__xludf.DUMMYFUNCTION("""COMPUTED_VALUE"""),"")</f>
        <v/>
      </c>
      <c r="E890" t="str">
        <f ca="1">IFERROR(__xludf.DUMMYFUNCTION("""COMPUTED_VALUE"""),"大江生醫職工福利委員會")</f>
        <v>大江生醫職工福利委員會</v>
      </c>
    </row>
    <row r="891" spans="1:5" ht="15" customHeight="1">
      <c r="A891" s="121" t="str">
        <f t="shared" ca="1" si="3"/>
        <v>AA001939</v>
      </c>
      <c r="B891" t="str">
        <f t="shared" ca="1" si="2"/>
        <v/>
      </c>
      <c r="C891" t="str">
        <f ca="1">IFERROR(__xludf.DUMMYFUNCTION("""COMPUTED_VALUE"""),"AA001939")</f>
        <v>AA001939</v>
      </c>
      <c r="D891" t="str">
        <f ca="1">IFERROR(__xludf.DUMMYFUNCTION("""COMPUTED_VALUE"""),"")</f>
        <v/>
      </c>
      <c r="E891" t="str">
        <f ca="1">IFERROR(__xludf.DUMMYFUNCTION("""COMPUTED_VALUE"""),"大江生醫職工福利委員會")</f>
        <v>大江生醫職工福利委員會</v>
      </c>
    </row>
    <row r="892" spans="1:5" ht="15" customHeight="1">
      <c r="A892" s="121" t="str">
        <f t="shared" ca="1" si="3"/>
        <v>AB001326</v>
      </c>
      <c r="B892" t="str">
        <f t="shared" ca="1" si="2"/>
        <v/>
      </c>
      <c r="C892" t="str">
        <f ca="1">IFERROR(__xludf.DUMMYFUNCTION("""COMPUTED_VALUE"""),"AB001326")</f>
        <v>AB001326</v>
      </c>
      <c r="D892" t="str">
        <f ca="1">IFERROR(__xludf.DUMMYFUNCTION("""COMPUTED_VALUE"""),"")</f>
        <v/>
      </c>
      <c r="E892" t="str">
        <f ca="1">IFERROR(__xludf.DUMMYFUNCTION("""COMPUTED_VALUE"""),"Ariel.Chen")</f>
        <v>Ariel.Chen</v>
      </c>
    </row>
    <row r="893" spans="1:5" ht="15" customHeight="1">
      <c r="A893" s="121" t="str">
        <f t="shared" ca="1" si="3"/>
        <v>AB001320-1</v>
      </c>
      <c r="B893" t="str">
        <f t="shared" ca="1" si="2"/>
        <v/>
      </c>
      <c r="C893" t="str">
        <f ca="1">IFERROR(__xludf.DUMMYFUNCTION("""COMPUTED_VALUE"""),"AB001320-1")</f>
        <v>AB001320-1</v>
      </c>
      <c r="D893" t="str">
        <f ca="1">IFERROR(__xludf.DUMMYFUNCTION("""COMPUTED_VALUE"""),"")</f>
        <v/>
      </c>
      <c r="E893" t="str">
        <f ca="1">IFERROR(__xludf.DUMMYFUNCTION("""COMPUTED_VALUE"""),"蘇靖雅")</f>
        <v>蘇靖雅</v>
      </c>
    </row>
    <row r="894" spans="1:5" ht="15" customHeight="1">
      <c r="A894" s="121" t="str">
        <f t="shared" ca="1" si="3"/>
        <v>AB001320</v>
      </c>
      <c r="B894" t="str">
        <f t="shared" ca="1" si="2"/>
        <v/>
      </c>
      <c r="C894" t="str">
        <f ca="1">IFERROR(__xludf.DUMMYFUNCTION("""COMPUTED_VALUE"""),"AB001320")</f>
        <v>AB001320</v>
      </c>
      <c r="D894" t="str">
        <f ca="1">IFERROR(__xludf.DUMMYFUNCTION("""COMPUTED_VALUE"""),"")</f>
        <v/>
      </c>
      <c r="E894" t="str">
        <f ca="1">IFERROR(__xludf.DUMMYFUNCTION("""COMPUTED_VALUE"""),"蘇靖雅")</f>
        <v>蘇靖雅</v>
      </c>
    </row>
    <row r="895" spans="1:5" ht="15" customHeight="1">
      <c r="A895" s="121" t="str">
        <f t="shared" ca="1" si="3"/>
        <v>AB001320</v>
      </c>
      <c r="B895" t="str">
        <f t="shared" ca="1" si="2"/>
        <v/>
      </c>
      <c r="C895" t="str">
        <f ca="1">IFERROR(__xludf.DUMMYFUNCTION("""COMPUTED_VALUE"""),"AB001320")</f>
        <v>AB001320</v>
      </c>
      <c r="D895" t="str">
        <f ca="1">IFERROR(__xludf.DUMMYFUNCTION("""COMPUTED_VALUE"""),"")</f>
        <v/>
      </c>
      <c r="E895" t="str">
        <f ca="1">IFERROR(__xludf.DUMMYFUNCTION("""COMPUTED_VALUE"""),"蘇靖雅")</f>
        <v>蘇靖雅</v>
      </c>
    </row>
    <row r="896" spans="1:5" ht="15" customHeight="1">
      <c r="A896" s="121" t="str">
        <f t="shared" ca="1" si="3"/>
        <v>AB001278</v>
      </c>
      <c r="B896" t="str">
        <f t="shared" ca="1" si="2"/>
        <v/>
      </c>
      <c r="C896" t="str">
        <f ca="1">IFERROR(__xludf.DUMMYFUNCTION("""COMPUTED_VALUE"""),"AB001278")</f>
        <v>AB001278</v>
      </c>
      <c r="D896" t="str">
        <f ca="1">IFERROR(__xludf.DUMMYFUNCTION("""COMPUTED_VALUE"""),"")</f>
        <v/>
      </c>
      <c r="E896" t="str">
        <f ca="1">IFERROR(__xludf.DUMMYFUNCTION("""COMPUTED_VALUE"""),"謝慶章")</f>
        <v>謝慶章</v>
      </c>
    </row>
    <row r="897" spans="1:5" ht="15" customHeight="1">
      <c r="A897" s="121" t="str">
        <f t="shared" ca="1" si="3"/>
        <v>AB001279</v>
      </c>
      <c r="B897" t="str">
        <f t="shared" ca="1" si="2"/>
        <v/>
      </c>
      <c r="C897" t="str">
        <f ca="1">IFERROR(__xludf.DUMMYFUNCTION("""COMPUTED_VALUE"""),"AB001279")</f>
        <v>AB001279</v>
      </c>
      <c r="D897" t="str">
        <f ca="1">IFERROR(__xludf.DUMMYFUNCTION("""COMPUTED_VALUE"""),"")</f>
        <v/>
      </c>
      <c r="E897" t="str">
        <f ca="1">IFERROR(__xludf.DUMMYFUNCTION("""COMPUTED_VALUE"""),"許馨文")</f>
        <v>許馨文</v>
      </c>
    </row>
    <row r="898" spans="1:5" ht="15" customHeight="1">
      <c r="A898" s="121" t="str">
        <f t="shared" ca="1" si="3"/>
        <v>AB001280</v>
      </c>
      <c r="B898" t="str">
        <f t="shared" ca="1" si="2"/>
        <v/>
      </c>
      <c r="C898" t="str">
        <f ca="1">IFERROR(__xludf.DUMMYFUNCTION("""COMPUTED_VALUE"""),"AB001280")</f>
        <v>AB001280</v>
      </c>
      <c r="D898" t="str">
        <f ca="1">IFERROR(__xludf.DUMMYFUNCTION("""COMPUTED_VALUE"""),"")</f>
        <v/>
      </c>
      <c r="E898" t="str">
        <f ca="1">IFERROR(__xludf.DUMMYFUNCTION("""COMPUTED_VALUE"""),"林素菁")</f>
        <v>林素菁</v>
      </c>
    </row>
    <row r="899" spans="1:5" ht="15" customHeight="1">
      <c r="A899" s="121" t="str">
        <f t="shared" ca="1" si="3"/>
        <v>AB001281</v>
      </c>
      <c r="B899" t="str">
        <f t="shared" ca="1" si="2"/>
        <v/>
      </c>
      <c r="C899" t="str">
        <f ca="1">IFERROR(__xludf.DUMMYFUNCTION("""COMPUTED_VALUE"""),"AB001281")</f>
        <v>AB001281</v>
      </c>
      <c r="D899" t="str">
        <f ca="1">IFERROR(__xludf.DUMMYFUNCTION("""COMPUTED_VALUE"""),"")</f>
        <v/>
      </c>
      <c r="E899" t="str">
        <f ca="1">IFERROR(__xludf.DUMMYFUNCTION("""COMPUTED_VALUE"""),"黃淑華")</f>
        <v>黃淑華</v>
      </c>
    </row>
    <row r="900" spans="1:5" ht="15" customHeight="1">
      <c r="A900" s="121" t="str">
        <f t="shared" ca="1" si="3"/>
        <v>AB001281</v>
      </c>
      <c r="B900" t="str">
        <f t="shared" ca="1" si="2"/>
        <v/>
      </c>
      <c r="C900" t="str">
        <f ca="1">IFERROR(__xludf.DUMMYFUNCTION("""COMPUTED_VALUE"""),"AB001281")</f>
        <v>AB001281</v>
      </c>
      <c r="D900" t="str">
        <f ca="1">IFERROR(__xludf.DUMMYFUNCTION("""COMPUTED_VALUE"""),"")</f>
        <v/>
      </c>
      <c r="E900" t="str">
        <f ca="1">IFERROR(__xludf.DUMMYFUNCTION("""COMPUTED_VALUE"""),"黃淑華")</f>
        <v>黃淑華</v>
      </c>
    </row>
    <row r="901" spans="1:5" ht="15" customHeight="1">
      <c r="A901" s="121" t="str">
        <f t="shared" ca="1" si="3"/>
        <v>AB001321</v>
      </c>
      <c r="B901" t="str">
        <f t="shared" ca="1" si="2"/>
        <v/>
      </c>
      <c r="C901" t="str">
        <f ca="1">IFERROR(__xludf.DUMMYFUNCTION("""COMPUTED_VALUE"""),"AB001321")</f>
        <v>AB001321</v>
      </c>
      <c r="D901" t="str">
        <f ca="1">IFERROR(__xludf.DUMMYFUNCTION("""COMPUTED_VALUE"""),"")</f>
        <v/>
      </c>
      <c r="E901" t="str">
        <f ca="1">IFERROR(__xludf.DUMMYFUNCTION("""COMPUTED_VALUE"""),"林姿杏")</f>
        <v>林姿杏</v>
      </c>
    </row>
    <row r="902" spans="1:5" ht="15" customHeight="1">
      <c r="A902" s="121" t="str">
        <f t="shared" ca="1" si="3"/>
        <v>AB001321</v>
      </c>
      <c r="B902" t="str">
        <f t="shared" ca="1" si="2"/>
        <v/>
      </c>
      <c r="C902" t="str">
        <f ca="1">IFERROR(__xludf.DUMMYFUNCTION("""COMPUTED_VALUE"""),"AB001321")</f>
        <v>AB001321</v>
      </c>
      <c r="D902" t="str">
        <f ca="1">IFERROR(__xludf.DUMMYFUNCTION("""COMPUTED_VALUE"""),"")</f>
        <v/>
      </c>
      <c r="E902" t="str">
        <f ca="1">IFERROR(__xludf.DUMMYFUNCTION("""COMPUTED_VALUE"""),"林姿杏")</f>
        <v>林姿杏</v>
      </c>
    </row>
    <row r="903" spans="1:5" ht="15" customHeight="1">
      <c r="A903" s="121" t="str">
        <f t="shared" ca="1" si="3"/>
        <v>AB001321</v>
      </c>
      <c r="B903" t="str">
        <f t="shared" ca="1" si="2"/>
        <v/>
      </c>
      <c r="C903" t="str">
        <f ca="1">IFERROR(__xludf.DUMMYFUNCTION("""COMPUTED_VALUE"""),"AB001321")</f>
        <v>AB001321</v>
      </c>
      <c r="D903" t="str">
        <f ca="1">IFERROR(__xludf.DUMMYFUNCTION("""COMPUTED_VALUE"""),"")</f>
        <v/>
      </c>
      <c r="E903" t="str">
        <f ca="1">IFERROR(__xludf.DUMMYFUNCTION("""COMPUTED_VALUE"""),"林姿杏")</f>
        <v>林姿杏</v>
      </c>
    </row>
    <row r="904" spans="1:5" ht="15" customHeight="1">
      <c r="A904" s="121" t="str">
        <f t="shared" ca="1" si="3"/>
        <v>AB001302</v>
      </c>
      <c r="B904" t="str">
        <f t="shared" ca="1" si="2"/>
        <v/>
      </c>
      <c r="C904" t="str">
        <f ca="1">IFERROR(__xludf.DUMMYFUNCTION("""COMPUTED_VALUE"""),"AB001302")</f>
        <v>AB001302</v>
      </c>
      <c r="D904" t="str">
        <f ca="1">IFERROR(__xludf.DUMMYFUNCTION("""COMPUTED_VALUE"""),"")</f>
        <v/>
      </c>
      <c r="E904" t="str">
        <f ca="1">IFERROR(__xludf.DUMMYFUNCTION("""COMPUTED_VALUE"""),"瑞佛生技有限公司")</f>
        <v>瑞佛生技有限公司</v>
      </c>
    </row>
    <row r="905" spans="1:5" ht="15" customHeight="1">
      <c r="A905" s="121" t="str">
        <f t="shared" ca="1" si="3"/>
        <v>AB001282</v>
      </c>
      <c r="B905" t="str">
        <f t="shared" ca="1" si="2"/>
        <v/>
      </c>
      <c r="C905" t="str">
        <f ca="1">IFERROR(__xludf.DUMMYFUNCTION("""COMPUTED_VALUE"""),"AB001282")</f>
        <v>AB001282</v>
      </c>
      <c r="D905" t="str">
        <f ca="1">IFERROR(__xludf.DUMMYFUNCTION("""COMPUTED_VALUE"""),"")</f>
        <v/>
      </c>
      <c r="E905" t="str">
        <f ca="1">IFERROR(__xludf.DUMMYFUNCTION("""COMPUTED_VALUE"""),"何詩韻")</f>
        <v>何詩韻</v>
      </c>
    </row>
    <row r="906" spans="1:5" ht="15" customHeight="1">
      <c r="A906" s="121" t="str">
        <f t="shared" ca="1" si="3"/>
        <v>AB001282</v>
      </c>
      <c r="B906" t="str">
        <f t="shared" ca="1" si="2"/>
        <v/>
      </c>
      <c r="C906" t="str">
        <f ca="1">IFERROR(__xludf.DUMMYFUNCTION("""COMPUTED_VALUE"""),"AB001282")</f>
        <v>AB001282</v>
      </c>
      <c r="D906" t="str">
        <f ca="1">IFERROR(__xludf.DUMMYFUNCTION("""COMPUTED_VALUE"""),"")</f>
        <v/>
      </c>
      <c r="E906" t="str">
        <f ca="1">IFERROR(__xludf.DUMMYFUNCTION("""COMPUTED_VALUE"""),"何詩韻")</f>
        <v>何詩韻</v>
      </c>
    </row>
    <row r="907" spans="1:5" ht="15" customHeight="1">
      <c r="A907" s="121" t="str">
        <f t="shared" ca="1" si="3"/>
        <v>AB001307</v>
      </c>
      <c r="B907" t="str">
        <f t="shared" ca="1" si="2"/>
        <v/>
      </c>
      <c r="C907" t="str">
        <f ca="1">IFERROR(__xludf.DUMMYFUNCTION("""COMPUTED_VALUE"""),"AB001307")</f>
        <v>AB001307</v>
      </c>
      <c r="D907" t="str">
        <f ca="1">IFERROR(__xludf.DUMMYFUNCTION("""COMPUTED_VALUE"""),"")</f>
        <v/>
      </c>
      <c r="E907" t="str">
        <f ca="1">IFERROR(__xludf.DUMMYFUNCTION("""COMPUTED_VALUE"""),"李育庭")</f>
        <v>李育庭</v>
      </c>
    </row>
    <row r="908" spans="1:5" ht="15" customHeight="1">
      <c r="A908" s="121" t="str">
        <f t="shared" ca="1" si="3"/>
        <v>AB001307</v>
      </c>
      <c r="B908" t="str">
        <f t="shared" ca="1" si="2"/>
        <v/>
      </c>
      <c r="C908" t="str">
        <f ca="1">IFERROR(__xludf.DUMMYFUNCTION("""COMPUTED_VALUE"""),"AB001307")</f>
        <v>AB001307</v>
      </c>
      <c r="D908" t="str">
        <f ca="1">IFERROR(__xludf.DUMMYFUNCTION("""COMPUTED_VALUE"""),"")</f>
        <v/>
      </c>
      <c r="E908" t="str">
        <f ca="1">IFERROR(__xludf.DUMMYFUNCTION("""COMPUTED_VALUE"""),"李育庭")</f>
        <v>李育庭</v>
      </c>
    </row>
    <row r="909" spans="1:5" ht="15" customHeight="1">
      <c r="A909" s="121" t="str">
        <f t="shared" ca="1" si="3"/>
        <v>AB001307</v>
      </c>
      <c r="B909" t="str">
        <f t="shared" ca="1" si="2"/>
        <v/>
      </c>
      <c r="C909" t="str">
        <f ca="1">IFERROR(__xludf.DUMMYFUNCTION("""COMPUTED_VALUE"""),"AB001307")</f>
        <v>AB001307</v>
      </c>
      <c r="D909" t="str">
        <f ca="1">IFERROR(__xludf.DUMMYFUNCTION("""COMPUTED_VALUE"""),"")</f>
        <v/>
      </c>
      <c r="E909" t="str">
        <f ca="1">IFERROR(__xludf.DUMMYFUNCTION("""COMPUTED_VALUE"""),"李育庭")</f>
        <v>李育庭</v>
      </c>
    </row>
    <row r="910" spans="1:5" ht="15" customHeight="1">
      <c r="A910" s="121" t="str">
        <f t="shared" ca="1" si="3"/>
        <v>AB001307</v>
      </c>
      <c r="B910" t="str">
        <f t="shared" ca="1" si="2"/>
        <v/>
      </c>
      <c r="C910" t="str">
        <f ca="1">IFERROR(__xludf.DUMMYFUNCTION("""COMPUTED_VALUE"""),"AB001307")</f>
        <v>AB001307</v>
      </c>
      <c r="D910" t="str">
        <f ca="1">IFERROR(__xludf.DUMMYFUNCTION("""COMPUTED_VALUE"""),"")</f>
        <v/>
      </c>
      <c r="E910" t="str">
        <f ca="1">IFERROR(__xludf.DUMMYFUNCTION("""COMPUTED_VALUE"""),"李育庭")</f>
        <v>李育庭</v>
      </c>
    </row>
    <row r="911" spans="1:5" ht="15" customHeight="1">
      <c r="A911" s="121" t="str">
        <f t="shared" ca="1" si="3"/>
        <v>AB001307</v>
      </c>
      <c r="B911" t="str">
        <f t="shared" ca="1" si="2"/>
        <v/>
      </c>
      <c r="C911" t="str">
        <f ca="1">IFERROR(__xludf.DUMMYFUNCTION("""COMPUTED_VALUE"""),"AB001307")</f>
        <v>AB001307</v>
      </c>
      <c r="D911" t="str">
        <f ca="1">IFERROR(__xludf.DUMMYFUNCTION("""COMPUTED_VALUE"""),"")</f>
        <v/>
      </c>
      <c r="E911" t="str">
        <f ca="1">IFERROR(__xludf.DUMMYFUNCTION("""COMPUTED_VALUE"""),"李育庭")</f>
        <v>李育庭</v>
      </c>
    </row>
    <row r="912" spans="1:5" ht="15" customHeight="1">
      <c r="A912" s="121" t="str">
        <f t="shared" ca="1" si="3"/>
        <v>AB001307</v>
      </c>
      <c r="B912" t="str">
        <f t="shared" ca="1" si="2"/>
        <v/>
      </c>
      <c r="C912" t="str">
        <f ca="1">IFERROR(__xludf.DUMMYFUNCTION("""COMPUTED_VALUE"""),"AB001307")</f>
        <v>AB001307</v>
      </c>
      <c r="D912" t="str">
        <f ca="1">IFERROR(__xludf.DUMMYFUNCTION("""COMPUTED_VALUE"""),"")</f>
        <v/>
      </c>
      <c r="E912" t="str">
        <f ca="1">IFERROR(__xludf.DUMMYFUNCTION("""COMPUTED_VALUE"""),"李育庭")</f>
        <v>李育庭</v>
      </c>
    </row>
    <row r="913" spans="1:5" ht="15" customHeight="1">
      <c r="A913" s="121" t="str">
        <f t="shared" ca="1" si="3"/>
        <v>AB001307</v>
      </c>
      <c r="B913" t="str">
        <f t="shared" ca="1" si="2"/>
        <v/>
      </c>
      <c r="C913" t="str">
        <f ca="1">IFERROR(__xludf.DUMMYFUNCTION("""COMPUTED_VALUE"""),"AB001307")</f>
        <v>AB001307</v>
      </c>
      <c r="D913" t="str">
        <f ca="1">IFERROR(__xludf.DUMMYFUNCTION("""COMPUTED_VALUE"""),"")</f>
        <v/>
      </c>
      <c r="E913" t="str">
        <f ca="1">IFERROR(__xludf.DUMMYFUNCTION("""COMPUTED_VALUE"""),"李育庭")</f>
        <v>李育庭</v>
      </c>
    </row>
    <row r="914" spans="1:5" ht="15" customHeight="1">
      <c r="A914" s="121" t="str">
        <f t="shared" ca="1" si="3"/>
        <v>AB001306</v>
      </c>
      <c r="B914" t="str">
        <f t="shared" ca="1" si="2"/>
        <v/>
      </c>
      <c r="C914" t="str">
        <f ca="1">IFERROR(__xludf.DUMMYFUNCTION("""COMPUTED_VALUE"""),"AB001306")</f>
        <v>AB001306</v>
      </c>
      <c r="D914" t="str">
        <f ca="1">IFERROR(__xludf.DUMMYFUNCTION("""COMPUTED_VALUE"""),"")</f>
        <v/>
      </c>
      <c r="E914" t="str">
        <f ca="1">IFERROR(__xludf.DUMMYFUNCTION("""COMPUTED_VALUE"""),"李育庭")</f>
        <v>李育庭</v>
      </c>
    </row>
    <row r="915" spans="1:5" ht="15" customHeight="1">
      <c r="A915" s="121" t="str">
        <f t="shared" ca="1" si="3"/>
        <v>AB001306</v>
      </c>
      <c r="B915" t="str">
        <f t="shared" ca="1" si="2"/>
        <v/>
      </c>
      <c r="C915" t="str">
        <f ca="1">IFERROR(__xludf.DUMMYFUNCTION("""COMPUTED_VALUE"""),"AB001306")</f>
        <v>AB001306</v>
      </c>
      <c r="D915" t="str">
        <f ca="1">IFERROR(__xludf.DUMMYFUNCTION("""COMPUTED_VALUE"""),"")</f>
        <v/>
      </c>
      <c r="E915" t="str">
        <f ca="1">IFERROR(__xludf.DUMMYFUNCTION("""COMPUTED_VALUE"""),"李育庭")</f>
        <v>李育庭</v>
      </c>
    </row>
    <row r="916" spans="1:5" ht="15" customHeight="1">
      <c r="A916" s="121" t="str">
        <f t="shared" ca="1" si="3"/>
        <v>AB001284</v>
      </c>
      <c r="B916" t="str">
        <f t="shared" ca="1" si="2"/>
        <v/>
      </c>
      <c r="C916" t="str">
        <f ca="1">IFERROR(__xludf.DUMMYFUNCTION("""COMPUTED_VALUE"""),"AB001284")</f>
        <v>AB001284</v>
      </c>
      <c r="D916" t="str">
        <f ca="1">IFERROR(__xludf.DUMMYFUNCTION("""COMPUTED_VALUE"""),"")</f>
        <v/>
      </c>
      <c r="E916" t="str">
        <f ca="1">IFERROR(__xludf.DUMMYFUNCTION("""COMPUTED_VALUE"""),"大江生醫股份有限公司")</f>
        <v>大江生醫股份有限公司</v>
      </c>
    </row>
    <row r="917" spans="1:5" ht="15" customHeight="1">
      <c r="A917" s="121" t="str">
        <f t="shared" ca="1" si="3"/>
        <v>AB001285</v>
      </c>
      <c r="B917" t="str">
        <f t="shared" ca="1" si="2"/>
        <v/>
      </c>
      <c r="C917" t="str">
        <f ca="1">IFERROR(__xludf.DUMMYFUNCTION("""COMPUTED_VALUE"""),"AB001285")</f>
        <v>AB001285</v>
      </c>
      <c r="D917" t="str">
        <f ca="1">IFERROR(__xludf.DUMMYFUNCTION("""COMPUTED_VALUE"""),"")</f>
        <v/>
      </c>
      <c r="E917" t="str">
        <f ca="1">IFERROR(__xludf.DUMMYFUNCTION("""COMPUTED_VALUE"""),"M12 Rocky(百岳特生物)")</f>
        <v>M12 Rocky(百岳特生物)</v>
      </c>
    </row>
    <row r="918" spans="1:5" ht="15" customHeight="1">
      <c r="A918" s="121" t="str">
        <f t="shared" ca="1" si="3"/>
        <v>AB001283</v>
      </c>
      <c r="B918" t="str">
        <f t="shared" ca="1" si="2"/>
        <v/>
      </c>
      <c r="C918" t="str">
        <f ca="1">IFERROR(__xludf.DUMMYFUNCTION("""COMPUTED_VALUE"""),"AB001283")</f>
        <v>AB001283</v>
      </c>
      <c r="D918" t="str">
        <f ca="1">IFERROR(__xludf.DUMMYFUNCTION("""COMPUTED_VALUE"""),"")</f>
        <v/>
      </c>
      <c r="E918" t="str">
        <f ca="1">IFERROR(__xludf.DUMMYFUNCTION("""COMPUTED_VALUE"""),"陳家誼")</f>
        <v>陳家誼</v>
      </c>
    </row>
    <row r="919" spans="1:5" ht="15" customHeight="1">
      <c r="A919" s="121" t="str">
        <f t="shared" ca="1" si="3"/>
        <v>AB001276</v>
      </c>
      <c r="B919" t="str">
        <f t="shared" ca="1" si="2"/>
        <v/>
      </c>
      <c r="C919" t="str">
        <f ca="1">IFERROR(__xludf.DUMMYFUNCTION("""COMPUTED_VALUE"""),"AB001276")</f>
        <v>AB001276</v>
      </c>
      <c r="D919" t="str">
        <f ca="1">IFERROR(__xludf.DUMMYFUNCTION("""COMPUTED_VALUE"""),"")</f>
        <v/>
      </c>
      <c r="E919" t="str">
        <f ca="1">IFERROR(__xludf.DUMMYFUNCTION("""COMPUTED_VALUE"""),"安妮")</f>
        <v>安妮</v>
      </c>
    </row>
    <row r="920" spans="1:5" ht="15" customHeight="1">
      <c r="A920" s="121" t="str">
        <f t="shared" ca="1" si="3"/>
        <v>PA000133</v>
      </c>
      <c r="B920" t="str">
        <f t="shared" ca="1" si="2"/>
        <v/>
      </c>
      <c r="C920" t="str">
        <f ca="1">IFERROR(__xludf.DUMMYFUNCTION("""COMPUTED_VALUE"""),"PA000133")</f>
        <v>PA000133</v>
      </c>
      <c r="D920" t="str">
        <f ca="1">IFERROR(__xludf.DUMMYFUNCTION("""COMPUTED_VALUE"""),"")</f>
        <v/>
      </c>
      <c r="E920" t="str">
        <f ca="1">IFERROR(__xludf.DUMMYFUNCTION("""COMPUTED_VALUE"""),"大江生醫股份有限公司")</f>
        <v>大江生醫股份有限公司</v>
      </c>
    </row>
    <row r="921" spans="1:5" ht="15" customHeight="1">
      <c r="A921" s="121" t="str">
        <f t="shared" ca="1" si="3"/>
        <v>AB001088</v>
      </c>
      <c r="B921" t="str">
        <f t="shared" ca="1" si="2"/>
        <v>悠美診所</v>
      </c>
      <c r="C921" t="str">
        <f ca="1">IFERROR(__xludf.DUMMYFUNCTION("""COMPUTED_VALUE"""),"AB001088")</f>
        <v>AB001088</v>
      </c>
      <c r="D921" s="214" t="str">
        <f ca="1">IFERROR(__xludf.DUMMYFUNCTION("""COMPUTED_VALUE"""),"v")</f>
        <v>v</v>
      </c>
      <c r="E921" t="str">
        <f ca="1">IFERROR(__xludf.DUMMYFUNCTION("""COMPUTED_VALUE"""),"悠美診所")</f>
        <v>悠美診所</v>
      </c>
    </row>
    <row r="922" spans="1:5" ht="15" customHeight="1">
      <c r="A922" s="121" t="str">
        <f t="shared" ca="1" si="3"/>
        <v>AB001322</v>
      </c>
      <c r="B922" t="str">
        <f t="shared" ca="1" si="2"/>
        <v/>
      </c>
      <c r="C922" t="str">
        <f ca="1">IFERROR(__xludf.DUMMYFUNCTION("""COMPUTED_VALUE"""),"AB001322")</f>
        <v>AB001322</v>
      </c>
      <c r="D922" t="str">
        <f ca="1">IFERROR(__xludf.DUMMYFUNCTION("""COMPUTED_VALUE"""),"")</f>
        <v/>
      </c>
      <c r="E922" t="str">
        <f ca="1">IFERROR(__xludf.DUMMYFUNCTION("""COMPUTED_VALUE"""),"福爾摩沙醫院管理顧問有限公司")</f>
        <v>福爾摩沙醫院管理顧問有限公司</v>
      </c>
    </row>
    <row r="923" spans="1:5" ht="15" customHeight="1">
      <c r="A923" s="121" t="str">
        <f t="shared" ca="1" si="3"/>
        <v>AB001323</v>
      </c>
      <c r="B923" t="str">
        <f t="shared" ca="1" si="2"/>
        <v/>
      </c>
      <c r="C923" t="str">
        <f ca="1">IFERROR(__xludf.DUMMYFUNCTION("""COMPUTED_VALUE"""),"AB001323")</f>
        <v>AB001323</v>
      </c>
      <c r="D923" t="str">
        <f ca="1">IFERROR(__xludf.DUMMYFUNCTION("""COMPUTED_VALUE"""),"")</f>
        <v/>
      </c>
      <c r="E923" t="str">
        <f ca="1">IFERROR(__xludf.DUMMYFUNCTION("""COMPUTED_VALUE"""),"傅世慧")</f>
        <v>傅世慧</v>
      </c>
    </row>
    <row r="924" spans="1:5" ht="15" customHeight="1">
      <c r="A924" s="121" t="str">
        <f t="shared" ca="1" si="3"/>
        <v>AB001286</v>
      </c>
      <c r="B924" t="str">
        <f t="shared" ca="1" si="2"/>
        <v/>
      </c>
      <c r="C924" t="str">
        <f ca="1">IFERROR(__xludf.DUMMYFUNCTION("""COMPUTED_VALUE"""),"AB001286")</f>
        <v>AB001286</v>
      </c>
      <c r="D924" t="str">
        <f ca="1">IFERROR(__xludf.DUMMYFUNCTION("""COMPUTED_VALUE"""),"")</f>
        <v/>
      </c>
      <c r="E924" t="str">
        <f ca="1">IFERROR(__xludf.DUMMYFUNCTION("""COMPUTED_VALUE"""),"榮峻緯")</f>
        <v>榮峻緯</v>
      </c>
    </row>
    <row r="925" spans="1:5" ht="15" customHeight="1">
      <c r="A925" s="121" t="str">
        <f t="shared" ca="1" si="3"/>
        <v>AB001324</v>
      </c>
      <c r="B925" t="str">
        <f t="shared" ca="1" si="2"/>
        <v/>
      </c>
      <c r="C925" t="str">
        <f ca="1">IFERROR(__xludf.DUMMYFUNCTION("""COMPUTED_VALUE"""),"AB001324")</f>
        <v>AB001324</v>
      </c>
      <c r="D925" t="str">
        <f ca="1">IFERROR(__xludf.DUMMYFUNCTION("""COMPUTED_VALUE"""),"")</f>
        <v/>
      </c>
      <c r="E925" t="str">
        <f ca="1">IFERROR(__xludf.DUMMYFUNCTION("""COMPUTED_VALUE"""),"王則閎")</f>
        <v>王則閎</v>
      </c>
    </row>
    <row r="926" spans="1:5" ht="15" customHeight="1">
      <c r="A926" s="121" t="str">
        <f t="shared" ca="1" si="3"/>
        <v>AB001351</v>
      </c>
      <c r="B926" t="str">
        <f t="shared" ca="1" si="2"/>
        <v/>
      </c>
      <c r="C926" t="str">
        <f ca="1">IFERROR(__xludf.DUMMYFUNCTION("""COMPUTED_VALUE"""),"AB001351")</f>
        <v>AB001351</v>
      </c>
      <c r="D926" t="str">
        <f ca="1">IFERROR(__xludf.DUMMYFUNCTION("""COMPUTED_VALUE"""),"")</f>
        <v/>
      </c>
      <c r="E926" t="str">
        <f ca="1">IFERROR(__xludf.DUMMYFUNCTION("""COMPUTED_VALUE"""),"何孟娟")</f>
        <v>何孟娟</v>
      </c>
    </row>
    <row r="927" spans="1:5" ht="15" customHeight="1">
      <c r="A927" s="121" t="str">
        <f t="shared" ca="1" si="3"/>
        <v>PA000133</v>
      </c>
      <c r="B927" t="str">
        <f t="shared" ca="1" si="2"/>
        <v/>
      </c>
      <c r="C927" t="str">
        <f ca="1">IFERROR(__xludf.DUMMYFUNCTION("""COMPUTED_VALUE"""),"PA000133")</f>
        <v>PA000133</v>
      </c>
      <c r="D927" t="str">
        <f ca="1">IFERROR(__xludf.DUMMYFUNCTION("""COMPUTED_VALUE"""),"")</f>
        <v/>
      </c>
      <c r="E927" t="str">
        <f ca="1">IFERROR(__xludf.DUMMYFUNCTION("""COMPUTED_VALUE"""),"大江生醫股份有限公司")</f>
        <v>大江生醫股份有限公司</v>
      </c>
    </row>
    <row r="928" spans="1:5" ht="15" customHeight="1">
      <c r="A928" s="121" t="str">
        <f t="shared" ca="1" si="3"/>
        <v>AB001352</v>
      </c>
      <c r="B928" t="str">
        <f t="shared" ca="1" si="2"/>
        <v/>
      </c>
      <c r="C928" t="str">
        <f ca="1">IFERROR(__xludf.DUMMYFUNCTION("""COMPUTED_VALUE"""),"AB001352")</f>
        <v>AB001352</v>
      </c>
      <c r="D928" t="str">
        <f ca="1">IFERROR(__xludf.DUMMYFUNCTION("""COMPUTED_VALUE"""),"")</f>
        <v/>
      </c>
      <c r="E928" t="str">
        <f ca="1">IFERROR(__xludf.DUMMYFUNCTION("""COMPUTED_VALUE"""),"陳裕慎")</f>
        <v>陳裕慎</v>
      </c>
    </row>
    <row r="929" spans="1:5" ht="15" customHeight="1">
      <c r="A929" s="121" t="str">
        <f t="shared" ca="1" si="3"/>
        <v>AB001352</v>
      </c>
      <c r="B929" t="str">
        <f t="shared" ca="1" si="2"/>
        <v/>
      </c>
      <c r="C929" t="str">
        <f ca="1">IFERROR(__xludf.DUMMYFUNCTION("""COMPUTED_VALUE"""),"AB001352")</f>
        <v>AB001352</v>
      </c>
      <c r="D929" t="str">
        <f ca="1">IFERROR(__xludf.DUMMYFUNCTION("""COMPUTED_VALUE"""),"")</f>
        <v/>
      </c>
      <c r="E929" t="str">
        <f ca="1">IFERROR(__xludf.DUMMYFUNCTION("""COMPUTED_VALUE"""),"陳裕慎")</f>
        <v>陳裕慎</v>
      </c>
    </row>
    <row r="930" spans="1:5" ht="15" customHeight="1">
      <c r="A930" s="121" t="str">
        <f t="shared" ca="1" si="3"/>
        <v>AB001352</v>
      </c>
      <c r="B930" t="str">
        <f t="shared" ca="1" si="2"/>
        <v/>
      </c>
      <c r="C930" t="str">
        <f ca="1">IFERROR(__xludf.DUMMYFUNCTION("""COMPUTED_VALUE"""),"AB001352")</f>
        <v>AB001352</v>
      </c>
      <c r="D930" t="str">
        <f ca="1">IFERROR(__xludf.DUMMYFUNCTION("""COMPUTED_VALUE"""),"")</f>
        <v/>
      </c>
      <c r="E930" t="str">
        <f ca="1">IFERROR(__xludf.DUMMYFUNCTION("""COMPUTED_VALUE"""),"陳裕慎")</f>
        <v>陳裕慎</v>
      </c>
    </row>
    <row r="931" spans="1:5" ht="15" customHeight="1">
      <c r="A931" s="121" t="str">
        <f t="shared" ca="1" si="3"/>
        <v>AB001287</v>
      </c>
      <c r="B931" t="str">
        <f t="shared" ca="1" si="2"/>
        <v/>
      </c>
      <c r="C931" t="str">
        <f ca="1">IFERROR(__xludf.DUMMYFUNCTION("""COMPUTED_VALUE"""),"AB001287")</f>
        <v>AB001287</v>
      </c>
      <c r="D931" t="str">
        <f ca="1">IFERROR(__xludf.DUMMYFUNCTION("""COMPUTED_VALUE"""),"")</f>
        <v/>
      </c>
      <c r="E931" t="str">
        <f ca="1">IFERROR(__xludf.DUMMYFUNCTION("""COMPUTED_VALUE"""),"王阿美")</f>
        <v>王阿美</v>
      </c>
    </row>
    <row r="932" spans="1:5" ht="15" customHeight="1">
      <c r="A932" s="121" t="str">
        <f t="shared" ca="1" si="3"/>
        <v>AB001288</v>
      </c>
      <c r="B932" t="str">
        <f t="shared" ca="1" si="2"/>
        <v/>
      </c>
      <c r="C932" t="str">
        <f ca="1">IFERROR(__xludf.DUMMYFUNCTION("""COMPUTED_VALUE"""),"AB001288")</f>
        <v>AB001288</v>
      </c>
      <c r="D932" t="str">
        <f ca="1">IFERROR(__xludf.DUMMYFUNCTION("""COMPUTED_VALUE"""),"")</f>
        <v/>
      </c>
      <c r="E932" t="str">
        <f ca="1">IFERROR(__xludf.DUMMYFUNCTION("""COMPUTED_VALUE"""),"張志誠")</f>
        <v>張志誠</v>
      </c>
    </row>
    <row r="933" spans="1:5" ht="15" customHeight="1">
      <c r="A933" s="121" t="str">
        <f t="shared" ca="1" si="3"/>
        <v>AB001290</v>
      </c>
      <c r="B933" t="str">
        <f t="shared" ca="1" si="2"/>
        <v/>
      </c>
      <c r="C933" t="str">
        <f ca="1">IFERROR(__xludf.DUMMYFUNCTION("""COMPUTED_VALUE"""),"AB001290")</f>
        <v>AB001290</v>
      </c>
      <c r="D933" t="str">
        <f ca="1">IFERROR(__xludf.DUMMYFUNCTION("""COMPUTED_VALUE"""),"")</f>
        <v/>
      </c>
      <c r="E933" t="str">
        <f ca="1">IFERROR(__xludf.DUMMYFUNCTION("""COMPUTED_VALUE"""),"王阿美")</f>
        <v>王阿美</v>
      </c>
    </row>
    <row r="934" spans="1:5" ht="15" customHeight="1">
      <c r="A934" s="121" t="str">
        <f t="shared" ca="1" si="3"/>
        <v>AB001353</v>
      </c>
      <c r="B934" t="str">
        <f t="shared" ca="1" si="2"/>
        <v/>
      </c>
      <c r="C934" t="str">
        <f ca="1">IFERROR(__xludf.DUMMYFUNCTION("""COMPUTED_VALUE"""),"AB001353")</f>
        <v>AB001353</v>
      </c>
      <c r="D934" t="str">
        <f ca="1">IFERROR(__xludf.DUMMYFUNCTION("""COMPUTED_VALUE"""),"")</f>
        <v/>
      </c>
      <c r="E934" t="str">
        <f ca="1">IFERROR(__xludf.DUMMYFUNCTION("""COMPUTED_VALUE"""),"葉貴香")</f>
        <v>葉貴香</v>
      </c>
    </row>
    <row r="935" spans="1:5" ht="15" customHeight="1">
      <c r="A935" s="121" t="str">
        <f t="shared" ca="1" si="3"/>
        <v>AB001282</v>
      </c>
      <c r="B935" t="str">
        <f t="shared" ca="1" si="2"/>
        <v/>
      </c>
      <c r="C935" t="str">
        <f ca="1">IFERROR(__xludf.DUMMYFUNCTION("""COMPUTED_VALUE"""),"AB001282")</f>
        <v>AB001282</v>
      </c>
      <c r="D935" t="str">
        <f ca="1">IFERROR(__xludf.DUMMYFUNCTION("""COMPUTED_VALUE"""),"")</f>
        <v/>
      </c>
      <c r="E935" t="str">
        <f ca="1">IFERROR(__xludf.DUMMYFUNCTION("""COMPUTED_VALUE"""),"何詩韻")</f>
        <v>何詩韻</v>
      </c>
    </row>
    <row r="936" spans="1:5" ht="15" customHeight="1">
      <c r="A936" s="121" t="str">
        <f t="shared" ca="1" si="3"/>
        <v>AB001282</v>
      </c>
      <c r="B936" t="str">
        <f t="shared" ca="1" si="2"/>
        <v/>
      </c>
      <c r="C936" t="str">
        <f ca="1">IFERROR(__xludf.DUMMYFUNCTION("""COMPUTED_VALUE"""),"AB001282")</f>
        <v>AB001282</v>
      </c>
      <c r="D936" t="str">
        <f ca="1">IFERROR(__xludf.DUMMYFUNCTION("""COMPUTED_VALUE"""),"")</f>
        <v/>
      </c>
      <c r="E936" t="str">
        <f ca="1">IFERROR(__xludf.DUMMYFUNCTION("""COMPUTED_VALUE"""),"何詩韻")</f>
        <v>何詩韻</v>
      </c>
    </row>
    <row r="937" spans="1:5" ht="15" customHeight="1">
      <c r="A937" s="121" t="str">
        <f t="shared" ca="1" si="3"/>
        <v>AA001941</v>
      </c>
      <c r="B937" t="str">
        <f t="shared" ca="1" si="2"/>
        <v/>
      </c>
      <c r="C937" t="str">
        <f ca="1">IFERROR(__xludf.DUMMYFUNCTION("""COMPUTED_VALUE"""),"AA001941")</f>
        <v>AA001941</v>
      </c>
      <c r="D937" t="str">
        <f ca="1">IFERROR(__xludf.DUMMYFUNCTION("""COMPUTED_VALUE"""),"")</f>
        <v/>
      </c>
      <c r="E937" t="str">
        <f ca="1">IFERROR(__xludf.DUMMYFUNCTION("""COMPUTED_VALUE"""),"大江生醫職工福利委員會")</f>
        <v>大江生醫職工福利委員會</v>
      </c>
    </row>
    <row r="938" spans="1:5" ht="15" customHeight="1">
      <c r="A938" s="121" t="str">
        <f t="shared" ca="1" si="3"/>
        <v>AA001941</v>
      </c>
      <c r="B938" t="str">
        <f t="shared" ca="1" si="2"/>
        <v/>
      </c>
      <c r="C938" t="str">
        <f ca="1">IFERROR(__xludf.DUMMYFUNCTION("""COMPUTED_VALUE"""),"AA001941")</f>
        <v>AA001941</v>
      </c>
      <c r="D938" t="str">
        <f ca="1">IFERROR(__xludf.DUMMYFUNCTION("""COMPUTED_VALUE"""),"")</f>
        <v/>
      </c>
      <c r="E938" t="str">
        <f ca="1">IFERROR(__xludf.DUMMYFUNCTION("""COMPUTED_VALUE"""),"大江生醫職工福利委員會")</f>
        <v>大江生醫職工福利委員會</v>
      </c>
    </row>
    <row r="939" spans="1:5" ht="15" customHeight="1">
      <c r="A939" s="121" t="str">
        <f t="shared" ca="1" si="3"/>
        <v>AA001941</v>
      </c>
      <c r="B939" t="str">
        <f t="shared" ca="1" si="2"/>
        <v/>
      </c>
      <c r="C939" t="str">
        <f ca="1">IFERROR(__xludf.DUMMYFUNCTION("""COMPUTED_VALUE"""),"AA001941")</f>
        <v>AA001941</v>
      </c>
      <c r="D939" t="str">
        <f ca="1">IFERROR(__xludf.DUMMYFUNCTION("""COMPUTED_VALUE"""),"")</f>
        <v/>
      </c>
      <c r="E939" t="str">
        <f ca="1">IFERROR(__xludf.DUMMYFUNCTION("""COMPUTED_VALUE"""),"大江生醫職工福利委員會")</f>
        <v>大江生醫職工福利委員會</v>
      </c>
    </row>
    <row r="940" spans="1:5" ht="15" customHeight="1">
      <c r="A940" s="121" t="str">
        <f t="shared" ca="1" si="3"/>
        <v>AB001292</v>
      </c>
      <c r="B940" t="str">
        <f t="shared" ca="1" si="2"/>
        <v/>
      </c>
      <c r="C940" t="str">
        <f ca="1">IFERROR(__xludf.DUMMYFUNCTION("""COMPUTED_VALUE"""),"AB001292")</f>
        <v>AB001292</v>
      </c>
      <c r="D940" t="str">
        <f ca="1">IFERROR(__xludf.DUMMYFUNCTION("""COMPUTED_VALUE"""),"")</f>
        <v/>
      </c>
      <c r="E940" t="str">
        <f ca="1">IFERROR(__xludf.DUMMYFUNCTION("""COMPUTED_VALUE"""),"江佩穎")</f>
        <v>江佩穎</v>
      </c>
    </row>
    <row r="941" spans="1:5" ht="15" customHeight="1">
      <c r="A941" s="121" t="str">
        <f t="shared" ca="1" si="3"/>
        <v>AB001293</v>
      </c>
      <c r="B941" t="str">
        <f t="shared" ca="1" si="2"/>
        <v/>
      </c>
      <c r="C941" t="str">
        <f ca="1">IFERROR(__xludf.DUMMYFUNCTION("""COMPUTED_VALUE"""),"AB001293")</f>
        <v>AB001293</v>
      </c>
      <c r="D941" t="str">
        <f ca="1">IFERROR(__xludf.DUMMYFUNCTION("""COMPUTED_VALUE"""),"")</f>
        <v/>
      </c>
      <c r="E941" t="str">
        <f ca="1">IFERROR(__xludf.DUMMYFUNCTION("""COMPUTED_VALUE"""),"安妮")</f>
        <v>安妮</v>
      </c>
    </row>
    <row r="942" spans="1:5" ht="15" customHeight="1">
      <c r="A942" s="121" t="str">
        <f t="shared" ca="1" si="3"/>
        <v>AB001291</v>
      </c>
      <c r="B942" t="str">
        <f t="shared" ca="1" si="2"/>
        <v/>
      </c>
      <c r="C942" t="str">
        <f ca="1">IFERROR(__xludf.DUMMYFUNCTION("""COMPUTED_VALUE"""),"AB001291")</f>
        <v>AB001291</v>
      </c>
      <c r="D942" t="str">
        <f ca="1">IFERROR(__xludf.DUMMYFUNCTION("""COMPUTED_VALUE"""),"")</f>
        <v/>
      </c>
      <c r="E942" t="str">
        <f ca="1">IFERROR(__xludf.DUMMYFUNCTION("""COMPUTED_VALUE"""),"麗顏公司(李冠蓁)")</f>
        <v>麗顏公司(李冠蓁)</v>
      </c>
    </row>
    <row r="943" spans="1:5" ht="15" customHeight="1">
      <c r="A943" s="121" t="str">
        <f t="shared" ca="1" si="3"/>
        <v>AB001089</v>
      </c>
      <c r="B943" t="str">
        <f t="shared" ca="1" si="2"/>
        <v/>
      </c>
      <c r="C943" t="str">
        <f ca="1">IFERROR(__xludf.DUMMYFUNCTION("""COMPUTED_VALUE"""),"AB001089")</f>
        <v>AB001089</v>
      </c>
      <c r="D943" t="str">
        <f ca="1">IFERROR(__xludf.DUMMYFUNCTION("""COMPUTED_VALUE"""),"")</f>
        <v/>
      </c>
      <c r="E943" t="str">
        <f ca="1">IFERROR(__xludf.DUMMYFUNCTION("""COMPUTED_VALUE"""),"賴思陵")</f>
        <v>賴思陵</v>
      </c>
    </row>
    <row r="944" spans="1:5" ht="15" customHeight="1">
      <c r="A944" s="121" t="str">
        <f t="shared" ca="1" si="3"/>
        <v>AB001090</v>
      </c>
      <c r="B944" t="str">
        <f t="shared" ca="1" si="2"/>
        <v>樂奕診所</v>
      </c>
      <c r="C944" t="str">
        <f ca="1">IFERROR(__xludf.DUMMYFUNCTION("""COMPUTED_VALUE"""),"AB001090")</f>
        <v>AB001090</v>
      </c>
      <c r="D944" s="214" t="str">
        <f ca="1">IFERROR(__xludf.DUMMYFUNCTION("""COMPUTED_VALUE"""),"v")</f>
        <v>v</v>
      </c>
      <c r="E944" t="str">
        <f ca="1">IFERROR(__xludf.DUMMYFUNCTION("""COMPUTED_VALUE"""),"樂奕診所")</f>
        <v>樂奕診所</v>
      </c>
    </row>
    <row r="945" spans="1:5" ht="15" customHeight="1">
      <c r="A945" s="121" t="str">
        <f t="shared" ca="1" si="3"/>
        <v>AB001354</v>
      </c>
      <c r="B945" t="str">
        <f t="shared" ca="1" si="2"/>
        <v/>
      </c>
      <c r="C945" t="str">
        <f ca="1">IFERROR(__xludf.DUMMYFUNCTION("""COMPUTED_VALUE"""),"AB001354")</f>
        <v>AB001354</v>
      </c>
      <c r="D945" t="str">
        <f ca="1">IFERROR(__xludf.DUMMYFUNCTION("""COMPUTED_VALUE"""),"")</f>
        <v/>
      </c>
      <c r="E945" t="str">
        <f ca="1">IFERROR(__xludf.DUMMYFUNCTION("""COMPUTED_VALUE"""),"王珮昀")</f>
        <v>王珮昀</v>
      </c>
    </row>
    <row r="946" spans="1:5" ht="15" customHeight="1">
      <c r="A946" s="121" t="str">
        <f t="shared" ca="1" si="3"/>
        <v>AB001355</v>
      </c>
      <c r="B946" t="str">
        <f t="shared" ca="1" si="2"/>
        <v/>
      </c>
      <c r="C946" t="str">
        <f ca="1">IFERROR(__xludf.DUMMYFUNCTION("""COMPUTED_VALUE"""),"AB001355")</f>
        <v>AB001355</v>
      </c>
      <c r="D946" t="str">
        <f ca="1">IFERROR(__xludf.DUMMYFUNCTION("""COMPUTED_VALUE"""),"")</f>
        <v/>
      </c>
      <c r="E946" t="str">
        <f ca="1">IFERROR(__xludf.DUMMYFUNCTION("""COMPUTED_VALUE"""),"王學涵")</f>
        <v>王學涵</v>
      </c>
    </row>
    <row r="947" spans="1:5" ht="15" customHeight="1">
      <c r="A947" s="121" t="str">
        <f t="shared" ca="1" si="3"/>
        <v>AB001294</v>
      </c>
      <c r="B947" t="str">
        <f t="shared" ca="1" si="2"/>
        <v/>
      </c>
      <c r="C947" t="str">
        <f ca="1">IFERROR(__xludf.DUMMYFUNCTION("""COMPUTED_VALUE"""),"AB001294")</f>
        <v>AB001294</v>
      </c>
      <c r="D947" t="str">
        <f ca="1">IFERROR(__xludf.DUMMYFUNCTION("""COMPUTED_VALUE"""),"")</f>
        <v/>
      </c>
      <c r="E947" t="str">
        <f ca="1">IFERROR(__xludf.DUMMYFUNCTION("""COMPUTED_VALUE"""),"何美慧")</f>
        <v>何美慧</v>
      </c>
    </row>
    <row r="948" spans="1:5" ht="15" customHeight="1">
      <c r="A948" s="121" t="str">
        <f t="shared" ca="1" si="3"/>
        <v>AB001357</v>
      </c>
      <c r="B948" t="str">
        <f t="shared" ca="1" si="2"/>
        <v/>
      </c>
      <c r="C948" t="str">
        <f ca="1">IFERROR(__xludf.DUMMYFUNCTION("""COMPUTED_VALUE"""),"AB001357")</f>
        <v>AB001357</v>
      </c>
      <c r="D948" t="str">
        <f ca="1">IFERROR(__xludf.DUMMYFUNCTION("""COMPUTED_VALUE"""),"")</f>
        <v/>
      </c>
      <c r="E948" t="str">
        <f ca="1">IFERROR(__xludf.DUMMYFUNCTION("""COMPUTED_VALUE"""),"吳怡臻")</f>
        <v>吳怡臻</v>
      </c>
    </row>
    <row r="949" spans="1:5" ht="15" customHeight="1">
      <c r="A949" s="121" t="str">
        <f t="shared" ca="1" si="3"/>
        <v>AB001358</v>
      </c>
      <c r="B949" t="str">
        <f t="shared" ca="1" si="2"/>
        <v/>
      </c>
      <c r="C949" t="str">
        <f ca="1">IFERROR(__xludf.DUMMYFUNCTION("""COMPUTED_VALUE"""),"AB001358")</f>
        <v>AB001358</v>
      </c>
      <c r="D949" t="str">
        <f ca="1">IFERROR(__xludf.DUMMYFUNCTION("""COMPUTED_VALUE"""),"")</f>
        <v/>
      </c>
      <c r="E949" t="str">
        <f ca="1">IFERROR(__xludf.DUMMYFUNCTION("""COMPUTED_VALUE"""),"林珀采")</f>
        <v>林珀采</v>
      </c>
    </row>
    <row r="950" spans="1:5" ht="15" customHeight="1">
      <c r="A950" s="121" t="str">
        <f t="shared" ca="1" si="3"/>
        <v>AB001356</v>
      </c>
      <c r="B950" t="str">
        <f t="shared" ca="1" si="2"/>
        <v/>
      </c>
      <c r="C950" t="str">
        <f ca="1">IFERROR(__xludf.DUMMYFUNCTION("""COMPUTED_VALUE"""),"AB001356")</f>
        <v>AB001356</v>
      </c>
      <c r="D950" t="str">
        <f ca="1">IFERROR(__xludf.DUMMYFUNCTION("""COMPUTED_VALUE"""),"")</f>
        <v/>
      </c>
      <c r="E950" t="str">
        <f ca="1">IFERROR(__xludf.DUMMYFUNCTION("""COMPUTED_VALUE"""),"蔣慶華")</f>
        <v>蔣慶華</v>
      </c>
    </row>
    <row r="951" spans="1:5" ht="15" customHeight="1">
      <c r="A951" s="121" t="str">
        <f t="shared" ca="1" si="3"/>
        <v>AB001225</v>
      </c>
      <c r="B951" t="str">
        <f t="shared" ca="1" si="2"/>
        <v/>
      </c>
      <c r="C951" t="str">
        <f ca="1">IFERROR(__xludf.DUMMYFUNCTION("""COMPUTED_VALUE"""),"AB001225")</f>
        <v>AB001225</v>
      </c>
      <c r="D951" t="str">
        <f ca="1">IFERROR(__xludf.DUMMYFUNCTION("""COMPUTED_VALUE"""),"")</f>
        <v/>
      </c>
      <c r="E951" t="str">
        <f ca="1">IFERROR(__xludf.DUMMYFUNCTION("""COMPUTED_VALUE"""),"鄧慧如")</f>
        <v>鄧慧如</v>
      </c>
    </row>
    <row r="952" spans="1:5" ht="15" customHeight="1">
      <c r="A952" s="121" t="str">
        <f t="shared" ca="1" si="3"/>
        <v>AB001360</v>
      </c>
      <c r="B952" t="str">
        <f t="shared" ca="1" si="2"/>
        <v/>
      </c>
      <c r="C952" t="str">
        <f ca="1">IFERROR(__xludf.DUMMYFUNCTION("""COMPUTED_VALUE"""),"AB001360")</f>
        <v>AB001360</v>
      </c>
      <c r="D952" t="str">
        <f ca="1">IFERROR(__xludf.DUMMYFUNCTION("""COMPUTED_VALUE"""),"")</f>
        <v/>
      </c>
      <c r="E952" t="str">
        <f ca="1">IFERROR(__xludf.DUMMYFUNCTION("""COMPUTED_VALUE"""),"福爾摩沙醫院管理顧問有限公司")</f>
        <v>福爾摩沙醫院管理顧問有限公司</v>
      </c>
    </row>
    <row r="953" spans="1:5" ht="15" customHeight="1">
      <c r="A953" s="121" t="str">
        <f t="shared" ca="1" si="3"/>
        <v>PA000136</v>
      </c>
      <c r="B953" t="str">
        <f t="shared" ca="1" si="2"/>
        <v/>
      </c>
      <c r="C953" t="str">
        <f ca="1">IFERROR(__xludf.DUMMYFUNCTION("""COMPUTED_VALUE"""),"PA000136")</f>
        <v>PA000136</v>
      </c>
      <c r="D953" t="str">
        <f ca="1">IFERROR(__xludf.DUMMYFUNCTION("""COMPUTED_VALUE"""),"")</f>
        <v/>
      </c>
      <c r="E953" t="str">
        <f ca="1">IFERROR(__xludf.DUMMYFUNCTION("""COMPUTED_VALUE"""),"王柔方")</f>
        <v>王柔方</v>
      </c>
    </row>
    <row r="954" spans="1:5" ht="15" customHeight="1">
      <c r="A954" s="121" t="str">
        <f t="shared" ca="1" si="3"/>
        <v>PA000136</v>
      </c>
      <c r="B954" t="str">
        <f t="shared" ca="1" si="2"/>
        <v/>
      </c>
      <c r="C954" t="str">
        <f ca="1">IFERROR(__xludf.DUMMYFUNCTION("""COMPUTED_VALUE"""),"PA000136")</f>
        <v>PA000136</v>
      </c>
      <c r="D954" t="str">
        <f ca="1">IFERROR(__xludf.DUMMYFUNCTION("""COMPUTED_VALUE"""),"")</f>
        <v/>
      </c>
      <c r="E954" t="str">
        <f ca="1">IFERROR(__xludf.DUMMYFUNCTION("""COMPUTED_VALUE"""),"王柔方")</f>
        <v>王柔方</v>
      </c>
    </row>
    <row r="955" spans="1:5" ht="15" customHeight="1">
      <c r="A955" s="121" t="str">
        <f t="shared" ca="1" si="3"/>
        <v>AB001327</v>
      </c>
      <c r="B955" t="str">
        <f t="shared" ca="1" si="2"/>
        <v>美容專家</v>
      </c>
      <c r="C955" t="str">
        <f ca="1">IFERROR(__xludf.DUMMYFUNCTION("""COMPUTED_VALUE"""),"AB001327")</f>
        <v>AB001327</v>
      </c>
      <c r="D955" s="214" t="str">
        <f ca="1">IFERROR(__xludf.DUMMYFUNCTION("""COMPUTED_VALUE"""),"v")</f>
        <v>v</v>
      </c>
      <c r="E955" t="str">
        <f ca="1">IFERROR(__xludf.DUMMYFUNCTION("""COMPUTED_VALUE"""),"美容專家")</f>
        <v>美容專家</v>
      </c>
    </row>
    <row r="956" spans="1:5" ht="15" customHeight="1">
      <c r="A956" s="121" t="str">
        <f t="shared" ca="1" si="3"/>
        <v>AB001327</v>
      </c>
      <c r="B956" t="str">
        <f t="shared" ca="1" si="2"/>
        <v/>
      </c>
      <c r="C956" t="str">
        <f ca="1">IFERROR(__xludf.DUMMYFUNCTION("""COMPUTED_VALUE"""),"AB001327")</f>
        <v>AB001327</v>
      </c>
      <c r="D956" t="str">
        <f ca="1">IFERROR(__xludf.DUMMYFUNCTION("""COMPUTED_VALUE"""),"")</f>
        <v/>
      </c>
      <c r="E956" t="str">
        <f ca="1">IFERROR(__xludf.DUMMYFUNCTION("""COMPUTED_VALUE"""),"美容專家")</f>
        <v>美容專家</v>
      </c>
    </row>
    <row r="957" spans="1:5" ht="15" customHeight="1">
      <c r="A957" s="121" t="str">
        <f t="shared" ca="1" si="3"/>
        <v>AB001327</v>
      </c>
      <c r="B957" t="str">
        <f t="shared" ca="1" si="2"/>
        <v>美容專家</v>
      </c>
      <c r="C957" t="str">
        <f ca="1">IFERROR(__xludf.DUMMYFUNCTION("""COMPUTED_VALUE"""),"AB001327")</f>
        <v>AB001327</v>
      </c>
      <c r="D957" s="214" t="str">
        <f ca="1">IFERROR(__xludf.DUMMYFUNCTION("""COMPUTED_VALUE"""),"v")</f>
        <v>v</v>
      </c>
      <c r="E957" t="str">
        <f ca="1">IFERROR(__xludf.DUMMYFUNCTION("""COMPUTED_VALUE"""),"美容專家")</f>
        <v>美容專家</v>
      </c>
    </row>
    <row r="958" spans="1:5" ht="15" customHeight="1">
      <c r="A958" s="121" t="str">
        <f t="shared" ca="1" si="3"/>
        <v>AB001327</v>
      </c>
      <c r="B958" t="str">
        <f t="shared" ca="1" si="2"/>
        <v/>
      </c>
      <c r="C958" t="str">
        <f ca="1">IFERROR(__xludf.DUMMYFUNCTION("""COMPUTED_VALUE"""),"AB001327")</f>
        <v>AB001327</v>
      </c>
      <c r="D958" t="str">
        <f ca="1">IFERROR(__xludf.DUMMYFUNCTION("""COMPUTED_VALUE"""),"")</f>
        <v/>
      </c>
      <c r="E958" t="str">
        <f ca="1">IFERROR(__xludf.DUMMYFUNCTION("""COMPUTED_VALUE"""),"美容專家")</f>
        <v>美容專家</v>
      </c>
    </row>
    <row r="959" spans="1:5" ht="15" customHeight="1">
      <c r="A959" s="121" t="str">
        <f t="shared" ca="1" si="3"/>
        <v>AB001327</v>
      </c>
      <c r="B959" t="str">
        <f t="shared" ca="1" si="2"/>
        <v>美容專家</v>
      </c>
      <c r="C959" t="str">
        <f ca="1">IFERROR(__xludf.DUMMYFUNCTION("""COMPUTED_VALUE"""),"AB001327")</f>
        <v>AB001327</v>
      </c>
      <c r="D959" s="214" t="str">
        <f ca="1">IFERROR(__xludf.DUMMYFUNCTION("""COMPUTED_VALUE"""),"v")</f>
        <v>v</v>
      </c>
      <c r="E959" t="str">
        <f ca="1">IFERROR(__xludf.DUMMYFUNCTION("""COMPUTED_VALUE"""),"美容專家")</f>
        <v>美容專家</v>
      </c>
    </row>
    <row r="960" spans="1:5" ht="15" customHeight="1">
      <c r="A960" s="121" t="str">
        <f t="shared" ca="1" si="3"/>
        <v>AB001327</v>
      </c>
      <c r="B960" t="str">
        <f t="shared" ca="1" si="2"/>
        <v/>
      </c>
      <c r="C960" t="str">
        <f ca="1">IFERROR(__xludf.DUMMYFUNCTION("""COMPUTED_VALUE"""),"AB001327")</f>
        <v>AB001327</v>
      </c>
      <c r="D960" t="str">
        <f ca="1">IFERROR(__xludf.DUMMYFUNCTION("""COMPUTED_VALUE"""),"")</f>
        <v/>
      </c>
      <c r="E960" t="str">
        <f ca="1">IFERROR(__xludf.DUMMYFUNCTION("""COMPUTED_VALUE"""),"美容專家")</f>
        <v>美容專家</v>
      </c>
    </row>
    <row r="961" spans="1:5" ht="15" customHeight="1">
      <c r="A961" s="121" t="str">
        <f t="shared" ca="1" si="3"/>
        <v>AB001327</v>
      </c>
      <c r="B961" t="str">
        <f t="shared" ca="1" si="2"/>
        <v/>
      </c>
      <c r="C961" t="str">
        <f ca="1">IFERROR(__xludf.DUMMYFUNCTION("""COMPUTED_VALUE"""),"AB001327")</f>
        <v>AB001327</v>
      </c>
      <c r="D961" t="str">
        <f ca="1">IFERROR(__xludf.DUMMYFUNCTION("""COMPUTED_VALUE"""),"")</f>
        <v/>
      </c>
      <c r="E961" t="str">
        <f ca="1">IFERROR(__xludf.DUMMYFUNCTION("""COMPUTED_VALUE"""),"美容專家")</f>
        <v>美容專家</v>
      </c>
    </row>
    <row r="962" spans="1:5" ht="15" customHeight="1">
      <c r="A962" s="121" t="str">
        <f t="shared" ca="1" si="3"/>
        <v>AB001327</v>
      </c>
      <c r="B962" t="str">
        <f t="shared" ca="1" si="2"/>
        <v/>
      </c>
      <c r="C962" t="str">
        <f ca="1">IFERROR(__xludf.DUMMYFUNCTION("""COMPUTED_VALUE"""),"AB001327")</f>
        <v>AB001327</v>
      </c>
      <c r="D962" t="str">
        <f ca="1">IFERROR(__xludf.DUMMYFUNCTION("""COMPUTED_VALUE"""),"")</f>
        <v/>
      </c>
      <c r="E962" t="str">
        <f ca="1">IFERROR(__xludf.DUMMYFUNCTION("""COMPUTED_VALUE"""),"美容專家")</f>
        <v>美容專家</v>
      </c>
    </row>
    <row r="963" spans="1:5" ht="15" customHeight="1">
      <c r="A963" s="121" t="str">
        <f t="shared" ca="1" si="3"/>
        <v>AB001327</v>
      </c>
      <c r="B963" t="str">
        <f t="shared" ca="1" si="2"/>
        <v/>
      </c>
      <c r="C963" t="str">
        <f ca="1">IFERROR(__xludf.DUMMYFUNCTION("""COMPUTED_VALUE"""),"AB001327")</f>
        <v>AB001327</v>
      </c>
      <c r="D963" t="str">
        <f ca="1">IFERROR(__xludf.DUMMYFUNCTION("""COMPUTED_VALUE"""),"")</f>
        <v/>
      </c>
      <c r="E963" t="str">
        <f ca="1">IFERROR(__xludf.DUMMYFUNCTION("""COMPUTED_VALUE"""),"美容專家")</f>
        <v>美容專家</v>
      </c>
    </row>
    <row r="964" spans="1:5" ht="15" customHeight="1">
      <c r="A964" s="121" t="str">
        <f t="shared" ca="1" si="3"/>
        <v>AB001327</v>
      </c>
      <c r="B964" t="str">
        <f t="shared" ca="1" si="2"/>
        <v/>
      </c>
      <c r="C964" t="str">
        <f ca="1">IFERROR(__xludf.DUMMYFUNCTION("""COMPUTED_VALUE"""),"AB001327")</f>
        <v>AB001327</v>
      </c>
      <c r="D964" t="str">
        <f ca="1">IFERROR(__xludf.DUMMYFUNCTION("""COMPUTED_VALUE"""),"")</f>
        <v/>
      </c>
      <c r="E964" t="str">
        <f ca="1">IFERROR(__xludf.DUMMYFUNCTION("""COMPUTED_VALUE"""),"美容專家")</f>
        <v>美容專家</v>
      </c>
    </row>
    <row r="965" spans="1:5" ht="15" customHeight="1">
      <c r="A965" s="121" t="str">
        <f t="shared" ca="1" si="3"/>
        <v>AB001298</v>
      </c>
      <c r="B965" t="str">
        <f t="shared" ca="1" si="2"/>
        <v/>
      </c>
      <c r="C965" t="str">
        <f ca="1">IFERROR(__xludf.DUMMYFUNCTION("""COMPUTED_VALUE"""),"AB001298")</f>
        <v>AB001298</v>
      </c>
      <c r="D965" t="str">
        <f ca="1">IFERROR(__xludf.DUMMYFUNCTION("""COMPUTED_VALUE"""),"")</f>
        <v/>
      </c>
      <c r="E965" t="str">
        <f ca="1">IFERROR(__xludf.DUMMYFUNCTION("""COMPUTED_VALUE"""),"莊涵茹")</f>
        <v>莊涵茹</v>
      </c>
    </row>
    <row r="966" spans="1:5" ht="15" customHeight="1">
      <c r="A966" s="121" t="str">
        <f t="shared" ca="1" si="3"/>
        <v>AB001295</v>
      </c>
      <c r="B966" t="str">
        <f t="shared" ca="1" si="2"/>
        <v/>
      </c>
      <c r="C966" t="str">
        <f ca="1">IFERROR(__xludf.DUMMYFUNCTION("""COMPUTED_VALUE"""),"AB001295")</f>
        <v>AB001295</v>
      </c>
      <c r="D966" t="str">
        <f ca="1">IFERROR(__xludf.DUMMYFUNCTION("""COMPUTED_VALUE"""),"")</f>
        <v/>
      </c>
      <c r="E966" t="str">
        <f ca="1">IFERROR(__xludf.DUMMYFUNCTION("""COMPUTED_VALUE"""),"林秀娟")</f>
        <v>林秀娟</v>
      </c>
    </row>
    <row r="967" spans="1:5" ht="15" customHeight="1">
      <c r="A967" s="121" t="str">
        <f t="shared" ca="1" si="3"/>
        <v>AB001295</v>
      </c>
      <c r="B967" t="str">
        <f t="shared" ca="1" si="2"/>
        <v/>
      </c>
      <c r="C967" t="str">
        <f ca="1">IFERROR(__xludf.DUMMYFUNCTION("""COMPUTED_VALUE"""),"AB001295")</f>
        <v>AB001295</v>
      </c>
      <c r="D967" t="str">
        <f ca="1">IFERROR(__xludf.DUMMYFUNCTION("""COMPUTED_VALUE"""),"")</f>
        <v/>
      </c>
      <c r="E967" t="str">
        <f ca="1">IFERROR(__xludf.DUMMYFUNCTION("""COMPUTED_VALUE"""),"林秀娟")</f>
        <v>林秀娟</v>
      </c>
    </row>
    <row r="968" spans="1:5" ht="15" customHeight="1">
      <c r="A968" s="121" t="str">
        <f t="shared" ca="1" si="3"/>
        <v>AB001296</v>
      </c>
      <c r="B968" t="str">
        <f t="shared" ca="1" si="2"/>
        <v/>
      </c>
      <c r="C968" t="str">
        <f ca="1">IFERROR(__xludf.DUMMYFUNCTION("""COMPUTED_VALUE"""),"AB001296")</f>
        <v>AB001296</v>
      </c>
      <c r="D968" t="str">
        <f ca="1">IFERROR(__xludf.DUMMYFUNCTION("""COMPUTED_VALUE"""),"")</f>
        <v/>
      </c>
      <c r="E968" t="str">
        <f ca="1">IFERROR(__xludf.DUMMYFUNCTION("""COMPUTED_VALUE"""),"林秀娟")</f>
        <v>林秀娟</v>
      </c>
    </row>
    <row r="969" spans="1:5" ht="15" customHeight="1">
      <c r="A969" s="121" t="str">
        <f t="shared" ca="1" si="3"/>
        <v>AB001297</v>
      </c>
      <c r="B969" t="str">
        <f t="shared" ca="1" si="2"/>
        <v/>
      </c>
      <c r="C969" t="str">
        <f ca="1">IFERROR(__xludf.DUMMYFUNCTION("""COMPUTED_VALUE"""),"AB001297")</f>
        <v>AB001297</v>
      </c>
      <c r="D969" t="str">
        <f ca="1">IFERROR(__xludf.DUMMYFUNCTION("""COMPUTED_VALUE"""),"")</f>
        <v/>
      </c>
      <c r="E969" t="str">
        <f ca="1">IFERROR(__xludf.DUMMYFUNCTION("""COMPUTED_VALUE"""),"蘇許記久")</f>
        <v>蘇許記久</v>
      </c>
    </row>
    <row r="970" spans="1:5" ht="15" customHeight="1">
      <c r="A970" s="121" t="str">
        <f t="shared" ca="1" si="3"/>
        <v>AB001300</v>
      </c>
      <c r="B970" t="str">
        <f t="shared" ca="1" si="2"/>
        <v/>
      </c>
      <c r="C970" t="str">
        <f ca="1">IFERROR(__xludf.DUMMYFUNCTION("""COMPUTED_VALUE"""),"AB001300")</f>
        <v>AB001300</v>
      </c>
      <c r="D970" t="str">
        <f ca="1">IFERROR(__xludf.DUMMYFUNCTION("""COMPUTED_VALUE"""),"")</f>
        <v/>
      </c>
      <c r="E970" t="str">
        <f ca="1">IFERROR(__xludf.DUMMYFUNCTION("""COMPUTED_VALUE"""),"張惠琴")</f>
        <v>張惠琴</v>
      </c>
    </row>
    <row r="971" spans="1:5" ht="15" customHeight="1">
      <c r="A971" s="121" t="str">
        <f t="shared" ca="1" si="3"/>
        <v>AB001401</v>
      </c>
      <c r="B971" t="str">
        <f t="shared" ca="1" si="2"/>
        <v/>
      </c>
      <c r="C971" t="str">
        <f ca="1">IFERROR(__xludf.DUMMYFUNCTION("""COMPUTED_VALUE"""),"AB001401")</f>
        <v>AB001401</v>
      </c>
      <c r="D971" t="str">
        <f ca="1">IFERROR(__xludf.DUMMYFUNCTION("""COMPUTED_VALUE"""),"")</f>
        <v/>
      </c>
      <c r="E971" t="str">
        <f ca="1">IFERROR(__xludf.DUMMYFUNCTION("""COMPUTED_VALUE"""),"林秀娟")</f>
        <v>林秀娟</v>
      </c>
    </row>
    <row r="972" spans="1:5" ht="15" customHeight="1">
      <c r="A972" s="121" t="str">
        <f t="shared" ca="1" si="3"/>
        <v>AB001363</v>
      </c>
      <c r="B972" t="str">
        <f t="shared" ca="1" si="2"/>
        <v/>
      </c>
      <c r="C972" t="str">
        <f ca="1">IFERROR(__xludf.DUMMYFUNCTION("""COMPUTED_VALUE"""),"AB001363")</f>
        <v>AB001363</v>
      </c>
      <c r="D972" t="str">
        <f ca="1">IFERROR(__xludf.DUMMYFUNCTION("""COMPUTED_VALUE"""),"")</f>
        <v/>
      </c>
      <c r="E972" t="str">
        <f ca="1">IFERROR(__xludf.DUMMYFUNCTION("""COMPUTED_VALUE"""),"福爾摩沙醫院管理顧問有限公司")</f>
        <v>福爾摩沙醫院管理顧問有限公司</v>
      </c>
    </row>
    <row r="973" spans="1:5" ht="15" customHeight="1">
      <c r="A973" s="121" t="str">
        <f t="shared" ca="1" si="3"/>
        <v>AA001942</v>
      </c>
      <c r="B973" t="str">
        <f t="shared" ca="1" si="2"/>
        <v/>
      </c>
      <c r="C973" t="str">
        <f ca="1">IFERROR(__xludf.DUMMYFUNCTION("""COMPUTED_VALUE"""),"AA001942")</f>
        <v>AA001942</v>
      </c>
      <c r="D973" t="str">
        <f ca="1">IFERROR(__xludf.DUMMYFUNCTION("""COMPUTED_VALUE"""),"")</f>
        <v/>
      </c>
      <c r="E973" t="str">
        <f ca="1">IFERROR(__xludf.DUMMYFUNCTION("""COMPUTED_VALUE"""),"大江基因醫學股份有限公司(員購)")</f>
        <v>大江基因醫學股份有限公司(員購)</v>
      </c>
    </row>
    <row r="974" spans="1:5" ht="15" customHeight="1">
      <c r="A974" s="121" t="str">
        <f t="shared" ca="1" si="3"/>
        <v>AA001942</v>
      </c>
      <c r="B974" t="str">
        <f t="shared" ca="1" si="2"/>
        <v/>
      </c>
      <c r="C974" t="str">
        <f ca="1">IFERROR(__xludf.DUMMYFUNCTION("""COMPUTED_VALUE"""),"AA001942")</f>
        <v>AA001942</v>
      </c>
      <c r="D974" t="str">
        <f ca="1">IFERROR(__xludf.DUMMYFUNCTION("""COMPUTED_VALUE"""),"")</f>
        <v/>
      </c>
      <c r="E974" t="str">
        <f ca="1">IFERROR(__xludf.DUMMYFUNCTION("""COMPUTED_VALUE"""),"大江基因醫學股份有限公司(員購)")</f>
        <v>大江基因醫學股份有限公司(員購)</v>
      </c>
    </row>
    <row r="975" spans="1:5" ht="15" customHeight="1">
      <c r="A975" s="121" t="str">
        <f t="shared" ca="1" si="3"/>
        <v>AA001942</v>
      </c>
      <c r="B975" t="str">
        <f t="shared" ca="1" si="2"/>
        <v/>
      </c>
      <c r="C975" t="str">
        <f ca="1">IFERROR(__xludf.DUMMYFUNCTION("""COMPUTED_VALUE"""),"AA001942")</f>
        <v>AA001942</v>
      </c>
      <c r="D975" t="str">
        <f ca="1">IFERROR(__xludf.DUMMYFUNCTION("""COMPUTED_VALUE"""),"")</f>
        <v/>
      </c>
      <c r="E975" t="str">
        <f ca="1">IFERROR(__xludf.DUMMYFUNCTION("""COMPUTED_VALUE"""),"大江基因醫學股份有限公司(員購)")</f>
        <v>大江基因醫學股份有限公司(員購)</v>
      </c>
    </row>
    <row r="976" spans="1:5" ht="15" customHeight="1">
      <c r="A976" s="121" t="str">
        <f t="shared" ca="1" si="3"/>
        <v>AA001942</v>
      </c>
      <c r="B976" t="str">
        <f t="shared" ca="1" si="2"/>
        <v/>
      </c>
      <c r="C976" t="str">
        <f ca="1">IFERROR(__xludf.DUMMYFUNCTION("""COMPUTED_VALUE"""),"AA001942")</f>
        <v>AA001942</v>
      </c>
      <c r="D976" t="str">
        <f ca="1">IFERROR(__xludf.DUMMYFUNCTION("""COMPUTED_VALUE"""),"")</f>
        <v/>
      </c>
      <c r="E976" t="str">
        <f ca="1">IFERROR(__xludf.DUMMYFUNCTION("""COMPUTED_VALUE"""),"大江基因醫學股份有限公司(員購)")</f>
        <v>大江基因醫學股份有限公司(員購)</v>
      </c>
    </row>
    <row r="977" spans="1:5" ht="15" customHeight="1">
      <c r="A977" s="121" t="str">
        <f t="shared" ca="1" si="3"/>
        <v>AA001942</v>
      </c>
      <c r="B977" t="str">
        <f t="shared" ca="1" si="2"/>
        <v/>
      </c>
      <c r="C977" t="str">
        <f ca="1">IFERROR(__xludf.DUMMYFUNCTION("""COMPUTED_VALUE"""),"AA001942")</f>
        <v>AA001942</v>
      </c>
      <c r="D977" t="str">
        <f ca="1">IFERROR(__xludf.DUMMYFUNCTION("""COMPUTED_VALUE"""),"")</f>
        <v/>
      </c>
      <c r="E977" t="str">
        <f ca="1">IFERROR(__xludf.DUMMYFUNCTION("""COMPUTED_VALUE"""),"大江基因醫學股份有限公司(員購)")</f>
        <v>大江基因醫學股份有限公司(員購)</v>
      </c>
    </row>
    <row r="978" spans="1:5" ht="15" customHeight="1">
      <c r="A978" s="121" t="str">
        <f t="shared" ca="1" si="3"/>
        <v>AA001942</v>
      </c>
      <c r="B978" t="str">
        <f t="shared" ca="1" si="2"/>
        <v/>
      </c>
      <c r="C978" t="str">
        <f ca="1">IFERROR(__xludf.DUMMYFUNCTION("""COMPUTED_VALUE"""),"AA001942")</f>
        <v>AA001942</v>
      </c>
      <c r="D978" t="str">
        <f ca="1">IFERROR(__xludf.DUMMYFUNCTION("""COMPUTED_VALUE"""),"")</f>
        <v/>
      </c>
      <c r="E978" t="str">
        <f ca="1">IFERROR(__xludf.DUMMYFUNCTION("""COMPUTED_VALUE"""),"大江基因醫學股份有限公司(員購)")</f>
        <v>大江基因醫學股份有限公司(員購)</v>
      </c>
    </row>
    <row r="979" spans="1:5" ht="15" customHeight="1">
      <c r="A979" s="121" t="str">
        <f t="shared" ca="1" si="3"/>
        <v>AA001943</v>
      </c>
      <c r="B979" t="str">
        <f t="shared" ca="1" si="2"/>
        <v/>
      </c>
      <c r="C979" t="str">
        <f ca="1">IFERROR(__xludf.DUMMYFUNCTION("""COMPUTED_VALUE"""),"AA001943")</f>
        <v>AA001943</v>
      </c>
      <c r="D979" t="str">
        <f ca="1">IFERROR(__xludf.DUMMYFUNCTION("""COMPUTED_VALUE"""),"")</f>
        <v/>
      </c>
      <c r="E979" t="str">
        <f ca="1">IFERROR(__xludf.DUMMYFUNCTION("""COMPUTED_VALUE"""),"大江生醫職工福利委員會")</f>
        <v>大江生醫職工福利委員會</v>
      </c>
    </row>
    <row r="980" spans="1:5" ht="15" customHeight="1">
      <c r="A980" s="121" t="str">
        <f t="shared" ca="1" si="3"/>
        <v>AA001943</v>
      </c>
      <c r="B980" t="str">
        <f t="shared" ca="1" si="2"/>
        <v/>
      </c>
      <c r="C980" t="str">
        <f ca="1">IFERROR(__xludf.DUMMYFUNCTION("""COMPUTED_VALUE"""),"AA001943")</f>
        <v>AA001943</v>
      </c>
      <c r="D980" t="str">
        <f ca="1">IFERROR(__xludf.DUMMYFUNCTION("""COMPUTED_VALUE"""),"")</f>
        <v/>
      </c>
      <c r="E980" t="str">
        <f ca="1">IFERROR(__xludf.DUMMYFUNCTION("""COMPUTED_VALUE"""),"大江生醫職工福利委員會")</f>
        <v>大江生醫職工福利委員會</v>
      </c>
    </row>
    <row r="981" spans="1:5" ht="15" customHeight="1">
      <c r="A981" s="121" t="str">
        <f t="shared" ca="1" si="3"/>
        <v>AA001943</v>
      </c>
      <c r="B981" t="str">
        <f t="shared" ca="1" si="2"/>
        <v/>
      </c>
      <c r="C981" t="str">
        <f ca="1">IFERROR(__xludf.DUMMYFUNCTION("""COMPUTED_VALUE"""),"AA001943")</f>
        <v>AA001943</v>
      </c>
      <c r="D981" t="str">
        <f ca="1">IFERROR(__xludf.DUMMYFUNCTION("""COMPUTED_VALUE"""),"")</f>
        <v/>
      </c>
      <c r="E981" t="str">
        <f ca="1">IFERROR(__xludf.DUMMYFUNCTION("""COMPUTED_VALUE"""),"大江生醫職工福利委員會")</f>
        <v>大江生醫職工福利委員會</v>
      </c>
    </row>
    <row r="982" spans="1:5" ht="15" customHeight="1">
      <c r="A982" s="121" t="str">
        <f t="shared" ca="1" si="3"/>
        <v>AA001943</v>
      </c>
      <c r="B982" t="str">
        <f t="shared" ca="1" si="2"/>
        <v/>
      </c>
      <c r="C982" t="str">
        <f ca="1">IFERROR(__xludf.DUMMYFUNCTION("""COMPUTED_VALUE"""),"AA001943")</f>
        <v>AA001943</v>
      </c>
      <c r="D982" t="str">
        <f ca="1">IFERROR(__xludf.DUMMYFUNCTION("""COMPUTED_VALUE"""),"")</f>
        <v/>
      </c>
      <c r="E982" t="str">
        <f ca="1">IFERROR(__xludf.DUMMYFUNCTION("""COMPUTED_VALUE"""),"大江生醫職工福利委員會")</f>
        <v>大江生醫職工福利委員會</v>
      </c>
    </row>
    <row r="983" spans="1:5" ht="15" customHeight="1">
      <c r="A983" s="121" t="str">
        <f t="shared" ca="1" si="3"/>
        <v>AA001943</v>
      </c>
      <c r="B983" t="str">
        <f t="shared" ca="1" si="2"/>
        <v/>
      </c>
      <c r="C983" t="str">
        <f ca="1">IFERROR(__xludf.DUMMYFUNCTION("""COMPUTED_VALUE"""),"AA001943")</f>
        <v>AA001943</v>
      </c>
      <c r="D983" t="str">
        <f ca="1">IFERROR(__xludf.DUMMYFUNCTION("""COMPUTED_VALUE"""),"")</f>
        <v/>
      </c>
      <c r="E983" t="str">
        <f ca="1">IFERROR(__xludf.DUMMYFUNCTION("""COMPUTED_VALUE"""),"大江生醫職工福利委員會")</f>
        <v>大江生醫職工福利委員會</v>
      </c>
    </row>
    <row r="984" spans="1:5" ht="15" customHeight="1">
      <c r="A984" s="121" t="str">
        <f t="shared" ca="1" si="3"/>
        <v>AA001943</v>
      </c>
      <c r="B984" t="str">
        <f t="shared" ca="1" si="2"/>
        <v/>
      </c>
      <c r="C984" t="str">
        <f ca="1">IFERROR(__xludf.DUMMYFUNCTION("""COMPUTED_VALUE"""),"AA001943")</f>
        <v>AA001943</v>
      </c>
      <c r="D984" t="str">
        <f ca="1">IFERROR(__xludf.DUMMYFUNCTION("""COMPUTED_VALUE"""),"")</f>
        <v/>
      </c>
      <c r="E984" t="str">
        <f ca="1">IFERROR(__xludf.DUMMYFUNCTION("""COMPUTED_VALUE"""),"大江生醫職工福利委員會")</f>
        <v>大江生醫職工福利委員會</v>
      </c>
    </row>
    <row r="985" spans="1:5" ht="15" customHeight="1">
      <c r="A985" s="121" t="str">
        <f t="shared" ca="1" si="3"/>
        <v>AA001943</v>
      </c>
      <c r="B985" t="str">
        <f t="shared" ca="1" si="2"/>
        <v/>
      </c>
      <c r="C985" t="str">
        <f ca="1">IFERROR(__xludf.DUMMYFUNCTION("""COMPUTED_VALUE"""),"AA001943")</f>
        <v>AA001943</v>
      </c>
      <c r="D985" t="str">
        <f ca="1">IFERROR(__xludf.DUMMYFUNCTION("""COMPUTED_VALUE"""),"")</f>
        <v/>
      </c>
      <c r="E985" t="str">
        <f ca="1">IFERROR(__xludf.DUMMYFUNCTION("""COMPUTED_VALUE"""),"大江生醫職工福利委員會")</f>
        <v>大江生醫職工福利委員會</v>
      </c>
    </row>
    <row r="986" spans="1:5" ht="15" customHeight="1">
      <c r="A986" s="121" t="str">
        <f t="shared" ca="1" si="3"/>
        <v>AA001943</v>
      </c>
      <c r="B986" t="str">
        <f t="shared" ca="1" si="2"/>
        <v/>
      </c>
      <c r="C986" t="str">
        <f ca="1">IFERROR(__xludf.DUMMYFUNCTION("""COMPUTED_VALUE"""),"AA001943")</f>
        <v>AA001943</v>
      </c>
      <c r="D986" t="str">
        <f ca="1">IFERROR(__xludf.DUMMYFUNCTION("""COMPUTED_VALUE"""),"")</f>
        <v/>
      </c>
      <c r="E986" t="str">
        <f ca="1">IFERROR(__xludf.DUMMYFUNCTION("""COMPUTED_VALUE"""),"大江生醫職工福利委員會")</f>
        <v>大江生醫職工福利委員會</v>
      </c>
    </row>
    <row r="987" spans="1:5" ht="15" customHeight="1">
      <c r="A987" s="121" t="str">
        <f t="shared" ca="1" si="3"/>
        <v>AA001943</v>
      </c>
      <c r="B987" t="str">
        <f t="shared" ca="1" si="2"/>
        <v/>
      </c>
      <c r="C987" t="str">
        <f ca="1">IFERROR(__xludf.DUMMYFUNCTION("""COMPUTED_VALUE"""),"AA001943")</f>
        <v>AA001943</v>
      </c>
      <c r="D987" t="str">
        <f ca="1">IFERROR(__xludf.DUMMYFUNCTION("""COMPUTED_VALUE"""),"")</f>
        <v/>
      </c>
      <c r="E987" t="str">
        <f ca="1">IFERROR(__xludf.DUMMYFUNCTION("""COMPUTED_VALUE"""),"大江生醫職工福利委員會")</f>
        <v>大江生醫職工福利委員會</v>
      </c>
    </row>
    <row r="988" spans="1:5" ht="15" customHeight="1">
      <c r="A988" s="121" t="str">
        <f t="shared" ca="1" si="3"/>
        <v>AA001943</v>
      </c>
      <c r="B988" t="str">
        <f t="shared" ca="1" si="2"/>
        <v/>
      </c>
      <c r="C988" t="str">
        <f ca="1">IFERROR(__xludf.DUMMYFUNCTION("""COMPUTED_VALUE"""),"AA001943")</f>
        <v>AA001943</v>
      </c>
      <c r="D988" t="str">
        <f ca="1">IFERROR(__xludf.DUMMYFUNCTION("""COMPUTED_VALUE"""),"")</f>
        <v/>
      </c>
      <c r="E988" t="str">
        <f ca="1">IFERROR(__xludf.DUMMYFUNCTION("""COMPUTED_VALUE"""),"大江生醫職工福利委員會")</f>
        <v>大江生醫職工福利委員會</v>
      </c>
    </row>
    <row r="989" spans="1:5" ht="15" customHeight="1">
      <c r="A989" s="121" t="str">
        <f t="shared" ca="1" si="3"/>
        <v>AA001943</v>
      </c>
      <c r="B989" t="str">
        <f t="shared" ca="1" si="2"/>
        <v/>
      </c>
      <c r="C989" t="str">
        <f ca="1">IFERROR(__xludf.DUMMYFUNCTION("""COMPUTED_VALUE"""),"AA001943")</f>
        <v>AA001943</v>
      </c>
      <c r="D989" t="str">
        <f ca="1">IFERROR(__xludf.DUMMYFUNCTION("""COMPUTED_VALUE"""),"")</f>
        <v/>
      </c>
      <c r="E989" t="str">
        <f ca="1">IFERROR(__xludf.DUMMYFUNCTION("""COMPUTED_VALUE"""),"大江生醫職工福利委員會")</f>
        <v>大江生醫職工福利委員會</v>
      </c>
    </row>
    <row r="990" spans="1:5" ht="15" customHeight="1">
      <c r="A990" s="121" t="str">
        <f t="shared" ca="1" si="3"/>
        <v>AB001091</v>
      </c>
      <c r="B990" t="str">
        <f t="shared" ca="1" si="2"/>
        <v/>
      </c>
      <c r="C990" t="str">
        <f ca="1">IFERROR(__xludf.DUMMYFUNCTION("""COMPUTED_VALUE"""),"AB001091")</f>
        <v>AB001091</v>
      </c>
      <c r="D990" t="str">
        <f ca="1">IFERROR(__xludf.DUMMYFUNCTION("""COMPUTED_VALUE"""),"")</f>
        <v/>
      </c>
      <c r="E990" t="str">
        <f ca="1">IFERROR(__xludf.DUMMYFUNCTION("""COMPUTED_VALUE"""),"王昱婷")</f>
        <v>王昱婷</v>
      </c>
    </row>
    <row r="991" spans="1:5" ht="15" customHeight="1">
      <c r="A991" s="121" t="str">
        <f t="shared" ca="1" si="3"/>
        <v>AB001091</v>
      </c>
      <c r="B991" t="str">
        <f t="shared" ca="1" si="2"/>
        <v/>
      </c>
      <c r="C991" t="str">
        <f ca="1">IFERROR(__xludf.DUMMYFUNCTION("""COMPUTED_VALUE"""),"AB001091")</f>
        <v>AB001091</v>
      </c>
      <c r="D991" t="str">
        <f ca="1">IFERROR(__xludf.DUMMYFUNCTION("""COMPUTED_VALUE"""),"")</f>
        <v/>
      </c>
      <c r="E991" t="str">
        <f ca="1">IFERROR(__xludf.DUMMYFUNCTION("""COMPUTED_VALUE"""),"王昱婷")</f>
        <v>王昱婷</v>
      </c>
    </row>
    <row r="992" spans="1:5" ht="15" customHeight="1">
      <c r="A992" s="121" t="str">
        <f t="shared" ca="1" si="3"/>
        <v>AB001092</v>
      </c>
      <c r="B992" t="str">
        <f t="shared" ca="1" si="2"/>
        <v/>
      </c>
      <c r="C992" t="str">
        <f ca="1">IFERROR(__xludf.DUMMYFUNCTION("""COMPUTED_VALUE"""),"AB001092")</f>
        <v>AB001092</v>
      </c>
      <c r="D992" t="str">
        <f ca="1">IFERROR(__xludf.DUMMYFUNCTION("""COMPUTED_VALUE"""),"")</f>
        <v/>
      </c>
      <c r="E992" t="str">
        <f ca="1">IFERROR(__xludf.DUMMYFUNCTION("""COMPUTED_VALUE"""),"王昱婷")</f>
        <v>王昱婷</v>
      </c>
    </row>
    <row r="993" spans="1:5" ht="15" customHeight="1">
      <c r="A993" s="121" t="str">
        <f t="shared" ca="1" si="3"/>
        <v>AB001092</v>
      </c>
      <c r="B993" t="str">
        <f t="shared" ca="1" si="2"/>
        <v/>
      </c>
      <c r="C993" t="str">
        <f ca="1">IFERROR(__xludf.DUMMYFUNCTION("""COMPUTED_VALUE"""),"AB001092")</f>
        <v>AB001092</v>
      </c>
      <c r="D993" t="str">
        <f ca="1">IFERROR(__xludf.DUMMYFUNCTION("""COMPUTED_VALUE"""),"")</f>
        <v/>
      </c>
      <c r="E993" t="str">
        <f ca="1">IFERROR(__xludf.DUMMYFUNCTION("""COMPUTED_VALUE"""),"王昱婷")</f>
        <v>王昱婷</v>
      </c>
    </row>
    <row r="994" spans="1:5" ht="15" customHeight="1">
      <c r="A994" s="121" t="str">
        <f t="shared" ca="1" si="3"/>
        <v>AB001093</v>
      </c>
      <c r="B994" t="str">
        <f t="shared" ca="1" si="2"/>
        <v/>
      </c>
      <c r="C994" t="str">
        <f ca="1">IFERROR(__xludf.DUMMYFUNCTION("""COMPUTED_VALUE"""),"AB001093")</f>
        <v>AB001093</v>
      </c>
      <c r="D994" t="str">
        <f ca="1">IFERROR(__xludf.DUMMYFUNCTION("""COMPUTED_VALUE"""),"")</f>
        <v/>
      </c>
      <c r="E994" t="str">
        <f ca="1">IFERROR(__xludf.DUMMYFUNCTION("""COMPUTED_VALUE"""),"王昱婷")</f>
        <v>王昱婷</v>
      </c>
    </row>
    <row r="995" spans="1:5" ht="15" customHeight="1">
      <c r="A995" s="121" t="str">
        <f t="shared" ca="1" si="3"/>
        <v>AB001903</v>
      </c>
      <c r="B995" t="str">
        <f t="shared" ca="1" si="2"/>
        <v/>
      </c>
      <c r="C995" t="str">
        <f ca="1">IFERROR(__xludf.DUMMYFUNCTION("""COMPUTED_VALUE"""),"AB001903")</f>
        <v>AB001903</v>
      </c>
      <c r="D995" t="str">
        <f ca="1">IFERROR(__xludf.DUMMYFUNCTION("""COMPUTED_VALUE"""),"")</f>
        <v/>
      </c>
      <c r="E995" t="str">
        <f ca="1">IFERROR(__xludf.DUMMYFUNCTION("""COMPUTED_VALUE"""),"王昱婷")</f>
        <v>王昱婷</v>
      </c>
    </row>
    <row r="996" spans="1:5" ht="15" customHeight="1">
      <c r="A996" s="121" t="str">
        <f t="shared" ca="1" si="3"/>
        <v>AB001094</v>
      </c>
      <c r="B996" t="str">
        <f t="shared" ca="1" si="2"/>
        <v/>
      </c>
      <c r="C996" t="str">
        <f ca="1">IFERROR(__xludf.DUMMYFUNCTION("""COMPUTED_VALUE"""),"AB001094")</f>
        <v>AB001094</v>
      </c>
      <c r="D996" t="str">
        <f ca="1">IFERROR(__xludf.DUMMYFUNCTION("""COMPUTED_VALUE"""),"")</f>
        <v/>
      </c>
      <c r="E996" t="str">
        <f ca="1">IFERROR(__xludf.DUMMYFUNCTION("""COMPUTED_VALUE"""),"王昱婷")</f>
        <v>王昱婷</v>
      </c>
    </row>
    <row r="997" spans="1:5" ht="15" customHeight="1">
      <c r="A997" s="121" t="str">
        <f t="shared" ca="1" si="3"/>
        <v>AB001094</v>
      </c>
      <c r="B997" t="str">
        <f t="shared" ca="1" si="2"/>
        <v/>
      </c>
      <c r="C997" t="str">
        <f ca="1">IFERROR(__xludf.DUMMYFUNCTION("""COMPUTED_VALUE"""),"AB001094")</f>
        <v>AB001094</v>
      </c>
      <c r="D997" t="str">
        <f ca="1">IFERROR(__xludf.DUMMYFUNCTION("""COMPUTED_VALUE"""),"")</f>
        <v/>
      </c>
      <c r="E997" t="str">
        <f ca="1">IFERROR(__xludf.DUMMYFUNCTION("""COMPUTED_VALUE"""),"王昱婷")</f>
        <v>王昱婷</v>
      </c>
    </row>
    <row r="998" spans="1:5" ht="15" customHeight="1">
      <c r="A998" s="121" t="str">
        <f t="shared" ca="1" si="3"/>
        <v>AB001095</v>
      </c>
      <c r="B998" t="str">
        <f t="shared" ca="1" si="2"/>
        <v/>
      </c>
      <c r="C998" t="str">
        <f ca="1">IFERROR(__xludf.DUMMYFUNCTION("""COMPUTED_VALUE"""),"AB001095")</f>
        <v>AB001095</v>
      </c>
      <c r="D998" t="str">
        <f ca="1">IFERROR(__xludf.DUMMYFUNCTION("""COMPUTED_VALUE"""),"")</f>
        <v/>
      </c>
      <c r="E998" t="str">
        <f ca="1">IFERROR(__xludf.DUMMYFUNCTION("""COMPUTED_VALUE"""),"王昱婷")</f>
        <v>王昱婷</v>
      </c>
    </row>
    <row r="999" spans="1:5" ht="15" customHeight="1">
      <c r="A999" s="121" t="str">
        <f t="shared" ca="1" si="3"/>
        <v>AB001095</v>
      </c>
      <c r="B999" t="str">
        <f t="shared" ca="1" si="2"/>
        <v/>
      </c>
      <c r="C999" t="str">
        <f ca="1">IFERROR(__xludf.DUMMYFUNCTION("""COMPUTED_VALUE"""),"AB001095")</f>
        <v>AB001095</v>
      </c>
      <c r="D999" t="str">
        <f ca="1">IFERROR(__xludf.DUMMYFUNCTION("""COMPUTED_VALUE"""),"")</f>
        <v/>
      </c>
      <c r="E999" t="str">
        <f ca="1">IFERROR(__xludf.DUMMYFUNCTION("""COMPUTED_VALUE"""),"王昱婷")</f>
        <v>王昱婷</v>
      </c>
    </row>
    <row r="1000" spans="1:5" ht="15" customHeight="1">
      <c r="A1000" s="121" t="str">
        <f t="shared" ca="1" si="3"/>
        <v>AB001362</v>
      </c>
      <c r="B1000" t="str">
        <f t="shared" ca="1" si="2"/>
        <v/>
      </c>
      <c r="C1000" t="str">
        <f ca="1">IFERROR(__xludf.DUMMYFUNCTION("""COMPUTED_VALUE"""),"AB001362")</f>
        <v>AB001362</v>
      </c>
      <c r="D1000" t="str">
        <f ca="1">IFERROR(__xludf.DUMMYFUNCTION("""COMPUTED_VALUE"""),"")</f>
        <v/>
      </c>
      <c r="E1000" t="str">
        <f ca="1">IFERROR(__xludf.DUMMYFUNCTION("""COMPUTED_VALUE"""),"蔣柳霞")</f>
        <v>蔣柳霞</v>
      </c>
    </row>
    <row r="1001" spans="1:5" ht="15" customHeight="1">
      <c r="A1001" s="121" t="str">
        <f t="shared" ca="1" si="3"/>
        <v>AB001362</v>
      </c>
      <c r="B1001" t="str">
        <f t="shared" ca="1" si="2"/>
        <v/>
      </c>
      <c r="C1001" t="str">
        <f ca="1">IFERROR(__xludf.DUMMYFUNCTION("""COMPUTED_VALUE"""),"AB001362")</f>
        <v>AB001362</v>
      </c>
      <c r="D1001" t="str">
        <f ca="1">IFERROR(__xludf.DUMMYFUNCTION("""COMPUTED_VALUE"""),"")</f>
        <v/>
      </c>
      <c r="E1001" t="str">
        <f ca="1">IFERROR(__xludf.DUMMYFUNCTION("""COMPUTED_VALUE"""),"蔣柳霞")</f>
        <v>蔣柳霞</v>
      </c>
    </row>
    <row r="1002" spans="1:5" ht="15" customHeight="1">
      <c r="A1002" s="121" t="str">
        <f t="shared" ca="1" si="3"/>
        <v>AB001402</v>
      </c>
      <c r="B1002" t="str">
        <f t="shared" ca="1" si="2"/>
        <v/>
      </c>
      <c r="C1002" t="str">
        <f ca="1">IFERROR(__xludf.DUMMYFUNCTION("""COMPUTED_VALUE"""),"AB001402")</f>
        <v>AB001402</v>
      </c>
      <c r="D1002" t="str">
        <f ca="1">IFERROR(__xludf.DUMMYFUNCTION("""COMPUTED_VALUE"""),"")</f>
        <v/>
      </c>
      <c r="E1002" t="str">
        <f ca="1">IFERROR(__xludf.DUMMYFUNCTION("""COMPUTED_VALUE"""),"黃苡瑄")</f>
        <v>黃苡瑄</v>
      </c>
    </row>
    <row r="1003" spans="1:5" ht="15" customHeight="1">
      <c r="A1003" s="121" t="str">
        <f t="shared" ca="1" si="3"/>
        <v>AB001361</v>
      </c>
      <c r="B1003" t="str">
        <f t="shared" ca="1" si="2"/>
        <v/>
      </c>
      <c r="C1003" t="str">
        <f ca="1">IFERROR(__xludf.DUMMYFUNCTION("""COMPUTED_VALUE"""),"AB001361")</f>
        <v>AB001361</v>
      </c>
      <c r="D1003" t="str">
        <f ca="1">IFERROR(__xludf.DUMMYFUNCTION("""COMPUTED_VALUE"""),"")</f>
        <v/>
      </c>
      <c r="E1003" t="str">
        <f ca="1">IFERROR(__xludf.DUMMYFUNCTION("""COMPUTED_VALUE"""),"任秀竹")</f>
        <v>任秀竹</v>
      </c>
    </row>
    <row r="1004" spans="1:5" ht="15" customHeight="1">
      <c r="A1004" s="121" t="str">
        <f t="shared" ca="1" si="3"/>
        <v>AB001367</v>
      </c>
      <c r="B1004" t="str">
        <f t="shared" ca="1" si="2"/>
        <v/>
      </c>
      <c r="C1004" t="str">
        <f ca="1">IFERROR(__xludf.DUMMYFUNCTION("""COMPUTED_VALUE"""),"AB001367")</f>
        <v>AB001367</v>
      </c>
      <c r="D1004" t="str">
        <f ca="1">IFERROR(__xludf.DUMMYFUNCTION("""COMPUTED_VALUE"""),"")</f>
        <v/>
      </c>
      <c r="E1004" t="str">
        <f ca="1">IFERROR(__xludf.DUMMYFUNCTION("""COMPUTED_VALUE"""),"黃榮瑞")</f>
        <v>黃榮瑞</v>
      </c>
    </row>
    <row r="1005" spans="1:5" ht="15" customHeight="1">
      <c r="A1005" s="121"/>
      <c r="C1005" t="str">
        <f ca="1">IFERROR(__xludf.DUMMYFUNCTION("""COMPUTED_VALUE"""),"AB001404")</f>
        <v>AB001404</v>
      </c>
      <c r="D1005" t="str">
        <f ca="1">IFERROR(__xludf.DUMMYFUNCTION("""COMPUTED_VALUE"""),"")</f>
        <v/>
      </c>
      <c r="E1005" t="str">
        <f ca="1">IFERROR(__xludf.DUMMYFUNCTION("""COMPUTED_VALUE"""),"任秀竹")</f>
        <v>任秀竹</v>
      </c>
    </row>
    <row r="1006" spans="1:5" ht="15" customHeight="1">
      <c r="A1006" s="121"/>
      <c r="C1006" t="str">
        <f ca="1">IFERROR(__xludf.DUMMYFUNCTION("""COMPUTED_VALUE"""),"AB001368")</f>
        <v>AB001368</v>
      </c>
      <c r="D1006" t="str">
        <f ca="1">IFERROR(__xludf.DUMMYFUNCTION("""COMPUTED_VALUE"""),"")</f>
        <v/>
      </c>
      <c r="E1006" t="str">
        <f ca="1">IFERROR(__xludf.DUMMYFUNCTION("""COMPUTED_VALUE"""),"胡逸惟")</f>
        <v>胡逸惟</v>
      </c>
    </row>
    <row r="1007" spans="1:5" ht="15" customHeight="1">
      <c r="A1007" s="121"/>
      <c r="C1007" t="str">
        <f ca="1">IFERROR(__xludf.DUMMYFUNCTION("""COMPUTED_VALUE"""),"10707-0014")</f>
        <v>10707-0014</v>
      </c>
      <c r="D1007" t="str">
        <f ca="1">IFERROR(__xludf.DUMMYFUNCTION("""COMPUTED_VALUE"""),"")</f>
        <v/>
      </c>
      <c r="E1007" t="str">
        <f ca="1">IFERROR(__xludf.DUMMYFUNCTION("""COMPUTED_VALUE"""),"顧雅君")</f>
        <v>顧雅君</v>
      </c>
    </row>
    <row r="1008" spans="1:5" ht="15" customHeight="1">
      <c r="A1008" s="121"/>
      <c r="C1008" t="str">
        <f ca="1">IFERROR(__xludf.DUMMYFUNCTION("""COMPUTED_VALUE"""),"AB001369")</f>
        <v>AB001369</v>
      </c>
      <c r="D1008" t="str">
        <f ca="1">IFERROR(__xludf.DUMMYFUNCTION("""COMPUTED_VALUE"""),"")</f>
        <v/>
      </c>
      <c r="E1008" t="str">
        <f ca="1">IFERROR(__xludf.DUMMYFUNCTION("""COMPUTED_VALUE"""),"楊永東(關姐)")</f>
        <v>楊永東(關姐)</v>
      </c>
    </row>
    <row r="1009" spans="1:5" ht="15" customHeight="1">
      <c r="A1009" s="121"/>
      <c r="C1009" t="str">
        <f ca="1">IFERROR(__xludf.DUMMYFUNCTION("""COMPUTED_VALUE"""),"AB001299")</f>
        <v>AB001299</v>
      </c>
      <c r="D1009" t="str">
        <f ca="1">IFERROR(__xludf.DUMMYFUNCTION("""COMPUTED_VALUE"""),"")</f>
        <v/>
      </c>
      <c r="E1009" t="str">
        <f ca="1">IFERROR(__xludf.DUMMYFUNCTION("""COMPUTED_VALUE"""),"朱阮碧蓮")</f>
        <v>朱阮碧蓮</v>
      </c>
    </row>
    <row r="1010" spans="1:5" ht="15" customHeight="1">
      <c r="A1010" s="121"/>
      <c r="C1010" t="str">
        <f ca="1">IFERROR(__xludf.DUMMYFUNCTION("""COMPUTED_VALUE"""),"AB001370")</f>
        <v>AB001370</v>
      </c>
      <c r="D1010" t="str">
        <f ca="1">IFERROR(__xludf.DUMMYFUNCTION("""COMPUTED_VALUE"""),"")</f>
        <v/>
      </c>
      <c r="E1010" t="str">
        <f ca="1">IFERROR(__xludf.DUMMYFUNCTION("""COMPUTED_VALUE"""),"黃苡瑄")</f>
        <v>黃苡瑄</v>
      </c>
    </row>
    <row r="1011" spans="1:5" ht="15" customHeight="1">
      <c r="A1011" s="121"/>
      <c r="C1011" t="str">
        <f ca="1">IFERROR(__xludf.DUMMYFUNCTION("""COMPUTED_VALUE"""),"AB001405")</f>
        <v>AB001405</v>
      </c>
      <c r="D1011" t="str">
        <f ca="1">IFERROR(__xludf.DUMMYFUNCTION("""COMPUTED_VALUE"""),"")</f>
        <v/>
      </c>
      <c r="E1011" t="str">
        <f ca="1">IFERROR(__xludf.DUMMYFUNCTION("""COMPUTED_VALUE"""),"林秀娟")</f>
        <v>林秀娟</v>
      </c>
    </row>
    <row r="1012" spans="1:5" ht="15" customHeight="1">
      <c r="A1012" s="121"/>
      <c r="C1012" t="str">
        <f ca="1">IFERROR(__xludf.DUMMYFUNCTION("""COMPUTED_VALUE"""),"AA001944")</f>
        <v>AA001944</v>
      </c>
      <c r="D1012" t="str">
        <f ca="1">IFERROR(__xludf.DUMMYFUNCTION("""COMPUTED_VALUE"""),"")</f>
        <v/>
      </c>
      <c r="E1012" t="str">
        <f ca="1">IFERROR(__xludf.DUMMYFUNCTION("""COMPUTED_VALUE"""),"大江生醫職工福利委員會")</f>
        <v>大江生醫職工福利委員會</v>
      </c>
    </row>
    <row r="1013" spans="1:5" ht="15" customHeight="1">
      <c r="A1013" s="121"/>
      <c r="C1013" t="str">
        <f ca="1">IFERROR(__xludf.DUMMYFUNCTION("""COMPUTED_VALUE"""),"AA001944")</f>
        <v>AA001944</v>
      </c>
      <c r="D1013" t="str">
        <f ca="1">IFERROR(__xludf.DUMMYFUNCTION("""COMPUTED_VALUE"""),"")</f>
        <v/>
      </c>
      <c r="E1013" t="str">
        <f ca="1">IFERROR(__xludf.DUMMYFUNCTION("""COMPUTED_VALUE"""),"大江生醫職工福利委員會")</f>
        <v>大江生醫職工福利委員會</v>
      </c>
    </row>
    <row r="1014" spans="1:5" ht="15" customHeight="1">
      <c r="A1014" s="121"/>
      <c r="C1014" t="str">
        <f ca="1">IFERROR(__xludf.DUMMYFUNCTION("""COMPUTED_VALUE"""),"AA001944")</f>
        <v>AA001944</v>
      </c>
      <c r="D1014" t="str">
        <f ca="1">IFERROR(__xludf.DUMMYFUNCTION("""COMPUTED_VALUE"""),"")</f>
        <v/>
      </c>
      <c r="E1014" t="str">
        <f ca="1">IFERROR(__xludf.DUMMYFUNCTION("""COMPUTED_VALUE"""),"大江生醫職工福利委員會")</f>
        <v>大江生醫職工福利委員會</v>
      </c>
    </row>
    <row r="1015" spans="1:5" ht="15" customHeight="1">
      <c r="A1015" s="121"/>
      <c r="C1015" t="str">
        <f ca="1">IFERROR(__xludf.DUMMYFUNCTION("""COMPUTED_VALUE"""),"AA001944")</f>
        <v>AA001944</v>
      </c>
      <c r="D1015" t="str">
        <f ca="1">IFERROR(__xludf.DUMMYFUNCTION("""COMPUTED_VALUE"""),"")</f>
        <v/>
      </c>
      <c r="E1015" t="str">
        <f ca="1">IFERROR(__xludf.DUMMYFUNCTION("""COMPUTED_VALUE"""),"大江生醫職工福利委員會")</f>
        <v>大江生醫職工福利委員會</v>
      </c>
    </row>
    <row r="1016" spans="1:5" ht="15" customHeight="1">
      <c r="A1016" s="121"/>
      <c r="C1016" t="str">
        <f ca="1">IFERROR(__xludf.DUMMYFUNCTION("""COMPUTED_VALUE"""),"AA001944")</f>
        <v>AA001944</v>
      </c>
      <c r="D1016" t="str">
        <f ca="1">IFERROR(__xludf.DUMMYFUNCTION("""COMPUTED_VALUE"""),"")</f>
        <v/>
      </c>
      <c r="E1016" t="str">
        <f ca="1">IFERROR(__xludf.DUMMYFUNCTION("""COMPUTED_VALUE"""),"大江生醫職工福利委員會")</f>
        <v>大江生醫職工福利委員會</v>
      </c>
    </row>
    <row r="1017" spans="1:5" ht="15" customHeight="1">
      <c r="A1017" s="121"/>
      <c r="C1017" t="str">
        <f ca="1">IFERROR(__xludf.DUMMYFUNCTION("""COMPUTED_VALUE"""),"AA001944")</f>
        <v>AA001944</v>
      </c>
      <c r="D1017" t="str">
        <f ca="1">IFERROR(__xludf.DUMMYFUNCTION("""COMPUTED_VALUE"""),"")</f>
        <v/>
      </c>
      <c r="E1017" t="str">
        <f ca="1">IFERROR(__xludf.DUMMYFUNCTION("""COMPUTED_VALUE"""),"大江生醫職工福利委員會")</f>
        <v>大江生醫職工福利委員會</v>
      </c>
    </row>
    <row r="1018" spans="1:5" ht="15" customHeight="1">
      <c r="A1018" s="121"/>
      <c r="C1018" t="str">
        <f ca="1">IFERROR(__xludf.DUMMYFUNCTION("""COMPUTED_VALUE"""),"AA001944")</f>
        <v>AA001944</v>
      </c>
      <c r="D1018" t="str">
        <f ca="1">IFERROR(__xludf.DUMMYFUNCTION("""COMPUTED_VALUE"""),"")</f>
        <v/>
      </c>
      <c r="E1018" t="str">
        <f ca="1">IFERROR(__xludf.DUMMYFUNCTION("""COMPUTED_VALUE"""),"大江生醫職工福利委員會")</f>
        <v>大江生醫職工福利委員會</v>
      </c>
    </row>
    <row r="1019" spans="1:5" ht="15" customHeight="1">
      <c r="A1019" s="121"/>
      <c r="C1019" t="str">
        <f ca="1">IFERROR(__xludf.DUMMYFUNCTION("""COMPUTED_VALUE"""),"AA001944")</f>
        <v>AA001944</v>
      </c>
      <c r="D1019" t="str">
        <f ca="1">IFERROR(__xludf.DUMMYFUNCTION("""COMPUTED_VALUE"""),"")</f>
        <v/>
      </c>
      <c r="E1019" t="str">
        <f ca="1">IFERROR(__xludf.DUMMYFUNCTION("""COMPUTED_VALUE"""),"大江生醫職工福利委員會")</f>
        <v>大江生醫職工福利委員會</v>
      </c>
    </row>
    <row r="1020" spans="1:5" ht="15" customHeight="1">
      <c r="A1020" s="121"/>
      <c r="C1020" t="str">
        <f ca="1">IFERROR(__xludf.DUMMYFUNCTION("""COMPUTED_VALUE"""),"AB001406")</f>
        <v>AB001406</v>
      </c>
      <c r="D1020" t="str">
        <f ca="1">IFERROR(__xludf.DUMMYFUNCTION("""COMPUTED_VALUE"""),"")</f>
        <v/>
      </c>
      <c r="E1020" t="str">
        <f ca="1">IFERROR(__xludf.DUMMYFUNCTION("""COMPUTED_VALUE"""),"楊蕙霞")</f>
        <v>楊蕙霞</v>
      </c>
    </row>
    <row r="1021" spans="1:5" ht="15" customHeight="1">
      <c r="A1021" s="121"/>
      <c r="C1021" t="str">
        <f ca="1">IFERROR(__xludf.DUMMYFUNCTION("""COMPUTED_VALUE"""),"AB001376")</f>
        <v>AB001376</v>
      </c>
      <c r="D1021" t="str">
        <f ca="1">IFERROR(__xludf.DUMMYFUNCTION("""COMPUTED_VALUE"""),"")</f>
        <v/>
      </c>
      <c r="E1021" t="str">
        <f ca="1">IFERROR(__xludf.DUMMYFUNCTION("""COMPUTED_VALUE"""),"林品翰")</f>
        <v>林品翰</v>
      </c>
    </row>
    <row r="1022" spans="1:5" ht="15" customHeight="1">
      <c r="A1022" s="121"/>
      <c r="C1022" t="str">
        <f ca="1">IFERROR(__xludf.DUMMYFUNCTION("""COMPUTED_VALUE"""),"AB001373")</f>
        <v>AB001373</v>
      </c>
      <c r="D1022" t="str">
        <f ca="1">IFERROR(__xludf.DUMMYFUNCTION("""COMPUTED_VALUE"""),"")</f>
        <v/>
      </c>
      <c r="E1022" t="str">
        <f ca="1">IFERROR(__xludf.DUMMYFUNCTION("""COMPUTED_VALUE"""),"章淳涵")</f>
        <v>章淳涵</v>
      </c>
    </row>
    <row r="1023" spans="1:5" ht="15" customHeight="1">
      <c r="A1023" s="121"/>
      <c r="C1023" t="str">
        <f ca="1">IFERROR(__xludf.DUMMYFUNCTION("""COMPUTED_VALUE"""),"AB001373")</f>
        <v>AB001373</v>
      </c>
      <c r="D1023" t="str">
        <f ca="1">IFERROR(__xludf.DUMMYFUNCTION("""COMPUTED_VALUE"""),"")</f>
        <v/>
      </c>
      <c r="E1023" t="str">
        <f ca="1">IFERROR(__xludf.DUMMYFUNCTION("""COMPUTED_VALUE"""),"章淳涵")</f>
        <v>章淳涵</v>
      </c>
    </row>
    <row r="1024" spans="1:5" ht="15" customHeight="1">
      <c r="A1024" s="121"/>
      <c r="C1024" t="str">
        <f ca="1">IFERROR(__xludf.DUMMYFUNCTION("""COMPUTED_VALUE"""),"AB001374")</f>
        <v>AB001374</v>
      </c>
      <c r="D1024" t="str">
        <f ca="1">IFERROR(__xludf.DUMMYFUNCTION("""COMPUTED_VALUE"""),"")</f>
        <v/>
      </c>
      <c r="E1024" t="str">
        <f ca="1">IFERROR(__xludf.DUMMYFUNCTION("""COMPUTED_VALUE"""),"李育維")</f>
        <v>李育維</v>
      </c>
    </row>
    <row r="1025" spans="1:5" ht="15" customHeight="1">
      <c r="A1025" s="121"/>
      <c r="C1025" t="str">
        <f ca="1">IFERROR(__xludf.DUMMYFUNCTION("""COMPUTED_VALUE"""),"AB001375")</f>
        <v>AB001375</v>
      </c>
      <c r="D1025" t="str">
        <f ca="1">IFERROR(__xludf.DUMMYFUNCTION("""COMPUTED_VALUE"""),"")</f>
        <v/>
      </c>
      <c r="E1025" t="str">
        <f ca="1">IFERROR(__xludf.DUMMYFUNCTION("""COMPUTED_VALUE"""),"李明松")</f>
        <v>李明松</v>
      </c>
    </row>
    <row r="1026" spans="1:5" ht="15" customHeight="1">
      <c r="A1026" s="121"/>
      <c r="C1026" t="str">
        <f ca="1">IFERROR(__xludf.DUMMYFUNCTION("""COMPUTED_VALUE"""),"AB001377")</f>
        <v>AB001377</v>
      </c>
      <c r="D1026" t="str">
        <f ca="1">IFERROR(__xludf.DUMMYFUNCTION("""COMPUTED_VALUE"""),"")</f>
        <v/>
      </c>
      <c r="E1026" t="str">
        <f ca="1">IFERROR(__xludf.DUMMYFUNCTION("""COMPUTED_VALUE"""),"陳瓊茹")</f>
        <v>陳瓊茹</v>
      </c>
    </row>
    <row r="1027" spans="1:5" ht="15" customHeight="1">
      <c r="A1027" s="121"/>
      <c r="C1027" t="str">
        <f ca="1">IFERROR(__xludf.DUMMYFUNCTION("""COMPUTED_VALUE"""),"AB001372")</f>
        <v>AB001372</v>
      </c>
      <c r="D1027" t="str">
        <f ca="1">IFERROR(__xludf.DUMMYFUNCTION("""COMPUTED_VALUE"""),"")</f>
        <v/>
      </c>
      <c r="E1027" t="str">
        <f ca="1">IFERROR(__xludf.DUMMYFUNCTION("""COMPUTED_VALUE"""),"蔡旻巧")</f>
        <v>蔡旻巧</v>
      </c>
    </row>
    <row r="1028" spans="1:5" ht="15" customHeight="1">
      <c r="A1028" s="121"/>
      <c r="C1028" t="str">
        <f ca="1">IFERROR(__xludf.DUMMYFUNCTION("""COMPUTED_VALUE"""),"AB001407")</f>
        <v>AB001407</v>
      </c>
      <c r="D1028" t="str">
        <f ca="1">IFERROR(__xludf.DUMMYFUNCTION("""COMPUTED_VALUE"""),"")</f>
        <v/>
      </c>
      <c r="E1028" t="str">
        <f ca="1">IFERROR(__xludf.DUMMYFUNCTION("""COMPUTED_VALUE"""),"歐秀貞")</f>
        <v>歐秀貞</v>
      </c>
    </row>
    <row r="1029" spans="1:5" ht="15" customHeight="1">
      <c r="A1029" s="121"/>
      <c r="C1029" t="str">
        <f ca="1">IFERROR(__xludf.DUMMYFUNCTION("""COMPUTED_VALUE"""),"AA001945")</f>
        <v>AA001945</v>
      </c>
      <c r="D1029" t="str">
        <f ca="1">IFERROR(__xludf.DUMMYFUNCTION("""COMPUTED_VALUE"""),"")</f>
        <v/>
      </c>
      <c r="E1029" t="str">
        <f ca="1">IFERROR(__xludf.DUMMYFUNCTION("""COMPUTED_VALUE"""),"大江生醫職工福利委員會")</f>
        <v>大江生醫職工福利委員會</v>
      </c>
    </row>
    <row r="1030" spans="1:5" ht="15" customHeight="1">
      <c r="A1030" s="121"/>
      <c r="C1030" t="str">
        <f ca="1">IFERROR(__xludf.DUMMYFUNCTION("""COMPUTED_VALUE"""),"AA001945")</f>
        <v>AA001945</v>
      </c>
      <c r="D1030" t="str">
        <f ca="1">IFERROR(__xludf.DUMMYFUNCTION("""COMPUTED_VALUE"""),"")</f>
        <v/>
      </c>
      <c r="E1030" t="str">
        <f ca="1">IFERROR(__xludf.DUMMYFUNCTION("""COMPUTED_VALUE"""),"大江生醫職工福利委員會")</f>
        <v>大江生醫職工福利委員會</v>
      </c>
    </row>
    <row r="1031" spans="1:5" ht="15" customHeight="1">
      <c r="A1031" s="121"/>
      <c r="C1031" t="str">
        <f ca="1">IFERROR(__xludf.DUMMYFUNCTION("""COMPUTED_VALUE"""),"AA001946")</f>
        <v>AA001946</v>
      </c>
      <c r="D1031" t="str">
        <f ca="1">IFERROR(__xludf.DUMMYFUNCTION("""COMPUTED_VALUE"""),"")</f>
        <v/>
      </c>
      <c r="E1031" t="str">
        <f ca="1">IFERROR(__xludf.DUMMYFUNCTION("""COMPUTED_VALUE"""),"大江基因醫學股份有限公司(員購)")</f>
        <v>大江基因醫學股份有限公司(員購)</v>
      </c>
    </row>
    <row r="1032" spans="1:5" ht="15" customHeight="1">
      <c r="A1032" s="121"/>
      <c r="C1032" t="str">
        <f ca="1">IFERROR(__xludf.DUMMYFUNCTION("""COMPUTED_VALUE"""),"AA001946")</f>
        <v>AA001946</v>
      </c>
      <c r="D1032" t="str">
        <f ca="1">IFERROR(__xludf.DUMMYFUNCTION("""COMPUTED_VALUE"""),"")</f>
        <v/>
      </c>
      <c r="E1032" t="str">
        <f ca="1">IFERROR(__xludf.DUMMYFUNCTION("""COMPUTED_VALUE"""),"大江基因醫學股份有限公司(員購)")</f>
        <v>大江基因醫學股份有限公司(員購)</v>
      </c>
    </row>
    <row r="1033" spans="1:5" ht="15" customHeight="1">
      <c r="A1033" s="121"/>
      <c r="C1033" t="str">
        <f ca="1">IFERROR(__xludf.DUMMYFUNCTION("""COMPUTED_VALUE"""),"AA001946")</f>
        <v>AA001946</v>
      </c>
      <c r="D1033" t="str">
        <f ca="1">IFERROR(__xludf.DUMMYFUNCTION("""COMPUTED_VALUE"""),"")</f>
        <v/>
      </c>
      <c r="E1033" t="str">
        <f ca="1">IFERROR(__xludf.DUMMYFUNCTION("""COMPUTED_VALUE"""),"大江基因醫學股份有限公司(員購)")</f>
        <v>大江基因醫學股份有限公司(員購)</v>
      </c>
    </row>
    <row r="1034" spans="1:5" ht="15" customHeight="1">
      <c r="A1034" s="121"/>
      <c r="C1034" t="str">
        <f ca="1">IFERROR(__xludf.DUMMYFUNCTION("""COMPUTED_VALUE"""),"AB001388")</f>
        <v>AB001388</v>
      </c>
      <c r="D1034" t="str">
        <f ca="1">IFERROR(__xludf.DUMMYFUNCTION("""COMPUTED_VALUE"""),"")</f>
        <v/>
      </c>
      <c r="E1034" t="str">
        <f ca="1">IFERROR(__xludf.DUMMYFUNCTION("""COMPUTED_VALUE""")," 沈縈瑄  ")</f>
        <v xml:space="preserve"> 沈縈瑄  </v>
      </c>
    </row>
    <row r="1035" spans="1:5" ht="15" customHeight="1">
      <c r="A1035" s="121"/>
      <c r="C1035" t="str">
        <f ca="1">IFERROR(__xludf.DUMMYFUNCTION("""COMPUTED_VALUE"""),"AB001389")</f>
        <v>AB001389</v>
      </c>
      <c r="D1035" t="str">
        <f ca="1">IFERROR(__xludf.DUMMYFUNCTION("""COMPUTED_VALUE"""),"")</f>
        <v/>
      </c>
      <c r="E1035" t="str">
        <f ca="1">IFERROR(__xludf.DUMMYFUNCTION("""COMPUTED_VALUE"""),"王昱婷")</f>
        <v>王昱婷</v>
      </c>
    </row>
    <row r="1036" spans="1:5" ht="15" customHeight="1">
      <c r="A1036" s="121"/>
      <c r="C1036" t="str">
        <f ca="1">IFERROR(__xludf.DUMMYFUNCTION("""COMPUTED_VALUE"""),"AB001389")</f>
        <v>AB001389</v>
      </c>
      <c r="D1036" t="str">
        <f ca="1">IFERROR(__xludf.DUMMYFUNCTION("""COMPUTED_VALUE"""),"")</f>
        <v/>
      </c>
      <c r="E1036" t="str">
        <f ca="1">IFERROR(__xludf.DUMMYFUNCTION("""COMPUTED_VALUE"""),"王昱婷")</f>
        <v>王昱婷</v>
      </c>
    </row>
    <row r="1037" spans="1:5" ht="15" customHeight="1">
      <c r="A1037" s="121"/>
      <c r="C1037" t="str">
        <f ca="1">IFERROR(__xludf.DUMMYFUNCTION("""COMPUTED_VALUE"""),"AA001947")</f>
        <v>AA001947</v>
      </c>
      <c r="D1037" t="str">
        <f ca="1">IFERROR(__xludf.DUMMYFUNCTION("""COMPUTED_VALUE"""),"")</f>
        <v/>
      </c>
      <c r="E1037" t="str">
        <f ca="1">IFERROR(__xludf.DUMMYFUNCTION("""COMPUTED_VALUE"""),"大江生醫職工福利委員會")</f>
        <v>大江生醫職工福利委員會</v>
      </c>
    </row>
    <row r="1038" spans="1:5" ht="15" customHeight="1">
      <c r="A1038" s="121"/>
      <c r="C1038" t="str">
        <f ca="1">IFERROR(__xludf.DUMMYFUNCTION("""COMPUTED_VALUE"""),"AB001390")</f>
        <v>AB001390</v>
      </c>
      <c r="D1038" t="str">
        <f ca="1">IFERROR(__xludf.DUMMYFUNCTION("""COMPUTED_VALUE"""),"")</f>
        <v/>
      </c>
      <c r="E1038" t="str">
        <f ca="1">IFERROR(__xludf.DUMMYFUNCTION("""COMPUTED_VALUE"""),"曾景娟")</f>
        <v>曾景娟</v>
      </c>
    </row>
    <row r="1039" spans="1:5" ht="15" customHeight="1">
      <c r="A1039" s="121"/>
      <c r="C1039" t="str">
        <f ca="1">IFERROR(__xludf.DUMMYFUNCTION("""COMPUTED_VALUE"""),"AB001390")</f>
        <v>AB001390</v>
      </c>
      <c r="D1039" t="str">
        <f ca="1">IFERROR(__xludf.DUMMYFUNCTION("""COMPUTED_VALUE"""),"")</f>
        <v/>
      </c>
      <c r="E1039" t="str">
        <f ca="1">IFERROR(__xludf.DUMMYFUNCTION("""COMPUTED_VALUE"""),"曾景娟")</f>
        <v>曾景娟</v>
      </c>
    </row>
    <row r="1040" spans="1:5" ht="15" customHeight="1">
      <c r="A1040" s="121"/>
      <c r="C1040" t="str">
        <f ca="1">IFERROR(__xludf.DUMMYFUNCTION("""COMPUTED_VALUE"""),"AB001371")</f>
        <v>AB001371</v>
      </c>
      <c r="D1040" t="str">
        <f ca="1">IFERROR(__xludf.DUMMYFUNCTION("""COMPUTED_VALUE"""),"")</f>
        <v/>
      </c>
      <c r="E1040" t="str">
        <f ca="1">IFERROR(__xludf.DUMMYFUNCTION("""COMPUTED_VALUE"""),"福爾摩沙醫院管理顧問有限公司")</f>
        <v>福爾摩沙醫院管理顧問有限公司</v>
      </c>
    </row>
    <row r="1041" spans="1:5" ht="15" customHeight="1">
      <c r="A1041" s="121"/>
      <c r="C1041" t="str">
        <f ca="1">IFERROR(__xludf.DUMMYFUNCTION("""COMPUTED_VALUE"""),"AB001364")</f>
        <v>AB001364</v>
      </c>
      <c r="D1041" t="str">
        <f ca="1">IFERROR(__xludf.DUMMYFUNCTION("""COMPUTED_VALUE"""),"")</f>
        <v/>
      </c>
      <c r="E1041" t="str">
        <f ca="1">IFERROR(__xludf.DUMMYFUNCTION("""COMPUTED_VALUE"""),"晶鑽生醫股份有限公司")</f>
        <v>晶鑽生醫股份有限公司</v>
      </c>
    </row>
    <row r="1042" spans="1:5" ht="15" customHeight="1">
      <c r="A1042" s="121"/>
      <c r="C1042" t="str">
        <f ca="1">IFERROR(__xludf.DUMMYFUNCTION("""COMPUTED_VALUE"""),"AB001365")</f>
        <v>AB001365</v>
      </c>
      <c r="D1042" t="str">
        <f ca="1">IFERROR(__xludf.DUMMYFUNCTION("""COMPUTED_VALUE"""),"")</f>
        <v/>
      </c>
      <c r="E1042" t="str">
        <f ca="1">IFERROR(__xludf.DUMMYFUNCTION("""COMPUTED_VALUE"""),"李冠瑋")</f>
        <v>李冠瑋</v>
      </c>
    </row>
    <row r="1043" spans="1:5" ht="15" customHeight="1">
      <c r="A1043" s="121"/>
      <c r="C1043" t="str">
        <f ca="1">IFERROR(__xludf.DUMMYFUNCTION("""COMPUTED_VALUE"""),"AB001379")</f>
        <v>AB001379</v>
      </c>
      <c r="D1043" t="str">
        <f ca="1">IFERROR(__xludf.DUMMYFUNCTION("""COMPUTED_VALUE"""),"")</f>
        <v/>
      </c>
      <c r="E1043" t="str">
        <f ca="1">IFERROR(__xludf.DUMMYFUNCTION("""COMPUTED_VALUE"""),"大江生醫股份有限公司")</f>
        <v>大江生醫股份有限公司</v>
      </c>
    </row>
    <row r="1044" spans="1:5" ht="15" customHeight="1">
      <c r="A1044" s="121"/>
      <c r="C1044" t="str">
        <f ca="1">IFERROR(__xludf.DUMMYFUNCTION("""COMPUTED_VALUE"""),"AB001314")</f>
        <v>AB001314</v>
      </c>
      <c r="D1044" s="214" t="str">
        <f ca="1">IFERROR(__xludf.DUMMYFUNCTION("""COMPUTED_VALUE"""),"V")</f>
        <v>V</v>
      </c>
      <c r="E1044" t="str">
        <f ca="1">IFERROR(__xludf.DUMMYFUNCTION("""COMPUTED_VALUE"""),"海亞大健康管理診所")</f>
        <v>海亞大健康管理診所</v>
      </c>
    </row>
    <row r="1045" spans="1:5" ht="15" customHeight="1">
      <c r="A1045" s="121"/>
      <c r="C1045" t="str">
        <f ca="1">IFERROR(__xludf.DUMMYFUNCTION("""COMPUTED_VALUE"""),"AB001378")</f>
        <v>AB001378</v>
      </c>
      <c r="D1045" t="str">
        <f ca="1">IFERROR(__xludf.DUMMYFUNCTION("""COMPUTED_VALUE"""),"")</f>
        <v/>
      </c>
      <c r="E1045" t="str">
        <f ca="1">IFERROR(__xludf.DUMMYFUNCTION("""COMPUTED_VALUE"""),"江佩穎")</f>
        <v>江佩穎</v>
      </c>
    </row>
    <row r="1046" spans="1:5" ht="15" customHeight="1">
      <c r="A1046" s="121"/>
      <c r="C1046" t="str">
        <f ca="1">IFERROR(__xludf.DUMMYFUNCTION("""COMPUTED_VALUE"""),"AB001380")</f>
        <v>AB001380</v>
      </c>
      <c r="D1046" t="str">
        <f ca="1">IFERROR(__xludf.DUMMYFUNCTION("""COMPUTED_VALUE"""),"")</f>
        <v/>
      </c>
      <c r="E1046" t="str">
        <f ca="1">IFERROR(__xludf.DUMMYFUNCTION("""COMPUTED_VALUE"""),"林正宗婦產科")</f>
        <v>林正宗婦產科</v>
      </c>
    </row>
    <row r="1047" spans="1:5" ht="15" customHeight="1">
      <c r="A1047" s="121"/>
      <c r="C1047" t="str">
        <f ca="1">IFERROR(__xludf.DUMMYFUNCTION("""COMPUTED_VALUE"""),"AB001392")</f>
        <v>AB001392</v>
      </c>
      <c r="D1047" t="str">
        <f ca="1">IFERROR(__xludf.DUMMYFUNCTION("""COMPUTED_VALUE"""),"")</f>
        <v/>
      </c>
      <c r="E1047" t="str">
        <f ca="1">IFERROR(__xludf.DUMMYFUNCTION("""COMPUTED_VALUE"""),"黃杏娟")</f>
        <v>黃杏娟</v>
      </c>
    </row>
    <row r="1048" spans="1:5" ht="15" customHeight="1">
      <c r="A1048" s="121"/>
      <c r="C1048" t="str">
        <f ca="1">IFERROR(__xludf.DUMMYFUNCTION("""COMPUTED_VALUE"""),"AB001393")</f>
        <v>AB001393</v>
      </c>
      <c r="D1048" t="str">
        <f ca="1">IFERROR(__xludf.DUMMYFUNCTION("""COMPUTED_VALUE"""),"")</f>
        <v/>
      </c>
      <c r="E1048" t="str">
        <f ca="1">IFERROR(__xludf.DUMMYFUNCTION("""COMPUTED_VALUE"""),"謝富旭")</f>
        <v>謝富旭</v>
      </c>
    </row>
    <row r="1049" spans="1:5" ht="15" customHeight="1">
      <c r="A1049" s="121"/>
      <c r="C1049" t="str">
        <f ca="1">IFERROR(__xludf.DUMMYFUNCTION("""COMPUTED_VALUE"""),"AB001393")</f>
        <v>AB001393</v>
      </c>
      <c r="D1049" t="str">
        <f ca="1">IFERROR(__xludf.DUMMYFUNCTION("""COMPUTED_VALUE"""),"")</f>
        <v/>
      </c>
      <c r="E1049" t="str">
        <f ca="1">IFERROR(__xludf.DUMMYFUNCTION("""COMPUTED_VALUE"""),"謝富旭")</f>
        <v>謝富旭</v>
      </c>
    </row>
    <row r="1050" spans="1:5" ht="15" customHeight="1">
      <c r="A1050" s="121"/>
      <c r="C1050" t="str">
        <f ca="1">IFERROR(__xludf.DUMMYFUNCTION("""COMPUTED_VALUE"""),"AB001408")</f>
        <v>AB001408</v>
      </c>
      <c r="D1050" t="str">
        <f ca="1">IFERROR(__xludf.DUMMYFUNCTION("""COMPUTED_VALUE"""),"")</f>
        <v/>
      </c>
      <c r="E1050" t="str">
        <f ca="1">IFERROR(__xludf.DUMMYFUNCTION("""COMPUTED_VALUE"""),"大江生醫股份有限公司")</f>
        <v>大江生醫股份有限公司</v>
      </c>
    </row>
    <row r="1051" spans="1:5" ht="15" customHeight="1">
      <c r="A1051" s="121"/>
      <c r="C1051" t="str">
        <f ca="1">IFERROR(__xludf.DUMMYFUNCTION("""COMPUTED_VALUE"""),"AB001381")</f>
        <v>AB001381</v>
      </c>
      <c r="D1051" t="str">
        <f ca="1">IFERROR(__xludf.DUMMYFUNCTION("""COMPUTED_VALUE"""),"")</f>
        <v/>
      </c>
      <c r="E1051" t="str">
        <f ca="1">IFERROR(__xludf.DUMMYFUNCTION("""COMPUTED_VALUE"""),"林正宗婦產科")</f>
        <v>林正宗婦產科</v>
      </c>
    </row>
    <row r="1052" spans="1:5" ht="15" customHeight="1">
      <c r="A1052" s="121"/>
      <c r="C1052" t="str">
        <f ca="1">IFERROR(__xludf.DUMMYFUNCTION("""COMPUTED_VALUE"""),"AB001409")</f>
        <v>AB001409</v>
      </c>
      <c r="D1052" t="str">
        <f ca="1">IFERROR(__xludf.DUMMYFUNCTION("""COMPUTED_VALUE"""),"")</f>
        <v/>
      </c>
      <c r="E1052" t="str">
        <f ca="1">IFERROR(__xludf.DUMMYFUNCTION("""COMPUTED_VALUE"""),"王玉玲")</f>
        <v>王玉玲</v>
      </c>
    </row>
    <row r="1053" spans="1:5" ht="15" customHeight="1">
      <c r="A1053" s="121"/>
      <c r="C1053" t="str">
        <f ca="1">IFERROR(__xludf.DUMMYFUNCTION("""COMPUTED_VALUE"""),"AB001394")</f>
        <v>AB001394</v>
      </c>
      <c r="D1053" t="str">
        <f ca="1">IFERROR(__xludf.DUMMYFUNCTION("""COMPUTED_VALUE"""),"")</f>
        <v/>
      </c>
      <c r="E1053" t="str">
        <f ca="1">IFERROR(__xludf.DUMMYFUNCTION("""COMPUTED_VALUE"""),"陳盈瑞")</f>
        <v>陳盈瑞</v>
      </c>
    </row>
    <row r="1054" spans="1:5" ht="15" customHeight="1">
      <c r="A1054" s="121"/>
      <c r="C1054" t="str">
        <f ca="1">IFERROR(__xludf.DUMMYFUNCTION("""COMPUTED_VALUE"""),"AB001396")</f>
        <v>AB001396</v>
      </c>
      <c r="D1054" t="str">
        <f ca="1">IFERROR(__xludf.DUMMYFUNCTION("""COMPUTED_VALUE"""),"")</f>
        <v/>
      </c>
      <c r="E1054" t="str">
        <f ca="1">IFERROR(__xludf.DUMMYFUNCTION("""COMPUTED_VALUE"""),"葉瑋婷")</f>
        <v>葉瑋婷</v>
      </c>
    </row>
    <row r="1055" spans="1:5" ht="15" customHeight="1">
      <c r="A1055" s="121"/>
      <c r="C1055" t="str">
        <f ca="1">IFERROR(__xludf.DUMMYFUNCTION("""COMPUTED_VALUE"""),"AA001948")</f>
        <v>AA001948</v>
      </c>
      <c r="D1055" t="str">
        <f ca="1">IFERROR(__xludf.DUMMYFUNCTION("""COMPUTED_VALUE"""),"")</f>
        <v/>
      </c>
      <c r="E1055" t="str">
        <f ca="1">IFERROR(__xludf.DUMMYFUNCTION("""COMPUTED_VALUE"""),"大江生醫職工福利委員會")</f>
        <v>大江生醫職工福利委員會</v>
      </c>
    </row>
    <row r="1056" spans="1:5" ht="15" customHeight="1">
      <c r="A1056" s="121"/>
      <c r="C1056" t="str">
        <f ca="1">IFERROR(__xludf.DUMMYFUNCTION("""COMPUTED_VALUE"""),"AA001948")</f>
        <v>AA001948</v>
      </c>
      <c r="D1056" t="str">
        <f ca="1">IFERROR(__xludf.DUMMYFUNCTION("""COMPUTED_VALUE"""),"")</f>
        <v/>
      </c>
      <c r="E1056" t="str">
        <f ca="1">IFERROR(__xludf.DUMMYFUNCTION("""COMPUTED_VALUE"""),"大江生醫職工福利委員會")</f>
        <v>大江生醫職工福利委員會</v>
      </c>
    </row>
    <row r="1057" spans="1:5" ht="15" customHeight="1">
      <c r="A1057" s="121"/>
      <c r="C1057" t="str">
        <f ca="1">IFERROR(__xludf.DUMMYFUNCTION("""COMPUTED_VALUE"""),"AA001948")</f>
        <v>AA001948</v>
      </c>
      <c r="D1057" t="str">
        <f ca="1">IFERROR(__xludf.DUMMYFUNCTION("""COMPUTED_VALUE"""),"")</f>
        <v/>
      </c>
      <c r="E1057" t="str">
        <f ca="1">IFERROR(__xludf.DUMMYFUNCTION("""COMPUTED_VALUE"""),"大江生醫職工福利委員會")</f>
        <v>大江生醫職工福利委員會</v>
      </c>
    </row>
    <row r="1058" spans="1:5" ht="15" customHeight="1">
      <c r="A1058" s="121"/>
      <c r="C1058" t="str">
        <f ca="1">IFERROR(__xludf.DUMMYFUNCTION("""COMPUTED_VALUE"""),"AB001410")</f>
        <v>AB001410</v>
      </c>
      <c r="D1058" t="str">
        <f ca="1">IFERROR(__xludf.DUMMYFUNCTION("""COMPUTED_VALUE"""),"")</f>
        <v/>
      </c>
      <c r="E1058" t="str">
        <f ca="1">IFERROR(__xludf.DUMMYFUNCTION("""COMPUTED_VALUE"""),"樂愛華")</f>
        <v>樂愛華</v>
      </c>
    </row>
    <row r="1059" spans="1:5" ht="15" customHeight="1">
      <c r="A1059" s="121"/>
      <c r="C1059" t="str">
        <f ca="1">IFERROR(__xludf.DUMMYFUNCTION("""COMPUTED_VALUE"""),"AB001397")</f>
        <v>AB001397</v>
      </c>
      <c r="D1059" t="str">
        <f ca="1">IFERROR(__xludf.DUMMYFUNCTION("""COMPUTED_VALUE"""),"")</f>
        <v/>
      </c>
      <c r="E1059" t="str">
        <f ca="1">IFERROR(__xludf.DUMMYFUNCTION("""COMPUTED_VALUE"""),"馬俊平")</f>
        <v>馬俊平</v>
      </c>
    </row>
    <row r="1060" spans="1:5" ht="15" customHeight="1">
      <c r="A1060" s="121"/>
      <c r="C1060" t="str">
        <f ca="1">IFERROR(__xludf.DUMMYFUNCTION("""COMPUTED_VALUE"""),"AB001398")</f>
        <v>AB001398</v>
      </c>
      <c r="D1060" t="str">
        <f ca="1">IFERROR(__xludf.DUMMYFUNCTION("""COMPUTED_VALUE"""),"")</f>
        <v/>
      </c>
      <c r="E1060" t="str">
        <f ca="1">IFERROR(__xludf.DUMMYFUNCTION("""COMPUTED_VALUE"""),"陳子軒")</f>
        <v>陳子軒</v>
      </c>
    </row>
    <row r="1061" spans="1:5" ht="15" customHeight="1">
      <c r="A1061" s="121"/>
      <c r="C1061" t="str">
        <f ca="1">IFERROR(__xludf.DUMMYFUNCTION("""COMPUTED_VALUE"""),"AB001325")</f>
        <v>AB001325</v>
      </c>
      <c r="D1061" t="str">
        <f ca="1">IFERROR(__xludf.DUMMYFUNCTION("""COMPUTED_VALUE"""),"")</f>
        <v/>
      </c>
      <c r="E1061" t="str">
        <f ca="1">IFERROR(__xludf.DUMMYFUNCTION("""COMPUTED_VALUE"""),"阮曼瑄")</f>
        <v>阮曼瑄</v>
      </c>
    </row>
    <row r="1062" spans="1:5" ht="15" customHeight="1">
      <c r="A1062" s="121"/>
      <c r="C1062" t="str">
        <f ca="1">IFERROR(__xludf.DUMMYFUNCTION("""COMPUTED_VALUE"""),"AB001411")</f>
        <v>AB001411</v>
      </c>
      <c r="D1062" t="str">
        <f ca="1">IFERROR(__xludf.DUMMYFUNCTION("""COMPUTED_VALUE"""),"")</f>
        <v/>
      </c>
      <c r="E1062" t="str">
        <f ca="1">IFERROR(__xludf.DUMMYFUNCTION("""COMPUTED_VALUE"""),"張志誠")</f>
        <v>張志誠</v>
      </c>
    </row>
    <row r="1063" spans="1:5" ht="15" customHeight="1">
      <c r="A1063" s="121"/>
      <c r="C1063" t="str">
        <f ca="1">IFERROR(__xludf.DUMMYFUNCTION("""COMPUTED_VALUE"""),"AB001412")</f>
        <v>AB001412</v>
      </c>
      <c r="D1063" t="str">
        <f ca="1">IFERROR(__xludf.DUMMYFUNCTION("""COMPUTED_VALUE"""),"")</f>
        <v/>
      </c>
      <c r="E1063" t="str">
        <f ca="1">IFERROR(__xludf.DUMMYFUNCTION("""COMPUTED_VALUE"""),"封秋霞")</f>
        <v>封秋霞</v>
      </c>
    </row>
    <row r="1064" spans="1:5" ht="15" customHeight="1">
      <c r="A1064" s="121"/>
      <c r="C1064" t="str">
        <f ca="1">IFERROR(__xludf.DUMMYFUNCTION("""COMPUTED_VALUE"""),"AB001382")</f>
        <v>AB001382</v>
      </c>
      <c r="D1064" t="str">
        <f ca="1">IFERROR(__xludf.DUMMYFUNCTION("""COMPUTED_VALUE"""),"")</f>
        <v/>
      </c>
      <c r="E1064" t="str">
        <f ca="1">IFERROR(__xludf.DUMMYFUNCTION("""COMPUTED_VALUE"""),"林正宗婦產科")</f>
        <v>林正宗婦產科</v>
      </c>
    </row>
    <row r="1065" spans="1:5" ht="15" customHeight="1">
      <c r="A1065" s="121"/>
      <c r="C1065" t="str">
        <f ca="1">IFERROR(__xludf.DUMMYFUNCTION("""COMPUTED_VALUE"""),"AB001395")</f>
        <v>AB001395</v>
      </c>
      <c r="D1065" t="str">
        <f ca="1">IFERROR(__xludf.DUMMYFUNCTION("""COMPUTED_VALUE"""),"")</f>
        <v/>
      </c>
      <c r="E1065" t="str">
        <f ca="1">IFERROR(__xludf.DUMMYFUNCTION("""COMPUTED_VALUE"""),"福爾摩沙醫院管理顧問有限公司")</f>
        <v>福爾摩沙醫院管理顧問有限公司</v>
      </c>
    </row>
    <row r="1066" spans="1:5" ht="15" customHeight="1">
      <c r="A1066" s="121"/>
      <c r="C1066" t="str">
        <f ca="1">IFERROR(__xludf.DUMMYFUNCTION("""COMPUTED_VALUE"""),"AB001391")</f>
        <v>AB001391</v>
      </c>
      <c r="D1066" t="str">
        <f ca="1">IFERROR(__xludf.DUMMYFUNCTION("""COMPUTED_VALUE"""),"")</f>
        <v/>
      </c>
      <c r="E1066" t="str">
        <f ca="1">IFERROR(__xludf.DUMMYFUNCTION("""COMPUTED_VALUE"""),"楊雯")</f>
        <v>楊雯</v>
      </c>
    </row>
    <row r="1067" spans="1:5" ht="15" customHeight="1">
      <c r="A1067" s="121"/>
      <c r="C1067" t="str">
        <f ca="1">IFERROR(__xludf.DUMMYFUNCTION("""COMPUTED_VALUE"""),"AB001383")</f>
        <v>AB001383</v>
      </c>
      <c r="D1067" t="str">
        <f ca="1">IFERROR(__xludf.DUMMYFUNCTION("""COMPUTED_VALUE"""),"")</f>
        <v/>
      </c>
      <c r="E1067" t="str">
        <f ca="1">IFERROR(__xludf.DUMMYFUNCTION("""COMPUTED_VALUE"""),"林正宗婦產科")</f>
        <v>林正宗婦產科</v>
      </c>
    </row>
    <row r="1068" spans="1:5" ht="15" customHeight="1">
      <c r="A1068" s="121"/>
      <c r="C1068" t="str">
        <f ca="1">IFERROR(__xludf.DUMMYFUNCTION("""COMPUTED_VALUE"""),"AB001328")</f>
        <v>AB001328</v>
      </c>
      <c r="D1068" t="str">
        <f ca="1">IFERROR(__xludf.DUMMYFUNCTION("""COMPUTED_VALUE"""),"")</f>
        <v/>
      </c>
      <c r="E1068" t="str">
        <f ca="1">IFERROR(__xludf.DUMMYFUNCTION("""COMPUTED_VALUE"""),"Brian")</f>
        <v>Brian</v>
      </c>
    </row>
    <row r="1069" spans="1:5" ht="15" customHeight="1">
      <c r="A1069" s="121"/>
      <c r="C1069">
        <f ca="1">IFERROR(__xludf.DUMMYFUNCTION("""COMPUTED_VALUE"""),2700)</f>
        <v>2700</v>
      </c>
      <c r="D1069" t="str">
        <f ca="1">IFERROR(__xludf.DUMMYFUNCTION("""COMPUTED_VALUE"""),"")</f>
        <v/>
      </c>
      <c r="E1069" t="str">
        <f ca="1">IFERROR(__xludf.DUMMYFUNCTION("""COMPUTED_VALUE"""),"天資")</f>
        <v>天資</v>
      </c>
    </row>
    <row r="1070" spans="1:5" ht="15" customHeight="1">
      <c r="A1070" s="121"/>
      <c r="C1070" t="str">
        <f ca="1">IFERROR(__xludf.DUMMYFUNCTION("""COMPUTED_VALUE"""),"AB001308")</f>
        <v>AB001308</v>
      </c>
      <c r="D1070" s="214" t="str">
        <f ca="1">IFERROR(__xludf.DUMMYFUNCTION("""COMPUTED_VALUE"""),"V")</f>
        <v>V</v>
      </c>
      <c r="E1070" t="str">
        <f ca="1">IFERROR(__xludf.DUMMYFUNCTION("""COMPUTED_VALUE"""),"海亞大健康管理診所")</f>
        <v>海亞大健康管理診所</v>
      </c>
    </row>
    <row r="1071" spans="1:5" ht="15" customHeight="1">
      <c r="A1071" s="121"/>
      <c r="C1071" t="str">
        <f ca="1">IFERROR(__xludf.DUMMYFUNCTION("""COMPUTED_VALUE"""),"AB001399")</f>
        <v>AB001399</v>
      </c>
      <c r="D1071" t="str">
        <f ca="1">IFERROR(__xludf.DUMMYFUNCTION("""COMPUTED_VALUE"""),"")</f>
        <v/>
      </c>
      <c r="E1071" t="str">
        <f ca="1">IFERROR(__xludf.DUMMYFUNCTION("""COMPUTED_VALUE"""),"李素貞")</f>
        <v>李素貞</v>
      </c>
    </row>
    <row r="1072" spans="1:5" ht="15" customHeight="1">
      <c r="A1072" s="121"/>
      <c r="C1072" t="str">
        <f ca="1">IFERROR(__xludf.DUMMYFUNCTION("""COMPUTED_VALUE"""),"AB001413")</f>
        <v>AB001413</v>
      </c>
      <c r="D1072" t="str">
        <f ca="1">IFERROR(__xludf.DUMMYFUNCTION("""COMPUTED_VALUE"""),"")</f>
        <v/>
      </c>
      <c r="E1072" t="str">
        <f ca="1">IFERROR(__xludf.DUMMYFUNCTION("""COMPUTED_VALUE"""),"大江生醫股份有限公司")</f>
        <v>大江生醫股份有限公司</v>
      </c>
    </row>
    <row r="1073" spans="1:5" ht="15" customHeight="1">
      <c r="A1073" s="121"/>
      <c r="C1073" t="str">
        <f ca="1">IFERROR(__xludf.DUMMYFUNCTION("""COMPUTED_VALUE"""),"AB001413")</f>
        <v>AB001413</v>
      </c>
      <c r="D1073" t="str">
        <f ca="1">IFERROR(__xludf.DUMMYFUNCTION("""COMPUTED_VALUE"""),"")</f>
        <v/>
      </c>
      <c r="E1073" t="str">
        <f ca="1">IFERROR(__xludf.DUMMYFUNCTION("""COMPUTED_VALUE"""),"大江生醫股份有限公司")</f>
        <v>大江生醫股份有限公司</v>
      </c>
    </row>
    <row r="1074" spans="1:5" ht="15" customHeight="1">
      <c r="A1074" s="121"/>
      <c r="C1074" t="str">
        <f ca="1">IFERROR(__xludf.DUMMYFUNCTION("""COMPUTED_VALUE"""),"AB001309")</f>
        <v>AB001309</v>
      </c>
      <c r="D1074" t="str">
        <f ca="1">IFERROR(__xludf.DUMMYFUNCTION("""COMPUTED_VALUE"""),"")</f>
        <v/>
      </c>
      <c r="E1074" t="str">
        <f ca="1">IFERROR(__xludf.DUMMYFUNCTION("""COMPUTED_VALUE"""),"星醫美學股份有限公司")</f>
        <v>星醫美學股份有限公司</v>
      </c>
    </row>
    <row r="1075" spans="1:5" ht="15" customHeight="1">
      <c r="A1075" s="121"/>
      <c r="C1075" t="str">
        <f ca="1">IFERROR(__xludf.DUMMYFUNCTION("""COMPUTED_VALUE"""),"AA001949")</f>
        <v>AA001949</v>
      </c>
      <c r="D1075" t="str">
        <f ca="1">IFERROR(__xludf.DUMMYFUNCTION("""COMPUTED_VALUE"""),"")</f>
        <v/>
      </c>
      <c r="E1075" t="str">
        <f ca="1">IFERROR(__xludf.DUMMYFUNCTION("""COMPUTED_VALUE"""),"大江生醫職工福利委員會")</f>
        <v>大江生醫職工福利委員會</v>
      </c>
    </row>
    <row r="1076" spans="1:5" ht="15" customHeight="1">
      <c r="A1076" s="121"/>
      <c r="C1076" t="str">
        <f ca="1">IFERROR(__xludf.DUMMYFUNCTION("""COMPUTED_VALUE"""),"AB001400")</f>
        <v>AB001400</v>
      </c>
      <c r="D1076" t="str">
        <f ca="1">IFERROR(__xludf.DUMMYFUNCTION("""COMPUTED_VALUE"""),"")</f>
        <v/>
      </c>
      <c r="E1076" t="str">
        <f ca="1">IFERROR(__xludf.DUMMYFUNCTION("""COMPUTED_VALUE"""),"古若綺")</f>
        <v>古若綺</v>
      </c>
    </row>
    <row r="1077" spans="1:5" ht="15" customHeight="1">
      <c r="A1077" s="121"/>
      <c r="C1077" t="str">
        <f ca="1">IFERROR(__xludf.DUMMYFUNCTION("""COMPUTED_VALUE"""),"AB001400")</f>
        <v>AB001400</v>
      </c>
      <c r="D1077" t="str">
        <f ca="1">IFERROR(__xludf.DUMMYFUNCTION("""COMPUTED_VALUE"""),"")</f>
        <v/>
      </c>
      <c r="E1077" t="str">
        <f ca="1">IFERROR(__xludf.DUMMYFUNCTION("""COMPUTED_VALUE"""),"古若綺")</f>
        <v>古若綺</v>
      </c>
    </row>
    <row r="1078" spans="1:5" ht="15" customHeight="1">
      <c r="A1078" s="121"/>
      <c r="C1078" t="str">
        <f ca="1">IFERROR(__xludf.DUMMYFUNCTION("""COMPUTED_VALUE"""),"AB001451")</f>
        <v>AB001451</v>
      </c>
      <c r="D1078" t="str">
        <f ca="1">IFERROR(__xludf.DUMMYFUNCTION("""COMPUTED_VALUE"""),"")</f>
        <v/>
      </c>
      <c r="E1078" t="str">
        <f ca="1">IFERROR(__xludf.DUMMYFUNCTION("""COMPUTED_VALUE"""),"高振益")</f>
        <v>高振益</v>
      </c>
    </row>
    <row r="1079" spans="1:5" ht="15" customHeight="1">
      <c r="A1079" s="121"/>
      <c r="C1079" t="str">
        <f ca="1">IFERROR(__xludf.DUMMYFUNCTION("""COMPUTED_VALUE"""),"AB001453")</f>
        <v>AB001453</v>
      </c>
      <c r="D1079" t="str">
        <f ca="1">IFERROR(__xludf.DUMMYFUNCTION("""COMPUTED_VALUE"""),"")</f>
        <v/>
      </c>
      <c r="E1079" t="str">
        <f ca="1">IFERROR(__xludf.DUMMYFUNCTION("""COMPUTED_VALUE"""),"蔡清泉")</f>
        <v>蔡清泉</v>
      </c>
    </row>
    <row r="1080" spans="1:5" ht="15" customHeight="1">
      <c r="A1080" s="121"/>
      <c r="C1080" t="str">
        <f ca="1">IFERROR(__xludf.DUMMYFUNCTION("""COMPUTED_VALUE"""),"AB001453")</f>
        <v>AB001453</v>
      </c>
      <c r="D1080" t="str">
        <f ca="1">IFERROR(__xludf.DUMMYFUNCTION("""COMPUTED_VALUE"""),"")</f>
        <v/>
      </c>
      <c r="E1080" t="str">
        <f ca="1">IFERROR(__xludf.DUMMYFUNCTION("""COMPUTED_VALUE"""),"蔡清泉")</f>
        <v>蔡清泉</v>
      </c>
    </row>
    <row r="1081" spans="1:5" ht="15" customHeight="1">
      <c r="A1081" s="121"/>
      <c r="C1081" t="str">
        <f ca="1">IFERROR(__xludf.DUMMYFUNCTION("""COMPUTED_VALUE"""),"AB001452")</f>
        <v>AB001452</v>
      </c>
      <c r="D1081" t="str">
        <f ca="1">IFERROR(__xludf.DUMMYFUNCTION("""COMPUTED_VALUE"""),"")</f>
        <v/>
      </c>
      <c r="E1081" t="str">
        <f ca="1">IFERROR(__xludf.DUMMYFUNCTION("""COMPUTED_VALUE"""),"傅世慧")</f>
        <v>傅世慧</v>
      </c>
    </row>
    <row r="1082" spans="1:5" ht="15" customHeight="1">
      <c r="A1082" s="121"/>
      <c r="C1082" t="str">
        <f ca="1">IFERROR(__xludf.DUMMYFUNCTION("""COMPUTED_VALUE"""),"AB001414")</f>
        <v>AB001414</v>
      </c>
      <c r="D1082" t="str">
        <f ca="1">IFERROR(__xludf.DUMMYFUNCTION("""COMPUTED_VALUE"""),"")</f>
        <v/>
      </c>
      <c r="E1082" t="str">
        <f ca="1">IFERROR(__xludf.DUMMYFUNCTION("""COMPUTED_VALUE"""),"詹素聘")</f>
        <v>詹素聘</v>
      </c>
    </row>
    <row r="1083" spans="1:5" ht="15" customHeight="1">
      <c r="A1083" s="121"/>
      <c r="C1083" t="str">
        <f ca="1">IFERROR(__xludf.DUMMYFUNCTION("""COMPUTED_VALUE"""),"AB001416")</f>
        <v>AB001416</v>
      </c>
      <c r="D1083" t="str">
        <f ca="1">IFERROR(__xludf.DUMMYFUNCTION("""COMPUTED_VALUE"""),"")</f>
        <v/>
      </c>
      <c r="E1083" t="str">
        <f ca="1">IFERROR(__xludf.DUMMYFUNCTION("""COMPUTED_VALUE"""),"鍾佩君")</f>
        <v>鍾佩君</v>
      </c>
    </row>
    <row r="1084" spans="1:5" ht="15" customHeight="1">
      <c r="A1084" s="121"/>
      <c r="C1084" t="str">
        <f ca="1">IFERROR(__xludf.DUMMYFUNCTION("""COMPUTED_VALUE"""),"AB001416")</f>
        <v>AB001416</v>
      </c>
      <c r="D1084" t="str">
        <f ca="1">IFERROR(__xludf.DUMMYFUNCTION("""COMPUTED_VALUE"""),"")</f>
        <v/>
      </c>
      <c r="E1084" t="str">
        <f ca="1">IFERROR(__xludf.DUMMYFUNCTION("""COMPUTED_VALUE"""),"鍾佩君")</f>
        <v>鍾佩君</v>
      </c>
    </row>
    <row r="1085" spans="1:5" ht="15" customHeight="1">
      <c r="A1085" s="121"/>
      <c r="C1085" t="str">
        <f ca="1">IFERROR(__xludf.DUMMYFUNCTION("""COMPUTED_VALUE"""),"AB001416")</f>
        <v>AB001416</v>
      </c>
      <c r="D1085" t="str">
        <f ca="1">IFERROR(__xludf.DUMMYFUNCTION("""COMPUTED_VALUE"""),"")</f>
        <v/>
      </c>
      <c r="E1085" t="str">
        <f ca="1">IFERROR(__xludf.DUMMYFUNCTION("""COMPUTED_VALUE"""),"鍾佩君")</f>
        <v>鍾佩君</v>
      </c>
    </row>
    <row r="1086" spans="1:5" ht="15" customHeight="1">
      <c r="A1086" s="121"/>
      <c r="C1086" t="str">
        <f ca="1">IFERROR(__xludf.DUMMYFUNCTION("""COMPUTED_VALUE"""),"AB001454")</f>
        <v>AB001454</v>
      </c>
      <c r="D1086" t="str">
        <f ca="1">IFERROR(__xludf.DUMMYFUNCTION("""COMPUTED_VALUE"""),"")</f>
        <v/>
      </c>
      <c r="E1086" t="str">
        <f ca="1">IFERROR(__xludf.DUMMYFUNCTION("""COMPUTED_VALUE"""),"董書芬")</f>
        <v>董書芬</v>
      </c>
    </row>
    <row r="1087" spans="1:5" ht="15" customHeight="1">
      <c r="A1087" s="121"/>
      <c r="C1087" t="str">
        <f ca="1">IFERROR(__xludf.DUMMYFUNCTION("""COMPUTED_VALUE"""),"AB001415")</f>
        <v>AB001415</v>
      </c>
      <c r="D1087" t="str">
        <f ca="1">IFERROR(__xludf.DUMMYFUNCTION("""COMPUTED_VALUE"""),"")</f>
        <v/>
      </c>
      <c r="E1087" t="str">
        <f ca="1">IFERROR(__xludf.DUMMYFUNCTION("""COMPUTED_VALUE"""),"林嘉鈴")</f>
        <v>林嘉鈴</v>
      </c>
    </row>
    <row r="1088" spans="1:5" ht="15" customHeight="1">
      <c r="A1088" s="121"/>
      <c r="C1088" t="str">
        <f ca="1">IFERROR(__xludf.DUMMYFUNCTION("""COMPUTED_VALUE"""),"AB001417")</f>
        <v>AB001417</v>
      </c>
      <c r="D1088" t="str">
        <f ca="1">IFERROR(__xludf.DUMMYFUNCTION("""COMPUTED_VALUE"""),"")</f>
        <v/>
      </c>
      <c r="E1088" t="str">
        <f ca="1">IFERROR(__xludf.DUMMYFUNCTION("""COMPUTED_VALUE"""),"鄭振鴻")</f>
        <v>鄭振鴻</v>
      </c>
    </row>
    <row r="1089" spans="1:5" ht="15" customHeight="1">
      <c r="A1089" s="121"/>
      <c r="C1089" t="str">
        <f ca="1">IFERROR(__xludf.DUMMYFUNCTION("""COMPUTED_VALUE"""),"AB001465")</f>
        <v>AB001465</v>
      </c>
      <c r="D1089" t="str">
        <f ca="1">IFERROR(__xludf.DUMMYFUNCTION("""COMPUTED_VALUE"""),"")</f>
        <v/>
      </c>
      <c r="E1089" t="str">
        <f ca="1">IFERROR(__xludf.DUMMYFUNCTION("""COMPUTED_VALUE"""),"林莉婷")</f>
        <v>林莉婷</v>
      </c>
    </row>
    <row r="1090" spans="1:5" ht="15" customHeight="1">
      <c r="A1090" s="121"/>
      <c r="C1090" t="str">
        <f ca="1">IFERROR(__xludf.DUMMYFUNCTION("""COMPUTED_VALUE"""),"AB001466")</f>
        <v>AB001466</v>
      </c>
      <c r="D1090" t="str">
        <f ca="1">IFERROR(__xludf.DUMMYFUNCTION("""COMPUTED_VALUE"""),"")</f>
        <v/>
      </c>
      <c r="E1090" t="str">
        <f ca="1">IFERROR(__xludf.DUMMYFUNCTION("""COMPUTED_VALUE"""),"鄭采婷")</f>
        <v>鄭采婷</v>
      </c>
    </row>
    <row r="1091" spans="1:5" ht="15" customHeight="1">
      <c r="A1091" s="121"/>
      <c r="C1091" t="str">
        <f ca="1">IFERROR(__xludf.DUMMYFUNCTION("""COMPUTED_VALUE"""),"AB001467")</f>
        <v>AB001467</v>
      </c>
      <c r="D1091" t="str">
        <f ca="1">IFERROR(__xludf.DUMMYFUNCTION("""COMPUTED_VALUE"""),"")</f>
        <v/>
      </c>
      <c r="E1091" t="str">
        <f ca="1">IFERROR(__xludf.DUMMYFUNCTION("""COMPUTED_VALUE"""),"向志賢")</f>
        <v>向志賢</v>
      </c>
    </row>
    <row r="1092" spans="1:5" ht="15" customHeight="1">
      <c r="A1092" s="121"/>
      <c r="C1092" t="str">
        <f ca="1">IFERROR(__xludf.DUMMYFUNCTION("""COMPUTED_VALUE"""),"AB001468")</f>
        <v>AB001468</v>
      </c>
      <c r="D1092" t="str">
        <f ca="1">IFERROR(__xludf.DUMMYFUNCTION("""COMPUTED_VALUE"""),"")</f>
        <v/>
      </c>
      <c r="E1092" t="str">
        <f ca="1">IFERROR(__xludf.DUMMYFUNCTION("""COMPUTED_VALUE"""),"黃節子")</f>
        <v>黃節子</v>
      </c>
    </row>
    <row r="1093" spans="1:5" ht="15" customHeight="1">
      <c r="A1093" s="121"/>
      <c r="C1093" t="str">
        <f ca="1">IFERROR(__xludf.DUMMYFUNCTION("""COMPUTED_VALUE"""),"AB001455")</f>
        <v>AB001455</v>
      </c>
      <c r="D1093" s="214">
        <f ca="1">IFERROR(__xludf.DUMMYFUNCTION("""COMPUTED_VALUE"""),4000)</f>
        <v>4000</v>
      </c>
      <c r="E1093" t="str">
        <f ca="1">IFERROR(__xludf.DUMMYFUNCTION("""COMPUTED_VALUE"""),"大江生醫職工福利委員會")</f>
        <v>大江生醫職工福利委員會</v>
      </c>
    </row>
    <row r="1094" spans="1:5" ht="15" customHeight="1">
      <c r="A1094" s="121"/>
      <c r="C1094" t="str">
        <f ca="1">IFERROR(__xludf.DUMMYFUNCTION("""COMPUTED_VALUE"""),"AB001455")</f>
        <v>AB001455</v>
      </c>
      <c r="D1094" s="214">
        <f ca="1">IFERROR(__xludf.DUMMYFUNCTION("""COMPUTED_VALUE"""),47.6142857142857)</f>
        <v>47.6142857142857</v>
      </c>
      <c r="E1094" t="str">
        <f ca="1">IFERROR(__xludf.DUMMYFUNCTION("""COMPUTED_VALUE"""),"大江生醫職工福利委員會")</f>
        <v>大江生醫職工福利委員會</v>
      </c>
    </row>
    <row r="1095" spans="1:5" ht="15" customHeight="1">
      <c r="A1095" s="121"/>
      <c r="C1095" t="str">
        <f ca="1">IFERROR(__xludf.DUMMYFUNCTION("""COMPUTED_VALUE"""),"AB001455")</f>
        <v>AB001455</v>
      </c>
      <c r="D1095" s="214">
        <f ca="1">IFERROR(__xludf.DUMMYFUNCTION("""COMPUTED_VALUE"""),1523.75)</f>
        <v>1523.75</v>
      </c>
      <c r="E1095" t="str">
        <f ca="1">IFERROR(__xludf.DUMMYFUNCTION("""COMPUTED_VALUE"""),"大江生醫職工福利委員會")</f>
        <v>大江生醫職工福利委員會</v>
      </c>
    </row>
    <row r="1096" spans="1:5" ht="15" customHeight="1">
      <c r="A1096" s="121"/>
      <c r="C1096" t="str">
        <f ca="1">IFERROR(__xludf.DUMMYFUNCTION("""COMPUTED_VALUE"""),"AB001455")</f>
        <v>AB001455</v>
      </c>
      <c r="D1096" s="214">
        <f ca="1">IFERROR(__xludf.DUMMYFUNCTION("""COMPUTED_VALUE"""),476.25)</f>
        <v>476.25</v>
      </c>
      <c r="E1096" t="str">
        <f ca="1">IFERROR(__xludf.DUMMYFUNCTION("""COMPUTED_VALUE"""),"大江生醫職工福利委員會")</f>
        <v>大江生醫職工福利委員會</v>
      </c>
    </row>
    <row r="1097" spans="1:5" ht="15" customHeight="1">
      <c r="A1097" s="121"/>
      <c r="C1097" t="str">
        <f ca="1">IFERROR(__xludf.DUMMYFUNCTION("""COMPUTED_VALUE"""),"AB001455")</f>
        <v>AB001455</v>
      </c>
      <c r="D1097" s="214">
        <f ca="1">IFERROR(__xludf.DUMMYFUNCTION("""COMPUTED_VALUE"""),476.333333333333)</f>
        <v>476.33333333333297</v>
      </c>
      <c r="E1097" t="str">
        <f ca="1">IFERROR(__xludf.DUMMYFUNCTION("""COMPUTED_VALUE"""),"大江生醫職工福利委員會")</f>
        <v>大江生醫職工福利委員會</v>
      </c>
    </row>
    <row r="1098" spans="1:5" ht="15" customHeight="1">
      <c r="A1098" s="121"/>
      <c r="C1098" t="str">
        <f ca="1">IFERROR(__xludf.DUMMYFUNCTION("""COMPUTED_VALUE"""),"AB001455")</f>
        <v>AB001455</v>
      </c>
      <c r="D1098" s="214">
        <f ca="1">IFERROR(__xludf.DUMMYFUNCTION("""COMPUTED_VALUE"""),476.333333333333)</f>
        <v>476.33333333333297</v>
      </c>
      <c r="E1098" t="str">
        <f ca="1">IFERROR(__xludf.DUMMYFUNCTION("""COMPUTED_VALUE"""),"大江生醫職工福利委員會")</f>
        <v>大江生醫職工福利委員會</v>
      </c>
    </row>
    <row r="1099" spans="1:5" ht="15" customHeight="1">
      <c r="A1099" s="121"/>
      <c r="C1099" t="str">
        <f ca="1">IFERROR(__xludf.DUMMYFUNCTION("""COMPUTED_VALUE"""),"AB001455")</f>
        <v>AB001455</v>
      </c>
      <c r="D1099" s="214">
        <f ca="1">IFERROR(__xludf.DUMMYFUNCTION("""COMPUTED_VALUE"""),476.25)</f>
        <v>476.25</v>
      </c>
      <c r="E1099" t="str">
        <f ca="1">IFERROR(__xludf.DUMMYFUNCTION("""COMPUTED_VALUE"""),"大江生醫職工福利委員會")</f>
        <v>大江生醫職工福利委員會</v>
      </c>
    </row>
    <row r="1100" spans="1:5" ht="15" customHeight="1">
      <c r="A1100" s="121"/>
      <c r="C1100" t="str">
        <f ca="1">IFERROR(__xludf.DUMMYFUNCTION("""COMPUTED_VALUE"""),"AB001455")</f>
        <v>AB001455</v>
      </c>
      <c r="D1100" s="214">
        <f ca="1">IFERROR(__xludf.DUMMYFUNCTION("""COMPUTED_VALUE"""),476.333333333333)</f>
        <v>476.33333333333297</v>
      </c>
      <c r="E1100" t="str">
        <f ca="1">IFERROR(__xludf.DUMMYFUNCTION("""COMPUTED_VALUE"""),"大江生醫職工福利委員會")</f>
        <v>大江生醫職工福利委員會</v>
      </c>
    </row>
    <row r="1101" spans="1:5" ht="15" customHeight="1">
      <c r="A1101" s="121"/>
      <c r="C1101" t="str">
        <f ca="1">IFERROR(__xludf.DUMMYFUNCTION("""COMPUTED_VALUE"""),"AB001455")</f>
        <v>AB001455</v>
      </c>
      <c r="D1101" s="214">
        <f ca="1">IFERROR(__xludf.DUMMYFUNCTION("""COMPUTED_VALUE"""),342.9)</f>
        <v>342.9</v>
      </c>
      <c r="E1101" t="str">
        <f ca="1">IFERROR(__xludf.DUMMYFUNCTION("""COMPUTED_VALUE"""),"大江生醫職工福利委員會")</f>
        <v>大江生醫職工福利委員會</v>
      </c>
    </row>
    <row r="1102" spans="1:5" ht="15" customHeight="1">
      <c r="A1102" s="121"/>
      <c r="C1102" t="str">
        <f ca="1">IFERROR(__xludf.DUMMYFUNCTION("""COMPUTED_VALUE"""),"AB001455")</f>
        <v>AB001455</v>
      </c>
      <c r="D1102" s="214">
        <f ca="1">IFERROR(__xludf.DUMMYFUNCTION("""COMPUTED_VALUE"""),104.7)</f>
        <v>104.7</v>
      </c>
      <c r="E1102" t="str">
        <f ca="1">IFERROR(__xludf.DUMMYFUNCTION("""COMPUTED_VALUE"""),"大江生醫職工福利委員會")</f>
        <v>大江生醫職工福利委員會</v>
      </c>
    </row>
    <row r="1103" spans="1:5" ht="15" customHeight="1">
      <c r="A1103" s="121"/>
      <c r="C1103" t="str">
        <f ca="1">IFERROR(__xludf.DUMMYFUNCTION("""COMPUTED_VALUE"""),"AB001455")</f>
        <v>AB001455</v>
      </c>
      <c r="D1103" s="214">
        <f ca="1">IFERROR(__xludf.DUMMYFUNCTION("""COMPUTED_VALUE"""),142.861111111111)</f>
        <v>142.861111111111</v>
      </c>
      <c r="E1103" t="str">
        <f ca="1">IFERROR(__xludf.DUMMYFUNCTION("""COMPUTED_VALUE"""),"大江生醫職工福利委員會")</f>
        <v>大江生醫職工福利委員會</v>
      </c>
    </row>
    <row r="1104" spans="1:5" ht="15" customHeight="1">
      <c r="A1104" s="121"/>
      <c r="C1104" t="str">
        <f ca="1">IFERROR(__xludf.DUMMYFUNCTION("""COMPUTED_VALUE"""),"AB001455")</f>
        <v>AB001455</v>
      </c>
      <c r="D1104" s="214">
        <f ca="1">IFERROR(__xludf.DUMMYFUNCTION("""COMPUTED_VALUE"""),190.4)</f>
        <v>190.4</v>
      </c>
      <c r="E1104" t="str">
        <f ca="1">IFERROR(__xludf.DUMMYFUNCTION("""COMPUTED_VALUE"""),"大江生醫職工福利委員會")</f>
        <v>大江生醫職工福利委員會</v>
      </c>
    </row>
    <row r="1105" spans="1:5" ht="15" customHeight="1">
      <c r="A1105" s="121"/>
      <c r="C1105" t="str">
        <f ca="1">IFERROR(__xludf.DUMMYFUNCTION("""COMPUTED_VALUE"""),"AB001455")</f>
        <v>AB001455</v>
      </c>
      <c r="D1105" s="214">
        <f ca="1">IFERROR(__xludf.DUMMYFUNCTION("""COMPUTED_VALUE"""),47.6333333333333)</f>
        <v>47.633333333333297</v>
      </c>
      <c r="E1105" t="str">
        <f ca="1">IFERROR(__xludf.DUMMYFUNCTION("""COMPUTED_VALUE"""),"大江生醫職工福利委員會")</f>
        <v>大江生醫職工福利委員會</v>
      </c>
    </row>
    <row r="1106" spans="1:5" ht="15" customHeight="1">
      <c r="A1106" s="121"/>
      <c r="C1106" t="str">
        <f ca="1">IFERROR(__xludf.DUMMYFUNCTION("""COMPUTED_VALUE"""),"AB001455")</f>
        <v>AB001455</v>
      </c>
      <c r="D1106" s="214">
        <f ca="1">IFERROR(__xludf.DUMMYFUNCTION("""COMPUTED_VALUE"""),171.5)</f>
        <v>171.5</v>
      </c>
      <c r="E1106" t="str">
        <f ca="1">IFERROR(__xludf.DUMMYFUNCTION("""COMPUTED_VALUE"""),"大江生醫職工福利委員會")</f>
        <v>大江生醫職工福利委員會</v>
      </c>
    </row>
    <row r="1107" spans="1:5" ht="15" customHeight="1">
      <c r="A1107" s="121"/>
      <c r="C1107" t="str">
        <f ca="1">IFERROR(__xludf.DUMMYFUNCTION("""COMPUTED_VALUE"""),"AB001455")</f>
        <v>AB001455</v>
      </c>
      <c r="D1107" s="214">
        <f ca="1">IFERROR(__xludf.DUMMYFUNCTION("""COMPUTED_VALUE"""),171.414634146341)</f>
        <v>171.414634146341</v>
      </c>
      <c r="E1107" t="str">
        <f ca="1">IFERROR(__xludf.DUMMYFUNCTION("""COMPUTED_VALUE"""),"大江生醫職工福利委員會")</f>
        <v>大江生醫職工福利委員會</v>
      </c>
    </row>
    <row r="1108" spans="1:5" ht="15" customHeight="1">
      <c r="A1108" s="121"/>
      <c r="C1108" t="str">
        <f ca="1">IFERROR(__xludf.DUMMYFUNCTION("""COMPUTED_VALUE"""),"AB001456")</f>
        <v>AB001456</v>
      </c>
      <c r="D1108" s="214">
        <f ca="1">IFERROR(__xludf.DUMMYFUNCTION("""COMPUTED_VALUE"""),57.1538461538461)</f>
        <v>57.153846153846096</v>
      </c>
      <c r="E1108" t="str">
        <f ca="1">IFERROR(__xludf.DUMMYFUNCTION("""COMPUTED_VALUE"""),"大江生醫職工福利委員會")</f>
        <v>大江生醫職工福利委員會</v>
      </c>
    </row>
    <row r="1109" spans="1:5" ht="15" customHeight="1">
      <c r="A1109" s="121"/>
      <c r="C1109" t="str">
        <f ca="1">IFERROR(__xludf.DUMMYFUNCTION("""COMPUTED_VALUE"""),"AB001456")</f>
        <v>AB001456</v>
      </c>
      <c r="D1109" t="str">
        <f ca="1">IFERROR(__xludf.DUMMYFUNCTION("""COMPUTED_VALUE"""),"")</f>
        <v/>
      </c>
      <c r="E1109" t="str">
        <f ca="1">IFERROR(__xludf.DUMMYFUNCTION("""COMPUTED_VALUE"""),"大江生醫職工福利委員會")</f>
        <v>大江生醫職工福利委員會</v>
      </c>
    </row>
    <row r="1110" spans="1:5" ht="15" customHeight="1">
      <c r="A1110" s="121"/>
      <c r="C1110" t="str">
        <f ca="1">IFERROR(__xludf.DUMMYFUNCTION("""COMPUTED_VALUE"""),"AB001456")</f>
        <v>AB001456</v>
      </c>
      <c r="D1110" t="str">
        <f ca="1">IFERROR(__xludf.DUMMYFUNCTION("""COMPUTED_VALUE"""),"")</f>
        <v/>
      </c>
      <c r="E1110" t="str">
        <f ca="1">IFERROR(__xludf.DUMMYFUNCTION("""COMPUTED_VALUE"""),"大江生醫職工福利委員會")</f>
        <v>大江生醫職工福利委員會</v>
      </c>
    </row>
    <row r="1111" spans="1:5" ht="15" customHeight="1">
      <c r="A1111" s="121"/>
      <c r="C1111" t="str">
        <f ca="1">IFERROR(__xludf.DUMMYFUNCTION("""COMPUTED_VALUE"""),"AB001456")</f>
        <v>AB001456</v>
      </c>
      <c r="D1111" t="str">
        <f ca="1">IFERROR(__xludf.DUMMYFUNCTION("""COMPUTED_VALUE"""),"")</f>
        <v/>
      </c>
      <c r="E1111" t="str">
        <f ca="1">IFERROR(__xludf.DUMMYFUNCTION("""COMPUTED_VALUE"""),"大江生醫職工福利委員會")</f>
        <v>大江生醫職工福利委員會</v>
      </c>
    </row>
    <row r="1112" spans="1:5" ht="15" customHeight="1">
      <c r="A1112" s="121"/>
      <c r="C1112" t="str">
        <f ca="1">IFERROR(__xludf.DUMMYFUNCTION("""COMPUTED_VALUE"""),"AB001456")</f>
        <v>AB001456</v>
      </c>
      <c r="D1112" t="str">
        <f ca="1">IFERROR(__xludf.DUMMYFUNCTION("""COMPUTED_VALUE"""),"")</f>
        <v/>
      </c>
      <c r="E1112" t="str">
        <f ca="1">IFERROR(__xludf.DUMMYFUNCTION("""COMPUTED_VALUE"""),"大江生醫職工福利委員會")</f>
        <v>大江生醫職工福利委員會</v>
      </c>
    </row>
    <row r="1113" spans="1:5" ht="15" customHeight="1">
      <c r="A1113" s="121"/>
      <c r="C1113" t="str">
        <f ca="1">IFERROR(__xludf.DUMMYFUNCTION("""COMPUTED_VALUE"""),"AB001456")</f>
        <v>AB001456</v>
      </c>
      <c r="D1113" t="str">
        <f ca="1">IFERROR(__xludf.DUMMYFUNCTION("""COMPUTED_VALUE"""),"")</f>
        <v/>
      </c>
      <c r="E1113" t="str">
        <f ca="1">IFERROR(__xludf.DUMMYFUNCTION("""COMPUTED_VALUE"""),"大江生醫職工福利委員會")</f>
        <v>大江生醫職工福利委員會</v>
      </c>
    </row>
    <row r="1114" spans="1:5" ht="15" customHeight="1">
      <c r="A1114" s="121"/>
      <c r="C1114" t="str">
        <f ca="1">IFERROR(__xludf.DUMMYFUNCTION("""COMPUTED_VALUE"""),"AB001456")</f>
        <v>AB001456</v>
      </c>
      <c r="D1114" t="str">
        <f ca="1">IFERROR(__xludf.DUMMYFUNCTION("""COMPUTED_VALUE"""),"")</f>
        <v/>
      </c>
      <c r="E1114" t="str">
        <f ca="1">IFERROR(__xludf.DUMMYFUNCTION("""COMPUTED_VALUE"""),"大江生醫職工福利委員會")</f>
        <v>大江生醫職工福利委員會</v>
      </c>
    </row>
    <row r="1115" spans="1:5" ht="15" customHeight="1">
      <c r="A1115" s="121"/>
      <c r="C1115" t="str">
        <f ca="1">IFERROR(__xludf.DUMMYFUNCTION("""COMPUTED_VALUE"""),"AB001456")</f>
        <v>AB001456</v>
      </c>
      <c r="D1115" t="str">
        <f ca="1">IFERROR(__xludf.DUMMYFUNCTION("""COMPUTED_VALUE"""),"")</f>
        <v/>
      </c>
      <c r="E1115" t="str">
        <f ca="1">IFERROR(__xludf.DUMMYFUNCTION("""COMPUTED_VALUE"""),"大江生醫職工福利委員會")</f>
        <v>大江生醫職工福利委員會</v>
      </c>
    </row>
    <row r="1116" spans="1:5" ht="15" customHeight="1">
      <c r="A1116" s="121"/>
      <c r="C1116" t="str">
        <f ca="1">IFERROR(__xludf.DUMMYFUNCTION("""COMPUTED_VALUE"""),"AB001456")</f>
        <v>AB001456</v>
      </c>
      <c r="D1116" t="str">
        <f ca="1">IFERROR(__xludf.DUMMYFUNCTION("""COMPUTED_VALUE"""),"")</f>
        <v/>
      </c>
      <c r="E1116" t="str">
        <f ca="1">IFERROR(__xludf.DUMMYFUNCTION("""COMPUTED_VALUE"""),"大江生醫職工福利委員會")</f>
        <v>大江生醫職工福利委員會</v>
      </c>
    </row>
    <row r="1117" spans="1:5" ht="15" customHeight="1">
      <c r="A1117" s="121"/>
      <c r="C1117" t="str">
        <f ca="1">IFERROR(__xludf.DUMMYFUNCTION("""COMPUTED_VALUE"""),"AB001456")</f>
        <v>AB001456</v>
      </c>
      <c r="D1117" t="str">
        <f ca="1">IFERROR(__xludf.DUMMYFUNCTION("""COMPUTED_VALUE"""),"")</f>
        <v/>
      </c>
      <c r="E1117" t="str">
        <f ca="1">IFERROR(__xludf.DUMMYFUNCTION("""COMPUTED_VALUE"""),"大江生醫職工福利委員會")</f>
        <v>大江生醫職工福利委員會</v>
      </c>
    </row>
    <row r="1118" spans="1:5" ht="15" customHeight="1">
      <c r="A1118" s="121"/>
      <c r="C1118" t="str">
        <f ca="1">IFERROR(__xludf.DUMMYFUNCTION("""COMPUTED_VALUE"""),"AB001456")</f>
        <v>AB001456</v>
      </c>
      <c r="D1118" t="str">
        <f ca="1">IFERROR(__xludf.DUMMYFUNCTION("""COMPUTED_VALUE"""),"")</f>
        <v/>
      </c>
      <c r="E1118" t="str">
        <f ca="1">IFERROR(__xludf.DUMMYFUNCTION("""COMPUTED_VALUE"""),"大江生醫職工福利委員會")</f>
        <v>大江生醫職工福利委員會</v>
      </c>
    </row>
    <row r="1119" spans="1:5" ht="15" customHeight="1">
      <c r="A1119" s="121"/>
      <c r="C1119" t="str">
        <f ca="1">IFERROR(__xludf.DUMMYFUNCTION("""COMPUTED_VALUE"""),"AB001456")</f>
        <v>AB001456</v>
      </c>
      <c r="D1119" t="str">
        <f ca="1">IFERROR(__xludf.DUMMYFUNCTION("""COMPUTED_VALUE"""),"")</f>
        <v/>
      </c>
      <c r="E1119" t="str">
        <f ca="1">IFERROR(__xludf.DUMMYFUNCTION("""COMPUTED_VALUE"""),"大江生醫職工福利委員會")</f>
        <v>大江生醫職工福利委員會</v>
      </c>
    </row>
    <row r="1120" spans="1:5" ht="15" customHeight="1">
      <c r="A1120" s="121"/>
      <c r="C1120" t="str">
        <f ca="1">IFERROR(__xludf.DUMMYFUNCTION("""COMPUTED_VALUE"""),"AB001456")</f>
        <v>AB001456</v>
      </c>
      <c r="D1120" t="str">
        <f ca="1">IFERROR(__xludf.DUMMYFUNCTION("""COMPUTED_VALUE"""),"")</f>
        <v/>
      </c>
      <c r="E1120" t="str">
        <f ca="1">IFERROR(__xludf.DUMMYFUNCTION("""COMPUTED_VALUE"""),"大江生醫職工福利委員會")</f>
        <v>大江生醫職工福利委員會</v>
      </c>
    </row>
    <row r="1121" spans="1:5" ht="15" customHeight="1">
      <c r="A1121" s="121"/>
      <c r="C1121" t="str">
        <f ca="1">IFERROR(__xludf.DUMMYFUNCTION("""COMPUTED_VALUE"""),"AB001456")</f>
        <v>AB001456</v>
      </c>
      <c r="D1121" t="str">
        <f ca="1">IFERROR(__xludf.DUMMYFUNCTION("""COMPUTED_VALUE"""),"")</f>
        <v/>
      </c>
      <c r="E1121" t="str">
        <f ca="1">IFERROR(__xludf.DUMMYFUNCTION("""COMPUTED_VALUE"""),"大江生醫職工福利委員會")</f>
        <v>大江生醫職工福利委員會</v>
      </c>
    </row>
    <row r="1122" spans="1:5" ht="15" customHeight="1">
      <c r="A1122" s="121"/>
      <c r="C1122" t="str">
        <f ca="1">IFERROR(__xludf.DUMMYFUNCTION("""COMPUTED_VALUE"""),"AB001456")</f>
        <v>AB001456</v>
      </c>
      <c r="D1122" t="str">
        <f ca="1">IFERROR(__xludf.DUMMYFUNCTION("""COMPUTED_VALUE"""),"")</f>
        <v/>
      </c>
      <c r="E1122" t="str">
        <f ca="1">IFERROR(__xludf.DUMMYFUNCTION("""COMPUTED_VALUE"""),"大江生醫職工福利委員會")</f>
        <v>大江生醫職工福利委員會</v>
      </c>
    </row>
    <row r="1123" spans="1:5" ht="15" customHeight="1">
      <c r="A1123" s="121"/>
      <c r="C1123" t="str">
        <f ca="1">IFERROR(__xludf.DUMMYFUNCTION("""COMPUTED_VALUE"""),"AB001456")</f>
        <v>AB001456</v>
      </c>
      <c r="D1123" t="str">
        <f ca="1">IFERROR(__xludf.DUMMYFUNCTION("""COMPUTED_VALUE"""),"")</f>
        <v/>
      </c>
      <c r="E1123" t="str">
        <f ca="1">IFERROR(__xludf.DUMMYFUNCTION("""COMPUTED_VALUE"""),"大江生醫職工福利委員會")</f>
        <v>大江生醫職工福利委員會</v>
      </c>
    </row>
    <row r="1124" spans="1:5" ht="15" customHeight="1">
      <c r="A1124" s="121"/>
      <c r="C1124" t="str">
        <f ca="1">IFERROR(__xludf.DUMMYFUNCTION("""COMPUTED_VALUE"""),"AB001457")</f>
        <v>AB001457</v>
      </c>
      <c r="D1124" t="str">
        <f ca="1">IFERROR(__xludf.DUMMYFUNCTION("""COMPUTED_VALUE"""),"")</f>
        <v/>
      </c>
      <c r="E1124" t="str">
        <f ca="1">IFERROR(__xludf.DUMMYFUNCTION("""COMPUTED_VALUE"""),"大江基因")</f>
        <v>大江基因</v>
      </c>
    </row>
    <row r="1125" spans="1:5" ht="15" customHeight="1">
      <c r="A1125" s="121"/>
      <c r="C1125" t="str">
        <f ca="1">IFERROR(__xludf.DUMMYFUNCTION("""COMPUTED_VALUE"""),"AB001457")</f>
        <v>AB001457</v>
      </c>
      <c r="D1125" t="str">
        <f ca="1">IFERROR(__xludf.DUMMYFUNCTION("""COMPUTED_VALUE"""),"")</f>
        <v/>
      </c>
      <c r="E1125" t="str">
        <f ca="1">IFERROR(__xludf.DUMMYFUNCTION("""COMPUTED_VALUE"""),"大江基因")</f>
        <v>大江基因</v>
      </c>
    </row>
    <row r="1126" spans="1:5" ht="15" customHeight="1">
      <c r="A1126" s="121"/>
      <c r="C1126" t="str">
        <f ca="1">IFERROR(__xludf.DUMMYFUNCTION("""COMPUTED_VALUE"""),"AB001457")</f>
        <v>AB001457</v>
      </c>
      <c r="D1126" t="str">
        <f ca="1">IFERROR(__xludf.DUMMYFUNCTION("""COMPUTED_VALUE"""),"")</f>
        <v/>
      </c>
      <c r="E1126" t="str">
        <f ca="1">IFERROR(__xludf.DUMMYFUNCTION("""COMPUTED_VALUE"""),"大江基因")</f>
        <v>大江基因</v>
      </c>
    </row>
    <row r="1127" spans="1:5" ht="15" customHeight="1">
      <c r="A1127" s="121"/>
      <c r="C1127" t="str">
        <f ca="1">IFERROR(__xludf.DUMMYFUNCTION("""COMPUTED_VALUE"""),"AB001457")</f>
        <v>AB001457</v>
      </c>
      <c r="D1127" t="str">
        <f ca="1">IFERROR(__xludf.DUMMYFUNCTION("""COMPUTED_VALUE"""),"")</f>
        <v/>
      </c>
      <c r="E1127" t="str">
        <f ca="1">IFERROR(__xludf.DUMMYFUNCTION("""COMPUTED_VALUE"""),"大江基因")</f>
        <v>大江基因</v>
      </c>
    </row>
    <row r="1128" spans="1:5" ht="15" customHeight="1">
      <c r="A1128" s="121"/>
      <c r="C1128" t="str">
        <f ca="1">IFERROR(__xludf.DUMMYFUNCTION("""COMPUTED_VALUE"""),"AB001457")</f>
        <v>AB001457</v>
      </c>
      <c r="D1128" t="str">
        <f ca="1">IFERROR(__xludf.DUMMYFUNCTION("""COMPUTED_VALUE"""),"")</f>
        <v/>
      </c>
      <c r="E1128" t="str">
        <f ca="1">IFERROR(__xludf.DUMMYFUNCTION("""COMPUTED_VALUE"""),"大江基因")</f>
        <v>大江基因</v>
      </c>
    </row>
    <row r="1129" spans="1:5" ht="15" customHeight="1">
      <c r="A1129" s="121"/>
      <c r="C1129" t="str">
        <f ca="1">IFERROR(__xludf.DUMMYFUNCTION("""COMPUTED_VALUE"""),"AB001457")</f>
        <v>AB001457</v>
      </c>
      <c r="D1129" t="str">
        <f ca="1">IFERROR(__xludf.DUMMYFUNCTION("""COMPUTED_VALUE"""),"")</f>
        <v/>
      </c>
      <c r="E1129" t="str">
        <f ca="1">IFERROR(__xludf.DUMMYFUNCTION("""COMPUTED_VALUE"""),"大江基因")</f>
        <v>大江基因</v>
      </c>
    </row>
    <row r="1130" spans="1:5" ht="15" customHeight="1">
      <c r="A1130" s="121"/>
      <c r="C1130" t="str">
        <f ca="1">IFERROR(__xludf.DUMMYFUNCTION("""COMPUTED_VALUE"""),"AB001457")</f>
        <v>AB001457</v>
      </c>
      <c r="D1130" t="str">
        <f ca="1">IFERROR(__xludf.DUMMYFUNCTION("""COMPUTED_VALUE"""),"")</f>
        <v/>
      </c>
      <c r="E1130" t="str">
        <f ca="1">IFERROR(__xludf.DUMMYFUNCTION("""COMPUTED_VALUE"""),"大江基因")</f>
        <v>大江基因</v>
      </c>
    </row>
    <row r="1131" spans="1:5" ht="15" customHeight="1">
      <c r="A1131" s="121"/>
      <c r="C1131" t="str">
        <f ca="1">IFERROR(__xludf.DUMMYFUNCTION("""COMPUTED_VALUE"""),"AB001457")</f>
        <v>AB001457</v>
      </c>
      <c r="D1131" t="str">
        <f ca="1">IFERROR(__xludf.DUMMYFUNCTION("""COMPUTED_VALUE"""),"")</f>
        <v/>
      </c>
      <c r="E1131" t="str">
        <f ca="1">IFERROR(__xludf.DUMMYFUNCTION("""COMPUTED_VALUE"""),"大江基因")</f>
        <v>大江基因</v>
      </c>
    </row>
    <row r="1132" spans="1:5" ht="15" customHeight="1">
      <c r="A1132" s="121"/>
      <c r="C1132" t="str">
        <f ca="1">IFERROR(__xludf.DUMMYFUNCTION("""COMPUTED_VALUE"""),"AB001457")</f>
        <v>AB001457</v>
      </c>
      <c r="D1132" t="str">
        <f ca="1">IFERROR(__xludf.DUMMYFUNCTION("""COMPUTED_VALUE"""),"")</f>
        <v/>
      </c>
      <c r="E1132" t="str">
        <f ca="1">IFERROR(__xludf.DUMMYFUNCTION("""COMPUTED_VALUE"""),"大江基因")</f>
        <v>大江基因</v>
      </c>
    </row>
    <row r="1133" spans="1:5" ht="15" customHeight="1">
      <c r="A1133" s="121"/>
      <c r="C1133" t="str">
        <f ca="1">IFERROR(__xludf.DUMMYFUNCTION("""COMPUTED_VALUE"""),"AB001457")</f>
        <v>AB001457</v>
      </c>
      <c r="D1133" t="str">
        <f ca="1">IFERROR(__xludf.DUMMYFUNCTION("""COMPUTED_VALUE"""),"")</f>
        <v/>
      </c>
      <c r="E1133" t="str">
        <f ca="1">IFERROR(__xludf.DUMMYFUNCTION("""COMPUTED_VALUE"""),"大江基因")</f>
        <v>大江基因</v>
      </c>
    </row>
    <row r="1134" spans="1:5" ht="15" customHeight="1">
      <c r="A1134" s="121"/>
      <c r="C1134" t="str">
        <f ca="1">IFERROR(__xludf.DUMMYFUNCTION("""COMPUTED_VALUE"""),"AB001457")</f>
        <v>AB001457</v>
      </c>
      <c r="D1134" t="str">
        <f ca="1">IFERROR(__xludf.DUMMYFUNCTION("""COMPUTED_VALUE"""),"")</f>
        <v/>
      </c>
      <c r="E1134" t="str">
        <f ca="1">IFERROR(__xludf.DUMMYFUNCTION("""COMPUTED_VALUE"""),"大江基因")</f>
        <v>大江基因</v>
      </c>
    </row>
    <row r="1135" spans="1:5" ht="15" customHeight="1">
      <c r="A1135" s="121"/>
      <c r="C1135" t="str">
        <f ca="1">IFERROR(__xludf.DUMMYFUNCTION("""COMPUTED_VALUE"""),"AB001457")</f>
        <v>AB001457</v>
      </c>
      <c r="D1135" t="str">
        <f ca="1">IFERROR(__xludf.DUMMYFUNCTION("""COMPUTED_VALUE"""),"")</f>
        <v/>
      </c>
      <c r="E1135" t="str">
        <f ca="1">IFERROR(__xludf.DUMMYFUNCTION("""COMPUTED_VALUE"""),"大江基因")</f>
        <v>大江基因</v>
      </c>
    </row>
    <row r="1136" spans="1:5" ht="15" customHeight="1">
      <c r="A1136" s="121"/>
      <c r="C1136" t="str">
        <f ca="1">IFERROR(__xludf.DUMMYFUNCTION("""COMPUTED_VALUE"""),"AB001418")</f>
        <v>AB001418</v>
      </c>
      <c r="D1136" t="str">
        <f ca="1">IFERROR(__xludf.DUMMYFUNCTION("""COMPUTED_VALUE"""),"")</f>
        <v/>
      </c>
      <c r="E1136" t="str">
        <f ca="1">IFERROR(__xludf.DUMMYFUNCTION("""COMPUTED_VALUE"""),"持盈企業有限公司")</f>
        <v>持盈企業有限公司</v>
      </c>
    </row>
    <row r="1137" spans="1:5" ht="15" customHeight="1">
      <c r="A1137" s="121"/>
      <c r="C1137" t="str">
        <f ca="1">IFERROR(__xludf.DUMMYFUNCTION("""COMPUTED_VALUE"""),"AB001419")</f>
        <v>AB001419</v>
      </c>
      <c r="D1137" t="str">
        <f ca="1">IFERROR(__xludf.DUMMYFUNCTION("""COMPUTED_VALUE"""),"")</f>
        <v/>
      </c>
      <c r="E1137" t="str">
        <f ca="1">IFERROR(__xludf.DUMMYFUNCTION("""COMPUTED_VALUE"""),"陳美慧")</f>
        <v>陳美慧</v>
      </c>
    </row>
    <row r="1138" spans="1:5" ht="15" customHeight="1">
      <c r="A1138" s="121"/>
      <c r="C1138" t="str">
        <f ca="1">IFERROR(__xludf.DUMMYFUNCTION("""COMPUTED_VALUE"""),"AB001470")</f>
        <v>AB001470</v>
      </c>
      <c r="D1138" t="str">
        <f ca="1">IFERROR(__xludf.DUMMYFUNCTION("""COMPUTED_VALUE"""),"")</f>
        <v/>
      </c>
      <c r="E1138" t="str">
        <f ca="1">IFERROR(__xludf.DUMMYFUNCTION("""COMPUTED_VALUE"""),"福爾摩沙醫院管理顧問有限公司")</f>
        <v>福爾摩沙醫院管理顧問有限公司</v>
      </c>
    </row>
    <row r="1139" spans="1:5" ht="15" customHeight="1">
      <c r="A1139" s="121"/>
      <c r="C1139" t="str">
        <f ca="1">IFERROR(__xludf.DUMMYFUNCTION("""COMPUTED_VALUE"""),"AB001469")</f>
        <v>AB001469</v>
      </c>
      <c r="D1139" t="str">
        <f ca="1">IFERROR(__xludf.DUMMYFUNCTION("""COMPUTED_VALUE"""),"")</f>
        <v/>
      </c>
      <c r="E1139" t="str">
        <f ca="1">IFERROR(__xludf.DUMMYFUNCTION("""COMPUTED_VALUE"""),"黃一芳")</f>
        <v>黃一芳</v>
      </c>
    </row>
    <row r="1140" spans="1:5" ht="15" customHeight="1">
      <c r="A1140" s="121"/>
      <c r="C1140" t="str">
        <f ca="1">IFERROR(__xludf.DUMMYFUNCTION("""COMPUTED_VALUE"""),"AB001471")</f>
        <v>AB001471</v>
      </c>
      <c r="D1140" t="str">
        <f ca="1">IFERROR(__xludf.DUMMYFUNCTION("""COMPUTED_VALUE"""),"")</f>
        <v/>
      </c>
      <c r="E1140" t="str">
        <f ca="1">IFERROR(__xludf.DUMMYFUNCTION("""COMPUTED_VALUE"""),"王玉玲")</f>
        <v>王玉玲</v>
      </c>
    </row>
    <row r="1141" spans="1:5" ht="15" customHeight="1">
      <c r="A1141" s="121"/>
      <c r="C1141" t="str">
        <f ca="1">IFERROR(__xludf.DUMMYFUNCTION("""COMPUTED_VALUE"""),"AB001472")</f>
        <v>AB001472</v>
      </c>
      <c r="D1141" t="str">
        <f ca="1">IFERROR(__xludf.DUMMYFUNCTION("""COMPUTED_VALUE"""),"")</f>
        <v/>
      </c>
      <c r="E1141" t="str">
        <f ca="1">IFERROR(__xludf.DUMMYFUNCTION("""COMPUTED_VALUE"""),"吳家德")</f>
        <v>吳家德</v>
      </c>
    </row>
    <row r="1142" spans="1:5" ht="15" customHeight="1">
      <c r="A1142" s="121"/>
      <c r="C1142" t="str">
        <f ca="1">IFERROR(__xludf.DUMMYFUNCTION("""COMPUTED_VALUE"""),"AB001420")</f>
        <v>AB001420</v>
      </c>
      <c r="D1142" t="str">
        <f ca="1">IFERROR(__xludf.DUMMYFUNCTION("""COMPUTED_VALUE"""),"")</f>
        <v/>
      </c>
      <c r="E1142" t="str">
        <f ca="1">IFERROR(__xludf.DUMMYFUNCTION("""COMPUTED_VALUE"""),"林秀娟")</f>
        <v>林秀娟</v>
      </c>
    </row>
    <row r="1143" spans="1:5" ht="15" customHeight="1">
      <c r="A1143" s="121"/>
      <c r="C1143" t="str">
        <f ca="1">IFERROR(__xludf.DUMMYFUNCTION("""COMPUTED_VALUE"""),"AB001421")</f>
        <v>AB001421</v>
      </c>
      <c r="D1143" t="str">
        <f ca="1">IFERROR(__xludf.DUMMYFUNCTION("""COMPUTED_VALUE"""),"")</f>
        <v/>
      </c>
      <c r="E1143" t="str">
        <f ca="1">IFERROR(__xludf.DUMMYFUNCTION("""COMPUTED_VALUE"""),"黃苡瑄")</f>
        <v>黃苡瑄</v>
      </c>
    </row>
    <row r="1144" spans="1:5" ht="15" customHeight="1">
      <c r="A1144" s="121"/>
      <c r="C1144" t="str">
        <f ca="1">IFERROR(__xludf.DUMMYFUNCTION("""COMPUTED_VALUE"""),"AB001474")</f>
        <v>AB001474</v>
      </c>
      <c r="D1144" t="str">
        <f ca="1">IFERROR(__xludf.DUMMYFUNCTION("""COMPUTED_VALUE"""),"")</f>
        <v/>
      </c>
      <c r="E1144" t="str">
        <f ca="1">IFERROR(__xludf.DUMMYFUNCTION("""COMPUTED_VALUE"""),"陳羚嫻")</f>
        <v>陳羚嫻</v>
      </c>
    </row>
    <row r="1145" spans="1:5" ht="15" customHeight="1">
      <c r="A1145" s="121"/>
      <c r="C1145" t="str">
        <f ca="1">IFERROR(__xludf.DUMMYFUNCTION("""COMPUTED_VALUE"""),"AB001475")</f>
        <v>AB001475</v>
      </c>
      <c r="D1145" t="str">
        <f ca="1">IFERROR(__xludf.DUMMYFUNCTION("""COMPUTED_VALUE"""),"")</f>
        <v/>
      </c>
      <c r="E1145" t="str">
        <f ca="1">IFERROR(__xludf.DUMMYFUNCTION("""COMPUTED_VALUE"""),"蔡清泉")</f>
        <v>蔡清泉</v>
      </c>
    </row>
    <row r="1146" spans="1:5" ht="15" customHeight="1">
      <c r="A1146" s="121"/>
      <c r="C1146" t="str">
        <f ca="1">IFERROR(__xludf.DUMMYFUNCTION("""COMPUTED_VALUE"""),"AB001475")</f>
        <v>AB001475</v>
      </c>
      <c r="D1146" t="str">
        <f ca="1">IFERROR(__xludf.DUMMYFUNCTION("""COMPUTED_VALUE"""),"")</f>
        <v/>
      </c>
      <c r="E1146" t="str">
        <f ca="1">IFERROR(__xludf.DUMMYFUNCTION("""COMPUTED_VALUE"""),"蔡清泉")</f>
        <v>蔡清泉</v>
      </c>
    </row>
    <row r="1147" spans="1:5" ht="15" customHeight="1">
      <c r="A1147" s="121"/>
      <c r="C1147" t="str">
        <f ca="1">IFERROR(__xludf.DUMMYFUNCTION("""COMPUTED_VALUE"""),"AB001473")</f>
        <v>AB001473</v>
      </c>
      <c r="D1147" t="str">
        <f ca="1">IFERROR(__xludf.DUMMYFUNCTION("""COMPUTED_VALUE"""),"")</f>
        <v/>
      </c>
      <c r="E1147" t="str">
        <f ca="1">IFERROR(__xludf.DUMMYFUNCTION("""COMPUTED_VALUE"""),"游雅婷")</f>
        <v>游雅婷</v>
      </c>
    </row>
    <row r="1148" spans="1:5" ht="15" customHeight="1">
      <c r="A1148" s="121"/>
      <c r="C1148" t="str">
        <f ca="1">IFERROR(__xludf.DUMMYFUNCTION("""COMPUTED_VALUE"""),"AB001478")</f>
        <v>AB001478</v>
      </c>
      <c r="D1148" t="str">
        <f ca="1">IFERROR(__xludf.DUMMYFUNCTION("""COMPUTED_VALUE"""),"")</f>
        <v/>
      </c>
      <c r="E1148" t="str">
        <f ca="1">IFERROR(__xludf.DUMMYFUNCTION("""COMPUTED_VALUE"""),"Remi")</f>
        <v>Remi</v>
      </c>
    </row>
    <row r="1149" spans="1:5" ht="15" customHeight="1">
      <c r="A1149" s="121"/>
      <c r="C1149" t="str">
        <f ca="1">IFERROR(__xludf.DUMMYFUNCTION("""COMPUTED_VALUE"""),"AB001477")</f>
        <v>AB001477</v>
      </c>
      <c r="D1149" t="str">
        <f ca="1">IFERROR(__xludf.DUMMYFUNCTION("""COMPUTED_VALUE"""),"")</f>
        <v/>
      </c>
      <c r="E1149" t="str">
        <f ca="1">IFERROR(__xludf.DUMMYFUNCTION("""COMPUTED_VALUE"""),"詹秀蓮")</f>
        <v>詹秀蓮</v>
      </c>
    </row>
    <row r="1150" spans="1:5" ht="15" customHeight="1">
      <c r="A1150" s="121"/>
      <c r="C1150" t="str">
        <f ca="1">IFERROR(__xludf.DUMMYFUNCTION("""COMPUTED_VALUE"""),"AB001477")</f>
        <v>AB001477</v>
      </c>
      <c r="D1150" t="str">
        <f ca="1">IFERROR(__xludf.DUMMYFUNCTION("""COMPUTED_VALUE"""),"")</f>
        <v/>
      </c>
      <c r="E1150" t="str">
        <f ca="1">IFERROR(__xludf.DUMMYFUNCTION("""COMPUTED_VALUE"""),"詹秀蓮")</f>
        <v>詹秀蓮</v>
      </c>
    </row>
    <row r="1151" spans="1:5" ht="15" customHeight="1">
      <c r="A1151" s="121"/>
      <c r="C1151" t="str">
        <f ca="1">IFERROR(__xludf.DUMMYFUNCTION("""COMPUTED_VALUE"""),"AB001422")</f>
        <v>AB001422</v>
      </c>
      <c r="D1151" t="str">
        <f ca="1">IFERROR(__xludf.DUMMYFUNCTION("""COMPUTED_VALUE"""),"")</f>
        <v/>
      </c>
      <c r="E1151" t="str">
        <f ca="1">IFERROR(__xludf.DUMMYFUNCTION("""COMPUTED_VALUE"""),"林宏儒")</f>
        <v>林宏儒</v>
      </c>
    </row>
    <row r="1152" spans="1:5" ht="15" customHeight="1">
      <c r="A1152" s="121"/>
      <c r="C1152" t="str">
        <f ca="1">IFERROR(__xludf.DUMMYFUNCTION("""COMPUTED_VALUE"""),"AB001422")</f>
        <v>AB001422</v>
      </c>
      <c r="D1152" t="str">
        <f ca="1">IFERROR(__xludf.DUMMYFUNCTION("""COMPUTED_VALUE"""),"")</f>
        <v/>
      </c>
      <c r="E1152" t="str">
        <f ca="1">IFERROR(__xludf.DUMMYFUNCTION("""COMPUTED_VALUE"""),"林宏儒")</f>
        <v>林宏儒</v>
      </c>
    </row>
    <row r="1153" spans="1:5" ht="15" customHeight="1">
      <c r="A1153" s="121"/>
      <c r="C1153" t="str">
        <f ca="1">IFERROR(__xludf.DUMMYFUNCTION("""COMPUTED_VALUE"""),"AB001384")</f>
        <v>AB001384</v>
      </c>
      <c r="D1153" t="str">
        <f ca="1">IFERROR(__xludf.DUMMYFUNCTION("""COMPUTED_VALUE"""),"")</f>
        <v/>
      </c>
      <c r="E1153" t="str">
        <f ca="1">IFERROR(__xludf.DUMMYFUNCTION("""COMPUTED_VALUE"""),"林正宗婦產科")</f>
        <v>林正宗婦產科</v>
      </c>
    </row>
    <row r="1154" spans="1:5" ht="15" customHeight="1">
      <c r="A1154" s="121"/>
      <c r="C1154" t="str">
        <f ca="1">IFERROR(__xludf.DUMMYFUNCTION("""COMPUTED_VALUE"""),"AB001480")</f>
        <v>AB001480</v>
      </c>
      <c r="D1154" t="str">
        <f ca="1">IFERROR(__xludf.DUMMYFUNCTION("""COMPUTED_VALUE"""),"")</f>
        <v/>
      </c>
      <c r="E1154" t="str">
        <f ca="1">IFERROR(__xludf.DUMMYFUNCTION("""COMPUTED_VALUE"""),"吉林醫事檢驗所")</f>
        <v>吉林醫事檢驗所</v>
      </c>
    </row>
    <row r="1155" spans="1:5" ht="15" customHeight="1">
      <c r="A1155" s="121"/>
      <c r="C1155" t="str">
        <f ca="1">IFERROR(__xludf.DUMMYFUNCTION("""COMPUTED_VALUE"""),"AB001479")</f>
        <v>AB001479</v>
      </c>
      <c r="D1155" t="str">
        <f ca="1">IFERROR(__xludf.DUMMYFUNCTION("""COMPUTED_VALUE"""),"")</f>
        <v/>
      </c>
      <c r="E1155" t="str">
        <f ca="1">IFERROR(__xludf.DUMMYFUNCTION("""COMPUTED_VALUE"""),"林宏儒")</f>
        <v>林宏儒</v>
      </c>
    </row>
    <row r="1156" spans="1:5" ht="15" customHeight="1">
      <c r="A1156" s="121"/>
      <c r="C1156" t="str">
        <f ca="1">IFERROR(__xludf.DUMMYFUNCTION("""COMPUTED_VALUE"""),"AB001479")</f>
        <v>AB001479</v>
      </c>
      <c r="D1156" t="str">
        <f ca="1">IFERROR(__xludf.DUMMYFUNCTION("""COMPUTED_VALUE"""),"")</f>
        <v/>
      </c>
      <c r="E1156" t="str">
        <f ca="1">IFERROR(__xludf.DUMMYFUNCTION("""COMPUTED_VALUE"""),"林宏儒")</f>
        <v>林宏儒</v>
      </c>
    </row>
    <row r="1157" spans="1:5" ht="15" customHeight="1">
      <c r="A1157" s="121"/>
      <c r="C1157" t="str">
        <f ca="1">IFERROR(__xludf.DUMMYFUNCTION("""COMPUTED_VALUE"""),"AB001481")</f>
        <v>AB001481</v>
      </c>
      <c r="D1157" t="str">
        <f ca="1">IFERROR(__xludf.DUMMYFUNCTION("""COMPUTED_VALUE"""),"")</f>
        <v/>
      </c>
      <c r="E1157" t="str">
        <f ca="1">IFERROR(__xludf.DUMMYFUNCTION("""COMPUTED_VALUE"""),"林婕愉")</f>
        <v>林婕愉</v>
      </c>
    </row>
    <row r="1158" spans="1:5" ht="15" customHeight="1">
      <c r="A1158" s="121"/>
      <c r="C1158" t="str">
        <f ca="1">IFERROR(__xludf.DUMMYFUNCTION("""COMPUTED_VALUE"""),"AB001482")</f>
        <v>AB001482</v>
      </c>
      <c r="D1158" t="str">
        <f ca="1">IFERROR(__xludf.DUMMYFUNCTION("""COMPUTED_VALUE"""),"")</f>
        <v/>
      </c>
      <c r="E1158" t="str">
        <f ca="1">IFERROR(__xludf.DUMMYFUNCTION("""COMPUTED_VALUE"""),"江佩穎")</f>
        <v>江佩穎</v>
      </c>
    </row>
    <row r="1159" spans="1:5" ht="15" customHeight="1">
      <c r="A1159" s="121"/>
      <c r="C1159" t="str">
        <f ca="1">IFERROR(__xludf.DUMMYFUNCTION("""COMPUTED_VALUE"""),"AB001484")</f>
        <v>AB001484</v>
      </c>
      <c r="D1159" t="str">
        <f ca="1">IFERROR(__xludf.DUMMYFUNCTION("""COMPUTED_VALUE"""),"")</f>
        <v/>
      </c>
      <c r="E1159" t="str">
        <f ca="1">IFERROR(__xludf.DUMMYFUNCTION("""COMPUTED_VALUE"""),"朱茂廷")</f>
        <v>朱茂廷</v>
      </c>
    </row>
    <row r="1160" spans="1:5" ht="15" customHeight="1">
      <c r="A1160" s="121"/>
      <c r="C1160" t="str">
        <f ca="1">IFERROR(__xludf.DUMMYFUNCTION("""COMPUTED_VALUE"""),"AB001483")</f>
        <v>AB001483</v>
      </c>
      <c r="D1160" t="str">
        <f ca="1">IFERROR(__xludf.DUMMYFUNCTION("""COMPUTED_VALUE"""),"")</f>
        <v/>
      </c>
      <c r="E1160" t="str">
        <f ca="1">IFERROR(__xludf.DUMMYFUNCTION("""COMPUTED_VALUE"""),"陳泓達")</f>
        <v>陳泓達</v>
      </c>
    </row>
    <row r="1161" spans="1:5" ht="15" customHeight="1">
      <c r="A1161" s="121"/>
      <c r="C1161" t="str">
        <f ca="1">IFERROR(__xludf.DUMMYFUNCTION("""COMPUTED_VALUE"""),"AB001423")</f>
        <v>AB001423</v>
      </c>
      <c r="D1161" t="str">
        <f ca="1">IFERROR(__xludf.DUMMYFUNCTION("""COMPUTED_VALUE"""),"")</f>
        <v/>
      </c>
      <c r="E1161" t="str">
        <f ca="1">IFERROR(__xludf.DUMMYFUNCTION("""COMPUTED_VALUE"""),"李光威")</f>
        <v>李光威</v>
      </c>
    </row>
    <row r="1162" spans="1:5" ht="15" customHeight="1">
      <c r="A1162" s="121"/>
      <c r="C1162" t="str">
        <f ca="1">IFERROR(__xludf.DUMMYFUNCTION("""COMPUTED_VALUE"""),"AB001423")</f>
        <v>AB001423</v>
      </c>
      <c r="D1162" t="str">
        <f ca="1">IFERROR(__xludf.DUMMYFUNCTION("""COMPUTED_VALUE"""),"")</f>
        <v/>
      </c>
      <c r="E1162" t="str">
        <f ca="1">IFERROR(__xludf.DUMMYFUNCTION("""COMPUTED_VALUE"""),"李光威")</f>
        <v>李光威</v>
      </c>
    </row>
    <row r="1163" spans="1:5" ht="15" customHeight="1">
      <c r="A1163" s="121"/>
      <c r="C1163" t="str">
        <f ca="1">IFERROR(__xludf.DUMMYFUNCTION("""COMPUTED_VALUE"""),"AB001485")</f>
        <v>AB001485</v>
      </c>
      <c r="D1163" t="str">
        <f ca="1">IFERROR(__xludf.DUMMYFUNCTION("""COMPUTED_VALUE"""),"")</f>
        <v/>
      </c>
      <c r="E1163" t="str">
        <f ca="1">IFERROR(__xludf.DUMMYFUNCTION("""COMPUTED_VALUE"""),"楊麗觀")</f>
        <v>楊麗觀</v>
      </c>
    </row>
    <row r="1164" spans="1:5" ht="15" customHeight="1">
      <c r="A1164" s="121"/>
      <c r="C1164" t="str">
        <f ca="1">IFERROR(__xludf.DUMMYFUNCTION("""COMPUTED_VALUE"""),"AB001385")</f>
        <v>AB001385</v>
      </c>
      <c r="D1164" t="str">
        <f ca="1">IFERROR(__xludf.DUMMYFUNCTION("""COMPUTED_VALUE"""),"")</f>
        <v/>
      </c>
      <c r="E1164" t="str">
        <f ca="1">IFERROR(__xludf.DUMMYFUNCTION("""COMPUTED_VALUE"""),"林正宗婦產科")</f>
        <v>林正宗婦產科</v>
      </c>
    </row>
    <row r="1165" spans="1:5" ht="15" customHeight="1">
      <c r="A1165" s="121"/>
      <c r="C1165" t="str">
        <f ca="1">IFERROR(__xludf.DUMMYFUNCTION("""COMPUTED_VALUE""")," AB001424")</f>
        <v xml:space="preserve"> AB001424</v>
      </c>
      <c r="D1165" t="str">
        <f ca="1">IFERROR(__xludf.DUMMYFUNCTION("""COMPUTED_VALUE"""),"")</f>
        <v/>
      </c>
      <c r="E1165" t="str">
        <f ca="1">IFERROR(__xludf.DUMMYFUNCTION("""COMPUTED_VALUE"""),"林婕愉")</f>
        <v>林婕愉</v>
      </c>
    </row>
    <row r="1166" spans="1:5" ht="15" customHeight="1">
      <c r="A1166" s="121"/>
      <c r="C1166" t="str">
        <f ca="1">IFERROR(__xludf.DUMMYFUNCTION("""COMPUTED_VALUE"""),"AB001486")</f>
        <v>AB001486</v>
      </c>
      <c r="D1166" t="str">
        <f ca="1">IFERROR(__xludf.DUMMYFUNCTION("""COMPUTED_VALUE"""),"")</f>
        <v/>
      </c>
      <c r="E1166" t="str">
        <f ca="1">IFERROR(__xludf.DUMMYFUNCTION("""COMPUTED_VALUE"""),"陶明生")</f>
        <v>陶明生</v>
      </c>
    </row>
    <row r="1167" spans="1:5" ht="15" customHeight="1">
      <c r="A1167" s="121"/>
      <c r="C1167" t="str">
        <f ca="1">IFERROR(__xludf.DUMMYFUNCTION("""COMPUTED_VALUE"""),"AB001487")</f>
        <v>AB001487</v>
      </c>
      <c r="D1167" t="str">
        <f ca="1">IFERROR(__xludf.DUMMYFUNCTION("""COMPUTED_VALUE"""),"")</f>
        <v/>
      </c>
      <c r="E1167" t="str">
        <f ca="1">IFERROR(__xludf.DUMMYFUNCTION("""COMPUTED_VALUE"""),"黃礼明")</f>
        <v>黃礼明</v>
      </c>
    </row>
    <row r="1168" spans="1:5" ht="15" customHeight="1">
      <c r="A1168" s="121"/>
      <c r="C1168" t="str">
        <f ca="1">IFERROR(__xludf.DUMMYFUNCTION("""COMPUTED_VALUE"""),"AB001488")</f>
        <v>AB001488</v>
      </c>
      <c r="D1168" t="str">
        <f ca="1">IFERROR(__xludf.DUMMYFUNCTION("""COMPUTED_VALUE"""),"")</f>
        <v/>
      </c>
      <c r="E1168" t="str">
        <f ca="1">IFERROR(__xludf.DUMMYFUNCTION("""COMPUTED_VALUE"""),"呂水興")</f>
        <v>呂水興</v>
      </c>
    </row>
    <row r="1169" spans="1:5" ht="15" customHeight="1">
      <c r="A1169" s="121"/>
      <c r="C1169" t="str">
        <f ca="1">IFERROR(__xludf.DUMMYFUNCTION("""COMPUTED_VALUE"""),"AB001489")</f>
        <v>AB001489</v>
      </c>
      <c r="D1169" t="str">
        <f ca="1">IFERROR(__xludf.DUMMYFUNCTION("""COMPUTED_VALUE"""),"")</f>
        <v/>
      </c>
      <c r="E1169" t="str">
        <f ca="1">IFERROR(__xludf.DUMMYFUNCTION("""COMPUTED_VALUE"""),"陸艳")</f>
        <v>陸艳</v>
      </c>
    </row>
    <row r="1170" spans="1:5" ht="15" customHeight="1">
      <c r="A1170" s="121"/>
      <c r="C1170" t="str">
        <f ca="1">IFERROR(__xludf.DUMMYFUNCTION("""COMPUTED_VALUE"""),"AA001950")</f>
        <v>AA001950</v>
      </c>
      <c r="D1170" t="str">
        <f ca="1">IFERROR(__xludf.DUMMYFUNCTION("""COMPUTED_VALUE"""),"")</f>
        <v/>
      </c>
      <c r="E1170" t="str">
        <f ca="1">IFERROR(__xludf.DUMMYFUNCTION("""COMPUTED_VALUE"""),"大江基因醫學股份有限公司(員購)")</f>
        <v>大江基因醫學股份有限公司(員購)</v>
      </c>
    </row>
    <row r="1171" spans="1:5" ht="15" customHeight="1">
      <c r="A1171" s="121"/>
      <c r="C1171" t="str">
        <f ca="1">IFERROR(__xludf.DUMMYFUNCTION("""COMPUTED_VALUE"""),"AB001425")</f>
        <v>AB001425</v>
      </c>
      <c r="D1171" t="str">
        <f ca="1">IFERROR(__xludf.DUMMYFUNCTION("""COMPUTED_VALUE"""),"")</f>
        <v/>
      </c>
      <c r="E1171" t="str">
        <f ca="1">IFERROR(__xludf.DUMMYFUNCTION("""COMPUTED_VALUE"""),"林秀娟")</f>
        <v>林秀娟</v>
      </c>
    </row>
    <row r="1172" spans="1:5" ht="15" customHeight="1">
      <c r="A1172" s="121"/>
      <c r="C1172" t="str">
        <f ca="1">IFERROR(__xludf.DUMMYFUNCTION("""COMPUTED_VALUE"""),"AB001425")</f>
        <v>AB001425</v>
      </c>
      <c r="D1172" t="str">
        <f ca="1">IFERROR(__xludf.DUMMYFUNCTION("""COMPUTED_VALUE"""),"")</f>
        <v/>
      </c>
      <c r="E1172" t="str">
        <f ca="1">IFERROR(__xludf.DUMMYFUNCTION("""COMPUTED_VALUE"""),"林秀娟")</f>
        <v>林秀娟</v>
      </c>
    </row>
    <row r="1173" spans="1:5" ht="15" customHeight="1">
      <c r="A1173" s="121"/>
      <c r="C1173" t="str">
        <f ca="1">IFERROR(__xludf.DUMMYFUNCTION("""COMPUTED_VALUE"""),"AB001490")</f>
        <v>AB001490</v>
      </c>
      <c r="D1173" t="str">
        <f ca="1">IFERROR(__xludf.DUMMYFUNCTION("""COMPUTED_VALUE"""),"")</f>
        <v/>
      </c>
      <c r="E1173" t="str">
        <f ca="1">IFERROR(__xludf.DUMMYFUNCTION("""COMPUTED_VALUE"""),"張新和")</f>
        <v>張新和</v>
      </c>
    </row>
    <row r="1174" spans="1:5" ht="15" customHeight="1">
      <c r="A1174" s="121"/>
      <c r="C1174" t="str">
        <f ca="1">IFERROR(__xludf.DUMMYFUNCTION("""COMPUTED_VALUE"""),"AB001108")</f>
        <v>AB001108</v>
      </c>
      <c r="D1174" t="str">
        <f ca="1">IFERROR(__xludf.DUMMYFUNCTION("""COMPUTED_VALUE"""),"")</f>
        <v/>
      </c>
      <c r="E1174" t="str">
        <f ca="1">IFERROR(__xludf.DUMMYFUNCTION("""COMPUTED_VALUE"""),"福爾摩沙醫院管理顧問有限公司")</f>
        <v>福爾摩沙醫院管理顧問有限公司</v>
      </c>
    </row>
    <row r="1175" spans="1:5" ht="15" customHeight="1">
      <c r="A1175" s="121"/>
      <c r="C1175" t="str">
        <f ca="1">IFERROR(__xludf.DUMMYFUNCTION("""COMPUTED_VALUE"""),"AB001459")</f>
        <v>AB001459</v>
      </c>
      <c r="D1175" t="str">
        <f ca="1">IFERROR(__xludf.DUMMYFUNCTION("""COMPUTED_VALUE"""),"")</f>
        <v/>
      </c>
      <c r="E1175" t="str">
        <f ca="1">IFERROR(__xludf.DUMMYFUNCTION("""COMPUTED_VALUE"""),"大江生醫職工福利委員會")</f>
        <v>大江生醫職工福利委員會</v>
      </c>
    </row>
    <row r="1176" spans="1:5" ht="15" customHeight="1">
      <c r="A1176" s="121"/>
      <c r="C1176" t="str">
        <f ca="1">IFERROR(__xludf.DUMMYFUNCTION("""COMPUTED_VALUE"""),"AB001459")</f>
        <v>AB001459</v>
      </c>
      <c r="D1176" t="str">
        <f ca="1">IFERROR(__xludf.DUMMYFUNCTION("""COMPUTED_VALUE"""),"")</f>
        <v/>
      </c>
      <c r="E1176" t="str">
        <f ca="1">IFERROR(__xludf.DUMMYFUNCTION("""COMPUTED_VALUE"""),"大江生醫職工福利委員會")</f>
        <v>大江生醫職工福利委員會</v>
      </c>
    </row>
    <row r="1177" spans="1:5" ht="15" customHeight="1">
      <c r="A1177" s="121"/>
      <c r="C1177" t="str">
        <f ca="1">IFERROR(__xludf.DUMMYFUNCTION("""COMPUTED_VALUE"""),"AB001459")</f>
        <v>AB001459</v>
      </c>
      <c r="D1177" t="str">
        <f ca="1">IFERROR(__xludf.DUMMYFUNCTION("""COMPUTED_VALUE"""),"")</f>
        <v/>
      </c>
      <c r="E1177" t="str">
        <f ca="1">IFERROR(__xludf.DUMMYFUNCTION("""COMPUTED_VALUE"""),"大江生醫職工福利委員會")</f>
        <v>大江生醫職工福利委員會</v>
      </c>
    </row>
    <row r="1178" spans="1:5" ht="15" customHeight="1">
      <c r="A1178" s="121"/>
      <c r="C1178" t="str">
        <f ca="1">IFERROR(__xludf.DUMMYFUNCTION("""COMPUTED_VALUE"""),"AB001459")</f>
        <v>AB001459</v>
      </c>
      <c r="D1178" t="str">
        <f ca="1">IFERROR(__xludf.DUMMYFUNCTION("""COMPUTED_VALUE"""),"")</f>
        <v/>
      </c>
      <c r="E1178" t="str">
        <f ca="1">IFERROR(__xludf.DUMMYFUNCTION("""COMPUTED_VALUE"""),"大江生醫職工福利委員會")</f>
        <v>大江生醫職工福利委員會</v>
      </c>
    </row>
    <row r="1179" spans="1:5" ht="15" customHeight="1">
      <c r="A1179" s="121"/>
      <c r="C1179" t="str">
        <f ca="1">IFERROR(__xludf.DUMMYFUNCTION("""COMPUTED_VALUE"""),"AB001459")</f>
        <v>AB001459</v>
      </c>
      <c r="D1179" t="str">
        <f ca="1">IFERROR(__xludf.DUMMYFUNCTION("""COMPUTED_VALUE"""),"")</f>
        <v/>
      </c>
      <c r="E1179" t="str">
        <f ca="1">IFERROR(__xludf.DUMMYFUNCTION("""COMPUTED_VALUE"""),"大江生醫職工福利委員會")</f>
        <v>大江生醫職工福利委員會</v>
      </c>
    </row>
    <row r="1180" spans="1:5" ht="15" customHeight="1">
      <c r="A1180" s="121"/>
      <c r="C1180" t="str">
        <f ca="1">IFERROR(__xludf.DUMMYFUNCTION("""COMPUTED_VALUE"""),"AB001459")</f>
        <v>AB001459</v>
      </c>
      <c r="D1180" t="str">
        <f ca="1">IFERROR(__xludf.DUMMYFUNCTION("""COMPUTED_VALUE"""),"")</f>
        <v/>
      </c>
      <c r="E1180" t="str">
        <f ca="1">IFERROR(__xludf.DUMMYFUNCTION("""COMPUTED_VALUE"""),"大江生醫職工福利委員會")</f>
        <v>大江生醫職工福利委員會</v>
      </c>
    </row>
    <row r="1181" spans="1:5" ht="15" customHeight="1">
      <c r="A1181" s="121"/>
      <c r="C1181" t="str">
        <f ca="1">IFERROR(__xludf.DUMMYFUNCTION("""COMPUTED_VALUE"""),"AB001459")</f>
        <v>AB001459</v>
      </c>
      <c r="D1181" t="str">
        <f ca="1">IFERROR(__xludf.DUMMYFUNCTION("""COMPUTED_VALUE"""),"")</f>
        <v/>
      </c>
      <c r="E1181" t="str">
        <f ca="1">IFERROR(__xludf.DUMMYFUNCTION("""COMPUTED_VALUE"""),"大江生醫職工福利委員會")</f>
        <v>大江生醫職工福利委員會</v>
      </c>
    </row>
    <row r="1182" spans="1:5" ht="15" customHeight="1">
      <c r="A1182" s="121"/>
      <c r="C1182" t="str">
        <f ca="1">IFERROR(__xludf.DUMMYFUNCTION("""COMPUTED_VALUE"""),"AB001459")</f>
        <v>AB001459</v>
      </c>
      <c r="D1182" t="str">
        <f ca="1">IFERROR(__xludf.DUMMYFUNCTION("""COMPUTED_VALUE"""),"")</f>
        <v/>
      </c>
      <c r="E1182" t="str">
        <f ca="1">IFERROR(__xludf.DUMMYFUNCTION("""COMPUTED_VALUE"""),"大江生醫職工福利委員會")</f>
        <v>大江生醫職工福利委員會</v>
      </c>
    </row>
    <row r="1183" spans="1:5" ht="15" customHeight="1">
      <c r="A1183" s="121"/>
      <c r="C1183" t="str">
        <f ca="1">IFERROR(__xludf.DUMMYFUNCTION("""COMPUTED_VALUE"""),"AB001458")</f>
        <v>AB001458</v>
      </c>
      <c r="D1183" t="str">
        <f ca="1">IFERROR(__xludf.DUMMYFUNCTION("""COMPUTED_VALUE"""),"")</f>
        <v/>
      </c>
      <c r="E1183" t="str">
        <f ca="1">IFERROR(__xludf.DUMMYFUNCTION("""COMPUTED_VALUE"""),"大江基因員購(台北)")</f>
        <v>大江基因員購(台北)</v>
      </c>
    </row>
    <row r="1184" spans="1:5" ht="15" customHeight="1">
      <c r="A1184" s="121"/>
      <c r="C1184" t="str">
        <f ca="1">IFERROR(__xludf.DUMMYFUNCTION("""COMPUTED_VALUE"""),"AB001458")</f>
        <v>AB001458</v>
      </c>
      <c r="D1184" t="str">
        <f ca="1">IFERROR(__xludf.DUMMYFUNCTION("""COMPUTED_VALUE"""),"")</f>
        <v/>
      </c>
      <c r="E1184" t="str">
        <f ca="1">IFERROR(__xludf.DUMMYFUNCTION("""COMPUTED_VALUE"""),"大江基因員購(台北)")</f>
        <v>大江基因員購(台北)</v>
      </c>
    </row>
    <row r="1185" spans="1:5" ht="15" customHeight="1">
      <c r="A1185" s="121"/>
      <c r="C1185" t="str">
        <f ca="1">IFERROR(__xludf.DUMMYFUNCTION("""COMPUTED_VALUE"""),"AB001458")</f>
        <v>AB001458</v>
      </c>
      <c r="D1185" t="str">
        <f ca="1">IFERROR(__xludf.DUMMYFUNCTION("""COMPUTED_VALUE"""),"")</f>
        <v/>
      </c>
      <c r="E1185" t="str">
        <f ca="1">IFERROR(__xludf.DUMMYFUNCTION("""COMPUTED_VALUE"""),"大江基因員購(台北)")</f>
        <v>大江基因員購(台北)</v>
      </c>
    </row>
    <row r="1186" spans="1:5" ht="15" customHeight="1">
      <c r="A1186" s="121"/>
      <c r="C1186" t="str">
        <f ca="1">IFERROR(__xludf.DUMMYFUNCTION("""COMPUTED_VALUE"""),"AB001458")</f>
        <v>AB001458</v>
      </c>
      <c r="D1186" t="str">
        <f ca="1">IFERROR(__xludf.DUMMYFUNCTION("""COMPUTED_VALUE"""),"")</f>
        <v/>
      </c>
      <c r="E1186" t="str">
        <f ca="1">IFERROR(__xludf.DUMMYFUNCTION("""COMPUTED_VALUE"""),"大江基因員購(台北)")</f>
        <v>大江基因員購(台北)</v>
      </c>
    </row>
    <row r="1187" spans="1:5" ht="15" customHeight="1">
      <c r="A1187" s="121"/>
      <c r="C1187" t="str">
        <f ca="1">IFERROR(__xludf.DUMMYFUNCTION("""COMPUTED_VALUE"""),"AB001458")</f>
        <v>AB001458</v>
      </c>
      <c r="D1187" t="str">
        <f ca="1">IFERROR(__xludf.DUMMYFUNCTION("""COMPUTED_VALUE"""),"")</f>
        <v/>
      </c>
      <c r="E1187" t="str">
        <f ca="1">IFERROR(__xludf.DUMMYFUNCTION("""COMPUTED_VALUE"""),"大江基因員購(台北)")</f>
        <v>大江基因員購(台北)</v>
      </c>
    </row>
    <row r="1188" spans="1:5" ht="15" customHeight="1">
      <c r="A1188" s="121"/>
      <c r="C1188" t="str">
        <f ca="1">IFERROR(__xludf.DUMMYFUNCTION("""COMPUTED_VALUE"""),"AB001458")</f>
        <v>AB001458</v>
      </c>
      <c r="D1188" t="str">
        <f ca="1">IFERROR(__xludf.DUMMYFUNCTION("""COMPUTED_VALUE"""),"")</f>
        <v/>
      </c>
      <c r="E1188" t="str">
        <f ca="1">IFERROR(__xludf.DUMMYFUNCTION("""COMPUTED_VALUE"""),"大江基因員購(台北)")</f>
        <v>大江基因員購(台北)</v>
      </c>
    </row>
    <row r="1189" spans="1:5" ht="15" customHeight="1">
      <c r="A1189" s="121"/>
      <c r="C1189" s="207" t="str">
        <f ca="1">IFERROR(__xludf.DUMMYFUNCTION("""COMPUTED_VALUE"""),"AB001458")</f>
        <v>AB001458</v>
      </c>
      <c r="D1189" t="str">
        <f ca="1">IFERROR(__xludf.DUMMYFUNCTION("""COMPUTED_VALUE"""),"")</f>
        <v/>
      </c>
      <c r="E1189" t="str">
        <f ca="1">IFERROR(__xludf.DUMMYFUNCTION("""COMPUTED_VALUE"""),"大江基因員購(台北)")</f>
        <v>大江基因員購(台北)</v>
      </c>
    </row>
    <row r="1190" spans="1:5" ht="15" customHeight="1">
      <c r="A1190" s="121"/>
      <c r="C1190" s="207" t="str">
        <f ca="1">IFERROR(__xludf.DUMMYFUNCTION("""COMPUTED_VALUE"""),"AB001458")</f>
        <v>AB001458</v>
      </c>
      <c r="D1190" t="str">
        <f ca="1">IFERROR(__xludf.DUMMYFUNCTION("""COMPUTED_VALUE"""),"")</f>
        <v/>
      </c>
      <c r="E1190" t="str">
        <f ca="1">IFERROR(__xludf.DUMMYFUNCTION("""COMPUTED_VALUE"""),"大江基因員購(台北)")</f>
        <v>大江基因員購(台北)</v>
      </c>
    </row>
    <row r="1191" spans="1:5" ht="15" customHeight="1">
      <c r="A1191" s="121"/>
      <c r="C1191" t="str">
        <f ca="1">IFERROR(__xludf.DUMMYFUNCTION("""COMPUTED_VALUE"""),"AB001458")</f>
        <v>AB001458</v>
      </c>
      <c r="D1191" t="str">
        <f ca="1">IFERROR(__xludf.DUMMYFUNCTION("""COMPUTED_VALUE"""),"")</f>
        <v/>
      </c>
      <c r="E1191" t="str">
        <f ca="1">IFERROR(__xludf.DUMMYFUNCTION("""COMPUTED_VALUE"""),"大江基因員購(台北)")</f>
        <v>大江基因員購(台北)</v>
      </c>
    </row>
    <row r="1192" spans="1:5" ht="15" customHeight="1">
      <c r="A1192" s="121"/>
      <c r="C1192" t="str">
        <f ca="1">IFERROR(__xludf.DUMMYFUNCTION("""COMPUTED_VALUE"""),"AB001458")</f>
        <v>AB001458</v>
      </c>
      <c r="D1192" t="str">
        <f ca="1">IFERROR(__xludf.DUMMYFUNCTION("""COMPUTED_VALUE"""),"")</f>
        <v/>
      </c>
      <c r="E1192" t="str">
        <f ca="1">IFERROR(__xludf.DUMMYFUNCTION("""COMPUTED_VALUE"""),"大江基因員購(台北)")</f>
        <v>大江基因員購(台北)</v>
      </c>
    </row>
    <row r="1193" spans="1:5" ht="15" customHeight="1">
      <c r="A1193" s="121"/>
      <c r="C1193" t="str">
        <f ca="1">IFERROR(__xludf.DUMMYFUNCTION("""COMPUTED_VALUE"""),"AB001458")</f>
        <v>AB001458</v>
      </c>
      <c r="D1193" t="str">
        <f ca="1">IFERROR(__xludf.DUMMYFUNCTION("""COMPUTED_VALUE"""),"")</f>
        <v/>
      </c>
      <c r="E1193" t="str">
        <f ca="1">IFERROR(__xludf.DUMMYFUNCTION("""COMPUTED_VALUE"""),"大江基因員購(台北)")</f>
        <v>大江基因員購(台北)</v>
      </c>
    </row>
    <row r="1194" spans="1:5" ht="15" customHeight="1">
      <c r="A1194" s="121"/>
      <c r="C1194">
        <f ca="1">IFERROR(__xludf.DUMMYFUNCTION("""COMPUTED_VALUE"""),365)</f>
        <v>365</v>
      </c>
      <c r="D1194" s="214" t="str">
        <f ca="1">IFERROR(__xludf.DUMMYFUNCTION("""COMPUTED_VALUE"""),"V")</f>
        <v>V</v>
      </c>
      <c r="E1194" t="str">
        <f ca="1">IFERROR(__xludf.DUMMYFUNCTION("""COMPUTED_VALUE"""),"修身堂管理有限公司")</f>
        <v>修身堂管理有限公司</v>
      </c>
    </row>
    <row r="1195" spans="1:5" ht="15" customHeight="1">
      <c r="A1195" s="121"/>
      <c r="C1195">
        <f ca="1">IFERROR(__xludf.DUMMYFUNCTION("""COMPUTED_VALUE"""),365)</f>
        <v>365</v>
      </c>
      <c r="D1195" s="214" t="str">
        <f ca="1">IFERROR(__xludf.DUMMYFUNCTION("""COMPUTED_VALUE"""),"V")</f>
        <v>V</v>
      </c>
      <c r="E1195" t="str">
        <f ca="1">IFERROR(__xludf.DUMMYFUNCTION("""COMPUTED_VALUE"""),"修身堂管理有限公司")</f>
        <v>修身堂管理有限公司</v>
      </c>
    </row>
    <row r="1196" spans="1:5" ht="15" customHeight="1">
      <c r="A1196" s="121"/>
      <c r="C1196" t="str">
        <f ca="1">IFERROR(__xludf.DUMMYFUNCTION("""COMPUTED_VALUE"""),"AB001096")</f>
        <v>AB001096</v>
      </c>
      <c r="D1196" t="str">
        <f ca="1">IFERROR(__xludf.DUMMYFUNCTION("""COMPUTED_VALUE"""),"")</f>
        <v/>
      </c>
      <c r="E1196" t="str">
        <f ca="1">IFERROR(__xludf.DUMMYFUNCTION("""COMPUTED_VALUE"""),"李永兴")</f>
        <v>李永兴</v>
      </c>
    </row>
    <row r="1197" spans="1:5" ht="15" customHeight="1">
      <c r="A1197" s="121"/>
      <c r="C1197" t="str">
        <f ca="1">IFERROR(__xludf.DUMMYFUNCTION("""COMPUTED_VALUE"""),"AB001426")</f>
        <v>AB001426</v>
      </c>
      <c r="D1197" t="str">
        <f ca="1">IFERROR(__xludf.DUMMYFUNCTION("""COMPUTED_VALUE"""),"")</f>
        <v/>
      </c>
      <c r="E1197" t="str">
        <f ca="1">IFERROR(__xludf.DUMMYFUNCTION("""COMPUTED_VALUE"""),"鍾淑珍")</f>
        <v>鍾淑珍</v>
      </c>
    </row>
    <row r="1198" spans="1:5" ht="15" customHeight="1">
      <c r="A1198" s="121"/>
      <c r="C1198" t="str">
        <f ca="1">IFERROR(__xludf.DUMMYFUNCTION("""COMPUTED_VALUE"""),"AB001427")</f>
        <v>AB001427</v>
      </c>
      <c r="D1198" t="str">
        <f ca="1">IFERROR(__xludf.DUMMYFUNCTION("""COMPUTED_VALUE"""),"")</f>
        <v/>
      </c>
      <c r="E1198" t="str">
        <f ca="1">IFERROR(__xludf.DUMMYFUNCTION("""COMPUTED_VALUE"""),"陳家誼")</f>
        <v>陳家誼</v>
      </c>
    </row>
    <row r="1199" spans="1:5" ht="15" customHeight="1">
      <c r="A1199" s="121"/>
      <c r="C1199" t="str">
        <f ca="1">IFERROR(__xludf.DUMMYFUNCTION("""COMPUTED_VALUE"""),"AB001428")</f>
        <v>AB001428</v>
      </c>
      <c r="D1199" t="str">
        <f ca="1">IFERROR(__xludf.DUMMYFUNCTION("""COMPUTED_VALUE"""),"")</f>
        <v/>
      </c>
      <c r="E1199" t="str">
        <f ca="1">IFERROR(__xludf.DUMMYFUNCTION("""COMPUTED_VALUE"""),"陆艳")</f>
        <v>陆艳</v>
      </c>
    </row>
    <row r="1200" spans="1:5" ht="15" customHeight="1">
      <c r="A1200" s="121"/>
      <c r="C1200" t="str">
        <f ca="1">IFERROR(__xludf.DUMMYFUNCTION("""COMPUTED_VALUE"""),"AB001460")</f>
        <v>AB001460</v>
      </c>
      <c r="D1200" t="str">
        <f ca="1">IFERROR(__xludf.DUMMYFUNCTION("""COMPUTED_VALUE"""),"")</f>
        <v/>
      </c>
      <c r="E1200" t="str">
        <f ca="1">IFERROR(__xludf.DUMMYFUNCTION("""COMPUTED_VALUE"""),"大江生醫職工福利委員會")</f>
        <v>大江生醫職工福利委員會</v>
      </c>
    </row>
    <row r="1201" spans="1:5" ht="15" customHeight="1">
      <c r="A1201" s="121"/>
      <c r="C1201" t="str">
        <f ca="1">IFERROR(__xludf.DUMMYFUNCTION("""COMPUTED_VALUE"""),"AB001460")</f>
        <v>AB001460</v>
      </c>
      <c r="D1201" t="str">
        <f ca="1">IFERROR(__xludf.DUMMYFUNCTION("""COMPUTED_VALUE"""),"")</f>
        <v/>
      </c>
      <c r="E1201" t="str">
        <f ca="1">IFERROR(__xludf.DUMMYFUNCTION("""COMPUTED_VALUE"""),"大江生醫職工福利委員會")</f>
        <v>大江生醫職工福利委員會</v>
      </c>
    </row>
    <row r="1202" spans="1:5" ht="15" customHeight="1">
      <c r="A1202" s="121"/>
      <c r="C1202" t="str">
        <f ca="1">IFERROR(__xludf.DUMMYFUNCTION("""COMPUTED_VALUE"""),"AB001460")</f>
        <v>AB001460</v>
      </c>
      <c r="D1202" t="str">
        <f ca="1">IFERROR(__xludf.DUMMYFUNCTION("""COMPUTED_VALUE"""),"")</f>
        <v/>
      </c>
      <c r="E1202" t="str">
        <f ca="1">IFERROR(__xludf.DUMMYFUNCTION("""COMPUTED_VALUE"""),"大江生醫職工福利委員會")</f>
        <v>大江生醫職工福利委員會</v>
      </c>
    </row>
    <row r="1203" spans="1:5" ht="15" customHeight="1">
      <c r="A1203" s="121"/>
      <c r="C1203" t="str">
        <f ca="1">IFERROR(__xludf.DUMMYFUNCTION("""COMPUTED_VALUE"""),"AB001460")</f>
        <v>AB001460</v>
      </c>
      <c r="D1203" t="str">
        <f ca="1">IFERROR(__xludf.DUMMYFUNCTION("""COMPUTED_VALUE"""),"")</f>
        <v/>
      </c>
      <c r="E1203" t="str">
        <f ca="1">IFERROR(__xludf.DUMMYFUNCTION("""COMPUTED_VALUE"""),"大江生醫職工福利委員會")</f>
        <v>大江生醫職工福利委員會</v>
      </c>
    </row>
    <row r="1204" spans="1:5" ht="15" customHeight="1">
      <c r="A1204" s="121"/>
      <c r="C1204" t="str">
        <f ca="1">IFERROR(__xludf.DUMMYFUNCTION("""COMPUTED_VALUE"""),"AB001460")</f>
        <v>AB001460</v>
      </c>
      <c r="D1204" t="str">
        <f ca="1">IFERROR(__xludf.DUMMYFUNCTION("""COMPUTED_VALUE"""),"")</f>
        <v/>
      </c>
      <c r="E1204" t="str">
        <f ca="1">IFERROR(__xludf.DUMMYFUNCTION("""COMPUTED_VALUE"""),"大江生醫職工福利委員會")</f>
        <v>大江生醫職工福利委員會</v>
      </c>
    </row>
    <row r="1205" spans="1:5" ht="15" customHeight="1">
      <c r="A1205" s="121"/>
      <c r="C1205" t="str">
        <f ca="1">IFERROR(__xludf.DUMMYFUNCTION("""COMPUTED_VALUE"""),"AB001460")</f>
        <v>AB001460</v>
      </c>
      <c r="D1205" t="str">
        <f ca="1">IFERROR(__xludf.DUMMYFUNCTION("""COMPUTED_VALUE"""),"")</f>
        <v/>
      </c>
      <c r="E1205" t="str">
        <f ca="1">IFERROR(__xludf.DUMMYFUNCTION("""COMPUTED_VALUE"""),"大江生醫職工福利委員會")</f>
        <v>大江生醫職工福利委員會</v>
      </c>
    </row>
    <row r="1206" spans="1:5" ht="15" customHeight="1">
      <c r="A1206" s="121"/>
      <c r="C1206" t="str">
        <f ca="1">IFERROR(__xludf.DUMMYFUNCTION("""COMPUTED_VALUE"""),"AB001460")</f>
        <v>AB001460</v>
      </c>
      <c r="D1206" t="str">
        <f ca="1">IFERROR(__xludf.DUMMYFUNCTION("""COMPUTED_VALUE"""),"")</f>
        <v/>
      </c>
      <c r="E1206" t="str">
        <f ca="1">IFERROR(__xludf.DUMMYFUNCTION("""COMPUTED_VALUE"""),"大江生醫職工福利委員會")</f>
        <v>大江生醫職工福利委員會</v>
      </c>
    </row>
    <row r="1207" spans="1:5" ht="15" customHeight="1">
      <c r="A1207" s="121"/>
      <c r="C1207" t="str">
        <f ca="1">IFERROR(__xludf.DUMMYFUNCTION("""COMPUTED_VALUE"""),"AB001460")</f>
        <v>AB001460</v>
      </c>
      <c r="D1207" t="str">
        <f ca="1">IFERROR(__xludf.DUMMYFUNCTION("""COMPUTED_VALUE"""),"")</f>
        <v/>
      </c>
      <c r="E1207" t="str">
        <f ca="1">IFERROR(__xludf.DUMMYFUNCTION("""COMPUTED_VALUE"""),"大江生醫職工福利委員會")</f>
        <v>大江生醫職工福利委員會</v>
      </c>
    </row>
    <row r="1208" spans="1:5" ht="15" customHeight="1">
      <c r="A1208" s="121"/>
      <c r="C1208" t="str">
        <f ca="1">IFERROR(__xludf.DUMMYFUNCTION("""COMPUTED_VALUE"""),"AB001460")</f>
        <v>AB001460</v>
      </c>
      <c r="D1208" t="str">
        <f ca="1">IFERROR(__xludf.DUMMYFUNCTION("""COMPUTED_VALUE"""),"")</f>
        <v/>
      </c>
      <c r="E1208" t="str">
        <f ca="1">IFERROR(__xludf.DUMMYFUNCTION("""COMPUTED_VALUE"""),"大江生醫職工福利委員會")</f>
        <v>大江生醫職工福利委員會</v>
      </c>
    </row>
    <row r="1209" spans="1:5" ht="15" customHeight="1">
      <c r="A1209" s="121"/>
      <c r="C1209" t="str">
        <f ca="1">IFERROR(__xludf.DUMMYFUNCTION("""COMPUTED_VALUE"""),"AB001460")</f>
        <v>AB001460</v>
      </c>
      <c r="D1209" t="str">
        <f ca="1">IFERROR(__xludf.DUMMYFUNCTION("""COMPUTED_VALUE"""),"")</f>
        <v/>
      </c>
      <c r="E1209" t="str">
        <f ca="1">IFERROR(__xludf.DUMMYFUNCTION("""COMPUTED_VALUE"""),"大江生醫職工福利委員會")</f>
        <v>大江生醫職工福利委員會</v>
      </c>
    </row>
    <row r="1210" spans="1:5" ht="15" customHeight="1">
      <c r="A1210" s="121"/>
      <c r="C1210" t="str">
        <f ca="1">IFERROR(__xludf.DUMMYFUNCTION("""COMPUTED_VALUE"""),"AB001461")</f>
        <v>AB001461</v>
      </c>
      <c r="D1210" t="str">
        <f ca="1">IFERROR(__xludf.DUMMYFUNCTION("""COMPUTED_VALUE"""),"")</f>
        <v/>
      </c>
      <c r="E1210" t="str">
        <f ca="1">IFERROR(__xludf.DUMMYFUNCTION("""COMPUTED_VALUE"""),"大江生醫職工福利委員會(台北追加)")</f>
        <v>大江生醫職工福利委員會(台北追加)</v>
      </c>
    </row>
    <row r="1211" spans="1:5" ht="15" customHeight="1">
      <c r="A1211" s="121"/>
      <c r="C1211" t="str">
        <f ca="1">IFERROR(__xludf.DUMMYFUNCTION("""COMPUTED_VALUE"""),"AB001461")</f>
        <v>AB001461</v>
      </c>
      <c r="D1211" t="str">
        <f ca="1">IFERROR(__xludf.DUMMYFUNCTION("""COMPUTED_VALUE"""),"")</f>
        <v/>
      </c>
      <c r="E1211" t="str">
        <f ca="1">IFERROR(__xludf.DUMMYFUNCTION("""COMPUTED_VALUE"""),"大江生醫職工福利委員會(台北追加)")</f>
        <v>大江生醫職工福利委員會(台北追加)</v>
      </c>
    </row>
    <row r="1212" spans="1:5" ht="15" customHeight="1">
      <c r="A1212" s="121"/>
      <c r="C1212" t="str">
        <f ca="1">IFERROR(__xludf.DUMMYFUNCTION("""COMPUTED_VALUE"""),"AB001429")</f>
        <v>AB001429</v>
      </c>
      <c r="D1212" t="str">
        <f ca="1">IFERROR(__xludf.DUMMYFUNCTION("""COMPUTED_VALUE"""),"")</f>
        <v/>
      </c>
      <c r="E1212" t="str">
        <f ca="1">IFERROR(__xludf.DUMMYFUNCTION("""COMPUTED_VALUE"""),"林秀娟")</f>
        <v>林秀娟</v>
      </c>
    </row>
    <row r="1213" spans="1:5" ht="15" customHeight="1">
      <c r="A1213" s="121"/>
      <c r="C1213" t="str">
        <f ca="1">IFERROR(__xludf.DUMMYFUNCTION("""COMPUTED_VALUE"""),"AB001493")</f>
        <v>AB001493</v>
      </c>
      <c r="D1213" t="str">
        <f ca="1">IFERROR(__xludf.DUMMYFUNCTION("""COMPUTED_VALUE"""),"")</f>
        <v/>
      </c>
      <c r="E1213" t="str">
        <f ca="1">IFERROR(__xludf.DUMMYFUNCTION("""COMPUTED_VALUE"""),"陳瓊茹")</f>
        <v>陳瓊茹</v>
      </c>
    </row>
    <row r="1214" spans="1:5" ht="15" customHeight="1">
      <c r="A1214" s="121"/>
      <c r="C1214" t="str">
        <f ca="1">IFERROR(__xludf.DUMMYFUNCTION("""COMPUTED_VALUE"""),"AB001494")</f>
        <v>AB001494</v>
      </c>
      <c r="D1214" t="str">
        <f ca="1">IFERROR(__xludf.DUMMYFUNCTION("""COMPUTED_VALUE"""),"")</f>
        <v/>
      </c>
      <c r="E1214" t="str">
        <f ca="1">IFERROR(__xludf.DUMMYFUNCTION("""COMPUTED_VALUE"""),"Sandy M09")</f>
        <v>Sandy M09</v>
      </c>
    </row>
    <row r="1215" spans="1:5" ht="15" customHeight="1">
      <c r="A1215" s="121"/>
      <c r="C1215" t="str">
        <f ca="1">IFERROR(__xludf.DUMMYFUNCTION("""COMPUTED_VALUE"""),"AB001494")</f>
        <v>AB001494</v>
      </c>
      <c r="D1215" t="str">
        <f ca="1">IFERROR(__xludf.DUMMYFUNCTION("""COMPUTED_VALUE"""),"")</f>
        <v/>
      </c>
      <c r="E1215" t="str">
        <f ca="1">IFERROR(__xludf.DUMMYFUNCTION("""COMPUTED_VALUE"""),"Sandy M09")</f>
        <v>Sandy M09</v>
      </c>
    </row>
    <row r="1216" spans="1:5" ht="15" customHeight="1">
      <c r="A1216" s="121"/>
      <c r="C1216" t="str">
        <f ca="1">IFERROR(__xludf.DUMMYFUNCTION("""COMPUTED_VALUE"""),"AB001491")</f>
        <v>AB001491</v>
      </c>
      <c r="D1216" t="str">
        <f ca="1">IFERROR(__xludf.DUMMYFUNCTION("""COMPUTED_VALUE"""),"")</f>
        <v/>
      </c>
      <c r="E1216" t="str">
        <f ca="1">IFERROR(__xludf.DUMMYFUNCTION("""COMPUTED_VALUE"""),"沈縈瑄")</f>
        <v>沈縈瑄</v>
      </c>
    </row>
    <row r="1217" spans="1:5" ht="15" customHeight="1">
      <c r="A1217" s="121"/>
      <c r="C1217" t="str">
        <f ca="1">IFERROR(__xludf.DUMMYFUNCTION("""COMPUTED_VALUE"""),"AB001491")</f>
        <v>AB001491</v>
      </c>
      <c r="D1217" t="str">
        <f ca="1">IFERROR(__xludf.DUMMYFUNCTION("""COMPUTED_VALUE"""),"")</f>
        <v/>
      </c>
      <c r="E1217" t="str">
        <f ca="1">IFERROR(__xludf.DUMMYFUNCTION("""COMPUTED_VALUE"""),"沈縈瑄")</f>
        <v>沈縈瑄</v>
      </c>
    </row>
    <row r="1218" spans="1:5" ht="15" customHeight="1">
      <c r="A1218" s="121"/>
      <c r="C1218" t="str">
        <f ca="1">IFERROR(__xludf.DUMMYFUNCTION("""COMPUTED_VALUE"""),"AB001491")</f>
        <v>AB001491</v>
      </c>
      <c r="D1218" t="str">
        <f ca="1">IFERROR(__xludf.DUMMYFUNCTION("""COMPUTED_VALUE"""),"")</f>
        <v/>
      </c>
      <c r="E1218" t="str">
        <f ca="1">IFERROR(__xludf.DUMMYFUNCTION("""COMPUTED_VALUE"""),"沈縈瑄")</f>
        <v>沈縈瑄</v>
      </c>
    </row>
    <row r="1219" spans="1:5" ht="15" customHeight="1">
      <c r="A1219" s="121"/>
      <c r="C1219" t="str">
        <f ca="1">IFERROR(__xludf.DUMMYFUNCTION("""COMPUTED_VALUE"""),"AB001491")</f>
        <v>AB001491</v>
      </c>
      <c r="D1219" t="str">
        <f ca="1">IFERROR(__xludf.DUMMYFUNCTION("""COMPUTED_VALUE"""),"")</f>
        <v/>
      </c>
      <c r="E1219" t="str">
        <f ca="1">IFERROR(__xludf.DUMMYFUNCTION("""COMPUTED_VALUE"""),"沈縈瑄")</f>
        <v>沈縈瑄</v>
      </c>
    </row>
    <row r="1220" spans="1:5" ht="15" customHeight="1">
      <c r="A1220" s="121"/>
      <c r="C1220" t="str">
        <f ca="1">IFERROR(__xludf.DUMMYFUNCTION("""COMPUTED_VALUE"""),"AB001492")</f>
        <v>AB001492</v>
      </c>
      <c r="D1220" t="str">
        <f ca="1">IFERROR(__xludf.DUMMYFUNCTION("""COMPUTED_VALUE"""),"")</f>
        <v/>
      </c>
      <c r="E1220" t="str">
        <f ca="1">IFERROR(__xludf.DUMMYFUNCTION("""COMPUTED_VALUE"""),"曾景娟")</f>
        <v>曾景娟</v>
      </c>
    </row>
    <row r="1221" spans="1:5" ht="15" customHeight="1">
      <c r="A1221" s="121"/>
      <c r="C1221" t="str">
        <f ca="1">IFERROR(__xludf.DUMMYFUNCTION("""COMPUTED_VALUE"""),"AB001390")</f>
        <v>AB001390</v>
      </c>
      <c r="D1221" t="str">
        <f ca="1">IFERROR(__xludf.DUMMYFUNCTION("""COMPUTED_VALUE"""),"")</f>
        <v/>
      </c>
      <c r="E1221" t="str">
        <f ca="1">IFERROR(__xludf.DUMMYFUNCTION("""COMPUTED_VALUE"""),"曾景娟")</f>
        <v>曾景娟</v>
      </c>
    </row>
    <row r="1222" spans="1:5" ht="15" customHeight="1">
      <c r="A1222" s="121"/>
      <c r="C1222" t="str">
        <f ca="1">IFERROR(__xludf.DUMMYFUNCTION("""COMPUTED_VALUE"""),"AB001430")</f>
        <v>AB001430</v>
      </c>
      <c r="D1222" t="str">
        <f ca="1">IFERROR(__xludf.DUMMYFUNCTION("""COMPUTED_VALUE"""),"")</f>
        <v/>
      </c>
      <c r="E1222" t="str">
        <f ca="1">IFERROR(__xludf.DUMMYFUNCTION("""COMPUTED_VALUE"""),"莊松德")</f>
        <v>莊松德</v>
      </c>
    </row>
    <row r="1223" spans="1:5" ht="15" customHeight="1">
      <c r="A1223" s="121"/>
      <c r="C1223" t="str">
        <f ca="1">IFERROR(__xludf.DUMMYFUNCTION("""COMPUTED_VALUE"""),"AB001431")</f>
        <v>AB001431</v>
      </c>
      <c r="D1223" t="str">
        <f ca="1">IFERROR(__xludf.DUMMYFUNCTION("""COMPUTED_VALUE"""),"")</f>
        <v/>
      </c>
      <c r="E1223" t="str">
        <f ca="1">IFERROR(__xludf.DUMMYFUNCTION("""COMPUTED_VALUE"""),"林秀娟")</f>
        <v>林秀娟</v>
      </c>
    </row>
    <row r="1224" spans="1:5" ht="15" customHeight="1">
      <c r="A1224" s="121"/>
      <c r="C1224" t="str">
        <f ca="1">IFERROR(__xludf.DUMMYFUNCTION("""COMPUTED_VALUE"""),"AB001495")</f>
        <v>AB001495</v>
      </c>
      <c r="D1224" t="str">
        <f ca="1">IFERROR(__xludf.DUMMYFUNCTION("""COMPUTED_VALUE"""),"")</f>
        <v/>
      </c>
      <c r="E1224" t="str">
        <f ca="1">IFERROR(__xludf.DUMMYFUNCTION("""COMPUTED_VALUE"""),"星醫美學股份有限公司")</f>
        <v>星醫美學股份有限公司</v>
      </c>
    </row>
    <row r="1225" spans="1:5" ht="15" customHeight="1">
      <c r="A1225" s="121"/>
      <c r="C1225" t="str">
        <f ca="1">IFERROR(__xludf.DUMMYFUNCTION("""COMPUTED_VALUE"""),"AB001496")</f>
        <v>AB001496</v>
      </c>
      <c r="D1225" t="str">
        <f ca="1">IFERROR(__xludf.DUMMYFUNCTION("""COMPUTED_VALUE"""),"")</f>
        <v/>
      </c>
      <c r="E1225" t="str">
        <f ca="1">IFERROR(__xludf.DUMMYFUNCTION("""COMPUTED_VALUE"""),"陳森榮")</f>
        <v>陳森榮</v>
      </c>
    </row>
    <row r="1226" spans="1:5" ht="15" customHeight="1">
      <c r="A1226" s="121"/>
      <c r="C1226" t="str">
        <f ca="1">IFERROR(__xludf.DUMMYFUNCTION("""COMPUTED_VALUE"""),"AB001462")</f>
        <v>AB001462</v>
      </c>
      <c r="D1226" t="str">
        <f ca="1">IFERROR(__xludf.DUMMYFUNCTION("""COMPUTED_VALUE"""),"")</f>
        <v/>
      </c>
      <c r="E1226" t="str">
        <f ca="1">IFERROR(__xludf.DUMMYFUNCTION("""COMPUTED_VALUE"""),"大江生醫職工福利委員會(台北追加)")</f>
        <v>大江生醫職工福利委員會(台北追加)</v>
      </c>
    </row>
    <row r="1227" spans="1:5" ht="15" customHeight="1">
      <c r="A1227" s="121"/>
      <c r="C1227" t="str">
        <f ca="1">IFERROR(__xludf.DUMMYFUNCTION("""COMPUTED_VALUE"""),"AB001462")</f>
        <v>AB001462</v>
      </c>
      <c r="D1227" t="str">
        <f ca="1">IFERROR(__xludf.DUMMYFUNCTION("""COMPUTED_VALUE"""),"")</f>
        <v/>
      </c>
      <c r="E1227" t="str">
        <f ca="1">IFERROR(__xludf.DUMMYFUNCTION("""COMPUTED_VALUE"""),"大江生醫職工福利委員會(台北追加)")</f>
        <v>大江生醫職工福利委員會(台北追加)</v>
      </c>
    </row>
    <row r="1228" spans="1:5" ht="15" customHeight="1">
      <c r="A1228" s="121"/>
      <c r="C1228" t="str">
        <f ca="1">IFERROR(__xludf.DUMMYFUNCTION("""COMPUTED_VALUE"""),"AB001462")</f>
        <v>AB001462</v>
      </c>
      <c r="D1228" t="str">
        <f ca="1">IFERROR(__xludf.DUMMYFUNCTION("""COMPUTED_VALUE"""),"")</f>
        <v/>
      </c>
      <c r="E1228" t="str">
        <f ca="1">IFERROR(__xludf.DUMMYFUNCTION("""COMPUTED_VALUE"""),"大江生醫職工福利委員會(台北追加)")</f>
        <v>大江生醫職工福利委員會(台北追加)</v>
      </c>
    </row>
    <row r="1229" spans="1:5" ht="15" customHeight="1">
      <c r="A1229" s="121"/>
      <c r="C1229" t="str">
        <f ca="1">IFERROR(__xludf.DUMMYFUNCTION("""COMPUTED_VALUE"""),"AB001433")</f>
        <v>AB001433</v>
      </c>
      <c r="D1229" t="str">
        <f ca="1">IFERROR(__xludf.DUMMYFUNCTION("""COMPUTED_VALUE"""),"")</f>
        <v/>
      </c>
      <c r="E1229" t="str">
        <f ca="1">IFERROR(__xludf.DUMMYFUNCTION("""COMPUTED_VALUE"""),"裘力行")</f>
        <v>裘力行</v>
      </c>
    </row>
    <row r="1230" spans="1:5" ht="15" customHeight="1">
      <c r="A1230" s="121"/>
      <c r="C1230" t="str">
        <f ca="1">IFERROR(__xludf.DUMMYFUNCTION("""COMPUTED_VALUE"""),"AB001386")</f>
        <v>AB001386</v>
      </c>
      <c r="D1230" t="str">
        <f ca="1">IFERROR(__xludf.DUMMYFUNCTION("""COMPUTED_VALUE"""),"")</f>
        <v/>
      </c>
      <c r="E1230" t="str">
        <f ca="1">IFERROR(__xludf.DUMMYFUNCTION("""COMPUTED_VALUE"""),"林正宗婦產科")</f>
        <v>林正宗婦產科</v>
      </c>
    </row>
    <row r="1231" spans="1:5" ht="15" customHeight="1">
      <c r="A1231" s="121"/>
      <c r="C1231" t="str">
        <f ca="1">IFERROR(__xludf.DUMMYFUNCTION("""COMPUTED_VALUE"""),"AB001434")</f>
        <v>AB001434</v>
      </c>
      <c r="D1231" t="str">
        <f ca="1">IFERROR(__xludf.DUMMYFUNCTION("""COMPUTED_VALUE"""),"")</f>
        <v/>
      </c>
      <c r="E1231" t="str">
        <f ca="1">IFERROR(__xludf.DUMMYFUNCTION("""COMPUTED_VALUE"""),"林秀娟")</f>
        <v>林秀娟</v>
      </c>
    </row>
    <row r="1232" spans="1:5" ht="15" customHeight="1">
      <c r="A1232" s="121"/>
      <c r="C1232" t="str">
        <f ca="1">IFERROR(__xludf.DUMMYFUNCTION("""COMPUTED_VALUE"""),"AB001497")</f>
        <v>AB001497</v>
      </c>
      <c r="D1232" t="str">
        <f ca="1">IFERROR(__xludf.DUMMYFUNCTION("""COMPUTED_VALUE"""),"")</f>
        <v/>
      </c>
      <c r="E1232" t="str">
        <f ca="1">IFERROR(__xludf.DUMMYFUNCTION("""COMPUTED_VALUE"""),"李素貞")</f>
        <v>李素貞</v>
      </c>
    </row>
    <row r="1233" spans="1:5" ht="15" customHeight="1">
      <c r="A1233" s="121"/>
      <c r="C1233" t="str">
        <f ca="1">IFERROR(__xludf.DUMMYFUNCTION("""COMPUTED_VALUE"""),"AB001498")</f>
        <v>AB001498</v>
      </c>
      <c r="D1233" t="str">
        <f ca="1">IFERROR(__xludf.DUMMYFUNCTION("""COMPUTED_VALUE"""),"")</f>
        <v/>
      </c>
      <c r="E1233" t="str">
        <f ca="1">IFERROR(__xludf.DUMMYFUNCTION("""COMPUTED_VALUE"""),"Halil.Gozukara")</f>
        <v>Halil.Gozukara</v>
      </c>
    </row>
    <row r="1234" spans="1:5" ht="15" customHeight="1">
      <c r="A1234" s="121"/>
      <c r="C1234" t="str">
        <f ca="1">IFERROR(__xludf.DUMMYFUNCTION("""COMPUTED_VALUE"""),"AB001498")</f>
        <v>AB001498</v>
      </c>
      <c r="D1234" t="str">
        <f ca="1">IFERROR(__xludf.DUMMYFUNCTION("""COMPUTED_VALUE"""),"")</f>
        <v/>
      </c>
      <c r="E1234" t="str">
        <f ca="1">IFERROR(__xludf.DUMMYFUNCTION("""COMPUTED_VALUE"""),"Halil.Gozukara")</f>
        <v>Halil.Gozukara</v>
      </c>
    </row>
    <row r="1235" spans="1:5" ht="15" customHeight="1">
      <c r="A1235" s="121"/>
      <c r="C1235" t="str">
        <f ca="1">IFERROR(__xludf.DUMMYFUNCTION("""COMPUTED_VALUE"""),"")</f>
        <v/>
      </c>
      <c r="D1235" t="str">
        <f ca="1">IFERROR(__xludf.DUMMYFUNCTION("""COMPUTED_VALUE"""),"")</f>
        <v/>
      </c>
      <c r="E1235" t="str">
        <f ca="1">IFERROR(__xludf.DUMMYFUNCTION("""COMPUTED_VALUE"""),"眾健醫學診斷有限公司
")</f>
        <v>眾健醫學診斷有限公司_x000D_</v>
      </c>
    </row>
    <row r="1236" spans="1:5" ht="15" customHeight="1">
      <c r="A1236" s="121"/>
      <c r="C1236" t="str">
        <f ca="1">IFERROR(__xludf.DUMMYFUNCTION("""COMPUTED_VALUE"""),"")</f>
        <v/>
      </c>
      <c r="D1236" t="str">
        <f ca="1">IFERROR(__xludf.DUMMYFUNCTION("""COMPUTED_VALUE"""),"")</f>
        <v/>
      </c>
      <c r="E1236" t="str">
        <f ca="1">IFERROR(__xludf.DUMMYFUNCTION("""COMPUTED_VALUE"""),"眾健醫學診斷有限公司
")</f>
        <v>眾健醫學診斷有限公司_x000D_</v>
      </c>
    </row>
    <row r="1237" spans="1:5" ht="15" customHeight="1">
      <c r="A1237" s="121"/>
      <c r="C1237" t="str">
        <f ca="1">IFERROR(__xludf.DUMMYFUNCTION("""COMPUTED_VALUE"""),"AB001315")</f>
        <v>AB001315</v>
      </c>
      <c r="D1237" t="str">
        <f ca="1">IFERROR(__xludf.DUMMYFUNCTION("""COMPUTED_VALUE"""),"")</f>
        <v/>
      </c>
      <c r="E1237" t="str">
        <f ca="1">IFERROR(__xludf.DUMMYFUNCTION("""COMPUTED_VALUE"""),"梁國強")</f>
        <v>梁國強</v>
      </c>
    </row>
    <row r="1238" spans="1:5" ht="15" customHeight="1">
      <c r="A1238" s="121"/>
      <c r="C1238" t="str">
        <f ca="1">IFERROR(__xludf.DUMMYFUNCTION("""COMPUTED_VALUE"""),"AB001501")</f>
        <v>AB001501</v>
      </c>
      <c r="D1238" t="str">
        <f ca="1">IFERROR(__xludf.DUMMYFUNCTION("""COMPUTED_VALUE"""),"")</f>
        <v/>
      </c>
      <c r="E1238" t="str">
        <f ca="1">IFERROR(__xludf.DUMMYFUNCTION("""COMPUTED_VALUE"""),"大江生醫股份有限公司")</f>
        <v>大江生醫股份有限公司</v>
      </c>
    </row>
    <row r="1239" spans="1:5" ht="15" customHeight="1">
      <c r="A1239" s="121"/>
      <c r="C1239" t="str">
        <f ca="1">IFERROR(__xludf.DUMMYFUNCTION("""COMPUTED_VALUE"""),"AB001499")</f>
        <v>AB001499</v>
      </c>
      <c r="D1239" t="str">
        <f ca="1">IFERROR(__xludf.DUMMYFUNCTION("""COMPUTED_VALUE"""),"")</f>
        <v/>
      </c>
      <c r="E1239" t="str">
        <f ca="1">IFERROR(__xludf.DUMMYFUNCTION("""COMPUTED_VALUE"""),"李美鳳")</f>
        <v>李美鳳</v>
      </c>
    </row>
    <row r="1240" spans="1:5" ht="15" customHeight="1">
      <c r="A1240" s="121"/>
      <c r="C1240" t="str">
        <f ca="1">IFERROR(__xludf.DUMMYFUNCTION("""COMPUTED_VALUE"""),"AB001097")</f>
        <v>AB001097</v>
      </c>
      <c r="D1240" t="str">
        <f ca="1">IFERROR(__xludf.DUMMYFUNCTION("""COMPUTED_VALUE"""),"")</f>
        <v/>
      </c>
      <c r="E1240" t="str">
        <f ca="1">IFERROR(__xludf.DUMMYFUNCTION("""COMPUTED_VALUE"""),"劉芷淇")</f>
        <v>劉芷淇</v>
      </c>
    </row>
    <row r="1241" spans="1:5" ht="15" customHeight="1">
      <c r="A1241" s="121"/>
      <c r="C1241" t="str">
        <f ca="1">IFERROR(__xludf.DUMMYFUNCTION("""COMPUTED_VALUE"""),"AB001531")</f>
        <v>AB001531</v>
      </c>
      <c r="D1241" t="str">
        <f ca="1">IFERROR(__xludf.DUMMYFUNCTION("""COMPUTED_VALUE"""),"")</f>
        <v/>
      </c>
      <c r="E1241" t="str">
        <f ca="1">IFERROR(__xludf.DUMMYFUNCTION("""COMPUTED_VALUE"""),"日本元氣診所賴暉元")</f>
        <v>日本元氣診所賴暉元</v>
      </c>
    </row>
    <row r="1242" spans="1:5" ht="15" customHeight="1">
      <c r="A1242" s="121"/>
      <c r="C1242" t="str">
        <f ca="1">IFERROR(__xludf.DUMMYFUNCTION("""COMPUTED_VALUE"""),"AB001531")</f>
        <v>AB001531</v>
      </c>
      <c r="D1242" t="str">
        <f ca="1">IFERROR(__xludf.DUMMYFUNCTION("""COMPUTED_VALUE"""),"")</f>
        <v/>
      </c>
      <c r="E1242" t="str">
        <f ca="1">IFERROR(__xludf.DUMMYFUNCTION("""COMPUTED_VALUE"""),"日本元氣診所賴暉元")</f>
        <v>日本元氣診所賴暉元</v>
      </c>
    </row>
    <row r="1243" spans="1:5" ht="15" customHeight="1">
      <c r="A1243" s="121"/>
      <c r="C1243" t="str">
        <f ca="1">IFERROR(__xludf.DUMMYFUNCTION("""COMPUTED_VALUE"""),"AB001432")</f>
        <v>AB001432</v>
      </c>
      <c r="D1243" t="str">
        <f ca="1">IFERROR(__xludf.DUMMYFUNCTION("""COMPUTED_VALUE"""),"")</f>
        <v/>
      </c>
      <c r="E1243" t="str">
        <f ca="1">IFERROR(__xludf.DUMMYFUNCTION("""COMPUTED_VALUE"""),"蔣柳霞")</f>
        <v>蔣柳霞</v>
      </c>
    </row>
    <row r="1244" spans="1:5" ht="15" customHeight="1">
      <c r="A1244" s="121"/>
      <c r="C1244" t="str">
        <f ca="1">IFERROR(__xludf.DUMMYFUNCTION("""COMPUTED_VALUE"""),"AB001432")</f>
        <v>AB001432</v>
      </c>
      <c r="D1244" t="str">
        <f ca="1">IFERROR(__xludf.DUMMYFUNCTION("""COMPUTED_VALUE"""),"")</f>
        <v/>
      </c>
      <c r="E1244" t="str">
        <f ca="1">IFERROR(__xludf.DUMMYFUNCTION("""COMPUTED_VALUE"""),"蔣柳霞")</f>
        <v>蔣柳霞</v>
      </c>
    </row>
    <row r="1245" spans="1:5" ht="15" customHeight="1">
      <c r="A1245" s="121"/>
      <c r="C1245" t="str">
        <f ca="1">IFERROR(__xludf.DUMMYFUNCTION("""COMPUTED_VALUE"""),"AB001437")</f>
        <v>AB001437</v>
      </c>
      <c r="D1245" t="str">
        <f ca="1">IFERROR(__xludf.DUMMYFUNCTION("""COMPUTED_VALUE"""),"")</f>
        <v/>
      </c>
      <c r="E1245" t="str">
        <f ca="1">IFERROR(__xludf.DUMMYFUNCTION("""COMPUTED_VALUE"""),"林宏儒")</f>
        <v>林宏儒</v>
      </c>
    </row>
    <row r="1246" spans="1:5" ht="15" customHeight="1">
      <c r="A1246" s="121"/>
      <c r="C1246" t="str">
        <f ca="1">IFERROR(__xludf.DUMMYFUNCTION("""COMPUTED_VALUE"""),"AB001436")</f>
        <v>AB001436</v>
      </c>
      <c r="D1246" t="str">
        <f ca="1">IFERROR(__xludf.DUMMYFUNCTION("""COMPUTED_VALUE"""),"")</f>
        <v/>
      </c>
      <c r="E1246" t="str">
        <f ca="1">IFERROR(__xludf.DUMMYFUNCTION("""COMPUTED_VALUE"""),"陳俊良")</f>
        <v>陳俊良</v>
      </c>
    </row>
    <row r="1247" spans="1:5" ht="15" customHeight="1">
      <c r="A1247" s="121"/>
      <c r="C1247" t="str">
        <f ca="1">IFERROR(__xludf.DUMMYFUNCTION("""COMPUTED_VALUE"""),"AB001438")</f>
        <v>AB001438</v>
      </c>
      <c r="D1247" t="str">
        <f ca="1">IFERROR(__xludf.DUMMYFUNCTION("""COMPUTED_VALUE"""),"")</f>
        <v/>
      </c>
      <c r="E1247" t="str">
        <f ca="1">IFERROR(__xludf.DUMMYFUNCTION("""COMPUTED_VALUE"""),"呂富英")</f>
        <v>呂富英</v>
      </c>
    </row>
    <row r="1248" spans="1:5" ht="15" customHeight="1">
      <c r="A1248" s="121"/>
      <c r="C1248" t="str">
        <f ca="1">IFERROR(__xludf.DUMMYFUNCTION("""COMPUTED_VALUE"""),"AB001502")</f>
        <v>AB001502</v>
      </c>
      <c r="D1248" t="str">
        <f ca="1">IFERROR(__xludf.DUMMYFUNCTION("""COMPUTED_VALUE"""),"")</f>
        <v/>
      </c>
      <c r="E1248" t="str">
        <f ca="1">IFERROR(__xludf.DUMMYFUNCTION("""COMPUTED_VALUE"""),"王玲")</f>
        <v>王玲</v>
      </c>
    </row>
    <row r="1249" spans="1:5" ht="15" customHeight="1">
      <c r="A1249" s="121"/>
      <c r="C1249" t="str">
        <f ca="1">IFERROR(__xludf.DUMMYFUNCTION("""COMPUTED_VALUE"""),"AB001502")</f>
        <v>AB001502</v>
      </c>
      <c r="D1249" t="str">
        <f ca="1">IFERROR(__xludf.DUMMYFUNCTION("""COMPUTED_VALUE"""),"")</f>
        <v/>
      </c>
      <c r="E1249" t="str">
        <f ca="1">IFERROR(__xludf.DUMMYFUNCTION("""COMPUTED_VALUE"""),"王玲")</f>
        <v>王玲</v>
      </c>
    </row>
    <row r="1250" spans="1:5" ht="15" customHeight="1">
      <c r="A1250" s="121"/>
      <c r="C1250" t="str">
        <f ca="1">IFERROR(__xludf.DUMMYFUNCTION("""COMPUTED_VALUE"""),"AB001502")</f>
        <v>AB001502</v>
      </c>
      <c r="D1250" t="str">
        <f ca="1">IFERROR(__xludf.DUMMYFUNCTION("""COMPUTED_VALUE"""),"")</f>
        <v/>
      </c>
      <c r="E1250" t="str">
        <f ca="1">IFERROR(__xludf.DUMMYFUNCTION("""COMPUTED_VALUE"""),"王玲")</f>
        <v>王玲</v>
      </c>
    </row>
    <row r="1251" spans="1:5" ht="15" customHeight="1">
      <c r="A1251" s="121"/>
      <c r="C1251" t="str">
        <f ca="1">IFERROR(__xludf.DUMMYFUNCTION("""COMPUTED_VALUE"""),"AB001503")</f>
        <v>AB001503</v>
      </c>
      <c r="D1251" t="str">
        <f ca="1">IFERROR(__xludf.DUMMYFUNCTION("""COMPUTED_VALUE"""),"")</f>
        <v/>
      </c>
      <c r="E1251" t="str">
        <f ca="1">IFERROR(__xludf.DUMMYFUNCTION("""COMPUTED_VALUE"""),"白洪秀")</f>
        <v>白洪秀</v>
      </c>
    </row>
    <row r="1252" spans="1:5" ht="15" customHeight="1">
      <c r="A1252" s="121"/>
      <c r="C1252" t="str">
        <f ca="1">IFERROR(__xludf.DUMMYFUNCTION("""COMPUTED_VALUE"""),"AB001503")</f>
        <v>AB001503</v>
      </c>
      <c r="D1252" t="str">
        <f ca="1">IFERROR(__xludf.DUMMYFUNCTION("""COMPUTED_VALUE"""),"")</f>
        <v/>
      </c>
      <c r="E1252" t="str">
        <f ca="1">IFERROR(__xludf.DUMMYFUNCTION("""COMPUTED_VALUE"""),"白洪秀")</f>
        <v>白洪秀</v>
      </c>
    </row>
    <row r="1253" spans="1:5" ht="15" customHeight="1">
      <c r="A1253" s="121"/>
      <c r="C1253" t="str">
        <f ca="1">IFERROR(__xludf.DUMMYFUNCTION("""COMPUTED_VALUE"""),"AB001503")</f>
        <v>AB001503</v>
      </c>
      <c r="D1253" t="str">
        <f ca="1">IFERROR(__xludf.DUMMYFUNCTION("""COMPUTED_VALUE"""),"")</f>
        <v/>
      </c>
      <c r="E1253" t="str">
        <f ca="1">IFERROR(__xludf.DUMMYFUNCTION("""COMPUTED_VALUE"""),"白洪秀")</f>
        <v>白洪秀</v>
      </c>
    </row>
    <row r="1254" spans="1:5" ht="15" customHeight="1">
      <c r="A1254" s="121"/>
      <c r="C1254" t="str">
        <f ca="1">IFERROR(__xludf.DUMMYFUNCTION("""COMPUTED_VALUE"""),"AB001504")</f>
        <v>AB001504</v>
      </c>
      <c r="D1254" t="str">
        <f ca="1">IFERROR(__xludf.DUMMYFUNCTION("""COMPUTED_VALUE"""),"")</f>
        <v/>
      </c>
      <c r="E1254" t="str">
        <f ca="1">IFERROR(__xludf.DUMMYFUNCTION("""COMPUTED_VALUE"""),"張麗歡")</f>
        <v>張麗歡</v>
      </c>
    </row>
    <row r="1255" spans="1:5" ht="15" customHeight="1">
      <c r="A1255" s="121"/>
      <c r="C1255" t="str">
        <f ca="1">IFERROR(__xludf.DUMMYFUNCTION("""COMPUTED_VALUE"""),"AB001504")</f>
        <v>AB001504</v>
      </c>
      <c r="D1255" t="str">
        <f ca="1">IFERROR(__xludf.DUMMYFUNCTION("""COMPUTED_VALUE"""),"")</f>
        <v/>
      </c>
      <c r="E1255" t="str">
        <f ca="1">IFERROR(__xludf.DUMMYFUNCTION("""COMPUTED_VALUE"""),"張麗歡")</f>
        <v>張麗歡</v>
      </c>
    </row>
    <row r="1256" spans="1:5" ht="15" customHeight="1">
      <c r="A1256" s="121"/>
      <c r="C1256" t="str">
        <f ca="1">IFERROR(__xludf.DUMMYFUNCTION("""COMPUTED_VALUE"""),"AB001505")</f>
        <v>AB001505</v>
      </c>
      <c r="D1256" t="str">
        <f ca="1">IFERROR(__xludf.DUMMYFUNCTION("""COMPUTED_VALUE"""),"")</f>
        <v/>
      </c>
      <c r="E1256" t="str">
        <f ca="1">IFERROR(__xludf.DUMMYFUNCTION("""COMPUTED_VALUE"""),"陳思")</f>
        <v>陳思</v>
      </c>
    </row>
    <row r="1257" spans="1:5" ht="15" customHeight="1">
      <c r="A1257" s="121"/>
      <c r="C1257" t="str">
        <f ca="1">IFERROR(__xludf.DUMMYFUNCTION("""COMPUTED_VALUE"""),"AB001505")</f>
        <v>AB001505</v>
      </c>
      <c r="D1257" t="str">
        <f ca="1">IFERROR(__xludf.DUMMYFUNCTION("""COMPUTED_VALUE"""),"")</f>
        <v/>
      </c>
      <c r="E1257" t="str">
        <f ca="1">IFERROR(__xludf.DUMMYFUNCTION("""COMPUTED_VALUE"""),"陳思")</f>
        <v>陳思</v>
      </c>
    </row>
    <row r="1258" spans="1:5" ht="15" customHeight="1">
      <c r="A1258" s="121"/>
      <c r="C1258" t="str">
        <f ca="1">IFERROR(__xludf.DUMMYFUNCTION("""COMPUTED_VALUE"""),"AB001506")</f>
        <v>AB001506</v>
      </c>
      <c r="D1258" t="str">
        <f ca="1">IFERROR(__xludf.DUMMYFUNCTION("""COMPUTED_VALUE"""),"")</f>
        <v/>
      </c>
      <c r="E1258" t="str">
        <f ca="1">IFERROR(__xludf.DUMMYFUNCTION("""COMPUTED_VALUE"""),"黃曉雯")</f>
        <v>黃曉雯</v>
      </c>
    </row>
    <row r="1259" spans="1:5" ht="15" customHeight="1">
      <c r="A1259" s="121"/>
      <c r="C1259" t="str">
        <f ca="1">IFERROR(__xludf.DUMMYFUNCTION("""COMPUTED_VALUE"""),"AB001506")</f>
        <v>AB001506</v>
      </c>
      <c r="D1259" t="str">
        <f ca="1">IFERROR(__xludf.DUMMYFUNCTION("""COMPUTED_VALUE"""),"")</f>
        <v/>
      </c>
      <c r="E1259" t="str">
        <f ca="1">IFERROR(__xludf.DUMMYFUNCTION("""COMPUTED_VALUE"""),"黃曉雯")</f>
        <v>黃曉雯</v>
      </c>
    </row>
    <row r="1260" spans="1:5" ht="15" customHeight="1">
      <c r="A1260" s="121"/>
      <c r="C1260" t="str">
        <f ca="1">IFERROR(__xludf.DUMMYFUNCTION("""COMPUTED_VALUE"""),"AB001507")</f>
        <v>AB001507</v>
      </c>
      <c r="D1260" t="str">
        <f ca="1">IFERROR(__xludf.DUMMYFUNCTION("""COMPUTED_VALUE"""),"")</f>
        <v/>
      </c>
      <c r="E1260" t="str">
        <f ca="1">IFERROR(__xludf.DUMMYFUNCTION("""COMPUTED_VALUE"""),"羅淑芬")</f>
        <v>羅淑芬</v>
      </c>
    </row>
    <row r="1261" spans="1:5" ht="15" customHeight="1">
      <c r="A1261" s="121"/>
      <c r="C1261" t="str">
        <f ca="1">IFERROR(__xludf.DUMMYFUNCTION("""COMPUTED_VALUE"""),"AB001507")</f>
        <v>AB001507</v>
      </c>
      <c r="D1261" t="str">
        <f ca="1">IFERROR(__xludf.DUMMYFUNCTION("""COMPUTED_VALUE"""),"")</f>
        <v/>
      </c>
      <c r="E1261" t="str">
        <f ca="1">IFERROR(__xludf.DUMMYFUNCTION("""COMPUTED_VALUE"""),"羅淑芬")</f>
        <v>羅淑芬</v>
      </c>
    </row>
    <row r="1262" spans="1:5" ht="15" customHeight="1">
      <c r="A1262" s="121"/>
      <c r="C1262" t="str">
        <f ca="1">IFERROR(__xludf.DUMMYFUNCTION("""COMPUTED_VALUE"""),"AB001508")</f>
        <v>AB001508</v>
      </c>
      <c r="D1262" t="str">
        <f ca="1">IFERROR(__xludf.DUMMYFUNCTION("""COMPUTED_VALUE"""),"")</f>
        <v/>
      </c>
      <c r="E1262" t="str">
        <f ca="1">IFERROR(__xludf.DUMMYFUNCTION("""COMPUTED_VALUE"""),"Halil.Gozukara")</f>
        <v>Halil.Gozukara</v>
      </c>
    </row>
    <row r="1263" spans="1:5" ht="15" customHeight="1">
      <c r="A1263" s="121"/>
      <c r="C1263" t="str">
        <f ca="1">IFERROR(__xludf.DUMMYFUNCTION("""COMPUTED_VALUE"""),"AB001508")</f>
        <v>AB001508</v>
      </c>
      <c r="D1263" t="str">
        <f ca="1">IFERROR(__xludf.DUMMYFUNCTION("""COMPUTED_VALUE"""),"")</f>
        <v/>
      </c>
      <c r="E1263" t="str">
        <f ca="1">IFERROR(__xludf.DUMMYFUNCTION("""COMPUTED_VALUE"""),"Halil.Gozukara")</f>
        <v>Halil.Gozukara</v>
      </c>
    </row>
    <row r="1264" spans="1:5" ht="15" customHeight="1">
      <c r="A1264" s="121"/>
      <c r="C1264" t="str">
        <f ca="1">IFERROR(__xludf.DUMMYFUNCTION("""COMPUTED_VALUE"""),"AB001439")</f>
        <v>AB001439</v>
      </c>
      <c r="D1264" t="str">
        <f ca="1">IFERROR(__xludf.DUMMYFUNCTION("""COMPUTED_VALUE"""),"")</f>
        <v/>
      </c>
      <c r="E1264" t="str">
        <f ca="1">IFERROR(__xludf.DUMMYFUNCTION("""COMPUTED_VALUE"""),"黃國彰")</f>
        <v>黃國彰</v>
      </c>
    </row>
    <row r="1265" spans="1:5" ht="15" customHeight="1">
      <c r="A1265" s="121"/>
      <c r="C1265" t="str">
        <f ca="1">IFERROR(__xludf.DUMMYFUNCTION("""COMPUTED_VALUE"""),"AB001316")</f>
        <v>AB001316</v>
      </c>
      <c r="D1265" s="214" t="str">
        <f ca="1">IFERROR(__xludf.DUMMYFUNCTION("""COMPUTED_VALUE"""),"V")</f>
        <v>V</v>
      </c>
      <c r="E1265" t="str">
        <f ca="1">IFERROR(__xludf.DUMMYFUNCTION("""COMPUTED_VALUE"""),"親子診所")</f>
        <v>親子診所</v>
      </c>
    </row>
    <row r="1266" spans="1:5" ht="15" customHeight="1">
      <c r="A1266" s="121"/>
      <c r="C1266" t="str">
        <f ca="1">IFERROR(__xludf.DUMMYFUNCTION("""COMPUTED_VALUE"""),"AB001316")</f>
        <v>AB001316</v>
      </c>
      <c r="D1266" s="214" t="str">
        <f ca="1">IFERROR(__xludf.DUMMYFUNCTION("""COMPUTED_VALUE"""),"V")</f>
        <v>V</v>
      </c>
      <c r="E1266" t="str">
        <f ca="1">IFERROR(__xludf.DUMMYFUNCTION("""COMPUTED_VALUE"""),"親子診所")</f>
        <v>親子診所</v>
      </c>
    </row>
    <row r="1267" spans="1:5" ht="15" customHeight="1">
      <c r="A1267" s="121"/>
      <c r="C1267" t="str">
        <f ca="1">IFERROR(__xludf.DUMMYFUNCTION("""COMPUTED_VALUE"""),"AB001440")</f>
        <v>AB001440</v>
      </c>
      <c r="D1267" t="str">
        <f ca="1">IFERROR(__xludf.DUMMYFUNCTION("""COMPUTED_VALUE"""),"")</f>
        <v/>
      </c>
      <c r="E1267" t="str">
        <f ca="1">IFERROR(__xludf.DUMMYFUNCTION("""COMPUTED_VALUE"""),"湯靜怡")</f>
        <v>湯靜怡</v>
      </c>
    </row>
    <row r="1268" spans="1:5" ht="15" customHeight="1">
      <c r="A1268" s="121"/>
      <c r="C1268" t="str">
        <f ca="1">IFERROR(__xludf.DUMMYFUNCTION("""COMPUTED_VALUE"""),"AB001509")</f>
        <v>AB001509</v>
      </c>
      <c r="D1268" t="str">
        <f ca="1">IFERROR(__xludf.DUMMYFUNCTION("""COMPUTED_VALUE"""),"")</f>
        <v/>
      </c>
      <c r="E1268" t="str">
        <f ca="1">IFERROR(__xludf.DUMMYFUNCTION("""COMPUTED_VALUE"""),"林怡欣")</f>
        <v>林怡欣</v>
      </c>
    </row>
    <row r="1269" spans="1:5" ht="15" customHeight="1">
      <c r="A1269" s="121"/>
      <c r="C1269" t="str">
        <f ca="1">IFERROR(__xludf.DUMMYFUNCTION("""COMPUTED_VALUE"""),"AB001510")</f>
        <v>AB001510</v>
      </c>
      <c r="D1269" t="str">
        <f ca="1">IFERROR(__xludf.DUMMYFUNCTION("""COMPUTED_VALUE"""),"")</f>
        <v/>
      </c>
      <c r="E1269" t="str">
        <f ca="1">IFERROR(__xludf.DUMMYFUNCTION("""COMPUTED_VALUE"""),"蘇立安")</f>
        <v>蘇立安</v>
      </c>
    </row>
    <row r="1270" spans="1:5" ht="15" customHeight="1">
      <c r="A1270" s="121"/>
      <c r="C1270" t="str">
        <f ca="1">IFERROR(__xludf.DUMMYFUNCTION("""COMPUTED_VALUE"""),"AB001441")</f>
        <v>AB001441</v>
      </c>
      <c r="D1270" t="str">
        <f ca="1">IFERROR(__xludf.DUMMYFUNCTION("""COMPUTED_VALUE"""),"")</f>
        <v/>
      </c>
      <c r="E1270" t="str">
        <f ca="1">IFERROR(__xludf.DUMMYFUNCTION("""COMPUTED_VALUE"""),"江佩穎")</f>
        <v>江佩穎</v>
      </c>
    </row>
    <row r="1271" spans="1:5" ht="15" customHeight="1">
      <c r="A1271" s="121"/>
      <c r="C1271" t="str">
        <f ca="1">IFERROR(__xludf.DUMMYFUNCTION("""COMPUTED_VALUE"""),"AB001511")</f>
        <v>AB001511</v>
      </c>
      <c r="D1271" t="str">
        <f ca="1">IFERROR(__xludf.DUMMYFUNCTION("""COMPUTED_VALUE"""),"")</f>
        <v/>
      </c>
      <c r="E1271" t="str">
        <f ca="1">IFERROR(__xludf.DUMMYFUNCTION("""COMPUTED_VALUE"""),"陳泓達")</f>
        <v>陳泓達</v>
      </c>
    </row>
    <row r="1272" spans="1:5" ht="15" customHeight="1">
      <c r="A1272" s="121"/>
      <c r="C1272" t="str">
        <f ca="1">IFERROR(__xludf.DUMMYFUNCTION("""COMPUTED_VALUE"""),"AB001512")</f>
        <v>AB001512</v>
      </c>
      <c r="D1272" t="str">
        <f ca="1">IFERROR(__xludf.DUMMYFUNCTION("""COMPUTED_VALUE"""),"")</f>
        <v/>
      </c>
      <c r="E1272" t="str">
        <f ca="1">IFERROR(__xludf.DUMMYFUNCTION("""COMPUTED_VALUE"""),"鄭碧蓮")</f>
        <v>鄭碧蓮</v>
      </c>
    </row>
    <row r="1273" spans="1:5" ht="15" customHeight="1">
      <c r="A1273" s="121"/>
      <c r="C1273" t="str">
        <f ca="1">IFERROR(__xludf.DUMMYFUNCTION("""COMPUTED_VALUE"""),"AB001098")</f>
        <v>AB001098</v>
      </c>
      <c r="D1273" t="str">
        <f ca="1">IFERROR(__xludf.DUMMYFUNCTION("""COMPUTED_VALUE"""),"")</f>
        <v/>
      </c>
      <c r="E1273" t="str">
        <f ca="1">IFERROR(__xludf.DUMMYFUNCTION("""COMPUTED_VALUE"""),"李永兴")</f>
        <v>李永兴</v>
      </c>
    </row>
    <row r="1274" spans="1:5" ht="15" customHeight="1">
      <c r="A1274" s="121"/>
      <c r="C1274" t="str">
        <f ca="1">IFERROR(__xludf.DUMMYFUNCTION("""COMPUTED_VALUE"""),"AB001387")</f>
        <v>AB001387</v>
      </c>
      <c r="D1274" t="str">
        <f ca="1">IFERROR(__xludf.DUMMYFUNCTION("""COMPUTED_VALUE"""),"")</f>
        <v/>
      </c>
      <c r="E1274" t="str">
        <f ca="1">IFERROR(__xludf.DUMMYFUNCTION("""COMPUTED_VALUE"""),"郭韋伶")</f>
        <v>郭韋伶</v>
      </c>
    </row>
    <row r="1275" spans="1:5" ht="15" customHeight="1">
      <c r="A1275" s="121"/>
      <c r="C1275" t="str">
        <f ca="1">IFERROR(__xludf.DUMMYFUNCTION("""COMPUTED_VALUE"""),"AB001442")</f>
        <v>AB001442</v>
      </c>
      <c r="D1275" t="str">
        <f ca="1">IFERROR(__xludf.DUMMYFUNCTION("""COMPUTED_VALUE"""),"")</f>
        <v/>
      </c>
      <c r="E1275" t="str">
        <f ca="1">IFERROR(__xludf.DUMMYFUNCTION("""COMPUTED_VALUE"""),"張新和")</f>
        <v>張新和</v>
      </c>
    </row>
    <row r="1276" spans="1:5" ht="15" customHeight="1">
      <c r="A1276" s="121"/>
      <c r="C1276" t="str">
        <f ca="1">IFERROR(__xludf.DUMMYFUNCTION("""COMPUTED_VALUE"""),"AB001443")</f>
        <v>AB001443</v>
      </c>
      <c r="D1276" t="str">
        <f ca="1">IFERROR(__xludf.DUMMYFUNCTION("""COMPUTED_VALUE"""),"")</f>
        <v/>
      </c>
      <c r="E1276" t="str">
        <f ca="1">IFERROR(__xludf.DUMMYFUNCTION("""COMPUTED_VALUE"""),"林文德")</f>
        <v>林文德</v>
      </c>
    </row>
    <row r="1277" spans="1:5" ht="15" customHeight="1">
      <c r="A1277" s="121"/>
      <c r="C1277" t="str">
        <f ca="1">IFERROR(__xludf.DUMMYFUNCTION("""COMPUTED_VALUE"""),"AB001513")</f>
        <v>AB001513</v>
      </c>
      <c r="D1277" t="str">
        <f ca="1">IFERROR(__xludf.DUMMYFUNCTION("""COMPUTED_VALUE"""),"")</f>
        <v/>
      </c>
      <c r="E1277" t="str">
        <f ca="1">IFERROR(__xludf.DUMMYFUNCTION("""COMPUTED_VALUE"""),"楊雯")</f>
        <v>楊雯</v>
      </c>
    </row>
    <row r="1278" spans="1:5" ht="15" customHeight="1">
      <c r="A1278" s="121"/>
      <c r="C1278" t="str">
        <f ca="1">IFERROR(__xludf.DUMMYFUNCTION("""COMPUTED_VALUE"""),"AB001445")</f>
        <v>AB001445</v>
      </c>
      <c r="D1278" t="str">
        <f ca="1">IFERROR(__xludf.DUMMYFUNCTION("""COMPUTED_VALUE"""),"")</f>
        <v/>
      </c>
      <c r="E1278" t="str">
        <f ca="1">IFERROR(__xludf.DUMMYFUNCTION("""COMPUTED_VALUE"""),"楊蕙霞")</f>
        <v>楊蕙霞</v>
      </c>
    </row>
    <row r="1279" spans="1:5" ht="15" customHeight="1">
      <c r="A1279" s="121"/>
      <c r="C1279" t="str">
        <f ca="1">IFERROR(__xludf.DUMMYFUNCTION("""COMPUTED_VALUE"""),"AB001514")</f>
        <v>AB001514</v>
      </c>
      <c r="D1279" t="str">
        <f ca="1">IFERROR(__xludf.DUMMYFUNCTION("""COMPUTED_VALUE"""),"")</f>
        <v/>
      </c>
      <c r="E1279" t="str">
        <f ca="1">IFERROR(__xludf.DUMMYFUNCTION("""COMPUTED_VALUE"""),"黃苡瑄")</f>
        <v>黃苡瑄</v>
      </c>
    </row>
    <row r="1280" spans="1:5" ht="15" customHeight="1">
      <c r="A1280" s="121"/>
      <c r="C1280" t="str">
        <f ca="1">IFERROR(__xludf.DUMMYFUNCTION("""COMPUTED_VALUE"""),"AB001518")</f>
        <v>AB001518</v>
      </c>
      <c r="D1280" t="str">
        <f ca="1">IFERROR(__xludf.DUMMYFUNCTION("""COMPUTED_VALUE"""),"")</f>
        <v/>
      </c>
      <c r="E1280" t="str">
        <f ca="1">IFERROR(__xludf.DUMMYFUNCTION("""COMPUTED_VALUE"""),"大江生醫股份有限公司")</f>
        <v>大江生醫股份有限公司</v>
      </c>
    </row>
    <row r="1281" spans="1:5" ht="15" customHeight="1">
      <c r="A1281" s="121"/>
      <c r="C1281" t="str">
        <f ca="1">IFERROR(__xludf.DUMMYFUNCTION("""COMPUTED_VALUE"""),"AB001518")</f>
        <v>AB001518</v>
      </c>
      <c r="D1281" t="str">
        <f ca="1">IFERROR(__xludf.DUMMYFUNCTION("""COMPUTED_VALUE"""),"")</f>
        <v/>
      </c>
      <c r="E1281" t="str">
        <f ca="1">IFERROR(__xludf.DUMMYFUNCTION("""COMPUTED_VALUE"""),"大江生醫股份有限公司")</f>
        <v>大江生醫股份有限公司</v>
      </c>
    </row>
    <row r="1282" spans="1:5" ht="15" customHeight="1">
      <c r="A1282" s="121"/>
      <c r="C1282" t="str">
        <f ca="1">IFERROR(__xludf.DUMMYFUNCTION("""COMPUTED_VALUE"""),"AB001518")</f>
        <v>AB001518</v>
      </c>
      <c r="D1282" t="str">
        <f ca="1">IFERROR(__xludf.DUMMYFUNCTION("""COMPUTED_VALUE"""),"")</f>
        <v/>
      </c>
      <c r="E1282" t="str">
        <f ca="1">IFERROR(__xludf.DUMMYFUNCTION("""COMPUTED_VALUE"""),"大江生醫股份有限公司")</f>
        <v>大江生醫股份有限公司</v>
      </c>
    </row>
    <row r="1283" spans="1:5" ht="15" customHeight="1">
      <c r="A1283" s="121"/>
      <c r="C1283" t="str">
        <f ca="1">IFERROR(__xludf.DUMMYFUNCTION("""COMPUTED_VALUE"""),"AB001518")</f>
        <v>AB001518</v>
      </c>
      <c r="D1283" t="str">
        <f ca="1">IFERROR(__xludf.DUMMYFUNCTION("""COMPUTED_VALUE"""),"")</f>
        <v/>
      </c>
      <c r="E1283" t="str">
        <f ca="1">IFERROR(__xludf.DUMMYFUNCTION("""COMPUTED_VALUE"""),"大江生醫股份有限公司")</f>
        <v>大江生醫股份有限公司</v>
      </c>
    </row>
    <row r="1284" spans="1:5" ht="15" customHeight="1">
      <c r="A1284" s="121"/>
      <c r="C1284" t="str">
        <f ca="1">IFERROR(__xludf.DUMMYFUNCTION("""COMPUTED_VALUE"""),"AB001515")</f>
        <v>AB001515</v>
      </c>
      <c r="D1284" t="str">
        <f ca="1">IFERROR(__xludf.DUMMYFUNCTION("""COMPUTED_VALUE"""),"")</f>
        <v/>
      </c>
      <c r="E1284" t="str">
        <f ca="1">IFERROR(__xludf.DUMMYFUNCTION("""COMPUTED_VALUE"""),"李光威")</f>
        <v>李光威</v>
      </c>
    </row>
    <row r="1285" spans="1:5" ht="15" customHeight="1">
      <c r="A1285" s="121"/>
      <c r="C1285" t="str">
        <f ca="1">IFERROR(__xludf.DUMMYFUNCTION("""COMPUTED_VALUE"""),"AB001446")</f>
        <v>AB001446</v>
      </c>
      <c r="D1285" t="str">
        <f ca="1">IFERROR(__xludf.DUMMYFUNCTION("""COMPUTED_VALUE"""),"")</f>
        <v/>
      </c>
      <c r="E1285" t="str">
        <f ca="1">IFERROR(__xludf.DUMMYFUNCTION("""COMPUTED_VALUE"""),"陳森榮")</f>
        <v>陳森榮</v>
      </c>
    </row>
    <row r="1286" spans="1:5" ht="15" customHeight="1">
      <c r="A1286" s="121"/>
      <c r="C1286" t="str">
        <f ca="1">IFERROR(__xludf.DUMMYFUNCTION("""COMPUTED_VALUE"""),"AB001447")</f>
        <v>AB001447</v>
      </c>
      <c r="D1286" t="str">
        <f ca="1">IFERROR(__xludf.DUMMYFUNCTION("""COMPUTED_VALUE"""),"")</f>
        <v/>
      </c>
      <c r="E1286" t="str">
        <f ca="1">IFERROR(__xludf.DUMMYFUNCTION("""COMPUTED_VALUE"""),"李立元")</f>
        <v>李立元</v>
      </c>
    </row>
    <row r="1287" spans="1:5" ht="15" customHeight="1">
      <c r="A1287" s="121"/>
      <c r="C1287" t="str">
        <f ca="1">IFERROR(__xludf.DUMMYFUNCTION("""COMPUTED_VALUE"""),"AB001523")</f>
        <v>AB001523</v>
      </c>
      <c r="D1287" t="str">
        <f ca="1">IFERROR(__xludf.DUMMYFUNCTION("""COMPUTED_VALUE"""),"")</f>
        <v/>
      </c>
      <c r="E1287" t="str">
        <f ca="1">IFERROR(__xludf.DUMMYFUNCTION("""COMPUTED_VALUE"""),"李冠瑩")</f>
        <v>李冠瑩</v>
      </c>
    </row>
    <row r="1288" spans="1:5" ht="15" customHeight="1">
      <c r="A1288" s="121"/>
      <c r="C1288" t="str">
        <f ca="1">IFERROR(__xludf.DUMMYFUNCTION("""COMPUTED_VALUE"""),"AB001463")</f>
        <v>AB001463</v>
      </c>
      <c r="D1288" t="str">
        <f ca="1">IFERROR(__xludf.DUMMYFUNCTION("""COMPUTED_VALUE"""),"")</f>
        <v/>
      </c>
      <c r="E1288" s="205" t="str">
        <f ca="1">IFERROR(__xludf.DUMMYFUNCTION("""COMPUTED_VALUE"""),"大江生醫職工福利委員會")</f>
        <v>大江生醫職工福利委員會</v>
      </c>
    </row>
    <row r="1289" spans="1:5" ht="15" customHeight="1">
      <c r="A1289" s="121"/>
      <c r="C1289" t="str">
        <f ca="1">IFERROR(__xludf.DUMMYFUNCTION("""COMPUTED_VALUE"""),"AB001463")</f>
        <v>AB001463</v>
      </c>
      <c r="D1289" t="str">
        <f ca="1">IFERROR(__xludf.DUMMYFUNCTION("""COMPUTED_VALUE"""),"")</f>
        <v/>
      </c>
      <c r="E1289" s="205" t="str">
        <f ca="1">IFERROR(__xludf.DUMMYFUNCTION("""COMPUTED_VALUE"""),"大江生醫職工福利委員會")</f>
        <v>大江生醫職工福利委員會</v>
      </c>
    </row>
    <row r="1290" spans="1:5" ht="15" customHeight="1">
      <c r="A1290" s="121"/>
      <c r="C1290" t="str">
        <f ca="1">IFERROR(__xludf.DUMMYFUNCTION("""COMPUTED_VALUE"""),"AB001463")</f>
        <v>AB001463</v>
      </c>
      <c r="D1290" t="str">
        <f ca="1">IFERROR(__xludf.DUMMYFUNCTION("""COMPUTED_VALUE"""),"")</f>
        <v/>
      </c>
      <c r="E1290" s="205" t="str">
        <f ca="1">IFERROR(__xludf.DUMMYFUNCTION("""COMPUTED_VALUE"""),"大江生醫職工福利委員會")</f>
        <v>大江生醫職工福利委員會</v>
      </c>
    </row>
    <row r="1291" spans="1:5" ht="15" customHeight="1">
      <c r="A1291" s="121"/>
      <c r="C1291" t="str">
        <f ca="1">IFERROR(__xludf.DUMMYFUNCTION("""COMPUTED_VALUE"""),"AB001463")</f>
        <v>AB001463</v>
      </c>
      <c r="D1291" t="str">
        <f ca="1">IFERROR(__xludf.DUMMYFUNCTION("""COMPUTED_VALUE"""),"")</f>
        <v/>
      </c>
      <c r="E1291" s="205" t="str">
        <f ca="1">IFERROR(__xludf.DUMMYFUNCTION("""COMPUTED_VALUE"""),"大江生醫職工福利委員會")</f>
        <v>大江生醫職工福利委員會</v>
      </c>
    </row>
    <row r="1292" spans="1:5" ht="15" customHeight="1">
      <c r="A1292" s="121"/>
      <c r="C1292" t="str">
        <f ca="1">IFERROR(__xludf.DUMMYFUNCTION("""COMPUTED_VALUE"""),"AB001463")</f>
        <v>AB001463</v>
      </c>
      <c r="D1292" t="str">
        <f ca="1">IFERROR(__xludf.DUMMYFUNCTION("""COMPUTED_VALUE"""),"")</f>
        <v/>
      </c>
      <c r="E1292" s="205" t="str">
        <f ca="1">IFERROR(__xludf.DUMMYFUNCTION("""COMPUTED_VALUE"""),"大江生醫職工福利委員會")</f>
        <v>大江生醫職工福利委員會</v>
      </c>
    </row>
    <row r="1293" spans="1:5" ht="15" customHeight="1">
      <c r="A1293" s="121"/>
      <c r="C1293" t="str">
        <f ca="1">IFERROR(__xludf.DUMMYFUNCTION("""COMPUTED_VALUE"""),"AB001463")</f>
        <v>AB001463</v>
      </c>
      <c r="D1293" t="str">
        <f ca="1">IFERROR(__xludf.DUMMYFUNCTION("""COMPUTED_VALUE"""),"")</f>
        <v/>
      </c>
      <c r="E1293" s="205" t="str">
        <f ca="1">IFERROR(__xludf.DUMMYFUNCTION("""COMPUTED_VALUE"""),"大江生醫職工福利委員會")</f>
        <v>大江生醫職工福利委員會</v>
      </c>
    </row>
    <row r="1294" spans="1:5" ht="15" customHeight="1">
      <c r="A1294" s="121"/>
      <c r="C1294" t="str">
        <f ca="1">IFERROR(__xludf.DUMMYFUNCTION("""COMPUTED_VALUE"""),"AB001463")</f>
        <v>AB001463</v>
      </c>
      <c r="D1294" t="str">
        <f ca="1">IFERROR(__xludf.DUMMYFUNCTION("""COMPUTED_VALUE"""),"")</f>
        <v/>
      </c>
      <c r="E1294" s="205" t="str">
        <f ca="1">IFERROR(__xludf.DUMMYFUNCTION("""COMPUTED_VALUE"""),"大江生醫職工福利委員會")</f>
        <v>大江生醫職工福利委員會</v>
      </c>
    </row>
    <row r="1295" spans="1:5" ht="15" customHeight="1">
      <c r="A1295" s="121"/>
      <c r="C1295" t="str">
        <f ca="1">IFERROR(__xludf.DUMMYFUNCTION("""COMPUTED_VALUE"""),"AB001463")</f>
        <v>AB001463</v>
      </c>
      <c r="D1295" t="str">
        <f ca="1">IFERROR(__xludf.DUMMYFUNCTION("""COMPUTED_VALUE"""),"")</f>
        <v/>
      </c>
      <c r="E1295" s="205" t="str">
        <f ca="1">IFERROR(__xludf.DUMMYFUNCTION("""COMPUTED_VALUE"""),"大江生醫職工福利委員會")</f>
        <v>大江生醫職工福利委員會</v>
      </c>
    </row>
    <row r="1296" spans="1:5" ht="15" customHeight="1">
      <c r="A1296" s="121"/>
      <c r="C1296" t="str">
        <f ca="1">IFERROR(__xludf.DUMMYFUNCTION("""COMPUTED_VALUE"""),"AB001463")</f>
        <v>AB001463</v>
      </c>
      <c r="D1296" t="str">
        <f ca="1">IFERROR(__xludf.DUMMYFUNCTION("""COMPUTED_VALUE"""),"")</f>
        <v/>
      </c>
      <c r="E1296" s="205" t="str">
        <f ca="1">IFERROR(__xludf.DUMMYFUNCTION("""COMPUTED_VALUE"""),"大江生醫職工福利委員會")</f>
        <v>大江生醫職工福利委員會</v>
      </c>
    </row>
    <row r="1297" spans="1:5" ht="15" customHeight="1">
      <c r="A1297" s="121"/>
      <c r="C1297" t="str">
        <f ca="1">IFERROR(__xludf.DUMMYFUNCTION("""COMPUTED_VALUE"""),"AB001463")</f>
        <v>AB001463</v>
      </c>
      <c r="D1297" t="str">
        <f ca="1">IFERROR(__xludf.DUMMYFUNCTION("""COMPUTED_VALUE"""),"")</f>
        <v/>
      </c>
      <c r="E1297" s="205" t="str">
        <f ca="1">IFERROR(__xludf.DUMMYFUNCTION("""COMPUTED_VALUE"""),"大江生醫職工福利委員會")</f>
        <v>大江生醫職工福利委員會</v>
      </c>
    </row>
    <row r="1298" spans="1:5" ht="15" customHeight="1">
      <c r="A1298" s="121"/>
      <c r="C1298" t="str">
        <f ca="1">IFERROR(__xludf.DUMMYFUNCTION("""COMPUTED_VALUE"""),"AB001463")</f>
        <v>AB001463</v>
      </c>
      <c r="D1298" t="str">
        <f ca="1">IFERROR(__xludf.DUMMYFUNCTION("""COMPUTED_VALUE"""),"")</f>
        <v/>
      </c>
      <c r="E1298" s="205" t="str">
        <f ca="1">IFERROR(__xludf.DUMMYFUNCTION("""COMPUTED_VALUE"""),"大江生醫職工福利委員會")</f>
        <v>大江生醫職工福利委員會</v>
      </c>
    </row>
    <row r="1299" spans="1:5" ht="15" customHeight="1">
      <c r="A1299" s="121"/>
      <c r="C1299" t="str">
        <f ca="1">IFERROR(__xludf.DUMMYFUNCTION("""COMPUTED_VALUE"""),"AB001463")</f>
        <v>AB001463</v>
      </c>
      <c r="D1299" t="str">
        <f ca="1">IFERROR(__xludf.DUMMYFUNCTION("""COMPUTED_VALUE"""),"")</f>
        <v/>
      </c>
      <c r="E1299" s="205" t="str">
        <f ca="1">IFERROR(__xludf.DUMMYFUNCTION("""COMPUTED_VALUE"""),"大江生醫職工福利委員會")</f>
        <v>大江生醫職工福利委員會</v>
      </c>
    </row>
    <row r="1300" spans="1:5" ht="15" customHeight="1">
      <c r="A1300" s="121"/>
      <c r="C1300" t="str">
        <f ca="1">IFERROR(__xludf.DUMMYFUNCTION("""COMPUTED_VALUE"""),"AB001463")</f>
        <v>AB001463</v>
      </c>
      <c r="D1300" t="str">
        <f ca="1">IFERROR(__xludf.DUMMYFUNCTION("""COMPUTED_VALUE"""),"")</f>
        <v/>
      </c>
      <c r="E1300" s="205" t="str">
        <f ca="1">IFERROR(__xludf.DUMMYFUNCTION("""COMPUTED_VALUE"""),"大江生醫職工福利委員會")</f>
        <v>大江生醫職工福利委員會</v>
      </c>
    </row>
    <row r="1301" spans="1:5" ht="15" customHeight="1">
      <c r="A1301" s="121"/>
      <c r="C1301" t="str">
        <f ca="1">IFERROR(__xludf.DUMMYFUNCTION("""COMPUTED_VALUE"""),"AB001464")</f>
        <v>AB001464</v>
      </c>
      <c r="D1301" t="str">
        <f ca="1">IFERROR(__xludf.DUMMYFUNCTION("""COMPUTED_VALUE"""),"")</f>
        <v/>
      </c>
      <c r="E1301" s="205" t="str">
        <f ca="1">IFERROR(__xludf.DUMMYFUNCTION("""COMPUTED_VALUE"""),"大江生醫職工福利委員會")</f>
        <v>大江生醫職工福利委員會</v>
      </c>
    </row>
    <row r="1302" spans="1:5" ht="15" customHeight="1">
      <c r="A1302" s="121"/>
      <c r="C1302" t="str">
        <f ca="1">IFERROR(__xludf.DUMMYFUNCTION("""COMPUTED_VALUE"""),"AB001464")</f>
        <v>AB001464</v>
      </c>
      <c r="D1302" t="str">
        <f ca="1">IFERROR(__xludf.DUMMYFUNCTION("""COMPUTED_VALUE"""),"")</f>
        <v/>
      </c>
      <c r="E1302" s="205" t="str">
        <f ca="1">IFERROR(__xludf.DUMMYFUNCTION("""COMPUTED_VALUE"""),"大江生醫職工福利委員會")</f>
        <v>大江生醫職工福利委員會</v>
      </c>
    </row>
    <row r="1303" spans="1:5" ht="15" customHeight="1">
      <c r="A1303" s="121"/>
      <c r="C1303" t="str">
        <f ca="1">IFERROR(__xludf.DUMMYFUNCTION("""COMPUTED_VALUE"""),"AB001464")</f>
        <v>AB001464</v>
      </c>
      <c r="D1303" t="str">
        <f ca="1">IFERROR(__xludf.DUMMYFUNCTION("""COMPUTED_VALUE"""),"")</f>
        <v/>
      </c>
      <c r="E1303" s="205" t="str">
        <f ca="1">IFERROR(__xludf.DUMMYFUNCTION("""COMPUTED_VALUE"""),"大江生醫職工福利委員會")</f>
        <v>大江生醫職工福利委員會</v>
      </c>
    </row>
    <row r="1304" spans="1:5" ht="15" customHeight="1">
      <c r="A1304" s="121"/>
      <c r="C1304" t="str">
        <f ca="1">IFERROR(__xludf.DUMMYFUNCTION("""COMPUTED_VALUE"""),"AB001519")</f>
        <v>AB001519</v>
      </c>
      <c r="D1304" t="str">
        <f ca="1">IFERROR(__xludf.DUMMYFUNCTION("""COMPUTED_VALUE"""),"")</f>
        <v/>
      </c>
      <c r="E1304" s="205" t="str">
        <f ca="1">IFERROR(__xludf.DUMMYFUNCTION("""COMPUTED_VALUE"""),"大江生醫職工福利委員會")</f>
        <v>大江生醫職工福利委員會</v>
      </c>
    </row>
    <row r="1305" spans="1:5" ht="15" customHeight="1">
      <c r="A1305" s="121"/>
      <c r="C1305" t="str">
        <f ca="1">IFERROR(__xludf.DUMMYFUNCTION("""COMPUTED_VALUE"""),"AB001519")</f>
        <v>AB001519</v>
      </c>
      <c r="D1305" t="str">
        <f ca="1">IFERROR(__xludf.DUMMYFUNCTION("""COMPUTED_VALUE"""),"")</f>
        <v/>
      </c>
      <c r="E1305" s="205" t="str">
        <f ca="1">IFERROR(__xludf.DUMMYFUNCTION("""COMPUTED_VALUE"""),"大江生醫職工福利委員會")</f>
        <v>大江生醫職工福利委員會</v>
      </c>
    </row>
    <row r="1306" spans="1:5" ht="15" customHeight="1">
      <c r="A1306" s="121"/>
      <c r="C1306" t="str">
        <f ca="1">IFERROR(__xludf.DUMMYFUNCTION("""COMPUTED_VALUE"""),"AB001519")</f>
        <v>AB001519</v>
      </c>
      <c r="D1306" t="str">
        <f ca="1">IFERROR(__xludf.DUMMYFUNCTION("""COMPUTED_VALUE"""),"")</f>
        <v/>
      </c>
      <c r="E1306" s="205" t="str">
        <f ca="1">IFERROR(__xludf.DUMMYFUNCTION("""COMPUTED_VALUE"""),"大江生醫職工福利委員會")</f>
        <v>大江生醫職工福利委員會</v>
      </c>
    </row>
    <row r="1307" spans="1:5" ht="15" customHeight="1">
      <c r="A1307" s="121"/>
      <c r="C1307" t="str">
        <f ca="1">IFERROR(__xludf.DUMMYFUNCTION("""COMPUTED_VALUE"""),"AB001519")</f>
        <v>AB001519</v>
      </c>
      <c r="D1307" t="str">
        <f ca="1">IFERROR(__xludf.DUMMYFUNCTION("""COMPUTED_VALUE"""),"")</f>
        <v/>
      </c>
      <c r="E1307" s="205" t="str">
        <f ca="1">IFERROR(__xludf.DUMMYFUNCTION("""COMPUTED_VALUE"""),"大江生醫職工福利委員會")</f>
        <v>大江生醫職工福利委員會</v>
      </c>
    </row>
    <row r="1308" spans="1:5" ht="15" customHeight="1">
      <c r="A1308" s="121"/>
      <c r="C1308" t="str">
        <f ca="1">IFERROR(__xludf.DUMMYFUNCTION("""COMPUTED_VALUE"""),"AB001519")</f>
        <v>AB001519</v>
      </c>
      <c r="D1308" t="str">
        <f ca="1">IFERROR(__xludf.DUMMYFUNCTION("""COMPUTED_VALUE"""),"")</f>
        <v/>
      </c>
      <c r="E1308" s="205" t="str">
        <f ca="1">IFERROR(__xludf.DUMMYFUNCTION("""COMPUTED_VALUE"""),"大江生醫職工福利委員會")</f>
        <v>大江生醫職工福利委員會</v>
      </c>
    </row>
    <row r="1309" spans="1:5" ht="15" customHeight="1">
      <c r="A1309" s="121"/>
      <c r="C1309" t="str">
        <f ca="1">IFERROR(__xludf.DUMMYFUNCTION("""COMPUTED_VALUE"""),"AB001519")</f>
        <v>AB001519</v>
      </c>
      <c r="D1309" t="str">
        <f ca="1">IFERROR(__xludf.DUMMYFUNCTION("""COMPUTED_VALUE"""),"")</f>
        <v/>
      </c>
      <c r="E1309" s="205" t="str">
        <f ca="1">IFERROR(__xludf.DUMMYFUNCTION("""COMPUTED_VALUE"""),"大江生醫職工福利委員會")</f>
        <v>大江生醫職工福利委員會</v>
      </c>
    </row>
    <row r="1310" spans="1:5" ht="15" customHeight="1">
      <c r="A1310" s="121"/>
      <c r="C1310" t="str">
        <f ca="1">IFERROR(__xludf.DUMMYFUNCTION("""COMPUTED_VALUE"""),"AB001519")</f>
        <v>AB001519</v>
      </c>
      <c r="D1310" t="str">
        <f ca="1">IFERROR(__xludf.DUMMYFUNCTION("""COMPUTED_VALUE"""),"")</f>
        <v/>
      </c>
      <c r="E1310" s="205" t="str">
        <f ca="1">IFERROR(__xludf.DUMMYFUNCTION("""COMPUTED_VALUE"""),"大江生醫職工福利委員會")</f>
        <v>大江生醫職工福利委員會</v>
      </c>
    </row>
    <row r="1311" spans="1:5" ht="15" customHeight="1">
      <c r="A1311" s="121"/>
      <c r="C1311" t="str">
        <f ca="1">IFERROR(__xludf.DUMMYFUNCTION("""COMPUTED_VALUE"""),"AB001519")</f>
        <v>AB001519</v>
      </c>
      <c r="D1311" t="str">
        <f ca="1">IFERROR(__xludf.DUMMYFUNCTION("""COMPUTED_VALUE"""),"")</f>
        <v/>
      </c>
      <c r="E1311" s="205" t="str">
        <f ca="1">IFERROR(__xludf.DUMMYFUNCTION("""COMPUTED_VALUE"""),"大江生醫職工福利委員會")</f>
        <v>大江生醫職工福利委員會</v>
      </c>
    </row>
    <row r="1312" spans="1:5" ht="15" customHeight="1">
      <c r="A1312" s="121"/>
      <c r="C1312" t="str">
        <f ca="1">IFERROR(__xludf.DUMMYFUNCTION("""COMPUTED_VALUE"""),"AB001519")</f>
        <v>AB001519</v>
      </c>
      <c r="D1312" t="str">
        <f ca="1">IFERROR(__xludf.DUMMYFUNCTION("""COMPUTED_VALUE"""),"")</f>
        <v/>
      </c>
      <c r="E1312" s="205" t="str">
        <f ca="1">IFERROR(__xludf.DUMMYFUNCTION("""COMPUTED_VALUE"""),"大江生醫職工福利委員會")</f>
        <v>大江生醫職工福利委員會</v>
      </c>
    </row>
    <row r="1313" spans="1:5" ht="15" customHeight="1">
      <c r="A1313" s="121"/>
      <c r="C1313" t="str">
        <f ca="1">IFERROR(__xludf.DUMMYFUNCTION("""COMPUTED_VALUE"""),"AB001519")</f>
        <v>AB001519</v>
      </c>
      <c r="D1313" t="str">
        <f ca="1">IFERROR(__xludf.DUMMYFUNCTION("""COMPUTED_VALUE"""),"")</f>
        <v/>
      </c>
      <c r="E1313" s="205" t="str">
        <f ca="1">IFERROR(__xludf.DUMMYFUNCTION("""COMPUTED_VALUE"""),"大江生醫職工福利委員會")</f>
        <v>大江生醫職工福利委員會</v>
      </c>
    </row>
    <row r="1314" spans="1:5" ht="15" customHeight="1">
      <c r="A1314" s="121"/>
      <c r="C1314" t="str">
        <f ca="1">IFERROR(__xludf.DUMMYFUNCTION("""COMPUTED_VALUE"""),"AB001519")</f>
        <v>AB001519</v>
      </c>
      <c r="D1314" t="str">
        <f ca="1">IFERROR(__xludf.DUMMYFUNCTION("""COMPUTED_VALUE"""),"")</f>
        <v/>
      </c>
      <c r="E1314" s="205" t="str">
        <f ca="1">IFERROR(__xludf.DUMMYFUNCTION("""COMPUTED_VALUE"""),"大江生醫職工福利委員會")</f>
        <v>大江生醫職工福利委員會</v>
      </c>
    </row>
    <row r="1315" spans="1:5" ht="15" customHeight="1">
      <c r="A1315" s="121"/>
      <c r="C1315" t="str">
        <f ca="1">IFERROR(__xludf.DUMMYFUNCTION("""COMPUTED_VALUE"""),"AB001520")</f>
        <v>AB001520</v>
      </c>
      <c r="D1315" t="str">
        <f ca="1">IFERROR(__xludf.DUMMYFUNCTION("""COMPUTED_VALUE"""),"")</f>
        <v/>
      </c>
      <c r="E1315" t="str">
        <f ca="1">IFERROR(__xludf.DUMMYFUNCTION("""COMPUTED_VALUE"""),"大江生活股份有限公司")</f>
        <v>大江生活股份有限公司</v>
      </c>
    </row>
    <row r="1316" spans="1:5" ht="15" customHeight="1">
      <c r="A1316" s="121"/>
      <c r="C1316" t="str">
        <f ca="1">IFERROR(__xludf.DUMMYFUNCTION("""COMPUTED_VALUE"""),"AB001521")</f>
        <v>AB001521</v>
      </c>
      <c r="D1316" t="str">
        <f ca="1">IFERROR(__xludf.DUMMYFUNCTION("""COMPUTED_VALUE"""),"")</f>
        <v/>
      </c>
      <c r="E1316" t="str">
        <f ca="1">IFERROR(__xludf.DUMMYFUNCTION("""COMPUTED_VALUE"""),"大江基因醫學股份有限公司(員購)")</f>
        <v>大江基因醫學股份有限公司(員購)</v>
      </c>
    </row>
    <row r="1317" spans="1:5" ht="15" customHeight="1">
      <c r="A1317" s="121"/>
      <c r="C1317" t="str">
        <f ca="1">IFERROR(__xludf.DUMMYFUNCTION("""COMPUTED_VALUE"""),"AB001317")</f>
        <v>AB001317</v>
      </c>
      <c r="D1317" t="str">
        <f ca="1">IFERROR(__xludf.DUMMYFUNCTION("""COMPUTED_VALUE"""),"")</f>
        <v/>
      </c>
      <c r="E1317" t="str">
        <f ca="1">IFERROR(__xludf.DUMMYFUNCTION("""COMPUTED_VALUE"""),"賴貞吾")</f>
        <v>賴貞吾</v>
      </c>
    </row>
    <row r="1318" spans="1:5" ht="15" customHeight="1">
      <c r="A1318" s="121"/>
      <c r="C1318" t="str">
        <f ca="1">IFERROR(__xludf.DUMMYFUNCTION("""COMPUTED_VALUE"""),"AB001448")</f>
        <v>AB001448</v>
      </c>
      <c r="D1318" t="str">
        <f ca="1">IFERROR(__xludf.DUMMYFUNCTION("""COMPUTED_VALUE"""),"")</f>
        <v/>
      </c>
      <c r="E1318" t="str">
        <f ca="1">IFERROR(__xludf.DUMMYFUNCTION("""COMPUTED_VALUE"""),"林秀娟")</f>
        <v>林秀娟</v>
      </c>
    </row>
    <row r="1319" spans="1:5" ht="15" customHeight="1">
      <c r="A1319" s="121"/>
      <c r="C1319" t="str">
        <f ca="1">IFERROR(__xludf.DUMMYFUNCTION("""COMPUTED_VALUE"""),"AB001517")</f>
        <v>AB001517</v>
      </c>
      <c r="D1319" t="str">
        <f ca="1">IFERROR(__xludf.DUMMYFUNCTION("""COMPUTED_VALUE"""),"")</f>
        <v/>
      </c>
      <c r="E1319" t="str">
        <f ca="1">IFERROR(__xludf.DUMMYFUNCTION("""COMPUTED_VALUE"""),"Vincent.Inos")</f>
        <v>Vincent.Inos</v>
      </c>
    </row>
    <row r="1320" spans="1:5" ht="15" customHeight="1">
      <c r="A1320" s="121"/>
      <c r="C1320" t="str">
        <f ca="1">IFERROR(__xludf.DUMMYFUNCTION("""COMPUTED_VALUE"""),"AB001517")</f>
        <v>AB001517</v>
      </c>
      <c r="D1320" t="str">
        <f ca="1">IFERROR(__xludf.DUMMYFUNCTION("""COMPUTED_VALUE"""),"")</f>
        <v/>
      </c>
      <c r="E1320" t="str">
        <f ca="1">IFERROR(__xludf.DUMMYFUNCTION("""COMPUTED_VALUE"""),"Vincent.Inos")</f>
        <v>Vincent.Inos</v>
      </c>
    </row>
    <row r="1321" spans="1:5" ht="15" customHeight="1">
      <c r="A1321" s="121"/>
      <c r="C1321" t="str">
        <f ca="1">IFERROR(__xludf.DUMMYFUNCTION("""COMPUTED_VALUE"""),"AB001517")</f>
        <v>AB001517</v>
      </c>
      <c r="D1321" t="str">
        <f ca="1">IFERROR(__xludf.DUMMYFUNCTION("""COMPUTED_VALUE"""),"")</f>
        <v/>
      </c>
      <c r="E1321" t="str">
        <f ca="1">IFERROR(__xludf.DUMMYFUNCTION("""COMPUTED_VALUE"""),"Vincent.Inos")</f>
        <v>Vincent.Inos</v>
      </c>
    </row>
    <row r="1322" spans="1:5" ht="15" customHeight="1">
      <c r="A1322" s="121"/>
      <c r="C1322" t="str">
        <f ca="1">IFERROR(__xludf.DUMMYFUNCTION("""COMPUTED_VALUE"""),"AB001517")</f>
        <v>AB001517</v>
      </c>
      <c r="D1322" t="str">
        <f ca="1">IFERROR(__xludf.DUMMYFUNCTION("""COMPUTED_VALUE"""),"")</f>
        <v/>
      </c>
      <c r="E1322" t="str">
        <f ca="1">IFERROR(__xludf.DUMMYFUNCTION("""COMPUTED_VALUE"""),"Vincent.Inos")</f>
        <v>Vincent.Inos</v>
      </c>
    </row>
    <row r="1323" spans="1:5" ht="15" customHeight="1">
      <c r="A1323" s="121"/>
      <c r="C1323" t="str">
        <f ca="1">IFERROR(__xludf.DUMMYFUNCTION("""COMPUTED_VALUE"""),"AB001517")</f>
        <v>AB001517</v>
      </c>
      <c r="D1323" t="str">
        <f ca="1">IFERROR(__xludf.DUMMYFUNCTION("""COMPUTED_VALUE"""),"")</f>
        <v/>
      </c>
      <c r="E1323" t="str">
        <f ca="1">IFERROR(__xludf.DUMMYFUNCTION("""COMPUTED_VALUE"""),"Vincent.Inos")</f>
        <v>Vincent.Inos</v>
      </c>
    </row>
    <row r="1324" spans="1:5" ht="15" customHeight="1">
      <c r="A1324" s="121"/>
      <c r="C1324" t="str">
        <f ca="1">IFERROR(__xludf.DUMMYFUNCTION("""COMPUTED_VALUE"""),"AB001532")</f>
        <v>AB001532</v>
      </c>
      <c r="D1324" t="str">
        <f ca="1">IFERROR(__xludf.DUMMYFUNCTION("""COMPUTED_VALUE"""),"")</f>
        <v/>
      </c>
      <c r="E1324" t="str">
        <f ca="1">IFERROR(__xludf.DUMMYFUNCTION("""COMPUTED_VALUE"""),"愛麗生婦產科")</f>
        <v>愛麗生婦產科</v>
      </c>
    </row>
    <row r="1325" spans="1:5" ht="15" customHeight="1">
      <c r="A1325" s="121"/>
      <c r="C1325" t="str">
        <f ca="1">IFERROR(__xludf.DUMMYFUNCTION("""COMPUTED_VALUE"""),"AB001444")</f>
        <v>AB001444</v>
      </c>
      <c r="D1325" t="str">
        <f ca="1">IFERROR(__xludf.DUMMYFUNCTION("""COMPUTED_VALUE"""),"")</f>
        <v/>
      </c>
      <c r="E1325" t="str">
        <f ca="1">IFERROR(__xludf.DUMMYFUNCTION("""COMPUTED_VALUE"""),"徐琦軒")</f>
        <v>徐琦軒</v>
      </c>
    </row>
    <row r="1326" spans="1:5" ht="15" customHeight="1">
      <c r="A1326" s="121"/>
      <c r="C1326" t="str">
        <f ca="1">IFERROR(__xludf.DUMMYFUNCTION("""COMPUTED_VALUE"""),"AB001450")</f>
        <v>AB001450</v>
      </c>
      <c r="D1326" t="str">
        <f ca="1">IFERROR(__xludf.DUMMYFUNCTION("""COMPUTED_VALUE"""),"")</f>
        <v/>
      </c>
      <c r="E1326" t="str">
        <f ca="1">IFERROR(__xludf.DUMMYFUNCTION("""COMPUTED_VALUE"""),"陳瓊茹")</f>
        <v>陳瓊茹</v>
      </c>
    </row>
    <row r="1327" spans="1:5" ht="15" customHeight="1">
      <c r="A1327" s="121"/>
      <c r="C1327" t="str">
        <f ca="1">IFERROR(__xludf.DUMMYFUNCTION("""COMPUTED_VALUE"""),"AB001524")</f>
        <v>AB001524</v>
      </c>
      <c r="D1327" t="str">
        <f ca="1">IFERROR(__xludf.DUMMYFUNCTION("""COMPUTED_VALUE"""),"")</f>
        <v/>
      </c>
      <c r="E1327" t="str">
        <f ca="1">IFERROR(__xludf.DUMMYFUNCTION("""COMPUTED_VALUE"""),"陳俊良")</f>
        <v>陳俊良</v>
      </c>
    </row>
    <row r="1328" spans="1:5" ht="15" customHeight="1">
      <c r="A1328" s="121"/>
      <c r="C1328" t="str">
        <f ca="1">IFERROR(__xludf.DUMMYFUNCTION("""COMPUTED_VALUE"""),"AB001525")</f>
        <v>AB001525</v>
      </c>
      <c r="D1328" t="str">
        <f ca="1">IFERROR(__xludf.DUMMYFUNCTION("""COMPUTED_VALUE"""),"")</f>
        <v/>
      </c>
      <c r="E1328" t="str">
        <f ca="1">IFERROR(__xludf.DUMMYFUNCTION("""COMPUTED_VALUE"""),"陳彥孜")</f>
        <v>陳彥孜</v>
      </c>
    </row>
    <row r="1329" spans="1:5" ht="15" customHeight="1">
      <c r="A1329" s="121"/>
      <c r="C1329" t="str">
        <f ca="1">IFERROR(__xludf.DUMMYFUNCTION("""COMPUTED_VALUE"""),"AB001526")</f>
        <v>AB001526</v>
      </c>
      <c r="D1329" t="str">
        <f ca="1">IFERROR(__xludf.DUMMYFUNCTION("""COMPUTED_VALUE"""),"")</f>
        <v/>
      </c>
      <c r="E1329" t="str">
        <f ca="1">IFERROR(__xludf.DUMMYFUNCTION("""COMPUTED_VALUE"""),"邢芷瑜")</f>
        <v>邢芷瑜</v>
      </c>
    </row>
    <row r="1330" spans="1:5" ht="15" customHeight="1">
      <c r="A1330" s="121"/>
      <c r="C1330" t="str">
        <f ca="1">IFERROR(__xludf.DUMMYFUNCTION("""COMPUTED_VALUE"""),"AB001526")</f>
        <v>AB001526</v>
      </c>
      <c r="D1330" t="str">
        <f ca="1">IFERROR(__xludf.DUMMYFUNCTION("""COMPUTED_VALUE"""),"")</f>
        <v/>
      </c>
      <c r="E1330" t="str">
        <f ca="1">IFERROR(__xludf.DUMMYFUNCTION("""COMPUTED_VALUE"""),"邢芷瑜")</f>
        <v>邢芷瑜</v>
      </c>
    </row>
    <row r="1331" spans="1:5" ht="15" customHeight="1">
      <c r="A1331" s="121"/>
      <c r="C1331" t="str">
        <f ca="1">IFERROR(__xludf.DUMMYFUNCTION("""COMPUTED_VALUE"""),"AB001533")</f>
        <v>AB001533</v>
      </c>
      <c r="D1331" t="str">
        <f ca="1">IFERROR(__xludf.DUMMYFUNCTION("""COMPUTED_VALUE"""),"")</f>
        <v/>
      </c>
      <c r="E1331" t="str">
        <f ca="1">IFERROR(__xludf.DUMMYFUNCTION("""COMPUTED_VALUE"""),"立人醫事檢驗所")</f>
        <v>立人醫事檢驗所</v>
      </c>
    </row>
    <row r="1332" spans="1:5" ht="15" customHeight="1">
      <c r="A1332" s="121"/>
      <c r="C1332" t="str">
        <f ca="1">IFERROR(__xludf.DUMMYFUNCTION("""COMPUTED_VALUE"""),"AB001249")</f>
        <v>AB001249</v>
      </c>
      <c r="D1332" t="str">
        <f ca="1">IFERROR(__xludf.DUMMYFUNCTION("""COMPUTED_VALUE"""),"")</f>
        <v/>
      </c>
      <c r="E1332" t="str">
        <f ca="1">IFERROR(__xludf.DUMMYFUNCTION("""COMPUTED_VALUE"""),"盧保田")</f>
        <v>盧保田</v>
      </c>
    </row>
    <row r="1333" spans="1:5" ht="15" customHeight="1">
      <c r="A1333" s="121"/>
      <c r="C1333" t="str">
        <f ca="1">IFERROR(__xludf.DUMMYFUNCTION("""COMPUTED_VALUE"""),"AB001249")</f>
        <v>AB001249</v>
      </c>
      <c r="D1333" t="str">
        <f ca="1">IFERROR(__xludf.DUMMYFUNCTION("""COMPUTED_VALUE"""),"")</f>
        <v/>
      </c>
      <c r="E1333" t="str">
        <f ca="1">IFERROR(__xludf.DUMMYFUNCTION("""COMPUTED_VALUE"""),"盧保田")</f>
        <v>盧保田</v>
      </c>
    </row>
    <row r="1334" spans="1:5" ht="15" customHeight="1">
      <c r="A1334" s="121"/>
      <c r="C1334" t="str">
        <f ca="1">IFERROR(__xludf.DUMMYFUNCTION("""COMPUTED_VALUE"""),"AB001528")</f>
        <v>AB001528</v>
      </c>
      <c r="D1334" t="str">
        <f ca="1">IFERROR(__xludf.DUMMYFUNCTION("""COMPUTED_VALUE"""),"")</f>
        <v/>
      </c>
      <c r="E1334" s="207" t="str">
        <f ca="1">IFERROR(__xludf.DUMMYFUNCTION("""COMPUTED_VALUE"""),"林素菁")</f>
        <v>林素菁</v>
      </c>
    </row>
    <row r="1335" spans="1:5" ht="15" customHeight="1">
      <c r="A1335" s="121"/>
      <c r="C1335" t="str">
        <f ca="1">IFERROR(__xludf.DUMMYFUNCTION("""COMPUTED_VALUE"""),"AB001527")</f>
        <v>AB001527</v>
      </c>
      <c r="D1335" t="str">
        <f ca="1">IFERROR(__xludf.DUMMYFUNCTION("""COMPUTED_VALUE"""),"")</f>
        <v/>
      </c>
      <c r="E1335" s="207" t="str">
        <f ca="1">IFERROR(__xludf.DUMMYFUNCTION("""COMPUTED_VALUE"""),"李冠瑩")</f>
        <v>李冠瑩</v>
      </c>
    </row>
    <row r="1336" spans="1:5" ht="15" customHeight="1">
      <c r="A1336" s="121"/>
      <c r="C1336" t="str">
        <f ca="1">IFERROR(__xludf.DUMMYFUNCTION("""COMPUTED_VALUE"""),"AB001551")</f>
        <v>AB001551</v>
      </c>
      <c r="D1336" t="str">
        <f ca="1">IFERROR(__xludf.DUMMYFUNCTION("""COMPUTED_VALUE"""),"")</f>
        <v/>
      </c>
      <c r="E1336" t="str">
        <f ca="1">IFERROR(__xludf.DUMMYFUNCTION("""COMPUTED_VALUE"""),"蔡其昌")</f>
        <v>蔡其昌</v>
      </c>
    </row>
    <row r="1337" spans="1:5" ht="15" customHeight="1">
      <c r="A1337" s="121"/>
      <c r="C1337" t="str">
        <f ca="1">IFERROR(__xludf.DUMMYFUNCTION("""COMPUTED_VALUE"""),"AB001552")</f>
        <v>AB001552</v>
      </c>
      <c r="D1337" t="str">
        <f ca="1">IFERROR(__xludf.DUMMYFUNCTION("""COMPUTED_VALUE"""),"")</f>
        <v/>
      </c>
      <c r="E1337" t="str">
        <f ca="1">IFERROR(__xludf.DUMMYFUNCTION("""COMPUTED_VALUE"""),"楊武男")</f>
        <v>楊武男</v>
      </c>
    </row>
    <row r="1338" spans="1:5" ht="15" customHeight="1">
      <c r="A1338" s="121"/>
      <c r="C1338" t="str">
        <f ca="1">IFERROR(__xludf.DUMMYFUNCTION("""COMPUTED_VALUE"""),"AB001601")</f>
        <v>AB001601</v>
      </c>
      <c r="D1338" t="str">
        <f ca="1">IFERROR(__xludf.DUMMYFUNCTION("""COMPUTED_VALUE"""),"")</f>
        <v/>
      </c>
      <c r="E1338" s="205" t="str">
        <f ca="1">IFERROR(__xludf.DUMMYFUNCTION("""COMPUTED_VALUE"""),"大江生醫職工福利委員會")</f>
        <v>大江生醫職工福利委員會</v>
      </c>
    </row>
    <row r="1339" spans="1:5" ht="15" customHeight="1">
      <c r="A1339" s="121"/>
      <c r="C1339" t="str">
        <f ca="1">IFERROR(__xludf.DUMMYFUNCTION("""COMPUTED_VALUE"""),"AB001614")</f>
        <v>AB001614</v>
      </c>
      <c r="D1339" t="str">
        <f ca="1">IFERROR(__xludf.DUMMYFUNCTION("""COMPUTED_VALUE"""),"")</f>
        <v/>
      </c>
      <c r="E1339" t="str">
        <f ca="1">IFERROR(__xludf.DUMMYFUNCTION("""COMPUTED_VALUE"""),"大江生醫股份有限公司")</f>
        <v>大江生醫股份有限公司</v>
      </c>
    </row>
    <row r="1340" spans="1:5" ht="15" customHeight="1">
      <c r="A1340" s="121"/>
      <c r="C1340" t="str">
        <f ca="1">IFERROR(__xludf.DUMMYFUNCTION("""COMPUTED_VALUE"""),"AB001613")</f>
        <v>AB001613</v>
      </c>
      <c r="D1340" t="str">
        <f ca="1">IFERROR(__xludf.DUMMYFUNCTION("""COMPUTED_VALUE"""),"")</f>
        <v/>
      </c>
      <c r="E1340" t="str">
        <f ca="1">IFERROR(__xludf.DUMMYFUNCTION("""COMPUTED_VALUE"""),"江佩穎")</f>
        <v>江佩穎</v>
      </c>
    </row>
    <row r="1341" spans="1:5" ht="15" customHeight="1">
      <c r="A1341" s="121"/>
      <c r="C1341" t="str">
        <f ca="1">IFERROR(__xludf.DUMMYFUNCTION("""COMPUTED_VALUE"""),"AB001615")</f>
        <v>AB001615</v>
      </c>
      <c r="D1341" t="str">
        <f ca="1">IFERROR(__xludf.DUMMYFUNCTION("""COMPUTED_VALUE"""),"")</f>
        <v/>
      </c>
      <c r="E1341" t="str">
        <f ca="1">IFERROR(__xludf.DUMMYFUNCTION("""COMPUTED_VALUE"""),"葉姿妤")</f>
        <v>葉姿妤</v>
      </c>
    </row>
    <row r="1342" spans="1:5" ht="15" customHeight="1">
      <c r="A1342" s="121"/>
      <c r="C1342" t="str">
        <f ca="1">IFERROR(__xludf.DUMMYFUNCTION("""COMPUTED_VALUE"""),"AB001517")</f>
        <v>AB001517</v>
      </c>
      <c r="D1342" t="str">
        <f ca="1">IFERROR(__xludf.DUMMYFUNCTION("""COMPUTED_VALUE"""),"")</f>
        <v/>
      </c>
      <c r="E1342" t="str">
        <f ca="1">IFERROR(__xludf.DUMMYFUNCTION("""COMPUTED_VALUE"""),"Vincent.Inos")</f>
        <v>Vincent.Inos</v>
      </c>
    </row>
    <row r="1343" spans="1:5" ht="15" customHeight="1">
      <c r="A1343" s="121"/>
      <c r="C1343" t="str">
        <f ca="1">IFERROR(__xludf.DUMMYFUNCTION("""COMPUTED_VALUE"""),"AB001517")</f>
        <v>AB001517</v>
      </c>
      <c r="D1343" t="str">
        <f ca="1">IFERROR(__xludf.DUMMYFUNCTION("""COMPUTED_VALUE"""),"")</f>
        <v/>
      </c>
      <c r="E1343" t="str">
        <f ca="1">IFERROR(__xludf.DUMMYFUNCTION("""COMPUTED_VALUE"""),"Vincent.Inos")</f>
        <v>Vincent.Inos</v>
      </c>
    </row>
    <row r="1344" spans="1:5" ht="15" customHeight="1">
      <c r="A1344" s="121"/>
      <c r="C1344" t="str">
        <f ca="1">IFERROR(__xludf.DUMMYFUNCTION("""COMPUTED_VALUE"""),"AB001517")</f>
        <v>AB001517</v>
      </c>
      <c r="D1344" t="str">
        <f ca="1">IFERROR(__xludf.DUMMYFUNCTION("""COMPUTED_VALUE"""),"")</f>
        <v/>
      </c>
      <c r="E1344" t="str">
        <f ca="1">IFERROR(__xludf.DUMMYFUNCTION("""COMPUTED_VALUE"""),"Vincent")</f>
        <v>Vincent</v>
      </c>
    </row>
    <row r="1345" spans="1:5" ht="15" customHeight="1">
      <c r="A1345" s="121"/>
      <c r="C1345" t="str">
        <f ca="1">IFERROR(__xludf.DUMMYFUNCTION("""COMPUTED_VALUE"""),"AB001517")</f>
        <v>AB001517</v>
      </c>
      <c r="D1345" t="str">
        <f ca="1">IFERROR(__xludf.DUMMYFUNCTION("""COMPUTED_VALUE"""),"")</f>
        <v/>
      </c>
      <c r="E1345" t="str">
        <f ca="1">IFERROR(__xludf.DUMMYFUNCTION("""COMPUTED_VALUE"""),"Vincent")</f>
        <v>Vincent</v>
      </c>
    </row>
    <row r="1346" spans="1:5" ht="15" customHeight="1">
      <c r="A1346" s="121"/>
      <c r="C1346" t="str">
        <f ca="1">IFERROR(__xludf.DUMMYFUNCTION("""COMPUTED_VALUE"""),"AB001517")</f>
        <v>AB001517</v>
      </c>
      <c r="D1346" t="str">
        <f ca="1">IFERROR(__xludf.DUMMYFUNCTION("""COMPUTED_VALUE"""),"")</f>
        <v/>
      </c>
      <c r="E1346" t="str">
        <f ca="1">IFERROR(__xludf.DUMMYFUNCTION("""COMPUTED_VALUE"""),"Vincent")</f>
        <v>Vincent</v>
      </c>
    </row>
    <row r="1347" spans="1:5" ht="15" customHeight="1">
      <c r="A1347" s="121"/>
      <c r="C1347" t="str">
        <f ca="1">IFERROR(__xludf.DUMMYFUNCTION("""COMPUTED_VALUE"""),"AB001517")</f>
        <v>AB001517</v>
      </c>
      <c r="D1347" t="str">
        <f ca="1">IFERROR(__xludf.DUMMYFUNCTION("""COMPUTED_VALUE"""),"")</f>
        <v/>
      </c>
      <c r="E1347" t="str">
        <f ca="1">IFERROR(__xludf.DUMMYFUNCTION("""COMPUTED_VALUE"""),"Vincent")</f>
        <v>Vincent</v>
      </c>
    </row>
    <row r="1348" spans="1:5" ht="15" customHeight="1">
      <c r="A1348" s="121"/>
      <c r="C1348" t="str">
        <f ca="1">IFERROR(__xludf.DUMMYFUNCTION("""COMPUTED_VALUE"""),"AB001517")</f>
        <v>AB001517</v>
      </c>
      <c r="D1348" t="str">
        <f ca="1">IFERROR(__xludf.DUMMYFUNCTION("""COMPUTED_VALUE"""),"")</f>
        <v/>
      </c>
      <c r="E1348" t="str">
        <f ca="1">IFERROR(__xludf.DUMMYFUNCTION("""COMPUTED_VALUE"""),"Vincent")</f>
        <v>Vincent</v>
      </c>
    </row>
    <row r="1349" spans="1:5" ht="15" customHeight="1">
      <c r="A1349" s="121"/>
      <c r="C1349" t="str">
        <f ca="1">IFERROR(__xludf.DUMMYFUNCTION("""COMPUTED_VALUE"""),"AB001517")</f>
        <v>AB001517</v>
      </c>
      <c r="D1349" t="str">
        <f ca="1">IFERROR(__xludf.DUMMYFUNCTION("""COMPUTED_VALUE"""),"")</f>
        <v/>
      </c>
      <c r="E1349" t="str">
        <f ca="1">IFERROR(__xludf.DUMMYFUNCTION("""COMPUTED_VALUE"""),"Vincent")</f>
        <v>Vincent</v>
      </c>
    </row>
    <row r="1350" spans="1:5" ht="15" customHeight="1">
      <c r="A1350" s="121"/>
      <c r="C1350" t="str">
        <f ca="1">IFERROR(__xludf.DUMMYFUNCTION("""COMPUTED_VALUE"""),"AB001517")</f>
        <v>AB001517</v>
      </c>
      <c r="D1350" t="str">
        <f ca="1">IFERROR(__xludf.DUMMYFUNCTION("""COMPUTED_VALUE"""),"")</f>
        <v/>
      </c>
      <c r="E1350" t="str">
        <f ca="1">IFERROR(__xludf.DUMMYFUNCTION("""COMPUTED_VALUE"""),"Vincent")</f>
        <v>Vincent</v>
      </c>
    </row>
    <row r="1351" spans="1:5" ht="15" customHeight="1">
      <c r="A1351" s="121"/>
      <c r="C1351" t="str">
        <f ca="1">IFERROR(__xludf.DUMMYFUNCTION("""COMPUTED_VALUE"""),"AB001517")</f>
        <v>AB001517</v>
      </c>
      <c r="D1351" t="str">
        <f ca="1">IFERROR(__xludf.DUMMYFUNCTION("""COMPUTED_VALUE"""),"")</f>
        <v/>
      </c>
      <c r="E1351" t="str">
        <f ca="1">IFERROR(__xludf.DUMMYFUNCTION("""COMPUTED_VALUE"""),"Vincent")</f>
        <v>Vincent</v>
      </c>
    </row>
    <row r="1352" spans="1:5" ht="15" customHeight="1">
      <c r="A1352" s="121"/>
      <c r="C1352" t="str">
        <f ca="1">IFERROR(__xludf.DUMMYFUNCTION("""COMPUTED_VALUE"""),"AB001517")</f>
        <v>AB001517</v>
      </c>
      <c r="D1352" t="str">
        <f ca="1">IFERROR(__xludf.DUMMYFUNCTION("""COMPUTED_VALUE"""),"")</f>
        <v/>
      </c>
      <c r="E1352" t="str">
        <f ca="1">IFERROR(__xludf.DUMMYFUNCTION("""COMPUTED_VALUE"""),"Vincent")</f>
        <v>Vincent</v>
      </c>
    </row>
    <row r="1353" spans="1:5" ht="15" customHeight="1">
      <c r="A1353" s="121"/>
      <c r="C1353" t="str">
        <f ca="1">IFERROR(__xludf.DUMMYFUNCTION("""COMPUTED_VALUE"""),"AB001517")</f>
        <v>AB001517</v>
      </c>
      <c r="D1353" t="str">
        <f ca="1">IFERROR(__xludf.DUMMYFUNCTION("""COMPUTED_VALUE"""),"")</f>
        <v/>
      </c>
      <c r="E1353" t="str">
        <f ca="1">IFERROR(__xludf.DUMMYFUNCTION("""COMPUTED_VALUE"""),"Vincent")</f>
        <v>Vincent</v>
      </c>
    </row>
    <row r="1354" spans="1:5" ht="15" customHeight="1">
      <c r="A1354" s="121"/>
      <c r="C1354" t="str">
        <f ca="1">IFERROR(__xludf.DUMMYFUNCTION("""COMPUTED_VALUE"""),"AB001517")</f>
        <v>AB001517</v>
      </c>
      <c r="D1354" t="str">
        <f ca="1">IFERROR(__xludf.DUMMYFUNCTION("""COMPUTED_VALUE"""),"")</f>
        <v/>
      </c>
      <c r="E1354" t="str">
        <f ca="1">IFERROR(__xludf.DUMMYFUNCTION("""COMPUTED_VALUE"""),"Vincent")</f>
        <v>Vincent</v>
      </c>
    </row>
    <row r="1355" spans="1:5" ht="15" customHeight="1">
      <c r="A1355" s="121"/>
      <c r="C1355" t="str">
        <f ca="1">IFERROR(__xludf.DUMMYFUNCTION("""COMPUTED_VALUE"""),"AB001517")</f>
        <v>AB001517</v>
      </c>
      <c r="D1355" t="str">
        <f ca="1">IFERROR(__xludf.DUMMYFUNCTION("""COMPUTED_VALUE"""),"")</f>
        <v/>
      </c>
      <c r="E1355" t="str">
        <f ca="1">IFERROR(__xludf.DUMMYFUNCTION("""COMPUTED_VALUE"""),"Vincent")</f>
        <v>Vincent</v>
      </c>
    </row>
    <row r="1356" spans="1:5" ht="15" customHeight="1">
      <c r="A1356" s="121"/>
      <c r="C1356" t="str">
        <f ca="1">IFERROR(__xludf.DUMMYFUNCTION("""COMPUTED_VALUE"""),"AB001517")</f>
        <v>AB001517</v>
      </c>
      <c r="D1356" t="str">
        <f ca="1">IFERROR(__xludf.DUMMYFUNCTION("""COMPUTED_VALUE"""),"")</f>
        <v/>
      </c>
      <c r="E1356" t="str">
        <f ca="1">IFERROR(__xludf.DUMMYFUNCTION("""COMPUTED_VALUE"""),"Vincent")</f>
        <v>Vincent</v>
      </c>
    </row>
    <row r="1357" spans="1:5" ht="15" customHeight="1">
      <c r="A1357" s="121"/>
      <c r="C1357" t="str">
        <f ca="1">IFERROR(__xludf.DUMMYFUNCTION("""COMPUTED_VALUE"""),"AB001517")</f>
        <v>AB001517</v>
      </c>
      <c r="D1357" t="str">
        <f ca="1">IFERROR(__xludf.DUMMYFUNCTION("""COMPUTED_VALUE"""),"")</f>
        <v/>
      </c>
      <c r="E1357" t="str">
        <f ca="1">IFERROR(__xludf.DUMMYFUNCTION("""COMPUTED_VALUE"""),"Vincent")</f>
        <v>Vincent</v>
      </c>
    </row>
    <row r="1358" spans="1:5" ht="15" customHeight="1">
      <c r="A1358" s="121"/>
      <c r="C1358" t="str">
        <f ca="1">IFERROR(__xludf.DUMMYFUNCTION("""COMPUTED_VALUE"""),"AB001517")</f>
        <v>AB001517</v>
      </c>
      <c r="D1358" t="str">
        <f ca="1">IFERROR(__xludf.DUMMYFUNCTION("""COMPUTED_VALUE"""),"")</f>
        <v/>
      </c>
      <c r="E1358" t="str">
        <f ca="1">IFERROR(__xludf.DUMMYFUNCTION("""COMPUTED_VALUE"""),"Vincent")</f>
        <v>Vincent</v>
      </c>
    </row>
    <row r="1359" spans="1:5" ht="15" customHeight="1">
      <c r="A1359" s="121"/>
      <c r="C1359" t="str">
        <f ca="1">IFERROR(__xludf.DUMMYFUNCTION("""COMPUTED_VALUE"""),"AB001517")</f>
        <v>AB001517</v>
      </c>
      <c r="D1359" t="str">
        <f ca="1">IFERROR(__xludf.DUMMYFUNCTION("""COMPUTED_VALUE"""),"")</f>
        <v/>
      </c>
      <c r="E1359" t="str">
        <f ca="1">IFERROR(__xludf.DUMMYFUNCTION("""COMPUTED_VALUE"""),"Vincent")</f>
        <v>Vincent</v>
      </c>
    </row>
    <row r="1360" spans="1:5" ht="15" customHeight="1">
      <c r="A1360" s="121"/>
      <c r="C1360" t="str">
        <f ca="1">IFERROR(__xludf.DUMMYFUNCTION("""COMPUTED_VALUE"""),"AB001517")</f>
        <v>AB001517</v>
      </c>
      <c r="D1360" t="str">
        <f ca="1">IFERROR(__xludf.DUMMYFUNCTION("""COMPUTED_VALUE"""),"")</f>
        <v/>
      </c>
      <c r="E1360" t="str">
        <f ca="1">IFERROR(__xludf.DUMMYFUNCTION("""COMPUTED_VALUE"""),"Vincent")</f>
        <v>Vincent</v>
      </c>
    </row>
    <row r="1361" spans="1:5" ht="15" customHeight="1">
      <c r="A1361" s="121"/>
      <c r="C1361" t="str">
        <f ca="1">IFERROR(__xludf.DUMMYFUNCTION("""COMPUTED_VALUE"""),"AB001517")</f>
        <v>AB001517</v>
      </c>
      <c r="D1361" t="str">
        <f ca="1">IFERROR(__xludf.DUMMYFUNCTION("""COMPUTED_VALUE"""),"")</f>
        <v/>
      </c>
      <c r="E1361" t="str">
        <f ca="1">IFERROR(__xludf.DUMMYFUNCTION("""COMPUTED_VALUE"""),"Vincent")</f>
        <v>Vincent</v>
      </c>
    </row>
    <row r="1362" spans="1:5" ht="15" customHeight="1">
      <c r="A1362" s="121"/>
      <c r="C1362" t="str">
        <f ca="1">IFERROR(__xludf.DUMMYFUNCTION("""COMPUTED_VALUE"""),"AB001517")</f>
        <v>AB001517</v>
      </c>
      <c r="D1362" t="str">
        <f ca="1">IFERROR(__xludf.DUMMYFUNCTION("""COMPUTED_VALUE"""),"")</f>
        <v/>
      </c>
      <c r="E1362" t="str">
        <f ca="1">IFERROR(__xludf.DUMMYFUNCTION("""COMPUTED_VALUE"""),"Vincent")</f>
        <v>Vincent</v>
      </c>
    </row>
    <row r="1363" spans="1:5" ht="15" customHeight="1">
      <c r="A1363" s="121"/>
      <c r="C1363" t="str">
        <f ca="1">IFERROR(__xludf.DUMMYFUNCTION("""COMPUTED_VALUE"""),"AB001517")</f>
        <v>AB001517</v>
      </c>
      <c r="D1363" t="str">
        <f ca="1">IFERROR(__xludf.DUMMYFUNCTION("""COMPUTED_VALUE"""),"")</f>
        <v/>
      </c>
      <c r="E1363" t="str">
        <f ca="1">IFERROR(__xludf.DUMMYFUNCTION("""COMPUTED_VALUE"""),"Vincent")</f>
        <v>Vincent</v>
      </c>
    </row>
    <row r="1364" spans="1:5" ht="15" customHeight="1">
      <c r="A1364" s="121"/>
      <c r="C1364" t="str">
        <f ca="1">IFERROR(__xludf.DUMMYFUNCTION("""COMPUTED_VALUE"""),"AB001553")</f>
        <v>AB001553</v>
      </c>
      <c r="D1364" t="str">
        <f ca="1">IFERROR(__xludf.DUMMYFUNCTION("""COMPUTED_VALUE"""),"")</f>
        <v/>
      </c>
      <c r="E1364" t="str">
        <f ca="1">IFERROR(__xludf.DUMMYFUNCTION("""COMPUTED_VALUE"""),"李姿婷")</f>
        <v>李姿婷</v>
      </c>
    </row>
    <row r="1365" spans="1:5" ht="15" customHeight="1">
      <c r="A1365" s="121"/>
      <c r="C1365" t="str">
        <f ca="1">IFERROR(__xludf.DUMMYFUNCTION("""COMPUTED_VALUE"""),"AB001616")</f>
        <v>AB001616</v>
      </c>
      <c r="D1365" t="str">
        <f ca="1">IFERROR(__xludf.DUMMYFUNCTION("""COMPUTED_VALUE"""),"")</f>
        <v/>
      </c>
      <c r="E1365" t="str">
        <f ca="1">IFERROR(__xludf.DUMMYFUNCTION("""COMPUTED_VALUE"""),"陳彥任")</f>
        <v>陳彥任</v>
      </c>
    </row>
    <row r="1366" spans="1:5" ht="15" customHeight="1">
      <c r="A1366" s="121"/>
      <c r="C1366" t="str">
        <f ca="1">IFERROR(__xludf.DUMMYFUNCTION("""COMPUTED_VALUE"""),"AB001617")</f>
        <v>AB001617</v>
      </c>
      <c r="D1366" t="str">
        <f ca="1">IFERROR(__xludf.DUMMYFUNCTION("""COMPUTED_VALUE"""),"")</f>
        <v/>
      </c>
      <c r="E1366" t="str">
        <f ca="1">IFERROR(__xludf.DUMMYFUNCTION("""COMPUTED_VALUE"""),"張建存")</f>
        <v>張建存</v>
      </c>
    </row>
    <row r="1367" spans="1:5" ht="15" customHeight="1">
      <c r="A1367" s="121"/>
      <c r="C1367" t="str">
        <f ca="1">IFERROR(__xludf.DUMMYFUNCTION("""COMPUTED_VALUE"""),"AB001618")</f>
        <v>AB001618</v>
      </c>
      <c r="D1367" t="str">
        <f ca="1">IFERROR(__xludf.DUMMYFUNCTION("""COMPUTED_VALUE"""),"")</f>
        <v/>
      </c>
      <c r="E1367" t="str">
        <f ca="1">IFERROR(__xludf.DUMMYFUNCTION("""COMPUTED_VALUE"""),"張建存")</f>
        <v>張建存</v>
      </c>
    </row>
    <row r="1368" spans="1:5" ht="15" customHeight="1">
      <c r="A1368" s="121"/>
      <c r="C1368" t="str">
        <f ca="1">IFERROR(__xludf.DUMMYFUNCTION("""COMPUTED_VALUE"""),"AB001618")</f>
        <v>AB001618</v>
      </c>
      <c r="D1368" t="str">
        <f ca="1">IFERROR(__xludf.DUMMYFUNCTION("""COMPUTED_VALUE"""),"")</f>
        <v/>
      </c>
      <c r="E1368" t="str">
        <f ca="1">IFERROR(__xludf.DUMMYFUNCTION("""COMPUTED_VALUE"""),"張建存")</f>
        <v>張建存</v>
      </c>
    </row>
    <row r="1369" spans="1:5" ht="15" customHeight="1">
      <c r="A1369" s="121"/>
      <c r="C1369" t="str">
        <f ca="1">IFERROR(__xludf.DUMMYFUNCTION("""COMPUTED_VALUE"""),"AB001619")</f>
        <v>AB001619</v>
      </c>
      <c r="D1369" t="str">
        <f ca="1">IFERROR(__xludf.DUMMYFUNCTION("""COMPUTED_VALUE"""),"")</f>
        <v/>
      </c>
      <c r="E1369" t="str">
        <f ca="1">IFERROR(__xludf.DUMMYFUNCTION("""COMPUTED_VALUE"""),"柯智元")</f>
        <v>柯智元</v>
      </c>
    </row>
    <row r="1370" spans="1:5" ht="15" customHeight="1">
      <c r="A1370" s="121"/>
      <c r="C1370" t="str">
        <f ca="1">IFERROR(__xludf.DUMMYFUNCTION("""COMPUTED_VALUE"""),"AB001619")</f>
        <v>AB001619</v>
      </c>
      <c r="D1370" t="str">
        <f ca="1">IFERROR(__xludf.DUMMYFUNCTION("""COMPUTED_VALUE"""),"")</f>
        <v/>
      </c>
      <c r="E1370" t="str">
        <f ca="1">IFERROR(__xludf.DUMMYFUNCTION("""COMPUTED_VALUE"""),"柯智元")</f>
        <v>柯智元</v>
      </c>
    </row>
    <row r="1371" spans="1:5" ht="15" customHeight="1">
      <c r="A1371" s="121"/>
      <c r="C1371" t="str">
        <f ca="1">IFERROR(__xludf.DUMMYFUNCTION("""COMPUTED_VALUE"""),"AB001620")</f>
        <v>AB001620</v>
      </c>
      <c r="D1371" t="str">
        <f ca="1">IFERROR(__xludf.DUMMYFUNCTION("""COMPUTED_VALUE"""),"")</f>
        <v/>
      </c>
      <c r="E1371" t="str">
        <f ca="1">IFERROR(__xludf.DUMMYFUNCTION("""COMPUTED_VALUE"""),"柯玉耘")</f>
        <v>柯玉耘</v>
      </c>
    </row>
    <row r="1372" spans="1:5" ht="15" customHeight="1">
      <c r="A1372" s="121"/>
      <c r="C1372" t="str">
        <f ca="1">IFERROR(__xludf.DUMMYFUNCTION("""COMPUTED_VALUE"""),"AB001620")</f>
        <v>AB001620</v>
      </c>
      <c r="D1372" t="str">
        <f ca="1">IFERROR(__xludf.DUMMYFUNCTION("""COMPUTED_VALUE"""),"")</f>
        <v/>
      </c>
      <c r="E1372" t="str">
        <f ca="1">IFERROR(__xludf.DUMMYFUNCTION("""COMPUTED_VALUE"""),"柯玉耘")</f>
        <v>柯玉耘</v>
      </c>
    </row>
    <row r="1373" spans="1:5" ht="15" customHeight="1">
      <c r="A1373" s="121"/>
      <c r="C1373" t="str">
        <f ca="1">IFERROR(__xludf.DUMMYFUNCTION("""COMPUTED_VALUE"""),"AB001555")</f>
        <v>AB001555</v>
      </c>
      <c r="D1373" t="str">
        <f ca="1">IFERROR(__xludf.DUMMYFUNCTION("""COMPUTED_VALUE"""),"")</f>
        <v/>
      </c>
      <c r="E1373" t="str">
        <f ca="1">IFERROR(__xludf.DUMMYFUNCTION("""COMPUTED_VALUE"""),"張婷婷")</f>
        <v>張婷婷</v>
      </c>
    </row>
    <row r="1374" spans="1:5" ht="15" customHeight="1">
      <c r="A1374" s="121"/>
      <c r="C1374" t="str">
        <f ca="1">IFERROR(__xludf.DUMMYFUNCTION("""COMPUTED_VALUE"""),"AB001556")</f>
        <v>AB001556</v>
      </c>
      <c r="D1374" t="str">
        <f ca="1">IFERROR(__xludf.DUMMYFUNCTION("""COMPUTED_VALUE"""),"")</f>
        <v/>
      </c>
      <c r="E1374" t="str">
        <f ca="1">IFERROR(__xludf.DUMMYFUNCTION("""COMPUTED_VALUE"""),"劉素芬")</f>
        <v>劉素芬</v>
      </c>
    </row>
    <row r="1375" spans="1:5" ht="15" customHeight="1">
      <c r="A1375" s="121"/>
      <c r="C1375" t="str">
        <f ca="1">IFERROR(__xludf.DUMMYFUNCTION("""COMPUTED_VALUE"""),"AB001554")</f>
        <v>AB001554</v>
      </c>
      <c r="D1375" t="str">
        <f ca="1">IFERROR(__xludf.DUMMYFUNCTION("""COMPUTED_VALUE"""),"")</f>
        <v/>
      </c>
      <c r="E1375" t="str">
        <f ca="1">IFERROR(__xludf.DUMMYFUNCTION("""COMPUTED_VALUE"""),"林秀娟")</f>
        <v>林秀娟</v>
      </c>
    </row>
    <row r="1376" spans="1:5" ht="15" customHeight="1">
      <c r="A1376" s="121"/>
      <c r="C1376" t="str">
        <f ca="1">IFERROR(__xludf.DUMMYFUNCTION("""COMPUTED_VALUE"""),"AB001557")</f>
        <v>AB001557</v>
      </c>
      <c r="D1376" t="str">
        <f ca="1">IFERROR(__xludf.DUMMYFUNCTION("""COMPUTED_VALUE"""),"")</f>
        <v/>
      </c>
      <c r="E1376" t="str">
        <f ca="1">IFERROR(__xludf.DUMMYFUNCTION("""COMPUTED_VALUE"""),"劉倩吾")</f>
        <v>劉倩吾</v>
      </c>
    </row>
    <row r="1377" spans="1:5" ht="15" customHeight="1">
      <c r="A1377" s="121"/>
      <c r="C1377" t="str">
        <f ca="1">IFERROR(__xludf.DUMMYFUNCTION("""COMPUTED_VALUE"""),"AB001329")</f>
        <v>AB001329</v>
      </c>
      <c r="D1377" t="str">
        <f ca="1">IFERROR(__xludf.DUMMYFUNCTION("""COMPUTED_VALUE"""),"")</f>
        <v/>
      </c>
      <c r="E1377" t="str">
        <f ca="1">IFERROR(__xludf.DUMMYFUNCTION("""COMPUTED_VALUE"""),"Inos")</f>
        <v>Inos</v>
      </c>
    </row>
    <row r="1378" spans="1:5" ht="15" customHeight="1">
      <c r="A1378" s="121"/>
      <c r="C1378" t="str">
        <f ca="1">IFERROR(__xludf.DUMMYFUNCTION("""COMPUTED_VALUE"""),"AB001329")</f>
        <v>AB001329</v>
      </c>
      <c r="D1378" t="str">
        <f ca="1">IFERROR(__xludf.DUMMYFUNCTION("""COMPUTED_VALUE"""),"")</f>
        <v/>
      </c>
      <c r="E1378" t="str">
        <f ca="1">IFERROR(__xludf.DUMMYFUNCTION("""COMPUTED_VALUE"""),"Inos")</f>
        <v>Inos</v>
      </c>
    </row>
    <row r="1379" spans="1:5" ht="15" customHeight="1">
      <c r="A1379" s="121"/>
      <c r="C1379" t="str">
        <f ca="1">IFERROR(__xludf.DUMMYFUNCTION("""COMPUTED_VALUE"""),"AB001558")</f>
        <v>AB001558</v>
      </c>
      <c r="D1379" t="str">
        <f ca="1">IFERROR(__xludf.DUMMYFUNCTION("""COMPUTED_VALUE"""),"")</f>
        <v/>
      </c>
      <c r="E1379" t="str">
        <f ca="1">IFERROR(__xludf.DUMMYFUNCTION("""COMPUTED_VALUE"""),"徐育達")</f>
        <v>徐育達</v>
      </c>
    </row>
    <row r="1380" spans="1:5" ht="15" customHeight="1">
      <c r="A1380" s="121"/>
      <c r="C1380" t="str">
        <f ca="1">IFERROR(__xludf.DUMMYFUNCTION("""COMPUTED_VALUE"""),"AB001558")</f>
        <v>AB001558</v>
      </c>
      <c r="D1380" t="str">
        <f ca="1">IFERROR(__xludf.DUMMYFUNCTION("""COMPUTED_VALUE"""),"")</f>
        <v/>
      </c>
      <c r="E1380" t="str">
        <f ca="1">IFERROR(__xludf.DUMMYFUNCTION("""COMPUTED_VALUE"""),"徐育達")</f>
        <v>徐育達</v>
      </c>
    </row>
    <row r="1381" spans="1:5" ht="15" customHeight="1">
      <c r="A1381" s="121"/>
      <c r="C1381" t="str">
        <f ca="1">IFERROR(__xludf.DUMMYFUNCTION("""COMPUTED_VALUE"""),"AB001611")</f>
        <v>AB001611</v>
      </c>
      <c r="D1381" t="str">
        <f ca="1">IFERROR(__xludf.DUMMYFUNCTION("""COMPUTED_VALUE"""),"")</f>
        <v/>
      </c>
      <c r="E1381" t="str">
        <f ca="1">IFERROR(__xludf.DUMMYFUNCTION("""COMPUTED_VALUE"""),"李立元")</f>
        <v>李立元</v>
      </c>
    </row>
    <row r="1382" spans="1:5" ht="15" customHeight="1">
      <c r="A1382" s="121"/>
      <c r="C1382" t="str">
        <f ca="1">IFERROR(__xludf.DUMMYFUNCTION("""COMPUTED_VALUE"""),"AB001611")</f>
        <v>AB001611</v>
      </c>
      <c r="D1382" t="str">
        <f ca="1">IFERROR(__xludf.DUMMYFUNCTION("""COMPUTED_VALUE"""),"")</f>
        <v/>
      </c>
      <c r="E1382" t="str">
        <f ca="1">IFERROR(__xludf.DUMMYFUNCTION("""COMPUTED_VALUE"""),"李立元")</f>
        <v>李立元</v>
      </c>
    </row>
    <row r="1383" spans="1:5" ht="15" customHeight="1">
      <c r="A1383" s="121"/>
      <c r="C1383" t="str">
        <f ca="1">IFERROR(__xludf.DUMMYFUNCTION("""COMPUTED_VALUE"""),"AB001612")</f>
        <v>AB001612</v>
      </c>
      <c r="D1383" t="str">
        <f ca="1">IFERROR(__xludf.DUMMYFUNCTION("""COMPUTED_VALUE"""),"")</f>
        <v/>
      </c>
      <c r="E1383" t="str">
        <f ca="1">IFERROR(__xludf.DUMMYFUNCTION("""COMPUTED_VALUE"""),"徐孟辰")</f>
        <v>徐孟辰</v>
      </c>
    </row>
    <row r="1384" spans="1:5" ht="15" customHeight="1">
      <c r="A1384" s="121"/>
      <c r="C1384" t="str">
        <f ca="1">IFERROR(__xludf.DUMMYFUNCTION("""COMPUTED_VALUE"""),"AB001612")</f>
        <v>AB001612</v>
      </c>
      <c r="D1384" t="str">
        <f ca="1">IFERROR(__xludf.DUMMYFUNCTION("""COMPUTED_VALUE"""),"")</f>
        <v/>
      </c>
      <c r="E1384" t="str">
        <f ca="1">IFERROR(__xludf.DUMMYFUNCTION("""COMPUTED_VALUE"""),"徐孟辰")</f>
        <v>徐孟辰</v>
      </c>
    </row>
    <row r="1385" spans="1:5" ht="15" customHeight="1">
      <c r="A1385" s="121"/>
      <c r="C1385" t="str">
        <f ca="1">IFERROR(__xludf.DUMMYFUNCTION("""COMPUTED_VALUE"""),"AB001559")</f>
        <v>AB001559</v>
      </c>
      <c r="D1385" t="str">
        <f ca="1">IFERROR(__xludf.DUMMYFUNCTION("""COMPUTED_VALUE"""),"")</f>
        <v/>
      </c>
      <c r="E1385" t="str">
        <f ca="1">IFERROR(__xludf.DUMMYFUNCTION("""COMPUTED_VALUE"""),"羅依芳")</f>
        <v>羅依芳</v>
      </c>
    </row>
    <row r="1386" spans="1:5" ht="15" customHeight="1">
      <c r="A1386" s="121"/>
      <c r="C1386" t="str">
        <f ca="1">IFERROR(__xludf.DUMMYFUNCTION("""COMPUTED_VALUE"""),"AB001560")</f>
        <v>AB001560</v>
      </c>
      <c r="D1386" t="str">
        <f ca="1">IFERROR(__xludf.DUMMYFUNCTION("""COMPUTED_VALUE"""),"")</f>
        <v/>
      </c>
      <c r="E1386" t="str">
        <f ca="1">IFERROR(__xludf.DUMMYFUNCTION("""COMPUTED_VALUE"""),"戴筠修")</f>
        <v>戴筠修</v>
      </c>
    </row>
    <row r="1387" spans="1:5" ht="15" customHeight="1">
      <c r="A1387" s="121"/>
      <c r="C1387" t="str">
        <f ca="1">IFERROR(__xludf.DUMMYFUNCTION("""COMPUTED_VALUE"""),"AB001562")</f>
        <v>AB001562</v>
      </c>
      <c r="D1387" t="str">
        <f ca="1">IFERROR(__xludf.DUMMYFUNCTION("""COMPUTED_VALUE"""),"")</f>
        <v/>
      </c>
      <c r="E1387" t="str">
        <f ca="1">IFERROR(__xludf.DUMMYFUNCTION("""COMPUTED_VALUE"""),"鄭錫聰")</f>
        <v>鄭錫聰</v>
      </c>
    </row>
    <row r="1388" spans="1:5" ht="15" customHeight="1">
      <c r="A1388" s="121"/>
      <c r="C1388" t="str">
        <f ca="1">IFERROR(__xludf.DUMMYFUNCTION("""COMPUTED_VALUE"""),"AB001534")</f>
        <v>AB001534</v>
      </c>
      <c r="D1388" s="214" t="str">
        <f ca="1">IFERROR(__xludf.DUMMYFUNCTION("""COMPUTED_VALUE"""),"V")</f>
        <v>V</v>
      </c>
      <c r="E1388" t="str">
        <f ca="1">IFERROR(__xludf.DUMMYFUNCTION("""COMPUTED_VALUE"""),"優瑞牙醫-沈恩銘")</f>
        <v>優瑞牙醫-沈恩銘</v>
      </c>
    </row>
    <row r="1389" spans="1:5" ht="15" customHeight="1">
      <c r="A1389" s="121"/>
      <c r="C1389" t="str">
        <f ca="1">IFERROR(__xludf.DUMMYFUNCTION("""COMPUTED_VALUE"""),"PA000342")</f>
        <v>PA000342</v>
      </c>
      <c r="D1389" t="str">
        <f ca="1">IFERROR(__xludf.DUMMYFUNCTION("""COMPUTED_VALUE"""),"")</f>
        <v/>
      </c>
      <c r="E1389" t="str">
        <f ca="1">IFERROR(__xludf.DUMMYFUNCTION("""COMPUTED_VALUE"""),"Vincent")</f>
        <v>Vincent</v>
      </c>
    </row>
    <row r="1390" spans="1:5" ht="15" customHeight="1">
      <c r="A1390" s="121"/>
      <c r="C1390" t="str">
        <f ca="1">IFERROR(__xludf.DUMMYFUNCTION("""COMPUTED_VALUE"""),"")</f>
        <v/>
      </c>
      <c r="D1390" t="str">
        <f ca="1">IFERROR(__xludf.DUMMYFUNCTION("""COMPUTED_VALUE"""),"")</f>
        <v/>
      </c>
      <c r="E1390" t="str">
        <f ca="1">IFERROR(__xludf.DUMMYFUNCTION("""COMPUTED_VALUE"""),"Vincent")</f>
        <v>Vincent</v>
      </c>
    </row>
    <row r="1391" spans="1:5" ht="15" customHeight="1">
      <c r="A1391" s="121"/>
      <c r="C1391" t="str">
        <f ca="1">IFERROR(__xludf.DUMMYFUNCTION("""COMPUTED_VALUE"""),"")</f>
        <v/>
      </c>
      <c r="D1391" t="str">
        <f ca="1">IFERROR(__xludf.DUMMYFUNCTION("""COMPUTED_VALUE"""),"")</f>
        <v/>
      </c>
      <c r="E1391" t="str">
        <f ca="1">IFERROR(__xludf.DUMMYFUNCTION("""COMPUTED_VALUE"""),"Vincent")</f>
        <v>Vincent</v>
      </c>
    </row>
    <row r="1392" spans="1:5" ht="15" customHeight="1">
      <c r="A1392" s="121"/>
      <c r="C1392" t="str">
        <f ca="1">IFERROR(__xludf.DUMMYFUNCTION("""COMPUTED_VALUE"""),"AB001449")</f>
        <v>AB001449</v>
      </c>
      <c r="D1392" t="str">
        <f ca="1">IFERROR(__xludf.DUMMYFUNCTION("""COMPUTED_VALUE"""),"")</f>
        <v/>
      </c>
      <c r="E1392" t="str">
        <f ca="1">IFERROR(__xludf.DUMMYFUNCTION("""COMPUTED_VALUE"""),"楊雯")</f>
        <v>楊雯</v>
      </c>
    </row>
    <row r="1393" spans="1:5" ht="15" customHeight="1">
      <c r="A1393" s="121"/>
      <c r="C1393" t="str">
        <f ca="1">IFERROR(__xludf.DUMMYFUNCTION("""COMPUTED_VALUE"""),"AB001449")</f>
        <v>AB001449</v>
      </c>
      <c r="D1393" t="str">
        <f ca="1">IFERROR(__xludf.DUMMYFUNCTION("""COMPUTED_VALUE"""),"")</f>
        <v/>
      </c>
      <c r="E1393" t="str">
        <f ca="1">IFERROR(__xludf.DUMMYFUNCTION("""COMPUTED_VALUE"""),"楊雯")</f>
        <v>楊雯</v>
      </c>
    </row>
    <row r="1394" spans="1:5" ht="15" customHeight="1">
      <c r="A1394" s="121"/>
      <c r="C1394" t="str">
        <f ca="1">IFERROR(__xludf.DUMMYFUNCTION("""COMPUTED_VALUE"""),"")</f>
        <v/>
      </c>
      <c r="D1394" t="str">
        <f ca="1">IFERROR(__xludf.DUMMYFUNCTION("""COMPUTED_VALUE"""),"")</f>
        <v/>
      </c>
      <c r="E1394" t="str">
        <f ca="1">IFERROR(__xludf.DUMMYFUNCTION("""COMPUTED_VALUE"""),"")</f>
        <v/>
      </c>
    </row>
    <row r="1395" spans="1:5" ht="15" customHeight="1">
      <c r="A1395" s="121"/>
      <c r="C1395" t="str">
        <f ca="1">IFERROR(__xludf.DUMMYFUNCTION("""COMPUTED_VALUE"""),"")</f>
        <v/>
      </c>
      <c r="D1395" t="str">
        <f ca="1">IFERROR(__xludf.DUMMYFUNCTION("""COMPUTED_VALUE"""),"")</f>
        <v/>
      </c>
      <c r="E1395" t="str">
        <f ca="1">IFERROR(__xludf.DUMMYFUNCTION("""COMPUTED_VALUE"""),"")</f>
        <v/>
      </c>
    </row>
    <row r="1396" spans="1:5" ht="15" customHeight="1">
      <c r="A1396" s="121"/>
      <c r="C1396" t="str">
        <f ca="1">IFERROR(__xludf.DUMMYFUNCTION("""COMPUTED_VALUE"""),"")</f>
        <v/>
      </c>
      <c r="D1396" t="str">
        <f ca="1">IFERROR(__xludf.DUMMYFUNCTION("""COMPUTED_VALUE"""),"")</f>
        <v/>
      </c>
      <c r="E1396" t="str">
        <f ca="1">IFERROR(__xludf.DUMMYFUNCTION("""COMPUTED_VALUE"""),"")</f>
        <v/>
      </c>
    </row>
    <row r="1397" spans="1:5" ht="15" customHeight="1">
      <c r="A1397" s="121"/>
      <c r="C1397" t="str">
        <f ca="1">IFERROR(__xludf.DUMMYFUNCTION("""COMPUTED_VALUE"""),"")</f>
        <v/>
      </c>
      <c r="D1397" t="str">
        <f ca="1">IFERROR(__xludf.DUMMYFUNCTION("""COMPUTED_VALUE"""),"")</f>
        <v/>
      </c>
      <c r="E1397" t="str">
        <f ca="1">IFERROR(__xludf.DUMMYFUNCTION("""COMPUTED_VALUE"""),"")</f>
        <v/>
      </c>
    </row>
    <row r="1398" spans="1:5" ht="15" customHeight="1">
      <c r="A1398" s="121"/>
      <c r="C1398" t="str">
        <f ca="1">IFERROR(__xludf.DUMMYFUNCTION("""COMPUTED_VALUE"""),"")</f>
        <v/>
      </c>
      <c r="D1398" t="str">
        <f ca="1">IFERROR(__xludf.DUMMYFUNCTION("""COMPUTED_VALUE"""),"")</f>
        <v/>
      </c>
      <c r="E1398" t="str">
        <f ca="1">IFERROR(__xludf.DUMMYFUNCTION("""COMPUTED_VALUE"""),"")</f>
        <v/>
      </c>
    </row>
    <row r="1399" spans="1:5" ht="15" customHeight="1">
      <c r="A1399" s="121"/>
      <c r="C1399" t="str">
        <f ca="1">IFERROR(__xludf.DUMMYFUNCTION("""COMPUTED_VALUE"""),"")</f>
        <v/>
      </c>
      <c r="D1399" t="str">
        <f ca="1">IFERROR(__xludf.DUMMYFUNCTION("""COMPUTED_VALUE"""),"")</f>
        <v/>
      </c>
      <c r="E1399" t="str">
        <f ca="1">IFERROR(__xludf.DUMMYFUNCTION("""COMPUTED_VALUE"""),"")</f>
        <v/>
      </c>
    </row>
    <row r="1400" spans="1:5" ht="15" customHeight="1">
      <c r="A1400" s="121"/>
      <c r="C1400" t="str">
        <f ca="1">IFERROR(__xludf.DUMMYFUNCTION("""COMPUTED_VALUE"""),"")</f>
        <v/>
      </c>
      <c r="D1400" t="str">
        <f ca="1">IFERROR(__xludf.DUMMYFUNCTION("""COMPUTED_VALUE"""),"")</f>
        <v/>
      </c>
      <c r="E1400" t="str">
        <f ca="1">IFERROR(__xludf.DUMMYFUNCTION("""COMPUTED_VALUE"""),"")</f>
        <v/>
      </c>
    </row>
    <row r="1401" spans="1:5" ht="15" customHeight="1">
      <c r="A1401" s="121"/>
      <c r="C1401" t="str">
        <f ca="1">IFERROR(__xludf.DUMMYFUNCTION("""COMPUTED_VALUE"""),"")</f>
        <v/>
      </c>
      <c r="D1401" t="str">
        <f ca="1">IFERROR(__xludf.DUMMYFUNCTION("""COMPUTED_VALUE"""),"")</f>
        <v/>
      </c>
      <c r="E1401" t="str">
        <f ca="1">IFERROR(__xludf.DUMMYFUNCTION("""COMPUTED_VALUE"""),"")</f>
        <v/>
      </c>
    </row>
    <row r="1402" spans="1:5" ht="15" customHeight="1">
      <c r="A1402" s="121"/>
      <c r="C1402" t="str">
        <f ca="1">IFERROR(__xludf.DUMMYFUNCTION("""COMPUTED_VALUE"""),"")</f>
        <v/>
      </c>
      <c r="D1402" t="str">
        <f ca="1">IFERROR(__xludf.DUMMYFUNCTION("""COMPUTED_VALUE"""),"")</f>
        <v/>
      </c>
      <c r="E1402" t="str">
        <f ca="1">IFERROR(__xludf.DUMMYFUNCTION("""COMPUTED_VALUE"""),"")</f>
        <v/>
      </c>
    </row>
    <row r="1403" spans="1:5" ht="15" customHeight="1">
      <c r="A1403" s="121"/>
      <c r="C1403" t="str">
        <f ca="1">IFERROR(__xludf.DUMMYFUNCTION("""COMPUTED_VALUE"""),"")</f>
        <v/>
      </c>
      <c r="D1403" t="str">
        <f ca="1">IFERROR(__xludf.DUMMYFUNCTION("""COMPUTED_VALUE"""),"")</f>
        <v/>
      </c>
      <c r="E1403" t="str">
        <f ca="1">IFERROR(__xludf.DUMMYFUNCTION("""COMPUTED_VALUE"""),"")</f>
        <v/>
      </c>
    </row>
    <row r="1404" spans="1:5" ht="15" customHeight="1">
      <c r="A1404" s="121"/>
      <c r="C1404" t="str">
        <f ca="1">IFERROR(__xludf.DUMMYFUNCTION("""COMPUTED_VALUE"""),"")</f>
        <v/>
      </c>
      <c r="D1404" t="str">
        <f ca="1">IFERROR(__xludf.DUMMYFUNCTION("""COMPUTED_VALUE"""),"")</f>
        <v/>
      </c>
      <c r="E1404" t="str">
        <f ca="1">IFERROR(__xludf.DUMMYFUNCTION("""COMPUTED_VALUE"""),"")</f>
        <v/>
      </c>
    </row>
    <row r="1405" spans="1:5" ht="15" customHeight="1">
      <c r="A1405" s="121"/>
      <c r="C1405" t="str">
        <f ca="1">IFERROR(__xludf.DUMMYFUNCTION("""COMPUTED_VALUE"""),"")</f>
        <v/>
      </c>
      <c r="D1405" t="str">
        <f ca="1">IFERROR(__xludf.DUMMYFUNCTION("""COMPUTED_VALUE"""),"")</f>
        <v/>
      </c>
      <c r="E1405" t="str">
        <f ca="1">IFERROR(__xludf.DUMMYFUNCTION("""COMPUTED_VALUE"""),"")</f>
        <v/>
      </c>
    </row>
    <row r="1406" spans="1:5" ht="15" customHeight="1">
      <c r="A1406" s="121"/>
      <c r="C1406" t="str">
        <f ca="1">IFERROR(__xludf.DUMMYFUNCTION("""COMPUTED_VALUE"""),"")</f>
        <v/>
      </c>
      <c r="D1406" t="str">
        <f ca="1">IFERROR(__xludf.DUMMYFUNCTION("""COMPUTED_VALUE"""),"")</f>
        <v/>
      </c>
      <c r="E1406" t="str">
        <f ca="1">IFERROR(__xludf.DUMMYFUNCTION("""COMPUTED_VALUE"""),"")</f>
        <v/>
      </c>
    </row>
    <row r="1407" spans="1:5" ht="15" customHeight="1">
      <c r="A1407" s="121"/>
      <c r="C1407" t="str">
        <f ca="1">IFERROR(__xludf.DUMMYFUNCTION("""COMPUTED_VALUE"""),"")</f>
        <v/>
      </c>
      <c r="D1407" t="str">
        <f ca="1">IFERROR(__xludf.DUMMYFUNCTION("""COMPUTED_VALUE"""),"")</f>
        <v/>
      </c>
      <c r="E1407" t="str">
        <f ca="1">IFERROR(__xludf.DUMMYFUNCTION("""COMPUTED_VALUE"""),"")</f>
        <v/>
      </c>
    </row>
    <row r="1408" spans="1:5" ht="15" customHeight="1">
      <c r="A1408" s="121"/>
      <c r="C1408" t="str">
        <f ca="1">IFERROR(__xludf.DUMMYFUNCTION("""COMPUTED_VALUE"""),"")</f>
        <v/>
      </c>
      <c r="D1408" t="str">
        <f ca="1">IFERROR(__xludf.DUMMYFUNCTION("""COMPUTED_VALUE"""),"")</f>
        <v/>
      </c>
      <c r="E1408" t="str">
        <f ca="1">IFERROR(__xludf.DUMMYFUNCTION("""COMPUTED_VALUE"""),"")</f>
        <v/>
      </c>
    </row>
    <row r="1409" spans="1:5" ht="15" customHeight="1">
      <c r="A1409" s="121"/>
      <c r="C1409" t="str">
        <f ca="1">IFERROR(__xludf.DUMMYFUNCTION("""COMPUTED_VALUE"""),"")</f>
        <v/>
      </c>
      <c r="D1409" t="str">
        <f ca="1">IFERROR(__xludf.DUMMYFUNCTION("""COMPUTED_VALUE"""),"")</f>
        <v/>
      </c>
      <c r="E1409" t="str">
        <f ca="1">IFERROR(__xludf.DUMMYFUNCTION("""COMPUTED_VALUE"""),"")</f>
        <v/>
      </c>
    </row>
    <row r="1410" spans="1:5" ht="15" customHeight="1">
      <c r="A1410" s="121"/>
      <c r="C1410" t="str">
        <f ca="1">IFERROR(__xludf.DUMMYFUNCTION("""COMPUTED_VALUE"""),"")</f>
        <v/>
      </c>
      <c r="D1410" t="str">
        <f ca="1">IFERROR(__xludf.DUMMYFUNCTION("""COMPUTED_VALUE"""),"")</f>
        <v/>
      </c>
      <c r="E1410" t="str">
        <f ca="1">IFERROR(__xludf.DUMMYFUNCTION("""COMPUTED_VALUE"""),"")</f>
        <v/>
      </c>
    </row>
    <row r="1411" spans="1:5" ht="15" customHeight="1">
      <c r="A1411" s="121"/>
      <c r="C1411" t="str">
        <f ca="1">IFERROR(__xludf.DUMMYFUNCTION("""COMPUTED_VALUE"""),"")</f>
        <v/>
      </c>
      <c r="D1411" t="str">
        <f ca="1">IFERROR(__xludf.DUMMYFUNCTION("""COMPUTED_VALUE"""),"")</f>
        <v/>
      </c>
      <c r="E1411" t="str">
        <f ca="1">IFERROR(__xludf.DUMMYFUNCTION("""COMPUTED_VALUE"""),"")</f>
        <v/>
      </c>
    </row>
    <row r="1412" spans="1:5" ht="15" customHeight="1">
      <c r="A1412" s="121"/>
      <c r="C1412" t="str">
        <f ca="1">IFERROR(__xludf.DUMMYFUNCTION("""COMPUTED_VALUE"""),"")</f>
        <v/>
      </c>
      <c r="D1412" t="str">
        <f ca="1">IFERROR(__xludf.DUMMYFUNCTION("""COMPUTED_VALUE"""),"")</f>
        <v/>
      </c>
      <c r="E1412" t="str">
        <f ca="1">IFERROR(__xludf.DUMMYFUNCTION("""COMPUTED_VALUE"""),"")</f>
        <v/>
      </c>
    </row>
    <row r="1413" spans="1:5" ht="15" customHeight="1">
      <c r="A1413" s="121"/>
      <c r="C1413" t="str">
        <f ca="1">IFERROR(__xludf.DUMMYFUNCTION("""COMPUTED_VALUE"""),"")</f>
        <v/>
      </c>
      <c r="D1413" t="str">
        <f ca="1">IFERROR(__xludf.DUMMYFUNCTION("""COMPUTED_VALUE"""),"")</f>
        <v/>
      </c>
      <c r="E1413" t="str">
        <f ca="1">IFERROR(__xludf.DUMMYFUNCTION("""COMPUTED_VALUE"""),"")</f>
        <v/>
      </c>
    </row>
    <row r="1414" spans="1:5" ht="15" customHeight="1">
      <c r="A1414" s="121"/>
      <c r="C1414" t="str">
        <f ca="1">IFERROR(__xludf.DUMMYFUNCTION("""COMPUTED_VALUE"""),"")</f>
        <v/>
      </c>
      <c r="D1414" t="str">
        <f ca="1">IFERROR(__xludf.DUMMYFUNCTION("""COMPUTED_VALUE"""),"")</f>
        <v/>
      </c>
      <c r="E1414" t="str">
        <f ca="1">IFERROR(__xludf.DUMMYFUNCTION("""COMPUTED_VALUE"""),"")</f>
        <v/>
      </c>
    </row>
    <row r="1415" spans="1:5" ht="15" customHeight="1">
      <c r="A1415" s="121"/>
      <c r="C1415" t="str">
        <f ca="1">IFERROR(__xludf.DUMMYFUNCTION("""COMPUTED_VALUE"""),"")</f>
        <v/>
      </c>
      <c r="D1415" t="str">
        <f ca="1">IFERROR(__xludf.DUMMYFUNCTION("""COMPUTED_VALUE"""),"")</f>
        <v/>
      </c>
      <c r="E1415" t="str">
        <f ca="1">IFERROR(__xludf.DUMMYFUNCTION("""COMPUTED_VALUE"""),"")</f>
        <v/>
      </c>
    </row>
    <row r="1416" spans="1:5" ht="15" customHeight="1">
      <c r="A1416" s="121"/>
      <c r="C1416" t="str">
        <f ca="1">IFERROR(__xludf.DUMMYFUNCTION("""COMPUTED_VALUE"""),"")</f>
        <v/>
      </c>
      <c r="D1416" t="str">
        <f ca="1">IFERROR(__xludf.DUMMYFUNCTION("""COMPUTED_VALUE"""),"")</f>
        <v/>
      </c>
      <c r="E1416" t="str">
        <f ca="1">IFERROR(__xludf.DUMMYFUNCTION("""COMPUTED_VALUE"""),"")</f>
        <v/>
      </c>
    </row>
    <row r="1417" spans="1:5" ht="15" customHeight="1">
      <c r="A1417" s="121"/>
      <c r="C1417" t="str">
        <f ca="1">IFERROR(__xludf.DUMMYFUNCTION("""COMPUTED_VALUE"""),"")</f>
        <v/>
      </c>
      <c r="D1417" t="str">
        <f ca="1">IFERROR(__xludf.DUMMYFUNCTION("""COMPUTED_VALUE"""),"")</f>
        <v/>
      </c>
      <c r="E1417" t="str">
        <f ca="1">IFERROR(__xludf.DUMMYFUNCTION("""COMPUTED_VALUE"""),"")</f>
        <v/>
      </c>
    </row>
    <row r="1418" spans="1:5" ht="15" customHeight="1">
      <c r="A1418" s="121"/>
      <c r="C1418" t="str">
        <f ca="1">IFERROR(__xludf.DUMMYFUNCTION("""COMPUTED_VALUE"""),"")</f>
        <v/>
      </c>
      <c r="D1418" t="str">
        <f ca="1">IFERROR(__xludf.DUMMYFUNCTION("""COMPUTED_VALUE"""),"")</f>
        <v/>
      </c>
      <c r="E1418" t="str">
        <f ca="1">IFERROR(__xludf.DUMMYFUNCTION("""COMPUTED_VALUE"""),"")</f>
        <v/>
      </c>
    </row>
    <row r="1419" spans="1:5" ht="15" customHeight="1">
      <c r="A1419" s="121"/>
      <c r="C1419" t="str">
        <f ca="1">IFERROR(__xludf.DUMMYFUNCTION("""COMPUTED_VALUE"""),"")</f>
        <v/>
      </c>
      <c r="D1419" t="str">
        <f ca="1">IFERROR(__xludf.DUMMYFUNCTION("""COMPUTED_VALUE"""),"")</f>
        <v/>
      </c>
      <c r="E1419" t="str">
        <f ca="1">IFERROR(__xludf.DUMMYFUNCTION("""COMPUTED_VALUE"""),"")</f>
        <v/>
      </c>
    </row>
    <row r="1420" spans="1:5" ht="15" customHeight="1">
      <c r="A1420" s="121"/>
      <c r="C1420" t="str">
        <f ca="1">IFERROR(__xludf.DUMMYFUNCTION("""COMPUTED_VALUE"""),"")</f>
        <v/>
      </c>
      <c r="D1420" t="str">
        <f ca="1">IFERROR(__xludf.DUMMYFUNCTION("""COMPUTED_VALUE"""),"")</f>
        <v/>
      </c>
      <c r="E1420" t="str">
        <f ca="1">IFERROR(__xludf.DUMMYFUNCTION("""COMPUTED_VALUE"""),"")</f>
        <v/>
      </c>
    </row>
    <row r="1421" spans="1:5" ht="15" customHeight="1">
      <c r="A1421" s="121"/>
      <c r="C1421" t="str">
        <f ca="1">IFERROR(__xludf.DUMMYFUNCTION("""COMPUTED_VALUE"""),"")</f>
        <v/>
      </c>
      <c r="D1421" t="str">
        <f ca="1">IFERROR(__xludf.DUMMYFUNCTION("""COMPUTED_VALUE"""),"")</f>
        <v/>
      </c>
      <c r="E1421" t="str">
        <f ca="1">IFERROR(__xludf.DUMMYFUNCTION("""COMPUTED_VALUE"""),"")</f>
        <v/>
      </c>
    </row>
    <row r="1422" spans="1:5" ht="15" customHeight="1">
      <c r="A1422" s="121"/>
      <c r="C1422" t="str">
        <f ca="1">IFERROR(__xludf.DUMMYFUNCTION("""COMPUTED_VALUE"""),"")</f>
        <v/>
      </c>
      <c r="D1422" t="str">
        <f ca="1">IFERROR(__xludf.DUMMYFUNCTION("""COMPUTED_VALUE"""),"")</f>
        <v/>
      </c>
      <c r="E1422" t="str">
        <f ca="1">IFERROR(__xludf.DUMMYFUNCTION("""COMPUTED_VALUE"""),"")</f>
        <v/>
      </c>
    </row>
    <row r="1423" spans="1:5" ht="15" customHeight="1">
      <c r="A1423" s="121"/>
      <c r="C1423" t="str">
        <f ca="1">IFERROR(__xludf.DUMMYFUNCTION("""COMPUTED_VALUE"""),"")</f>
        <v/>
      </c>
      <c r="D1423" t="str">
        <f ca="1">IFERROR(__xludf.DUMMYFUNCTION("""COMPUTED_VALUE"""),"")</f>
        <v/>
      </c>
      <c r="E1423" t="str">
        <f ca="1">IFERROR(__xludf.DUMMYFUNCTION("""COMPUTED_VALUE"""),"")</f>
        <v/>
      </c>
    </row>
    <row r="1424" spans="1:5" ht="15" customHeight="1">
      <c r="A1424" s="121"/>
      <c r="C1424" t="str">
        <f ca="1">IFERROR(__xludf.DUMMYFUNCTION("""COMPUTED_VALUE"""),"")</f>
        <v/>
      </c>
      <c r="D1424" t="str">
        <f ca="1">IFERROR(__xludf.DUMMYFUNCTION("""COMPUTED_VALUE"""),"")</f>
        <v/>
      </c>
      <c r="E1424" t="str">
        <f ca="1">IFERROR(__xludf.DUMMYFUNCTION("""COMPUTED_VALUE"""),"")</f>
        <v/>
      </c>
    </row>
    <row r="1425" spans="1:5" ht="15" customHeight="1">
      <c r="A1425" s="121"/>
      <c r="C1425" t="str">
        <f ca="1">IFERROR(__xludf.DUMMYFUNCTION("""COMPUTED_VALUE"""),"")</f>
        <v/>
      </c>
      <c r="D1425" t="str">
        <f ca="1">IFERROR(__xludf.DUMMYFUNCTION("""COMPUTED_VALUE"""),"")</f>
        <v/>
      </c>
      <c r="E1425" t="str">
        <f ca="1">IFERROR(__xludf.DUMMYFUNCTION("""COMPUTED_VALUE"""),"")</f>
        <v/>
      </c>
    </row>
    <row r="1426" spans="1:5" ht="15" customHeight="1">
      <c r="A1426" s="121"/>
      <c r="C1426" t="str">
        <f ca="1">IFERROR(__xludf.DUMMYFUNCTION("""COMPUTED_VALUE"""),"")</f>
        <v/>
      </c>
      <c r="D1426" t="str">
        <f ca="1">IFERROR(__xludf.DUMMYFUNCTION("""COMPUTED_VALUE"""),"")</f>
        <v/>
      </c>
      <c r="E1426" t="str">
        <f ca="1">IFERROR(__xludf.DUMMYFUNCTION("""COMPUTED_VALUE"""),"")</f>
        <v/>
      </c>
    </row>
    <row r="1427" spans="1:5" ht="15" customHeight="1">
      <c r="A1427" s="121"/>
      <c r="C1427" t="str">
        <f ca="1">IFERROR(__xludf.DUMMYFUNCTION("""COMPUTED_VALUE"""),"")</f>
        <v/>
      </c>
      <c r="D1427" t="str">
        <f ca="1">IFERROR(__xludf.DUMMYFUNCTION("""COMPUTED_VALUE"""),"")</f>
        <v/>
      </c>
      <c r="E1427" t="str">
        <f ca="1">IFERROR(__xludf.DUMMYFUNCTION("""COMPUTED_VALUE"""),"")</f>
        <v/>
      </c>
    </row>
    <row r="1428" spans="1:5" ht="15" customHeight="1">
      <c r="A1428" s="121"/>
      <c r="C1428" t="str">
        <f ca="1">IFERROR(__xludf.DUMMYFUNCTION("""COMPUTED_VALUE"""),"")</f>
        <v/>
      </c>
      <c r="D1428" t="str">
        <f ca="1">IFERROR(__xludf.DUMMYFUNCTION("""COMPUTED_VALUE"""),"")</f>
        <v/>
      </c>
      <c r="E1428" t="str">
        <f ca="1">IFERROR(__xludf.DUMMYFUNCTION("""COMPUTED_VALUE"""),"")</f>
        <v/>
      </c>
    </row>
    <row r="1429" spans="1:5" ht="15" customHeight="1">
      <c r="A1429" s="121"/>
      <c r="C1429" t="str">
        <f ca="1">IFERROR(__xludf.DUMMYFUNCTION("""COMPUTED_VALUE"""),"")</f>
        <v/>
      </c>
      <c r="D1429" t="str">
        <f ca="1">IFERROR(__xludf.DUMMYFUNCTION("""COMPUTED_VALUE"""),"")</f>
        <v/>
      </c>
      <c r="E1429" t="str">
        <f ca="1">IFERROR(__xludf.DUMMYFUNCTION("""COMPUTED_VALUE"""),"")</f>
        <v/>
      </c>
    </row>
    <row r="1430" spans="1:5" ht="15" customHeight="1">
      <c r="A1430" s="121"/>
      <c r="C1430" t="str">
        <f ca="1">IFERROR(__xludf.DUMMYFUNCTION("""COMPUTED_VALUE"""),"")</f>
        <v/>
      </c>
      <c r="D1430" t="str">
        <f ca="1">IFERROR(__xludf.DUMMYFUNCTION("""COMPUTED_VALUE"""),"")</f>
        <v/>
      </c>
      <c r="E1430" t="str">
        <f ca="1">IFERROR(__xludf.DUMMYFUNCTION("""COMPUTED_VALUE"""),"")</f>
        <v/>
      </c>
    </row>
    <row r="1431" spans="1:5" ht="15" customHeight="1">
      <c r="A1431" s="121"/>
      <c r="C1431" t="str">
        <f ca="1">IFERROR(__xludf.DUMMYFUNCTION("""COMPUTED_VALUE"""),"")</f>
        <v/>
      </c>
      <c r="D1431" t="str">
        <f ca="1">IFERROR(__xludf.DUMMYFUNCTION("""COMPUTED_VALUE"""),"")</f>
        <v/>
      </c>
      <c r="E1431" t="str">
        <f ca="1">IFERROR(__xludf.DUMMYFUNCTION("""COMPUTED_VALUE"""),"")</f>
        <v/>
      </c>
    </row>
    <row r="1432" spans="1:5" ht="15" customHeight="1">
      <c r="A1432" s="121"/>
      <c r="C1432" t="str">
        <f ca="1">IFERROR(__xludf.DUMMYFUNCTION("""COMPUTED_VALUE"""),"")</f>
        <v/>
      </c>
      <c r="D1432" t="str">
        <f ca="1">IFERROR(__xludf.DUMMYFUNCTION("""COMPUTED_VALUE"""),"")</f>
        <v/>
      </c>
      <c r="E1432" t="str">
        <f ca="1">IFERROR(__xludf.DUMMYFUNCTION("""COMPUTED_VALUE"""),"")</f>
        <v/>
      </c>
    </row>
    <row r="1433" spans="1:5" ht="15" customHeight="1">
      <c r="A1433" s="121"/>
      <c r="C1433" t="str">
        <f ca="1">IFERROR(__xludf.DUMMYFUNCTION("""COMPUTED_VALUE"""),"")</f>
        <v/>
      </c>
      <c r="D1433" t="str">
        <f ca="1">IFERROR(__xludf.DUMMYFUNCTION("""COMPUTED_VALUE"""),"")</f>
        <v/>
      </c>
      <c r="E1433" t="str">
        <f ca="1">IFERROR(__xludf.DUMMYFUNCTION("""COMPUTED_VALUE"""),"")</f>
        <v/>
      </c>
    </row>
    <row r="1434" spans="1:5" ht="15" customHeight="1">
      <c r="A1434" s="121"/>
      <c r="C1434" t="str">
        <f ca="1">IFERROR(__xludf.DUMMYFUNCTION("""COMPUTED_VALUE"""),"")</f>
        <v/>
      </c>
      <c r="D1434" t="str">
        <f ca="1">IFERROR(__xludf.DUMMYFUNCTION("""COMPUTED_VALUE"""),"")</f>
        <v/>
      </c>
      <c r="E1434" t="str">
        <f ca="1">IFERROR(__xludf.DUMMYFUNCTION("""COMPUTED_VALUE"""),"")</f>
        <v/>
      </c>
    </row>
    <row r="1435" spans="1:5" ht="15" customHeight="1">
      <c r="A1435" s="121"/>
      <c r="C1435" t="str">
        <f ca="1">IFERROR(__xludf.DUMMYFUNCTION("""COMPUTED_VALUE"""),"")</f>
        <v/>
      </c>
      <c r="D1435" t="str">
        <f ca="1">IFERROR(__xludf.DUMMYFUNCTION("""COMPUTED_VALUE"""),"")</f>
        <v/>
      </c>
      <c r="E1435" t="str">
        <f ca="1">IFERROR(__xludf.DUMMYFUNCTION("""COMPUTED_VALUE"""),"")</f>
        <v/>
      </c>
    </row>
    <row r="1436" spans="1:5" ht="15" customHeight="1">
      <c r="A1436" s="121"/>
      <c r="C1436" t="str">
        <f ca="1">IFERROR(__xludf.DUMMYFUNCTION("""COMPUTED_VALUE"""),"")</f>
        <v/>
      </c>
      <c r="D1436" t="str">
        <f ca="1">IFERROR(__xludf.DUMMYFUNCTION("""COMPUTED_VALUE"""),"")</f>
        <v/>
      </c>
      <c r="E1436" t="str">
        <f ca="1">IFERROR(__xludf.DUMMYFUNCTION("""COMPUTED_VALUE"""),"")</f>
        <v/>
      </c>
    </row>
    <row r="1437" spans="1:5" ht="15" customHeight="1">
      <c r="A1437" s="121"/>
      <c r="C1437" t="str">
        <f ca="1">IFERROR(__xludf.DUMMYFUNCTION("""COMPUTED_VALUE"""),"")</f>
        <v/>
      </c>
      <c r="D1437" t="str">
        <f ca="1">IFERROR(__xludf.DUMMYFUNCTION("""COMPUTED_VALUE"""),"")</f>
        <v/>
      </c>
      <c r="E1437" t="str">
        <f ca="1">IFERROR(__xludf.DUMMYFUNCTION("""COMPUTED_VALUE"""),"")</f>
        <v/>
      </c>
    </row>
    <row r="1438" spans="1:5" ht="15" customHeight="1">
      <c r="A1438" s="121"/>
      <c r="C1438" t="str">
        <f ca="1">IFERROR(__xludf.DUMMYFUNCTION("""COMPUTED_VALUE"""),"")</f>
        <v/>
      </c>
      <c r="D1438" t="str">
        <f ca="1">IFERROR(__xludf.DUMMYFUNCTION("""COMPUTED_VALUE"""),"")</f>
        <v/>
      </c>
      <c r="E1438" t="str">
        <f ca="1">IFERROR(__xludf.DUMMYFUNCTION("""COMPUTED_VALUE"""),"")</f>
        <v/>
      </c>
    </row>
    <row r="1439" spans="1:5" ht="15" customHeight="1">
      <c r="A1439" s="121"/>
      <c r="C1439" t="str">
        <f ca="1">IFERROR(__xludf.DUMMYFUNCTION("""COMPUTED_VALUE"""),"")</f>
        <v/>
      </c>
      <c r="D1439" t="str">
        <f ca="1">IFERROR(__xludf.DUMMYFUNCTION("""COMPUTED_VALUE"""),"")</f>
        <v/>
      </c>
      <c r="E1439" t="str">
        <f ca="1">IFERROR(__xludf.DUMMYFUNCTION("""COMPUTED_VALUE"""),"")</f>
        <v/>
      </c>
    </row>
    <row r="1440" spans="1:5" ht="15" customHeight="1">
      <c r="A1440" s="121"/>
      <c r="C1440" t="str">
        <f ca="1">IFERROR(__xludf.DUMMYFUNCTION("""COMPUTED_VALUE"""),"")</f>
        <v/>
      </c>
      <c r="D1440" t="str">
        <f ca="1">IFERROR(__xludf.DUMMYFUNCTION("""COMPUTED_VALUE"""),"")</f>
        <v/>
      </c>
      <c r="E1440" t="str">
        <f ca="1">IFERROR(__xludf.DUMMYFUNCTION("""COMPUTED_VALUE"""),"")</f>
        <v/>
      </c>
    </row>
    <row r="1441" spans="1:5" ht="15" customHeight="1">
      <c r="A1441" s="121"/>
      <c r="C1441" t="str">
        <f ca="1">IFERROR(__xludf.DUMMYFUNCTION("""COMPUTED_VALUE"""),"")</f>
        <v/>
      </c>
      <c r="D1441" t="str">
        <f ca="1">IFERROR(__xludf.DUMMYFUNCTION("""COMPUTED_VALUE"""),"")</f>
        <v/>
      </c>
      <c r="E1441" t="str">
        <f ca="1">IFERROR(__xludf.DUMMYFUNCTION("""COMPUTED_VALUE"""),"")</f>
        <v/>
      </c>
    </row>
    <row r="1442" spans="1:5" ht="15" customHeight="1">
      <c r="A1442" s="121"/>
      <c r="C1442" t="str">
        <f ca="1">IFERROR(__xludf.DUMMYFUNCTION("""COMPUTED_VALUE"""),"")</f>
        <v/>
      </c>
      <c r="D1442" t="str">
        <f ca="1">IFERROR(__xludf.DUMMYFUNCTION("""COMPUTED_VALUE"""),"")</f>
        <v/>
      </c>
      <c r="E1442" t="str">
        <f ca="1">IFERROR(__xludf.DUMMYFUNCTION("""COMPUTED_VALUE"""),"")</f>
        <v/>
      </c>
    </row>
    <row r="1443" spans="1:5" ht="15" customHeight="1">
      <c r="A1443" s="121"/>
      <c r="C1443" t="str">
        <f ca="1">IFERROR(__xludf.DUMMYFUNCTION("""COMPUTED_VALUE"""),"")</f>
        <v/>
      </c>
      <c r="D1443" t="str">
        <f ca="1">IFERROR(__xludf.DUMMYFUNCTION("""COMPUTED_VALUE"""),"")</f>
        <v/>
      </c>
      <c r="E1443" t="str">
        <f ca="1">IFERROR(__xludf.DUMMYFUNCTION("""COMPUTED_VALUE"""),"")</f>
        <v/>
      </c>
    </row>
    <row r="1444" spans="1:5" ht="15" customHeight="1">
      <c r="A1444" s="121"/>
      <c r="C1444" t="str">
        <f ca="1">IFERROR(__xludf.DUMMYFUNCTION("""COMPUTED_VALUE"""),"")</f>
        <v/>
      </c>
      <c r="D1444" t="str">
        <f ca="1">IFERROR(__xludf.DUMMYFUNCTION("""COMPUTED_VALUE"""),"")</f>
        <v/>
      </c>
      <c r="E1444" t="str">
        <f ca="1">IFERROR(__xludf.DUMMYFUNCTION("""COMPUTED_VALUE"""),"")</f>
        <v/>
      </c>
    </row>
    <row r="1445" spans="1:5" ht="15" customHeight="1">
      <c r="A1445" s="121"/>
      <c r="C1445" t="str">
        <f ca="1">IFERROR(__xludf.DUMMYFUNCTION("""COMPUTED_VALUE"""),"")</f>
        <v/>
      </c>
      <c r="D1445" t="str">
        <f ca="1">IFERROR(__xludf.DUMMYFUNCTION("""COMPUTED_VALUE"""),"")</f>
        <v/>
      </c>
      <c r="E1445" t="str">
        <f ca="1">IFERROR(__xludf.DUMMYFUNCTION("""COMPUTED_VALUE"""),"")</f>
        <v/>
      </c>
    </row>
    <row r="1446" spans="1:5" ht="15" customHeight="1">
      <c r="A1446" s="121"/>
      <c r="C1446" t="str">
        <f ca="1">IFERROR(__xludf.DUMMYFUNCTION("""COMPUTED_VALUE"""),"")</f>
        <v/>
      </c>
      <c r="D1446" t="str">
        <f ca="1">IFERROR(__xludf.DUMMYFUNCTION("""COMPUTED_VALUE"""),"")</f>
        <v/>
      </c>
      <c r="E1446" t="str">
        <f ca="1">IFERROR(__xludf.DUMMYFUNCTION("""COMPUTED_VALUE"""),"")</f>
        <v/>
      </c>
    </row>
    <row r="1447" spans="1:5" ht="15" customHeight="1">
      <c r="A1447" s="121"/>
      <c r="C1447" t="str">
        <f ca="1">IFERROR(__xludf.DUMMYFUNCTION("""COMPUTED_VALUE"""),"")</f>
        <v/>
      </c>
      <c r="D1447" t="str">
        <f ca="1">IFERROR(__xludf.DUMMYFUNCTION("""COMPUTED_VALUE"""),"")</f>
        <v/>
      </c>
      <c r="E1447" t="str">
        <f ca="1">IFERROR(__xludf.DUMMYFUNCTION("""COMPUTED_VALUE"""),"")</f>
        <v/>
      </c>
    </row>
    <row r="1448" spans="1:5" ht="15" customHeight="1">
      <c r="A1448" s="121"/>
      <c r="C1448" t="str">
        <f ca="1">IFERROR(__xludf.DUMMYFUNCTION("""COMPUTED_VALUE"""),"")</f>
        <v/>
      </c>
      <c r="D1448" t="str">
        <f ca="1">IFERROR(__xludf.DUMMYFUNCTION("""COMPUTED_VALUE"""),"")</f>
        <v/>
      </c>
      <c r="E1448" t="str">
        <f ca="1">IFERROR(__xludf.DUMMYFUNCTION("""COMPUTED_VALUE"""),"")</f>
        <v/>
      </c>
    </row>
    <row r="1449" spans="1:5" ht="15" customHeight="1">
      <c r="A1449" s="121"/>
      <c r="C1449" t="str">
        <f ca="1">IFERROR(__xludf.DUMMYFUNCTION("""COMPUTED_VALUE"""),"")</f>
        <v/>
      </c>
      <c r="D1449" t="str">
        <f ca="1">IFERROR(__xludf.DUMMYFUNCTION("""COMPUTED_VALUE"""),"")</f>
        <v/>
      </c>
      <c r="E1449" t="str">
        <f ca="1">IFERROR(__xludf.DUMMYFUNCTION("""COMPUTED_VALUE"""),"")</f>
        <v/>
      </c>
    </row>
    <row r="1450" spans="1:5" ht="15" customHeight="1">
      <c r="A1450" s="121"/>
      <c r="C1450" t="str">
        <f ca="1">IFERROR(__xludf.DUMMYFUNCTION("""COMPUTED_VALUE"""),"")</f>
        <v/>
      </c>
      <c r="D1450" t="str">
        <f ca="1">IFERROR(__xludf.DUMMYFUNCTION("""COMPUTED_VALUE"""),"")</f>
        <v/>
      </c>
      <c r="E1450" t="str">
        <f ca="1">IFERROR(__xludf.DUMMYFUNCTION("""COMPUTED_VALUE"""),"")</f>
        <v/>
      </c>
    </row>
    <row r="1451" spans="1:5" ht="15" customHeight="1">
      <c r="A1451" s="121"/>
      <c r="C1451" t="str">
        <f ca="1">IFERROR(__xludf.DUMMYFUNCTION("""COMPUTED_VALUE"""),"")</f>
        <v/>
      </c>
      <c r="D1451" t="str">
        <f ca="1">IFERROR(__xludf.DUMMYFUNCTION("""COMPUTED_VALUE"""),"")</f>
        <v/>
      </c>
      <c r="E1451" t="str">
        <f ca="1">IFERROR(__xludf.DUMMYFUNCTION("""COMPUTED_VALUE"""),"")</f>
        <v/>
      </c>
    </row>
    <row r="1452" spans="1:5" ht="15" customHeight="1">
      <c r="A1452" s="121"/>
      <c r="C1452" t="str">
        <f ca="1">IFERROR(__xludf.DUMMYFUNCTION("""COMPUTED_VALUE"""),"")</f>
        <v/>
      </c>
      <c r="D1452" t="str">
        <f ca="1">IFERROR(__xludf.DUMMYFUNCTION("""COMPUTED_VALUE"""),"")</f>
        <v/>
      </c>
      <c r="E1452" t="str">
        <f ca="1">IFERROR(__xludf.DUMMYFUNCTION("""COMPUTED_VALUE"""),"")</f>
        <v/>
      </c>
    </row>
    <row r="1453" spans="1:5" ht="15" customHeight="1">
      <c r="A1453" s="121"/>
      <c r="C1453" t="str">
        <f ca="1">IFERROR(__xludf.DUMMYFUNCTION("""COMPUTED_VALUE"""),"")</f>
        <v/>
      </c>
      <c r="D1453" t="str">
        <f ca="1">IFERROR(__xludf.DUMMYFUNCTION("""COMPUTED_VALUE"""),"")</f>
        <v/>
      </c>
      <c r="E1453" t="str">
        <f ca="1">IFERROR(__xludf.DUMMYFUNCTION("""COMPUTED_VALUE"""),"")</f>
        <v/>
      </c>
    </row>
    <row r="1454" spans="1:5" ht="15" customHeight="1">
      <c r="A1454" s="121"/>
      <c r="C1454" t="str">
        <f ca="1">IFERROR(__xludf.DUMMYFUNCTION("""COMPUTED_VALUE"""),"")</f>
        <v/>
      </c>
      <c r="D1454" t="str">
        <f ca="1">IFERROR(__xludf.DUMMYFUNCTION("""COMPUTED_VALUE"""),"")</f>
        <v/>
      </c>
      <c r="E1454" t="str">
        <f ca="1">IFERROR(__xludf.DUMMYFUNCTION("""COMPUTED_VALUE"""),"")</f>
        <v/>
      </c>
    </row>
    <row r="1455" spans="1:5" ht="15" customHeight="1">
      <c r="A1455" s="121"/>
      <c r="C1455" t="str">
        <f ca="1">IFERROR(__xludf.DUMMYFUNCTION("""COMPUTED_VALUE"""),"")</f>
        <v/>
      </c>
      <c r="D1455" t="str">
        <f ca="1">IFERROR(__xludf.DUMMYFUNCTION("""COMPUTED_VALUE"""),"")</f>
        <v/>
      </c>
      <c r="E1455" t="str">
        <f ca="1">IFERROR(__xludf.DUMMYFUNCTION("""COMPUTED_VALUE"""),"")</f>
        <v/>
      </c>
    </row>
    <row r="1456" spans="1:5" ht="15" customHeight="1">
      <c r="A1456" s="121"/>
      <c r="C1456" t="str">
        <f ca="1">IFERROR(__xludf.DUMMYFUNCTION("""COMPUTED_VALUE"""),"")</f>
        <v/>
      </c>
      <c r="D1456" t="str">
        <f ca="1">IFERROR(__xludf.DUMMYFUNCTION("""COMPUTED_VALUE"""),"")</f>
        <v/>
      </c>
      <c r="E1456" t="str">
        <f ca="1">IFERROR(__xludf.DUMMYFUNCTION("""COMPUTED_VALUE"""),"")</f>
        <v/>
      </c>
    </row>
    <row r="1457" spans="1:5" ht="15" customHeight="1">
      <c r="A1457" s="121"/>
      <c r="C1457" t="str">
        <f ca="1">IFERROR(__xludf.DUMMYFUNCTION("""COMPUTED_VALUE"""),"")</f>
        <v/>
      </c>
      <c r="D1457" t="str">
        <f ca="1">IFERROR(__xludf.DUMMYFUNCTION("""COMPUTED_VALUE"""),"")</f>
        <v/>
      </c>
      <c r="E1457" t="str">
        <f ca="1">IFERROR(__xludf.DUMMYFUNCTION("""COMPUTED_VALUE"""),"")</f>
        <v/>
      </c>
    </row>
    <row r="1458" spans="1:5" ht="15" customHeight="1">
      <c r="A1458" s="121"/>
      <c r="C1458" t="str">
        <f ca="1">IFERROR(__xludf.DUMMYFUNCTION("""COMPUTED_VALUE"""),"")</f>
        <v/>
      </c>
      <c r="D1458" t="str">
        <f ca="1">IFERROR(__xludf.DUMMYFUNCTION("""COMPUTED_VALUE"""),"")</f>
        <v/>
      </c>
      <c r="E1458" t="str">
        <f ca="1">IFERROR(__xludf.DUMMYFUNCTION("""COMPUTED_VALUE"""),"")</f>
        <v/>
      </c>
    </row>
    <row r="1459" spans="1:5" ht="15" customHeight="1">
      <c r="A1459" s="121"/>
      <c r="C1459" t="str">
        <f ca="1">IFERROR(__xludf.DUMMYFUNCTION("""COMPUTED_VALUE"""),"")</f>
        <v/>
      </c>
      <c r="D1459" t="str">
        <f ca="1">IFERROR(__xludf.DUMMYFUNCTION("""COMPUTED_VALUE"""),"")</f>
        <v/>
      </c>
      <c r="E1459" t="str">
        <f ca="1">IFERROR(__xludf.DUMMYFUNCTION("""COMPUTED_VALUE"""),"")</f>
        <v/>
      </c>
    </row>
    <row r="1460" spans="1:5" ht="15" customHeight="1">
      <c r="A1460" s="121"/>
      <c r="C1460" t="str">
        <f ca="1">IFERROR(__xludf.DUMMYFUNCTION("""COMPUTED_VALUE"""),"")</f>
        <v/>
      </c>
      <c r="D1460" t="str">
        <f ca="1">IFERROR(__xludf.DUMMYFUNCTION("""COMPUTED_VALUE"""),"")</f>
        <v/>
      </c>
      <c r="E1460" t="str">
        <f ca="1">IFERROR(__xludf.DUMMYFUNCTION("""COMPUTED_VALUE"""),"")</f>
        <v/>
      </c>
    </row>
    <row r="1461" spans="1:5" ht="15" customHeight="1">
      <c r="A1461" s="121"/>
      <c r="C1461" t="str">
        <f ca="1">IFERROR(__xludf.DUMMYFUNCTION("""COMPUTED_VALUE"""),"")</f>
        <v/>
      </c>
      <c r="D1461" t="str">
        <f ca="1">IFERROR(__xludf.DUMMYFUNCTION("""COMPUTED_VALUE"""),"")</f>
        <v/>
      </c>
      <c r="E1461" t="str">
        <f ca="1">IFERROR(__xludf.DUMMYFUNCTION("""COMPUTED_VALUE"""),"")</f>
        <v/>
      </c>
    </row>
    <row r="1462" spans="1:5" ht="15" customHeight="1">
      <c r="A1462" s="121"/>
      <c r="C1462" t="str">
        <f ca="1">IFERROR(__xludf.DUMMYFUNCTION("""COMPUTED_VALUE"""),"")</f>
        <v/>
      </c>
      <c r="D1462" t="str">
        <f ca="1">IFERROR(__xludf.DUMMYFUNCTION("""COMPUTED_VALUE"""),"")</f>
        <v/>
      </c>
      <c r="E1462" t="str">
        <f ca="1">IFERROR(__xludf.DUMMYFUNCTION("""COMPUTED_VALUE"""),"")</f>
        <v/>
      </c>
    </row>
    <row r="1463" spans="1:5" ht="15" customHeight="1">
      <c r="A1463" s="121"/>
      <c r="C1463" t="str">
        <f ca="1">IFERROR(__xludf.DUMMYFUNCTION("""COMPUTED_VALUE"""),"")</f>
        <v/>
      </c>
      <c r="D1463" t="str">
        <f ca="1">IFERROR(__xludf.DUMMYFUNCTION("""COMPUTED_VALUE"""),"")</f>
        <v/>
      </c>
      <c r="E1463" t="str">
        <f ca="1">IFERROR(__xludf.DUMMYFUNCTION("""COMPUTED_VALUE"""),"")</f>
        <v/>
      </c>
    </row>
    <row r="1464" spans="1:5" ht="15" customHeight="1">
      <c r="A1464" s="121"/>
      <c r="C1464" t="str">
        <f ca="1">IFERROR(__xludf.DUMMYFUNCTION("""COMPUTED_VALUE"""),"")</f>
        <v/>
      </c>
      <c r="D1464" t="str">
        <f ca="1">IFERROR(__xludf.DUMMYFUNCTION("""COMPUTED_VALUE"""),"")</f>
        <v/>
      </c>
      <c r="E1464" t="str">
        <f ca="1">IFERROR(__xludf.DUMMYFUNCTION("""COMPUTED_VALUE"""),"")</f>
        <v/>
      </c>
    </row>
    <row r="1465" spans="1:5" ht="15" customHeight="1">
      <c r="A1465" s="121"/>
      <c r="C1465" t="str">
        <f ca="1">IFERROR(__xludf.DUMMYFUNCTION("""COMPUTED_VALUE"""),"")</f>
        <v/>
      </c>
      <c r="D1465" t="str">
        <f ca="1">IFERROR(__xludf.DUMMYFUNCTION("""COMPUTED_VALUE"""),"")</f>
        <v/>
      </c>
      <c r="E1465" t="str">
        <f ca="1">IFERROR(__xludf.DUMMYFUNCTION("""COMPUTED_VALUE"""),"")</f>
        <v/>
      </c>
    </row>
    <row r="1466" spans="1:5" ht="15" customHeight="1">
      <c r="A1466" s="121"/>
      <c r="C1466" t="str">
        <f ca="1">IFERROR(__xludf.DUMMYFUNCTION("""COMPUTED_VALUE"""),"")</f>
        <v/>
      </c>
      <c r="D1466" t="str">
        <f ca="1">IFERROR(__xludf.DUMMYFUNCTION("""COMPUTED_VALUE"""),"")</f>
        <v/>
      </c>
      <c r="E1466" t="str">
        <f ca="1">IFERROR(__xludf.DUMMYFUNCTION("""COMPUTED_VALUE"""),"")</f>
        <v/>
      </c>
    </row>
    <row r="1467" spans="1:5" ht="15" customHeight="1">
      <c r="A1467" s="121"/>
      <c r="C1467" t="str">
        <f ca="1">IFERROR(__xludf.DUMMYFUNCTION("""COMPUTED_VALUE"""),"")</f>
        <v/>
      </c>
      <c r="D1467" t="str">
        <f ca="1">IFERROR(__xludf.DUMMYFUNCTION("""COMPUTED_VALUE"""),"")</f>
        <v/>
      </c>
      <c r="E1467" t="str">
        <f ca="1">IFERROR(__xludf.DUMMYFUNCTION("""COMPUTED_VALUE"""),"")</f>
        <v/>
      </c>
    </row>
    <row r="1468" spans="1:5" ht="15" customHeight="1">
      <c r="A1468" s="121"/>
      <c r="C1468" t="str">
        <f ca="1">IFERROR(__xludf.DUMMYFUNCTION("""COMPUTED_VALUE"""),"")</f>
        <v/>
      </c>
      <c r="D1468" t="str">
        <f ca="1">IFERROR(__xludf.DUMMYFUNCTION("""COMPUTED_VALUE"""),"")</f>
        <v/>
      </c>
      <c r="E1468" t="str">
        <f ca="1">IFERROR(__xludf.DUMMYFUNCTION("""COMPUTED_VALUE"""),"")</f>
        <v/>
      </c>
    </row>
    <row r="1469" spans="1:5" ht="15" customHeight="1">
      <c r="A1469" s="121"/>
      <c r="C1469" t="str">
        <f ca="1">IFERROR(__xludf.DUMMYFUNCTION("""COMPUTED_VALUE"""),"")</f>
        <v/>
      </c>
      <c r="D1469" t="str">
        <f ca="1">IFERROR(__xludf.DUMMYFUNCTION("""COMPUTED_VALUE"""),"")</f>
        <v/>
      </c>
      <c r="E1469" t="str">
        <f ca="1">IFERROR(__xludf.DUMMYFUNCTION("""COMPUTED_VALUE"""),"")</f>
        <v/>
      </c>
    </row>
    <row r="1470" spans="1:5" ht="15" customHeight="1">
      <c r="A1470" s="121"/>
      <c r="C1470" t="str">
        <f ca="1">IFERROR(__xludf.DUMMYFUNCTION("""COMPUTED_VALUE"""),"")</f>
        <v/>
      </c>
      <c r="D1470" t="str">
        <f ca="1">IFERROR(__xludf.DUMMYFUNCTION("""COMPUTED_VALUE"""),"")</f>
        <v/>
      </c>
      <c r="E1470" t="str">
        <f ca="1">IFERROR(__xludf.DUMMYFUNCTION("""COMPUTED_VALUE"""),"")</f>
        <v/>
      </c>
    </row>
    <row r="1471" spans="1:5" ht="15" customHeight="1">
      <c r="A1471" s="121"/>
      <c r="C1471" t="str">
        <f ca="1">IFERROR(__xludf.DUMMYFUNCTION("""COMPUTED_VALUE"""),"")</f>
        <v/>
      </c>
      <c r="D1471" t="str">
        <f ca="1">IFERROR(__xludf.DUMMYFUNCTION("""COMPUTED_VALUE"""),"")</f>
        <v/>
      </c>
      <c r="E1471" t="str">
        <f ca="1">IFERROR(__xludf.DUMMYFUNCTION("""COMPUTED_VALUE"""),"")</f>
        <v/>
      </c>
    </row>
    <row r="1472" spans="1:5" ht="15" customHeight="1">
      <c r="A1472" s="121"/>
      <c r="C1472" t="str">
        <f ca="1">IFERROR(__xludf.DUMMYFUNCTION("""COMPUTED_VALUE"""),"")</f>
        <v/>
      </c>
      <c r="D1472" t="str">
        <f ca="1">IFERROR(__xludf.DUMMYFUNCTION("""COMPUTED_VALUE"""),"")</f>
        <v/>
      </c>
      <c r="E1472" t="str">
        <f ca="1">IFERROR(__xludf.DUMMYFUNCTION("""COMPUTED_VALUE"""),"")</f>
        <v/>
      </c>
    </row>
    <row r="1473" spans="1:5" ht="15" customHeight="1">
      <c r="A1473" s="121"/>
      <c r="C1473" t="str">
        <f ca="1">IFERROR(__xludf.DUMMYFUNCTION("""COMPUTED_VALUE"""),"")</f>
        <v/>
      </c>
      <c r="D1473" t="str">
        <f ca="1">IFERROR(__xludf.DUMMYFUNCTION("""COMPUTED_VALUE"""),"")</f>
        <v/>
      </c>
      <c r="E1473" t="str">
        <f ca="1">IFERROR(__xludf.DUMMYFUNCTION("""COMPUTED_VALUE"""),"")</f>
        <v/>
      </c>
    </row>
    <row r="1474" spans="1:5" ht="15" customHeight="1">
      <c r="A1474" s="121"/>
      <c r="C1474" t="str">
        <f ca="1">IFERROR(__xludf.DUMMYFUNCTION("""COMPUTED_VALUE"""),"")</f>
        <v/>
      </c>
      <c r="D1474" t="str">
        <f ca="1">IFERROR(__xludf.DUMMYFUNCTION("""COMPUTED_VALUE"""),"")</f>
        <v/>
      </c>
      <c r="E1474" t="str">
        <f ca="1">IFERROR(__xludf.DUMMYFUNCTION("""COMPUTED_VALUE"""),"")</f>
        <v/>
      </c>
    </row>
    <row r="1475" spans="1:5" ht="15" customHeight="1">
      <c r="A1475" s="121"/>
      <c r="C1475" t="str">
        <f ca="1">IFERROR(__xludf.DUMMYFUNCTION("""COMPUTED_VALUE"""),"")</f>
        <v/>
      </c>
      <c r="D1475" t="str">
        <f ca="1">IFERROR(__xludf.DUMMYFUNCTION("""COMPUTED_VALUE"""),"")</f>
        <v/>
      </c>
      <c r="E1475" t="str">
        <f ca="1">IFERROR(__xludf.DUMMYFUNCTION("""COMPUTED_VALUE"""),"")</f>
        <v/>
      </c>
    </row>
    <row r="1476" spans="1:5" ht="15" customHeight="1">
      <c r="A1476" s="121"/>
      <c r="C1476" t="str">
        <f ca="1">IFERROR(__xludf.DUMMYFUNCTION("""COMPUTED_VALUE"""),"")</f>
        <v/>
      </c>
      <c r="D1476" t="str">
        <f ca="1">IFERROR(__xludf.DUMMYFUNCTION("""COMPUTED_VALUE"""),"")</f>
        <v/>
      </c>
      <c r="E1476" t="str">
        <f ca="1">IFERROR(__xludf.DUMMYFUNCTION("""COMPUTED_VALUE"""),"")</f>
        <v/>
      </c>
    </row>
    <row r="1477" spans="1:5" ht="15" customHeight="1">
      <c r="A1477" s="121"/>
      <c r="C1477" t="str">
        <f ca="1">IFERROR(__xludf.DUMMYFUNCTION("""COMPUTED_VALUE"""),"")</f>
        <v/>
      </c>
      <c r="D1477" t="str">
        <f ca="1">IFERROR(__xludf.DUMMYFUNCTION("""COMPUTED_VALUE"""),"")</f>
        <v/>
      </c>
      <c r="E1477" t="str">
        <f ca="1">IFERROR(__xludf.DUMMYFUNCTION("""COMPUTED_VALUE"""),"")</f>
        <v/>
      </c>
    </row>
    <row r="1478" spans="1:5" ht="15" customHeight="1">
      <c r="A1478" s="121"/>
      <c r="C1478" t="str">
        <f ca="1">IFERROR(__xludf.DUMMYFUNCTION("""COMPUTED_VALUE"""),"")</f>
        <v/>
      </c>
      <c r="D1478" t="str">
        <f ca="1">IFERROR(__xludf.DUMMYFUNCTION("""COMPUTED_VALUE"""),"")</f>
        <v/>
      </c>
      <c r="E1478" t="str">
        <f ca="1">IFERROR(__xludf.DUMMYFUNCTION("""COMPUTED_VALUE"""),"")</f>
        <v/>
      </c>
    </row>
    <row r="1479" spans="1:5" ht="15" customHeight="1">
      <c r="A1479" s="121"/>
      <c r="C1479" t="str">
        <f ca="1">IFERROR(__xludf.DUMMYFUNCTION("""COMPUTED_VALUE"""),"")</f>
        <v/>
      </c>
      <c r="D1479" t="str">
        <f ca="1">IFERROR(__xludf.DUMMYFUNCTION("""COMPUTED_VALUE"""),"")</f>
        <v/>
      </c>
      <c r="E1479" t="str">
        <f ca="1">IFERROR(__xludf.DUMMYFUNCTION("""COMPUTED_VALUE"""),"")</f>
        <v/>
      </c>
    </row>
    <row r="1480" spans="1:5" ht="15" customHeight="1">
      <c r="A1480" s="121"/>
      <c r="C1480" t="str">
        <f ca="1">IFERROR(__xludf.DUMMYFUNCTION("""COMPUTED_VALUE"""),"")</f>
        <v/>
      </c>
      <c r="D1480" t="str">
        <f ca="1">IFERROR(__xludf.DUMMYFUNCTION("""COMPUTED_VALUE"""),"")</f>
        <v/>
      </c>
      <c r="E1480" t="str">
        <f ca="1">IFERROR(__xludf.DUMMYFUNCTION("""COMPUTED_VALUE"""),"")</f>
        <v/>
      </c>
    </row>
    <row r="1481" spans="1:5" ht="15" customHeight="1">
      <c r="A1481" s="121"/>
      <c r="C1481" t="str">
        <f ca="1">IFERROR(__xludf.DUMMYFUNCTION("""COMPUTED_VALUE"""),"")</f>
        <v/>
      </c>
      <c r="D1481" t="str">
        <f ca="1">IFERROR(__xludf.DUMMYFUNCTION("""COMPUTED_VALUE"""),"")</f>
        <v/>
      </c>
      <c r="E1481" t="str">
        <f ca="1">IFERROR(__xludf.DUMMYFUNCTION("""COMPUTED_VALUE"""),"")</f>
        <v/>
      </c>
    </row>
    <row r="1482" spans="1:5" ht="15" customHeight="1">
      <c r="A1482" s="121"/>
      <c r="C1482" t="str">
        <f ca="1">IFERROR(__xludf.DUMMYFUNCTION("""COMPUTED_VALUE"""),"")</f>
        <v/>
      </c>
      <c r="D1482" t="str">
        <f ca="1">IFERROR(__xludf.DUMMYFUNCTION("""COMPUTED_VALUE"""),"")</f>
        <v/>
      </c>
      <c r="E1482" t="str">
        <f ca="1">IFERROR(__xludf.DUMMYFUNCTION("""COMPUTED_VALUE"""),"")</f>
        <v/>
      </c>
    </row>
    <row r="1483" spans="1:5" ht="15" customHeight="1">
      <c r="A1483" s="121"/>
      <c r="C1483" t="str">
        <f ca="1">IFERROR(__xludf.DUMMYFUNCTION("""COMPUTED_VALUE"""),"")</f>
        <v/>
      </c>
      <c r="D1483" t="str">
        <f ca="1">IFERROR(__xludf.DUMMYFUNCTION("""COMPUTED_VALUE"""),"")</f>
        <v/>
      </c>
      <c r="E1483" t="str">
        <f ca="1">IFERROR(__xludf.DUMMYFUNCTION("""COMPUTED_VALUE"""),"")</f>
        <v/>
      </c>
    </row>
    <row r="1484" spans="1:5" ht="15" customHeight="1">
      <c r="A1484" s="121"/>
      <c r="C1484" t="str">
        <f ca="1">IFERROR(__xludf.DUMMYFUNCTION("""COMPUTED_VALUE"""),"")</f>
        <v/>
      </c>
      <c r="D1484" t="str">
        <f ca="1">IFERROR(__xludf.DUMMYFUNCTION("""COMPUTED_VALUE"""),"")</f>
        <v/>
      </c>
      <c r="E1484" t="str">
        <f ca="1">IFERROR(__xludf.DUMMYFUNCTION("""COMPUTED_VALUE"""),"")</f>
        <v/>
      </c>
    </row>
    <row r="1485" spans="1:5" ht="15" customHeight="1">
      <c r="A1485" s="121"/>
      <c r="C1485" t="str">
        <f ca="1">IFERROR(__xludf.DUMMYFUNCTION("""COMPUTED_VALUE"""),"")</f>
        <v/>
      </c>
      <c r="D1485" t="str">
        <f ca="1">IFERROR(__xludf.DUMMYFUNCTION("""COMPUTED_VALUE"""),"")</f>
        <v/>
      </c>
      <c r="E1485" t="str">
        <f ca="1">IFERROR(__xludf.DUMMYFUNCTION("""COMPUTED_VALUE"""),"")</f>
        <v/>
      </c>
    </row>
    <row r="1486" spans="1:5" ht="15" customHeight="1">
      <c r="A1486" s="121"/>
      <c r="C1486" t="str">
        <f ca="1">IFERROR(__xludf.DUMMYFUNCTION("""COMPUTED_VALUE"""),"")</f>
        <v/>
      </c>
      <c r="D1486" t="str">
        <f ca="1">IFERROR(__xludf.DUMMYFUNCTION("""COMPUTED_VALUE"""),"")</f>
        <v/>
      </c>
      <c r="E1486" t="str">
        <f ca="1">IFERROR(__xludf.DUMMYFUNCTION("""COMPUTED_VALUE"""),"")</f>
        <v/>
      </c>
    </row>
    <row r="1487" spans="1:5" ht="15" customHeight="1">
      <c r="A1487" s="121"/>
      <c r="C1487" t="str">
        <f ca="1">IFERROR(__xludf.DUMMYFUNCTION("""COMPUTED_VALUE"""),"")</f>
        <v/>
      </c>
      <c r="D1487" t="str">
        <f ca="1">IFERROR(__xludf.DUMMYFUNCTION("""COMPUTED_VALUE"""),"")</f>
        <v/>
      </c>
      <c r="E1487" t="str">
        <f ca="1">IFERROR(__xludf.DUMMYFUNCTION("""COMPUTED_VALUE"""),"")</f>
        <v/>
      </c>
    </row>
    <row r="1488" spans="1:5" ht="15" customHeight="1">
      <c r="A1488" s="121"/>
      <c r="C1488" t="str">
        <f ca="1">IFERROR(__xludf.DUMMYFUNCTION("""COMPUTED_VALUE"""),"")</f>
        <v/>
      </c>
      <c r="D1488" t="str">
        <f ca="1">IFERROR(__xludf.DUMMYFUNCTION("""COMPUTED_VALUE"""),"")</f>
        <v/>
      </c>
      <c r="E1488" t="str">
        <f ca="1">IFERROR(__xludf.DUMMYFUNCTION("""COMPUTED_VALUE"""),"")</f>
        <v/>
      </c>
    </row>
    <row r="1489" spans="1:5" ht="15" customHeight="1">
      <c r="A1489" s="121"/>
      <c r="C1489" t="str">
        <f ca="1">IFERROR(__xludf.DUMMYFUNCTION("""COMPUTED_VALUE"""),"")</f>
        <v/>
      </c>
      <c r="D1489" t="str">
        <f ca="1">IFERROR(__xludf.DUMMYFUNCTION("""COMPUTED_VALUE"""),"")</f>
        <v/>
      </c>
      <c r="E1489" t="str">
        <f ca="1">IFERROR(__xludf.DUMMYFUNCTION("""COMPUTED_VALUE"""),"")</f>
        <v/>
      </c>
    </row>
    <row r="1490" spans="1:5" ht="15" customHeight="1">
      <c r="A1490" s="121"/>
      <c r="C1490" t="str">
        <f ca="1">IFERROR(__xludf.DUMMYFUNCTION("""COMPUTED_VALUE"""),"")</f>
        <v/>
      </c>
      <c r="D1490" t="str">
        <f ca="1">IFERROR(__xludf.DUMMYFUNCTION("""COMPUTED_VALUE"""),"")</f>
        <v/>
      </c>
      <c r="E1490" t="str">
        <f ca="1">IFERROR(__xludf.DUMMYFUNCTION("""COMPUTED_VALUE"""),"")</f>
        <v/>
      </c>
    </row>
    <row r="1491" spans="1:5" ht="15" customHeight="1">
      <c r="A1491" s="121"/>
      <c r="C1491" t="str">
        <f ca="1">IFERROR(__xludf.DUMMYFUNCTION("""COMPUTED_VALUE"""),"")</f>
        <v/>
      </c>
      <c r="D1491" t="str">
        <f ca="1">IFERROR(__xludf.DUMMYFUNCTION("""COMPUTED_VALUE"""),"")</f>
        <v/>
      </c>
      <c r="E1491" t="str">
        <f ca="1">IFERROR(__xludf.DUMMYFUNCTION("""COMPUTED_VALUE"""),"")</f>
        <v/>
      </c>
    </row>
    <row r="1492" spans="1:5" ht="15" customHeight="1">
      <c r="A1492" s="121"/>
      <c r="C1492" t="str">
        <f ca="1">IFERROR(__xludf.DUMMYFUNCTION("""COMPUTED_VALUE"""),"")</f>
        <v/>
      </c>
      <c r="D1492" t="str">
        <f ca="1">IFERROR(__xludf.DUMMYFUNCTION("""COMPUTED_VALUE"""),"")</f>
        <v/>
      </c>
      <c r="E1492" t="str">
        <f ca="1">IFERROR(__xludf.DUMMYFUNCTION("""COMPUTED_VALUE"""),"")</f>
        <v/>
      </c>
    </row>
    <row r="1493" spans="1:5" ht="15" customHeight="1">
      <c r="A1493" s="121"/>
      <c r="C1493" t="str">
        <f ca="1">IFERROR(__xludf.DUMMYFUNCTION("""COMPUTED_VALUE"""),"")</f>
        <v/>
      </c>
      <c r="D1493" t="str">
        <f ca="1">IFERROR(__xludf.DUMMYFUNCTION("""COMPUTED_VALUE"""),"")</f>
        <v/>
      </c>
      <c r="E1493" t="str">
        <f ca="1">IFERROR(__xludf.DUMMYFUNCTION("""COMPUTED_VALUE"""),"")</f>
        <v/>
      </c>
    </row>
    <row r="1494" spans="1:5" ht="15" customHeight="1">
      <c r="A1494" s="121"/>
      <c r="C1494" t="str">
        <f ca="1">IFERROR(__xludf.DUMMYFUNCTION("""COMPUTED_VALUE"""),"")</f>
        <v/>
      </c>
      <c r="D1494" t="str">
        <f ca="1">IFERROR(__xludf.DUMMYFUNCTION("""COMPUTED_VALUE"""),"")</f>
        <v/>
      </c>
      <c r="E1494" t="str">
        <f ca="1">IFERROR(__xludf.DUMMYFUNCTION("""COMPUTED_VALUE"""),"")</f>
        <v/>
      </c>
    </row>
    <row r="1495" spans="1:5" ht="15" customHeight="1">
      <c r="A1495" s="121"/>
      <c r="C1495" t="str">
        <f ca="1">IFERROR(__xludf.DUMMYFUNCTION("""COMPUTED_VALUE"""),"")</f>
        <v/>
      </c>
      <c r="D1495" t="str">
        <f ca="1">IFERROR(__xludf.DUMMYFUNCTION("""COMPUTED_VALUE"""),"")</f>
        <v/>
      </c>
      <c r="E1495" t="str">
        <f ca="1">IFERROR(__xludf.DUMMYFUNCTION("""COMPUTED_VALUE"""),"")</f>
        <v/>
      </c>
    </row>
    <row r="1496" spans="1:5" ht="15" customHeight="1">
      <c r="A1496" s="121"/>
      <c r="C1496" t="str">
        <f ca="1">IFERROR(__xludf.DUMMYFUNCTION("""COMPUTED_VALUE"""),"")</f>
        <v/>
      </c>
      <c r="D1496" t="str">
        <f ca="1">IFERROR(__xludf.DUMMYFUNCTION("""COMPUTED_VALUE"""),"")</f>
        <v/>
      </c>
      <c r="E1496" t="str">
        <f ca="1">IFERROR(__xludf.DUMMYFUNCTION("""COMPUTED_VALUE"""),"")</f>
        <v/>
      </c>
    </row>
    <row r="1497" spans="1:5" ht="15" customHeight="1">
      <c r="A1497" s="121"/>
      <c r="C1497" t="str">
        <f ca="1">IFERROR(__xludf.DUMMYFUNCTION("""COMPUTED_VALUE"""),"")</f>
        <v/>
      </c>
      <c r="D1497" t="str">
        <f ca="1">IFERROR(__xludf.DUMMYFUNCTION("""COMPUTED_VALUE"""),"")</f>
        <v/>
      </c>
      <c r="E1497" t="str">
        <f ca="1">IFERROR(__xludf.DUMMYFUNCTION("""COMPUTED_VALUE"""),"")</f>
        <v/>
      </c>
    </row>
    <row r="1498" spans="1:5" ht="15" customHeight="1">
      <c r="A1498" s="121"/>
      <c r="C1498" t="str">
        <f ca="1">IFERROR(__xludf.DUMMYFUNCTION("""COMPUTED_VALUE"""),"")</f>
        <v/>
      </c>
      <c r="D1498" t="str">
        <f ca="1">IFERROR(__xludf.DUMMYFUNCTION("""COMPUTED_VALUE"""),"")</f>
        <v/>
      </c>
      <c r="E1498" t="str">
        <f ca="1">IFERROR(__xludf.DUMMYFUNCTION("""COMPUTED_VALUE"""),"")</f>
        <v/>
      </c>
    </row>
    <row r="1499" spans="1:5" ht="15" customHeight="1">
      <c r="A1499" s="121"/>
      <c r="C1499" t="str">
        <f ca="1">IFERROR(__xludf.DUMMYFUNCTION("""COMPUTED_VALUE"""),"")</f>
        <v/>
      </c>
      <c r="D1499" t="str">
        <f ca="1">IFERROR(__xludf.DUMMYFUNCTION("""COMPUTED_VALUE"""),"")</f>
        <v/>
      </c>
      <c r="E1499" t="str">
        <f ca="1">IFERROR(__xludf.DUMMYFUNCTION("""COMPUTED_VALUE"""),"")</f>
        <v/>
      </c>
    </row>
    <row r="1500" spans="1:5" ht="15" customHeight="1">
      <c r="A1500" s="121"/>
      <c r="C1500" t="str">
        <f ca="1">IFERROR(__xludf.DUMMYFUNCTION("""COMPUTED_VALUE"""),"")</f>
        <v/>
      </c>
      <c r="D1500" t="str">
        <f ca="1">IFERROR(__xludf.DUMMYFUNCTION("""COMPUTED_VALUE"""),"")</f>
        <v/>
      </c>
      <c r="E1500" t="str">
        <f ca="1">IFERROR(__xludf.DUMMYFUNCTION("""COMPUTED_VALUE"""),"")</f>
        <v/>
      </c>
    </row>
    <row r="1501" spans="1:5" ht="15" customHeight="1">
      <c r="A1501" s="121"/>
      <c r="C1501" t="str">
        <f ca="1">IFERROR(__xludf.DUMMYFUNCTION("""COMPUTED_VALUE"""),"")</f>
        <v/>
      </c>
      <c r="D1501" t="str">
        <f ca="1">IFERROR(__xludf.DUMMYFUNCTION("""COMPUTED_VALUE"""),"")</f>
        <v/>
      </c>
      <c r="E1501" t="str">
        <f ca="1">IFERROR(__xludf.DUMMYFUNCTION("""COMPUTED_VALUE"""),"")</f>
        <v/>
      </c>
    </row>
    <row r="1502" spans="1:5" ht="15" customHeight="1">
      <c r="A1502" s="121"/>
      <c r="C1502" t="str">
        <f ca="1">IFERROR(__xludf.DUMMYFUNCTION("""COMPUTED_VALUE"""),"")</f>
        <v/>
      </c>
      <c r="D1502" t="str">
        <f ca="1">IFERROR(__xludf.DUMMYFUNCTION("""COMPUTED_VALUE"""),"")</f>
        <v/>
      </c>
      <c r="E1502" t="str">
        <f ca="1">IFERROR(__xludf.DUMMYFUNCTION("""COMPUTED_VALUE"""),"")</f>
        <v/>
      </c>
    </row>
    <row r="1503" spans="1:5" ht="15" customHeight="1">
      <c r="A1503" s="121"/>
      <c r="C1503" t="str">
        <f ca="1">IFERROR(__xludf.DUMMYFUNCTION("""COMPUTED_VALUE"""),"")</f>
        <v/>
      </c>
      <c r="D1503" t="str">
        <f ca="1">IFERROR(__xludf.DUMMYFUNCTION("""COMPUTED_VALUE"""),"")</f>
        <v/>
      </c>
      <c r="E1503" t="str">
        <f ca="1">IFERROR(__xludf.DUMMYFUNCTION("""COMPUTED_VALUE"""),"")</f>
        <v/>
      </c>
    </row>
    <row r="1504" spans="1:5" ht="15" customHeight="1">
      <c r="A1504" s="121"/>
      <c r="C1504" t="str">
        <f ca="1">IFERROR(__xludf.DUMMYFUNCTION("""COMPUTED_VALUE"""),"")</f>
        <v/>
      </c>
      <c r="D1504" t="str">
        <f ca="1">IFERROR(__xludf.DUMMYFUNCTION("""COMPUTED_VALUE"""),"")</f>
        <v/>
      </c>
      <c r="E1504" t="str">
        <f ca="1">IFERROR(__xludf.DUMMYFUNCTION("""COMPUTED_VALUE"""),"")</f>
        <v/>
      </c>
    </row>
    <row r="1505" spans="1:5" ht="15" customHeight="1">
      <c r="A1505" s="121"/>
      <c r="C1505" t="str">
        <f ca="1">IFERROR(__xludf.DUMMYFUNCTION("""COMPUTED_VALUE"""),"")</f>
        <v/>
      </c>
      <c r="D1505" t="str">
        <f ca="1">IFERROR(__xludf.DUMMYFUNCTION("""COMPUTED_VALUE"""),"")</f>
        <v/>
      </c>
      <c r="E1505" t="str">
        <f ca="1">IFERROR(__xludf.DUMMYFUNCTION("""COMPUTED_VALUE"""),"")</f>
        <v/>
      </c>
    </row>
  </sheetData>
  <phoneticPr fontId="5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C550"/>
  <sheetViews>
    <sheetView workbookViewId="0"/>
  </sheetViews>
  <sheetFormatPr baseColWidth="10" defaultColWidth="11.28515625" defaultRowHeight="15" customHeight="1" x14ac:dyDescent="0"/>
  <sheetData>
    <row r="1" spans="1:3" ht="15" customHeight="1">
      <c r="A1" s="209" t="str">
        <f ca="1">IFERROR(__xludf.DUMMYFUNCTION("IMPORTRANGE(""https://docs.google.com/spreadsheets/d/1bi69NHPsNASEVA-6BAnNAgjYRUmCCVRccC0z6kLVOic/edit#gid=0"",""'2019股東會'!A1:C550"")"),"")</f>
        <v/>
      </c>
      <c r="B1" t="str">
        <f ca="1">IFERROR(__xludf.DUMMYFUNCTION("""COMPUTED_VALUE"""),"jp")</f>
        <v>jp</v>
      </c>
      <c r="C1" t="str">
        <f ca="1">IFERROR(__xludf.DUMMYFUNCTION("""COMPUTED_VALUE"""),"接觸業務")</f>
        <v>接觸業務</v>
      </c>
    </row>
    <row r="2" spans="1:3" ht="15" customHeight="1">
      <c r="A2" t="str">
        <f ca="1">IFERROR(__xludf.DUMMYFUNCTION("""COMPUTED_VALUE"""),"")</f>
        <v/>
      </c>
      <c r="B2">
        <f ca="1">IFERROR(__xludf.DUMMYFUNCTION("""COMPUTED_VALUE"""),75)</f>
        <v>75</v>
      </c>
      <c r="C2" t="str">
        <f ca="1">IFERROR(__xludf.DUMMYFUNCTION("""COMPUTED_VALUE"""),"")</f>
        <v/>
      </c>
    </row>
    <row r="3" spans="1:3" ht="15" customHeight="1">
      <c r="A3" s="212" t="str">
        <f ca="1">IFERROR(__xludf.DUMMYFUNCTION("""COMPUTED_VALUE"""),"毛昌榮")</f>
        <v>毛昌榮</v>
      </c>
      <c r="B3" s="212">
        <f ca="1">IFERROR(__xludf.DUMMYFUNCTION("""COMPUTED_VALUE"""),43572)</f>
        <v>43572</v>
      </c>
      <c r="C3" t="str">
        <f ca="1">IFERROR(__xludf.DUMMYFUNCTION("""COMPUTED_VALUE"""),"Holly")</f>
        <v>Holly</v>
      </c>
    </row>
    <row r="4" spans="1:3" ht="15" customHeight="1">
      <c r="A4" s="212" t="str">
        <f ca="1">IFERROR(__xludf.DUMMYFUNCTION("""COMPUTED_VALUE"""),"陳健")</f>
        <v>陳健</v>
      </c>
      <c r="B4" s="212">
        <f ca="1">IFERROR(__xludf.DUMMYFUNCTION("""COMPUTED_VALUE"""),43572)</f>
        <v>43572</v>
      </c>
      <c r="C4" t="str">
        <f ca="1">IFERROR(__xludf.DUMMYFUNCTION("""COMPUTED_VALUE"""),"Renee")</f>
        <v>Renee</v>
      </c>
    </row>
    <row r="5" spans="1:3" ht="15" customHeight="1">
      <c r="A5" s="212" t="str">
        <f ca="1">IFERROR(__xludf.DUMMYFUNCTION("""COMPUTED_VALUE"""),"鍾淑珍")</f>
        <v>鍾淑珍</v>
      </c>
      <c r="B5" s="212">
        <f ca="1">IFERROR(__xludf.DUMMYFUNCTION("""COMPUTED_VALUE"""),43572)</f>
        <v>43572</v>
      </c>
      <c r="C5" t="str">
        <f ca="1">IFERROR(__xludf.DUMMYFUNCTION("""COMPUTED_VALUE"""),"Renee")</f>
        <v>Renee</v>
      </c>
    </row>
    <row r="6" spans="1:3" ht="15" customHeight="1">
      <c r="A6" s="212" t="str">
        <f ca="1">IFERROR(__xludf.DUMMYFUNCTION("""COMPUTED_VALUE"""),"張紅梅")</f>
        <v>張紅梅</v>
      </c>
      <c r="B6" t="str">
        <f ca="1">IFERROR(__xludf.DUMMYFUNCTION("""COMPUTED_VALUE"""),"2019/4/17v")</f>
        <v>2019/4/17v</v>
      </c>
      <c r="C6" t="str">
        <f ca="1">IFERROR(__xludf.DUMMYFUNCTION("""COMPUTED_VALUE"""),"sophie")</f>
        <v>sophie</v>
      </c>
    </row>
    <row r="7" spans="1:3" ht="15" customHeight="1">
      <c r="A7" s="212" t="str">
        <f ca="1">IFERROR(__xludf.DUMMYFUNCTION("""COMPUTED_VALUE"""),"蔡協文")</f>
        <v>蔡協文</v>
      </c>
      <c r="B7" s="212">
        <f ca="1">IFERROR(__xludf.DUMMYFUNCTION("""COMPUTED_VALUE"""),43573)</f>
        <v>43573</v>
      </c>
      <c r="C7" t="str">
        <f ca="1">IFERROR(__xludf.DUMMYFUNCTION("""COMPUTED_VALUE"""),"Holly")</f>
        <v>Holly</v>
      </c>
    </row>
    <row r="8" spans="1:3" ht="15" customHeight="1">
      <c r="A8" s="212" t="str">
        <f ca="1">IFERROR(__xludf.DUMMYFUNCTION("""COMPUTED_VALUE"""),"曾語涵")</f>
        <v>曾語涵</v>
      </c>
      <c r="B8" s="212">
        <f ca="1">IFERROR(__xludf.DUMMYFUNCTION("""COMPUTED_VALUE"""),43573)</f>
        <v>43573</v>
      </c>
      <c r="C8" t="str">
        <f ca="1">IFERROR(__xludf.DUMMYFUNCTION("""COMPUTED_VALUE"""),"Holly")</f>
        <v>Holly</v>
      </c>
    </row>
    <row r="9" spans="1:3" ht="15" customHeight="1">
      <c r="A9" s="212" t="str">
        <f ca="1">IFERROR(__xludf.DUMMYFUNCTION("""COMPUTED_VALUE"""),"#REF!")</f>
        <v>#REF!</v>
      </c>
      <c r="B9" s="212">
        <f ca="1">IFERROR(__xludf.DUMMYFUNCTION("""COMPUTED_VALUE"""),43573)</f>
        <v>43573</v>
      </c>
      <c r="C9" t="str">
        <f ca="1">IFERROR(__xludf.DUMMYFUNCTION("""COMPUTED_VALUE"""),"Sophie")</f>
        <v>Sophie</v>
      </c>
    </row>
    <row r="10" spans="1:3" ht="15" customHeight="1">
      <c r="A10" s="212" t="str">
        <f ca="1">IFERROR(__xludf.DUMMYFUNCTION("""COMPUTED_VALUE"""),"小姐")</f>
        <v>小姐</v>
      </c>
      <c r="B10" s="207">
        <f ca="1">IFERROR(__xludf.DUMMYFUNCTION("""COMPUTED_VALUE"""),43573)</f>
        <v>43573</v>
      </c>
      <c r="C10" t="str">
        <f ca="1">IFERROR(__xludf.DUMMYFUNCTION("""COMPUTED_VALUE"""),"Sophie")</f>
        <v>Sophie</v>
      </c>
    </row>
    <row r="11" spans="1:3" ht="15" customHeight="1">
      <c r="A11" s="212" t="str">
        <f ca="1">IFERROR(__xludf.DUMMYFUNCTION("""COMPUTED_VALUE"""),"鄧娜")</f>
        <v>鄧娜</v>
      </c>
      <c r="B11" t="str">
        <f ca="1">IFERROR(__xludf.DUMMYFUNCTION("""COMPUTED_VALUE"""),"2019/4/18v")</f>
        <v>2019/4/18v</v>
      </c>
      <c r="C11" t="str">
        <f ca="1">IFERROR(__xludf.DUMMYFUNCTION("""COMPUTED_VALUE"""),"Sophie")</f>
        <v>Sophie</v>
      </c>
    </row>
    <row r="12" spans="1:3" ht="15" customHeight="1">
      <c r="A12" s="212" t="str">
        <f ca="1">IFERROR(__xludf.DUMMYFUNCTION("""COMPUTED_VALUE"""),"李少妍")</f>
        <v>李少妍</v>
      </c>
      <c r="B12" t="str">
        <f ca="1">IFERROR(__xludf.DUMMYFUNCTION("""COMPUTED_VALUE"""),"2019/4/18v")</f>
        <v>2019/4/18v</v>
      </c>
      <c r="C12" t="str">
        <f ca="1">IFERROR(__xludf.DUMMYFUNCTION("""COMPUTED_VALUE"""),"Sophie")</f>
        <v>Sophie</v>
      </c>
    </row>
    <row r="13" spans="1:3" ht="15" customHeight="1">
      <c r="A13" s="212" t="str">
        <f ca="1">IFERROR(__xludf.DUMMYFUNCTION("""COMPUTED_VALUE"""),"施振生")</f>
        <v>施振生</v>
      </c>
      <c r="B13" s="212">
        <f ca="1">IFERROR(__xludf.DUMMYFUNCTION("""COMPUTED_VALUE"""),43573)</f>
        <v>43573</v>
      </c>
      <c r="C13" t="str">
        <f ca="1">IFERROR(__xludf.DUMMYFUNCTION("""COMPUTED_VALUE"""),"Holly")</f>
        <v>Holly</v>
      </c>
    </row>
    <row r="14" spans="1:3" ht="15" customHeight="1">
      <c r="A14" s="212" t="str">
        <f ca="1">IFERROR(__xludf.DUMMYFUNCTION("""COMPUTED_VALUE"""),"施哲揚")</f>
        <v>施哲揚</v>
      </c>
      <c r="B14" s="212">
        <f ca="1">IFERROR(__xludf.DUMMYFUNCTION("""COMPUTED_VALUE"""),43573)</f>
        <v>43573</v>
      </c>
      <c r="C14" t="str">
        <f ca="1">IFERROR(__xludf.DUMMYFUNCTION("""COMPUTED_VALUE"""),"Holly")</f>
        <v>Holly</v>
      </c>
    </row>
    <row r="15" spans="1:3" ht="15" customHeight="1">
      <c r="A15" s="212" t="str">
        <f ca="1">IFERROR(__xludf.DUMMYFUNCTION("""COMPUTED_VALUE"""),"王冠為")</f>
        <v>王冠為</v>
      </c>
      <c r="B15" s="212">
        <f ca="1">IFERROR(__xludf.DUMMYFUNCTION("""COMPUTED_VALUE"""),43573)</f>
        <v>43573</v>
      </c>
      <c r="C15" t="str">
        <f ca="1">IFERROR(__xludf.DUMMYFUNCTION("""COMPUTED_VALUE"""),"Holly")</f>
        <v>Holly</v>
      </c>
    </row>
    <row r="16" spans="1:3" ht="15" customHeight="1">
      <c r="A16" s="212" t="str">
        <f ca="1">IFERROR(__xludf.DUMMYFUNCTION("""COMPUTED_VALUE"""),"陳俊良")</f>
        <v>陳俊良</v>
      </c>
      <c r="B16" t="str">
        <f ca="1">IFERROR(__xludf.DUMMYFUNCTION("""COMPUTED_VALUE"""),"2019/4/18v")</f>
        <v>2019/4/18v</v>
      </c>
      <c r="C16" t="str">
        <f ca="1">IFERROR(__xludf.DUMMYFUNCTION("""COMPUTED_VALUE"""),"Sophie")</f>
        <v>Sophie</v>
      </c>
    </row>
    <row r="17" spans="1:3" ht="15" customHeight="1">
      <c r="A17" s="212" t="str">
        <f ca="1">IFERROR(__xludf.DUMMYFUNCTION("""COMPUTED_VALUE"""),"高舶元")</f>
        <v>高舶元</v>
      </c>
      <c r="B17" s="212">
        <f ca="1">IFERROR(__xludf.DUMMYFUNCTION("""COMPUTED_VALUE"""),43574)</f>
        <v>43574</v>
      </c>
      <c r="C17" t="str">
        <f ca="1">IFERROR(__xludf.DUMMYFUNCTION("""COMPUTED_VALUE"""),"Renee")</f>
        <v>Renee</v>
      </c>
    </row>
    <row r="18" spans="1:3" ht="15" customHeight="1">
      <c r="A18" s="212" t="str">
        <f ca="1">IFERROR(__xludf.DUMMYFUNCTION("""COMPUTED_VALUE"""),"林哲廷")</f>
        <v>林哲廷</v>
      </c>
      <c r="B18" s="212">
        <f ca="1">IFERROR(__xludf.DUMMYFUNCTION("""COMPUTED_VALUE"""),43574)</f>
        <v>43574</v>
      </c>
      <c r="C18" t="str">
        <f ca="1">IFERROR(__xludf.DUMMYFUNCTION("""COMPUTED_VALUE"""),"Holly")</f>
        <v>Holly</v>
      </c>
    </row>
    <row r="19" spans="1:3" ht="15" customHeight="1">
      <c r="A19" s="212" t="str">
        <f ca="1">IFERROR(__xludf.DUMMYFUNCTION("""COMPUTED_VALUE"""),"廖紫廷")</f>
        <v>廖紫廷</v>
      </c>
      <c r="B19" s="212">
        <f ca="1">IFERROR(__xludf.DUMMYFUNCTION("""COMPUTED_VALUE"""),43574)</f>
        <v>43574</v>
      </c>
      <c r="C19" t="str">
        <f ca="1">IFERROR(__xludf.DUMMYFUNCTION("""COMPUTED_VALUE"""),"Holly")</f>
        <v>Holly</v>
      </c>
    </row>
    <row r="20" spans="1:3" ht="15" customHeight="1">
      <c r="A20" s="212" t="str">
        <f ca="1">IFERROR(__xludf.DUMMYFUNCTION("""COMPUTED_VALUE"""),"林沛青")</f>
        <v>林沛青</v>
      </c>
      <c r="B20" s="212">
        <f ca="1">IFERROR(__xludf.DUMMYFUNCTION("""COMPUTED_VALUE"""),43574)</f>
        <v>43574</v>
      </c>
      <c r="C20" t="str">
        <f ca="1">IFERROR(__xludf.DUMMYFUNCTION("""COMPUTED_VALUE"""),"Holly")</f>
        <v>Holly</v>
      </c>
    </row>
    <row r="21" spans="1:3" ht="15" customHeight="1">
      <c r="A21" s="212" t="str">
        <f ca="1">IFERROR(__xludf.DUMMYFUNCTION("""COMPUTED_VALUE"""),"林武聰")</f>
        <v>林武聰</v>
      </c>
      <c r="B21" t="str">
        <f ca="1">IFERROR(__xludf.DUMMYFUNCTION("""COMPUTED_VALUE"""),"V2019/4/19")</f>
        <v>V2019/4/19</v>
      </c>
      <c r="C21" t="str">
        <f ca="1">IFERROR(__xludf.DUMMYFUNCTION("""COMPUTED_VALUE"""),"Sophie")</f>
        <v>Sophie</v>
      </c>
    </row>
    <row r="22" spans="1:3" ht="15" customHeight="1">
      <c r="A22" s="212" t="str">
        <f ca="1">IFERROR(__xludf.DUMMYFUNCTION("""COMPUTED_VALUE"""),"林先生")</f>
        <v>林先生</v>
      </c>
      <c r="B22" t="str">
        <f ca="1">IFERROR(__xludf.DUMMYFUNCTION("""COMPUTED_VALUE"""),"2019/4/19v")</f>
        <v>2019/4/19v</v>
      </c>
      <c r="C22" t="str">
        <f ca="1">IFERROR(__xludf.DUMMYFUNCTION("""COMPUTED_VALUE"""),"Sophie")</f>
        <v>Sophie</v>
      </c>
    </row>
    <row r="23" spans="1:3" ht="15" customHeight="1">
      <c r="A23" s="212" t="str">
        <f ca="1">IFERROR(__xludf.DUMMYFUNCTION("""COMPUTED_VALUE"""),"鄭博謙")</f>
        <v>鄭博謙</v>
      </c>
      <c r="B23" t="str">
        <f ca="1">IFERROR(__xludf.DUMMYFUNCTION("""COMPUTED_VALUE"""),"2019/4/19v")</f>
        <v>2019/4/19v</v>
      </c>
      <c r="C23" t="str">
        <f ca="1">IFERROR(__xludf.DUMMYFUNCTION("""COMPUTED_VALUE"""),"Sophie")</f>
        <v>Sophie</v>
      </c>
    </row>
    <row r="24" spans="1:3" ht="15" customHeight="1">
      <c r="A24" s="212" t="str">
        <f ca="1">IFERROR(__xludf.DUMMYFUNCTION("""COMPUTED_VALUE"""),"施景雲")</f>
        <v>施景雲</v>
      </c>
      <c r="B24" s="212">
        <f ca="1">IFERROR(__xludf.DUMMYFUNCTION("""COMPUTED_VALUE"""),43574)</f>
        <v>43574</v>
      </c>
      <c r="C24" t="str">
        <f ca="1">IFERROR(__xludf.DUMMYFUNCTION("""COMPUTED_VALUE"""),"Renee")</f>
        <v>Renee</v>
      </c>
    </row>
    <row r="25" spans="1:3" ht="15" customHeight="1">
      <c r="A25" s="212" t="str">
        <f ca="1">IFERROR(__xludf.DUMMYFUNCTION("""COMPUTED_VALUE"""),"張世和")</f>
        <v>張世和</v>
      </c>
      <c r="B25" t="str">
        <f ca="1">IFERROR(__xludf.DUMMYFUNCTION("""COMPUTED_VALUE"""),"V2019/4/19")</f>
        <v>V2019/4/19</v>
      </c>
      <c r="C25" t="str">
        <f ca="1">IFERROR(__xludf.DUMMYFUNCTION("""COMPUTED_VALUE"""),"Sophie")</f>
        <v>Sophie</v>
      </c>
    </row>
    <row r="26" spans="1:3" ht="15" customHeight="1">
      <c r="A26" s="212" t="str">
        <f ca="1">IFERROR(__xludf.DUMMYFUNCTION("""COMPUTED_VALUE"""),"林秀青")</f>
        <v>林秀青</v>
      </c>
      <c r="B26" t="str">
        <f ca="1">IFERROR(__xludf.DUMMYFUNCTION("""COMPUTED_VALUE"""),"2019/4/19v")</f>
        <v>2019/4/19v</v>
      </c>
      <c r="C26" t="str">
        <f ca="1">IFERROR(__xludf.DUMMYFUNCTION("""COMPUTED_VALUE"""),"Sophie")</f>
        <v>Sophie</v>
      </c>
    </row>
    <row r="27" spans="1:3" ht="15" customHeight="1">
      <c r="A27" s="212" t="str">
        <f ca="1">IFERROR(__xludf.DUMMYFUNCTION("""COMPUTED_VALUE"""),"許利昌")</f>
        <v>許利昌</v>
      </c>
      <c r="B27" s="212">
        <f ca="1">IFERROR(__xludf.DUMMYFUNCTION("""COMPUTED_VALUE"""),43574)</f>
        <v>43574</v>
      </c>
      <c r="C27" t="str">
        <f ca="1">IFERROR(__xludf.DUMMYFUNCTION("""COMPUTED_VALUE"""),"Sophie")</f>
        <v>Sophie</v>
      </c>
    </row>
    <row r="28" spans="1:3" ht="15" customHeight="1">
      <c r="A28" s="212" t="str">
        <f ca="1">IFERROR(__xludf.DUMMYFUNCTION("""COMPUTED_VALUE"""),"陳鈺紳")</f>
        <v>陳鈺紳</v>
      </c>
      <c r="B28" t="str">
        <f ca="1">IFERROR(__xludf.DUMMYFUNCTION("""COMPUTED_VALUE"""),"V2019/4/22")</f>
        <v>V2019/4/22</v>
      </c>
      <c r="C28" t="str">
        <f ca="1">IFERROR(__xludf.DUMMYFUNCTION("""COMPUTED_VALUE"""),"Sophie")</f>
        <v>Sophie</v>
      </c>
    </row>
    <row r="29" spans="1:3" ht="15" customHeight="1">
      <c r="A29" s="212" t="str">
        <f ca="1">IFERROR(__xludf.DUMMYFUNCTION("""COMPUTED_VALUE"""),"李添益")</f>
        <v>李添益</v>
      </c>
      <c r="B29" s="212">
        <f ca="1">IFERROR(__xludf.DUMMYFUNCTION("""COMPUTED_VALUE"""),43577)</f>
        <v>43577</v>
      </c>
      <c r="C29" t="str">
        <f ca="1">IFERROR(__xludf.DUMMYFUNCTION("""COMPUTED_VALUE"""),"Holly")</f>
        <v>Holly</v>
      </c>
    </row>
    <row r="30" spans="1:3" ht="15" customHeight="1">
      <c r="A30" s="212" t="str">
        <f ca="1">IFERROR(__xludf.DUMMYFUNCTION("""COMPUTED_VALUE"""),"胡穗薑")</f>
        <v>胡穗薑</v>
      </c>
      <c r="B30" s="212">
        <f ca="1">IFERROR(__xludf.DUMMYFUNCTION("""COMPUTED_VALUE"""),43577)</f>
        <v>43577</v>
      </c>
      <c r="C30" t="str">
        <f ca="1">IFERROR(__xludf.DUMMYFUNCTION("""COMPUTED_VALUE"""),"Renee")</f>
        <v>Renee</v>
      </c>
    </row>
    <row r="31" spans="1:3" ht="15" customHeight="1">
      <c r="A31" s="212" t="str">
        <f ca="1">IFERROR(__xludf.DUMMYFUNCTION("""COMPUTED_VALUE"""),"余振昌R")</f>
        <v>余振昌R</v>
      </c>
      <c r="B31" s="212">
        <f ca="1">IFERROR(__xludf.DUMMYFUNCTION("""COMPUTED_VALUE"""),43577)</f>
        <v>43577</v>
      </c>
      <c r="C31" t="str">
        <f ca="1">IFERROR(__xludf.DUMMYFUNCTION("""COMPUTED_VALUE"""),"Renee")</f>
        <v>Renee</v>
      </c>
    </row>
    <row r="32" spans="1:3" ht="15" customHeight="1">
      <c r="A32" s="212" t="str">
        <f ca="1">IFERROR(__xludf.DUMMYFUNCTION("""COMPUTED_VALUE"""),"羅筱雲")</f>
        <v>羅筱雲</v>
      </c>
      <c r="B32" t="str">
        <f ca="1">IFERROR(__xludf.DUMMYFUNCTION("""COMPUTED_VALUE"""),"V2019/4/23")</f>
        <v>V2019/4/23</v>
      </c>
      <c r="C32" t="str">
        <f ca="1">IFERROR(__xludf.DUMMYFUNCTION("""COMPUTED_VALUE"""),"sophie")</f>
        <v>sophie</v>
      </c>
    </row>
    <row r="33" spans="1:3" ht="15" customHeight="1">
      <c r="A33" s="212" t="str">
        <f ca="1">IFERROR(__xludf.DUMMYFUNCTION("""COMPUTED_VALUE"""),"韓亞梅")</f>
        <v>韓亞梅</v>
      </c>
      <c r="B33" t="str">
        <f ca="1">IFERROR(__xludf.DUMMYFUNCTION("""COMPUTED_VALUE"""),"V2019/4/23")</f>
        <v>V2019/4/23</v>
      </c>
      <c r="C33" t="str">
        <f ca="1">IFERROR(__xludf.DUMMYFUNCTION("""COMPUTED_VALUE"""),"sophie")</f>
        <v>sophie</v>
      </c>
    </row>
    <row r="34" spans="1:3" ht="15" customHeight="1">
      <c r="A34" s="212" t="str">
        <f ca="1">IFERROR(__xludf.DUMMYFUNCTION("""COMPUTED_VALUE"""),"譚孟穎")</f>
        <v>譚孟穎</v>
      </c>
      <c r="B34" s="212">
        <f ca="1">IFERROR(__xludf.DUMMYFUNCTION("""COMPUTED_VALUE"""),43578)</f>
        <v>43578</v>
      </c>
      <c r="C34" t="str">
        <f ca="1">IFERROR(__xludf.DUMMYFUNCTION("""COMPUTED_VALUE"""),"Renee")</f>
        <v>Renee</v>
      </c>
    </row>
    <row r="35" spans="1:3" ht="15" customHeight="1">
      <c r="A35" s="212" t="str">
        <f ca="1">IFERROR(__xludf.DUMMYFUNCTION("""COMPUTED_VALUE"""),"余淑鈴")</f>
        <v>余淑鈴</v>
      </c>
      <c r="B35" s="212">
        <f ca="1">IFERROR(__xludf.DUMMYFUNCTION("""COMPUTED_VALUE"""),43578)</f>
        <v>43578</v>
      </c>
      <c r="C35" t="str">
        <f ca="1">IFERROR(__xludf.DUMMYFUNCTION("""COMPUTED_VALUE"""),"Renee")</f>
        <v>Renee</v>
      </c>
    </row>
    <row r="36" spans="1:3" ht="15" customHeight="1">
      <c r="A36" s="212" t="str">
        <f ca="1">IFERROR(__xludf.DUMMYFUNCTION("""COMPUTED_VALUE"""),"王碧珠")</f>
        <v>王碧珠</v>
      </c>
      <c r="B36" s="212">
        <f ca="1">IFERROR(__xludf.DUMMYFUNCTION("""COMPUTED_VALUE"""),43578)</f>
        <v>43578</v>
      </c>
      <c r="C36" t="str">
        <f ca="1">IFERROR(__xludf.DUMMYFUNCTION("""COMPUTED_VALUE"""),"Renee")</f>
        <v>Renee</v>
      </c>
    </row>
    <row r="37" spans="1:3" ht="15" customHeight="1">
      <c r="A37" s="212" t="str">
        <f ca="1">IFERROR(__xludf.DUMMYFUNCTION("""COMPUTED_VALUE"""),"溫映雪")</f>
        <v>溫映雪</v>
      </c>
      <c r="B37" t="str">
        <f ca="1">IFERROR(__xludf.DUMMYFUNCTION("""COMPUTED_VALUE"""),"2019/4/23v")</f>
        <v>2019/4/23v</v>
      </c>
      <c r="C37" t="str">
        <f ca="1">IFERROR(__xludf.DUMMYFUNCTION("""COMPUTED_VALUE"""),"sophie")</f>
        <v>sophie</v>
      </c>
    </row>
    <row r="38" spans="1:3" ht="15" customHeight="1">
      <c r="A38" s="212" t="str">
        <f ca="1">IFERROR(__xludf.DUMMYFUNCTION("""COMPUTED_VALUE"""),"羅銘元")</f>
        <v>羅銘元</v>
      </c>
      <c r="B38" t="str">
        <f ca="1">IFERROR(__xludf.DUMMYFUNCTION("""COMPUTED_VALUE"""),"2019/4/23v")</f>
        <v>2019/4/23v</v>
      </c>
      <c r="C38" t="str">
        <f ca="1">IFERROR(__xludf.DUMMYFUNCTION("""COMPUTED_VALUE"""),"sophie")</f>
        <v>sophie</v>
      </c>
    </row>
    <row r="39" spans="1:3" ht="15" customHeight="1">
      <c r="A39" s="212" t="str">
        <f ca="1">IFERROR(__xludf.DUMMYFUNCTION("""COMPUTED_VALUE"""),"羅成基")</f>
        <v>羅成基</v>
      </c>
      <c r="B39" t="str">
        <f ca="1">IFERROR(__xludf.DUMMYFUNCTION("""COMPUTED_VALUE"""),"2019/4/23v")</f>
        <v>2019/4/23v</v>
      </c>
      <c r="C39" t="str">
        <f ca="1">IFERROR(__xludf.DUMMYFUNCTION("""COMPUTED_VALUE"""),"sophie")</f>
        <v>sophie</v>
      </c>
    </row>
    <row r="40" spans="1:3" ht="15" customHeight="1">
      <c r="A40" s="212" t="str">
        <f ca="1">IFERROR(__xludf.DUMMYFUNCTION("""COMPUTED_VALUE"""),"黃一芳")</f>
        <v>黃一芳</v>
      </c>
      <c r="B40" s="212">
        <f ca="1">IFERROR(__xludf.DUMMYFUNCTION("""COMPUTED_VALUE"""),43579)</f>
        <v>43579</v>
      </c>
      <c r="C40" t="str">
        <f ca="1">IFERROR(__xludf.DUMMYFUNCTION("""COMPUTED_VALUE"""),"Renee")</f>
        <v>Renee</v>
      </c>
    </row>
    <row r="41" spans="1:3" ht="15" customHeight="1">
      <c r="A41" s="212" t="str">
        <f ca="1">IFERROR(__xludf.DUMMYFUNCTION("""COMPUTED_VALUE"""),"劉菊芳")</f>
        <v>劉菊芳</v>
      </c>
      <c r="B41" s="212">
        <f ca="1">IFERROR(__xludf.DUMMYFUNCTION("""COMPUTED_VALUE"""),43579)</f>
        <v>43579</v>
      </c>
      <c r="C41" t="str">
        <f ca="1">IFERROR(__xludf.DUMMYFUNCTION("""COMPUTED_VALUE"""),"Renee")</f>
        <v>Renee</v>
      </c>
    </row>
    <row r="42" spans="1:3" ht="15" customHeight="1">
      <c r="A42" s="212" t="str">
        <f ca="1">IFERROR(__xludf.DUMMYFUNCTION("""COMPUTED_VALUE"""),"陳佳琳")</f>
        <v>陳佳琳</v>
      </c>
      <c r="B42" s="212">
        <f ca="1">IFERROR(__xludf.DUMMYFUNCTION("""COMPUTED_VALUE"""),43579)</f>
        <v>43579</v>
      </c>
      <c r="C42" t="str">
        <f ca="1">IFERROR(__xludf.DUMMYFUNCTION("""COMPUTED_VALUE"""),"Renee")</f>
        <v>Renee</v>
      </c>
    </row>
    <row r="43" spans="1:3" ht="15" customHeight="1">
      <c r="A43" s="212" t="str">
        <f ca="1">IFERROR(__xludf.DUMMYFUNCTION("""COMPUTED_VALUE"""),"蔡清泉")</f>
        <v>蔡清泉</v>
      </c>
      <c r="B43" t="str">
        <f ca="1">IFERROR(__xludf.DUMMYFUNCTION("""COMPUTED_VALUE"""),"2019/4/24v")</f>
        <v>2019/4/24v</v>
      </c>
      <c r="C43" t="str">
        <f ca="1">IFERROR(__xludf.DUMMYFUNCTION("""COMPUTED_VALUE"""),"sophie")</f>
        <v>sophie</v>
      </c>
    </row>
    <row r="44" spans="1:3" ht="15" customHeight="1">
      <c r="A44" s="212" t="str">
        <f ca="1">IFERROR(__xludf.DUMMYFUNCTION("""COMPUTED_VALUE"""),"江進坤")</f>
        <v>江進坤</v>
      </c>
      <c r="B44" s="212">
        <f ca="1">IFERROR(__xludf.DUMMYFUNCTION("""COMPUTED_VALUE"""),43579)</f>
        <v>43579</v>
      </c>
      <c r="C44" t="str">
        <f ca="1">IFERROR(__xludf.DUMMYFUNCTION("""COMPUTED_VALUE"""),"Holly")</f>
        <v>Holly</v>
      </c>
    </row>
    <row r="45" spans="1:3" ht="15" customHeight="1">
      <c r="A45" s="212" t="str">
        <f ca="1">IFERROR(__xludf.DUMMYFUNCTION("""COMPUTED_VALUE"""),"李秀惠")</f>
        <v>李秀惠</v>
      </c>
      <c r="B45" s="212">
        <f ca="1">IFERROR(__xludf.DUMMYFUNCTION("""COMPUTED_VALUE"""),43580)</f>
        <v>43580</v>
      </c>
      <c r="C45" t="str">
        <f ca="1">IFERROR(__xludf.DUMMYFUNCTION("""COMPUTED_VALUE"""),"Holly")</f>
        <v>Holly</v>
      </c>
    </row>
    <row r="46" spans="1:3" ht="15" customHeight="1">
      <c r="A46" s="212" t="str">
        <f ca="1">IFERROR(__xludf.DUMMYFUNCTION("""COMPUTED_VALUE"""),"劉俐君")</f>
        <v>劉俐君</v>
      </c>
      <c r="B46" t="str">
        <f ca="1">IFERROR(__xludf.DUMMYFUNCTION("""COMPUTED_VALUE"""),"2019/4/25v")</f>
        <v>2019/4/25v</v>
      </c>
      <c r="C46" t="str">
        <f ca="1">IFERROR(__xludf.DUMMYFUNCTION("""COMPUTED_VALUE"""),"SOPHIE")</f>
        <v>SOPHIE</v>
      </c>
    </row>
    <row r="47" spans="1:3" ht="15" customHeight="1">
      <c r="A47" s="212" t="str">
        <f ca="1">IFERROR(__xludf.DUMMYFUNCTION("""COMPUTED_VALUE"""),"莊添傑")</f>
        <v>莊添傑</v>
      </c>
      <c r="B47" s="207">
        <f ca="1">IFERROR(__xludf.DUMMYFUNCTION("""COMPUTED_VALUE"""),43580)</f>
        <v>43580</v>
      </c>
      <c r="C47" t="str">
        <f ca="1">IFERROR(__xludf.DUMMYFUNCTION("""COMPUTED_VALUE"""),"SOPHIE")</f>
        <v>SOPHIE</v>
      </c>
    </row>
    <row r="48" spans="1:3" ht="15" customHeight="1">
      <c r="A48" s="212" t="str">
        <f ca="1">IFERROR(__xludf.DUMMYFUNCTION("""COMPUTED_VALUE"""),"羅淑憶")</f>
        <v>羅淑憶</v>
      </c>
      <c r="B48" s="212">
        <f ca="1">IFERROR(__xludf.DUMMYFUNCTION("""COMPUTED_VALUE"""),43581)</f>
        <v>43581</v>
      </c>
      <c r="C48" t="str">
        <f ca="1">IFERROR(__xludf.DUMMYFUNCTION("""COMPUTED_VALUE"""),"SOPHIE")</f>
        <v>SOPHIE</v>
      </c>
    </row>
    <row r="49" spans="1:3" ht="15" customHeight="1">
      <c r="A49" s="212" t="str">
        <f ca="1">IFERROR(__xludf.DUMMYFUNCTION("""COMPUTED_VALUE"""),"施秉成")</f>
        <v>施秉成</v>
      </c>
      <c r="B49" t="str">
        <f ca="1">IFERROR(__xludf.DUMMYFUNCTION("""COMPUTED_VALUE"""),"2019/4/26v")</f>
        <v>2019/4/26v</v>
      </c>
      <c r="C49" t="str">
        <f ca="1">IFERROR(__xludf.DUMMYFUNCTION("""COMPUTED_VALUE"""),"SOPHIE")</f>
        <v>SOPHIE</v>
      </c>
    </row>
    <row r="50" spans="1:3" ht="15" customHeight="1">
      <c r="A50" s="212" t="str">
        <f ca="1">IFERROR(__xludf.DUMMYFUNCTION("""COMPUTED_VALUE"""),"孟淑悌")</f>
        <v>孟淑悌</v>
      </c>
      <c r="B50" t="str">
        <f ca="1">IFERROR(__xludf.DUMMYFUNCTION("""COMPUTED_VALUE"""),"2019/4/26v")</f>
        <v>2019/4/26v</v>
      </c>
      <c r="C50" t="str">
        <f ca="1">IFERROR(__xludf.DUMMYFUNCTION("""COMPUTED_VALUE"""),"SOPHIE")</f>
        <v>SOPHIE</v>
      </c>
    </row>
    <row r="51" spans="1:3" ht="15" customHeight="1">
      <c r="A51" s="212" t="str">
        <f ca="1">IFERROR(__xludf.DUMMYFUNCTION("""COMPUTED_VALUE"""),"黃瑞芳")</f>
        <v>黃瑞芳</v>
      </c>
      <c r="B51" s="207">
        <f ca="1">IFERROR(__xludf.DUMMYFUNCTION("""COMPUTED_VALUE"""),43584)</f>
        <v>43584</v>
      </c>
      <c r="C51" t="str">
        <f ca="1">IFERROR(__xludf.DUMMYFUNCTION("""COMPUTED_VALUE"""),"Renee")</f>
        <v>Renee</v>
      </c>
    </row>
    <row r="52" spans="1:3" ht="15" customHeight="1">
      <c r="A52" s="212" t="str">
        <f ca="1">IFERROR(__xludf.DUMMYFUNCTION("""COMPUTED_VALUE"""),"張幸枝")</f>
        <v>張幸枝</v>
      </c>
      <c r="B52" s="212">
        <f ca="1">IFERROR(__xludf.DUMMYFUNCTION("""COMPUTED_VALUE"""),43584)</f>
        <v>43584</v>
      </c>
      <c r="C52" t="str">
        <f ca="1">IFERROR(__xludf.DUMMYFUNCTION("""COMPUTED_VALUE"""),"Holly")</f>
        <v>Holly</v>
      </c>
    </row>
    <row r="53" spans="1:3" ht="15" customHeight="1">
      <c r="A53" s="212" t="str">
        <f ca="1">IFERROR(__xludf.DUMMYFUNCTION("""COMPUTED_VALUE"""),"李如鑠")</f>
        <v>李如鑠</v>
      </c>
      <c r="B53" t="str">
        <f ca="1">IFERROR(__xludf.DUMMYFUNCTION("""COMPUTED_VALUE"""),"2019/4/30v")</f>
        <v>2019/4/30v</v>
      </c>
      <c r="C53" t="str">
        <f ca="1">IFERROR(__xludf.DUMMYFUNCTION("""COMPUTED_VALUE"""),"SOPHIE")</f>
        <v>SOPHIE</v>
      </c>
    </row>
    <row r="54" spans="1:3" ht="15" customHeight="1">
      <c r="A54" s="212" t="str">
        <f ca="1">IFERROR(__xludf.DUMMYFUNCTION("""COMPUTED_VALUE"""),"黃勝雄")</f>
        <v>黃勝雄</v>
      </c>
      <c r="B54" s="212">
        <f ca="1">IFERROR(__xludf.DUMMYFUNCTION("""COMPUTED_VALUE"""),43591)</f>
        <v>43591</v>
      </c>
      <c r="C54" t="str">
        <f ca="1">IFERROR(__xludf.DUMMYFUNCTION("""COMPUTED_VALUE"""),"Renee")</f>
        <v>Renee</v>
      </c>
    </row>
    <row r="55" spans="1:3" ht="15" customHeight="1">
      <c r="A55" s="212" t="str">
        <f ca="1">IFERROR(__xludf.DUMMYFUNCTION("""COMPUTED_VALUE"""),"黃孝親")</f>
        <v>黃孝親</v>
      </c>
      <c r="B55" s="212">
        <f ca="1">IFERROR(__xludf.DUMMYFUNCTION("""COMPUTED_VALUE"""),43591)</f>
        <v>43591</v>
      </c>
      <c r="C55" t="str">
        <f ca="1">IFERROR(__xludf.DUMMYFUNCTION("""COMPUTED_VALUE"""),"Renee")</f>
        <v>Renee</v>
      </c>
    </row>
    <row r="56" spans="1:3" ht="15" customHeight="1">
      <c r="A56" s="212" t="str">
        <f ca="1">IFERROR(__xludf.DUMMYFUNCTION("""COMPUTED_VALUE"""),"洪美惠")</f>
        <v>洪美惠</v>
      </c>
      <c r="B56" s="212">
        <f ca="1">IFERROR(__xludf.DUMMYFUNCTION("""COMPUTED_VALUE"""),43592)</f>
        <v>43592</v>
      </c>
      <c r="C56" t="str">
        <f ca="1">IFERROR(__xludf.DUMMYFUNCTION("""COMPUTED_VALUE"""),"Holly")</f>
        <v>Holly</v>
      </c>
    </row>
    <row r="57" spans="1:3" ht="15" customHeight="1">
      <c r="A57" s="212" t="str">
        <f ca="1">IFERROR(__xludf.DUMMYFUNCTION("""COMPUTED_VALUE"""),"陳盈瑞")</f>
        <v>陳盈瑞</v>
      </c>
      <c r="B57" s="212">
        <f ca="1">IFERROR(__xludf.DUMMYFUNCTION("""COMPUTED_VALUE"""),43592)</f>
        <v>43592</v>
      </c>
      <c r="C57" t="str">
        <f ca="1">IFERROR(__xludf.DUMMYFUNCTION("""COMPUTED_VALUE"""),"Holly")</f>
        <v>Holly</v>
      </c>
    </row>
    <row r="58" spans="1:3" ht="15" customHeight="1">
      <c r="A58" s="212" t="str">
        <f ca="1">IFERROR(__xludf.DUMMYFUNCTION("""COMPUTED_VALUE"""),"葉舒凌")</f>
        <v>葉舒凌</v>
      </c>
      <c r="B58" t="str">
        <f ca="1">IFERROR(__xludf.DUMMYFUNCTION("""COMPUTED_VALUE"""),"2019/5/8v")</f>
        <v>2019/5/8v</v>
      </c>
      <c r="C58" t="str">
        <f ca="1">IFERROR(__xludf.DUMMYFUNCTION("""COMPUTED_VALUE"""),"SOPHIE")</f>
        <v>SOPHIE</v>
      </c>
    </row>
    <row r="59" spans="1:3" ht="15" customHeight="1">
      <c r="A59" s="212" t="str">
        <f ca="1">IFERROR(__xludf.DUMMYFUNCTION("""COMPUTED_VALUE"""),"鍾清林")</f>
        <v>鍾清林</v>
      </c>
      <c r="B59" t="str">
        <f ca="1">IFERROR(__xludf.DUMMYFUNCTION("""COMPUTED_VALUE"""),"2019/5/8v")</f>
        <v>2019/5/8v</v>
      </c>
      <c r="C59" t="str">
        <f ca="1">IFERROR(__xludf.DUMMYFUNCTION("""COMPUTED_VALUE"""),"sophie")</f>
        <v>sophie</v>
      </c>
    </row>
    <row r="60" spans="1:3" ht="15" customHeight="1">
      <c r="A60" s="212" t="str">
        <f ca="1">IFERROR(__xludf.DUMMYFUNCTION("""COMPUTED_VALUE"""),"謝春桃")</f>
        <v>謝春桃</v>
      </c>
      <c r="B60" s="212">
        <f ca="1">IFERROR(__xludf.DUMMYFUNCTION("""COMPUTED_VALUE"""),43593)</f>
        <v>43593</v>
      </c>
      <c r="C60" t="str">
        <f ca="1">IFERROR(__xludf.DUMMYFUNCTION("""COMPUTED_VALUE"""),"Holly")</f>
        <v>Holly</v>
      </c>
    </row>
    <row r="61" spans="1:3" ht="15" customHeight="1">
      <c r="A61" s="212" t="str">
        <f ca="1">IFERROR(__xludf.DUMMYFUNCTION("""COMPUTED_VALUE"""),"郭宣宏")</f>
        <v>郭宣宏</v>
      </c>
      <c r="B61" s="212">
        <f ca="1">IFERROR(__xludf.DUMMYFUNCTION("""COMPUTED_VALUE"""),43594)</f>
        <v>43594</v>
      </c>
      <c r="C61" t="str">
        <f ca="1">IFERROR(__xludf.DUMMYFUNCTION("""COMPUTED_VALUE"""),"Holly")</f>
        <v>Holly</v>
      </c>
    </row>
    <row r="62" spans="1:3" ht="15" customHeight="1">
      <c r="A62" s="212" t="str">
        <f ca="1">IFERROR(__xludf.DUMMYFUNCTION("""COMPUTED_VALUE"""),"黃樂和")</f>
        <v>黃樂和</v>
      </c>
      <c r="B62" s="212">
        <f ca="1">IFERROR(__xludf.DUMMYFUNCTION("""COMPUTED_VALUE"""),43594)</f>
        <v>43594</v>
      </c>
      <c r="C62" t="str">
        <f ca="1">IFERROR(__xludf.DUMMYFUNCTION("""COMPUTED_VALUE"""),"Holly")</f>
        <v>Holly</v>
      </c>
    </row>
    <row r="63" spans="1:3" ht="15" customHeight="1">
      <c r="A63" s="212" t="str">
        <f ca="1">IFERROR(__xludf.DUMMYFUNCTION("""COMPUTED_VALUE"""),"莊涵茹")</f>
        <v>莊涵茹</v>
      </c>
      <c r="B63" t="str">
        <f ca="1">IFERROR(__xludf.DUMMYFUNCTION("""COMPUTED_VALUE"""),"2019/5/9v")</f>
        <v>2019/5/9v</v>
      </c>
      <c r="C63" t="str">
        <f ca="1">IFERROR(__xludf.DUMMYFUNCTION("""COMPUTED_VALUE"""),"sophie")</f>
        <v>sophie</v>
      </c>
    </row>
    <row r="64" spans="1:3" ht="15" customHeight="1">
      <c r="A64" s="212">
        <f ca="1">IFERROR(__xludf.DUMMYFUNCTION("""COMPUTED_VALUE"""),972829128)</f>
        <v>972829128</v>
      </c>
      <c r="B64" t="str">
        <f ca="1">IFERROR(__xludf.DUMMYFUNCTION("""COMPUTED_VALUE"""),"515V")</f>
        <v>515V</v>
      </c>
      <c r="C64" t="str">
        <f ca="1">IFERROR(__xludf.DUMMYFUNCTION("""COMPUTED_VALUE"""),"sophie")</f>
        <v>sophie</v>
      </c>
    </row>
    <row r="65" spans="1:3" ht="15" customHeight="1">
      <c r="A65" s="212" t="str">
        <f ca="1">IFERROR(__xludf.DUMMYFUNCTION("""COMPUTED_VALUE"""),"陳忠良")</f>
        <v>陳忠良</v>
      </c>
      <c r="B65" s="212">
        <f ca="1">IFERROR(__xludf.DUMMYFUNCTION("""COMPUTED_VALUE"""),43600)</f>
        <v>43600</v>
      </c>
      <c r="C65" t="str">
        <f ca="1">IFERROR(__xludf.DUMMYFUNCTION("""COMPUTED_VALUE"""),"Holly")</f>
        <v>Holly</v>
      </c>
    </row>
    <row r="66" spans="1:3" ht="15" customHeight="1">
      <c r="A66" s="212" t="str">
        <f ca="1">IFERROR(__xludf.DUMMYFUNCTION("""COMPUTED_VALUE"""),"陳淑玲")</f>
        <v>陳淑玲</v>
      </c>
      <c r="B66" s="212">
        <f ca="1">IFERROR(__xludf.DUMMYFUNCTION("""COMPUTED_VALUE"""),43600)</f>
        <v>43600</v>
      </c>
      <c r="C66" t="str">
        <f ca="1">IFERROR(__xludf.DUMMYFUNCTION("""COMPUTED_VALUE"""),"Renee")</f>
        <v>Renee</v>
      </c>
    </row>
    <row r="67" spans="1:3" ht="15" customHeight="1">
      <c r="A67" s="212" t="str">
        <f ca="1">IFERROR(__xludf.DUMMYFUNCTION("""COMPUTED_VALUE"""),"謝佳貞")</f>
        <v>謝佳貞</v>
      </c>
      <c r="B67" t="str">
        <f ca="1">IFERROR(__xludf.DUMMYFUNCTION("""COMPUTED_VALUE"""),"516V")</f>
        <v>516V</v>
      </c>
      <c r="C67" t="str">
        <f ca="1">IFERROR(__xludf.DUMMYFUNCTION("""COMPUTED_VALUE"""),"sophie")</f>
        <v>sophie</v>
      </c>
    </row>
    <row r="68" spans="1:3" ht="15" customHeight="1">
      <c r="A68" s="212" t="str">
        <f ca="1">IFERROR(__xludf.DUMMYFUNCTION("""COMPUTED_VALUE"""),"謝秀文")</f>
        <v>謝秀文</v>
      </c>
      <c r="B68" t="str">
        <f ca="1">IFERROR(__xludf.DUMMYFUNCTION("""COMPUTED_VALUE"""),"516V")</f>
        <v>516V</v>
      </c>
      <c r="C68" t="str">
        <f ca="1">IFERROR(__xludf.DUMMYFUNCTION("""COMPUTED_VALUE"""),"sophie")</f>
        <v>sophie</v>
      </c>
    </row>
    <row r="69" spans="1:3" ht="15" customHeight="1">
      <c r="A69" s="212" t="str">
        <f ca="1">IFERROR(__xludf.DUMMYFUNCTION("""COMPUTED_VALUE"""),"楊金錫")</f>
        <v>楊金錫</v>
      </c>
      <c r="B69" s="212">
        <f ca="1">IFERROR(__xludf.DUMMYFUNCTION("""COMPUTED_VALUE"""),43601)</f>
        <v>43601</v>
      </c>
      <c r="C69" t="str">
        <f ca="1">IFERROR(__xludf.DUMMYFUNCTION("""COMPUTED_VALUE"""),"Renee")</f>
        <v>Renee</v>
      </c>
    </row>
    <row r="70" spans="1:3" ht="15" customHeight="1">
      <c r="A70" s="212" t="str">
        <f ca="1">IFERROR(__xludf.DUMMYFUNCTION("""COMPUTED_VALUE"""),"沈玉琳")</f>
        <v>沈玉琳</v>
      </c>
      <c r="B70" t="str">
        <f ca="1">IFERROR(__xludf.DUMMYFUNCTION("""COMPUTED_VALUE"""),"516V")</f>
        <v>516V</v>
      </c>
      <c r="C70" t="str">
        <f ca="1">IFERROR(__xludf.DUMMYFUNCTION("""COMPUTED_VALUE"""),"SOPHIE")</f>
        <v>SOPHIE</v>
      </c>
    </row>
    <row r="71" spans="1:3" ht="15" customHeight="1">
      <c r="A71" s="212" t="str">
        <f ca="1">IFERROR(__xludf.DUMMYFUNCTION("""COMPUTED_VALUE"""),"陳冠銘")</f>
        <v>陳冠銘</v>
      </c>
      <c r="B71" s="212">
        <f ca="1">IFERROR(__xludf.DUMMYFUNCTION("""COMPUTED_VALUE"""),43601)</f>
        <v>43601</v>
      </c>
      <c r="C71" t="str">
        <f ca="1">IFERROR(__xludf.DUMMYFUNCTION("""COMPUTED_VALUE"""),"Renee")</f>
        <v>Renee</v>
      </c>
    </row>
    <row r="72" spans="1:3" ht="15" customHeight="1">
      <c r="A72" s="212" t="str">
        <f ca="1">IFERROR(__xludf.DUMMYFUNCTION("""COMPUTED_VALUE"""),"張芯榕")</f>
        <v>張芯榕</v>
      </c>
      <c r="B72" s="212">
        <f ca="1">IFERROR(__xludf.DUMMYFUNCTION("""COMPUTED_VALUE"""),43605)</f>
        <v>43605</v>
      </c>
      <c r="C72" t="str">
        <f ca="1">IFERROR(__xludf.DUMMYFUNCTION("""COMPUTED_VALUE"""),"Holly")</f>
        <v>Holly</v>
      </c>
    </row>
    <row r="73" spans="1:3" ht="15" customHeight="1">
      <c r="A73" s="212" t="str">
        <f ca="1">IFERROR(__xludf.DUMMYFUNCTION("""COMPUTED_VALUE"""),"鄭博祥")</f>
        <v>鄭博祥</v>
      </c>
      <c r="B73" s="212">
        <f ca="1">IFERROR(__xludf.DUMMYFUNCTION("""COMPUTED_VALUE"""),43613)</f>
        <v>43613</v>
      </c>
      <c r="C73" t="str">
        <f ca="1">IFERROR(__xludf.DUMMYFUNCTION("""COMPUTED_VALUE"""),"Holly")</f>
        <v>Holly</v>
      </c>
    </row>
    <row r="74" spans="1:3" ht="15" customHeight="1">
      <c r="A74" s="212" t="str">
        <f ca="1">IFERROR(__xludf.DUMMYFUNCTION("""COMPUTED_VALUE"""),"王柔方")</f>
        <v>王柔方</v>
      </c>
      <c r="B74">
        <f ca="1">IFERROR(__xludf.DUMMYFUNCTION("""COMPUTED_VALUE"""),627)</f>
        <v>627</v>
      </c>
      <c r="C74" t="str">
        <f ca="1">IFERROR(__xludf.DUMMYFUNCTION("""COMPUTED_VALUE"""),"SOPHIE")</f>
        <v>SOPHIE</v>
      </c>
    </row>
    <row r="75" spans="1:3" ht="15" customHeight="1">
      <c r="A75" s="212" t="str">
        <f ca="1">IFERROR(__xludf.DUMMYFUNCTION("""COMPUTED_VALUE"""),"楊清堯")</f>
        <v>楊清堯</v>
      </c>
      <c r="B75" s="212">
        <f ca="1">IFERROR(__xludf.DUMMYFUNCTION("""COMPUTED_VALUE"""),43654)</f>
        <v>43654</v>
      </c>
      <c r="C75" t="str">
        <f ca="1">IFERROR(__xludf.DUMMYFUNCTION("""COMPUTED_VALUE"""),"Renee")</f>
        <v>Renee</v>
      </c>
    </row>
    <row r="76" spans="1:3" ht="15" customHeight="1">
      <c r="A76" s="212" t="str">
        <f ca="1">IFERROR(__xludf.DUMMYFUNCTION("""COMPUTED_VALUE"""),"薛靖勳")</f>
        <v>薛靖勳</v>
      </c>
      <c r="B76">
        <f ca="1">IFERROR(__xludf.DUMMYFUNCTION("""COMPUTED_VALUE"""),720)</f>
        <v>720</v>
      </c>
      <c r="C76" t="str">
        <f ca="1">IFERROR(__xludf.DUMMYFUNCTION("""COMPUTED_VALUE"""),"sophie")</f>
        <v>sophie</v>
      </c>
    </row>
    <row r="77" spans="1:3" ht="15" customHeight="1">
      <c r="A77" s="212" t="str">
        <f ca="1">IFERROR(__xludf.DUMMYFUNCTION("""COMPUTED_VALUE"""),"呂怡臻")</f>
        <v>呂怡臻</v>
      </c>
      <c r="B77" s="212">
        <f ca="1">IFERROR(__xludf.DUMMYFUNCTION("""COMPUTED_VALUE"""),43668)</f>
        <v>43668</v>
      </c>
      <c r="C77" t="str">
        <f ca="1">IFERROR(__xludf.DUMMYFUNCTION("""COMPUTED_VALUE"""),"Renee")</f>
        <v>Renee</v>
      </c>
    </row>
    <row r="78" spans="1:3" ht="15" customHeight="1">
      <c r="A78" s="212" t="str">
        <f ca="1">IFERROR(__xludf.DUMMYFUNCTION("""COMPUTED_VALUE"""),"")</f>
        <v/>
      </c>
      <c r="B78" t="str">
        <f ca="1">IFERROR(__xludf.DUMMYFUNCTION("""COMPUTED_VALUE"""),"")</f>
        <v/>
      </c>
      <c r="C78" t="str">
        <f ca="1">IFERROR(__xludf.DUMMYFUNCTION("""COMPUTED_VALUE"""),"")</f>
        <v/>
      </c>
    </row>
    <row r="79" spans="1:3" ht="15" customHeight="1">
      <c r="A79" s="212" t="str">
        <f ca="1">IFERROR(__xludf.DUMMYFUNCTION("""COMPUTED_VALUE"""),"")</f>
        <v/>
      </c>
      <c r="B79" t="str">
        <f ca="1">IFERROR(__xludf.DUMMYFUNCTION("""COMPUTED_VALUE"""),"")</f>
        <v/>
      </c>
      <c r="C79" t="str">
        <f ca="1">IFERROR(__xludf.DUMMYFUNCTION("""COMPUTED_VALUE"""),"")</f>
        <v/>
      </c>
    </row>
    <row r="80" spans="1:3" ht="15" customHeight="1">
      <c r="A80" s="212" t="str">
        <f ca="1">IFERROR(__xludf.DUMMYFUNCTION("""COMPUTED_VALUE"""),"")</f>
        <v/>
      </c>
      <c r="B80" t="str">
        <f ca="1">IFERROR(__xludf.DUMMYFUNCTION("""COMPUTED_VALUE"""),"")</f>
        <v/>
      </c>
      <c r="C80" t="str">
        <f ca="1">IFERROR(__xludf.DUMMYFUNCTION("""COMPUTED_VALUE"""),"")</f>
        <v/>
      </c>
    </row>
    <row r="81" spans="1:3" ht="15" customHeight="1">
      <c r="A81" s="212" t="str">
        <f ca="1">IFERROR(__xludf.DUMMYFUNCTION("""COMPUTED_VALUE"""),"")</f>
        <v/>
      </c>
      <c r="B81" t="str">
        <f ca="1">IFERROR(__xludf.DUMMYFUNCTION("""COMPUTED_VALUE"""),"")</f>
        <v/>
      </c>
      <c r="C81" t="str">
        <f ca="1">IFERROR(__xludf.DUMMYFUNCTION("""COMPUTED_VALUE"""),"")</f>
        <v/>
      </c>
    </row>
    <row r="82" spans="1:3" ht="15" customHeight="1">
      <c r="A82" s="212" t="str">
        <f ca="1">IFERROR(__xludf.DUMMYFUNCTION("""COMPUTED_VALUE"""),"")</f>
        <v/>
      </c>
      <c r="B82" t="str">
        <f ca="1">IFERROR(__xludf.DUMMYFUNCTION("""COMPUTED_VALUE"""),"")</f>
        <v/>
      </c>
      <c r="C82" t="str">
        <f ca="1">IFERROR(__xludf.DUMMYFUNCTION("""COMPUTED_VALUE"""),"")</f>
        <v/>
      </c>
    </row>
    <row r="83" spans="1:3" ht="15" customHeight="1">
      <c r="A83" s="212" t="str">
        <f ca="1">IFERROR(__xludf.DUMMYFUNCTION("""COMPUTED_VALUE"""),"")</f>
        <v/>
      </c>
      <c r="B83" t="str">
        <f ca="1">IFERROR(__xludf.DUMMYFUNCTION("""COMPUTED_VALUE"""),"")</f>
        <v/>
      </c>
      <c r="C83" t="str">
        <f ca="1">IFERROR(__xludf.DUMMYFUNCTION("""COMPUTED_VALUE"""),"")</f>
        <v/>
      </c>
    </row>
    <row r="84" spans="1:3" ht="15" customHeight="1">
      <c r="A84" s="212" t="str">
        <f ca="1">IFERROR(__xludf.DUMMYFUNCTION("""COMPUTED_VALUE"""),"")</f>
        <v/>
      </c>
      <c r="B84" t="str">
        <f ca="1">IFERROR(__xludf.DUMMYFUNCTION("""COMPUTED_VALUE"""),"")</f>
        <v/>
      </c>
      <c r="C84" t="str">
        <f ca="1">IFERROR(__xludf.DUMMYFUNCTION("""COMPUTED_VALUE"""),"")</f>
        <v/>
      </c>
    </row>
    <row r="85" spans="1:3" ht="15" customHeight="1">
      <c r="A85" s="212" t="str">
        <f ca="1">IFERROR(__xludf.DUMMYFUNCTION("""COMPUTED_VALUE"""),"")</f>
        <v/>
      </c>
      <c r="B85" t="str">
        <f ca="1">IFERROR(__xludf.DUMMYFUNCTION("""COMPUTED_VALUE"""),"")</f>
        <v/>
      </c>
      <c r="C85" t="str">
        <f ca="1">IFERROR(__xludf.DUMMYFUNCTION("""COMPUTED_VALUE"""),"")</f>
        <v/>
      </c>
    </row>
    <row r="86" spans="1:3" ht="15" customHeight="1">
      <c r="A86" s="212" t="str">
        <f ca="1">IFERROR(__xludf.DUMMYFUNCTION("""COMPUTED_VALUE"""),"")</f>
        <v/>
      </c>
      <c r="B86" t="str">
        <f ca="1">IFERROR(__xludf.DUMMYFUNCTION("""COMPUTED_VALUE"""),"")</f>
        <v/>
      </c>
      <c r="C86" t="str">
        <f ca="1">IFERROR(__xludf.DUMMYFUNCTION("""COMPUTED_VALUE"""),"")</f>
        <v/>
      </c>
    </row>
    <row r="87" spans="1:3" ht="15" customHeight="1">
      <c r="A87" s="212" t="str">
        <f ca="1">IFERROR(__xludf.DUMMYFUNCTION("""COMPUTED_VALUE"""),"")</f>
        <v/>
      </c>
      <c r="B87" t="str">
        <f ca="1">IFERROR(__xludf.DUMMYFUNCTION("""COMPUTED_VALUE"""),"")</f>
        <v/>
      </c>
      <c r="C87" t="str">
        <f ca="1">IFERROR(__xludf.DUMMYFUNCTION("""COMPUTED_VALUE"""),"")</f>
        <v/>
      </c>
    </row>
    <row r="88" spans="1:3" ht="15" customHeight="1">
      <c r="A88" s="212" t="str">
        <f ca="1">IFERROR(__xludf.DUMMYFUNCTION("""COMPUTED_VALUE"""),"")</f>
        <v/>
      </c>
      <c r="B88" t="str">
        <f ca="1">IFERROR(__xludf.DUMMYFUNCTION("""COMPUTED_VALUE"""),"")</f>
        <v/>
      </c>
      <c r="C88" t="str">
        <f ca="1">IFERROR(__xludf.DUMMYFUNCTION("""COMPUTED_VALUE"""),"")</f>
        <v/>
      </c>
    </row>
    <row r="89" spans="1:3" ht="15" customHeight="1">
      <c r="A89" s="212" t="str">
        <f ca="1">IFERROR(__xludf.DUMMYFUNCTION("""COMPUTED_VALUE"""),"")</f>
        <v/>
      </c>
      <c r="B89" t="str">
        <f ca="1">IFERROR(__xludf.DUMMYFUNCTION("""COMPUTED_VALUE"""),"")</f>
        <v/>
      </c>
      <c r="C89" t="str">
        <f ca="1">IFERROR(__xludf.DUMMYFUNCTION("""COMPUTED_VALUE"""),"")</f>
        <v/>
      </c>
    </row>
    <row r="90" spans="1:3" ht="15" customHeight="1">
      <c r="A90" s="212" t="str">
        <f ca="1">IFERROR(__xludf.DUMMYFUNCTION("""COMPUTED_VALUE"""),"")</f>
        <v/>
      </c>
      <c r="B90" t="str">
        <f ca="1">IFERROR(__xludf.DUMMYFUNCTION("""COMPUTED_VALUE"""),"")</f>
        <v/>
      </c>
      <c r="C90" t="str">
        <f ca="1">IFERROR(__xludf.DUMMYFUNCTION("""COMPUTED_VALUE"""),"")</f>
        <v/>
      </c>
    </row>
    <row r="91" spans="1:3" ht="15" customHeight="1">
      <c r="A91" s="212" t="str">
        <f ca="1">IFERROR(__xludf.DUMMYFUNCTION("""COMPUTED_VALUE"""),"")</f>
        <v/>
      </c>
      <c r="B91" t="str">
        <f ca="1">IFERROR(__xludf.DUMMYFUNCTION("""COMPUTED_VALUE"""),"")</f>
        <v/>
      </c>
      <c r="C91" t="str">
        <f ca="1">IFERROR(__xludf.DUMMYFUNCTION("""COMPUTED_VALUE"""),"")</f>
        <v/>
      </c>
    </row>
    <row r="92" spans="1:3" ht="15" customHeight="1">
      <c r="A92" s="212" t="str">
        <f ca="1">IFERROR(__xludf.DUMMYFUNCTION("""COMPUTED_VALUE"""),"")</f>
        <v/>
      </c>
      <c r="B92" t="str">
        <f ca="1">IFERROR(__xludf.DUMMYFUNCTION("""COMPUTED_VALUE"""),"")</f>
        <v/>
      </c>
      <c r="C92" t="str">
        <f ca="1">IFERROR(__xludf.DUMMYFUNCTION("""COMPUTED_VALUE"""),"")</f>
        <v/>
      </c>
    </row>
    <row r="93" spans="1:3" ht="15" customHeight="1">
      <c r="A93" s="212" t="str">
        <f ca="1">IFERROR(__xludf.DUMMYFUNCTION("""COMPUTED_VALUE"""),"")</f>
        <v/>
      </c>
      <c r="B93" t="str">
        <f ca="1">IFERROR(__xludf.DUMMYFUNCTION("""COMPUTED_VALUE"""),"")</f>
        <v/>
      </c>
      <c r="C93" t="str">
        <f ca="1">IFERROR(__xludf.DUMMYFUNCTION("""COMPUTED_VALUE"""),"")</f>
        <v/>
      </c>
    </row>
    <row r="94" spans="1:3" ht="15" customHeight="1">
      <c r="A94" s="212" t="str">
        <f ca="1">IFERROR(__xludf.DUMMYFUNCTION("""COMPUTED_VALUE"""),"")</f>
        <v/>
      </c>
      <c r="B94" t="str">
        <f ca="1">IFERROR(__xludf.DUMMYFUNCTION("""COMPUTED_VALUE"""),"")</f>
        <v/>
      </c>
      <c r="C94" t="str">
        <f ca="1">IFERROR(__xludf.DUMMYFUNCTION("""COMPUTED_VALUE"""),"")</f>
        <v/>
      </c>
    </row>
    <row r="95" spans="1:3" ht="15" customHeight="1">
      <c r="A95" s="212" t="str">
        <f ca="1">IFERROR(__xludf.DUMMYFUNCTION("""COMPUTED_VALUE"""),"")</f>
        <v/>
      </c>
      <c r="B95" t="str">
        <f ca="1">IFERROR(__xludf.DUMMYFUNCTION("""COMPUTED_VALUE"""),"")</f>
        <v/>
      </c>
      <c r="C95" t="str">
        <f ca="1">IFERROR(__xludf.DUMMYFUNCTION("""COMPUTED_VALUE"""),"")</f>
        <v/>
      </c>
    </row>
    <row r="96" spans="1:3" ht="15" customHeight="1">
      <c r="A96" s="212" t="str">
        <f ca="1">IFERROR(__xludf.DUMMYFUNCTION("""COMPUTED_VALUE"""),"")</f>
        <v/>
      </c>
      <c r="B96" t="str">
        <f ca="1">IFERROR(__xludf.DUMMYFUNCTION("""COMPUTED_VALUE"""),"")</f>
        <v/>
      </c>
      <c r="C96" t="str">
        <f ca="1">IFERROR(__xludf.DUMMYFUNCTION("""COMPUTED_VALUE"""),"")</f>
        <v/>
      </c>
    </row>
    <row r="97" spans="1:3" ht="15" customHeight="1">
      <c r="A97" s="212" t="str">
        <f ca="1">IFERROR(__xludf.DUMMYFUNCTION("""COMPUTED_VALUE"""),"")</f>
        <v/>
      </c>
      <c r="B97" t="str">
        <f ca="1">IFERROR(__xludf.DUMMYFUNCTION("""COMPUTED_VALUE"""),"")</f>
        <v/>
      </c>
      <c r="C97" t="str">
        <f ca="1">IFERROR(__xludf.DUMMYFUNCTION("""COMPUTED_VALUE"""),"")</f>
        <v/>
      </c>
    </row>
    <row r="98" spans="1:3" ht="15" customHeight="1">
      <c r="A98" s="212" t="str">
        <f ca="1">IFERROR(__xludf.DUMMYFUNCTION("""COMPUTED_VALUE"""),"")</f>
        <v/>
      </c>
      <c r="B98" t="str">
        <f ca="1">IFERROR(__xludf.DUMMYFUNCTION("""COMPUTED_VALUE"""),"")</f>
        <v/>
      </c>
      <c r="C98" t="str">
        <f ca="1">IFERROR(__xludf.DUMMYFUNCTION("""COMPUTED_VALUE"""),"")</f>
        <v/>
      </c>
    </row>
    <row r="99" spans="1:3" ht="15" customHeight="1">
      <c r="A99" s="212" t="str">
        <f ca="1">IFERROR(__xludf.DUMMYFUNCTION("""COMPUTED_VALUE"""),"")</f>
        <v/>
      </c>
      <c r="B99" t="str">
        <f ca="1">IFERROR(__xludf.DUMMYFUNCTION("""COMPUTED_VALUE"""),"")</f>
        <v/>
      </c>
      <c r="C99" t="str">
        <f ca="1">IFERROR(__xludf.DUMMYFUNCTION("""COMPUTED_VALUE"""),"")</f>
        <v/>
      </c>
    </row>
    <row r="100" spans="1:3" ht="15" customHeight="1">
      <c r="A100" s="212" t="str">
        <f ca="1">IFERROR(__xludf.DUMMYFUNCTION("""COMPUTED_VALUE"""),"")</f>
        <v/>
      </c>
      <c r="B100" t="str">
        <f ca="1">IFERROR(__xludf.DUMMYFUNCTION("""COMPUTED_VALUE"""),"")</f>
        <v/>
      </c>
      <c r="C100" t="str">
        <f ca="1">IFERROR(__xludf.DUMMYFUNCTION("""COMPUTED_VALUE"""),"")</f>
        <v/>
      </c>
    </row>
    <row r="101" spans="1:3" ht="15" customHeight="1">
      <c r="A101" s="212" t="str">
        <f ca="1">IFERROR(__xludf.DUMMYFUNCTION("""COMPUTED_VALUE"""),"")</f>
        <v/>
      </c>
      <c r="B101" t="str">
        <f ca="1">IFERROR(__xludf.DUMMYFUNCTION("""COMPUTED_VALUE"""),"")</f>
        <v/>
      </c>
      <c r="C101" t="str">
        <f ca="1">IFERROR(__xludf.DUMMYFUNCTION("""COMPUTED_VALUE"""),"")</f>
        <v/>
      </c>
    </row>
    <row r="102" spans="1:3" ht="15" customHeight="1">
      <c r="A102" s="212" t="str">
        <f ca="1">IFERROR(__xludf.DUMMYFUNCTION("""COMPUTED_VALUE"""),"")</f>
        <v/>
      </c>
      <c r="B102" t="str">
        <f ca="1">IFERROR(__xludf.DUMMYFUNCTION("""COMPUTED_VALUE"""),"")</f>
        <v/>
      </c>
      <c r="C102" t="str">
        <f ca="1">IFERROR(__xludf.DUMMYFUNCTION("""COMPUTED_VALUE"""),"")</f>
        <v/>
      </c>
    </row>
    <row r="103" spans="1:3" ht="15" customHeight="1">
      <c r="A103" s="212" t="str">
        <f ca="1">IFERROR(__xludf.DUMMYFUNCTION("""COMPUTED_VALUE"""),"")</f>
        <v/>
      </c>
      <c r="B103" t="str">
        <f ca="1">IFERROR(__xludf.DUMMYFUNCTION("""COMPUTED_VALUE"""),"")</f>
        <v/>
      </c>
      <c r="C103" t="str">
        <f ca="1">IFERROR(__xludf.DUMMYFUNCTION("""COMPUTED_VALUE"""),"")</f>
        <v/>
      </c>
    </row>
    <row r="104" spans="1:3" ht="15" customHeight="1">
      <c r="A104" s="212" t="str">
        <f ca="1">IFERROR(__xludf.DUMMYFUNCTION("""COMPUTED_VALUE"""),"")</f>
        <v/>
      </c>
      <c r="B104" t="str">
        <f ca="1">IFERROR(__xludf.DUMMYFUNCTION("""COMPUTED_VALUE"""),"")</f>
        <v/>
      </c>
      <c r="C104" t="str">
        <f ca="1">IFERROR(__xludf.DUMMYFUNCTION("""COMPUTED_VALUE"""),"")</f>
        <v/>
      </c>
    </row>
    <row r="105" spans="1:3" ht="15" customHeight="1">
      <c r="A105" s="212" t="str">
        <f ca="1">IFERROR(__xludf.DUMMYFUNCTION("""COMPUTED_VALUE"""),"")</f>
        <v/>
      </c>
      <c r="B105" t="str">
        <f ca="1">IFERROR(__xludf.DUMMYFUNCTION("""COMPUTED_VALUE"""),"")</f>
        <v/>
      </c>
      <c r="C105" t="str">
        <f ca="1">IFERROR(__xludf.DUMMYFUNCTION("""COMPUTED_VALUE"""),"")</f>
        <v/>
      </c>
    </row>
    <row r="106" spans="1:3" ht="15" customHeight="1">
      <c r="A106" s="212" t="str">
        <f ca="1">IFERROR(__xludf.DUMMYFUNCTION("""COMPUTED_VALUE"""),"")</f>
        <v/>
      </c>
      <c r="B106" t="str">
        <f ca="1">IFERROR(__xludf.DUMMYFUNCTION("""COMPUTED_VALUE"""),"")</f>
        <v/>
      </c>
      <c r="C106" t="str">
        <f ca="1">IFERROR(__xludf.DUMMYFUNCTION("""COMPUTED_VALUE"""),"")</f>
        <v/>
      </c>
    </row>
    <row r="107" spans="1:3" ht="15" customHeight="1">
      <c r="A107" s="212" t="str">
        <f ca="1">IFERROR(__xludf.DUMMYFUNCTION("""COMPUTED_VALUE"""),"")</f>
        <v/>
      </c>
      <c r="B107" t="str">
        <f ca="1">IFERROR(__xludf.DUMMYFUNCTION("""COMPUTED_VALUE"""),"")</f>
        <v/>
      </c>
      <c r="C107" t="str">
        <f ca="1">IFERROR(__xludf.DUMMYFUNCTION("""COMPUTED_VALUE"""),"")</f>
        <v/>
      </c>
    </row>
    <row r="108" spans="1:3" ht="15" customHeight="1">
      <c r="A108" s="212" t="str">
        <f ca="1">IFERROR(__xludf.DUMMYFUNCTION("""COMPUTED_VALUE"""),"")</f>
        <v/>
      </c>
      <c r="B108" t="str">
        <f ca="1">IFERROR(__xludf.DUMMYFUNCTION("""COMPUTED_VALUE"""),"")</f>
        <v/>
      </c>
      <c r="C108" t="str">
        <f ca="1">IFERROR(__xludf.DUMMYFUNCTION("""COMPUTED_VALUE"""),"")</f>
        <v/>
      </c>
    </row>
    <row r="109" spans="1:3" ht="15" customHeight="1">
      <c r="A109" s="212" t="str">
        <f ca="1">IFERROR(__xludf.DUMMYFUNCTION("""COMPUTED_VALUE"""),"")</f>
        <v/>
      </c>
      <c r="B109" t="str">
        <f ca="1">IFERROR(__xludf.DUMMYFUNCTION("""COMPUTED_VALUE"""),"")</f>
        <v/>
      </c>
      <c r="C109" t="str">
        <f ca="1">IFERROR(__xludf.DUMMYFUNCTION("""COMPUTED_VALUE"""),"")</f>
        <v/>
      </c>
    </row>
    <row r="110" spans="1:3" ht="15" customHeight="1">
      <c r="A110" s="212" t="str">
        <f ca="1">IFERROR(__xludf.DUMMYFUNCTION("""COMPUTED_VALUE"""),"")</f>
        <v/>
      </c>
      <c r="B110" t="str">
        <f ca="1">IFERROR(__xludf.DUMMYFUNCTION("""COMPUTED_VALUE"""),"")</f>
        <v/>
      </c>
      <c r="C110" t="str">
        <f ca="1">IFERROR(__xludf.DUMMYFUNCTION("""COMPUTED_VALUE"""),"")</f>
        <v/>
      </c>
    </row>
    <row r="111" spans="1:3" ht="15" customHeight="1">
      <c r="A111" s="212" t="str">
        <f ca="1">IFERROR(__xludf.DUMMYFUNCTION("""COMPUTED_VALUE"""),"")</f>
        <v/>
      </c>
      <c r="B111" t="str">
        <f ca="1">IFERROR(__xludf.DUMMYFUNCTION("""COMPUTED_VALUE"""),"")</f>
        <v/>
      </c>
      <c r="C111" t="str">
        <f ca="1">IFERROR(__xludf.DUMMYFUNCTION("""COMPUTED_VALUE"""),"")</f>
        <v/>
      </c>
    </row>
    <row r="112" spans="1:3" ht="15" customHeight="1">
      <c r="A112" s="212" t="str">
        <f ca="1">IFERROR(__xludf.DUMMYFUNCTION("""COMPUTED_VALUE"""),"")</f>
        <v/>
      </c>
      <c r="B112" t="str">
        <f ca="1">IFERROR(__xludf.DUMMYFUNCTION("""COMPUTED_VALUE"""),"")</f>
        <v/>
      </c>
      <c r="C112" t="str">
        <f ca="1">IFERROR(__xludf.DUMMYFUNCTION("""COMPUTED_VALUE"""),"")</f>
        <v/>
      </c>
    </row>
    <row r="113" spans="1:3" ht="15" customHeight="1">
      <c r="A113" s="212" t="str">
        <f ca="1">IFERROR(__xludf.DUMMYFUNCTION("""COMPUTED_VALUE"""),"")</f>
        <v/>
      </c>
      <c r="B113" t="str">
        <f ca="1">IFERROR(__xludf.DUMMYFUNCTION("""COMPUTED_VALUE"""),"")</f>
        <v/>
      </c>
      <c r="C113" t="str">
        <f ca="1">IFERROR(__xludf.DUMMYFUNCTION("""COMPUTED_VALUE"""),"")</f>
        <v/>
      </c>
    </row>
    <row r="114" spans="1:3" ht="15" customHeight="1">
      <c r="A114" s="212" t="str">
        <f ca="1">IFERROR(__xludf.DUMMYFUNCTION("""COMPUTED_VALUE"""),"")</f>
        <v/>
      </c>
      <c r="B114" t="str">
        <f ca="1">IFERROR(__xludf.DUMMYFUNCTION("""COMPUTED_VALUE"""),"")</f>
        <v/>
      </c>
      <c r="C114" t="str">
        <f ca="1">IFERROR(__xludf.DUMMYFUNCTION("""COMPUTED_VALUE"""),"")</f>
        <v/>
      </c>
    </row>
    <row r="115" spans="1:3" ht="15" customHeight="1">
      <c r="A115" s="212" t="str">
        <f ca="1">IFERROR(__xludf.DUMMYFUNCTION("""COMPUTED_VALUE"""),"")</f>
        <v/>
      </c>
      <c r="B115" t="str">
        <f ca="1">IFERROR(__xludf.DUMMYFUNCTION("""COMPUTED_VALUE"""),"")</f>
        <v/>
      </c>
      <c r="C115" t="str">
        <f ca="1">IFERROR(__xludf.DUMMYFUNCTION("""COMPUTED_VALUE"""),"")</f>
        <v/>
      </c>
    </row>
    <row r="116" spans="1:3" ht="15" customHeight="1">
      <c r="A116" s="212" t="str">
        <f ca="1">IFERROR(__xludf.DUMMYFUNCTION("""COMPUTED_VALUE"""),"")</f>
        <v/>
      </c>
      <c r="B116" t="str">
        <f ca="1">IFERROR(__xludf.DUMMYFUNCTION("""COMPUTED_VALUE"""),"")</f>
        <v/>
      </c>
      <c r="C116" t="str">
        <f ca="1">IFERROR(__xludf.DUMMYFUNCTION("""COMPUTED_VALUE"""),"")</f>
        <v/>
      </c>
    </row>
    <row r="117" spans="1:3" ht="15" customHeight="1">
      <c r="A117" s="212" t="str">
        <f ca="1">IFERROR(__xludf.DUMMYFUNCTION("""COMPUTED_VALUE"""),"")</f>
        <v/>
      </c>
      <c r="B117" t="str">
        <f ca="1">IFERROR(__xludf.DUMMYFUNCTION("""COMPUTED_VALUE"""),"")</f>
        <v/>
      </c>
      <c r="C117" t="str">
        <f ca="1">IFERROR(__xludf.DUMMYFUNCTION("""COMPUTED_VALUE"""),"")</f>
        <v/>
      </c>
    </row>
    <row r="118" spans="1:3" ht="15" customHeight="1">
      <c r="A118" s="212" t="str">
        <f ca="1">IFERROR(__xludf.DUMMYFUNCTION("""COMPUTED_VALUE"""),"")</f>
        <v/>
      </c>
      <c r="B118" t="str">
        <f ca="1">IFERROR(__xludf.DUMMYFUNCTION("""COMPUTED_VALUE"""),"")</f>
        <v/>
      </c>
      <c r="C118" t="str">
        <f ca="1">IFERROR(__xludf.DUMMYFUNCTION("""COMPUTED_VALUE"""),"")</f>
        <v/>
      </c>
    </row>
    <row r="119" spans="1:3" ht="15" customHeight="1">
      <c r="A119" s="212" t="str">
        <f ca="1">IFERROR(__xludf.DUMMYFUNCTION("""COMPUTED_VALUE"""),"")</f>
        <v/>
      </c>
      <c r="B119" t="str">
        <f ca="1">IFERROR(__xludf.DUMMYFUNCTION("""COMPUTED_VALUE"""),"")</f>
        <v/>
      </c>
      <c r="C119" t="str">
        <f ca="1">IFERROR(__xludf.DUMMYFUNCTION("""COMPUTED_VALUE"""),"")</f>
        <v/>
      </c>
    </row>
    <row r="120" spans="1:3" ht="15" customHeight="1">
      <c r="A120" s="212" t="str">
        <f ca="1">IFERROR(__xludf.DUMMYFUNCTION("""COMPUTED_VALUE"""),"")</f>
        <v/>
      </c>
      <c r="B120" t="str">
        <f ca="1">IFERROR(__xludf.DUMMYFUNCTION("""COMPUTED_VALUE"""),"")</f>
        <v/>
      </c>
      <c r="C120" t="str">
        <f ca="1">IFERROR(__xludf.DUMMYFUNCTION("""COMPUTED_VALUE"""),"")</f>
        <v/>
      </c>
    </row>
    <row r="121" spans="1:3" ht="15" customHeight="1">
      <c r="A121" s="212" t="str">
        <f ca="1">IFERROR(__xludf.DUMMYFUNCTION("""COMPUTED_VALUE"""),"")</f>
        <v/>
      </c>
      <c r="B121" t="str">
        <f ca="1">IFERROR(__xludf.DUMMYFUNCTION("""COMPUTED_VALUE"""),"")</f>
        <v/>
      </c>
      <c r="C121" t="str">
        <f ca="1">IFERROR(__xludf.DUMMYFUNCTION("""COMPUTED_VALUE"""),"")</f>
        <v/>
      </c>
    </row>
    <row r="122" spans="1:3" ht="15" customHeight="1">
      <c r="A122" s="212" t="str">
        <f ca="1">IFERROR(__xludf.DUMMYFUNCTION("""COMPUTED_VALUE"""),"")</f>
        <v/>
      </c>
      <c r="B122" t="str">
        <f ca="1">IFERROR(__xludf.DUMMYFUNCTION("""COMPUTED_VALUE"""),"")</f>
        <v/>
      </c>
      <c r="C122" t="str">
        <f ca="1">IFERROR(__xludf.DUMMYFUNCTION("""COMPUTED_VALUE"""),"")</f>
        <v/>
      </c>
    </row>
    <row r="123" spans="1:3" ht="15" customHeight="1">
      <c r="A123" s="212" t="str">
        <f ca="1">IFERROR(__xludf.DUMMYFUNCTION("""COMPUTED_VALUE"""),"")</f>
        <v/>
      </c>
      <c r="B123" t="str">
        <f ca="1">IFERROR(__xludf.DUMMYFUNCTION("""COMPUTED_VALUE"""),"")</f>
        <v/>
      </c>
      <c r="C123" t="str">
        <f ca="1">IFERROR(__xludf.DUMMYFUNCTION("""COMPUTED_VALUE"""),"")</f>
        <v/>
      </c>
    </row>
    <row r="124" spans="1:3" ht="15" customHeight="1">
      <c r="A124" s="212" t="str">
        <f ca="1">IFERROR(__xludf.DUMMYFUNCTION("""COMPUTED_VALUE"""),"")</f>
        <v/>
      </c>
      <c r="B124" t="str">
        <f ca="1">IFERROR(__xludf.DUMMYFUNCTION("""COMPUTED_VALUE"""),"")</f>
        <v/>
      </c>
      <c r="C124" t="str">
        <f ca="1">IFERROR(__xludf.DUMMYFUNCTION("""COMPUTED_VALUE"""),"")</f>
        <v/>
      </c>
    </row>
    <row r="125" spans="1:3" ht="15" customHeight="1">
      <c r="A125" s="212" t="str">
        <f ca="1">IFERROR(__xludf.DUMMYFUNCTION("""COMPUTED_VALUE"""),"")</f>
        <v/>
      </c>
      <c r="B125" t="str">
        <f ca="1">IFERROR(__xludf.DUMMYFUNCTION("""COMPUTED_VALUE"""),"")</f>
        <v/>
      </c>
      <c r="C125" t="str">
        <f ca="1">IFERROR(__xludf.DUMMYFUNCTION("""COMPUTED_VALUE"""),"")</f>
        <v/>
      </c>
    </row>
    <row r="126" spans="1:3" ht="15" customHeight="1">
      <c r="A126" s="212" t="str">
        <f ca="1">IFERROR(__xludf.DUMMYFUNCTION("""COMPUTED_VALUE"""),"")</f>
        <v/>
      </c>
      <c r="B126" t="str">
        <f ca="1">IFERROR(__xludf.DUMMYFUNCTION("""COMPUTED_VALUE"""),"")</f>
        <v/>
      </c>
      <c r="C126" t="str">
        <f ca="1">IFERROR(__xludf.DUMMYFUNCTION("""COMPUTED_VALUE"""),"")</f>
        <v/>
      </c>
    </row>
    <row r="127" spans="1:3" ht="15" customHeight="1">
      <c r="A127" s="212" t="str">
        <f ca="1">IFERROR(__xludf.DUMMYFUNCTION("""COMPUTED_VALUE"""),"")</f>
        <v/>
      </c>
      <c r="B127" t="str">
        <f ca="1">IFERROR(__xludf.DUMMYFUNCTION("""COMPUTED_VALUE"""),"")</f>
        <v/>
      </c>
      <c r="C127" t="str">
        <f ca="1">IFERROR(__xludf.DUMMYFUNCTION("""COMPUTED_VALUE"""),"")</f>
        <v/>
      </c>
    </row>
    <row r="128" spans="1:3" ht="15" customHeight="1">
      <c r="A128" s="212" t="str">
        <f ca="1">IFERROR(__xludf.DUMMYFUNCTION("""COMPUTED_VALUE"""),"")</f>
        <v/>
      </c>
      <c r="B128" t="str">
        <f ca="1">IFERROR(__xludf.DUMMYFUNCTION("""COMPUTED_VALUE"""),"")</f>
        <v/>
      </c>
      <c r="C128" t="str">
        <f ca="1">IFERROR(__xludf.DUMMYFUNCTION("""COMPUTED_VALUE"""),"")</f>
        <v/>
      </c>
    </row>
    <row r="129" spans="1:3" ht="15" customHeight="1">
      <c r="A129" s="212" t="str">
        <f ca="1">IFERROR(__xludf.DUMMYFUNCTION("""COMPUTED_VALUE"""),"")</f>
        <v/>
      </c>
      <c r="B129" t="str">
        <f ca="1">IFERROR(__xludf.DUMMYFUNCTION("""COMPUTED_VALUE"""),"")</f>
        <v/>
      </c>
      <c r="C129" t="str">
        <f ca="1">IFERROR(__xludf.DUMMYFUNCTION("""COMPUTED_VALUE"""),"")</f>
        <v/>
      </c>
    </row>
    <row r="130" spans="1:3" ht="15" customHeight="1">
      <c r="A130" s="212" t="str">
        <f ca="1">IFERROR(__xludf.DUMMYFUNCTION("""COMPUTED_VALUE"""),"")</f>
        <v/>
      </c>
      <c r="B130" t="str">
        <f ca="1">IFERROR(__xludf.DUMMYFUNCTION("""COMPUTED_VALUE"""),"")</f>
        <v/>
      </c>
      <c r="C130" t="str">
        <f ca="1">IFERROR(__xludf.DUMMYFUNCTION("""COMPUTED_VALUE"""),"")</f>
        <v/>
      </c>
    </row>
    <row r="131" spans="1:3" ht="15" customHeight="1">
      <c r="A131" s="212" t="str">
        <f ca="1">IFERROR(__xludf.DUMMYFUNCTION("""COMPUTED_VALUE"""),"")</f>
        <v/>
      </c>
      <c r="B131" t="str">
        <f ca="1">IFERROR(__xludf.DUMMYFUNCTION("""COMPUTED_VALUE"""),"")</f>
        <v/>
      </c>
      <c r="C131" t="str">
        <f ca="1">IFERROR(__xludf.DUMMYFUNCTION("""COMPUTED_VALUE"""),"")</f>
        <v/>
      </c>
    </row>
    <row r="132" spans="1:3" ht="15" customHeight="1">
      <c r="A132" s="212" t="str">
        <f ca="1">IFERROR(__xludf.DUMMYFUNCTION("""COMPUTED_VALUE"""),"")</f>
        <v/>
      </c>
      <c r="B132" t="str">
        <f ca="1">IFERROR(__xludf.DUMMYFUNCTION("""COMPUTED_VALUE"""),"")</f>
        <v/>
      </c>
      <c r="C132" t="str">
        <f ca="1">IFERROR(__xludf.DUMMYFUNCTION("""COMPUTED_VALUE"""),"")</f>
        <v/>
      </c>
    </row>
    <row r="133" spans="1:3" ht="15" customHeight="1">
      <c r="A133" s="212" t="str">
        <f ca="1">IFERROR(__xludf.DUMMYFUNCTION("""COMPUTED_VALUE"""),"")</f>
        <v/>
      </c>
      <c r="B133" t="str">
        <f ca="1">IFERROR(__xludf.DUMMYFUNCTION("""COMPUTED_VALUE"""),"")</f>
        <v/>
      </c>
      <c r="C133" t="str">
        <f ca="1">IFERROR(__xludf.DUMMYFUNCTION("""COMPUTED_VALUE"""),"")</f>
        <v/>
      </c>
    </row>
    <row r="134" spans="1:3" ht="15" customHeight="1">
      <c r="A134" s="212" t="str">
        <f ca="1">IFERROR(__xludf.DUMMYFUNCTION("""COMPUTED_VALUE"""),"")</f>
        <v/>
      </c>
      <c r="B134" t="str">
        <f ca="1">IFERROR(__xludf.DUMMYFUNCTION("""COMPUTED_VALUE"""),"")</f>
        <v/>
      </c>
      <c r="C134" t="str">
        <f ca="1">IFERROR(__xludf.DUMMYFUNCTION("""COMPUTED_VALUE"""),"")</f>
        <v/>
      </c>
    </row>
    <row r="135" spans="1:3" ht="15" customHeight="1">
      <c r="A135" s="212" t="str">
        <f ca="1">IFERROR(__xludf.DUMMYFUNCTION("""COMPUTED_VALUE"""),"")</f>
        <v/>
      </c>
      <c r="B135" t="str">
        <f ca="1">IFERROR(__xludf.DUMMYFUNCTION("""COMPUTED_VALUE"""),"")</f>
        <v/>
      </c>
      <c r="C135" t="str">
        <f ca="1">IFERROR(__xludf.DUMMYFUNCTION("""COMPUTED_VALUE"""),"")</f>
        <v/>
      </c>
    </row>
    <row r="136" spans="1:3" ht="15" customHeight="1">
      <c r="A136" s="212" t="str">
        <f ca="1">IFERROR(__xludf.DUMMYFUNCTION("""COMPUTED_VALUE"""),"")</f>
        <v/>
      </c>
      <c r="B136" t="str">
        <f ca="1">IFERROR(__xludf.DUMMYFUNCTION("""COMPUTED_VALUE"""),"")</f>
        <v/>
      </c>
      <c r="C136" t="str">
        <f ca="1">IFERROR(__xludf.DUMMYFUNCTION("""COMPUTED_VALUE"""),"")</f>
        <v/>
      </c>
    </row>
    <row r="137" spans="1:3" ht="15" customHeight="1">
      <c r="A137" s="212" t="str">
        <f ca="1">IFERROR(__xludf.DUMMYFUNCTION("""COMPUTED_VALUE"""),"")</f>
        <v/>
      </c>
      <c r="B137" t="str">
        <f ca="1">IFERROR(__xludf.DUMMYFUNCTION("""COMPUTED_VALUE"""),"")</f>
        <v/>
      </c>
      <c r="C137" t="str">
        <f ca="1">IFERROR(__xludf.DUMMYFUNCTION("""COMPUTED_VALUE"""),"")</f>
        <v/>
      </c>
    </row>
    <row r="138" spans="1:3" ht="15" customHeight="1">
      <c r="A138" s="212" t="str">
        <f ca="1">IFERROR(__xludf.DUMMYFUNCTION("""COMPUTED_VALUE"""),"")</f>
        <v/>
      </c>
      <c r="B138" t="str">
        <f ca="1">IFERROR(__xludf.DUMMYFUNCTION("""COMPUTED_VALUE"""),"")</f>
        <v/>
      </c>
      <c r="C138" t="str">
        <f ca="1">IFERROR(__xludf.DUMMYFUNCTION("""COMPUTED_VALUE"""),"")</f>
        <v/>
      </c>
    </row>
    <row r="139" spans="1:3" ht="15" customHeight="1">
      <c r="A139" s="212" t="str">
        <f ca="1">IFERROR(__xludf.DUMMYFUNCTION("""COMPUTED_VALUE"""),"")</f>
        <v/>
      </c>
      <c r="B139" t="str">
        <f ca="1">IFERROR(__xludf.DUMMYFUNCTION("""COMPUTED_VALUE"""),"")</f>
        <v/>
      </c>
      <c r="C139" t="str">
        <f ca="1">IFERROR(__xludf.DUMMYFUNCTION("""COMPUTED_VALUE"""),"")</f>
        <v/>
      </c>
    </row>
    <row r="140" spans="1:3" ht="15" customHeight="1">
      <c r="A140" s="212" t="str">
        <f ca="1">IFERROR(__xludf.DUMMYFUNCTION("""COMPUTED_VALUE"""),"")</f>
        <v/>
      </c>
      <c r="B140" t="str">
        <f ca="1">IFERROR(__xludf.DUMMYFUNCTION("""COMPUTED_VALUE"""),"")</f>
        <v/>
      </c>
      <c r="C140" t="str">
        <f ca="1">IFERROR(__xludf.DUMMYFUNCTION("""COMPUTED_VALUE"""),"")</f>
        <v/>
      </c>
    </row>
    <row r="141" spans="1:3" ht="15" customHeight="1">
      <c r="A141" s="212" t="str">
        <f ca="1">IFERROR(__xludf.DUMMYFUNCTION("""COMPUTED_VALUE"""),"")</f>
        <v/>
      </c>
      <c r="B141" t="str">
        <f ca="1">IFERROR(__xludf.DUMMYFUNCTION("""COMPUTED_VALUE"""),"")</f>
        <v/>
      </c>
      <c r="C141" t="str">
        <f ca="1">IFERROR(__xludf.DUMMYFUNCTION("""COMPUTED_VALUE"""),"")</f>
        <v/>
      </c>
    </row>
    <row r="142" spans="1:3" ht="15" customHeight="1">
      <c r="A142" s="212" t="str">
        <f ca="1">IFERROR(__xludf.DUMMYFUNCTION("""COMPUTED_VALUE"""),"")</f>
        <v/>
      </c>
      <c r="B142" t="str">
        <f ca="1">IFERROR(__xludf.DUMMYFUNCTION("""COMPUTED_VALUE"""),"")</f>
        <v/>
      </c>
      <c r="C142" t="str">
        <f ca="1">IFERROR(__xludf.DUMMYFUNCTION("""COMPUTED_VALUE"""),"")</f>
        <v/>
      </c>
    </row>
    <row r="143" spans="1:3" ht="15" customHeight="1">
      <c r="A143" s="212" t="str">
        <f ca="1">IFERROR(__xludf.DUMMYFUNCTION("""COMPUTED_VALUE"""),"")</f>
        <v/>
      </c>
      <c r="B143" t="str">
        <f ca="1">IFERROR(__xludf.DUMMYFUNCTION("""COMPUTED_VALUE"""),"")</f>
        <v/>
      </c>
      <c r="C143" t="str">
        <f ca="1">IFERROR(__xludf.DUMMYFUNCTION("""COMPUTED_VALUE"""),"")</f>
        <v/>
      </c>
    </row>
    <row r="144" spans="1:3" ht="15" customHeight="1">
      <c r="A144" s="212" t="str">
        <f ca="1">IFERROR(__xludf.DUMMYFUNCTION("""COMPUTED_VALUE"""),"")</f>
        <v/>
      </c>
      <c r="B144" t="str">
        <f ca="1">IFERROR(__xludf.DUMMYFUNCTION("""COMPUTED_VALUE"""),"")</f>
        <v/>
      </c>
      <c r="C144" t="str">
        <f ca="1">IFERROR(__xludf.DUMMYFUNCTION("""COMPUTED_VALUE"""),"")</f>
        <v/>
      </c>
    </row>
    <row r="145" spans="1:3" ht="15" customHeight="1">
      <c r="A145" s="212" t="str">
        <f ca="1">IFERROR(__xludf.DUMMYFUNCTION("""COMPUTED_VALUE"""),"")</f>
        <v/>
      </c>
      <c r="B145" t="str">
        <f ca="1">IFERROR(__xludf.DUMMYFUNCTION("""COMPUTED_VALUE"""),"")</f>
        <v/>
      </c>
      <c r="C145" t="str">
        <f ca="1">IFERROR(__xludf.DUMMYFUNCTION("""COMPUTED_VALUE"""),"")</f>
        <v/>
      </c>
    </row>
    <row r="146" spans="1:3" ht="15" customHeight="1">
      <c r="A146" s="212" t="str">
        <f ca="1">IFERROR(__xludf.DUMMYFUNCTION("""COMPUTED_VALUE"""),"")</f>
        <v/>
      </c>
      <c r="B146" t="str">
        <f ca="1">IFERROR(__xludf.DUMMYFUNCTION("""COMPUTED_VALUE"""),"")</f>
        <v/>
      </c>
      <c r="C146" t="str">
        <f ca="1">IFERROR(__xludf.DUMMYFUNCTION("""COMPUTED_VALUE"""),"")</f>
        <v/>
      </c>
    </row>
    <row r="147" spans="1:3" ht="15" customHeight="1">
      <c r="A147" s="212" t="str">
        <f ca="1">IFERROR(__xludf.DUMMYFUNCTION("""COMPUTED_VALUE"""),"")</f>
        <v/>
      </c>
      <c r="B147" t="str">
        <f ca="1">IFERROR(__xludf.DUMMYFUNCTION("""COMPUTED_VALUE"""),"")</f>
        <v/>
      </c>
      <c r="C147" t="str">
        <f ca="1">IFERROR(__xludf.DUMMYFUNCTION("""COMPUTED_VALUE"""),"")</f>
        <v/>
      </c>
    </row>
    <row r="148" spans="1:3" ht="15" customHeight="1">
      <c r="A148" s="212" t="str">
        <f ca="1">IFERROR(__xludf.DUMMYFUNCTION("""COMPUTED_VALUE"""),"")</f>
        <v/>
      </c>
      <c r="B148" t="str">
        <f ca="1">IFERROR(__xludf.DUMMYFUNCTION("""COMPUTED_VALUE"""),"")</f>
        <v/>
      </c>
      <c r="C148" t="str">
        <f ca="1">IFERROR(__xludf.DUMMYFUNCTION("""COMPUTED_VALUE"""),"")</f>
        <v/>
      </c>
    </row>
    <row r="149" spans="1:3" ht="15" customHeight="1">
      <c r="A149" s="212" t="str">
        <f ca="1">IFERROR(__xludf.DUMMYFUNCTION("""COMPUTED_VALUE"""),"")</f>
        <v/>
      </c>
      <c r="B149" t="str">
        <f ca="1">IFERROR(__xludf.DUMMYFUNCTION("""COMPUTED_VALUE"""),"")</f>
        <v/>
      </c>
      <c r="C149" t="str">
        <f ca="1">IFERROR(__xludf.DUMMYFUNCTION("""COMPUTED_VALUE"""),"")</f>
        <v/>
      </c>
    </row>
    <row r="150" spans="1:3" ht="15" customHeight="1">
      <c r="A150" s="212" t="str">
        <f ca="1">IFERROR(__xludf.DUMMYFUNCTION("""COMPUTED_VALUE"""),"")</f>
        <v/>
      </c>
      <c r="B150" t="str">
        <f ca="1">IFERROR(__xludf.DUMMYFUNCTION("""COMPUTED_VALUE"""),"")</f>
        <v/>
      </c>
      <c r="C150" t="str">
        <f ca="1">IFERROR(__xludf.DUMMYFUNCTION("""COMPUTED_VALUE"""),"")</f>
        <v/>
      </c>
    </row>
    <row r="151" spans="1:3" ht="15" customHeight="1">
      <c r="A151" s="212" t="str">
        <f ca="1">IFERROR(__xludf.DUMMYFUNCTION("""COMPUTED_VALUE"""),"")</f>
        <v/>
      </c>
      <c r="B151" t="str">
        <f ca="1">IFERROR(__xludf.DUMMYFUNCTION("""COMPUTED_VALUE"""),"")</f>
        <v/>
      </c>
      <c r="C151" t="str">
        <f ca="1">IFERROR(__xludf.DUMMYFUNCTION("""COMPUTED_VALUE"""),"")</f>
        <v/>
      </c>
    </row>
    <row r="152" spans="1:3" ht="15" customHeight="1">
      <c r="A152" s="212" t="str">
        <f ca="1">IFERROR(__xludf.DUMMYFUNCTION("""COMPUTED_VALUE"""),"")</f>
        <v/>
      </c>
      <c r="B152" t="str">
        <f ca="1">IFERROR(__xludf.DUMMYFUNCTION("""COMPUTED_VALUE"""),"")</f>
        <v/>
      </c>
      <c r="C152" t="str">
        <f ca="1">IFERROR(__xludf.DUMMYFUNCTION("""COMPUTED_VALUE"""),"")</f>
        <v/>
      </c>
    </row>
    <row r="153" spans="1:3" ht="15" customHeight="1">
      <c r="A153" s="212" t="str">
        <f ca="1">IFERROR(__xludf.DUMMYFUNCTION("""COMPUTED_VALUE"""),"")</f>
        <v/>
      </c>
      <c r="B153" t="str">
        <f ca="1">IFERROR(__xludf.DUMMYFUNCTION("""COMPUTED_VALUE"""),"")</f>
        <v/>
      </c>
      <c r="C153" t="str">
        <f ca="1">IFERROR(__xludf.DUMMYFUNCTION("""COMPUTED_VALUE"""),"")</f>
        <v/>
      </c>
    </row>
    <row r="154" spans="1:3" ht="15" customHeight="1">
      <c r="A154" s="212" t="str">
        <f ca="1">IFERROR(__xludf.DUMMYFUNCTION("""COMPUTED_VALUE"""),"")</f>
        <v/>
      </c>
      <c r="B154" t="str">
        <f ca="1">IFERROR(__xludf.DUMMYFUNCTION("""COMPUTED_VALUE"""),"")</f>
        <v/>
      </c>
      <c r="C154" t="str">
        <f ca="1">IFERROR(__xludf.DUMMYFUNCTION("""COMPUTED_VALUE"""),"")</f>
        <v/>
      </c>
    </row>
    <row r="155" spans="1:3" ht="15" customHeight="1">
      <c r="A155" s="212" t="str">
        <f ca="1">IFERROR(__xludf.DUMMYFUNCTION("""COMPUTED_VALUE"""),"")</f>
        <v/>
      </c>
      <c r="B155" t="str">
        <f ca="1">IFERROR(__xludf.DUMMYFUNCTION("""COMPUTED_VALUE"""),"")</f>
        <v/>
      </c>
      <c r="C155" t="str">
        <f ca="1">IFERROR(__xludf.DUMMYFUNCTION("""COMPUTED_VALUE"""),"")</f>
        <v/>
      </c>
    </row>
    <row r="156" spans="1:3" ht="15" customHeight="1">
      <c r="A156" s="212" t="str">
        <f ca="1">IFERROR(__xludf.DUMMYFUNCTION("""COMPUTED_VALUE"""),"")</f>
        <v/>
      </c>
      <c r="B156" t="str">
        <f ca="1">IFERROR(__xludf.DUMMYFUNCTION("""COMPUTED_VALUE"""),"")</f>
        <v/>
      </c>
      <c r="C156" t="str">
        <f ca="1">IFERROR(__xludf.DUMMYFUNCTION("""COMPUTED_VALUE"""),"")</f>
        <v/>
      </c>
    </row>
    <row r="157" spans="1:3" ht="15" customHeight="1">
      <c r="A157" s="212" t="str">
        <f ca="1">IFERROR(__xludf.DUMMYFUNCTION("""COMPUTED_VALUE"""),"")</f>
        <v/>
      </c>
      <c r="B157" t="str">
        <f ca="1">IFERROR(__xludf.DUMMYFUNCTION("""COMPUTED_VALUE"""),"")</f>
        <v/>
      </c>
      <c r="C157" t="str">
        <f ca="1">IFERROR(__xludf.DUMMYFUNCTION("""COMPUTED_VALUE"""),"")</f>
        <v/>
      </c>
    </row>
    <row r="158" spans="1:3" ht="15" customHeight="1">
      <c r="A158" s="212" t="str">
        <f ca="1">IFERROR(__xludf.DUMMYFUNCTION("""COMPUTED_VALUE"""),"")</f>
        <v/>
      </c>
      <c r="B158" t="str">
        <f ca="1">IFERROR(__xludf.DUMMYFUNCTION("""COMPUTED_VALUE"""),"")</f>
        <v/>
      </c>
      <c r="C158" t="str">
        <f ca="1">IFERROR(__xludf.DUMMYFUNCTION("""COMPUTED_VALUE"""),"")</f>
        <v/>
      </c>
    </row>
    <row r="159" spans="1:3" ht="15" customHeight="1">
      <c r="A159" s="212" t="str">
        <f ca="1">IFERROR(__xludf.DUMMYFUNCTION("""COMPUTED_VALUE"""),"")</f>
        <v/>
      </c>
      <c r="B159" t="str">
        <f ca="1">IFERROR(__xludf.DUMMYFUNCTION("""COMPUTED_VALUE"""),"")</f>
        <v/>
      </c>
      <c r="C159" t="str">
        <f ca="1">IFERROR(__xludf.DUMMYFUNCTION("""COMPUTED_VALUE"""),"")</f>
        <v/>
      </c>
    </row>
    <row r="160" spans="1:3" ht="15" customHeight="1">
      <c r="A160" s="212" t="str">
        <f ca="1">IFERROR(__xludf.DUMMYFUNCTION("""COMPUTED_VALUE"""),"")</f>
        <v/>
      </c>
      <c r="B160" t="str">
        <f ca="1">IFERROR(__xludf.DUMMYFUNCTION("""COMPUTED_VALUE"""),"")</f>
        <v/>
      </c>
      <c r="C160" t="str">
        <f ca="1">IFERROR(__xludf.DUMMYFUNCTION("""COMPUTED_VALUE"""),"")</f>
        <v/>
      </c>
    </row>
    <row r="161" spans="1:3" ht="15" customHeight="1">
      <c r="A161" s="212" t="str">
        <f ca="1">IFERROR(__xludf.DUMMYFUNCTION("""COMPUTED_VALUE"""),"")</f>
        <v/>
      </c>
      <c r="B161" t="str">
        <f ca="1">IFERROR(__xludf.DUMMYFUNCTION("""COMPUTED_VALUE"""),"")</f>
        <v/>
      </c>
      <c r="C161" t="str">
        <f ca="1">IFERROR(__xludf.DUMMYFUNCTION("""COMPUTED_VALUE"""),"")</f>
        <v/>
      </c>
    </row>
    <row r="162" spans="1:3" ht="15" customHeight="1">
      <c r="A162" s="212" t="str">
        <f ca="1">IFERROR(__xludf.DUMMYFUNCTION("""COMPUTED_VALUE"""),"")</f>
        <v/>
      </c>
      <c r="B162" t="str">
        <f ca="1">IFERROR(__xludf.DUMMYFUNCTION("""COMPUTED_VALUE"""),"")</f>
        <v/>
      </c>
      <c r="C162" t="str">
        <f ca="1">IFERROR(__xludf.DUMMYFUNCTION("""COMPUTED_VALUE"""),"")</f>
        <v/>
      </c>
    </row>
    <row r="163" spans="1:3" ht="15" customHeight="1">
      <c r="A163" s="212" t="str">
        <f ca="1">IFERROR(__xludf.DUMMYFUNCTION("""COMPUTED_VALUE"""),"")</f>
        <v/>
      </c>
      <c r="B163" t="str">
        <f ca="1">IFERROR(__xludf.DUMMYFUNCTION("""COMPUTED_VALUE"""),"")</f>
        <v/>
      </c>
      <c r="C163" t="str">
        <f ca="1">IFERROR(__xludf.DUMMYFUNCTION("""COMPUTED_VALUE"""),"")</f>
        <v/>
      </c>
    </row>
    <row r="164" spans="1:3" ht="15" customHeight="1">
      <c r="A164" s="212" t="str">
        <f ca="1">IFERROR(__xludf.DUMMYFUNCTION("""COMPUTED_VALUE"""),"")</f>
        <v/>
      </c>
      <c r="B164" t="str">
        <f ca="1">IFERROR(__xludf.DUMMYFUNCTION("""COMPUTED_VALUE"""),"")</f>
        <v/>
      </c>
      <c r="C164" t="str">
        <f ca="1">IFERROR(__xludf.DUMMYFUNCTION("""COMPUTED_VALUE"""),"")</f>
        <v/>
      </c>
    </row>
    <row r="165" spans="1:3" ht="15" customHeight="1">
      <c r="A165" s="212" t="str">
        <f ca="1">IFERROR(__xludf.DUMMYFUNCTION("""COMPUTED_VALUE"""),"")</f>
        <v/>
      </c>
      <c r="B165" t="str">
        <f ca="1">IFERROR(__xludf.DUMMYFUNCTION("""COMPUTED_VALUE"""),"")</f>
        <v/>
      </c>
      <c r="C165" t="str">
        <f ca="1">IFERROR(__xludf.DUMMYFUNCTION("""COMPUTED_VALUE"""),"")</f>
        <v/>
      </c>
    </row>
    <row r="166" spans="1:3" ht="15" customHeight="1">
      <c r="A166" s="212" t="str">
        <f ca="1">IFERROR(__xludf.DUMMYFUNCTION("""COMPUTED_VALUE"""),"")</f>
        <v/>
      </c>
      <c r="B166" t="str">
        <f ca="1">IFERROR(__xludf.DUMMYFUNCTION("""COMPUTED_VALUE"""),"")</f>
        <v/>
      </c>
      <c r="C166" t="str">
        <f ca="1">IFERROR(__xludf.DUMMYFUNCTION("""COMPUTED_VALUE"""),"")</f>
        <v/>
      </c>
    </row>
    <row r="167" spans="1:3" ht="15" customHeight="1">
      <c r="A167" s="212" t="str">
        <f ca="1">IFERROR(__xludf.DUMMYFUNCTION("""COMPUTED_VALUE"""),"")</f>
        <v/>
      </c>
      <c r="B167" t="str">
        <f ca="1">IFERROR(__xludf.DUMMYFUNCTION("""COMPUTED_VALUE"""),"")</f>
        <v/>
      </c>
      <c r="C167" t="str">
        <f ca="1">IFERROR(__xludf.DUMMYFUNCTION("""COMPUTED_VALUE"""),"")</f>
        <v/>
      </c>
    </row>
    <row r="168" spans="1:3" ht="15" customHeight="1">
      <c r="A168" s="212" t="str">
        <f ca="1">IFERROR(__xludf.DUMMYFUNCTION("""COMPUTED_VALUE"""),"")</f>
        <v/>
      </c>
      <c r="B168" t="str">
        <f ca="1">IFERROR(__xludf.DUMMYFUNCTION("""COMPUTED_VALUE"""),"")</f>
        <v/>
      </c>
      <c r="C168" t="str">
        <f ca="1">IFERROR(__xludf.DUMMYFUNCTION("""COMPUTED_VALUE"""),"")</f>
        <v/>
      </c>
    </row>
    <row r="169" spans="1:3" ht="15" customHeight="1">
      <c r="A169" s="212" t="str">
        <f ca="1">IFERROR(__xludf.DUMMYFUNCTION("""COMPUTED_VALUE"""),"")</f>
        <v/>
      </c>
      <c r="B169" t="str">
        <f ca="1">IFERROR(__xludf.DUMMYFUNCTION("""COMPUTED_VALUE"""),"")</f>
        <v/>
      </c>
      <c r="C169" t="str">
        <f ca="1">IFERROR(__xludf.DUMMYFUNCTION("""COMPUTED_VALUE"""),"")</f>
        <v/>
      </c>
    </row>
    <row r="170" spans="1:3" ht="15" customHeight="1">
      <c r="A170" s="212" t="str">
        <f ca="1">IFERROR(__xludf.DUMMYFUNCTION("""COMPUTED_VALUE"""),"")</f>
        <v/>
      </c>
      <c r="B170" t="str">
        <f ca="1">IFERROR(__xludf.DUMMYFUNCTION("""COMPUTED_VALUE"""),"")</f>
        <v/>
      </c>
      <c r="C170" t="str">
        <f ca="1">IFERROR(__xludf.DUMMYFUNCTION("""COMPUTED_VALUE"""),"")</f>
        <v/>
      </c>
    </row>
    <row r="171" spans="1:3" ht="15" customHeight="1">
      <c r="A171" s="212" t="str">
        <f ca="1">IFERROR(__xludf.DUMMYFUNCTION("""COMPUTED_VALUE"""),"")</f>
        <v/>
      </c>
      <c r="B171" t="str">
        <f ca="1">IFERROR(__xludf.DUMMYFUNCTION("""COMPUTED_VALUE"""),"")</f>
        <v/>
      </c>
      <c r="C171" t="str">
        <f ca="1">IFERROR(__xludf.DUMMYFUNCTION("""COMPUTED_VALUE"""),"")</f>
        <v/>
      </c>
    </row>
    <row r="172" spans="1:3" ht="15" customHeight="1">
      <c r="A172" s="212" t="str">
        <f ca="1">IFERROR(__xludf.DUMMYFUNCTION("""COMPUTED_VALUE"""),"")</f>
        <v/>
      </c>
      <c r="B172" t="str">
        <f ca="1">IFERROR(__xludf.DUMMYFUNCTION("""COMPUTED_VALUE"""),"")</f>
        <v/>
      </c>
      <c r="C172" t="str">
        <f ca="1">IFERROR(__xludf.DUMMYFUNCTION("""COMPUTED_VALUE"""),"")</f>
        <v/>
      </c>
    </row>
    <row r="173" spans="1:3" ht="15" customHeight="1">
      <c r="A173" s="212" t="str">
        <f ca="1">IFERROR(__xludf.DUMMYFUNCTION("""COMPUTED_VALUE"""),"")</f>
        <v/>
      </c>
      <c r="B173" t="str">
        <f ca="1">IFERROR(__xludf.DUMMYFUNCTION("""COMPUTED_VALUE"""),"")</f>
        <v/>
      </c>
      <c r="C173" t="str">
        <f ca="1">IFERROR(__xludf.DUMMYFUNCTION("""COMPUTED_VALUE"""),"")</f>
        <v/>
      </c>
    </row>
    <row r="174" spans="1:3" ht="15" customHeight="1">
      <c r="A174" s="212" t="str">
        <f ca="1">IFERROR(__xludf.DUMMYFUNCTION("""COMPUTED_VALUE"""),"")</f>
        <v/>
      </c>
      <c r="B174" t="str">
        <f ca="1">IFERROR(__xludf.DUMMYFUNCTION("""COMPUTED_VALUE"""),"")</f>
        <v/>
      </c>
      <c r="C174" t="str">
        <f ca="1">IFERROR(__xludf.DUMMYFUNCTION("""COMPUTED_VALUE"""),"")</f>
        <v/>
      </c>
    </row>
    <row r="175" spans="1:3" ht="15" customHeight="1">
      <c r="A175" s="212" t="str">
        <f ca="1">IFERROR(__xludf.DUMMYFUNCTION("""COMPUTED_VALUE"""),"")</f>
        <v/>
      </c>
      <c r="B175" t="str">
        <f ca="1">IFERROR(__xludf.DUMMYFUNCTION("""COMPUTED_VALUE"""),"")</f>
        <v/>
      </c>
      <c r="C175" t="str">
        <f ca="1">IFERROR(__xludf.DUMMYFUNCTION("""COMPUTED_VALUE"""),"")</f>
        <v/>
      </c>
    </row>
    <row r="176" spans="1:3" ht="15" customHeight="1">
      <c r="A176" s="212" t="str">
        <f ca="1">IFERROR(__xludf.DUMMYFUNCTION("""COMPUTED_VALUE"""),"")</f>
        <v/>
      </c>
      <c r="B176" t="str">
        <f ca="1">IFERROR(__xludf.DUMMYFUNCTION("""COMPUTED_VALUE"""),"")</f>
        <v/>
      </c>
      <c r="C176" t="str">
        <f ca="1">IFERROR(__xludf.DUMMYFUNCTION("""COMPUTED_VALUE"""),"")</f>
        <v/>
      </c>
    </row>
    <row r="177" spans="1:3" ht="15" customHeight="1">
      <c r="A177" s="212" t="str">
        <f ca="1">IFERROR(__xludf.DUMMYFUNCTION("""COMPUTED_VALUE"""),"")</f>
        <v/>
      </c>
      <c r="B177" t="str">
        <f ca="1">IFERROR(__xludf.DUMMYFUNCTION("""COMPUTED_VALUE"""),"")</f>
        <v/>
      </c>
      <c r="C177" t="str">
        <f ca="1">IFERROR(__xludf.DUMMYFUNCTION("""COMPUTED_VALUE"""),"")</f>
        <v/>
      </c>
    </row>
    <row r="178" spans="1:3" ht="15" customHeight="1">
      <c r="A178" s="212" t="str">
        <f ca="1">IFERROR(__xludf.DUMMYFUNCTION("""COMPUTED_VALUE"""),"")</f>
        <v/>
      </c>
      <c r="B178" t="str">
        <f ca="1">IFERROR(__xludf.DUMMYFUNCTION("""COMPUTED_VALUE"""),"")</f>
        <v/>
      </c>
      <c r="C178" t="str">
        <f ca="1">IFERROR(__xludf.DUMMYFUNCTION("""COMPUTED_VALUE"""),"")</f>
        <v/>
      </c>
    </row>
    <row r="179" spans="1:3" ht="15" customHeight="1">
      <c r="A179" s="212" t="str">
        <f ca="1">IFERROR(__xludf.DUMMYFUNCTION("""COMPUTED_VALUE"""),"")</f>
        <v/>
      </c>
      <c r="B179" t="str">
        <f ca="1">IFERROR(__xludf.DUMMYFUNCTION("""COMPUTED_VALUE"""),"")</f>
        <v/>
      </c>
      <c r="C179" t="str">
        <f ca="1">IFERROR(__xludf.DUMMYFUNCTION("""COMPUTED_VALUE"""),"")</f>
        <v/>
      </c>
    </row>
    <row r="180" spans="1:3" ht="15" customHeight="1">
      <c r="A180" s="212" t="str">
        <f ca="1">IFERROR(__xludf.DUMMYFUNCTION("""COMPUTED_VALUE"""),"")</f>
        <v/>
      </c>
      <c r="B180" t="str">
        <f ca="1">IFERROR(__xludf.DUMMYFUNCTION("""COMPUTED_VALUE"""),"")</f>
        <v/>
      </c>
      <c r="C180" t="str">
        <f ca="1">IFERROR(__xludf.DUMMYFUNCTION("""COMPUTED_VALUE"""),"")</f>
        <v/>
      </c>
    </row>
    <row r="181" spans="1:3" ht="15" customHeight="1">
      <c r="A181" s="212" t="str">
        <f ca="1">IFERROR(__xludf.DUMMYFUNCTION("""COMPUTED_VALUE"""),"")</f>
        <v/>
      </c>
      <c r="B181" t="str">
        <f ca="1">IFERROR(__xludf.DUMMYFUNCTION("""COMPUTED_VALUE"""),"")</f>
        <v/>
      </c>
      <c r="C181" t="str">
        <f ca="1">IFERROR(__xludf.DUMMYFUNCTION("""COMPUTED_VALUE"""),"")</f>
        <v/>
      </c>
    </row>
    <row r="182" spans="1:3" ht="15" customHeight="1">
      <c r="A182" s="212" t="str">
        <f ca="1">IFERROR(__xludf.DUMMYFUNCTION("""COMPUTED_VALUE"""),"")</f>
        <v/>
      </c>
      <c r="B182" t="str">
        <f ca="1">IFERROR(__xludf.DUMMYFUNCTION("""COMPUTED_VALUE"""),"")</f>
        <v/>
      </c>
      <c r="C182" t="str">
        <f ca="1">IFERROR(__xludf.DUMMYFUNCTION("""COMPUTED_VALUE"""),"")</f>
        <v/>
      </c>
    </row>
    <row r="183" spans="1:3" ht="15" customHeight="1">
      <c r="A183" s="212" t="str">
        <f ca="1">IFERROR(__xludf.DUMMYFUNCTION("""COMPUTED_VALUE"""),"")</f>
        <v/>
      </c>
      <c r="B183" t="str">
        <f ca="1">IFERROR(__xludf.DUMMYFUNCTION("""COMPUTED_VALUE"""),"")</f>
        <v/>
      </c>
      <c r="C183" t="str">
        <f ca="1">IFERROR(__xludf.DUMMYFUNCTION("""COMPUTED_VALUE"""),"")</f>
        <v/>
      </c>
    </row>
    <row r="184" spans="1:3" ht="15" customHeight="1">
      <c r="A184" s="212" t="str">
        <f ca="1">IFERROR(__xludf.DUMMYFUNCTION("""COMPUTED_VALUE"""),"")</f>
        <v/>
      </c>
      <c r="B184" t="str">
        <f ca="1">IFERROR(__xludf.DUMMYFUNCTION("""COMPUTED_VALUE"""),"")</f>
        <v/>
      </c>
      <c r="C184" t="str">
        <f ca="1">IFERROR(__xludf.DUMMYFUNCTION("""COMPUTED_VALUE"""),"")</f>
        <v/>
      </c>
    </row>
    <row r="185" spans="1:3" ht="15" customHeight="1">
      <c r="A185" s="212" t="str">
        <f ca="1">IFERROR(__xludf.DUMMYFUNCTION("""COMPUTED_VALUE"""),"")</f>
        <v/>
      </c>
      <c r="B185" t="str">
        <f ca="1">IFERROR(__xludf.DUMMYFUNCTION("""COMPUTED_VALUE"""),"")</f>
        <v/>
      </c>
      <c r="C185" t="str">
        <f ca="1">IFERROR(__xludf.DUMMYFUNCTION("""COMPUTED_VALUE"""),"")</f>
        <v/>
      </c>
    </row>
    <row r="186" spans="1:3" ht="15" customHeight="1">
      <c r="A186" s="212" t="str">
        <f ca="1">IFERROR(__xludf.DUMMYFUNCTION("""COMPUTED_VALUE"""),"")</f>
        <v/>
      </c>
      <c r="B186" t="str">
        <f ca="1">IFERROR(__xludf.DUMMYFUNCTION("""COMPUTED_VALUE"""),"")</f>
        <v/>
      </c>
      <c r="C186" t="str">
        <f ca="1">IFERROR(__xludf.DUMMYFUNCTION("""COMPUTED_VALUE"""),"")</f>
        <v/>
      </c>
    </row>
    <row r="187" spans="1:3" ht="15" customHeight="1">
      <c r="A187" s="212" t="str">
        <f ca="1">IFERROR(__xludf.DUMMYFUNCTION("""COMPUTED_VALUE"""),"")</f>
        <v/>
      </c>
      <c r="B187" t="str">
        <f ca="1">IFERROR(__xludf.DUMMYFUNCTION("""COMPUTED_VALUE"""),"")</f>
        <v/>
      </c>
      <c r="C187" t="str">
        <f ca="1">IFERROR(__xludf.DUMMYFUNCTION("""COMPUTED_VALUE"""),"")</f>
        <v/>
      </c>
    </row>
    <row r="188" spans="1:3" ht="15" customHeight="1">
      <c r="A188" s="212" t="str">
        <f ca="1">IFERROR(__xludf.DUMMYFUNCTION("""COMPUTED_VALUE"""),"")</f>
        <v/>
      </c>
      <c r="B188" t="str">
        <f ca="1">IFERROR(__xludf.DUMMYFUNCTION("""COMPUTED_VALUE"""),"")</f>
        <v/>
      </c>
      <c r="C188" t="str">
        <f ca="1">IFERROR(__xludf.DUMMYFUNCTION("""COMPUTED_VALUE"""),"")</f>
        <v/>
      </c>
    </row>
    <row r="189" spans="1:3" ht="15" customHeight="1">
      <c r="A189" s="212" t="str">
        <f ca="1">IFERROR(__xludf.DUMMYFUNCTION("""COMPUTED_VALUE"""),"")</f>
        <v/>
      </c>
      <c r="B189" t="str">
        <f ca="1">IFERROR(__xludf.DUMMYFUNCTION("""COMPUTED_VALUE"""),"")</f>
        <v/>
      </c>
      <c r="C189" t="str">
        <f ca="1">IFERROR(__xludf.DUMMYFUNCTION("""COMPUTED_VALUE"""),"")</f>
        <v/>
      </c>
    </row>
    <row r="190" spans="1:3" ht="15" customHeight="1">
      <c r="A190" s="212" t="str">
        <f ca="1">IFERROR(__xludf.DUMMYFUNCTION("""COMPUTED_VALUE"""),"")</f>
        <v/>
      </c>
      <c r="B190" t="str">
        <f ca="1">IFERROR(__xludf.DUMMYFUNCTION("""COMPUTED_VALUE"""),"")</f>
        <v/>
      </c>
      <c r="C190" t="str">
        <f ca="1">IFERROR(__xludf.DUMMYFUNCTION("""COMPUTED_VALUE"""),"")</f>
        <v/>
      </c>
    </row>
    <row r="191" spans="1:3" ht="15" customHeight="1">
      <c r="A191" s="212" t="str">
        <f ca="1">IFERROR(__xludf.DUMMYFUNCTION("""COMPUTED_VALUE"""),"")</f>
        <v/>
      </c>
      <c r="B191" t="str">
        <f ca="1">IFERROR(__xludf.DUMMYFUNCTION("""COMPUTED_VALUE"""),"")</f>
        <v/>
      </c>
      <c r="C191" t="str">
        <f ca="1">IFERROR(__xludf.DUMMYFUNCTION("""COMPUTED_VALUE"""),"")</f>
        <v/>
      </c>
    </row>
    <row r="192" spans="1:3" ht="15" customHeight="1">
      <c r="A192" s="212" t="str">
        <f ca="1">IFERROR(__xludf.DUMMYFUNCTION("""COMPUTED_VALUE"""),"")</f>
        <v/>
      </c>
      <c r="B192" t="str">
        <f ca="1">IFERROR(__xludf.DUMMYFUNCTION("""COMPUTED_VALUE"""),"")</f>
        <v/>
      </c>
      <c r="C192" t="str">
        <f ca="1">IFERROR(__xludf.DUMMYFUNCTION("""COMPUTED_VALUE"""),"")</f>
        <v/>
      </c>
    </row>
    <row r="193" spans="1:3" ht="15" customHeight="1">
      <c r="A193" s="212" t="str">
        <f ca="1">IFERROR(__xludf.DUMMYFUNCTION("""COMPUTED_VALUE"""),"")</f>
        <v/>
      </c>
      <c r="B193" t="str">
        <f ca="1">IFERROR(__xludf.DUMMYFUNCTION("""COMPUTED_VALUE"""),"")</f>
        <v/>
      </c>
      <c r="C193" t="str">
        <f ca="1">IFERROR(__xludf.DUMMYFUNCTION("""COMPUTED_VALUE"""),"")</f>
        <v/>
      </c>
    </row>
    <row r="194" spans="1:3" ht="15" customHeight="1">
      <c r="A194" s="212" t="str">
        <f ca="1">IFERROR(__xludf.DUMMYFUNCTION("""COMPUTED_VALUE"""),"")</f>
        <v/>
      </c>
      <c r="B194" t="str">
        <f ca="1">IFERROR(__xludf.DUMMYFUNCTION("""COMPUTED_VALUE"""),"")</f>
        <v/>
      </c>
      <c r="C194" t="str">
        <f ca="1">IFERROR(__xludf.DUMMYFUNCTION("""COMPUTED_VALUE"""),"")</f>
        <v/>
      </c>
    </row>
    <row r="195" spans="1:3" ht="15" customHeight="1">
      <c r="A195" s="212" t="str">
        <f ca="1">IFERROR(__xludf.DUMMYFUNCTION("""COMPUTED_VALUE"""),"")</f>
        <v/>
      </c>
      <c r="B195" t="str">
        <f ca="1">IFERROR(__xludf.DUMMYFUNCTION("""COMPUTED_VALUE"""),"")</f>
        <v/>
      </c>
      <c r="C195" t="str">
        <f ca="1">IFERROR(__xludf.DUMMYFUNCTION("""COMPUTED_VALUE"""),"")</f>
        <v/>
      </c>
    </row>
    <row r="196" spans="1:3" ht="15" customHeight="1">
      <c r="A196" s="212" t="str">
        <f ca="1">IFERROR(__xludf.DUMMYFUNCTION("""COMPUTED_VALUE"""),"")</f>
        <v/>
      </c>
      <c r="B196" t="str">
        <f ca="1">IFERROR(__xludf.DUMMYFUNCTION("""COMPUTED_VALUE"""),"")</f>
        <v/>
      </c>
      <c r="C196" t="str">
        <f ca="1">IFERROR(__xludf.DUMMYFUNCTION("""COMPUTED_VALUE"""),"")</f>
        <v/>
      </c>
    </row>
    <row r="197" spans="1:3" ht="15" customHeight="1">
      <c r="A197" s="212" t="str">
        <f ca="1">IFERROR(__xludf.DUMMYFUNCTION("""COMPUTED_VALUE"""),"")</f>
        <v/>
      </c>
      <c r="B197" t="str">
        <f ca="1">IFERROR(__xludf.DUMMYFUNCTION("""COMPUTED_VALUE"""),"")</f>
        <v/>
      </c>
      <c r="C197" t="str">
        <f ca="1">IFERROR(__xludf.DUMMYFUNCTION("""COMPUTED_VALUE"""),"")</f>
        <v/>
      </c>
    </row>
    <row r="198" spans="1:3" ht="15" customHeight="1">
      <c r="A198" s="212" t="str">
        <f ca="1">IFERROR(__xludf.DUMMYFUNCTION("""COMPUTED_VALUE"""),"")</f>
        <v/>
      </c>
      <c r="B198" t="str">
        <f ca="1">IFERROR(__xludf.DUMMYFUNCTION("""COMPUTED_VALUE"""),"")</f>
        <v/>
      </c>
      <c r="C198" t="str">
        <f ca="1">IFERROR(__xludf.DUMMYFUNCTION("""COMPUTED_VALUE"""),"")</f>
        <v/>
      </c>
    </row>
    <row r="199" spans="1:3" ht="15" customHeight="1">
      <c r="A199" s="212" t="str">
        <f ca="1">IFERROR(__xludf.DUMMYFUNCTION("""COMPUTED_VALUE"""),"")</f>
        <v/>
      </c>
      <c r="B199" t="str">
        <f ca="1">IFERROR(__xludf.DUMMYFUNCTION("""COMPUTED_VALUE"""),"")</f>
        <v/>
      </c>
      <c r="C199" t="str">
        <f ca="1">IFERROR(__xludf.DUMMYFUNCTION("""COMPUTED_VALUE"""),"")</f>
        <v/>
      </c>
    </row>
    <row r="200" spans="1:3" ht="15" customHeight="1">
      <c r="A200" s="212" t="str">
        <f ca="1">IFERROR(__xludf.DUMMYFUNCTION("""COMPUTED_VALUE"""),"")</f>
        <v/>
      </c>
      <c r="B200" t="str">
        <f ca="1">IFERROR(__xludf.DUMMYFUNCTION("""COMPUTED_VALUE"""),"")</f>
        <v/>
      </c>
      <c r="C200" t="str">
        <f ca="1">IFERROR(__xludf.DUMMYFUNCTION("""COMPUTED_VALUE"""),"")</f>
        <v/>
      </c>
    </row>
    <row r="201" spans="1:3" ht="15" customHeight="1">
      <c r="A201" s="212" t="str">
        <f ca="1">IFERROR(__xludf.DUMMYFUNCTION("""COMPUTED_VALUE"""),"")</f>
        <v/>
      </c>
      <c r="B201" t="str">
        <f ca="1">IFERROR(__xludf.DUMMYFUNCTION("""COMPUTED_VALUE"""),"")</f>
        <v/>
      </c>
      <c r="C201" t="str">
        <f ca="1">IFERROR(__xludf.DUMMYFUNCTION("""COMPUTED_VALUE"""),"")</f>
        <v/>
      </c>
    </row>
    <row r="202" spans="1:3" ht="15" customHeight="1">
      <c r="A202" s="212" t="str">
        <f ca="1">IFERROR(__xludf.DUMMYFUNCTION("""COMPUTED_VALUE"""),"")</f>
        <v/>
      </c>
      <c r="B202" t="str">
        <f ca="1">IFERROR(__xludf.DUMMYFUNCTION("""COMPUTED_VALUE"""),"")</f>
        <v/>
      </c>
      <c r="C202" t="str">
        <f ca="1">IFERROR(__xludf.DUMMYFUNCTION("""COMPUTED_VALUE"""),"")</f>
        <v/>
      </c>
    </row>
    <row r="203" spans="1:3" ht="15" customHeight="1">
      <c r="A203" s="212" t="str">
        <f ca="1">IFERROR(__xludf.DUMMYFUNCTION("""COMPUTED_VALUE"""),"")</f>
        <v/>
      </c>
      <c r="B203" t="str">
        <f ca="1">IFERROR(__xludf.DUMMYFUNCTION("""COMPUTED_VALUE"""),"")</f>
        <v/>
      </c>
      <c r="C203" t="str">
        <f ca="1">IFERROR(__xludf.DUMMYFUNCTION("""COMPUTED_VALUE"""),"")</f>
        <v/>
      </c>
    </row>
    <row r="204" spans="1:3" ht="15" customHeight="1">
      <c r="A204" s="212" t="str">
        <f ca="1">IFERROR(__xludf.DUMMYFUNCTION("""COMPUTED_VALUE"""),"")</f>
        <v/>
      </c>
      <c r="B204" t="str">
        <f ca="1">IFERROR(__xludf.DUMMYFUNCTION("""COMPUTED_VALUE"""),"")</f>
        <v/>
      </c>
      <c r="C204" t="str">
        <f ca="1">IFERROR(__xludf.DUMMYFUNCTION("""COMPUTED_VALUE"""),"")</f>
        <v/>
      </c>
    </row>
    <row r="205" spans="1:3" ht="15" customHeight="1">
      <c r="A205" s="212" t="str">
        <f ca="1">IFERROR(__xludf.DUMMYFUNCTION("""COMPUTED_VALUE"""),"")</f>
        <v/>
      </c>
      <c r="B205" t="str">
        <f ca="1">IFERROR(__xludf.DUMMYFUNCTION("""COMPUTED_VALUE"""),"")</f>
        <v/>
      </c>
      <c r="C205" t="str">
        <f ca="1">IFERROR(__xludf.DUMMYFUNCTION("""COMPUTED_VALUE"""),"")</f>
        <v/>
      </c>
    </row>
    <row r="206" spans="1:3" ht="15" customHeight="1">
      <c r="A206" s="212" t="str">
        <f ca="1">IFERROR(__xludf.DUMMYFUNCTION("""COMPUTED_VALUE"""),"")</f>
        <v/>
      </c>
      <c r="B206" t="str">
        <f ca="1">IFERROR(__xludf.DUMMYFUNCTION("""COMPUTED_VALUE"""),"")</f>
        <v/>
      </c>
      <c r="C206" t="str">
        <f ca="1">IFERROR(__xludf.DUMMYFUNCTION("""COMPUTED_VALUE"""),"")</f>
        <v/>
      </c>
    </row>
    <row r="207" spans="1:3" ht="15" customHeight="1">
      <c r="A207" s="212" t="str">
        <f ca="1">IFERROR(__xludf.DUMMYFUNCTION("""COMPUTED_VALUE"""),"")</f>
        <v/>
      </c>
      <c r="B207" t="str">
        <f ca="1">IFERROR(__xludf.DUMMYFUNCTION("""COMPUTED_VALUE"""),"")</f>
        <v/>
      </c>
      <c r="C207" t="str">
        <f ca="1">IFERROR(__xludf.DUMMYFUNCTION("""COMPUTED_VALUE"""),"")</f>
        <v/>
      </c>
    </row>
    <row r="208" spans="1:3" ht="15" customHeight="1">
      <c r="A208" s="212" t="str">
        <f ca="1">IFERROR(__xludf.DUMMYFUNCTION("""COMPUTED_VALUE"""),"")</f>
        <v/>
      </c>
      <c r="B208" t="str">
        <f ca="1">IFERROR(__xludf.DUMMYFUNCTION("""COMPUTED_VALUE"""),"")</f>
        <v/>
      </c>
      <c r="C208" t="str">
        <f ca="1">IFERROR(__xludf.DUMMYFUNCTION("""COMPUTED_VALUE"""),"")</f>
        <v/>
      </c>
    </row>
    <row r="209" spans="1:3" ht="15" customHeight="1">
      <c r="A209" s="212" t="str">
        <f ca="1">IFERROR(__xludf.DUMMYFUNCTION("""COMPUTED_VALUE"""),"")</f>
        <v/>
      </c>
      <c r="B209" t="str">
        <f ca="1">IFERROR(__xludf.DUMMYFUNCTION("""COMPUTED_VALUE"""),"")</f>
        <v/>
      </c>
      <c r="C209" t="str">
        <f ca="1">IFERROR(__xludf.DUMMYFUNCTION("""COMPUTED_VALUE"""),"")</f>
        <v/>
      </c>
    </row>
    <row r="210" spans="1:3" ht="15" customHeight="1">
      <c r="A210" s="212" t="str">
        <f ca="1">IFERROR(__xludf.DUMMYFUNCTION("""COMPUTED_VALUE"""),"")</f>
        <v/>
      </c>
      <c r="B210" t="str">
        <f ca="1">IFERROR(__xludf.DUMMYFUNCTION("""COMPUTED_VALUE"""),"")</f>
        <v/>
      </c>
      <c r="C210" t="str">
        <f ca="1">IFERROR(__xludf.DUMMYFUNCTION("""COMPUTED_VALUE"""),"")</f>
        <v/>
      </c>
    </row>
    <row r="211" spans="1:3" ht="15" customHeight="1">
      <c r="A211" s="212" t="str">
        <f ca="1">IFERROR(__xludf.DUMMYFUNCTION("""COMPUTED_VALUE"""),"")</f>
        <v/>
      </c>
      <c r="B211" t="str">
        <f ca="1">IFERROR(__xludf.DUMMYFUNCTION("""COMPUTED_VALUE"""),"")</f>
        <v/>
      </c>
      <c r="C211" t="str">
        <f ca="1">IFERROR(__xludf.DUMMYFUNCTION("""COMPUTED_VALUE"""),"")</f>
        <v/>
      </c>
    </row>
    <row r="212" spans="1:3" ht="15" customHeight="1">
      <c r="A212" s="212" t="str">
        <f ca="1">IFERROR(__xludf.DUMMYFUNCTION("""COMPUTED_VALUE"""),"")</f>
        <v/>
      </c>
      <c r="B212" t="str">
        <f ca="1">IFERROR(__xludf.DUMMYFUNCTION("""COMPUTED_VALUE"""),"")</f>
        <v/>
      </c>
      <c r="C212" t="str">
        <f ca="1">IFERROR(__xludf.DUMMYFUNCTION("""COMPUTED_VALUE"""),"")</f>
        <v/>
      </c>
    </row>
    <row r="213" spans="1:3" ht="15" customHeight="1">
      <c r="A213" s="212" t="str">
        <f ca="1">IFERROR(__xludf.DUMMYFUNCTION("""COMPUTED_VALUE"""),"")</f>
        <v/>
      </c>
      <c r="B213" t="str">
        <f ca="1">IFERROR(__xludf.DUMMYFUNCTION("""COMPUTED_VALUE"""),"")</f>
        <v/>
      </c>
      <c r="C213" t="str">
        <f ca="1">IFERROR(__xludf.DUMMYFUNCTION("""COMPUTED_VALUE"""),"")</f>
        <v/>
      </c>
    </row>
    <row r="214" spans="1:3" ht="15" customHeight="1">
      <c r="A214" s="212" t="str">
        <f ca="1">IFERROR(__xludf.DUMMYFUNCTION("""COMPUTED_VALUE"""),"")</f>
        <v/>
      </c>
      <c r="B214" t="str">
        <f ca="1">IFERROR(__xludf.DUMMYFUNCTION("""COMPUTED_VALUE"""),"")</f>
        <v/>
      </c>
      <c r="C214" t="str">
        <f ca="1">IFERROR(__xludf.DUMMYFUNCTION("""COMPUTED_VALUE"""),"")</f>
        <v/>
      </c>
    </row>
    <row r="215" spans="1:3" ht="15" customHeight="1">
      <c r="A215" s="212" t="str">
        <f ca="1">IFERROR(__xludf.DUMMYFUNCTION("""COMPUTED_VALUE"""),"")</f>
        <v/>
      </c>
      <c r="B215" t="str">
        <f ca="1">IFERROR(__xludf.DUMMYFUNCTION("""COMPUTED_VALUE"""),"")</f>
        <v/>
      </c>
      <c r="C215" t="str">
        <f ca="1">IFERROR(__xludf.DUMMYFUNCTION("""COMPUTED_VALUE"""),"")</f>
        <v/>
      </c>
    </row>
    <row r="216" spans="1:3" ht="15" customHeight="1">
      <c r="A216" s="212" t="str">
        <f ca="1">IFERROR(__xludf.DUMMYFUNCTION("""COMPUTED_VALUE"""),"")</f>
        <v/>
      </c>
      <c r="B216" t="str">
        <f ca="1">IFERROR(__xludf.DUMMYFUNCTION("""COMPUTED_VALUE"""),"")</f>
        <v/>
      </c>
      <c r="C216" t="str">
        <f ca="1">IFERROR(__xludf.DUMMYFUNCTION("""COMPUTED_VALUE"""),"")</f>
        <v/>
      </c>
    </row>
    <row r="217" spans="1:3" ht="15" customHeight="1">
      <c r="A217" s="212" t="str">
        <f ca="1">IFERROR(__xludf.DUMMYFUNCTION("""COMPUTED_VALUE"""),"")</f>
        <v/>
      </c>
      <c r="B217" t="str">
        <f ca="1">IFERROR(__xludf.DUMMYFUNCTION("""COMPUTED_VALUE"""),"")</f>
        <v/>
      </c>
      <c r="C217" t="str">
        <f ca="1">IFERROR(__xludf.DUMMYFUNCTION("""COMPUTED_VALUE"""),"")</f>
        <v/>
      </c>
    </row>
    <row r="218" spans="1:3" ht="15" customHeight="1">
      <c r="A218" s="212" t="str">
        <f ca="1">IFERROR(__xludf.DUMMYFUNCTION("""COMPUTED_VALUE"""),"")</f>
        <v/>
      </c>
      <c r="B218" t="str">
        <f ca="1">IFERROR(__xludf.DUMMYFUNCTION("""COMPUTED_VALUE"""),"")</f>
        <v/>
      </c>
      <c r="C218" t="str">
        <f ca="1">IFERROR(__xludf.DUMMYFUNCTION("""COMPUTED_VALUE"""),"")</f>
        <v/>
      </c>
    </row>
    <row r="219" spans="1:3" ht="15" customHeight="1">
      <c r="A219" s="212" t="str">
        <f ca="1">IFERROR(__xludf.DUMMYFUNCTION("""COMPUTED_VALUE"""),"")</f>
        <v/>
      </c>
      <c r="B219" t="str">
        <f ca="1">IFERROR(__xludf.DUMMYFUNCTION("""COMPUTED_VALUE"""),"")</f>
        <v/>
      </c>
      <c r="C219" t="str">
        <f ca="1">IFERROR(__xludf.DUMMYFUNCTION("""COMPUTED_VALUE"""),"")</f>
        <v/>
      </c>
    </row>
    <row r="220" spans="1:3" ht="15" customHeight="1">
      <c r="A220" s="212" t="str">
        <f ca="1">IFERROR(__xludf.DUMMYFUNCTION("""COMPUTED_VALUE"""),"")</f>
        <v/>
      </c>
      <c r="B220" t="str">
        <f ca="1">IFERROR(__xludf.DUMMYFUNCTION("""COMPUTED_VALUE"""),"")</f>
        <v/>
      </c>
      <c r="C220" t="str">
        <f ca="1">IFERROR(__xludf.DUMMYFUNCTION("""COMPUTED_VALUE"""),"")</f>
        <v/>
      </c>
    </row>
    <row r="221" spans="1:3" ht="15" customHeight="1">
      <c r="A221" s="212" t="str">
        <f ca="1">IFERROR(__xludf.DUMMYFUNCTION("""COMPUTED_VALUE"""),"")</f>
        <v/>
      </c>
      <c r="B221" t="str">
        <f ca="1">IFERROR(__xludf.DUMMYFUNCTION("""COMPUTED_VALUE"""),"")</f>
        <v/>
      </c>
      <c r="C221" t="str">
        <f ca="1">IFERROR(__xludf.DUMMYFUNCTION("""COMPUTED_VALUE"""),"")</f>
        <v/>
      </c>
    </row>
    <row r="222" spans="1:3" ht="15" customHeight="1">
      <c r="A222" s="212" t="str">
        <f ca="1">IFERROR(__xludf.DUMMYFUNCTION("""COMPUTED_VALUE"""),"")</f>
        <v/>
      </c>
      <c r="B222" t="str">
        <f ca="1">IFERROR(__xludf.DUMMYFUNCTION("""COMPUTED_VALUE"""),"")</f>
        <v/>
      </c>
      <c r="C222" t="str">
        <f ca="1">IFERROR(__xludf.DUMMYFUNCTION("""COMPUTED_VALUE"""),"")</f>
        <v/>
      </c>
    </row>
    <row r="223" spans="1:3" ht="15" customHeight="1">
      <c r="A223" s="212" t="str">
        <f ca="1">IFERROR(__xludf.DUMMYFUNCTION("""COMPUTED_VALUE"""),"")</f>
        <v/>
      </c>
      <c r="B223" t="str">
        <f ca="1">IFERROR(__xludf.DUMMYFUNCTION("""COMPUTED_VALUE"""),"")</f>
        <v/>
      </c>
      <c r="C223" t="str">
        <f ca="1">IFERROR(__xludf.DUMMYFUNCTION("""COMPUTED_VALUE"""),"")</f>
        <v/>
      </c>
    </row>
    <row r="224" spans="1:3" ht="15" customHeight="1">
      <c r="A224" s="212" t="str">
        <f ca="1">IFERROR(__xludf.DUMMYFUNCTION("""COMPUTED_VALUE"""),"")</f>
        <v/>
      </c>
      <c r="B224" t="str">
        <f ca="1">IFERROR(__xludf.DUMMYFUNCTION("""COMPUTED_VALUE"""),"")</f>
        <v/>
      </c>
      <c r="C224" t="str">
        <f ca="1">IFERROR(__xludf.DUMMYFUNCTION("""COMPUTED_VALUE"""),"")</f>
        <v/>
      </c>
    </row>
    <row r="225" spans="1:3" ht="15" customHeight="1">
      <c r="A225" s="212" t="str">
        <f ca="1">IFERROR(__xludf.DUMMYFUNCTION("""COMPUTED_VALUE"""),"")</f>
        <v/>
      </c>
      <c r="B225" t="str">
        <f ca="1">IFERROR(__xludf.DUMMYFUNCTION("""COMPUTED_VALUE"""),"")</f>
        <v/>
      </c>
      <c r="C225" t="str">
        <f ca="1">IFERROR(__xludf.DUMMYFUNCTION("""COMPUTED_VALUE"""),"")</f>
        <v/>
      </c>
    </row>
    <row r="226" spans="1:3" ht="15" customHeight="1">
      <c r="A226" s="212" t="str">
        <f ca="1">IFERROR(__xludf.DUMMYFUNCTION("""COMPUTED_VALUE"""),"")</f>
        <v/>
      </c>
      <c r="B226" t="str">
        <f ca="1">IFERROR(__xludf.DUMMYFUNCTION("""COMPUTED_VALUE"""),"")</f>
        <v/>
      </c>
      <c r="C226" t="str">
        <f ca="1">IFERROR(__xludf.DUMMYFUNCTION("""COMPUTED_VALUE"""),"")</f>
        <v/>
      </c>
    </row>
    <row r="227" spans="1:3" ht="15" customHeight="1">
      <c r="A227" s="212" t="str">
        <f ca="1">IFERROR(__xludf.DUMMYFUNCTION("""COMPUTED_VALUE"""),"")</f>
        <v/>
      </c>
      <c r="B227" t="str">
        <f ca="1">IFERROR(__xludf.DUMMYFUNCTION("""COMPUTED_VALUE"""),"")</f>
        <v/>
      </c>
      <c r="C227" t="str">
        <f ca="1">IFERROR(__xludf.DUMMYFUNCTION("""COMPUTED_VALUE"""),"")</f>
        <v/>
      </c>
    </row>
    <row r="228" spans="1:3" ht="15" customHeight="1">
      <c r="A228" s="212" t="str">
        <f ca="1">IFERROR(__xludf.DUMMYFUNCTION("""COMPUTED_VALUE"""),"")</f>
        <v/>
      </c>
      <c r="B228" t="str">
        <f ca="1">IFERROR(__xludf.DUMMYFUNCTION("""COMPUTED_VALUE"""),"")</f>
        <v/>
      </c>
      <c r="C228" t="str">
        <f ca="1">IFERROR(__xludf.DUMMYFUNCTION("""COMPUTED_VALUE"""),"")</f>
        <v/>
      </c>
    </row>
    <row r="229" spans="1:3" ht="15" customHeight="1">
      <c r="A229" s="212" t="str">
        <f ca="1">IFERROR(__xludf.DUMMYFUNCTION("""COMPUTED_VALUE"""),"")</f>
        <v/>
      </c>
      <c r="B229" t="str">
        <f ca="1">IFERROR(__xludf.DUMMYFUNCTION("""COMPUTED_VALUE"""),"")</f>
        <v/>
      </c>
      <c r="C229" t="str">
        <f ca="1">IFERROR(__xludf.DUMMYFUNCTION("""COMPUTED_VALUE"""),"")</f>
        <v/>
      </c>
    </row>
    <row r="230" spans="1:3" ht="15" customHeight="1">
      <c r="A230" s="212" t="str">
        <f ca="1">IFERROR(__xludf.DUMMYFUNCTION("""COMPUTED_VALUE"""),"")</f>
        <v/>
      </c>
      <c r="B230" t="str">
        <f ca="1">IFERROR(__xludf.DUMMYFUNCTION("""COMPUTED_VALUE"""),"")</f>
        <v/>
      </c>
      <c r="C230" t="str">
        <f ca="1">IFERROR(__xludf.DUMMYFUNCTION("""COMPUTED_VALUE"""),"")</f>
        <v/>
      </c>
    </row>
    <row r="231" spans="1:3" ht="15" customHeight="1">
      <c r="A231" s="212" t="str">
        <f ca="1">IFERROR(__xludf.DUMMYFUNCTION("""COMPUTED_VALUE"""),"")</f>
        <v/>
      </c>
      <c r="B231" t="str">
        <f ca="1">IFERROR(__xludf.DUMMYFUNCTION("""COMPUTED_VALUE"""),"")</f>
        <v/>
      </c>
      <c r="C231" t="str">
        <f ca="1">IFERROR(__xludf.DUMMYFUNCTION("""COMPUTED_VALUE"""),"")</f>
        <v/>
      </c>
    </row>
    <row r="232" spans="1:3" ht="15" customHeight="1">
      <c r="A232" s="212" t="str">
        <f ca="1">IFERROR(__xludf.DUMMYFUNCTION("""COMPUTED_VALUE"""),"")</f>
        <v/>
      </c>
      <c r="B232" t="str">
        <f ca="1">IFERROR(__xludf.DUMMYFUNCTION("""COMPUTED_VALUE"""),"")</f>
        <v/>
      </c>
      <c r="C232" t="str">
        <f ca="1">IFERROR(__xludf.DUMMYFUNCTION("""COMPUTED_VALUE"""),"")</f>
        <v/>
      </c>
    </row>
    <row r="233" spans="1:3" ht="15" customHeight="1">
      <c r="A233" s="212" t="str">
        <f ca="1">IFERROR(__xludf.DUMMYFUNCTION("""COMPUTED_VALUE"""),"")</f>
        <v/>
      </c>
      <c r="B233" t="str">
        <f ca="1">IFERROR(__xludf.DUMMYFUNCTION("""COMPUTED_VALUE"""),"")</f>
        <v/>
      </c>
      <c r="C233" t="str">
        <f ca="1">IFERROR(__xludf.DUMMYFUNCTION("""COMPUTED_VALUE"""),"")</f>
        <v/>
      </c>
    </row>
    <row r="234" spans="1:3" ht="15" customHeight="1">
      <c r="A234" s="212" t="str">
        <f ca="1">IFERROR(__xludf.DUMMYFUNCTION("""COMPUTED_VALUE"""),"")</f>
        <v/>
      </c>
      <c r="B234" t="str">
        <f ca="1">IFERROR(__xludf.DUMMYFUNCTION("""COMPUTED_VALUE"""),"")</f>
        <v/>
      </c>
      <c r="C234" t="str">
        <f ca="1">IFERROR(__xludf.DUMMYFUNCTION("""COMPUTED_VALUE"""),"")</f>
        <v/>
      </c>
    </row>
    <row r="235" spans="1:3" ht="15" customHeight="1">
      <c r="A235" s="212" t="str">
        <f ca="1">IFERROR(__xludf.DUMMYFUNCTION("""COMPUTED_VALUE"""),"")</f>
        <v/>
      </c>
      <c r="B235" t="str">
        <f ca="1">IFERROR(__xludf.DUMMYFUNCTION("""COMPUTED_VALUE"""),"")</f>
        <v/>
      </c>
      <c r="C235" t="str">
        <f ca="1">IFERROR(__xludf.DUMMYFUNCTION("""COMPUTED_VALUE"""),"")</f>
        <v/>
      </c>
    </row>
    <row r="236" spans="1:3" ht="15" customHeight="1">
      <c r="A236" s="212" t="str">
        <f ca="1">IFERROR(__xludf.DUMMYFUNCTION("""COMPUTED_VALUE"""),"")</f>
        <v/>
      </c>
      <c r="B236" t="str">
        <f ca="1">IFERROR(__xludf.DUMMYFUNCTION("""COMPUTED_VALUE"""),"")</f>
        <v/>
      </c>
      <c r="C236" t="str">
        <f ca="1">IFERROR(__xludf.DUMMYFUNCTION("""COMPUTED_VALUE"""),"")</f>
        <v/>
      </c>
    </row>
    <row r="237" spans="1:3" ht="15" customHeight="1">
      <c r="A237" s="212" t="str">
        <f ca="1">IFERROR(__xludf.DUMMYFUNCTION("""COMPUTED_VALUE"""),"")</f>
        <v/>
      </c>
      <c r="B237" t="str">
        <f ca="1">IFERROR(__xludf.DUMMYFUNCTION("""COMPUTED_VALUE"""),"")</f>
        <v/>
      </c>
      <c r="C237" t="str">
        <f ca="1">IFERROR(__xludf.DUMMYFUNCTION("""COMPUTED_VALUE"""),"")</f>
        <v/>
      </c>
    </row>
    <row r="238" spans="1:3" ht="15" customHeight="1">
      <c r="A238" s="212" t="str">
        <f ca="1">IFERROR(__xludf.DUMMYFUNCTION("""COMPUTED_VALUE"""),"")</f>
        <v/>
      </c>
      <c r="B238" t="str">
        <f ca="1">IFERROR(__xludf.DUMMYFUNCTION("""COMPUTED_VALUE"""),"")</f>
        <v/>
      </c>
      <c r="C238" t="str">
        <f ca="1">IFERROR(__xludf.DUMMYFUNCTION("""COMPUTED_VALUE"""),"")</f>
        <v/>
      </c>
    </row>
    <row r="239" spans="1:3" ht="15" customHeight="1">
      <c r="A239" s="212" t="str">
        <f ca="1">IFERROR(__xludf.DUMMYFUNCTION("""COMPUTED_VALUE"""),"")</f>
        <v/>
      </c>
      <c r="B239" t="str">
        <f ca="1">IFERROR(__xludf.DUMMYFUNCTION("""COMPUTED_VALUE"""),"")</f>
        <v/>
      </c>
      <c r="C239" t="str">
        <f ca="1">IFERROR(__xludf.DUMMYFUNCTION("""COMPUTED_VALUE"""),"")</f>
        <v/>
      </c>
    </row>
    <row r="240" spans="1:3" ht="15" customHeight="1">
      <c r="A240" s="212" t="str">
        <f ca="1">IFERROR(__xludf.DUMMYFUNCTION("""COMPUTED_VALUE"""),"")</f>
        <v/>
      </c>
      <c r="B240" t="str">
        <f ca="1">IFERROR(__xludf.DUMMYFUNCTION("""COMPUTED_VALUE"""),"")</f>
        <v/>
      </c>
      <c r="C240" t="str">
        <f ca="1">IFERROR(__xludf.DUMMYFUNCTION("""COMPUTED_VALUE"""),"")</f>
        <v/>
      </c>
    </row>
    <row r="241" spans="1:3" ht="15" customHeight="1">
      <c r="A241" s="212" t="str">
        <f ca="1">IFERROR(__xludf.DUMMYFUNCTION("""COMPUTED_VALUE"""),"")</f>
        <v/>
      </c>
      <c r="B241" t="str">
        <f ca="1">IFERROR(__xludf.DUMMYFUNCTION("""COMPUTED_VALUE"""),"")</f>
        <v/>
      </c>
      <c r="C241" t="str">
        <f ca="1">IFERROR(__xludf.DUMMYFUNCTION("""COMPUTED_VALUE"""),"")</f>
        <v/>
      </c>
    </row>
    <row r="242" spans="1:3" ht="15" customHeight="1">
      <c r="A242" s="212" t="str">
        <f ca="1">IFERROR(__xludf.DUMMYFUNCTION("""COMPUTED_VALUE"""),"")</f>
        <v/>
      </c>
      <c r="B242" t="str">
        <f ca="1">IFERROR(__xludf.DUMMYFUNCTION("""COMPUTED_VALUE"""),"")</f>
        <v/>
      </c>
      <c r="C242" t="str">
        <f ca="1">IFERROR(__xludf.DUMMYFUNCTION("""COMPUTED_VALUE"""),"")</f>
        <v/>
      </c>
    </row>
    <row r="243" spans="1:3" ht="15" customHeight="1">
      <c r="A243" s="212" t="str">
        <f ca="1">IFERROR(__xludf.DUMMYFUNCTION("""COMPUTED_VALUE"""),"")</f>
        <v/>
      </c>
      <c r="B243" t="str">
        <f ca="1">IFERROR(__xludf.DUMMYFUNCTION("""COMPUTED_VALUE"""),"")</f>
        <v/>
      </c>
      <c r="C243" t="str">
        <f ca="1">IFERROR(__xludf.DUMMYFUNCTION("""COMPUTED_VALUE"""),"")</f>
        <v/>
      </c>
    </row>
    <row r="244" spans="1:3" ht="15" customHeight="1">
      <c r="A244" s="212" t="str">
        <f ca="1">IFERROR(__xludf.DUMMYFUNCTION("""COMPUTED_VALUE"""),"")</f>
        <v/>
      </c>
      <c r="B244" t="str">
        <f ca="1">IFERROR(__xludf.DUMMYFUNCTION("""COMPUTED_VALUE"""),"")</f>
        <v/>
      </c>
      <c r="C244" t="str">
        <f ca="1">IFERROR(__xludf.DUMMYFUNCTION("""COMPUTED_VALUE"""),"")</f>
        <v/>
      </c>
    </row>
    <row r="245" spans="1:3" ht="15" customHeight="1">
      <c r="A245" s="212" t="str">
        <f ca="1">IFERROR(__xludf.DUMMYFUNCTION("""COMPUTED_VALUE"""),"")</f>
        <v/>
      </c>
      <c r="B245" t="str">
        <f ca="1">IFERROR(__xludf.DUMMYFUNCTION("""COMPUTED_VALUE"""),"")</f>
        <v/>
      </c>
      <c r="C245" t="str">
        <f ca="1">IFERROR(__xludf.DUMMYFUNCTION("""COMPUTED_VALUE"""),"")</f>
        <v/>
      </c>
    </row>
    <row r="246" spans="1:3" ht="15" customHeight="1">
      <c r="A246" s="212" t="str">
        <f ca="1">IFERROR(__xludf.DUMMYFUNCTION("""COMPUTED_VALUE"""),"")</f>
        <v/>
      </c>
      <c r="B246" t="str">
        <f ca="1">IFERROR(__xludf.DUMMYFUNCTION("""COMPUTED_VALUE"""),"")</f>
        <v/>
      </c>
      <c r="C246" t="str">
        <f ca="1">IFERROR(__xludf.DUMMYFUNCTION("""COMPUTED_VALUE"""),"")</f>
        <v/>
      </c>
    </row>
    <row r="247" spans="1:3" ht="15" customHeight="1">
      <c r="A247" s="212" t="str">
        <f ca="1">IFERROR(__xludf.DUMMYFUNCTION("""COMPUTED_VALUE"""),"")</f>
        <v/>
      </c>
      <c r="B247" t="str">
        <f ca="1">IFERROR(__xludf.DUMMYFUNCTION("""COMPUTED_VALUE"""),"")</f>
        <v/>
      </c>
      <c r="C247" t="str">
        <f ca="1">IFERROR(__xludf.DUMMYFUNCTION("""COMPUTED_VALUE"""),"")</f>
        <v/>
      </c>
    </row>
    <row r="248" spans="1:3" ht="15" customHeight="1">
      <c r="A248" s="212" t="str">
        <f ca="1">IFERROR(__xludf.DUMMYFUNCTION("""COMPUTED_VALUE"""),"")</f>
        <v/>
      </c>
      <c r="B248" t="str">
        <f ca="1">IFERROR(__xludf.DUMMYFUNCTION("""COMPUTED_VALUE"""),"")</f>
        <v/>
      </c>
      <c r="C248" t="str">
        <f ca="1">IFERROR(__xludf.DUMMYFUNCTION("""COMPUTED_VALUE"""),"")</f>
        <v/>
      </c>
    </row>
    <row r="249" spans="1:3" ht="15" customHeight="1">
      <c r="A249" s="212" t="str">
        <f ca="1">IFERROR(__xludf.DUMMYFUNCTION("""COMPUTED_VALUE"""),"")</f>
        <v/>
      </c>
      <c r="B249" t="str">
        <f ca="1">IFERROR(__xludf.DUMMYFUNCTION("""COMPUTED_VALUE"""),"")</f>
        <v/>
      </c>
      <c r="C249" t="str">
        <f ca="1">IFERROR(__xludf.DUMMYFUNCTION("""COMPUTED_VALUE"""),"")</f>
        <v/>
      </c>
    </row>
    <row r="250" spans="1:3" ht="15" customHeight="1">
      <c r="A250" s="212" t="str">
        <f ca="1">IFERROR(__xludf.DUMMYFUNCTION("""COMPUTED_VALUE"""),"")</f>
        <v/>
      </c>
      <c r="B250" t="str">
        <f ca="1">IFERROR(__xludf.DUMMYFUNCTION("""COMPUTED_VALUE"""),"")</f>
        <v/>
      </c>
      <c r="C250" t="str">
        <f ca="1">IFERROR(__xludf.DUMMYFUNCTION("""COMPUTED_VALUE"""),"")</f>
        <v/>
      </c>
    </row>
    <row r="251" spans="1:3" ht="15" customHeight="1">
      <c r="A251" s="212" t="str">
        <f ca="1">IFERROR(__xludf.DUMMYFUNCTION("""COMPUTED_VALUE"""),"")</f>
        <v/>
      </c>
      <c r="B251" t="str">
        <f ca="1">IFERROR(__xludf.DUMMYFUNCTION("""COMPUTED_VALUE"""),"")</f>
        <v/>
      </c>
      <c r="C251" t="str">
        <f ca="1">IFERROR(__xludf.DUMMYFUNCTION("""COMPUTED_VALUE"""),"")</f>
        <v/>
      </c>
    </row>
    <row r="252" spans="1:3" ht="15" customHeight="1">
      <c r="A252" s="212" t="str">
        <f ca="1">IFERROR(__xludf.DUMMYFUNCTION("""COMPUTED_VALUE"""),"")</f>
        <v/>
      </c>
      <c r="B252" t="str">
        <f ca="1">IFERROR(__xludf.DUMMYFUNCTION("""COMPUTED_VALUE"""),"")</f>
        <v/>
      </c>
      <c r="C252" t="str">
        <f ca="1">IFERROR(__xludf.DUMMYFUNCTION("""COMPUTED_VALUE"""),"")</f>
        <v/>
      </c>
    </row>
    <row r="253" spans="1:3" ht="15" customHeight="1">
      <c r="A253" s="212" t="str">
        <f ca="1">IFERROR(__xludf.DUMMYFUNCTION("""COMPUTED_VALUE"""),"")</f>
        <v/>
      </c>
      <c r="B253" t="str">
        <f ca="1">IFERROR(__xludf.DUMMYFUNCTION("""COMPUTED_VALUE"""),"")</f>
        <v/>
      </c>
      <c r="C253" t="str">
        <f ca="1">IFERROR(__xludf.DUMMYFUNCTION("""COMPUTED_VALUE"""),"")</f>
        <v/>
      </c>
    </row>
    <row r="254" spans="1:3" ht="15" customHeight="1">
      <c r="A254" s="212" t="str">
        <f ca="1">IFERROR(__xludf.DUMMYFUNCTION("""COMPUTED_VALUE"""),"")</f>
        <v/>
      </c>
      <c r="B254" t="str">
        <f ca="1">IFERROR(__xludf.DUMMYFUNCTION("""COMPUTED_VALUE"""),"")</f>
        <v/>
      </c>
      <c r="C254" t="str">
        <f ca="1">IFERROR(__xludf.DUMMYFUNCTION("""COMPUTED_VALUE"""),"")</f>
        <v/>
      </c>
    </row>
    <row r="255" spans="1:3" ht="15" customHeight="1">
      <c r="A255" s="212" t="str">
        <f ca="1">IFERROR(__xludf.DUMMYFUNCTION("""COMPUTED_VALUE"""),"")</f>
        <v/>
      </c>
      <c r="B255" t="str">
        <f ca="1">IFERROR(__xludf.DUMMYFUNCTION("""COMPUTED_VALUE"""),"")</f>
        <v/>
      </c>
      <c r="C255" t="str">
        <f ca="1">IFERROR(__xludf.DUMMYFUNCTION("""COMPUTED_VALUE"""),"")</f>
        <v/>
      </c>
    </row>
    <row r="256" spans="1:3" ht="15" customHeight="1">
      <c r="A256" s="212" t="str">
        <f ca="1">IFERROR(__xludf.DUMMYFUNCTION("""COMPUTED_VALUE"""),"")</f>
        <v/>
      </c>
      <c r="B256" t="str">
        <f ca="1">IFERROR(__xludf.DUMMYFUNCTION("""COMPUTED_VALUE"""),"")</f>
        <v/>
      </c>
      <c r="C256" t="str">
        <f ca="1">IFERROR(__xludf.DUMMYFUNCTION("""COMPUTED_VALUE"""),"")</f>
        <v/>
      </c>
    </row>
    <row r="257" spans="1:3" ht="15" customHeight="1">
      <c r="A257" s="212" t="str">
        <f ca="1">IFERROR(__xludf.DUMMYFUNCTION("""COMPUTED_VALUE"""),"")</f>
        <v/>
      </c>
      <c r="B257" t="str">
        <f ca="1">IFERROR(__xludf.DUMMYFUNCTION("""COMPUTED_VALUE"""),"")</f>
        <v/>
      </c>
      <c r="C257" t="str">
        <f ca="1">IFERROR(__xludf.DUMMYFUNCTION("""COMPUTED_VALUE"""),"")</f>
        <v/>
      </c>
    </row>
    <row r="258" spans="1:3" ht="15" customHeight="1">
      <c r="A258" s="212" t="str">
        <f ca="1">IFERROR(__xludf.DUMMYFUNCTION("""COMPUTED_VALUE"""),"")</f>
        <v/>
      </c>
      <c r="B258" t="str">
        <f ca="1">IFERROR(__xludf.DUMMYFUNCTION("""COMPUTED_VALUE"""),"")</f>
        <v/>
      </c>
      <c r="C258" t="str">
        <f ca="1">IFERROR(__xludf.DUMMYFUNCTION("""COMPUTED_VALUE"""),"")</f>
        <v/>
      </c>
    </row>
    <row r="259" spans="1:3" ht="15" customHeight="1">
      <c r="A259" s="212" t="str">
        <f ca="1">IFERROR(__xludf.DUMMYFUNCTION("""COMPUTED_VALUE"""),"")</f>
        <v/>
      </c>
      <c r="B259" t="str">
        <f ca="1">IFERROR(__xludf.DUMMYFUNCTION("""COMPUTED_VALUE"""),"")</f>
        <v/>
      </c>
      <c r="C259" t="str">
        <f ca="1">IFERROR(__xludf.DUMMYFUNCTION("""COMPUTED_VALUE"""),"")</f>
        <v/>
      </c>
    </row>
    <row r="260" spans="1:3" ht="15" customHeight="1">
      <c r="A260" s="212" t="str">
        <f ca="1">IFERROR(__xludf.DUMMYFUNCTION("""COMPUTED_VALUE"""),"")</f>
        <v/>
      </c>
      <c r="B260" t="str">
        <f ca="1">IFERROR(__xludf.DUMMYFUNCTION("""COMPUTED_VALUE"""),"")</f>
        <v/>
      </c>
      <c r="C260" t="str">
        <f ca="1">IFERROR(__xludf.DUMMYFUNCTION("""COMPUTED_VALUE"""),"")</f>
        <v/>
      </c>
    </row>
    <row r="261" spans="1:3" ht="15" customHeight="1">
      <c r="A261" s="212" t="str">
        <f ca="1">IFERROR(__xludf.DUMMYFUNCTION("""COMPUTED_VALUE"""),"")</f>
        <v/>
      </c>
      <c r="B261" t="str">
        <f ca="1">IFERROR(__xludf.DUMMYFUNCTION("""COMPUTED_VALUE"""),"")</f>
        <v/>
      </c>
      <c r="C261" t="str">
        <f ca="1">IFERROR(__xludf.DUMMYFUNCTION("""COMPUTED_VALUE"""),"")</f>
        <v/>
      </c>
    </row>
    <row r="262" spans="1:3" ht="15" customHeight="1">
      <c r="A262" s="212" t="str">
        <f ca="1">IFERROR(__xludf.DUMMYFUNCTION("""COMPUTED_VALUE"""),"")</f>
        <v/>
      </c>
      <c r="B262" t="str">
        <f ca="1">IFERROR(__xludf.DUMMYFUNCTION("""COMPUTED_VALUE"""),"")</f>
        <v/>
      </c>
      <c r="C262" t="str">
        <f ca="1">IFERROR(__xludf.DUMMYFUNCTION("""COMPUTED_VALUE"""),"")</f>
        <v/>
      </c>
    </row>
    <row r="263" spans="1:3" ht="15" customHeight="1">
      <c r="A263" s="212" t="str">
        <f ca="1">IFERROR(__xludf.DUMMYFUNCTION("""COMPUTED_VALUE"""),"")</f>
        <v/>
      </c>
      <c r="B263" t="str">
        <f ca="1">IFERROR(__xludf.DUMMYFUNCTION("""COMPUTED_VALUE"""),"")</f>
        <v/>
      </c>
      <c r="C263" t="str">
        <f ca="1">IFERROR(__xludf.DUMMYFUNCTION("""COMPUTED_VALUE"""),"")</f>
        <v/>
      </c>
    </row>
    <row r="264" spans="1:3" ht="15" customHeight="1">
      <c r="A264" s="212" t="str">
        <f ca="1">IFERROR(__xludf.DUMMYFUNCTION("""COMPUTED_VALUE"""),"")</f>
        <v/>
      </c>
      <c r="B264" t="str">
        <f ca="1">IFERROR(__xludf.DUMMYFUNCTION("""COMPUTED_VALUE"""),"")</f>
        <v/>
      </c>
      <c r="C264" t="str">
        <f ca="1">IFERROR(__xludf.DUMMYFUNCTION("""COMPUTED_VALUE"""),"")</f>
        <v/>
      </c>
    </row>
    <row r="265" spans="1:3" ht="15" customHeight="1">
      <c r="A265" s="212" t="str">
        <f ca="1">IFERROR(__xludf.DUMMYFUNCTION("""COMPUTED_VALUE"""),"")</f>
        <v/>
      </c>
      <c r="B265" t="str">
        <f ca="1">IFERROR(__xludf.DUMMYFUNCTION("""COMPUTED_VALUE"""),"")</f>
        <v/>
      </c>
      <c r="C265" t="str">
        <f ca="1">IFERROR(__xludf.DUMMYFUNCTION("""COMPUTED_VALUE"""),"")</f>
        <v/>
      </c>
    </row>
    <row r="266" spans="1:3" ht="15" customHeight="1">
      <c r="A266" s="212" t="str">
        <f ca="1">IFERROR(__xludf.DUMMYFUNCTION("""COMPUTED_VALUE"""),"")</f>
        <v/>
      </c>
      <c r="B266" t="str">
        <f ca="1">IFERROR(__xludf.DUMMYFUNCTION("""COMPUTED_VALUE"""),"")</f>
        <v/>
      </c>
      <c r="C266" t="str">
        <f ca="1">IFERROR(__xludf.DUMMYFUNCTION("""COMPUTED_VALUE"""),"")</f>
        <v/>
      </c>
    </row>
    <row r="267" spans="1:3" ht="15" customHeight="1">
      <c r="A267" s="212" t="str">
        <f ca="1">IFERROR(__xludf.DUMMYFUNCTION("""COMPUTED_VALUE"""),"")</f>
        <v/>
      </c>
      <c r="B267" t="str">
        <f ca="1">IFERROR(__xludf.DUMMYFUNCTION("""COMPUTED_VALUE"""),"")</f>
        <v/>
      </c>
      <c r="C267" t="str">
        <f ca="1">IFERROR(__xludf.DUMMYFUNCTION("""COMPUTED_VALUE"""),"")</f>
        <v/>
      </c>
    </row>
    <row r="268" spans="1:3" ht="15" customHeight="1">
      <c r="A268" s="212" t="str">
        <f ca="1">IFERROR(__xludf.DUMMYFUNCTION("""COMPUTED_VALUE"""),"")</f>
        <v/>
      </c>
      <c r="B268" t="str">
        <f ca="1">IFERROR(__xludf.DUMMYFUNCTION("""COMPUTED_VALUE"""),"")</f>
        <v/>
      </c>
      <c r="C268" t="str">
        <f ca="1">IFERROR(__xludf.DUMMYFUNCTION("""COMPUTED_VALUE"""),"")</f>
        <v/>
      </c>
    </row>
    <row r="269" spans="1:3" ht="15" customHeight="1">
      <c r="A269" s="212" t="str">
        <f ca="1">IFERROR(__xludf.DUMMYFUNCTION("""COMPUTED_VALUE"""),"")</f>
        <v/>
      </c>
      <c r="B269" t="str">
        <f ca="1">IFERROR(__xludf.DUMMYFUNCTION("""COMPUTED_VALUE"""),"")</f>
        <v/>
      </c>
      <c r="C269" t="str">
        <f ca="1">IFERROR(__xludf.DUMMYFUNCTION("""COMPUTED_VALUE"""),"")</f>
        <v/>
      </c>
    </row>
    <row r="270" spans="1:3" ht="15" customHeight="1">
      <c r="A270" s="212" t="str">
        <f ca="1">IFERROR(__xludf.DUMMYFUNCTION("""COMPUTED_VALUE"""),"")</f>
        <v/>
      </c>
      <c r="B270" t="str">
        <f ca="1">IFERROR(__xludf.DUMMYFUNCTION("""COMPUTED_VALUE"""),"")</f>
        <v/>
      </c>
      <c r="C270" t="str">
        <f ca="1">IFERROR(__xludf.DUMMYFUNCTION("""COMPUTED_VALUE"""),"")</f>
        <v/>
      </c>
    </row>
    <row r="271" spans="1:3" ht="15" customHeight="1">
      <c r="A271" s="212" t="str">
        <f ca="1">IFERROR(__xludf.DUMMYFUNCTION("""COMPUTED_VALUE"""),"")</f>
        <v/>
      </c>
      <c r="B271" t="str">
        <f ca="1">IFERROR(__xludf.DUMMYFUNCTION("""COMPUTED_VALUE"""),"")</f>
        <v/>
      </c>
      <c r="C271" t="str">
        <f ca="1">IFERROR(__xludf.DUMMYFUNCTION("""COMPUTED_VALUE"""),"")</f>
        <v/>
      </c>
    </row>
    <row r="272" spans="1:3" ht="15" customHeight="1">
      <c r="A272" s="212" t="str">
        <f ca="1">IFERROR(__xludf.DUMMYFUNCTION("""COMPUTED_VALUE"""),"")</f>
        <v/>
      </c>
      <c r="B272" t="str">
        <f ca="1">IFERROR(__xludf.DUMMYFUNCTION("""COMPUTED_VALUE"""),"")</f>
        <v/>
      </c>
      <c r="C272" t="str">
        <f ca="1">IFERROR(__xludf.DUMMYFUNCTION("""COMPUTED_VALUE"""),"")</f>
        <v/>
      </c>
    </row>
    <row r="273" spans="1:3" ht="15" customHeight="1">
      <c r="A273" s="212" t="str">
        <f ca="1">IFERROR(__xludf.DUMMYFUNCTION("""COMPUTED_VALUE"""),"")</f>
        <v/>
      </c>
      <c r="B273" t="str">
        <f ca="1">IFERROR(__xludf.DUMMYFUNCTION("""COMPUTED_VALUE"""),"")</f>
        <v/>
      </c>
      <c r="C273" t="str">
        <f ca="1">IFERROR(__xludf.DUMMYFUNCTION("""COMPUTED_VALUE"""),"")</f>
        <v/>
      </c>
    </row>
    <row r="274" spans="1:3" ht="15" customHeight="1">
      <c r="A274" s="212" t="str">
        <f ca="1">IFERROR(__xludf.DUMMYFUNCTION("""COMPUTED_VALUE"""),"")</f>
        <v/>
      </c>
      <c r="B274" t="str">
        <f ca="1">IFERROR(__xludf.DUMMYFUNCTION("""COMPUTED_VALUE"""),"")</f>
        <v/>
      </c>
      <c r="C274" t="str">
        <f ca="1">IFERROR(__xludf.DUMMYFUNCTION("""COMPUTED_VALUE"""),"")</f>
        <v/>
      </c>
    </row>
    <row r="275" spans="1:3" ht="15" customHeight="1">
      <c r="A275" s="212" t="str">
        <f ca="1">IFERROR(__xludf.DUMMYFUNCTION("""COMPUTED_VALUE"""),"")</f>
        <v/>
      </c>
      <c r="B275" t="str">
        <f ca="1">IFERROR(__xludf.DUMMYFUNCTION("""COMPUTED_VALUE"""),"")</f>
        <v/>
      </c>
      <c r="C275" t="str">
        <f ca="1">IFERROR(__xludf.DUMMYFUNCTION("""COMPUTED_VALUE"""),"")</f>
        <v/>
      </c>
    </row>
    <row r="276" spans="1:3" ht="15" customHeight="1">
      <c r="A276" s="212" t="str">
        <f ca="1">IFERROR(__xludf.DUMMYFUNCTION("""COMPUTED_VALUE"""),"")</f>
        <v/>
      </c>
      <c r="B276" t="str">
        <f ca="1">IFERROR(__xludf.DUMMYFUNCTION("""COMPUTED_VALUE"""),"")</f>
        <v/>
      </c>
      <c r="C276" t="str">
        <f ca="1">IFERROR(__xludf.DUMMYFUNCTION("""COMPUTED_VALUE"""),"")</f>
        <v/>
      </c>
    </row>
    <row r="277" spans="1:3" ht="15" customHeight="1">
      <c r="A277" s="212" t="str">
        <f ca="1">IFERROR(__xludf.DUMMYFUNCTION("""COMPUTED_VALUE"""),"")</f>
        <v/>
      </c>
      <c r="B277" t="str">
        <f ca="1">IFERROR(__xludf.DUMMYFUNCTION("""COMPUTED_VALUE"""),"")</f>
        <v/>
      </c>
      <c r="C277" t="str">
        <f ca="1">IFERROR(__xludf.DUMMYFUNCTION("""COMPUTED_VALUE"""),"")</f>
        <v/>
      </c>
    </row>
    <row r="278" spans="1:3" ht="15" customHeight="1">
      <c r="A278" s="212" t="str">
        <f ca="1">IFERROR(__xludf.DUMMYFUNCTION("""COMPUTED_VALUE"""),"")</f>
        <v/>
      </c>
      <c r="B278" t="str">
        <f ca="1">IFERROR(__xludf.DUMMYFUNCTION("""COMPUTED_VALUE"""),"")</f>
        <v/>
      </c>
      <c r="C278" t="str">
        <f ca="1">IFERROR(__xludf.DUMMYFUNCTION("""COMPUTED_VALUE"""),"")</f>
        <v/>
      </c>
    </row>
    <row r="279" spans="1:3" ht="15" customHeight="1">
      <c r="A279" s="212" t="str">
        <f ca="1">IFERROR(__xludf.DUMMYFUNCTION("""COMPUTED_VALUE"""),"")</f>
        <v/>
      </c>
      <c r="B279" t="str">
        <f ca="1">IFERROR(__xludf.DUMMYFUNCTION("""COMPUTED_VALUE"""),"")</f>
        <v/>
      </c>
      <c r="C279" t="str">
        <f ca="1">IFERROR(__xludf.DUMMYFUNCTION("""COMPUTED_VALUE"""),"")</f>
        <v/>
      </c>
    </row>
    <row r="280" spans="1:3" ht="15" customHeight="1">
      <c r="A280" s="212" t="str">
        <f ca="1">IFERROR(__xludf.DUMMYFUNCTION("""COMPUTED_VALUE"""),"")</f>
        <v/>
      </c>
      <c r="B280" t="str">
        <f ca="1">IFERROR(__xludf.DUMMYFUNCTION("""COMPUTED_VALUE"""),"")</f>
        <v/>
      </c>
      <c r="C280" t="str">
        <f ca="1">IFERROR(__xludf.DUMMYFUNCTION("""COMPUTED_VALUE"""),"")</f>
        <v/>
      </c>
    </row>
    <row r="281" spans="1:3" ht="15" customHeight="1">
      <c r="A281" s="212" t="str">
        <f ca="1">IFERROR(__xludf.DUMMYFUNCTION("""COMPUTED_VALUE"""),"")</f>
        <v/>
      </c>
      <c r="B281" t="str">
        <f ca="1">IFERROR(__xludf.DUMMYFUNCTION("""COMPUTED_VALUE"""),"")</f>
        <v/>
      </c>
      <c r="C281" t="str">
        <f ca="1">IFERROR(__xludf.DUMMYFUNCTION("""COMPUTED_VALUE"""),"")</f>
        <v/>
      </c>
    </row>
    <row r="282" spans="1:3" ht="15" customHeight="1">
      <c r="A282" s="212" t="str">
        <f ca="1">IFERROR(__xludf.DUMMYFUNCTION("""COMPUTED_VALUE"""),"")</f>
        <v/>
      </c>
      <c r="B282" t="str">
        <f ca="1">IFERROR(__xludf.DUMMYFUNCTION("""COMPUTED_VALUE"""),"")</f>
        <v/>
      </c>
      <c r="C282" t="str">
        <f ca="1">IFERROR(__xludf.DUMMYFUNCTION("""COMPUTED_VALUE"""),"")</f>
        <v/>
      </c>
    </row>
    <row r="283" spans="1:3" ht="15" customHeight="1">
      <c r="A283" s="212" t="str">
        <f ca="1">IFERROR(__xludf.DUMMYFUNCTION("""COMPUTED_VALUE"""),"")</f>
        <v/>
      </c>
      <c r="B283" t="str">
        <f ca="1">IFERROR(__xludf.DUMMYFUNCTION("""COMPUTED_VALUE"""),"")</f>
        <v/>
      </c>
      <c r="C283" t="str">
        <f ca="1">IFERROR(__xludf.DUMMYFUNCTION("""COMPUTED_VALUE"""),"")</f>
        <v/>
      </c>
    </row>
    <row r="284" spans="1:3" ht="15" customHeight="1">
      <c r="A284" s="212" t="str">
        <f ca="1">IFERROR(__xludf.DUMMYFUNCTION("""COMPUTED_VALUE"""),"")</f>
        <v/>
      </c>
      <c r="B284" t="str">
        <f ca="1">IFERROR(__xludf.DUMMYFUNCTION("""COMPUTED_VALUE"""),"")</f>
        <v/>
      </c>
      <c r="C284" t="str">
        <f ca="1">IFERROR(__xludf.DUMMYFUNCTION("""COMPUTED_VALUE"""),"")</f>
        <v/>
      </c>
    </row>
    <row r="285" spans="1:3" ht="15" customHeight="1">
      <c r="A285" s="212" t="str">
        <f ca="1">IFERROR(__xludf.DUMMYFUNCTION("""COMPUTED_VALUE"""),"")</f>
        <v/>
      </c>
      <c r="B285" t="str">
        <f ca="1">IFERROR(__xludf.DUMMYFUNCTION("""COMPUTED_VALUE"""),"")</f>
        <v/>
      </c>
      <c r="C285" t="str">
        <f ca="1">IFERROR(__xludf.DUMMYFUNCTION("""COMPUTED_VALUE"""),"")</f>
        <v/>
      </c>
    </row>
    <row r="286" spans="1:3" ht="15" customHeight="1">
      <c r="A286" s="212" t="str">
        <f ca="1">IFERROR(__xludf.DUMMYFUNCTION("""COMPUTED_VALUE"""),"")</f>
        <v/>
      </c>
      <c r="B286" t="str">
        <f ca="1">IFERROR(__xludf.DUMMYFUNCTION("""COMPUTED_VALUE"""),"")</f>
        <v/>
      </c>
      <c r="C286" t="str">
        <f ca="1">IFERROR(__xludf.DUMMYFUNCTION("""COMPUTED_VALUE"""),"")</f>
        <v/>
      </c>
    </row>
    <row r="287" spans="1:3" ht="15" customHeight="1">
      <c r="A287" s="212" t="str">
        <f ca="1">IFERROR(__xludf.DUMMYFUNCTION("""COMPUTED_VALUE"""),"")</f>
        <v/>
      </c>
      <c r="B287" t="str">
        <f ca="1">IFERROR(__xludf.DUMMYFUNCTION("""COMPUTED_VALUE"""),"")</f>
        <v/>
      </c>
      <c r="C287" t="str">
        <f ca="1">IFERROR(__xludf.DUMMYFUNCTION("""COMPUTED_VALUE"""),"")</f>
        <v/>
      </c>
    </row>
    <row r="288" spans="1:3" ht="15" customHeight="1">
      <c r="A288" s="212" t="str">
        <f ca="1">IFERROR(__xludf.DUMMYFUNCTION("""COMPUTED_VALUE"""),"")</f>
        <v/>
      </c>
      <c r="B288" t="str">
        <f ca="1">IFERROR(__xludf.DUMMYFUNCTION("""COMPUTED_VALUE"""),"")</f>
        <v/>
      </c>
      <c r="C288" t="str">
        <f ca="1">IFERROR(__xludf.DUMMYFUNCTION("""COMPUTED_VALUE"""),"")</f>
        <v/>
      </c>
    </row>
    <row r="289" spans="1:3" ht="15" customHeight="1">
      <c r="A289" s="212" t="str">
        <f ca="1">IFERROR(__xludf.DUMMYFUNCTION("""COMPUTED_VALUE"""),"")</f>
        <v/>
      </c>
      <c r="B289" t="str">
        <f ca="1">IFERROR(__xludf.DUMMYFUNCTION("""COMPUTED_VALUE"""),"")</f>
        <v/>
      </c>
      <c r="C289" t="str">
        <f ca="1">IFERROR(__xludf.DUMMYFUNCTION("""COMPUTED_VALUE"""),"")</f>
        <v/>
      </c>
    </row>
    <row r="290" spans="1:3" ht="15" customHeight="1">
      <c r="A290" s="212" t="str">
        <f ca="1">IFERROR(__xludf.DUMMYFUNCTION("""COMPUTED_VALUE"""),"")</f>
        <v/>
      </c>
      <c r="B290" t="str">
        <f ca="1">IFERROR(__xludf.DUMMYFUNCTION("""COMPUTED_VALUE"""),"")</f>
        <v/>
      </c>
      <c r="C290" t="str">
        <f ca="1">IFERROR(__xludf.DUMMYFUNCTION("""COMPUTED_VALUE"""),"")</f>
        <v/>
      </c>
    </row>
    <row r="291" spans="1:3" ht="15" customHeight="1">
      <c r="A291" s="212" t="str">
        <f ca="1">IFERROR(__xludf.DUMMYFUNCTION("""COMPUTED_VALUE"""),"")</f>
        <v/>
      </c>
      <c r="B291" t="str">
        <f ca="1">IFERROR(__xludf.DUMMYFUNCTION("""COMPUTED_VALUE"""),"")</f>
        <v/>
      </c>
      <c r="C291" t="str">
        <f ca="1">IFERROR(__xludf.DUMMYFUNCTION("""COMPUTED_VALUE"""),"")</f>
        <v/>
      </c>
    </row>
    <row r="292" spans="1:3" ht="15" customHeight="1">
      <c r="A292" s="212" t="str">
        <f ca="1">IFERROR(__xludf.DUMMYFUNCTION("""COMPUTED_VALUE"""),"")</f>
        <v/>
      </c>
      <c r="B292" t="str">
        <f ca="1">IFERROR(__xludf.DUMMYFUNCTION("""COMPUTED_VALUE"""),"")</f>
        <v/>
      </c>
      <c r="C292" t="str">
        <f ca="1">IFERROR(__xludf.DUMMYFUNCTION("""COMPUTED_VALUE"""),"")</f>
        <v/>
      </c>
    </row>
    <row r="293" spans="1:3" ht="15" customHeight="1">
      <c r="A293" s="212" t="str">
        <f ca="1">IFERROR(__xludf.DUMMYFUNCTION("""COMPUTED_VALUE"""),"")</f>
        <v/>
      </c>
      <c r="B293" t="str">
        <f ca="1">IFERROR(__xludf.DUMMYFUNCTION("""COMPUTED_VALUE"""),"")</f>
        <v/>
      </c>
      <c r="C293" t="str">
        <f ca="1">IFERROR(__xludf.DUMMYFUNCTION("""COMPUTED_VALUE"""),"")</f>
        <v/>
      </c>
    </row>
    <row r="294" spans="1:3" ht="15" customHeight="1">
      <c r="A294" s="212" t="str">
        <f ca="1">IFERROR(__xludf.DUMMYFUNCTION("""COMPUTED_VALUE"""),"")</f>
        <v/>
      </c>
      <c r="B294" t="str">
        <f ca="1">IFERROR(__xludf.DUMMYFUNCTION("""COMPUTED_VALUE"""),"")</f>
        <v/>
      </c>
      <c r="C294" t="str">
        <f ca="1">IFERROR(__xludf.DUMMYFUNCTION("""COMPUTED_VALUE"""),"")</f>
        <v/>
      </c>
    </row>
    <row r="295" spans="1:3" ht="15" customHeight="1">
      <c r="A295" s="212" t="str">
        <f ca="1">IFERROR(__xludf.DUMMYFUNCTION("""COMPUTED_VALUE"""),"")</f>
        <v/>
      </c>
      <c r="B295" t="str">
        <f ca="1">IFERROR(__xludf.DUMMYFUNCTION("""COMPUTED_VALUE"""),"")</f>
        <v/>
      </c>
      <c r="C295" t="str">
        <f ca="1">IFERROR(__xludf.DUMMYFUNCTION("""COMPUTED_VALUE"""),"")</f>
        <v/>
      </c>
    </row>
    <row r="296" spans="1:3" ht="15" customHeight="1">
      <c r="A296" s="212" t="str">
        <f ca="1">IFERROR(__xludf.DUMMYFUNCTION("""COMPUTED_VALUE"""),"")</f>
        <v/>
      </c>
      <c r="B296" t="str">
        <f ca="1">IFERROR(__xludf.DUMMYFUNCTION("""COMPUTED_VALUE"""),"")</f>
        <v/>
      </c>
      <c r="C296" t="str">
        <f ca="1">IFERROR(__xludf.DUMMYFUNCTION("""COMPUTED_VALUE"""),"")</f>
        <v/>
      </c>
    </row>
    <row r="297" spans="1:3" ht="15" customHeight="1">
      <c r="A297" s="212" t="str">
        <f ca="1">IFERROR(__xludf.DUMMYFUNCTION("""COMPUTED_VALUE"""),"")</f>
        <v/>
      </c>
      <c r="B297" t="str">
        <f ca="1">IFERROR(__xludf.DUMMYFUNCTION("""COMPUTED_VALUE"""),"")</f>
        <v/>
      </c>
      <c r="C297" t="str">
        <f ca="1">IFERROR(__xludf.DUMMYFUNCTION("""COMPUTED_VALUE"""),"")</f>
        <v/>
      </c>
    </row>
    <row r="298" spans="1:3" ht="15" customHeight="1">
      <c r="A298" s="212" t="str">
        <f ca="1">IFERROR(__xludf.DUMMYFUNCTION("""COMPUTED_VALUE"""),"")</f>
        <v/>
      </c>
      <c r="B298" t="str">
        <f ca="1">IFERROR(__xludf.DUMMYFUNCTION("""COMPUTED_VALUE"""),"")</f>
        <v/>
      </c>
      <c r="C298" t="str">
        <f ca="1">IFERROR(__xludf.DUMMYFUNCTION("""COMPUTED_VALUE"""),"")</f>
        <v/>
      </c>
    </row>
    <row r="299" spans="1:3" ht="15" customHeight="1">
      <c r="A299" s="212" t="str">
        <f ca="1">IFERROR(__xludf.DUMMYFUNCTION("""COMPUTED_VALUE"""),"")</f>
        <v/>
      </c>
      <c r="B299" t="str">
        <f ca="1">IFERROR(__xludf.DUMMYFUNCTION("""COMPUTED_VALUE"""),"")</f>
        <v/>
      </c>
      <c r="C299" t="str">
        <f ca="1">IFERROR(__xludf.DUMMYFUNCTION("""COMPUTED_VALUE"""),"")</f>
        <v/>
      </c>
    </row>
    <row r="300" spans="1:3" ht="15" customHeight="1">
      <c r="A300" s="212" t="str">
        <f ca="1">IFERROR(__xludf.DUMMYFUNCTION("""COMPUTED_VALUE"""),"")</f>
        <v/>
      </c>
      <c r="B300" t="str">
        <f ca="1">IFERROR(__xludf.DUMMYFUNCTION("""COMPUTED_VALUE"""),"")</f>
        <v/>
      </c>
      <c r="C300" t="str">
        <f ca="1">IFERROR(__xludf.DUMMYFUNCTION("""COMPUTED_VALUE"""),"")</f>
        <v/>
      </c>
    </row>
    <row r="301" spans="1:3" ht="15" customHeight="1">
      <c r="A301" s="212" t="str">
        <f ca="1">IFERROR(__xludf.DUMMYFUNCTION("""COMPUTED_VALUE"""),"")</f>
        <v/>
      </c>
      <c r="B301" t="str">
        <f ca="1">IFERROR(__xludf.DUMMYFUNCTION("""COMPUTED_VALUE"""),"")</f>
        <v/>
      </c>
      <c r="C301" t="str">
        <f ca="1">IFERROR(__xludf.DUMMYFUNCTION("""COMPUTED_VALUE"""),"")</f>
        <v/>
      </c>
    </row>
    <row r="302" spans="1:3" ht="15" customHeight="1">
      <c r="A302" s="212" t="str">
        <f ca="1">IFERROR(__xludf.DUMMYFUNCTION("""COMPUTED_VALUE"""),"")</f>
        <v/>
      </c>
      <c r="B302" t="str">
        <f ca="1">IFERROR(__xludf.DUMMYFUNCTION("""COMPUTED_VALUE"""),"")</f>
        <v/>
      </c>
      <c r="C302" t="str">
        <f ca="1">IFERROR(__xludf.DUMMYFUNCTION("""COMPUTED_VALUE"""),"")</f>
        <v/>
      </c>
    </row>
    <row r="303" spans="1:3" ht="15" customHeight="1">
      <c r="A303" s="212" t="str">
        <f ca="1">IFERROR(__xludf.DUMMYFUNCTION("""COMPUTED_VALUE"""),"")</f>
        <v/>
      </c>
      <c r="B303" t="str">
        <f ca="1">IFERROR(__xludf.DUMMYFUNCTION("""COMPUTED_VALUE"""),"")</f>
        <v/>
      </c>
      <c r="C303" t="str">
        <f ca="1">IFERROR(__xludf.DUMMYFUNCTION("""COMPUTED_VALUE"""),"")</f>
        <v/>
      </c>
    </row>
    <row r="304" spans="1:3" ht="15" customHeight="1">
      <c r="A304" s="212" t="str">
        <f ca="1">IFERROR(__xludf.DUMMYFUNCTION("""COMPUTED_VALUE"""),"")</f>
        <v/>
      </c>
      <c r="B304" t="str">
        <f ca="1">IFERROR(__xludf.DUMMYFUNCTION("""COMPUTED_VALUE"""),"")</f>
        <v/>
      </c>
      <c r="C304" t="str">
        <f ca="1">IFERROR(__xludf.DUMMYFUNCTION("""COMPUTED_VALUE"""),"")</f>
        <v/>
      </c>
    </row>
    <row r="305" spans="1:3" ht="15" customHeight="1">
      <c r="A305" s="212" t="str">
        <f ca="1">IFERROR(__xludf.DUMMYFUNCTION("""COMPUTED_VALUE"""),"")</f>
        <v/>
      </c>
      <c r="B305" t="str">
        <f ca="1">IFERROR(__xludf.DUMMYFUNCTION("""COMPUTED_VALUE"""),"")</f>
        <v/>
      </c>
      <c r="C305" t="str">
        <f ca="1">IFERROR(__xludf.DUMMYFUNCTION("""COMPUTED_VALUE"""),"")</f>
        <v/>
      </c>
    </row>
    <row r="306" spans="1:3" ht="15" customHeight="1">
      <c r="A306" s="212" t="str">
        <f ca="1">IFERROR(__xludf.DUMMYFUNCTION("""COMPUTED_VALUE"""),"")</f>
        <v/>
      </c>
      <c r="B306" t="str">
        <f ca="1">IFERROR(__xludf.DUMMYFUNCTION("""COMPUTED_VALUE"""),"")</f>
        <v/>
      </c>
      <c r="C306" t="str">
        <f ca="1">IFERROR(__xludf.DUMMYFUNCTION("""COMPUTED_VALUE"""),"")</f>
        <v/>
      </c>
    </row>
    <row r="307" spans="1:3" ht="15" customHeight="1">
      <c r="A307" s="212" t="str">
        <f ca="1">IFERROR(__xludf.DUMMYFUNCTION("""COMPUTED_VALUE"""),"")</f>
        <v/>
      </c>
      <c r="B307" t="str">
        <f ca="1">IFERROR(__xludf.DUMMYFUNCTION("""COMPUTED_VALUE"""),"")</f>
        <v/>
      </c>
      <c r="C307" t="str">
        <f ca="1">IFERROR(__xludf.DUMMYFUNCTION("""COMPUTED_VALUE"""),"")</f>
        <v/>
      </c>
    </row>
    <row r="308" spans="1:3" ht="15" customHeight="1">
      <c r="A308" s="212" t="str">
        <f ca="1">IFERROR(__xludf.DUMMYFUNCTION("""COMPUTED_VALUE"""),"")</f>
        <v/>
      </c>
      <c r="B308" t="str">
        <f ca="1">IFERROR(__xludf.DUMMYFUNCTION("""COMPUTED_VALUE"""),"")</f>
        <v/>
      </c>
      <c r="C308" t="str">
        <f ca="1">IFERROR(__xludf.DUMMYFUNCTION("""COMPUTED_VALUE"""),"")</f>
        <v/>
      </c>
    </row>
    <row r="309" spans="1:3" ht="15" customHeight="1">
      <c r="A309" s="212" t="str">
        <f ca="1">IFERROR(__xludf.DUMMYFUNCTION("""COMPUTED_VALUE"""),"")</f>
        <v/>
      </c>
      <c r="B309" t="str">
        <f ca="1">IFERROR(__xludf.DUMMYFUNCTION("""COMPUTED_VALUE"""),"")</f>
        <v/>
      </c>
      <c r="C309" t="str">
        <f ca="1">IFERROR(__xludf.DUMMYFUNCTION("""COMPUTED_VALUE"""),"")</f>
        <v/>
      </c>
    </row>
    <row r="310" spans="1:3" ht="15" customHeight="1">
      <c r="A310" s="212" t="str">
        <f ca="1">IFERROR(__xludf.DUMMYFUNCTION("""COMPUTED_VALUE"""),"")</f>
        <v/>
      </c>
      <c r="B310" t="str">
        <f ca="1">IFERROR(__xludf.DUMMYFUNCTION("""COMPUTED_VALUE"""),"")</f>
        <v/>
      </c>
      <c r="C310" t="str">
        <f ca="1">IFERROR(__xludf.DUMMYFUNCTION("""COMPUTED_VALUE"""),"")</f>
        <v/>
      </c>
    </row>
    <row r="311" spans="1:3" ht="15" customHeight="1">
      <c r="A311" s="212" t="str">
        <f ca="1">IFERROR(__xludf.DUMMYFUNCTION("""COMPUTED_VALUE"""),"")</f>
        <v/>
      </c>
      <c r="B311" t="str">
        <f ca="1">IFERROR(__xludf.DUMMYFUNCTION("""COMPUTED_VALUE"""),"")</f>
        <v/>
      </c>
      <c r="C311" t="str">
        <f ca="1">IFERROR(__xludf.DUMMYFUNCTION("""COMPUTED_VALUE"""),"")</f>
        <v/>
      </c>
    </row>
    <row r="312" spans="1:3" ht="15" customHeight="1">
      <c r="A312" s="212" t="str">
        <f ca="1">IFERROR(__xludf.DUMMYFUNCTION("""COMPUTED_VALUE"""),"")</f>
        <v/>
      </c>
      <c r="B312" t="str">
        <f ca="1">IFERROR(__xludf.DUMMYFUNCTION("""COMPUTED_VALUE"""),"")</f>
        <v/>
      </c>
      <c r="C312" t="str">
        <f ca="1">IFERROR(__xludf.DUMMYFUNCTION("""COMPUTED_VALUE"""),"")</f>
        <v/>
      </c>
    </row>
    <row r="313" spans="1:3" ht="15" customHeight="1">
      <c r="A313" s="212" t="str">
        <f ca="1">IFERROR(__xludf.DUMMYFUNCTION("""COMPUTED_VALUE"""),"")</f>
        <v/>
      </c>
      <c r="B313" t="str">
        <f ca="1">IFERROR(__xludf.DUMMYFUNCTION("""COMPUTED_VALUE"""),"")</f>
        <v/>
      </c>
      <c r="C313" t="str">
        <f ca="1">IFERROR(__xludf.DUMMYFUNCTION("""COMPUTED_VALUE"""),"")</f>
        <v/>
      </c>
    </row>
    <row r="314" spans="1:3" ht="15" customHeight="1">
      <c r="A314" s="212" t="str">
        <f ca="1">IFERROR(__xludf.DUMMYFUNCTION("""COMPUTED_VALUE"""),"")</f>
        <v/>
      </c>
      <c r="B314" t="str">
        <f ca="1">IFERROR(__xludf.DUMMYFUNCTION("""COMPUTED_VALUE"""),"")</f>
        <v/>
      </c>
      <c r="C314" t="str">
        <f ca="1">IFERROR(__xludf.DUMMYFUNCTION("""COMPUTED_VALUE"""),"")</f>
        <v/>
      </c>
    </row>
    <row r="315" spans="1:3" ht="15" customHeight="1">
      <c r="A315" s="212" t="str">
        <f ca="1">IFERROR(__xludf.DUMMYFUNCTION("""COMPUTED_VALUE"""),"")</f>
        <v/>
      </c>
      <c r="B315" t="str">
        <f ca="1">IFERROR(__xludf.DUMMYFUNCTION("""COMPUTED_VALUE"""),"")</f>
        <v/>
      </c>
      <c r="C315" t="str">
        <f ca="1">IFERROR(__xludf.DUMMYFUNCTION("""COMPUTED_VALUE"""),"")</f>
        <v/>
      </c>
    </row>
    <row r="316" spans="1:3" ht="15" customHeight="1">
      <c r="A316" s="212" t="str">
        <f ca="1">IFERROR(__xludf.DUMMYFUNCTION("""COMPUTED_VALUE"""),"")</f>
        <v/>
      </c>
      <c r="B316" t="str">
        <f ca="1">IFERROR(__xludf.DUMMYFUNCTION("""COMPUTED_VALUE"""),"")</f>
        <v/>
      </c>
      <c r="C316" t="str">
        <f ca="1">IFERROR(__xludf.DUMMYFUNCTION("""COMPUTED_VALUE"""),"")</f>
        <v/>
      </c>
    </row>
    <row r="317" spans="1:3" ht="15" customHeight="1">
      <c r="A317" s="212" t="str">
        <f ca="1">IFERROR(__xludf.DUMMYFUNCTION("""COMPUTED_VALUE"""),"")</f>
        <v/>
      </c>
      <c r="B317" t="str">
        <f ca="1">IFERROR(__xludf.DUMMYFUNCTION("""COMPUTED_VALUE"""),"")</f>
        <v/>
      </c>
      <c r="C317" t="str">
        <f ca="1">IFERROR(__xludf.DUMMYFUNCTION("""COMPUTED_VALUE"""),"")</f>
        <v/>
      </c>
    </row>
    <row r="318" spans="1:3" ht="15" customHeight="1">
      <c r="A318" s="212" t="str">
        <f ca="1">IFERROR(__xludf.DUMMYFUNCTION("""COMPUTED_VALUE"""),"")</f>
        <v/>
      </c>
      <c r="B318" t="str">
        <f ca="1">IFERROR(__xludf.DUMMYFUNCTION("""COMPUTED_VALUE"""),"")</f>
        <v/>
      </c>
      <c r="C318" t="str">
        <f ca="1">IFERROR(__xludf.DUMMYFUNCTION("""COMPUTED_VALUE"""),"")</f>
        <v/>
      </c>
    </row>
    <row r="319" spans="1:3" ht="15" customHeight="1">
      <c r="A319" s="212" t="str">
        <f ca="1">IFERROR(__xludf.DUMMYFUNCTION("""COMPUTED_VALUE"""),"")</f>
        <v/>
      </c>
      <c r="B319" t="str">
        <f ca="1">IFERROR(__xludf.DUMMYFUNCTION("""COMPUTED_VALUE"""),"")</f>
        <v/>
      </c>
      <c r="C319" t="str">
        <f ca="1">IFERROR(__xludf.DUMMYFUNCTION("""COMPUTED_VALUE"""),"")</f>
        <v/>
      </c>
    </row>
    <row r="320" spans="1:3" ht="15" customHeight="1">
      <c r="A320" s="212" t="str">
        <f ca="1">IFERROR(__xludf.DUMMYFUNCTION("""COMPUTED_VALUE"""),"")</f>
        <v/>
      </c>
      <c r="B320" t="str">
        <f ca="1">IFERROR(__xludf.DUMMYFUNCTION("""COMPUTED_VALUE"""),"")</f>
        <v/>
      </c>
      <c r="C320" t="str">
        <f ca="1">IFERROR(__xludf.DUMMYFUNCTION("""COMPUTED_VALUE"""),"")</f>
        <v/>
      </c>
    </row>
    <row r="321" spans="1:3" ht="15" customHeight="1">
      <c r="A321" s="212" t="str">
        <f ca="1">IFERROR(__xludf.DUMMYFUNCTION("""COMPUTED_VALUE"""),"")</f>
        <v/>
      </c>
      <c r="B321" t="str">
        <f ca="1">IFERROR(__xludf.DUMMYFUNCTION("""COMPUTED_VALUE"""),"")</f>
        <v/>
      </c>
      <c r="C321" t="str">
        <f ca="1">IFERROR(__xludf.DUMMYFUNCTION("""COMPUTED_VALUE"""),"")</f>
        <v/>
      </c>
    </row>
    <row r="322" spans="1:3" ht="15" customHeight="1">
      <c r="A322" s="212" t="str">
        <f ca="1">IFERROR(__xludf.DUMMYFUNCTION("""COMPUTED_VALUE"""),"")</f>
        <v/>
      </c>
      <c r="B322" t="str">
        <f ca="1">IFERROR(__xludf.DUMMYFUNCTION("""COMPUTED_VALUE"""),"")</f>
        <v/>
      </c>
      <c r="C322" t="str">
        <f ca="1">IFERROR(__xludf.DUMMYFUNCTION("""COMPUTED_VALUE"""),"")</f>
        <v/>
      </c>
    </row>
    <row r="323" spans="1:3" ht="15" customHeight="1">
      <c r="A323" s="212" t="str">
        <f ca="1">IFERROR(__xludf.DUMMYFUNCTION("""COMPUTED_VALUE"""),"")</f>
        <v/>
      </c>
      <c r="B323" t="str">
        <f ca="1">IFERROR(__xludf.DUMMYFUNCTION("""COMPUTED_VALUE"""),"")</f>
        <v/>
      </c>
      <c r="C323" t="str">
        <f ca="1">IFERROR(__xludf.DUMMYFUNCTION("""COMPUTED_VALUE"""),"")</f>
        <v/>
      </c>
    </row>
    <row r="324" spans="1:3" ht="15" customHeight="1">
      <c r="A324" s="212" t="str">
        <f ca="1">IFERROR(__xludf.DUMMYFUNCTION("""COMPUTED_VALUE"""),"")</f>
        <v/>
      </c>
      <c r="B324" t="str">
        <f ca="1">IFERROR(__xludf.DUMMYFUNCTION("""COMPUTED_VALUE"""),"")</f>
        <v/>
      </c>
      <c r="C324" t="str">
        <f ca="1">IFERROR(__xludf.DUMMYFUNCTION("""COMPUTED_VALUE"""),"")</f>
        <v/>
      </c>
    </row>
    <row r="325" spans="1:3" ht="15" customHeight="1">
      <c r="A325" s="212" t="str">
        <f ca="1">IFERROR(__xludf.DUMMYFUNCTION("""COMPUTED_VALUE"""),"")</f>
        <v/>
      </c>
      <c r="B325" t="str">
        <f ca="1">IFERROR(__xludf.DUMMYFUNCTION("""COMPUTED_VALUE"""),"")</f>
        <v/>
      </c>
      <c r="C325" t="str">
        <f ca="1">IFERROR(__xludf.DUMMYFUNCTION("""COMPUTED_VALUE"""),"")</f>
        <v/>
      </c>
    </row>
    <row r="326" spans="1:3" ht="15" customHeight="1">
      <c r="A326" s="212" t="str">
        <f ca="1">IFERROR(__xludf.DUMMYFUNCTION("""COMPUTED_VALUE"""),"")</f>
        <v/>
      </c>
      <c r="B326" t="str">
        <f ca="1">IFERROR(__xludf.DUMMYFUNCTION("""COMPUTED_VALUE"""),"")</f>
        <v/>
      </c>
      <c r="C326" t="str">
        <f ca="1">IFERROR(__xludf.DUMMYFUNCTION("""COMPUTED_VALUE"""),"")</f>
        <v/>
      </c>
    </row>
    <row r="327" spans="1:3" ht="15" customHeight="1">
      <c r="A327" s="212" t="str">
        <f ca="1">IFERROR(__xludf.DUMMYFUNCTION("""COMPUTED_VALUE"""),"")</f>
        <v/>
      </c>
      <c r="B327" t="str">
        <f ca="1">IFERROR(__xludf.DUMMYFUNCTION("""COMPUTED_VALUE"""),"")</f>
        <v/>
      </c>
      <c r="C327" t="str">
        <f ca="1">IFERROR(__xludf.DUMMYFUNCTION("""COMPUTED_VALUE"""),"")</f>
        <v/>
      </c>
    </row>
    <row r="328" spans="1:3" ht="15" customHeight="1">
      <c r="A328" s="212" t="str">
        <f ca="1">IFERROR(__xludf.DUMMYFUNCTION("""COMPUTED_VALUE"""),"")</f>
        <v/>
      </c>
      <c r="B328" t="str">
        <f ca="1">IFERROR(__xludf.DUMMYFUNCTION("""COMPUTED_VALUE"""),"")</f>
        <v/>
      </c>
      <c r="C328" t="str">
        <f ca="1">IFERROR(__xludf.DUMMYFUNCTION("""COMPUTED_VALUE"""),"")</f>
        <v/>
      </c>
    </row>
    <row r="329" spans="1:3" ht="15" customHeight="1">
      <c r="A329" s="212" t="str">
        <f ca="1">IFERROR(__xludf.DUMMYFUNCTION("""COMPUTED_VALUE"""),"")</f>
        <v/>
      </c>
      <c r="B329" t="str">
        <f ca="1">IFERROR(__xludf.DUMMYFUNCTION("""COMPUTED_VALUE"""),"")</f>
        <v/>
      </c>
      <c r="C329" t="str">
        <f ca="1">IFERROR(__xludf.DUMMYFUNCTION("""COMPUTED_VALUE"""),"")</f>
        <v/>
      </c>
    </row>
    <row r="330" spans="1:3" ht="15" customHeight="1">
      <c r="A330" s="212" t="str">
        <f ca="1">IFERROR(__xludf.DUMMYFUNCTION("""COMPUTED_VALUE"""),"")</f>
        <v/>
      </c>
      <c r="B330" t="str">
        <f ca="1">IFERROR(__xludf.DUMMYFUNCTION("""COMPUTED_VALUE"""),"")</f>
        <v/>
      </c>
      <c r="C330" t="str">
        <f ca="1">IFERROR(__xludf.DUMMYFUNCTION("""COMPUTED_VALUE"""),"")</f>
        <v/>
      </c>
    </row>
    <row r="331" spans="1:3" ht="15" customHeight="1">
      <c r="A331" s="212" t="str">
        <f ca="1">IFERROR(__xludf.DUMMYFUNCTION("""COMPUTED_VALUE"""),"")</f>
        <v/>
      </c>
      <c r="B331" t="str">
        <f ca="1">IFERROR(__xludf.DUMMYFUNCTION("""COMPUTED_VALUE"""),"")</f>
        <v/>
      </c>
      <c r="C331" t="str">
        <f ca="1">IFERROR(__xludf.DUMMYFUNCTION("""COMPUTED_VALUE"""),"")</f>
        <v/>
      </c>
    </row>
    <row r="332" spans="1:3" ht="15" customHeight="1">
      <c r="A332" s="212" t="str">
        <f ca="1">IFERROR(__xludf.DUMMYFUNCTION("""COMPUTED_VALUE"""),"")</f>
        <v/>
      </c>
      <c r="B332" t="str">
        <f ca="1">IFERROR(__xludf.DUMMYFUNCTION("""COMPUTED_VALUE"""),"")</f>
        <v/>
      </c>
      <c r="C332" t="str">
        <f ca="1">IFERROR(__xludf.DUMMYFUNCTION("""COMPUTED_VALUE"""),"")</f>
        <v/>
      </c>
    </row>
    <row r="333" spans="1:3" ht="15" customHeight="1">
      <c r="A333" s="212" t="str">
        <f ca="1">IFERROR(__xludf.DUMMYFUNCTION("""COMPUTED_VALUE"""),"")</f>
        <v/>
      </c>
      <c r="B333" t="str">
        <f ca="1">IFERROR(__xludf.DUMMYFUNCTION("""COMPUTED_VALUE"""),"")</f>
        <v/>
      </c>
      <c r="C333" t="str">
        <f ca="1">IFERROR(__xludf.DUMMYFUNCTION("""COMPUTED_VALUE"""),"")</f>
        <v/>
      </c>
    </row>
    <row r="334" spans="1:3" ht="15" customHeight="1">
      <c r="A334" s="212" t="str">
        <f ca="1">IFERROR(__xludf.DUMMYFUNCTION("""COMPUTED_VALUE"""),"")</f>
        <v/>
      </c>
      <c r="B334" t="str">
        <f ca="1">IFERROR(__xludf.DUMMYFUNCTION("""COMPUTED_VALUE"""),"")</f>
        <v/>
      </c>
      <c r="C334" t="str">
        <f ca="1">IFERROR(__xludf.DUMMYFUNCTION("""COMPUTED_VALUE"""),"")</f>
        <v/>
      </c>
    </row>
    <row r="335" spans="1:3" ht="15" customHeight="1">
      <c r="A335" s="212" t="str">
        <f ca="1">IFERROR(__xludf.DUMMYFUNCTION("""COMPUTED_VALUE"""),"")</f>
        <v/>
      </c>
      <c r="B335" t="str">
        <f ca="1">IFERROR(__xludf.DUMMYFUNCTION("""COMPUTED_VALUE"""),"")</f>
        <v/>
      </c>
      <c r="C335" t="str">
        <f ca="1">IFERROR(__xludf.DUMMYFUNCTION("""COMPUTED_VALUE"""),"")</f>
        <v/>
      </c>
    </row>
    <row r="336" spans="1:3" ht="15" customHeight="1">
      <c r="A336" s="212" t="str">
        <f ca="1">IFERROR(__xludf.DUMMYFUNCTION("""COMPUTED_VALUE"""),"")</f>
        <v/>
      </c>
      <c r="B336" t="str">
        <f ca="1">IFERROR(__xludf.DUMMYFUNCTION("""COMPUTED_VALUE"""),"")</f>
        <v/>
      </c>
      <c r="C336" t="str">
        <f ca="1">IFERROR(__xludf.DUMMYFUNCTION("""COMPUTED_VALUE"""),"")</f>
        <v/>
      </c>
    </row>
    <row r="337" spans="1:3" ht="15" customHeight="1">
      <c r="A337" s="212" t="str">
        <f ca="1">IFERROR(__xludf.DUMMYFUNCTION("""COMPUTED_VALUE"""),"")</f>
        <v/>
      </c>
      <c r="B337" t="str">
        <f ca="1">IFERROR(__xludf.DUMMYFUNCTION("""COMPUTED_VALUE"""),"")</f>
        <v/>
      </c>
      <c r="C337" t="str">
        <f ca="1">IFERROR(__xludf.DUMMYFUNCTION("""COMPUTED_VALUE"""),"")</f>
        <v/>
      </c>
    </row>
    <row r="338" spans="1:3" ht="15" customHeight="1">
      <c r="A338" s="212" t="str">
        <f ca="1">IFERROR(__xludf.DUMMYFUNCTION("""COMPUTED_VALUE"""),"")</f>
        <v/>
      </c>
      <c r="B338" t="str">
        <f ca="1">IFERROR(__xludf.DUMMYFUNCTION("""COMPUTED_VALUE"""),"")</f>
        <v/>
      </c>
      <c r="C338" t="str">
        <f ca="1">IFERROR(__xludf.DUMMYFUNCTION("""COMPUTED_VALUE"""),"")</f>
        <v/>
      </c>
    </row>
    <row r="339" spans="1:3" ht="15" customHeight="1">
      <c r="A339" s="212" t="str">
        <f ca="1">IFERROR(__xludf.DUMMYFUNCTION("""COMPUTED_VALUE"""),"")</f>
        <v/>
      </c>
      <c r="B339" t="str">
        <f ca="1">IFERROR(__xludf.DUMMYFUNCTION("""COMPUTED_VALUE"""),"")</f>
        <v/>
      </c>
      <c r="C339" t="str">
        <f ca="1">IFERROR(__xludf.DUMMYFUNCTION("""COMPUTED_VALUE"""),"")</f>
        <v/>
      </c>
    </row>
    <row r="340" spans="1:3" ht="15" customHeight="1">
      <c r="A340" s="212" t="str">
        <f ca="1">IFERROR(__xludf.DUMMYFUNCTION("""COMPUTED_VALUE"""),"")</f>
        <v/>
      </c>
      <c r="B340" t="str">
        <f ca="1">IFERROR(__xludf.DUMMYFUNCTION("""COMPUTED_VALUE"""),"")</f>
        <v/>
      </c>
      <c r="C340" t="str">
        <f ca="1">IFERROR(__xludf.DUMMYFUNCTION("""COMPUTED_VALUE"""),"")</f>
        <v/>
      </c>
    </row>
    <row r="341" spans="1:3" ht="15" customHeight="1">
      <c r="A341" s="212" t="str">
        <f ca="1">IFERROR(__xludf.DUMMYFUNCTION("""COMPUTED_VALUE"""),"")</f>
        <v/>
      </c>
      <c r="B341" t="str">
        <f ca="1">IFERROR(__xludf.DUMMYFUNCTION("""COMPUTED_VALUE"""),"")</f>
        <v/>
      </c>
      <c r="C341" t="str">
        <f ca="1">IFERROR(__xludf.DUMMYFUNCTION("""COMPUTED_VALUE"""),"")</f>
        <v/>
      </c>
    </row>
    <row r="342" spans="1:3" ht="15" customHeight="1">
      <c r="A342" s="212" t="str">
        <f ca="1">IFERROR(__xludf.DUMMYFUNCTION("""COMPUTED_VALUE"""),"")</f>
        <v/>
      </c>
      <c r="B342" t="str">
        <f ca="1">IFERROR(__xludf.DUMMYFUNCTION("""COMPUTED_VALUE"""),"")</f>
        <v/>
      </c>
      <c r="C342" t="str">
        <f ca="1">IFERROR(__xludf.DUMMYFUNCTION("""COMPUTED_VALUE"""),"")</f>
        <v/>
      </c>
    </row>
    <row r="343" spans="1:3" ht="15" customHeight="1">
      <c r="A343" s="212" t="str">
        <f ca="1">IFERROR(__xludf.DUMMYFUNCTION("""COMPUTED_VALUE"""),"")</f>
        <v/>
      </c>
      <c r="B343" t="str">
        <f ca="1">IFERROR(__xludf.DUMMYFUNCTION("""COMPUTED_VALUE"""),"")</f>
        <v/>
      </c>
      <c r="C343" t="str">
        <f ca="1">IFERROR(__xludf.DUMMYFUNCTION("""COMPUTED_VALUE"""),"")</f>
        <v/>
      </c>
    </row>
    <row r="344" spans="1:3" ht="15" customHeight="1">
      <c r="A344" s="212" t="str">
        <f ca="1">IFERROR(__xludf.DUMMYFUNCTION("""COMPUTED_VALUE"""),"")</f>
        <v/>
      </c>
      <c r="B344" t="str">
        <f ca="1">IFERROR(__xludf.DUMMYFUNCTION("""COMPUTED_VALUE"""),"")</f>
        <v/>
      </c>
      <c r="C344" t="str">
        <f ca="1">IFERROR(__xludf.DUMMYFUNCTION("""COMPUTED_VALUE"""),"")</f>
        <v/>
      </c>
    </row>
    <row r="345" spans="1:3" ht="15" customHeight="1">
      <c r="A345" s="212" t="str">
        <f ca="1">IFERROR(__xludf.DUMMYFUNCTION("""COMPUTED_VALUE"""),"")</f>
        <v/>
      </c>
      <c r="B345" t="str">
        <f ca="1">IFERROR(__xludf.DUMMYFUNCTION("""COMPUTED_VALUE"""),"")</f>
        <v/>
      </c>
      <c r="C345" t="str">
        <f ca="1">IFERROR(__xludf.DUMMYFUNCTION("""COMPUTED_VALUE"""),"")</f>
        <v/>
      </c>
    </row>
    <row r="346" spans="1:3" ht="15" customHeight="1">
      <c r="A346" s="212" t="str">
        <f ca="1">IFERROR(__xludf.DUMMYFUNCTION("""COMPUTED_VALUE"""),"")</f>
        <v/>
      </c>
      <c r="B346" t="str">
        <f ca="1">IFERROR(__xludf.DUMMYFUNCTION("""COMPUTED_VALUE"""),"")</f>
        <v/>
      </c>
      <c r="C346" t="str">
        <f ca="1">IFERROR(__xludf.DUMMYFUNCTION("""COMPUTED_VALUE"""),"")</f>
        <v/>
      </c>
    </row>
    <row r="347" spans="1:3" ht="15" customHeight="1">
      <c r="A347" s="212" t="str">
        <f ca="1">IFERROR(__xludf.DUMMYFUNCTION("""COMPUTED_VALUE"""),"")</f>
        <v/>
      </c>
      <c r="B347" t="str">
        <f ca="1">IFERROR(__xludf.DUMMYFUNCTION("""COMPUTED_VALUE"""),"")</f>
        <v/>
      </c>
      <c r="C347" t="str">
        <f ca="1">IFERROR(__xludf.DUMMYFUNCTION("""COMPUTED_VALUE"""),"")</f>
        <v/>
      </c>
    </row>
    <row r="348" spans="1:3" ht="15" customHeight="1">
      <c r="A348" s="212" t="str">
        <f ca="1">IFERROR(__xludf.DUMMYFUNCTION("""COMPUTED_VALUE"""),"")</f>
        <v/>
      </c>
      <c r="B348" t="str">
        <f ca="1">IFERROR(__xludf.DUMMYFUNCTION("""COMPUTED_VALUE"""),"")</f>
        <v/>
      </c>
      <c r="C348" t="str">
        <f ca="1">IFERROR(__xludf.DUMMYFUNCTION("""COMPUTED_VALUE"""),"")</f>
        <v/>
      </c>
    </row>
    <row r="349" spans="1:3" ht="15" customHeight="1">
      <c r="A349" s="212" t="str">
        <f ca="1">IFERROR(__xludf.DUMMYFUNCTION("""COMPUTED_VALUE"""),"")</f>
        <v/>
      </c>
      <c r="B349" t="str">
        <f ca="1">IFERROR(__xludf.DUMMYFUNCTION("""COMPUTED_VALUE"""),"")</f>
        <v/>
      </c>
      <c r="C349" t="str">
        <f ca="1">IFERROR(__xludf.DUMMYFUNCTION("""COMPUTED_VALUE"""),"")</f>
        <v/>
      </c>
    </row>
    <row r="350" spans="1:3" ht="15" customHeight="1">
      <c r="A350" s="212" t="str">
        <f ca="1">IFERROR(__xludf.DUMMYFUNCTION("""COMPUTED_VALUE"""),"")</f>
        <v/>
      </c>
      <c r="B350" t="str">
        <f ca="1">IFERROR(__xludf.DUMMYFUNCTION("""COMPUTED_VALUE"""),"")</f>
        <v/>
      </c>
      <c r="C350" t="str">
        <f ca="1">IFERROR(__xludf.DUMMYFUNCTION("""COMPUTED_VALUE"""),"")</f>
        <v/>
      </c>
    </row>
    <row r="351" spans="1:3" ht="15" customHeight="1">
      <c r="A351" s="212" t="str">
        <f ca="1">IFERROR(__xludf.DUMMYFUNCTION("""COMPUTED_VALUE"""),"")</f>
        <v/>
      </c>
      <c r="B351" t="str">
        <f ca="1">IFERROR(__xludf.DUMMYFUNCTION("""COMPUTED_VALUE"""),"")</f>
        <v/>
      </c>
      <c r="C351" t="str">
        <f ca="1">IFERROR(__xludf.DUMMYFUNCTION("""COMPUTED_VALUE"""),"")</f>
        <v/>
      </c>
    </row>
    <row r="352" spans="1:3" ht="15" customHeight="1">
      <c r="A352" s="212" t="str">
        <f ca="1">IFERROR(__xludf.DUMMYFUNCTION("""COMPUTED_VALUE"""),"")</f>
        <v/>
      </c>
      <c r="B352" t="str">
        <f ca="1">IFERROR(__xludf.DUMMYFUNCTION("""COMPUTED_VALUE"""),"")</f>
        <v/>
      </c>
      <c r="C352" t="str">
        <f ca="1">IFERROR(__xludf.DUMMYFUNCTION("""COMPUTED_VALUE"""),"")</f>
        <v/>
      </c>
    </row>
    <row r="353" spans="1:3" ht="15" customHeight="1">
      <c r="A353" s="212" t="str">
        <f ca="1">IFERROR(__xludf.DUMMYFUNCTION("""COMPUTED_VALUE"""),"")</f>
        <v/>
      </c>
      <c r="B353" t="str">
        <f ca="1">IFERROR(__xludf.DUMMYFUNCTION("""COMPUTED_VALUE"""),"")</f>
        <v/>
      </c>
      <c r="C353" t="str">
        <f ca="1">IFERROR(__xludf.DUMMYFUNCTION("""COMPUTED_VALUE"""),"")</f>
        <v/>
      </c>
    </row>
    <row r="354" spans="1:3" ht="15" customHeight="1">
      <c r="A354" s="212" t="str">
        <f ca="1">IFERROR(__xludf.DUMMYFUNCTION("""COMPUTED_VALUE"""),"")</f>
        <v/>
      </c>
      <c r="B354" t="str">
        <f ca="1">IFERROR(__xludf.DUMMYFUNCTION("""COMPUTED_VALUE"""),"")</f>
        <v/>
      </c>
      <c r="C354" t="str">
        <f ca="1">IFERROR(__xludf.DUMMYFUNCTION("""COMPUTED_VALUE"""),"")</f>
        <v/>
      </c>
    </row>
    <row r="355" spans="1:3" ht="15" customHeight="1">
      <c r="A355" s="212" t="str">
        <f ca="1">IFERROR(__xludf.DUMMYFUNCTION("""COMPUTED_VALUE"""),"")</f>
        <v/>
      </c>
      <c r="B355" t="str">
        <f ca="1">IFERROR(__xludf.DUMMYFUNCTION("""COMPUTED_VALUE"""),"")</f>
        <v/>
      </c>
      <c r="C355" t="str">
        <f ca="1">IFERROR(__xludf.DUMMYFUNCTION("""COMPUTED_VALUE"""),"")</f>
        <v/>
      </c>
    </row>
    <row r="356" spans="1:3" ht="15" customHeight="1">
      <c r="A356" s="212" t="str">
        <f ca="1">IFERROR(__xludf.DUMMYFUNCTION("""COMPUTED_VALUE"""),"")</f>
        <v/>
      </c>
      <c r="B356" t="str">
        <f ca="1">IFERROR(__xludf.DUMMYFUNCTION("""COMPUTED_VALUE"""),"")</f>
        <v/>
      </c>
      <c r="C356" t="str">
        <f ca="1">IFERROR(__xludf.DUMMYFUNCTION("""COMPUTED_VALUE"""),"")</f>
        <v/>
      </c>
    </row>
    <row r="357" spans="1:3" ht="15" customHeight="1">
      <c r="A357" s="212" t="str">
        <f ca="1">IFERROR(__xludf.DUMMYFUNCTION("""COMPUTED_VALUE"""),"")</f>
        <v/>
      </c>
      <c r="B357" t="str">
        <f ca="1">IFERROR(__xludf.DUMMYFUNCTION("""COMPUTED_VALUE"""),"")</f>
        <v/>
      </c>
      <c r="C357" t="str">
        <f ca="1">IFERROR(__xludf.DUMMYFUNCTION("""COMPUTED_VALUE"""),"")</f>
        <v/>
      </c>
    </row>
    <row r="358" spans="1:3" ht="15" customHeight="1">
      <c r="A358" s="212" t="str">
        <f ca="1">IFERROR(__xludf.DUMMYFUNCTION("""COMPUTED_VALUE"""),"")</f>
        <v/>
      </c>
      <c r="B358" t="str">
        <f ca="1">IFERROR(__xludf.DUMMYFUNCTION("""COMPUTED_VALUE"""),"")</f>
        <v/>
      </c>
      <c r="C358" t="str">
        <f ca="1">IFERROR(__xludf.DUMMYFUNCTION("""COMPUTED_VALUE"""),"")</f>
        <v/>
      </c>
    </row>
    <row r="359" spans="1:3" ht="15" customHeight="1">
      <c r="A359" s="212" t="str">
        <f ca="1">IFERROR(__xludf.DUMMYFUNCTION("""COMPUTED_VALUE"""),"")</f>
        <v/>
      </c>
      <c r="B359" t="str">
        <f ca="1">IFERROR(__xludf.DUMMYFUNCTION("""COMPUTED_VALUE"""),"")</f>
        <v/>
      </c>
      <c r="C359" t="str">
        <f ca="1">IFERROR(__xludf.DUMMYFUNCTION("""COMPUTED_VALUE"""),"")</f>
        <v/>
      </c>
    </row>
    <row r="360" spans="1:3" ht="15" customHeight="1">
      <c r="A360" s="212" t="str">
        <f ca="1">IFERROR(__xludf.DUMMYFUNCTION("""COMPUTED_VALUE"""),"")</f>
        <v/>
      </c>
      <c r="B360" t="str">
        <f ca="1">IFERROR(__xludf.DUMMYFUNCTION("""COMPUTED_VALUE"""),"")</f>
        <v/>
      </c>
      <c r="C360" t="str">
        <f ca="1">IFERROR(__xludf.DUMMYFUNCTION("""COMPUTED_VALUE"""),"")</f>
        <v/>
      </c>
    </row>
    <row r="361" spans="1:3" ht="15" customHeight="1">
      <c r="A361" s="212" t="str">
        <f ca="1">IFERROR(__xludf.DUMMYFUNCTION("""COMPUTED_VALUE"""),"")</f>
        <v/>
      </c>
      <c r="B361" t="str">
        <f ca="1">IFERROR(__xludf.DUMMYFUNCTION("""COMPUTED_VALUE"""),"")</f>
        <v/>
      </c>
      <c r="C361" t="str">
        <f ca="1">IFERROR(__xludf.DUMMYFUNCTION("""COMPUTED_VALUE"""),"")</f>
        <v/>
      </c>
    </row>
    <row r="362" spans="1:3" ht="15" customHeight="1">
      <c r="A362" s="212" t="str">
        <f ca="1">IFERROR(__xludf.DUMMYFUNCTION("""COMPUTED_VALUE"""),"")</f>
        <v/>
      </c>
      <c r="B362" t="str">
        <f ca="1">IFERROR(__xludf.DUMMYFUNCTION("""COMPUTED_VALUE"""),"")</f>
        <v/>
      </c>
      <c r="C362" t="str">
        <f ca="1">IFERROR(__xludf.DUMMYFUNCTION("""COMPUTED_VALUE"""),"")</f>
        <v/>
      </c>
    </row>
    <row r="363" spans="1:3" ht="15" customHeight="1">
      <c r="A363" s="212" t="str">
        <f ca="1">IFERROR(__xludf.DUMMYFUNCTION("""COMPUTED_VALUE"""),"")</f>
        <v/>
      </c>
      <c r="B363" t="str">
        <f ca="1">IFERROR(__xludf.DUMMYFUNCTION("""COMPUTED_VALUE"""),"")</f>
        <v/>
      </c>
      <c r="C363" t="str">
        <f ca="1">IFERROR(__xludf.DUMMYFUNCTION("""COMPUTED_VALUE"""),"")</f>
        <v/>
      </c>
    </row>
    <row r="364" spans="1:3" ht="15" customHeight="1">
      <c r="A364" s="212" t="str">
        <f ca="1">IFERROR(__xludf.DUMMYFUNCTION("""COMPUTED_VALUE"""),"")</f>
        <v/>
      </c>
      <c r="B364" t="str">
        <f ca="1">IFERROR(__xludf.DUMMYFUNCTION("""COMPUTED_VALUE"""),"")</f>
        <v/>
      </c>
      <c r="C364" t="str">
        <f ca="1">IFERROR(__xludf.DUMMYFUNCTION("""COMPUTED_VALUE"""),"")</f>
        <v/>
      </c>
    </row>
    <row r="365" spans="1:3" ht="15" customHeight="1">
      <c r="A365" s="212" t="str">
        <f ca="1">IFERROR(__xludf.DUMMYFUNCTION("""COMPUTED_VALUE"""),"")</f>
        <v/>
      </c>
      <c r="B365" t="str">
        <f ca="1">IFERROR(__xludf.DUMMYFUNCTION("""COMPUTED_VALUE"""),"")</f>
        <v/>
      </c>
      <c r="C365" t="str">
        <f ca="1">IFERROR(__xludf.DUMMYFUNCTION("""COMPUTED_VALUE"""),"")</f>
        <v/>
      </c>
    </row>
    <row r="366" spans="1:3" ht="15" customHeight="1">
      <c r="A366" s="212" t="str">
        <f ca="1">IFERROR(__xludf.DUMMYFUNCTION("""COMPUTED_VALUE"""),"")</f>
        <v/>
      </c>
      <c r="B366" t="str">
        <f ca="1">IFERROR(__xludf.DUMMYFUNCTION("""COMPUTED_VALUE"""),"")</f>
        <v/>
      </c>
      <c r="C366" t="str">
        <f ca="1">IFERROR(__xludf.DUMMYFUNCTION("""COMPUTED_VALUE"""),"")</f>
        <v/>
      </c>
    </row>
    <row r="367" spans="1:3" ht="15" customHeight="1">
      <c r="A367" s="212" t="str">
        <f ca="1">IFERROR(__xludf.DUMMYFUNCTION("""COMPUTED_VALUE"""),"")</f>
        <v/>
      </c>
      <c r="B367" t="str">
        <f ca="1">IFERROR(__xludf.DUMMYFUNCTION("""COMPUTED_VALUE"""),"")</f>
        <v/>
      </c>
      <c r="C367" t="str">
        <f ca="1">IFERROR(__xludf.DUMMYFUNCTION("""COMPUTED_VALUE"""),"")</f>
        <v/>
      </c>
    </row>
    <row r="368" spans="1:3" ht="15" customHeight="1">
      <c r="A368" s="212" t="str">
        <f ca="1">IFERROR(__xludf.DUMMYFUNCTION("""COMPUTED_VALUE"""),"")</f>
        <v/>
      </c>
      <c r="B368" t="str">
        <f ca="1">IFERROR(__xludf.DUMMYFUNCTION("""COMPUTED_VALUE"""),"")</f>
        <v/>
      </c>
      <c r="C368" t="str">
        <f ca="1">IFERROR(__xludf.DUMMYFUNCTION("""COMPUTED_VALUE"""),"")</f>
        <v/>
      </c>
    </row>
    <row r="369" spans="1:3" ht="15" customHeight="1">
      <c r="A369" s="212" t="str">
        <f ca="1">IFERROR(__xludf.DUMMYFUNCTION("""COMPUTED_VALUE"""),"")</f>
        <v/>
      </c>
      <c r="B369" t="str">
        <f ca="1">IFERROR(__xludf.DUMMYFUNCTION("""COMPUTED_VALUE"""),"")</f>
        <v/>
      </c>
      <c r="C369" t="str">
        <f ca="1">IFERROR(__xludf.DUMMYFUNCTION("""COMPUTED_VALUE"""),"")</f>
        <v/>
      </c>
    </row>
    <row r="370" spans="1:3" ht="15" customHeight="1">
      <c r="A370" s="212" t="str">
        <f ca="1">IFERROR(__xludf.DUMMYFUNCTION("""COMPUTED_VALUE"""),"")</f>
        <v/>
      </c>
      <c r="B370" t="str">
        <f ca="1">IFERROR(__xludf.DUMMYFUNCTION("""COMPUTED_VALUE"""),"")</f>
        <v/>
      </c>
      <c r="C370" t="str">
        <f ca="1">IFERROR(__xludf.DUMMYFUNCTION("""COMPUTED_VALUE"""),"")</f>
        <v/>
      </c>
    </row>
    <row r="371" spans="1:3" ht="15" customHeight="1">
      <c r="A371" s="212" t="str">
        <f ca="1">IFERROR(__xludf.DUMMYFUNCTION("""COMPUTED_VALUE"""),"")</f>
        <v/>
      </c>
      <c r="B371" t="str">
        <f ca="1">IFERROR(__xludf.DUMMYFUNCTION("""COMPUTED_VALUE"""),"")</f>
        <v/>
      </c>
      <c r="C371" t="str">
        <f ca="1">IFERROR(__xludf.DUMMYFUNCTION("""COMPUTED_VALUE"""),"")</f>
        <v/>
      </c>
    </row>
    <row r="372" spans="1:3" ht="15" customHeight="1">
      <c r="A372" s="212" t="str">
        <f ca="1">IFERROR(__xludf.DUMMYFUNCTION("""COMPUTED_VALUE"""),"")</f>
        <v/>
      </c>
      <c r="B372" t="str">
        <f ca="1">IFERROR(__xludf.DUMMYFUNCTION("""COMPUTED_VALUE"""),"")</f>
        <v/>
      </c>
      <c r="C372" t="str">
        <f ca="1">IFERROR(__xludf.DUMMYFUNCTION("""COMPUTED_VALUE"""),"")</f>
        <v/>
      </c>
    </row>
    <row r="373" spans="1:3" ht="15" customHeight="1">
      <c r="A373" s="212" t="str">
        <f ca="1">IFERROR(__xludf.DUMMYFUNCTION("""COMPUTED_VALUE"""),"")</f>
        <v/>
      </c>
      <c r="B373" t="str">
        <f ca="1">IFERROR(__xludf.DUMMYFUNCTION("""COMPUTED_VALUE"""),"")</f>
        <v/>
      </c>
      <c r="C373" t="str">
        <f ca="1">IFERROR(__xludf.DUMMYFUNCTION("""COMPUTED_VALUE"""),"")</f>
        <v/>
      </c>
    </row>
    <row r="374" spans="1:3" ht="15" customHeight="1">
      <c r="A374" s="212" t="str">
        <f ca="1">IFERROR(__xludf.DUMMYFUNCTION("""COMPUTED_VALUE"""),"")</f>
        <v/>
      </c>
      <c r="B374" t="str">
        <f ca="1">IFERROR(__xludf.DUMMYFUNCTION("""COMPUTED_VALUE"""),"")</f>
        <v/>
      </c>
      <c r="C374" t="str">
        <f ca="1">IFERROR(__xludf.DUMMYFUNCTION("""COMPUTED_VALUE"""),"")</f>
        <v/>
      </c>
    </row>
    <row r="375" spans="1:3" ht="15" customHeight="1">
      <c r="A375" s="212" t="str">
        <f ca="1">IFERROR(__xludf.DUMMYFUNCTION("""COMPUTED_VALUE"""),"")</f>
        <v/>
      </c>
      <c r="B375" t="str">
        <f ca="1">IFERROR(__xludf.DUMMYFUNCTION("""COMPUTED_VALUE"""),"")</f>
        <v/>
      </c>
      <c r="C375" t="str">
        <f ca="1">IFERROR(__xludf.DUMMYFUNCTION("""COMPUTED_VALUE"""),"")</f>
        <v/>
      </c>
    </row>
    <row r="376" spans="1:3" ht="15" customHeight="1">
      <c r="A376" s="212" t="str">
        <f ca="1">IFERROR(__xludf.DUMMYFUNCTION("""COMPUTED_VALUE"""),"")</f>
        <v/>
      </c>
      <c r="B376" t="str">
        <f ca="1">IFERROR(__xludf.DUMMYFUNCTION("""COMPUTED_VALUE"""),"")</f>
        <v/>
      </c>
      <c r="C376" t="str">
        <f ca="1">IFERROR(__xludf.DUMMYFUNCTION("""COMPUTED_VALUE"""),"")</f>
        <v/>
      </c>
    </row>
    <row r="377" spans="1:3" ht="15" customHeight="1">
      <c r="A377" s="212" t="str">
        <f ca="1">IFERROR(__xludf.DUMMYFUNCTION("""COMPUTED_VALUE"""),"")</f>
        <v/>
      </c>
      <c r="B377" t="str">
        <f ca="1">IFERROR(__xludf.DUMMYFUNCTION("""COMPUTED_VALUE"""),"")</f>
        <v/>
      </c>
      <c r="C377" t="str">
        <f ca="1">IFERROR(__xludf.DUMMYFUNCTION("""COMPUTED_VALUE"""),"")</f>
        <v/>
      </c>
    </row>
    <row r="378" spans="1:3" ht="15" customHeight="1">
      <c r="A378" s="212" t="str">
        <f ca="1">IFERROR(__xludf.DUMMYFUNCTION("""COMPUTED_VALUE"""),"")</f>
        <v/>
      </c>
      <c r="B378" t="str">
        <f ca="1">IFERROR(__xludf.DUMMYFUNCTION("""COMPUTED_VALUE"""),"")</f>
        <v/>
      </c>
      <c r="C378" t="str">
        <f ca="1">IFERROR(__xludf.DUMMYFUNCTION("""COMPUTED_VALUE"""),"")</f>
        <v/>
      </c>
    </row>
    <row r="379" spans="1:3" ht="15" customHeight="1">
      <c r="A379" s="212" t="str">
        <f ca="1">IFERROR(__xludf.DUMMYFUNCTION("""COMPUTED_VALUE"""),"")</f>
        <v/>
      </c>
      <c r="B379" t="str">
        <f ca="1">IFERROR(__xludf.DUMMYFUNCTION("""COMPUTED_VALUE"""),"")</f>
        <v/>
      </c>
      <c r="C379" t="str">
        <f ca="1">IFERROR(__xludf.DUMMYFUNCTION("""COMPUTED_VALUE"""),"")</f>
        <v/>
      </c>
    </row>
    <row r="380" spans="1:3" ht="15" customHeight="1">
      <c r="A380" s="212" t="str">
        <f ca="1">IFERROR(__xludf.DUMMYFUNCTION("""COMPUTED_VALUE"""),"")</f>
        <v/>
      </c>
      <c r="B380" t="str">
        <f ca="1">IFERROR(__xludf.DUMMYFUNCTION("""COMPUTED_VALUE"""),"")</f>
        <v/>
      </c>
      <c r="C380" t="str">
        <f ca="1">IFERROR(__xludf.DUMMYFUNCTION("""COMPUTED_VALUE"""),"")</f>
        <v/>
      </c>
    </row>
    <row r="381" spans="1:3" ht="15" customHeight="1">
      <c r="A381" s="212" t="str">
        <f ca="1">IFERROR(__xludf.DUMMYFUNCTION("""COMPUTED_VALUE"""),"")</f>
        <v/>
      </c>
      <c r="B381" t="str">
        <f ca="1">IFERROR(__xludf.DUMMYFUNCTION("""COMPUTED_VALUE"""),"")</f>
        <v/>
      </c>
      <c r="C381" t="str">
        <f ca="1">IFERROR(__xludf.DUMMYFUNCTION("""COMPUTED_VALUE"""),"")</f>
        <v/>
      </c>
    </row>
    <row r="382" spans="1:3" ht="15" customHeight="1">
      <c r="A382" s="212" t="str">
        <f ca="1">IFERROR(__xludf.DUMMYFUNCTION("""COMPUTED_VALUE"""),"")</f>
        <v/>
      </c>
      <c r="B382" t="str">
        <f ca="1">IFERROR(__xludf.DUMMYFUNCTION("""COMPUTED_VALUE"""),"")</f>
        <v/>
      </c>
      <c r="C382" t="str">
        <f ca="1">IFERROR(__xludf.DUMMYFUNCTION("""COMPUTED_VALUE"""),"")</f>
        <v/>
      </c>
    </row>
    <row r="383" spans="1:3" ht="15" customHeight="1">
      <c r="A383" s="212" t="str">
        <f ca="1">IFERROR(__xludf.DUMMYFUNCTION("""COMPUTED_VALUE"""),"")</f>
        <v/>
      </c>
      <c r="B383" t="str">
        <f ca="1">IFERROR(__xludf.DUMMYFUNCTION("""COMPUTED_VALUE"""),"")</f>
        <v/>
      </c>
      <c r="C383" t="str">
        <f ca="1">IFERROR(__xludf.DUMMYFUNCTION("""COMPUTED_VALUE"""),"")</f>
        <v/>
      </c>
    </row>
    <row r="384" spans="1:3" ht="15" customHeight="1">
      <c r="A384" s="212" t="str">
        <f ca="1">IFERROR(__xludf.DUMMYFUNCTION("""COMPUTED_VALUE"""),"")</f>
        <v/>
      </c>
      <c r="B384" t="str">
        <f ca="1">IFERROR(__xludf.DUMMYFUNCTION("""COMPUTED_VALUE"""),"")</f>
        <v/>
      </c>
      <c r="C384" t="str">
        <f ca="1">IFERROR(__xludf.DUMMYFUNCTION("""COMPUTED_VALUE"""),"")</f>
        <v/>
      </c>
    </row>
    <row r="385" spans="1:3" ht="15" customHeight="1">
      <c r="A385" s="212" t="str">
        <f ca="1">IFERROR(__xludf.DUMMYFUNCTION("""COMPUTED_VALUE"""),"")</f>
        <v/>
      </c>
      <c r="B385" t="str">
        <f ca="1">IFERROR(__xludf.DUMMYFUNCTION("""COMPUTED_VALUE"""),"")</f>
        <v/>
      </c>
      <c r="C385" t="str">
        <f ca="1">IFERROR(__xludf.DUMMYFUNCTION("""COMPUTED_VALUE"""),"")</f>
        <v/>
      </c>
    </row>
    <row r="386" spans="1:3" ht="15" customHeight="1">
      <c r="A386" s="212" t="str">
        <f ca="1">IFERROR(__xludf.DUMMYFUNCTION("""COMPUTED_VALUE"""),"")</f>
        <v/>
      </c>
      <c r="B386" t="str">
        <f ca="1">IFERROR(__xludf.DUMMYFUNCTION("""COMPUTED_VALUE"""),"")</f>
        <v/>
      </c>
      <c r="C386" t="str">
        <f ca="1">IFERROR(__xludf.DUMMYFUNCTION("""COMPUTED_VALUE"""),"")</f>
        <v/>
      </c>
    </row>
    <row r="387" spans="1:3" ht="15" customHeight="1">
      <c r="A387" s="212" t="str">
        <f ca="1">IFERROR(__xludf.DUMMYFUNCTION("""COMPUTED_VALUE"""),"")</f>
        <v/>
      </c>
      <c r="B387" t="str">
        <f ca="1">IFERROR(__xludf.DUMMYFUNCTION("""COMPUTED_VALUE"""),"")</f>
        <v/>
      </c>
      <c r="C387" t="str">
        <f ca="1">IFERROR(__xludf.DUMMYFUNCTION("""COMPUTED_VALUE"""),"")</f>
        <v/>
      </c>
    </row>
    <row r="388" spans="1:3" ht="15" customHeight="1">
      <c r="A388" s="212" t="str">
        <f ca="1">IFERROR(__xludf.DUMMYFUNCTION("""COMPUTED_VALUE"""),"")</f>
        <v/>
      </c>
      <c r="B388" t="str">
        <f ca="1">IFERROR(__xludf.DUMMYFUNCTION("""COMPUTED_VALUE"""),"")</f>
        <v/>
      </c>
      <c r="C388" t="str">
        <f ca="1">IFERROR(__xludf.DUMMYFUNCTION("""COMPUTED_VALUE"""),"")</f>
        <v/>
      </c>
    </row>
    <row r="389" spans="1:3" ht="15" customHeight="1">
      <c r="A389" s="212" t="str">
        <f ca="1">IFERROR(__xludf.DUMMYFUNCTION("""COMPUTED_VALUE"""),"")</f>
        <v/>
      </c>
      <c r="B389" t="str">
        <f ca="1">IFERROR(__xludf.DUMMYFUNCTION("""COMPUTED_VALUE"""),"")</f>
        <v/>
      </c>
      <c r="C389" t="str">
        <f ca="1">IFERROR(__xludf.DUMMYFUNCTION("""COMPUTED_VALUE"""),"")</f>
        <v/>
      </c>
    </row>
    <row r="390" spans="1:3" ht="15" customHeight="1">
      <c r="A390" s="212" t="str">
        <f ca="1">IFERROR(__xludf.DUMMYFUNCTION("""COMPUTED_VALUE"""),"")</f>
        <v/>
      </c>
      <c r="B390" t="str">
        <f ca="1">IFERROR(__xludf.DUMMYFUNCTION("""COMPUTED_VALUE"""),"")</f>
        <v/>
      </c>
      <c r="C390" t="str">
        <f ca="1">IFERROR(__xludf.DUMMYFUNCTION("""COMPUTED_VALUE"""),"")</f>
        <v/>
      </c>
    </row>
    <row r="391" spans="1:3" ht="15" customHeight="1">
      <c r="A391" s="212" t="str">
        <f ca="1">IFERROR(__xludf.DUMMYFUNCTION("""COMPUTED_VALUE"""),"")</f>
        <v/>
      </c>
      <c r="B391" t="str">
        <f ca="1">IFERROR(__xludf.DUMMYFUNCTION("""COMPUTED_VALUE"""),"")</f>
        <v/>
      </c>
      <c r="C391" t="str">
        <f ca="1">IFERROR(__xludf.DUMMYFUNCTION("""COMPUTED_VALUE"""),"")</f>
        <v/>
      </c>
    </row>
    <row r="392" spans="1:3" ht="15" customHeight="1">
      <c r="A392" s="212" t="str">
        <f ca="1">IFERROR(__xludf.DUMMYFUNCTION("""COMPUTED_VALUE"""),"")</f>
        <v/>
      </c>
      <c r="B392" t="str">
        <f ca="1">IFERROR(__xludf.DUMMYFUNCTION("""COMPUTED_VALUE"""),"")</f>
        <v/>
      </c>
      <c r="C392" t="str">
        <f ca="1">IFERROR(__xludf.DUMMYFUNCTION("""COMPUTED_VALUE"""),"")</f>
        <v/>
      </c>
    </row>
    <row r="393" spans="1:3" ht="15" customHeight="1">
      <c r="A393" s="212" t="str">
        <f ca="1">IFERROR(__xludf.DUMMYFUNCTION("""COMPUTED_VALUE"""),"")</f>
        <v/>
      </c>
      <c r="B393" t="str">
        <f ca="1">IFERROR(__xludf.DUMMYFUNCTION("""COMPUTED_VALUE"""),"")</f>
        <v/>
      </c>
      <c r="C393" t="str">
        <f ca="1">IFERROR(__xludf.DUMMYFUNCTION("""COMPUTED_VALUE"""),"")</f>
        <v/>
      </c>
    </row>
    <row r="394" spans="1:3" ht="15" customHeight="1">
      <c r="A394" s="212" t="str">
        <f ca="1">IFERROR(__xludf.DUMMYFUNCTION("""COMPUTED_VALUE"""),"")</f>
        <v/>
      </c>
      <c r="B394" t="str">
        <f ca="1">IFERROR(__xludf.DUMMYFUNCTION("""COMPUTED_VALUE"""),"")</f>
        <v/>
      </c>
      <c r="C394" t="str">
        <f ca="1">IFERROR(__xludf.DUMMYFUNCTION("""COMPUTED_VALUE"""),"")</f>
        <v/>
      </c>
    </row>
    <row r="395" spans="1:3" ht="15" customHeight="1">
      <c r="A395" s="212" t="str">
        <f ca="1">IFERROR(__xludf.DUMMYFUNCTION("""COMPUTED_VALUE"""),"")</f>
        <v/>
      </c>
      <c r="B395" t="str">
        <f ca="1">IFERROR(__xludf.DUMMYFUNCTION("""COMPUTED_VALUE"""),"")</f>
        <v/>
      </c>
      <c r="C395" t="str">
        <f ca="1">IFERROR(__xludf.DUMMYFUNCTION("""COMPUTED_VALUE"""),"")</f>
        <v/>
      </c>
    </row>
    <row r="396" spans="1:3" ht="15" customHeight="1">
      <c r="A396" s="212" t="str">
        <f ca="1">IFERROR(__xludf.DUMMYFUNCTION("""COMPUTED_VALUE"""),"")</f>
        <v/>
      </c>
      <c r="B396" t="str">
        <f ca="1">IFERROR(__xludf.DUMMYFUNCTION("""COMPUTED_VALUE"""),"")</f>
        <v/>
      </c>
      <c r="C396" t="str">
        <f ca="1">IFERROR(__xludf.DUMMYFUNCTION("""COMPUTED_VALUE"""),"")</f>
        <v/>
      </c>
    </row>
    <row r="397" spans="1:3" ht="15" customHeight="1">
      <c r="A397" s="212" t="str">
        <f ca="1">IFERROR(__xludf.DUMMYFUNCTION("""COMPUTED_VALUE"""),"")</f>
        <v/>
      </c>
      <c r="B397" t="str">
        <f ca="1">IFERROR(__xludf.DUMMYFUNCTION("""COMPUTED_VALUE"""),"")</f>
        <v/>
      </c>
      <c r="C397" t="str">
        <f ca="1">IFERROR(__xludf.DUMMYFUNCTION("""COMPUTED_VALUE"""),"")</f>
        <v/>
      </c>
    </row>
    <row r="398" spans="1:3" ht="15" customHeight="1">
      <c r="A398" s="212" t="str">
        <f ca="1">IFERROR(__xludf.DUMMYFUNCTION("""COMPUTED_VALUE"""),"")</f>
        <v/>
      </c>
      <c r="B398" t="str">
        <f ca="1">IFERROR(__xludf.DUMMYFUNCTION("""COMPUTED_VALUE"""),"")</f>
        <v/>
      </c>
      <c r="C398" t="str">
        <f ca="1">IFERROR(__xludf.DUMMYFUNCTION("""COMPUTED_VALUE"""),"")</f>
        <v/>
      </c>
    </row>
    <row r="399" spans="1:3" ht="15" customHeight="1">
      <c r="A399" s="212" t="str">
        <f ca="1">IFERROR(__xludf.DUMMYFUNCTION("""COMPUTED_VALUE"""),"")</f>
        <v/>
      </c>
      <c r="B399" t="str">
        <f ca="1">IFERROR(__xludf.DUMMYFUNCTION("""COMPUTED_VALUE"""),"")</f>
        <v/>
      </c>
      <c r="C399" t="str">
        <f ca="1">IFERROR(__xludf.DUMMYFUNCTION("""COMPUTED_VALUE"""),"")</f>
        <v/>
      </c>
    </row>
    <row r="400" spans="1:3" ht="15" customHeight="1">
      <c r="A400" s="212" t="str">
        <f ca="1">IFERROR(__xludf.DUMMYFUNCTION("""COMPUTED_VALUE"""),"")</f>
        <v/>
      </c>
      <c r="B400" t="str">
        <f ca="1">IFERROR(__xludf.DUMMYFUNCTION("""COMPUTED_VALUE"""),"")</f>
        <v/>
      </c>
      <c r="C400" t="str">
        <f ca="1">IFERROR(__xludf.DUMMYFUNCTION("""COMPUTED_VALUE"""),"")</f>
        <v/>
      </c>
    </row>
    <row r="401" spans="1:3" ht="15" customHeight="1">
      <c r="A401" s="212" t="str">
        <f ca="1">IFERROR(__xludf.DUMMYFUNCTION("""COMPUTED_VALUE"""),"")</f>
        <v/>
      </c>
      <c r="B401" t="str">
        <f ca="1">IFERROR(__xludf.DUMMYFUNCTION("""COMPUTED_VALUE"""),"")</f>
        <v/>
      </c>
      <c r="C401" t="str">
        <f ca="1">IFERROR(__xludf.DUMMYFUNCTION("""COMPUTED_VALUE"""),"")</f>
        <v/>
      </c>
    </row>
    <row r="402" spans="1:3" ht="15" customHeight="1">
      <c r="A402" s="212" t="str">
        <f ca="1">IFERROR(__xludf.DUMMYFUNCTION("""COMPUTED_VALUE"""),"")</f>
        <v/>
      </c>
      <c r="B402" t="str">
        <f ca="1">IFERROR(__xludf.DUMMYFUNCTION("""COMPUTED_VALUE"""),"")</f>
        <v/>
      </c>
      <c r="C402" t="str">
        <f ca="1">IFERROR(__xludf.DUMMYFUNCTION("""COMPUTED_VALUE"""),"")</f>
        <v/>
      </c>
    </row>
    <row r="403" spans="1:3" ht="15" customHeight="1">
      <c r="A403" s="212" t="str">
        <f ca="1">IFERROR(__xludf.DUMMYFUNCTION("""COMPUTED_VALUE"""),"")</f>
        <v/>
      </c>
      <c r="B403" t="str">
        <f ca="1">IFERROR(__xludf.DUMMYFUNCTION("""COMPUTED_VALUE"""),"")</f>
        <v/>
      </c>
      <c r="C403" t="str">
        <f ca="1">IFERROR(__xludf.DUMMYFUNCTION("""COMPUTED_VALUE"""),"")</f>
        <v/>
      </c>
    </row>
    <row r="404" spans="1:3" ht="15" customHeight="1">
      <c r="A404" s="212" t="str">
        <f ca="1">IFERROR(__xludf.DUMMYFUNCTION("""COMPUTED_VALUE"""),"")</f>
        <v/>
      </c>
      <c r="B404" t="str">
        <f ca="1">IFERROR(__xludf.DUMMYFUNCTION("""COMPUTED_VALUE"""),"")</f>
        <v/>
      </c>
      <c r="C404" t="str">
        <f ca="1">IFERROR(__xludf.DUMMYFUNCTION("""COMPUTED_VALUE"""),"")</f>
        <v/>
      </c>
    </row>
    <row r="405" spans="1:3" ht="15" customHeight="1">
      <c r="A405" s="212" t="str">
        <f ca="1">IFERROR(__xludf.DUMMYFUNCTION("""COMPUTED_VALUE"""),"")</f>
        <v/>
      </c>
      <c r="B405" t="str">
        <f ca="1">IFERROR(__xludf.DUMMYFUNCTION("""COMPUTED_VALUE"""),"")</f>
        <v/>
      </c>
      <c r="C405" t="str">
        <f ca="1">IFERROR(__xludf.DUMMYFUNCTION("""COMPUTED_VALUE"""),"")</f>
        <v/>
      </c>
    </row>
    <row r="406" spans="1:3" ht="15" customHeight="1">
      <c r="A406" s="212" t="str">
        <f ca="1">IFERROR(__xludf.DUMMYFUNCTION("""COMPUTED_VALUE"""),"")</f>
        <v/>
      </c>
      <c r="B406" t="str">
        <f ca="1">IFERROR(__xludf.DUMMYFUNCTION("""COMPUTED_VALUE"""),"")</f>
        <v/>
      </c>
      <c r="C406" t="str">
        <f ca="1">IFERROR(__xludf.DUMMYFUNCTION("""COMPUTED_VALUE"""),"")</f>
        <v/>
      </c>
    </row>
    <row r="407" spans="1:3" ht="15" customHeight="1">
      <c r="A407" s="212" t="str">
        <f ca="1">IFERROR(__xludf.DUMMYFUNCTION("""COMPUTED_VALUE"""),"")</f>
        <v/>
      </c>
      <c r="B407" t="str">
        <f ca="1">IFERROR(__xludf.DUMMYFUNCTION("""COMPUTED_VALUE"""),"")</f>
        <v/>
      </c>
      <c r="C407" t="str">
        <f ca="1">IFERROR(__xludf.DUMMYFUNCTION("""COMPUTED_VALUE"""),"")</f>
        <v/>
      </c>
    </row>
    <row r="408" spans="1:3" ht="15" customHeight="1">
      <c r="A408" s="212" t="str">
        <f ca="1">IFERROR(__xludf.DUMMYFUNCTION("""COMPUTED_VALUE"""),"")</f>
        <v/>
      </c>
      <c r="B408" t="str">
        <f ca="1">IFERROR(__xludf.DUMMYFUNCTION("""COMPUTED_VALUE"""),"")</f>
        <v/>
      </c>
      <c r="C408" t="str">
        <f ca="1">IFERROR(__xludf.DUMMYFUNCTION("""COMPUTED_VALUE"""),"")</f>
        <v/>
      </c>
    </row>
    <row r="409" spans="1:3" ht="15" customHeight="1">
      <c r="A409" s="212" t="str">
        <f ca="1">IFERROR(__xludf.DUMMYFUNCTION("""COMPUTED_VALUE"""),"")</f>
        <v/>
      </c>
      <c r="B409" t="str">
        <f ca="1">IFERROR(__xludf.DUMMYFUNCTION("""COMPUTED_VALUE"""),"")</f>
        <v/>
      </c>
      <c r="C409" t="str">
        <f ca="1">IFERROR(__xludf.DUMMYFUNCTION("""COMPUTED_VALUE"""),"")</f>
        <v/>
      </c>
    </row>
    <row r="410" spans="1:3" ht="15" customHeight="1">
      <c r="A410" s="212" t="str">
        <f ca="1">IFERROR(__xludf.DUMMYFUNCTION("""COMPUTED_VALUE"""),"")</f>
        <v/>
      </c>
      <c r="B410" t="str">
        <f ca="1">IFERROR(__xludf.DUMMYFUNCTION("""COMPUTED_VALUE"""),"")</f>
        <v/>
      </c>
      <c r="C410" t="str">
        <f ca="1">IFERROR(__xludf.DUMMYFUNCTION("""COMPUTED_VALUE"""),"")</f>
        <v/>
      </c>
    </row>
    <row r="411" spans="1:3" ht="15" customHeight="1">
      <c r="A411" s="212" t="str">
        <f ca="1">IFERROR(__xludf.DUMMYFUNCTION("""COMPUTED_VALUE"""),"")</f>
        <v/>
      </c>
      <c r="B411" t="str">
        <f ca="1">IFERROR(__xludf.DUMMYFUNCTION("""COMPUTED_VALUE"""),"")</f>
        <v/>
      </c>
      <c r="C411" t="str">
        <f ca="1">IFERROR(__xludf.DUMMYFUNCTION("""COMPUTED_VALUE"""),"")</f>
        <v/>
      </c>
    </row>
    <row r="412" spans="1:3" ht="15" customHeight="1">
      <c r="A412" s="212" t="str">
        <f ca="1">IFERROR(__xludf.DUMMYFUNCTION("""COMPUTED_VALUE"""),"")</f>
        <v/>
      </c>
      <c r="B412" t="str">
        <f ca="1">IFERROR(__xludf.DUMMYFUNCTION("""COMPUTED_VALUE"""),"")</f>
        <v/>
      </c>
      <c r="C412" t="str">
        <f ca="1">IFERROR(__xludf.DUMMYFUNCTION("""COMPUTED_VALUE"""),"")</f>
        <v/>
      </c>
    </row>
    <row r="413" spans="1:3" ht="15" customHeight="1">
      <c r="A413" s="212" t="str">
        <f ca="1">IFERROR(__xludf.DUMMYFUNCTION("""COMPUTED_VALUE"""),"")</f>
        <v/>
      </c>
      <c r="B413" t="str">
        <f ca="1">IFERROR(__xludf.DUMMYFUNCTION("""COMPUTED_VALUE"""),"")</f>
        <v/>
      </c>
      <c r="C413" t="str">
        <f ca="1">IFERROR(__xludf.DUMMYFUNCTION("""COMPUTED_VALUE"""),"")</f>
        <v/>
      </c>
    </row>
    <row r="414" spans="1:3" ht="15" customHeight="1">
      <c r="A414" s="212" t="str">
        <f ca="1">IFERROR(__xludf.DUMMYFUNCTION("""COMPUTED_VALUE"""),"")</f>
        <v/>
      </c>
      <c r="B414" t="str">
        <f ca="1">IFERROR(__xludf.DUMMYFUNCTION("""COMPUTED_VALUE"""),"")</f>
        <v/>
      </c>
      <c r="C414" t="str">
        <f ca="1">IFERROR(__xludf.DUMMYFUNCTION("""COMPUTED_VALUE"""),"")</f>
        <v/>
      </c>
    </row>
    <row r="415" spans="1:3" ht="15" customHeight="1">
      <c r="A415" s="212" t="str">
        <f ca="1">IFERROR(__xludf.DUMMYFUNCTION("""COMPUTED_VALUE"""),"")</f>
        <v/>
      </c>
      <c r="B415" t="str">
        <f ca="1">IFERROR(__xludf.DUMMYFUNCTION("""COMPUTED_VALUE"""),"")</f>
        <v/>
      </c>
      <c r="C415" t="str">
        <f ca="1">IFERROR(__xludf.DUMMYFUNCTION("""COMPUTED_VALUE"""),"")</f>
        <v/>
      </c>
    </row>
    <row r="416" spans="1:3" ht="15" customHeight="1">
      <c r="A416" s="212" t="str">
        <f ca="1">IFERROR(__xludf.DUMMYFUNCTION("""COMPUTED_VALUE"""),"")</f>
        <v/>
      </c>
      <c r="B416" t="str">
        <f ca="1">IFERROR(__xludf.DUMMYFUNCTION("""COMPUTED_VALUE"""),"")</f>
        <v/>
      </c>
      <c r="C416" t="str">
        <f ca="1">IFERROR(__xludf.DUMMYFUNCTION("""COMPUTED_VALUE"""),"")</f>
        <v/>
      </c>
    </row>
    <row r="417" spans="1:3" ht="15" customHeight="1">
      <c r="A417" s="212" t="str">
        <f ca="1">IFERROR(__xludf.DUMMYFUNCTION("""COMPUTED_VALUE"""),"")</f>
        <v/>
      </c>
      <c r="B417" t="str">
        <f ca="1">IFERROR(__xludf.DUMMYFUNCTION("""COMPUTED_VALUE"""),"")</f>
        <v/>
      </c>
      <c r="C417" t="str">
        <f ca="1">IFERROR(__xludf.DUMMYFUNCTION("""COMPUTED_VALUE"""),"")</f>
        <v/>
      </c>
    </row>
    <row r="418" spans="1:3" ht="15" customHeight="1">
      <c r="A418" s="212" t="str">
        <f ca="1">IFERROR(__xludf.DUMMYFUNCTION("""COMPUTED_VALUE"""),"")</f>
        <v/>
      </c>
      <c r="B418" t="str">
        <f ca="1">IFERROR(__xludf.DUMMYFUNCTION("""COMPUTED_VALUE"""),"")</f>
        <v/>
      </c>
      <c r="C418" t="str">
        <f ca="1">IFERROR(__xludf.DUMMYFUNCTION("""COMPUTED_VALUE"""),"")</f>
        <v/>
      </c>
    </row>
    <row r="419" spans="1:3" ht="15" customHeight="1">
      <c r="A419" s="212" t="str">
        <f ca="1">IFERROR(__xludf.DUMMYFUNCTION("""COMPUTED_VALUE"""),"")</f>
        <v/>
      </c>
      <c r="B419" t="str">
        <f ca="1">IFERROR(__xludf.DUMMYFUNCTION("""COMPUTED_VALUE"""),"")</f>
        <v/>
      </c>
      <c r="C419" t="str">
        <f ca="1">IFERROR(__xludf.DUMMYFUNCTION("""COMPUTED_VALUE"""),"")</f>
        <v/>
      </c>
    </row>
    <row r="420" spans="1:3" ht="15" customHeight="1">
      <c r="A420" s="212" t="str">
        <f ca="1">IFERROR(__xludf.DUMMYFUNCTION("""COMPUTED_VALUE"""),"")</f>
        <v/>
      </c>
      <c r="B420" t="str">
        <f ca="1">IFERROR(__xludf.DUMMYFUNCTION("""COMPUTED_VALUE"""),"")</f>
        <v/>
      </c>
      <c r="C420" t="str">
        <f ca="1">IFERROR(__xludf.DUMMYFUNCTION("""COMPUTED_VALUE"""),"")</f>
        <v/>
      </c>
    </row>
    <row r="421" spans="1:3" ht="15" customHeight="1">
      <c r="A421" s="212" t="str">
        <f ca="1">IFERROR(__xludf.DUMMYFUNCTION("""COMPUTED_VALUE"""),"")</f>
        <v/>
      </c>
      <c r="B421" t="str">
        <f ca="1">IFERROR(__xludf.DUMMYFUNCTION("""COMPUTED_VALUE"""),"")</f>
        <v/>
      </c>
      <c r="C421" t="str">
        <f ca="1">IFERROR(__xludf.DUMMYFUNCTION("""COMPUTED_VALUE"""),"")</f>
        <v/>
      </c>
    </row>
    <row r="422" spans="1:3" ht="15" customHeight="1">
      <c r="A422" s="212" t="str">
        <f ca="1">IFERROR(__xludf.DUMMYFUNCTION("""COMPUTED_VALUE"""),"")</f>
        <v/>
      </c>
      <c r="B422" t="str">
        <f ca="1">IFERROR(__xludf.DUMMYFUNCTION("""COMPUTED_VALUE"""),"")</f>
        <v/>
      </c>
      <c r="C422" t="str">
        <f ca="1">IFERROR(__xludf.DUMMYFUNCTION("""COMPUTED_VALUE"""),"")</f>
        <v/>
      </c>
    </row>
    <row r="423" spans="1:3" ht="15" customHeight="1">
      <c r="A423" s="212" t="str">
        <f ca="1">IFERROR(__xludf.DUMMYFUNCTION("""COMPUTED_VALUE"""),"")</f>
        <v/>
      </c>
      <c r="B423" t="str">
        <f ca="1">IFERROR(__xludf.DUMMYFUNCTION("""COMPUTED_VALUE"""),"")</f>
        <v/>
      </c>
      <c r="C423" t="str">
        <f ca="1">IFERROR(__xludf.DUMMYFUNCTION("""COMPUTED_VALUE"""),"")</f>
        <v/>
      </c>
    </row>
    <row r="424" spans="1:3" ht="15" customHeight="1">
      <c r="A424" s="212" t="str">
        <f ca="1">IFERROR(__xludf.DUMMYFUNCTION("""COMPUTED_VALUE"""),"")</f>
        <v/>
      </c>
      <c r="B424" t="str">
        <f ca="1">IFERROR(__xludf.DUMMYFUNCTION("""COMPUTED_VALUE"""),"")</f>
        <v/>
      </c>
      <c r="C424" t="str">
        <f ca="1">IFERROR(__xludf.DUMMYFUNCTION("""COMPUTED_VALUE"""),"")</f>
        <v/>
      </c>
    </row>
    <row r="425" spans="1:3" ht="15" customHeight="1">
      <c r="A425" s="212" t="str">
        <f ca="1">IFERROR(__xludf.DUMMYFUNCTION("""COMPUTED_VALUE"""),"")</f>
        <v/>
      </c>
      <c r="B425" t="str">
        <f ca="1">IFERROR(__xludf.DUMMYFUNCTION("""COMPUTED_VALUE"""),"")</f>
        <v/>
      </c>
      <c r="C425" t="str">
        <f ca="1">IFERROR(__xludf.DUMMYFUNCTION("""COMPUTED_VALUE"""),"")</f>
        <v/>
      </c>
    </row>
    <row r="426" spans="1:3" ht="15" customHeight="1">
      <c r="A426" s="212" t="str">
        <f ca="1">IFERROR(__xludf.DUMMYFUNCTION("""COMPUTED_VALUE"""),"")</f>
        <v/>
      </c>
      <c r="B426" t="str">
        <f ca="1">IFERROR(__xludf.DUMMYFUNCTION("""COMPUTED_VALUE"""),"")</f>
        <v/>
      </c>
      <c r="C426" t="str">
        <f ca="1">IFERROR(__xludf.DUMMYFUNCTION("""COMPUTED_VALUE"""),"")</f>
        <v/>
      </c>
    </row>
    <row r="427" spans="1:3" ht="15" customHeight="1">
      <c r="A427" s="212" t="str">
        <f ca="1">IFERROR(__xludf.DUMMYFUNCTION("""COMPUTED_VALUE"""),"")</f>
        <v/>
      </c>
      <c r="B427" t="str">
        <f ca="1">IFERROR(__xludf.DUMMYFUNCTION("""COMPUTED_VALUE"""),"")</f>
        <v/>
      </c>
      <c r="C427" t="str">
        <f ca="1">IFERROR(__xludf.DUMMYFUNCTION("""COMPUTED_VALUE"""),"")</f>
        <v/>
      </c>
    </row>
    <row r="428" spans="1:3" ht="15" customHeight="1">
      <c r="A428" s="212" t="str">
        <f ca="1">IFERROR(__xludf.DUMMYFUNCTION("""COMPUTED_VALUE"""),"")</f>
        <v/>
      </c>
      <c r="B428" t="str">
        <f ca="1">IFERROR(__xludf.DUMMYFUNCTION("""COMPUTED_VALUE"""),"")</f>
        <v/>
      </c>
      <c r="C428" t="str">
        <f ca="1">IFERROR(__xludf.DUMMYFUNCTION("""COMPUTED_VALUE"""),"")</f>
        <v/>
      </c>
    </row>
    <row r="429" spans="1:3" ht="15" customHeight="1">
      <c r="A429" s="212" t="str">
        <f ca="1">IFERROR(__xludf.DUMMYFUNCTION("""COMPUTED_VALUE"""),"")</f>
        <v/>
      </c>
      <c r="B429" t="str">
        <f ca="1">IFERROR(__xludf.DUMMYFUNCTION("""COMPUTED_VALUE"""),"")</f>
        <v/>
      </c>
      <c r="C429" t="str">
        <f ca="1">IFERROR(__xludf.DUMMYFUNCTION("""COMPUTED_VALUE"""),"")</f>
        <v/>
      </c>
    </row>
    <row r="430" spans="1:3" ht="15" customHeight="1">
      <c r="A430" s="212" t="str">
        <f ca="1">IFERROR(__xludf.DUMMYFUNCTION("""COMPUTED_VALUE"""),"")</f>
        <v/>
      </c>
      <c r="B430" t="str">
        <f ca="1">IFERROR(__xludf.DUMMYFUNCTION("""COMPUTED_VALUE"""),"")</f>
        <v/>
      </c>
      <c r="C430" t="str">
        <f ca="1">IFERROR(__xludf.DUMMYFUNCTION("""COMPUTED_VALUE"""),"")</f>
        <v/>
      </c>
    </row>
    <row r="431" spans="1:3" ht="15" customHeight="1">
      <c r="A431" s="212" t="str">
        <f ca="1">IFERROR(__xludf.DUMMYFUNCTION("""COMPUTED_VALUE"""),"")</f>
        <v/>
      </c>
      <c r="B431" t="str">
        <f ca="1">IFERROR(__xludf.DUMMYFUNCTION("""COMPUTED_VALUE"""),"")</f>
        <v/>
      </c>
      <c r="C431" t="str">
        <f ca="1">IFERROR(__xludf.DUMMYFUNCTION("""COMPUTED_VALUE"""),"")</f>
        <v/>
      </c>
    </row>
    <row r="432" spans="1:3" ht="15" customHeight="1">
      <c r="A432" s="212" t="str">
        <f ca="1">IFERROR(__xludf.DUMMYFUNCTION("""COMPUTED_VALUE"""),"")</f>
        <v/>
      </c>
      <c r="B432" t="str">
        <f ca="1">IFERROR(__xludf.DUMMYFUNCTION("""COMPUTED_VALUE"""),"")</f>
        <v/>
      </c>
      <c r="C432" t="str">
        <f ca="1">IFERROR(__xludf.DUMMYFUNCTION("""COMPUTED_VALUE"""),"")</f>
        <v/>
      </c>
    </row>
    <row r="433" spans="1:3" ht="15" customHeight="1">
      <c r="A433" s="212" t="str">
        <f ca="1">IFERROR(__xludf.DUMMYFUNCTION("""COMPUTED_VALUE"""),"")</f>
        <v/>
      </c>
      <c r="B433" t="str">
        <f ca="1">IFERROR(__xludf.DUMMYFUNCTION("""COMPUTED_VALUE"""),"")</f>
        <v/>
      </c>
      <c r="C433" t="str">
        <f ca="1">IFERROR(__xludf.DUMMYFUNCTION("""COMPUTED_VALUE"""),"")</f>
        <v/>
      </c>
    </row>
    <row r="434" spans="1:3" ht="15" customHeight="1">
      <c r="A434" s="212" t="str">
        <f ca="1">IFERROR(__xludf.DUMMYFUNCTION("""COMPUTED_VALUE"""),"")</f>
        <v/>
      </c>
      <c r="B434" t="str">
        <f ca="1">IFERROR(__xludf.DUMMYFUNCTION("""COMPUTED_VALUE"""),"")</f>
        <v/>
      </c>
      <c r="C434" t="str">
        <f ca="1">IFERROR(__xludf.DUMMYFUNCTION("""COMPUTED_VALUE"""),"")</f>
        <v/>
      </c>
    </row>
    <row r="435" spans="1:3" ht="15" customHeight="1">
      <c r="A435" s="212" t="str">
        <f ca="1">IFERROR(__xludf.DUMMYFUNCTION("""COMPUTED_VALUE"""),"")</f>
        <v/>
      </c>
      <c r="B435" t="str">
        <f ca="1">IFERROR(__xludf.DUMMYFUNCTION("""COMPUTED_VALUE"""),"")</f>
        <v/>
      </c>
      <c r="C435" t="str">
        <f ca="1">IFERROR(__xludf.DUMMYFUNCTION("""COMPUTED_VALUE"""),"")</f>
        <v/>
      </c>
    </row>
    <row r="436" spans="1:3" ht="15" customHeight="1">
      <c r="A436" s="212" t="str">
        <f ca="1">IFERROR(__xludf.DUMMYFUNCTION("""COMPUTED_VALUE"""),"")</f>
        <v/>
      </c>
      <c r="B436" t="str">
        <f ca="1">IFERROR(__xludf.DUMMYFUNCTION("""COMPUTED_VALUE"""),"")</f>
        <v/>
      </c>
      <c r="C436" t="str">
        <f ca="1">IFERROR(__xludf.DUMMYFUNCTION("""COMPUTED_VALUE"""),"")</f>
        <v/>
      </c>
    </row>
    <row r="437" spans="1:3" ht="15" customHeight="1">
      <c r="A437" s="212" t="str">
        <f ca="1">IFERROR(__xludf.DUMMYFUNCTION("""COMPUTED_VALUE"""),"")</f>
        <v/>
      </c>
      <c r="B437" t="str">
        <f ca="1">IFERROR(__xludf.DUMMYFUNCTION("""COMPUTED_VALUE"""),"")</f>
        <v/>
      </c>
      <c r="C437" t="str">
        <f ca="1">IFERROR(__xludf.DUMMYFUNCTION("""COMPUTED_VALUE"""),"")</f>
        <v/>
      </c>
    </row>
    <row r="438" spans="1:3" ht="15" customHeight="1">
      <c r="A438" s="212" t="str">
        <f ca="1">IFERROR(__xludf.DUMMYFUNCTION("""COMPUTED_VALUE"""),"")</f>
        <v/>
      </c>
      <c r="B438" t="str">
        <f ca="1">IFERROR(__xludf.DUMMYFUNCTION("""COMPUTED_VALUE"""),"")</f>
        <v/>
      </c>
      <c r="C438" t="str">
        <f ca="1">IFERROR(__xludf.DUMMYFUNCTION("""COMPUTED_VALUE"""),"")</f>
        <v/>
      </c>
    </row>
    <row r="439" spans="1:3" ht="15" customHeight="1">
      <c r="A439" s="212" t="str">
        <f ca="1">IFERROR(__xludf.DUMMYFUNCTION("""COMPUTED_VALUE"""),"")</f>
        <v/>
      </c>
      <c r="B439" t="str">
        <f ca="1">IFERROR(__xludf.DUMMYFUNCTION("""COMPUTED_VALUE"""),"")</f>
        <v/>
      </c>
      <c r="C439" t="str">
        <f ca="1">IFERROR(__xludf.DUMMYFUNCTION("""COMPUTED_VALUE"""),"")</f>
        <v/>
      </c>
    </row>
    <row r="440" spans="1:3" ht="15" customHeight="1">
      <c r="A440" s="212" t="str">
        <f ca="1">IFERROR(__xludf.DUMMYFUNCTION("""COMPUTED_VALUE"""),"")</f>
        <v/>
      </c>
      <c r="B440" t="str">
        <f ca="1">IFERROR(__xludf.DUMMYFUNCTION("""COMPUTED_VALUE"""),"")</f>
        <v/>
      </c>
      <c r="C440" t="str">
        <f ca="1">IFERROR(__xludf.DUMMYFUNCTION("""COMPUTED_VALUE"""),"")</f>
        <v/>
      </c>
    </row>
    <row r="441" spans="1:3" ht="15" customHeight="1">
      <c r="A441" s="212" t="str">
        <f ca="1">IFERROR(__xludf.DUMMYFUNCTION("""COMPUTED_VALUE"""),"")</f>
        <v/>
      </c>
      <c r="B441" t="str">
        <f ca="1">IFERROR(__xludf.DUMMYFUNCTION("""COMPUTED_VALUE"""),"")</f>
        <v/>
      </c>
      <c r="C441" t="str">
        <f ca="1">IFERROR(__xludf.DUMMYFUNCTION("""COMPUTED_VALUE"""),"")</f>
        <v/>
      </c>
    </row>
    <row r="442" spans="1:3" ht="15" customHeight="1">
      <c r="A442" s="212" t="str">
        <f ca="1">IFERROR(__xludf.DUMMYFUNCTION("""COMPUTED_VALUE"""),"")</f>
        <v/>
      </c>
      <c r="B442" t="str">
        <f ca="1">IFERROR(__xludf.DUMMYFUNCTION("""COMPUTED_VALUE"""),"")</f>
        <v/>
      </c>
      <c r="C442" t="str">
        <f ca="1">IFERROR(__xludf.DUMMYFUNCTION("""COMPUTED_VALUE"""),"")</f>
        <v/>
      </c>
    </row>
    <row r="443" spans="1:3" ht="15" customHeight="1">
      <c r="A443" s="212" t="str">
        <f ca="1">IFERROR(__xludf.DUMMYFUNCTION("""COMPUTED_VALUE"""),"")</f>
        <v/>
      </c>
      <c r="B443" t="str">
        <f ca="1">IFERROR(__xludf.DUMMYFUNCTION("""COMPUTED_VALUE"""),"")</f>
        <v/>
      </c>
      <c r="C443" t="str">
        <f ca="1">IFERROR(__xludf.DUMMYFUNCTION("""COMPUTED_VALUE"""),"")</f>
        <v/>
      </c>
    </row>
    <row r="444" spans="1:3" ht="15" customHeight="1">
      <c r="A444" s="212" t="str">
        <f ca="1">IFERROR(__xludf.DUMMYFUNCTION("""COMPUTED_VALUE"""),"")</f>
        <v/>
      </c>
      <c r="B444" t="str">
        <f ca="1">IFERROR(__xludf.DUMMYFUNCTION("""COMPUTED_VALUE"""),"")</f>
        <v/>
      </c>
      <c r="C444" t="str">
        <f ca="1">IFERROR(__xludf.DUMMYFUNCTION("""COMPUTED_VALUE"""),"")</f>
        <v/>
      </c>
    </row>
    <row r="445" spans="1:3" ht="15" customHeight="1">
      <c r="A445" s="212" t="str">
        <f ca="1">IFERROR(__xludf.DUMMYFUNCTION("""COMPUTED_VALUE"""),"")</f>
        <v/>
      </c>
      <c r="B445" t="str">
        <f ca="1">IFERROR(__xludf.DUMMYFUNCTION("""COMPUTED_VALUE"""),"")</f>
        <v/>
      </c>
      <c r="C445" t="str">
        <f ca="1">IFERROR(__xludf.DUMMYFUNCTION("""COMPUTED_VALUE"""),"")</f>
        <v/>
      </c>
    </row>
    <row r="446" spans="1:3" ht="15" customHeight="1">
      <c r="A446" s="212" t="str">
        <f ca="1">IFERROR(__xludf.DUMMYFUNCTION("""COMPUTED_VALUE"""),"")</f>
        <v/>
      </c>
      <c r="B446" t="str">
        <f ca="1">IFERROR(__xludf.DUMMYFUNCTION("""COMPUTED_VALUE"""),"")</f>
        <v/>
      </c>
      <c r="C446" t="str">
        <f ca="1">IFERROR(__xludf.DUMMYFUNCTION("""COMPUTED_VALUE"""),"")</f>
        <v/>
      </c>
    </row>
    <row r="447" spans="1:3" ht="15" customHeight="1">
      <c r="A447" s="212" t="str">
        <f ca="1">IFERROR(__xludf.DUMMYFUNCTION("""COMPUTED_VALUE"""),"")</f>
        <v/>
      </c>
      <c r="B447" t="str">
        <f ca="1">IFERROR(__xludf.DUMMYFUNCTION("""COMPUTED_VALUE"""),"")</f>
        <v/>
      </c>
      <c r="C447" t="str">
        <f ca="1">IFERROR(__xludf.DUMMYFUNCTION("""COMPUTED_VALUE"""),"")</f>
        <v/>
      </c>
    </row>
    <row r="448" spans="1:3" ht="15" customHeight="1">
      <c r="A448" s="212" t="str">
        <f ca="1">IFERROR(__xludf.DUMMYFUNCTION("""COMPUTED_VALUE"""),"")</f>
        <v/>
      </c>
      <c r="B448" t="str">
        <f ca="1">IFERROR(__xludf.DUMMYFUNCTION("""COMPUTED_VALUE"""),"")</f>
        <v/>
      </c>
      <c r="C448" t="str">
        <f ca="1">IFERROR(__xludf.DUMMYFUNCTION("""COMPUTED_VALUE"""),"")</f>
        <v/>
      </c>
    </row>
    <row r="449" spans="1:3" ht="15" customHeight="1">
      <c r="A449" s="212" t="str">
        <f ca="1">IFERROR(__xludf.DUMMYFUNCTION("""COMPUTED_VALUE"""),"")</f>
        <v/>
      </c>
      <c r="B449" t="str">
        <f ca="1">IFERROR(__xludf.DUMMYFUNCTION("""COMPUTED_VALUE"""),"")</f>
        <v/>
      </c>
      <c r="C449" t="str">
        <f ca="1">IFERROR(__xludf.DUMMYFUNCTION("""COMPUTED_VALUE"""),"")</f>
        <v/>
      </c>
    </row>
    <row r="450" spans="1:3" ht="15" customHeight="1">
      <c r="A450" s="212" t="str">
        <f ca="1">IFERROR(__xludf.DUMMYFUNCTION("""COMPUTED_VALUE"""),"")</f>
        <v/>
      </c>
      <c r="B450" t="str">
        <f ca="1">IFERROR(__xludf.DUMMYFUNCTION("""COMPUTED_VALUE"""),"")</f>
        <v/>
      </c>
      <c r="C450" t="str">
        <f ca="1">IFERROR(__xludf.DUMMYFUNCTION("""COMPUTED_VALUE"""),"")</f>
        <v/>
      </c>
    </row>
    <row r="451" spans="1:3" ht="15" customHeight="1">
      <c r="A451" s="212" t="str">
        <f ca="1">IFERROR(__xludf.DUMMYFUNCTION("""COMPUTED_VALUE"""),"")</f>
        <v/>
      </c>
      <c r="B451" t="str">
        <f ca="1">IFERROR(__xludf.DUMMYFUNCTION("""COMPUTED_VALUE"""),"")</f>
        <v/>
      </c>
      <c r="C451" t="str">
        <f ca="1">IFERROR(__xludf.DUMMYFUNCTION("""COMPUTED_VALUE"""),"")</f>
        <v/>
      </c>
    </row>
    <row r="452" spans="1:3" ht="15" customHeight="1">
      <c r="A452" s="212" t="str">
        <f ca="1">IFERROR(__xludf.DUMMYFUNCTION("""COMPUTED_VALUE"""),"")</f>
        <v/>
      </c>
      <c r="B452" t="str">
        <f ca="1">IFERROR(__xludf.DUMMYFUNCTION("""COMPUTED_VALUE"""),"")</f>
        <v/>
      </c>
      <c r="C452" t="str">
        <f ca="1">IFERROR(__xludf.DUMMYFUNCTION("""COMPUTED_VALUE"""),"")</f>
        <v/>
      </c>
    </row>
    <row r="453" spans="1:3" ht="15" customHeight="1">
      <c r="A453" t="str">
        <f ca="1">IFERROR(__xludf.DUMMYFUNCTION("""COMPUTED_VALUE"""),"")</f>
        <v/>
      </c>
      <c r="B453" t="str">
        <f ca="1">IFERROR(__xludf.DUMMYFUNCTION("""COMPUTED_VALUE"""),"")</f>
        <v/>
      </c>
      <c r="C453" t="str">
        <f ca="1">IFERROR(__xludf.DUMMYFUNCTION("""COMPUTED_VALUE"""),"")</f>
        <v/>
      </c>
    </row>
    <row r="454" spans="1:3" ht="15" customHeight="1">
      <c r="A454" t="str">
        <f ca="1">IFERROR(__xludf.DUMMYFUNCTION("""COMPUTED_VALUE"""),"")</f>
        <v/>
      </c>
      <c r="B454" t="str">
        <f ca="1">IFERROR(__xludf.DUMMYFUNCTION("""COMPUTED_VALUE"""),"")</f>
        <v/>
      </c>
      <c r="C454" t="str">
        <f ca="1">IFERROR(__xludf.DUMMYFUNCTION("""COMPUTED_VALUE"""),"")</f>
        <v/>
      </c>
    </row>
    <row r="455" spans="1:3" ht="15" customHeight="1">
      <c r="A455" t="str">
        <f ca="1">IFERROR(__xludf.DUMMYFUNCTION("""COMPUTED_VALUE"""),"")</f>
        <v/>
      </c>
      <c r="B455" t="str">
        <f ca="1">IFERROR(__xludf.DUMMYFUNCTION("""COMPUTED_VALUE"""),"")</f>
        <v/>
      </c>
      <c r="C455" t="str">
        <f ca="1">IFERROR(__xludf.DUMMYFUNCTION("""COMPUTED_VALUE"""),"")</f>
        <v/>
      </c>
    </row>
    <row r="456" spans="1:3" ht="15" customHeight="1">
      <c r="A456" t="str">
        <f ca="1">IFERROR(__xludf.DUMMYFUNCTION("""COMPUTED_VALUE"""),"")</f>
        <v/>
      </c>
      <c r="B456" t="str">
        <f ca="1">IFERROR(__xludf.DUMMYFUNCTION("""COMPUTED_VALUE"""),"")</f>
        <v/>
      </c>
      <c r="C456" t="str">
        <f ca="1">IFERROR(__xludf.DUMMYFUNCTION("""COMPUTED_VALUE"""),"")</f>
        <v/>
      </c>
    </row>
    <row r="457" spans="1:3" ht="15" customHeight="1">
      <c r="A457" t="str">
        <f ca="1">IFERROR(__xludf.DUMMYFUNCTION("""COMPUTED_VALUE"""),"")</f>
        <v/>
      </c>
      <c r="B457" t="str">
        <f ca="1">IFERROR(__xludf.DUMMYFUNCTION("""COMPUTED_VALUE"""),"")</f>
        <v/>
      </c>
      <c r="C457" t="str">
        <f ca="1">IFERROR(__xludf.DUMMYFUNCTION("""COMPUTED_VALUE"""),"")</f>
        <v/>
      </c>
    </row>
    <row r="458" spans="1:3" ht="15" customHeight="1">
      <c r="A458" t="str">
        <f ca="1">IFERROR(__xludf.DUMMYFUNCTION("""COMPUTED_VALUE"""),"")</f>
        <v/>
      </c>
      <c r="B458" t="str">
        <f ca="1">IFERROR(__xludf.DUMMYFUNCTION("""COMPUTED_VALUE"""),"")</f>
        <v/>
      </c>
      <c r="C458" t="str">
        <f ca="1">IFERROR(__xludf.DUMMYFUNCTION("""COMPUTED_VALUE"""),"")</f>
        <v/>
      </c>
    </row>
    <row r="459" spans="1:3" ht="15" customHeight="1">
      <c r="A459" t="str">
        <f ca="1">IFERROR(__xludf.DUMMYFUNCTION("""COMPUTED_VALUE"""),"")</f>
        <v/>
      </c>
      <c r="B459" t="str">
        <f ca="1">IFERROR(__xludf.DUMMYFUNCTION("""COMPUTED_VALUE"""),"")</f>
        <v/>
      </c>
      <c r="C459" t="str">
        <f ca="1">IFERROR(__xludf.DUMMYFUNCTION("""COMPUTED_VALUE"""),"")</f>
        <v/>
      </c>
    </row>
    <row r="460" spans="1:3" ht="15" customHeight="1">
      <c r="A460" t="str">
        <f ca="1">IFERROR(__xludf.DUMMYFUNCTION("""COMPUTED_VALUE"""),"")</f>
        <v/>
      </c>
      <c r="B460" t="str">
        <f ca="1">IFERROR(__xludf.DUMMYFUNCTION("""COMPUTED_VALUE"""),"")</f>
        <v/>
      </c>
      <c r="C460" t="str">
        <f ca="1">IFERROR(__xludf.DUMMYFUNCTION("""COMPUTED_VALUE"""),"")</f>
        <v/>
      </c>
    </row>
    <row r="461" spans="1:3" ht="15" customHeight="1">
      <c r="A461" t="str">
        <f ca="1">IFERROR(__xludf.DUMMYFUNCTION("""COMPUTED_VALUE"""),"")</f>
        <v/>
      </c>
      <c r="B461" t="str">
        <f ca="1">IFERROR(__xludf.DUMMYFUNCTION("""COMPUTED_VALUE"""),"")</f>
        <v/>
      </c>
      <c r="C461" t="str">
        <f ca="1">IFERROR(__xludf.DUMMYFUNCTION("""COMPUTED_VALUE"""),"")</f>
        <v/>
      </c>
    </row>
    <row r="462" spans="1:3" ht="15" customHeight="1">
      <c r="A462" t="str">
        <f ca="1">IFERROR(__xludf.DUMMYFUNCTION("""COMPUTED_VALUE"""),"")</f>
        <v/>
      </c>
      <c r="B462" t="str">
        <f ca="1">IFERROR(__xludf.DUMMYFUNCTION("""COMPUTED_VALUE"""),"")</f>
        <v/>
      </c>
      <c r="C462" t="str">
        <f ca="1">IFERROR(__xludf.DUMMYFUNCTION("""COMPUTED_VALUE"""),"")</f>
        <v/>
      </c>
    </row>
    <row r="463" spans="1:3" ht="15" customHeight="1">
      <c r="A463" t="str">
        <f ca="1">IFERROR(__xludf.DUMMYFUNCTION("""COMPUTED_VALUE"""),"")</f>
        <v/>
      </c>
      <c r="B463" t="str">
        <f ca="1">IFERROR(__xludf.DUMMYFUNCTION("""COMPUTED_VALUE"""),"")</f>
        <v/>
      </c>
      <c r="C463" t="str">
        <f ca="1">IFERROR(__xludf.DUMMYFUNCTION("""COMPUTED_VALUE"""),"")</f>
        <v/>
      </c>
    </row>
    <row r="464" spans="1:3" ht="15" customHeight="1">
      <c r="A464" t="str">
        <f ca="1">IFERROR(__xludf.DUMMYFUNCTION("""COMPUTED_VALUE"""),"")</f>
        <v/>
      </c>
      <c r="B464" t="str">
        <f ca="1">IFERROR(__xludf.DUMMYFUNCTION("""COMPUTED_VALUE"""),"")</f>
        <v/>
      </c>
      <c r="C464" t="str">
        <f ca="1">IFERROR(__xludf.DUMMYFUNCTION("""COMPUTED_VALUE"""),"")</f>
        <v/>
      </c>
    </row>
    <row r="465" spans="1:3" ht="15" customHeight="1">
      <c r="A465" t="str">
        <f ca="1">IFERROR(__xludf.DUMMYFUNCTION("""COMPUTED_VALUE"""),"")</f>
        <v/>
      </c>
      <c r="B465" t="str">
        <f ca="1">IFERROR(__xludf.DUMMYFUNCTION("""COMPUTED_VALUE"""),"")</f>
        <v/>
      </c>
      <c r="C465" t="str">
        <f ca="1">IFERROR(__xludf.DUMMYFUNCTION("""COMPUTED_VALUE"""),"")</f>
        <v/>
      </c>
    </row>
    <row r="466" spans="1:3" ht="15" customHeight="1">
      <c r="A466" t="str">
        <f ca="1">IFERROR(__xludf.DUMMYFUNCTION("""COMPUTED_VALUE"""),"")</f>
        <v/>
      </c>
      <c r="B466" t="str">
        <f ca="1">IFERROR(__xludf.DUMMYFUNCTION("""COMPUTED_VALUE"""),"")</f>
        <v/>
      </c>
      <c r="C466" t="str">
        <f ca="1">IFERROR(__xludf.DUMMYFUNCTION("""COMPUTED_VALUE"""),"")</f>
        <v/>
      </c>
    </row>
    <row r="467" spans="1:3" ht="15" customHeight="1">
      <c r="A467" t="str">
        <f ca="1">IFERROR(__xludf.DUMMYFUNCTION("""COMPUTED_VALUE"""),"")</f>
        <v/>
      </c>
      <c r="B467" t="str">
        <f ca="1">IFERROR(__xludf.DUMMYFUNCTION("""COMPUTED_VALUE"""),"")</f>
        <v/>
      </c>
      <c r="C467" t="str">
        <f ca="1">IFERROR(__xludf.DUMMYFUNCTION("""COMPUTED_VALUE"""),"")</f>
        <v/>
      </c>
    </row>
    <row r="468" spans="1:3" ht="15" customHeight="1">
      <c r="A468" t="str">
        <f ca="1">IFERROR(__xludf.DUMMYFUNCTION("""COMPUTED_VALUE"""),"")</f>
        <v/>
      </c>
      <c r="B468" t="str">
        <f ca="1">IFERROR(__xludf.DUMMYFUNCTION("""COMPUTED_VALUE"""),"")</f>
        <v/>
      </c>
      <c r="C468" t="str">
        <f ca="1">IFERROR(__xludf.DUMMYFUNCTION("""COMPUTED_VALUE"""),"")</f>
        <v/>
      </c>
    </row>
    <row r="469" spans="1:3" ht="15" customHeight="1">
      <c r="A469" t="str">
        <f ca="1">IFERROR(__xludf.DUMMYFUNCTION("""COMPUTED_VALUE"""),"")</f>
        <v/>
      </c>
      <c r="B469" t="str">
        <f ca="1">IFERROR(__xludf.DUMMYFUNCTION("""COMPUTED_VALUE"""),"")</f>
        <v/>
      </c>
      <c r="C469" t="str">
        <f ca="1">IFERROR(__xludf.DUMMYFUNCTION("""COMPUTED_VALUE"""),"")</f>
        <v/>
      </c>
    </row>
    <row r="470" spans="1:3" ht="15" customHeight="1">
      <c r="A470" t="str">
        <f ca="1">IFERROR(__xludf.DUMMYFUNCTION("""COMPUTED_VALUE"""),"")</f>
        <v/>
      </c>
      <c r="B470" t="str">
        <f ca="1">IFERROR(__xludf.DUMMYFUNCTION("""COMPUTED_VALUE"""),"")</f>
        <v/>
      </c>
      <c r="C470" t="str">
        <f ca="1">IFERROR(__xludf.DUMMYFUNCTION("""COMPUTED_VALUE"""),"")</f>
        <v/>
      </c>
    </row>
    <row r="471" spans="1:3" ht="15" customHeight="1">
      <c r="A471" t="str">
        <f ca="1">IFERROR(__xludf.DUMMYFUNCTION("""COMPUTED_VALUE"""),"")</f>
        <v/>
      </c>
      <c r="B471" t="str">
        <f ca="1">IFERROR(__xludf.DUMMYFUNCTION("""COMPUTED_VALUE"""),"")</f>
        <v/>
      </c>
      <c r="C471" t="str">
        <f ca="1">IFERROR(__xludf.DUMMYFUNCTION("""COMPUTED_VALUE"""),"")</f>
        <v/>
      </c>
    </row>
    <row r="472" spans="1:3" ht="15" customHeight="1">
      <c r="A472" t="str">
        <f ca="1">IFERROR(__xludf.DUMMYFUNCTION("""COMPUTED_VALUE"""),"")</f>
        <v/>
      </c>
      <c r="B472" t="str">
        <f ca="1">IFERROR(__xludf.DUMMYFUNCTION("""COMPUTED_VALUE"""),"")</f>
        <v/>
      </c>
      <c r="C472" t="str">
        <f ca="1">IFERROR(__xludf.DUMMYFUNCTION("""COMPUTED_VALUE"""),"")</f>
        <v/>
      </c>
    </row>
    <row r="473" spans="1:3" ht="15" customHeight="1">
      <c r="A473" t="str">
        <f ca="1">IFERROR(__xludf.DUMMYFUNCTION("""COMPUTED_VALUE"""),"")</f>
        <v/>
      </c>
      <c r="B473" t="str">
        <f ca="1">IFERROR(__xludf.DUMMYFUNCTION("""COMPUTED_VALUE"""),"")</f>
        <v/>
      </c>
      <c r="C473" t="str">
        <f ca="1">IFERROR(__xludf.DUMMYFUNCTION("""COMPUTED_VALUE"""),"")</f>
        <v/>
      </c>
    </row>
    <row r="474" spans="1:3" ht="15" customHeight="1">
      <c r="A474" t="str">
        <f ca="1">IFERROR(__xludf.DUMMYFUNCTION("""COMPUTED_VALUE"""),"")</f>
        <v/>
      </c>
      <c r="B474" t="str">
        <f ca="1">IFERROR(__xludf.DUMMYFUNCTION("""COMPUTED_VALUE"""),"")</f>
        <v/>
      </c>
      <c r="C474" t="str">
        <f ca="1">IFERROR(__xludf.DUMMYFUNCTION("""COMPUTED_VALUE"""),"")</f>
        <v/>
      </c>
    </row>
    <row r="475" spans="1:3" ht="15" customHeight="1">
      <c r="A475" t="str">
        <f ca="1">IFERROR(__xludf.DUMMYFUNCTION("""COMPUTED_VALUE"""),"")</f>
        <v/>
      </c>
      <c r="B475" t="str">
        <f ca="1">IFERROR(__xludf.DUMMYFUNCTION("""COMPUTED_VALUE"""),"")</f>
        <v/>
      </c>
      <c r="C475" t="str">
        <f ca="1">IFERROR(__xludf.DUMMYFUNCTION("""COMPUTED_VALUE"""),"")</f>
        <v/>
      </c>
    </row>
    <row r="476" spans="1:3" ht="15" customHeight="1">
      <c r="A476" t="str">
        <f ca="1">IFERROR(__xludf.DUMMYFUNCTION("""COMPUTED_VALUE"""),"")</f>
        <v/>
      </c>
      <c r="B476" t="str">
        <f ca="1">IFERROR(__xludf.DUMMYFUNCTION("""COMPUTED_VALUE"""),"")</f>
        <v/>
      </c>
      <c r="C476" t="str">
        <f ca="1">IFERROR(__xludf.DUMMYFUNCTION("""COMPUTED_VALUE"""),"")</f>
        <v/>
      </c>
    </row>
    <row r="477" spans="1:3" ht="15" customHeight="1">
      <c r="A477" t="str">
        <f ca="1">IFERROR(__xludf.DUMMYFUNCTION("""COMPUTED_VALUE"""),"")</f>
        <v/>
      </c>
      <c r="B477" t="str">
        <f ca="1">IFERROR(__xludf.DUMMYFUNCTION("""COMPUTED_VALUE"""),"")</f>
        <v/>
      </c>
      <c r="C477" t="str">
        <f ca="1">IFERROR(__xludf.DUMMYFUNCTION("""COMPUTED_VALUE"""),"")</f>
        <v/>
      </c>
    </row>
    <row r="478" spans="1:3" ht="15" customHeight="1">
      <c r="A478" t="str">
        <f ca="1">IFERROR(__xludf.DUMMYFUNCTION("""COMPUTED_VALUE"""),"")</f>
        <v/>
      </c>
      <c r="B478" t="str">
        <f ca="1">IFERROR(__xludf.DUMMYFUNCTION("""COMPUTED_VALUE"""),"")</f>
        <v/>
      </c>
      <c r="C478" t="str">
        <f ca="1">IFERROR(__xludf.DUMMYFUNCTION("""COMPUTED_VALUE"""),"")</f>
        <v/>
      </c>
    </row>
    <row r="479" spans="1:3" ht="15" customHeight="1">
      <c r="A479" t="str">
        <f ca="1">IFERROR(__xludf.DUMMYFUNCTION("""COMPUTED_VALUE"""),"")</f>
        <v/>
      </c>
      <c r="B479" t="str">
        <f ca="1">IFERROR(__xludf.DUMMYFUNCTION("""COMPUTED_VALUE"""),"")</f>
        <v/>
      </c>
      <c r="C479" t="str">
        <f ca="1">IFERROR(__xludf.DUMMYFUNCTION("""COMPUTED_VALUE"""),"")</f>
        <v/>
      </c>
    </row>
    <row r="480" spans="1:3" ht="15" customHeight="1">
      <c r="A480" t="str">
        <f ca="1">IFERROR(__xludf.DUMMYFUNCTION("""COMPUTED_VALUE"""),"")</f>
        <v/>
      </c>
      <c r="B480" t="str">
        <f ca="1">IFERROR(__xludf.DUMMYFUNCTION("""COMPUTED_VALUE"""),"")</f>
        <v/>
      </c>
      <c r="C480" t="str">
        <f ca="1">IFERROR(__xludf.DUMMYFUNCTION("""COMPUTED_VALUE"""),"")</f>
        <v/>
      </c>
    </row>
    <row r="481" spans="1:3" ht="15" customHeight="1">
      <c r="A481" t="str">
        <f ca="1">IFERROR(__xludf.DUMMYFUNCTION("""COMPUTED_VALUE"""),"")</f>
        <v/>
      </c>
      <c r="B481" t="str">
        <f ca="1">IFERROR(__xludf.DUMMYFUNCTION("""COMPUTED_VALUE"""),"")</f>
        <v/>
      </c>
      <c r="C481" t="str">
        <f ca="1">IFERROR(__xludf.DUMMYFUNCTION("""COMPUTED_VALUE"""),"")</f>
        <v/>
      </c>
    </row>
    <row r="482" spans="1:3" ht="15" customHeight="1">
      <c r="A482" t="str">
        <f ca="1">IFERROR(__xludf.DUMMYFUNCTION("""COMPUTED_VALUE"""),"")</f>
        <v/>
      </c>
      <c r="B482" t="str">
        <f ca="1">IFERROR(__xludf.DUMMYFUNCTION("""COMPUTED_VALUE"""),"")</f>
        <v/>
      </c>
      <c r="C482" t="str">
        <f ca="1">IFERROR(__xludf.DUMMYFUNCTION("""COMPUTED_VALUE"""),"")</f>
        <v/>
      </c>
    </row>
    <row r="483" spans="1:3" ht="15" customHeight="1">
      <c r="A483" t="str">
        <f ca="1">IFERROR(__xludf.DUMMYFUNCTION("""COMPUTED_VALUE"""),"")</f>
        <v/>
      </c>
      <c r="B483" t="str">
        <f ca="1">IFERROR(__xludf.DUMMYFUNCTION("""COMPUTED_VALUE"""),"")</f>
        <v/>
      </c>
      <c r="C483" t="str">
        <f ca="1">IFERROR(__xludf.DUMMYFUNCTION("""COMPUTED_VALUE"""),"")</f>
        <v/>
      </c>
    </row>
    <row r="484" spans="1:3" ht="15" customHeight="1">
      <c r="A484" t="str">
        <f ca="1">IFERROR(__xludf.DUMMYFUNCTION("""COMPUTED_VALUE"""),"")</f>
        <v/>
      </c>
      <c r="B484" t="str">
        <f ca="1">IFERROR(__xludf.DUMMYFUNCTION("""COMPUTED_VALUE"""),"")</f>
        <v/>
      </c>
      <c r="C484" t="str">
        <f ca="1">IFERROR(__xludf.DUMMYFUNCTION("""COMPUTED_VALUE"""),"")</f>
        <v/>
      </c>
    </row>
    <row r="485" spans="1:3" ht="15" customHeight="1">
      <c r="A485" t="str">
        <f ca="1">IFERROR(__xludf.DUMMYFUNCTION("""COMPUTED_VALUE"""),"")</f>
        <v/>
      </c>
      <c r="B485" t="str">
        <f ca="1">IFERROR(__xludf.DUMMYFUNCTION("""COMPUTED_VALUE"""),"")</f>
        <v/>
      </c>
      <c r="C485" t="str">
        <f ca="1">IFERROR(__xludf.DUMMYFUNCTION("""COMPUTED_VALUE"""),"")</f>
        <v/>
      </c>
    </row>
    <row r="486" spans="1:3" ht="15" customHeight="1">
      <c r="A486" t="str">
        <f ca="1">IFERROR(__xludf.DUMMYFUNCTION("""COMPUTED_VALUE"""),"")</f>
        <v/>
      </c>
      <c r="B486" t="str">
        <f ca="1">IFERROR(__xludf.DUMMYFUNCTION("""COMPUTED_VALUE"""),"")</f>
        <v/>
      </c>
      <c r="C486" t="str">
        <f ca="1">IFERROR(__xludf.DUMMYFUNCTION("""COMPUTED_VALUE"""),"")</f>
        <v/>
      </c>
    </row>
    <row r="487" spans="1:3" ht="15" customHeight="1">
      <c r="A487" t="str">
        <f ca="1">IFERROR(__xludf.DUMMYFUNCTION("""COMPUTED_VALUE"""),"")</f>
        <v/>
      </c>
      <c r="B487" t="str">
        <f ca="1">IFERROR(__xludf.DUMMYFUNCTION("""COMPUTED_VALUE"""),"")</f>
        <v/>
      </c>
      <c r="C487" t="str">
        <f ca="1">IFERROR(__xludf.DUMMYFUNCTION("""COMPUTED_VALUE"""),"")</f>
        <v/>
      </c>
    </row>
    <row r="488" spans="1:3" ht="15" customHeight="1">
      <c r="A488" t="str">
        <f ca="1">IFERROR(__xludf.DUMMYFUNCTION("""COMPUTED_VALUE"""),"")</f>
        <v/>
      </c>
      <c r="B488" t="str">
        <f ca="1">IFERROR(__xludf.DUMMYFUNCTION("""COMPUTED_VALUE"""),"")</f>
        <v/>
      </c>
      <c r="C488" t="str">
        <f ca="1">IFERROR(__xludf.DUMMYFUNCTION("""COMPUTED_VALUE"""),"")</f>
        <v/>
      </c>
    </row>
    <row r="489" spans="1:3" ht="15" customHeight="1">
      <c r="A489" t="str">
        <f ca="1">IFERROR(__xludf.DUMMYFUNCTION("""COMPUTED_VALUE"""),"")</f>
        <v/>
      </c>
      <c r="B489" t="str">
        <f ca="1">IFERROR(__xludf.DUMMYFUNCTION("""COMPUTED_VALUE"""),"")</f>
        <v/>
      </c>
      <c r="C489" t="str">
        <f ca="1">IFERROR(__xludf.DUMMYFUNCTION("""COMPUTED_VALUE"""),"")</f>
        <v/>
      </c>
    </row>
    <row r="490" spans="1:3" ht="15" customHeight="1">
      <c r="A490" t="str">
        <f ca="1">IFERROR(__xludf.DUMMYFUNCTION("""COMPUTED_VALUE"""),"")</f>
        <v/>
      </c>
      <c r="B490" t="str">
        <f ca="1">IFERROR(__xludf.DUMMYFUNCTION("""COMPUTED_VALUE"""),"")</f>
        <v/>
      </c>
      <c r="C490" t="str">
        <f ca="1">IFERROR(__xludf.DUMMYFUNCTION("""COMPUTED_VALUE"""),"")</f>
        <v/>
      </c>
    </row>
    <row r="491" spans="1:3" ht="15" customHeight="1">
      <c r="A491" t="str">
        <f ca="1">IFERROR(__xludf.DUMMYFUNCTION("""COMPUTED_VALUE"""),"")</f>
        <v/>
      </c>
      <c r="B491" t="str">
        <f ca="1">IFERROR(__xludf.DUMMYFUNCTION("""COMPUTED_VALUE"""),"")</f>
        <v/>
      </c>
      <c r="C491" t="str">
        <f ca="1">IFERROR(__xludf.DUMMYFUNCTION("""COMPUTED_VALUE"""),"")</f>
        <v/>
      </c>
    </row>
    <row r="492" spans="1:3" ht="15" customHeight="1">
      <c r="A492" t="str">
        <f ca="1">IFERROR(__xludf.DUMMYFUNCTION("""COMPUTED_VALUE"""),"")</f>
        <v/>
      </c>
      <c r="B492" t="str">
        <f ca="1">IFERROR(__xludf.DUMMYFUNCTION("""COMPUTED_VALUE"""),"")</f>
        <v/>
      </c>
      <c r="C492" t="str">
        <f ca="1">IFERROR(__xludf.DUMMYFUNCTION("""COMPUTED_VALUE"""),"")</f>
        <v/>
      </c>
    </row>
    <row r="493" spans="1:3" ht="15" customHeight="1">
      <c r="A493" t="str">
        <f ca="1">IFERROR(__xludf.DUMMYFUNCTION("""COMPUTED_VALUE"""),"")</f>
        <v/>
      </c>
      <c r="B493" t="str">
        <f ca="1">IFERROR(__xludf.DUMMYFUNCTION("""COMPUTED_VALUE"""),"")</f>
        <v/>
      </c>
      <c r="C493" t="str">
        <f ca="1">IFERROR(__xludf.DUMMYFUNCTION("""COMPUTED_VALUE"""),"")</f>
        <v/>
      </c>
    </row>
    <row r="494" spans="1:3" ht="15" customHeight="1">
      <c r="A494" t="str">
        <f ca="1">IFERROR(__xludf.DUMMYFUNCTION("""COMPUTED_VALUE"""),"")</f>
        <v/>
      </c>
      <c r="B494" t="str">
        <f ca="1">IFERROR(__xludf.DUMMYFUNCTION("""COMPUTED_VALUE"""),"")</f>
        <v/>
      </c>
      <c r="C494" t="str">
        <f ca="1">IFERROR(__xludf.DUMMYFUNCTION("""COMPUTED_VALUE"""),"")</f>
        <v/>
      </c>
    </row>
    <row r="495" spans="1:3" ht="15" customHeight="1">
      <c r="A495" t="str">
        <f ca="1">IFERROR(__xludf.DUMMYFUNCTION("""COMPUTED_VALUE"""),"")</f>
        <v/>
      </c>
      <c r="B495" t="str">
        <f ca="1">IFERROR(__xludf.DUMMYFUNCTION("""COMPUTED_VALUE"""),"")</f>
        <v/>
      </c>
      <c r="C495" t="str">
        <f ca="1">IFERROR(__xludf.DUMMYFUNCTION("""COMPUTED_VALUE"""),"")</f>
        <v/>
      </c>
    </row>
    <row r="496" spans="1:3" ht="15" customHeight="1">
      <c r="A496" t="str">
        <f ca="1">IFERROR(__xludf.DUMMYFUNCTION("""COMPUTED_VALUE"""),"")</f>
        <v/>
      </c>
      <c r="B496" t="str">
        <f ca="1">IFERROR(__xludf.DUMMYFUNCTION("""COMPUTED_VALUE"""),"")</f>
        <v/>
      </c>
      <c r="C496" t="str">
        <f ca="1">IFERROR(__xludf.DUMMYFUNCTION("""COMPUTED_VALUE"""),"")</f>
        <v/>
      </c>
    </row>
    <row r="497" spans="1:3" ht="15" customHeight="1">
      <c r="A497" t="str">
        <f ca="1">IFERROR(__xludf.DUMMYFUNCTION("""COMPUTED_VALUE"""),"")</f>
        <v/>
      </c>
      <c r="B497" t="str">
        <f ca="1">IFERROR(__xludf.DUMMYFUNCTION("""COMPUTED_VALUE"""),"")</f>
        <v/>
      </c>
      <c r="C497" t="str">
        <f ca="1">IFERROR(__xludf.DUMMYFUNCTION("""COMPUTED_VALUE"""),"")</f>
        <v/>
      </c>
    </row>
    <row r="498" spans="1:3" ht="15" customHeight="1">
      <c r="A498" t="str">
        <f ca="1">IFERROR(__xludf.DUMMYFUNCTION("""COMPUTED_VALUE"""),"")</f>
        <v/>
      </c>
      <c r="B498" t="str">
        <f ca="1">IFERROR(__xludf.DUMMYFUNCTION("""COMPUTED_VALUE"""),"")</f>
        <v/>
      </c>
      <c r="C498" t="str">
        <f ca="1">IFERROR(__xludf.DUMMYFUNCTION("""COMPUTED_VALUE"""),"")</f>
        <v/>
      </c>
    </row>
    <row r="499" spans="1:3" ht="15" customHeight="1">
      <c r="A499" t="str">
        <f ca="1">IFERROR(__xludf.DUMMYFUNCTION("""COMPUTED_VALUE"""),"")</f>
        <v/>
      </c>
      <c r="B499" t="str">
        <f ca="1">IFERROR(__xludf.DUMMYFUNCTION("""COMPUTED_VALUE"""),"")</f>
        <v/>
      </c>
      <c r="C499" t="str">
        <f ca="1">IFERROR(__xludf.DUMMYFUNCTION("""COMPUTED_VALUE"""),"")</f>
        <v/>
      </c>
    </row>
    <row r="500" spans="1:3" ht="15" customHeight="1">
      <c r="A500" t="str">
        <f ca="1">IFERROR(__xludf.DUMMYFUNCTION("""COMPUTED_VALUE"""),"")</f>
        <v/>
      </c>
      <c r="B500" t="str">
        <f ca="1">IFERROR(__xludf.DUMMYFUNCTION("""COMPUTED_VALUE"""),"")</f>
        <v/>
      </c>
      <c r="C500" t="str">
        <f ca="1">IFERROR(__xludf.DUMMYFUNCTION("""COMPUTED_VALUE"""),"")</f>
        <v/>
      </c>
    </row>
    <row r="501" spans="1:3" ht="15" customHeight="1">
      <c r="A501" t="str">
        <f ca="1">IFERROR(__xludf.DUMMYFUNCTION("""COMPUTED_VALUE"""),"")</f>
        <v/>
      </c>
      <c r="B501" t="str">
        <f ca="1">IFERROR(__xludf.DUMMYFUNCTION("""COMPUTED_VALUE"""),"")</f>
        <v/>
      </c>
      <c r="C501" t="str">
        <f ca="1">IFERROR(__xludf.DUMMYFUNCTION("""COMPUTED_VALUE"""),"")</f>
        <v/>
      </c>
    </row>
    <row r="502" spans="1:3" ht="15" customHeight="1">
      <c r="A502" t="str">
        <f ca="1">IFERROR(__xludf.DUMMYFUNCTION("""COMPUTED_VALUE"""),"")</f>
        <v/>
      </c>
      <c r="B502" t="str">
        <f ca="1">IFERROR(__xludf.DUMMYFUNCTION("""COMPUTED_VALUE"""),"")</f>
        <v/>
      </c>
      <c r="C502" t="str">
        <f ca="1">IFERROR(__xludf.DUMMYFUNCTION("""COMPUTED_VALUE"""),"")</f>
        <v/>
      </c>
    </row>
    <row r="503" spans="1:3" ht="15" customHeight="1">
      <c r="A503" t="str">
        <f ca="1">IFERROR(__xludf.DUMMYFUNCTION("""COMPUTED_VALUE"""),"")</f>
        <v/>
      </c>
      <c r="B503" t="str">
        <f ca="1">IFERROR(__xludf.DUMMYFUNCTION("""COMPUTED_VALUE"""),"")</f>
        <v/>
      </c>
      <c r="C503" t="str">
        <f ca="1">IFERROR(__xludf.DUMMYFUNCTION("""COMPUTED_VALUE"""),"")</f>
        <v/>
      </c>
    </row>
    <row r="504" spans="1:3" ht="15" customHeight="1">
      <c r="A504" t="str">
        <f ca="1">IFERROR(__xludf.DUMMYFUNCTION("""COMPUTED_VALUE"""),"")</f>
        <v/>
      </c>
      <c r="B504" t="str">
        <f ca="1">IFERROR(__xludf.DUMMYFUNCTION("""COMPUTED_VALUE"""),"")</f>
        <v/>
      </c>
      <c r="C504" t="str">
        <f ca="1">IFERROR(__xludf.DUMMYFUNCTION("""COMPUTED_VALUE"""),"")</f>
        <v/>
      </c>
    </row>
    <row r="505" spans="1:3" ht="15" customHeight="1">
      <c r="A505" t="str">
        <f ca="1">IFERROR(__xludf.DUMMYFUNCTION("""COMPUTED_VALUE"""),"")</f>
        <v/>
      </c>
      <c r="B505" t="str">
        <f ca="1">IFERROR(__xludf.DUMMYFUNCTION("""COMPUTED_VALUE"""),"")</f>
        <v/>
      </c>
      <c r="C505" t="str">
        <f ca="1">IFERROR(__xludf.DUMMYFUNCTION("""COMPUTED_VALUE"""),"")</f>
        <v/>
      </c>
    </row>
    <row r="506" spans="1:3" ht="15" customHeight="1">
      <c r="A506" t="str">
        <f ca="1">IFERROR(__xludf.DUMMYFUNCTION("""COMPUTED_VALUE"""),"")</f>
        <v/>
      </c>
      <c r="B506" t="str">
        <f ca="1">IFERROR(__xludf.DUMMYFUNCTION("""COMPUTED_VALUE"""),"")</f>
        <v/>
      </c>
      <c r="C506" t="str">
        <f ca="1">IFERROR(__xludf.DUMMYFUNCTION("""COMPUTED_VALUE"""),"")</f>
        <v/>
      </c>
    </row>
    <row r="507" spans="1:3" ht="15" customHeight="1">
      <c r="A507" t="str">
        <f ca="1">IFERROR(__xludf.DUMMYFUNCTION("""COMPUTED_VALUE"""),"")</f>
        <v/>
      </c>
      <c r="B507" t="str">
        <f ca="1">IFERROR(__xludf.DUMMYFUNCTION("""COMPUTED_VALUE"""),"")</f>
        <v/>
      </c>
      <c r="C507" t="str">
        <f ca="1">IFERROR(__xludf.DUMMYFUNCTION("""COMPUTED_VALUE"""),"")</f>
        <v/>
      </c>
    </row>
    <row r="508" spans="1:3" ht="15" customHeight="1">
      <c r="A508" t="str">
        <f ca="1">IFERROR(__xludf.DUMMYFUNCTION("""COMPUTED_VALUE"""),"")</f>
        <v/>
      </c>
      <c r="B508" t="str">
        <f ca="1">IFERROR(__xludf.DUMMYFUNCTION("""COMPUTED_VALUE"""),"")</f>
        <v/>
      </c>
      <c r="C508" t="str">
        <f ca="1">IFERROR(__xludf.DUMMYFUNCTION("""COMPUTED_VALUE"""),"")</f>
        <v/>
      </c>
    </row>
    <row r="509" spans="1:3" ht="15" customHeight="1">
      <c r="A509" t="str">
        <f ca="1">IFERROR(__xludf.DUMMYFUNCTION("""COMPUTED_VALUE"""),"")</f>
        <v/>
      </c>
      <c r="B509" t="str">
        <f ca="1">IFERROR(__xludf.DUMMYFUNCTION("""COMPUTED_VALUE"""),"")</f>
        <v/>
      </c>
      <c r="C509" t="str">
        <f ca="1">IFERROR(__xludf.DUMMYFUNCTION("""COMPUTED_VALUE"""),"")</f>
        <v/>
      </c>
    </row>
    <row r="510" spans="1:3" ht="15" customHeight="1">
      <c r="A510" t="str">
        <f ca="1">IFERROR(__xludf.DUMMYFUNCTION("""COMPUTED_VALUE"""),"")</f>
        <v/>
      </c>
      <c r="B510" t="str">
        <f ca="1">IFERROR(__xludf.DUMMYFUNCTION("""COMPUTED_VALUE"""),"")</f>
        <v/>
      </c>
      <c r="C510" t="str">
        <f ca="1">IFERROR(__xludf.DUMMYFUNCTION("""COMPUTED_VALUE"""),"")</f>
        <v/>
      </c>
    </row>
    <row r="511" spans="1:3" ht="15" customHeight="1">
      <c r="A511" t="str">
        <f ca="1">IFERROR(__xludf.DUMMYFUNCTION("""COMPUTED_VALUE"""),"")</f>
        <v/>
      </c>
      <c r="B511" t="str">
        <f ca="1">IFERROR(__xludf.DUMMYFUNCTION("""COMPUTED_VALUE"""),"")</f>
        <v/>
      </c>
      <c r="C511" t="str">
        <f ca="1">IFERROR(__xludf.DUMMYFUNCTION("""COMPUTED_VALUE"""),"")</f>
        <v/>
      </c>
    </row>
    <row r="512" spans="1:3" ht="15" customHeight="1">
      <c r="A512" t="str">
        <f ca="1">IFERROR(__xludf.DUMMYFUNCTION("""COMPUTED_VALUE"""),"")</f>
        <v/>
      </c>
      <c r="B512" t="str">
        <f ca="1">IFERROR(__xludf.DUMMYFUNCTION("""COMPUTED_VALUE"""),"")</f>
        <v/>
      </c>
      <c r="C512" t="str">
        <f ca="1">IFERROR(__xludf.DUMMYFUNCTION("""COMPUTED_VALUE"""),"")</f>
        <v/>
      </c>
    </row>
    <row r="513" spans="1:3" ht="15" customHeight="1">
      <c r="A513" t="str">
        <f ca="1">IFERROR(__xludf.DUMMYFUNCTION("""COMPUTED_VALUE"""),"")</f>
        <v/>
      </c>
      <c r="B513" t="str">
        <f ca="1">IFERROR(__xludf.DUMMYFUNCTION("""COMPUTED_VALUE"""),"")</f>
        <v/>
      </c>
      <c r="C513" t="str">
        <f ca="1">IFERROR(__xludf.DUMMYFUNCTION("""COMPUTED_VALUE"""),"")</f>
        <v/>
      </c>
    </row>
    <row r="514" spans="1:3" ht="15" customHeight="1">
      <c r="A514" t="str">
        <f ca="1">IFERROR(__xludf.DUMMYFUNCTION("""COMPUTED_VALUE"""),"")</f>
        <v/>
      </c>
      <c r="B514" t="str">
        <f ca="1">IFERROR(__xludf.DUMMYFUNCTION("""COMPUTED_VALUE"""),"")</f>
        <v/>
      </c>
      <c r="C514" t="str">
        <f ca="1">IFERROR(__xludf.DUMMYFUNCTION("""COMPUTED_VALUE"""),"")</f>
        <v/>
      </c>
    </row>
    <row r="515" spans="1:3" ht="15" customHeight="1">
      <c r="A515" t="str">
        <f ca="1">IFERROR(__xludf.DUMMYFUNCTION("""COMPUTED_VALUE"""),"")</f>
        <v/>
      </c>
      <c r="B515" t="str">
        <f ca="1">IFERROR(__xludf.DUMMYFUNCTION("""COMPUTED_VALUE"""),"")</f>
        <v/>
      </c>
      <c r="C515" t="str">
        <f ca="1">IFERROR(__xludf.DUMMYFUNCTION("""COMPUTED_VALUE"""),"")</f>
        <v/>
      </c>
    </row>
    <row r="516" spans="1:3" ht="15" customHeight="1">
      <c r="A516" t="str">
        <f ca="1">IFERROR(__xludf.DUMMYFUNCTION("""COMPUTED_VALUE"""),"")</f>
        <v/>
      </c>
      <c r="B516" t="str">
        <f ca="1">IFERROR(__xludf.DUMMYFUNCTION("""COMPUTED_VALUE"""),"")</f>
        <v/>
      </c>
      <c r="C516" t="str">
        <f ca="1">IFERROR(__xludf.DUMMYFUNCTION("""COMPUTED_VALUE"""),"")</f>
        <v/>
      </c>
    </row>
    <row r="517" spans="1:3" ht="15" customHeight="1">
      <c r="A517" t="str">
        <f ca="1">IFERROR(__xludf.DUMMYFUNCTION("""COMPUTED_VALUE"""),"")</f>
        <v/>
      </c>
      <c r="B517" t="str">
        <f ca="1">IFERROR(__xludf.DUMMYFUNCTION("""COMPUTED_VALUE"""),"")</f>
        <v/>
      </c>
      <c r="C517" t="str">
        <f ca="1">IFERROR(__xludf.DUMMYFUNCTION("""COMPUTED_VALUE"""),"")</f>
        <v/>
      </c>
    </row>
    <row r="518" spans="1:3" ht="15" customHeight="1">
      <c r="A518" t="str">
        <f ca="1">IFERROR(__xludf.DUMMYFUNCTION("""COMPUTED_VALUE"""),"")</f>
        <v/>
      </c>
      <c r="B518" t="str">
        <f ca="1">IFERROR(__xludf.DUMMYFUNCTION("""COMPUTED_VALUE"""),"")</f>
        <v/>
      </c>
      <c r="C518" t="str">
        <f ca="1">IFERROR(__xludf.DUMMYFUNCTION("""COMPUTED_VALUE"""),"")</f>
        <v/>
      </c>
    </row>
    <row r="519" spans="1:3" ht="15" customHeight="1">
      <c r="A519" t="str">
        <f ca="1">IFERROR(__xludf.DUMMYFUNCTION("""COMPUTED_VALUE"""),"")</f>
        <v/>
      </c>
      <c r="B519" t="str">
        <f ca="1">IFERROR(__xludf.DUMMYFUNCTION("""COMPUTED_VALUE"""),"")</f>
        <v/>
      </c>
      <c r="C519" t="str">
        <f ca="1">IFERROR(__xludf.DUMMYFUNCTION("""COMPUTED_VALUE"""),"")</f>
        <v/>
      </c>
    </row>
    <row r="520" spans="1:3" ht="15" customHeight="1">
      <c r="A520" t="str">
        <f ca="1">IFERROR(__xludf.DUMMYFUNCTION("""COMPUTED_VALUE"""),"")</f>
        <v/>
      </c>
      <c r="B520" t="str">
        <f ca="1">IFERROR(__xludf.DUMMYFUNCTION("""COMPUTED_VALUE"""),"")</f>
        <v/>
      </c>
      <c r="C520" t="str">
        <f ca="1">IFERROR(__xludf.DUMMYFUNCTION("""COMPUTED_VALUE"""),"")</f>
        <v/>
      </c>
    </row>
    <row r="521" spans="1:3" ht="15" customHeight="1">
      <c r="A521" t="str">
        <f ca="1">IFERROR(__xludf.DUMMYFUNCTION("""COMPUTED_VALUE"""),"")</f>
        <v/>
      </c>
      <c r="B521" t="str">
        <f ca="1">IFERROR(__xludf.DUMMYFUNCTION("""COMPUTED_VALUE"""),"")</f>
        <v/>
      </c>
      <c r="C521" t="str">
        <f ca="1">IFERROR(__xludf.DUMMYFUNCTION("""COMPUTED_VALUE"""),"")</f>
        <v/>
      </c>
    </row>
    <row r="522" spans="1:3" ht="15" customHeight="1">
      <c r="A522" t="str">
        <f ca="1">IFERROR(__xludf.DUMMYFUNCTION("""COMPUTED_VALUE"""),"")</f>
        <v/>
      </c>
      <c r="B522" t="str">
        <f ca="1">IFERROR(__xludf.DUMMYFUNCTION("""COMPUTED_VALUE"""),"")</f>
        <v/>
      </c>
      <c r="C522" t="str">
        <f ca="1">IFERROR(__xludf.DUMMYFUNCTION("""COMPUTED_VALUE"""),"")</f>
        <v/>
      </c>
    </row>
    <row r="523" spans="1:3" ht="15" customHeight="1">
      <c r="A523" t="str">
        <f ca="1">IFERROR(__xludf.DUMMYFUNCTION("""COMPUTED_VALUE"""),"")</f>
        <v/>
      </c>
      <c r="B523" t="str">
        <f ca="1">IFERROR(__xludf.DUMMYFUNCTION("""COMPUTED_VALUE"""),"")</f>
        <v/>
      </c>
      <c r="C523" t="str">
        <f ca="1">IFERROR(__xludf.DUMMYFUNCTION("""COMPUTED_VALUE"""),"")</f>
        <v/>
      </c>
    </row>
    <row r="524" spans="1:3" ht="15" customHeight="1">
      <c r="A524" t="str">
        <f ca="1">IFERROR(__xludf.DUMMYFUNCTION("""COMPUTED_VALUE"""),"")</f>
        <v/>
      </c>
      <c r="B524" t="str">
        <f ca="1">IFERROR(__xludf.DUMMYFUNCTION("""COMPUTED_VALUE"""),"")</f>
        <v/>
      </c>
      <c r="C524" t="str">
        <f ca="1">IFERROR(__xludf.DUMMYFUNCTION("""COMPUTED_VALUE"""),"")</f>
        <v/>
      </c>
    </row>
    <row r="525" spans="1:3" ht="15" customHeight="1">
      <c r="A525" t="str">
        <f ca="1">IFERROR(__xludf.DUMMYFUNCTION("""COMPUTED_VALUE"""),"")</f>
        <v/>
      </c>
      <c r="B525" t="str">
        <f ca="1">IFERROR(__xludf.DUMMYFUNCTION("""COMPUTED_VALUE"""),"")</f>
        <v/>
      </c>
      <c r="C525" t="str">
        <f ca="1">IFERROR(__xludf.DUMMYFUNCTION("""COMPUTED_VALUE"""),"")</f>
        <v/>
      </c>
    </row>
    <row r="526" spans="1:3" ht="15" customHeight="1">
      <c r="A526" t="str">
        <f ca="1">IFERROR(__xludf.DUMMYFUNCTION("""COMPUTED_VALUE"""),"")</f>
        <v/>
      </c>
      <c r="B526" t="str">
        <f ca="1">IFERROR(__xludf.DUMMYFUNCTION("""COMPUTED_VALUE"""),"")</f>
        <v/>
      </c>
      <c r="C526" t="str">
        <f ca="1">IFERROR(__xludf.DUMMYFUNCTION("""COMPUTED_VALUE"""),"")</f>
        <v/>
      </c>
    </row>
    <row r="527" spans="1:3" ht="15" customHeight="1">
      <c r="A527" t="str">
        <f ca="1">IFERROR(__xludf.DUMMYFUNCTION("""COMPUTED_VALUE"""),"")</f>
        <v/>
      </c>
      <c r="B527" t="str">
        <f ca="1">IFERROR(__xludf.DUMMYFUNCTION("""COMPUTED_VALUE"""),"")</f>
        <v/>
      </c>
      <c r="C527" t="str">
        <f ca="1">IFERROR(__xludf.DUMMYFUNCTION("""COMPUTED_VALUE"""),"")</f>
        <v/>
      </c>
    </row>
    <row r="528" spans="1:3" ht="15" customHeight="1">
      <c r="A528" t="str">
        <f ca="1">IFERROR(__xludf.DUMMYFUNCTION("""COMPUTED_VALUE"""),"")</f>
        <v/>
      </c>
      <c r="B528" t="str">
        <f ca="1">IFERROR(__xludf.DUMMYFUNCTION("""COMPUTED_VALUE"""),"")</f>
        <v/>
      </c>
      <c r="C528" t="str">
        <f ca="1">IFERROR(__xludf.DUMMYFUNCTION("""COMPUTED_VALUE"""),"")</f>
        <v/>
      </c>
    </row>
    <row r="529" spans="1:3" ht="15" customHeight="1">
      <c r="A529" t="str">
        <f ca="1">IFERROR(__xludf.DUMMYFUNCTION("""COMPUTED_VALUE"""),"")</f>
        <v/>
      </c>
      <c r="B529" t="str">
        <f ca="1">IFERROR(__xludf.DUMMYFUNCTION("""COMPUTED_VALUE"""),"")</f>
        <v/>
      </c>
      <c r="C529" t="str">
        <f ca="1">IFERROR(__xludf.DUMMYFUNCTION("""COMPUTED_VALUE"""),"")</f>
        <v/>
      </c>
    </row>
    <row r="530" spans="1:3" ht="15" customHeight="1">
      <c r="A530" t="str">
        <f ca="1">IFERROR(__xludf.DUMMYFUNCTION("""COMPUTED_VALUE"""),"")</f>
        <v/>
      </c>
      <c r="B530" t="str">
        <f ca="1">IFERROR(__xludf.DUMMYFUNCTION("""COMPUTED_VALUE"""),"")</f>
        <v/>
      </c>
      <c r="C530" t="str">
        <f ca="1">IFERROR(__xludf.DUMMYFUNCTION("""COMPUTED_VALUE"""),"")</f>
        <v/>
      </c>
    </row>
    <row r="531" spans="1:3" ht="15" customHeight="1">
      <c r="A531" t="str">
        <f ca="1">IFERROR(__xludf.DUMMYFUNCTION("""COMPUTED_VALUE"""),"")</f>
        <v/>
      </c>
      <c r="B531" t="str">
        <f ca="1">IFERROR(__xludf.DUMMYFUNCTION("""COMPUTED_VALUE"""),"")</f>
        <v/>
      </c>
      <c r="C531" t="str">
        <f ca="1">IFERROR(__xludf.DUMMYFUNCTION("""COMPUTED_VALUE"""),"")</f>
        <v/>
      </c>
    </row>
    <row r="532" spans="1:3" ht="15" customHeight="1">
      <c r="A532" t="str">
        <f ca="1">IFERROR(__xludf.DUMMYFUNCTION("""COMPUTED_VALUE"""),"")</f>
        <v/>
      </c>
      <c r="B532" t="str">
        <f ca="1">IFERROR(__xludf.DUMMYFUNCTION("""COMPUTED_VALUE"""),"")</f>
        <v/>
      </c>
      <c r="C532" t="str">
        <f ca="1">IFERROR(__xludf.DUMMYFUNCTION("""COMPUTED_VALUE"""),"")</f>
        <v/>
      </c>
    </row>
    <row r="533" spans="1:3" ht="15" customHeight="1">
      <c r="A533" t="str">
        <f ca="1">IFERROR(__xludf.DUMMYFUNCTION("""COMPUTED_VALUE"""),"")</f>
        <v/>
      </c>
      <c r="B533" t="str">
        <f ca="1">IFERROR(__xludf.DUMMYFUNCTION("""COMPUTED_VALUE"""),"")</f>
        <v/>
      </c>
      <c r="C533" t="str">
        <f ca="1">IFERROR(__xludf.DUMMYFUNCTION("""COMPUTED_VALUE"""),"")</f>
        <v/>
      </c>
    </row>
    <row r="534" spans="1:3" ht="15" customHeight="1">
      <c r="A534" t="str">
        <f ca="1">IFERROR(__xludf.DUMMYFUNCTION("""COMPUTED_VALUE"""),"")</f>
        <v/>
      </c>
      <c r="B534" t="str">
        <f ca="1">IFERROR(__xludf.DUMMYFUNCTION("""COMPUTED_VALUE"""),"")</f>
        <v/>
      </c>
      <c r="C534" t="str">
        <f ca="1">IFERROR(__xludf.DUMMYFUNCTION("""COMPUTED_VALUE"""),"")</f>
        <v/>
      </c>
    </row>
    <row r="535" spans="1:3" ht="15" customHeight="1">
      <c r="A535" t="str">
        <f ca="1">IFERROR(__xludf.DUMMYFUNCTION("""COMPUTED_VALUE"""),"")</f>
        <v/>
      </c>
      <c r="B535" t="str">
        <f ca="1">IFERROR(__xludf.DUMMYFUNCTION("""COMPUTED_VALUE"""),"")</f>
        <v/>
      </c>
      <c r="C535" t="str">
        <f ca="1">IFERROR(__xludf.DUMMYFUNCTION("""COMPUTED_VALUE"""),"")</f>
        <v/>
      </c>
    </row>
    <row r="536" spans="1:3" ht="15" customHeight="1">
      <c r="A536" t="str">
        <f ca="1">IFERROR(__xludf.DUMMYFUNCTION("""COMPUTED_VALUE"""),"")</f>
        <v/>
      </c>
      <c r="B536" t="str">
        <f ca="1">IFERROR(__xludf.DUMMYFUNCTION("""COMPUTED_VALUE"""),"")</f>
        <v/>
      </c>
      <c r="C536" t="str">
        <f ca="1">IFERROR(__xludf.DUMMYFUNCTION("""COMPUTED_VALUE"""),"")</f>
        <v/>
      </c>
    </row>
    <row r="537" spans="1:3" ht="15" customHeight="1">
      <c r="A537" t="str">
        <f ca="1">IFERROR(__xludf.DUMMYFUNCTION("""COMPUTED_VALUE"""),"")</f>
        <v/>
      </c>
      <c r="B537" t="str">
        <f ca="1">IFERROR(__xludf.DUMMYFUNCTION("""COMPUTED_VALUE"""),"")</f>
        <v/>
      </c>
      <c r="C537" t="str">
        <f ca="1">IFERROR(__xludf.DUMMYFUNCTION("""COMPUTED_VALUE"""),"")</f>
        <v/>
      </c>
    </row>
    <row r="538" spans="1:3" ht="15" customHeight="1">
      <c r="A538" t="str">
        <f ca="1">IFERROR(__xludf.DUMMYFUNCTION("""COMPUTED_VALUE"""),"")</f>
        <v/>
      </c>
      <c r="B538" t="str">
        <f ca="1">IFERROR(__xludf.DUMMYFUNCTION("""COMPUTED_VALUE"""),"")</f>
        <v/>
      </c>
      <c r="C538" t="str">
        <f ca="1">IFERROR(__xludf.DUMMYFUNCTION("""COMPUTED_VALUE"""),"")</f>
        <v/>
      </c>
    </row>
    <row r="539" spans="1:3" ht="15" customHeight="1">
      <c r="A539" t="str">
        <f ca="1">IFERROR(__xludf.DUMMYFUNCTION("""COMPUTED_VALUE"""),"")</f>
        <v/>
      </c>
      <c r="B539" t="str">
        <f ca="1">IFERROR(__xludf.DUMMYFUNCTION("""COMPUTED_VALUE"""),"")</f>
        <v/>
      </c>
      <c r="C539" t="str">
        <f ca="1">IFERROR(__xludf.DUMMYFUNCTION("""COMPUTED_VALUE"""),"")</f>
        <v/>
      </c>
    </row>
    <row r="540" spans="1:3" ht="15" customHeight="1">
      <c r="A540" t="str">
        <f ca="1">IFERROR(__xludf.DUMMYFUNCTION("""COMPUTED_VALUE"""),"")</f>
        <v/>
      </c>
      <c r="B540" t="str">
        <f ca="1">IFERROR(__xludf.DUMMYFUNCTION("""COMPUTED_VALUE"""),"")</f>
        <v/>
      </c>
      <c r="C540" t="str">
        <f ca="1">IFERROR(__xludf.DUMMYFUNCTION("""COMPUTED_VALUE"""),"")</f>
        <v/>
      </c>
    </row>
    <row r="541" spans="1:3" ht="15" customHeight="1">
      <c r="A541" t="str">
        <f ca="1">IFERROR(__xludf.DUMMYFUNCTION("""COMPUTED_VALUE"""),"")</f>
        <v/>
      </c>
      <c r="B541" t="str">
        <f ca="1">IFERROR(__xludf.DUMMYFUNCTION("""COMPUTED_VALUE"""),"")</f>
        <v/>
      </c>
      <c r="C541" t="str">
        <f ca="1">IFERROR(__xludf.DUMMYFUNCTION("""COMPUTED_VALUE"""),"")</f>
        <v/>
      </c>
    </row>
    <row r="542" spans="1:3" ht="15" customHeight="1">
      <c r="A542" t="str">
        <f ca="1">IFERROR(__xludf.DUMMYFUNCTION("""COMPUTED_VALUE"""),"")</f>
        <v/>
      </c>
      <c r="B542" t="str">
        <f ca="1">IFERROR(__xludf.DUMMYFUNCTION("""COMPUTED_VALUE"""),"")</f>
        <v/>
      </c>
      <c r="C542" t="str">
        <f ca="1">IFERROR(__xludf.DUMMYFUNCTION("""COMPUTED_VALUE"""),"")</f>
        <v/>
      </c>
    </row>
    <row r="543" spans="1:3" ht="15" customHeight="1">
      <c r="A543" t="str">
        <f ca="1">IFERROR(__xludf.DUMMYFUNCTION("""COMPUTED_VALUE"""),"")</f>
        <v/>
      </c>
      <c r="B543" t="str">
        <f ca="1">IFERROR(__xludf.DUMMYFUNCTION("""COMPUTED_VALUE"""),"")</f>
        <v/>
      </c>
      <c r="C543" t="str">
        <f ca="1">IFERROR(__xludf.DUMMYFUNCTION("""COMPUTED_VALUE"""),"")</f>
        <v/>
      </c>
    </row>
    <row r="544" spans="1:3" ht="15" customHeight="1">
      <c r="A544" t="str">
        <f ca="1">IFERROR(__xludf.DUMMYFUNCTION("""COMPUTED_VALUE"""),"")</f>
        <v/>
      </c>
      <c r="B544" t="str">
        <f ca="1">IFERROR(__xludf.DUMMYFUNCTION("""COMPUTED_VALUE"""),"")</f>
        <v/>
      </c>
      <c r="C544" t="str">
        <f ca="1">IFERROR(__xludf.DUMMYFUNCTION("""COMPUTED_VALUE"""),"")</f>
        <v/>
      </c>
    </row>
    <row r="545" spans="1:3" ht="15" customHeight="1">
      <c r="A545" t="str">
        <f ca="1">IFERROR(__xludf.DUMMYFUNCTION("""COMPUTED_VALUE"""),"")</f>
        <v/>
      </c>
      <c r="B545" t="str">
        <f ca="1">IFERROR(__xludf.DUMMYFUNCTION("""COMPUTED_VALUE"""),"")</f>
        <v/>
      </c>
      <c r="C545" t="str">
        <f ca="1">IFERROR(__xludf.DUMMYFUNCTION("""COMPUTED_VALUE"""),"")</f>
        <v/>
      </c>
    </row>
    <row r="546" spans="1:3" ht="15" customHeight="1">
      <c r="A546" t="str">
        <f ca="1">IFERROR(__xludf.DUMMYFUNCTION("""COMPUTED_VALUE"""),"")</f>
        <v/>
      </c>
      <c r="B546" t="str">
        <f ca="1">IFERROR(__xludf.DUMMYFUNCTION("""COMPUTED_VALUE"""),"")</f>
        <v/>
      </c>
      <c r="C546" t="str">
        <f ca="1">IFERROR(__xludf.DUMMYFUNCTION("""COMPUTED_VALUE"""),"")</f>
        <v/>
      </c>
    </row>
    <row r="547" spans="1:3" ht="15" customHeight="1">
      <c r="A547" t="str">
        <f ca="1">IFERROR(__xludf.DUMMYFUNCTION("""COMPUTED_VALUE"""),"")</f>
        <v/>
      </c>
      <c r="B547" t="str">
        <f ca="1">IFERROR(__xludf.DUMMYFUNCTION("""COMPUTED_VALUE"""),"")</f>
        <v/>
      </c>
      <c r="C547" t="str">
        <f ca="1">IFERROR(__xludf.DUMMYFUNCTION("""COMPUTED_VALUE"""),"")</f>
        <v/>
      </c>
    </row>
    <row r="548" spans="1:3" ht="15" customHeight="1">
      <c r="A548" t="str">
        <f ca="1">IFERROR(__xludf.DUMMYFUNCTION("""COMPUTED_VALUE"""),"")</f>
        <v/>
      </c>
      <c r="B548" t="str">
        <f ca="1">IFERROR(__xludf.DUMMYFUNCTION("""COMPUTED_VALUE"""),"")</f>
        <v/>
      </c>
      <c r="C548" t="str">
        <f ca="1">IFERROR(__xludf.DUMMYFUNCTION("""COMPUTED_VALUE"""),"")</f>
        <v/>
      </c>
    </row>
    <row r="549" spans="1:3" ht="15" customHeight="1">
      <c r="A549" t="str">
        <f ca="1">IFERROR(__xludf.DUMMYFUNCTION("""COMPUTED_VALUE"""),"")</f>
        <v/>
      </c>
      <c r="B549" t="str">
        <f ca="1">IFERROR(__xludf.DUMMYFUNCTION("""COMPUTED_VALUE"""),"")</f>
        <v/>
      </c>
      <c r="C549" t="str">
        <f ca="1">IFERROR(__xludf.DUMMYFUNCTION("""COMPUTED_VALUE"""),"")</f>
        <v/>
      </c>
    </row>
    <row r="550" spans="1:3" ht="15" customHeight="1">
      <c r="A550" t="str">
        <f ca="1">IFERROR(__xludf.DUMMYFUNCTION("""COMPUTED_VALUE"""),"")</f>
        <v/>
      </c>
      <c r="B550" t="str">
        <f ca="1">IFERROR(__xludf.DUMMYFUNCTION("""COMPUTED_VALUE"""),"")</f>
        <v/>
      </c>
      <c r="C550" t="str">
        <f ca="1">IFERROR(__xludf.DUMMYFUNCTION("""COMPUTED_VALUE"""),"")</f>
        <v/>
      </c>
    </row>
  </sheetData>
  <phoneticPr fontId="50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/>
  </sheetViews>
  <sheetFormatPr baseColWidth="10" defaultColWidth="11.28515625" defaultRowHeight="15" customHeight="1" x14ac:dyDescent="0"/>
  <cols>
    <col min="1" max="1" width="4.7109375" customWidth="1"/>
    <col min="2" max="2" width="10.7109375" customWidth="1"/>
    <col min="3" max="3" width="8.140625" customWidth="1"/>
    <col min="4" max="6" width="12.7109375" customWidth="1"/>
    <col min="7" max="7" width="17.140625" customWidth="1"/>
    <col min="8" max="8" width="14.28515625" customWidth="1"/>
    <col min="9" max="9" width="15.7109375" customWidth="1"/>
    <col min="10" max="10" width="13.7109375" customWidth="1"/>
    <col min="11" max="11" width="16" customWidth="1"/>
    <col min="12" max="12" width="8" customWidth="1"/>
    <col min="13" max="13" width="11.28515625" customWidth="1"/>
    <col min="14" max="14" width="8" customWidth="1"/>
    <col min="15" max="15" width="13.5703125" customWidth="1"/>
    <col min="16" max="16" width="6.28515625" customWidth="1"/>
    <col min="17" max="17" width="36.140625" customWidth="1"/>
    <col min="18" max="28" width="7" hidden="1" customWidth="1"/>
    <col min="29" max="29" width="7" customWidth="1"/>
  </cols>
  <sheetData>
    <row r="1" spans="1:29" ht="46.5" customHeight="1">
      <c r="A1" s="215" t="s">
        <v>7</v>
      </c>
      <c r="B1" s="215" t="s">
        <v>4572</v>
      </c>
      <c r="C1" s="215" t="s">
        <v>9</v>
      </c>
      <c r="D1" s="215" t="s">
        <v>11</v>
      </c>
      <c r="E1" s="216" t="s">
        <v>13</v>
      </c>
      <c r="F1" s="216" t="s">
        <v>4573</v>
      </c>
      <c r="G1" s="217" t="s">
        <v>4574</v>
      </c>
      <c r="H1" s="218" t="s">
        <v>19</v>
      </c>
      <c r="I1" s="218" t="s">
        <v>4575</v>
      </c>
      <c r="J1" s="218" t="s">
        <v>4576</v>
      </c>
      <c r="K1" s="218"/>
      <c r="L1" s="215" t="s">
        <v>1</v>
      </c>
      <c r="M1" s="219" t="s">
        <v>24</v>
      </c>
      <c r="N1" s="215" t="s">
        <v>34</v>
      </c>
      <c r="O1" s="215" t="s">
        <v>4577</v>
      </c>
      <c r="P1" s="215" t="s">
        <v>4578</v>
      </c>
      <c r="Q1" s="215" t="s">
        <v>44</v>
      </c>
      <c r="R1" s="56"/>
      <c r="S1" s="220" t="s">
        <v>4579</v>
      </c>
      <c r="T1" s="220" t="s">
        <v>4580</v>
      </c>
      <c r="U1" s="221"/>
      <c r="V1" s="56"/>
      <c r="W1" s="56"/>
      <c r="X1" s="56"/>
      <c r="Y1" s="56"/>
      <c r="Z1" s="56"/>
      <c r="AA1" s="56"/>
      <c r="AB1" s="56"/>
      <c r="AC1" s="56"/>
    </row>
    <row r="2" spans="1:29" ht="24.75" customHeight="1">
      <c r="A2" s="24" t="s">
        <v>54</v>
      </c>
      <c r="B2" s="24" t="s">
        <v>4581</v>
      </c>
      <c r="C2" s="24" t="s">
        <v>4581</v>
      </c>
      <c r="D2" s="24" t="s">
        <v>4582</v>
      </c>
      <c r="E2" s="222">
        <v>42942</v>
      </c>
      <c r="F2" s="222">
        <v>43008</v>
      </c>
      <c r="G2" s="24" t="s">
        <v>4583</v>
      </c>
      <c r="H2" s="24" t="s">
        <v>4584</v>
      </c>
      <c r="I2" s="223" t="s">
        <v>4585</v>
      </c>
      <c r="J2" s="24" t="s">
        <v>51</v>
      </c>
      <c r="K2" s="24" t="s">
        <v>4586</v>
      </c>
      <c r="L2" s="24"/>
      <c r="M2" s="24" t="s">
        <v>4587</v>
      </c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</row>
    <row r="3" spans="1:29" ht="24.75" customHeight="1">
      <c r="A3" s="24" t="s">
        <v>54</v>
      </c>
      <c r="B3" s="24" t="s">
        <v>4581</v>
      </c>
      <c r="C3" s="24" t="s">
        <v>4581</v>
      </c>
      <c r="D3" s="24" t="s">
        <v>4588</v>
      </c>
      <c r="E3" s="222">
        <v>42942</v>
      </c>
      <c r="F3" s="222">
        <v>43008</v>
      </c>
      <c r="G3" s="24" t="s">
        <v>4589</v>
      </c>
      <c r="H3" s="24" t="s">
        <v>4590</v>
      </c>
      <c r="I3" s="223" t="s">
        <v>4585</v>
      </c>
      <c r="J3" s="24" t="s">
        <v>62</v>
      </c>
      <c r="K3" s="24"/>
      <c r="L3" s="24"/>
      <c r="M3" s="24" t="s">
        <v>4591</v>
      </c>
      <c r="N3" s="24"/>
      <c r="O3" s="24"/>
      <c r="P3" s="24"/>
      <c r="Q3" s="6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</row>
    <row r="4" spans="1:29" ht="15.75" customHeight="1">
      <c r="A4" s="24" t="s">
        <v>54</v>
      </c>
      <c r="B4" s="24" t="s">
        <v>4581</v>
      </c>
      <c r="C4" s="24" t="s">
        <v>4581</v>
      </c>
      <c r="D4" s="224">
        <v>43144</v>
      </c>
      <c r="E4" s="224">
        <v>43138</v>
      </c>
      <c r="F4" s="224">
        <v>43144</v>
      </c>
      <c r="G4" s="24" t="s">
        <v>4592</v>
      </c>
      <c r="H4" s="24" t="s">
        <v>4593</v>
      </c>
      <c r="I4" s="223" t="s">
        <v>61</v>
      </c>
      <c r="J4" s="24" t="s">
        <v>51</v>
      </c>
      <c r="K4" s="24"/>
      <c r="L4" s="24"/>
      <c r="M4" s="24" t="s">
        <v>4594</v>
      </c>
      <c r="N4" s="24"/>
      <c r="O4" s="24"/>
      <c r="P4" s="24"/>
      <c r="Q4" s="98" t="s">
        <v>4595</v>
      </c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25" t="s">
        <v>4596</v>
      </c>
    </row>
    <row r="5" spans="1:29" ht="24.75" customHeight="1">
      <c r="A5" s="24" t="s">
        <v>54</v>
      </c>
      <c r="B5" s="24" t="s">
        <v>4581</v>
      </c>
      <c r="C5" s="24" t="s">
        <v>4581</v>
      </c>
      <c r="D5" s="222">
        <v>43013</v>
      </c>
      <c r="E5" s="222">
        <v>42942</v>
      </c>
      <c r="F5" s="222">
        <v>43008</v>
      </c>
      <c r="G5" s="24" t="s">
        <v>4597</v>
      </c>
      <c r="H5" s="24" t="s">
        <v>4598</v>
      </c>
      <c r="I5" s="223" t="s">
        <v>4585</v>
      </c>
      <c r="J5" s="24" t="s">
        <v>62</v>
      </c>
      <c r="K5" s="24"/>
      <c r="L5" s="24"/>
      <c r="M5" s="24" t="s">
        <v>4599</v>
      </c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</row>
    <row r="6" spans="1:29" ht="24.75" customHeight="1">
      <c r="A6" s="24" t="s">
        <v>54</v>
      </c>
      <c r="B6" s="24" t="s">
        <v>4581</v>
      </c>
      <c r="C6" s="24" t="s">
        <v>4581</v>
      </c>
      <c r="D6" s="222">
        <v>43008</v>
      </c>
      <c r="E6" s="222">
        <v>42942</v>
      </c>
      <c r="F6" s="222">
        <v>43008</v>
      </c>
      <c r="G6" s="24" t="s">
        <v>4600</v>
      </c>
      <c r="H6" s="24" t="s">
        <v>4601</v>
      </c>
      <c r="I6" s="223" t="s">
        <v>4585</v>
      </c>
      <c r="J6" s="24" t="s">
        <v>62</v>
      </c>
      <c r="K6" s="24"/>
      <c r="L6" s="24"/>
      <c r="M6" s="24" t="s">
        <v>4602</v>
      </c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</row>
    <row r="7" spans="1:29" ht="24.75" customHeight="1">
      <c r="A7" s="24" t="s">
        <v>54</v>
      </c>
      <c r="B7" s="24" t="s">
        <v>4581</v>
      </c>
      <c r="C7" s="24" t="s">
        <v>4581</v>
      </c>
      <c r="D7" s="222">
        <v>43008</v>
      </c>
      <c r="E7" s="222">
        <v>42942</v>
      </c>
      <c r="F7" s="222">
        <v>43008</v>
      </c>
      <c r="G7" s="24" t="s">
        <v>4603</v>
      </c>
      <c r="H7" s="24" t="s">
        <v>4604</v>
      </c>
      <c r="I7" s="223" t="s">
        <v>4585</v>
      </c>
      <c r="J7" s="24" t="s">
        <v>62</v>
      </c>
      <c r="K7" s="24"/>
      <c r="L7" s="24"/>
      <c r="M7" s="24" t="s">
        <v>4605</v>
      </c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</row>
    <row r="8" spans="1:29" ht="24.75" customHeight="1">
      <c r="A8" s="24" t="s">
        <v>54</v>
      </c>
      <c r="B8" s="24" t="s">
        <v>4581</v>
      </c>
      <c r="C8" s="24" t="s">
        <v>4581</v>
      </c>
      <c r="D8" s="222">
        <v>43013</v>
      </c>
      <c r="E8" s="222">
        <v>42942</v>
      </c>
      <c r="F8" s="222">
        <v>43008</v>
      </c>
      <c r="G8" s="24" t="s">
        <v>4606</v>
      </c>
      <c r="H8" s="24" t="s">
        <v>4607</v>
      </c>
      <c r="I8" s="223" t="s">
        <v>4585</v>
      </c>
      <c r="J8" s="24" t="s">
        <v>62</v>
      </c>
      <c r="K8" s="24"/>
      <c r="L8" s="24"/>
      <c r="M8" s="24" t="s">
        <v>4608</v>
      </c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</row>
    <row r="9" spans="1:29" ht="37.5" customHeight="1">
      <c r="A9" s="24" t="s">
        <v>54</v>
      </c>
      <c r="B9" s="24" t="s">
        <v>4581</v>
      </c>
      <c r="C9" s="24" t="s">
        <v>4581</v>
      </c>
      <c r="D9" s="224">
        <v>43333</v>
      </c>
      <c r="E9" s="224">
        <v>43327</v>
      </c>
      <c r="F9" s="224">
        <v>43333</v>
      </c>
      <c r="G9" s="24" t="s">
        <v>4609</v>
      </c>
      <c r="H9" s="24" t="s">
        <v>4610</v>
      </c>
      <c r="I9" s="223" t="s">
        <v>4611</v>
      </c>
      <c r="J9" s="24" t="s">
        <v>51</v>
      </c>
      <c r="K9" s="24"/>
      <c r="L9" s="24"/>
      <c r="M9" s="24" t="s">
        <v>4612</v>
      </c>
      <c r="N9" s="24"/>
      <c r="O9" s="24"/>
      <c r="P9" s="24"/>
      <c r="Q9" s="98" t="s">
        <v>4613</v>
      </c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25" t="s">
        <v>4596</v>
      </c>
    </row>
    <row r="10" spans="1:29" ht="24.75" customHeight="1">
      <c r="A10" s="24" t="s">
        <v>54</v>
      </c>
      <c r="B10" s="24" t="s">
        <v>4581</v>
      </c>
      <c r="C10" s="24" t="s">
        <v>4581</v>
      </c>
      <c r="D10" s="222">
        <v>43008</v>
      </c>
      <c r="E10" s="222">
        <v>42942</v>
      </c>
      <c r="F10" s="222">
        <v>43008</v>
      </c>
      <c r="G10" s="24" t="s">
        <v>4614</v>
      </c>
      <c r="H10" s="24" t="s">
        <v>4615</v>
      </c>
      <c r="I10" s="223" t="s">
        <v>4585</v>
      </c>
      <c r="J10" s="24" t="s">
        <v>62</v>
      </c>
      <c r="K10" s="24"/>
      <c r="L10" s="24"/>
      <c r="M10" s="24" t="s">
        <v>4616</v>
      </c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</row>
    <row r="11" spans="1:29" ht="24.75" customHeight="1">
      <c r="A11" s="24" t="s">
        <v>54</v>
      </c>
      <c r="B11" s="24" t="s">
        <v>4581</v>
      </c>
      <c r="C11" s="24" t="s">
        <v>4581</v>
      </c>
      <c r="D11" s="24" t="s">
        <v>4588</v>
      </c>
      <c r="E11" s="222">
        <v>42942</v>
      </c>
      <c r="F11" s="222">
        <v>43008</v>
      </c>
      <c r="G11" s="24" t="s">
        <v>4617</v>
      </c>
      <c r="H11" s="24" t="s">
        <v>4618</v>
      </c>
      <c r="I11" s="223" t="s">
        <v>4585</v>
      </c>
      <c r="J11" s="24" t="s">
        <v>51</v>
      </c>
      <c r="K11" s="24"/>
      <c r="L11" s="24"/>
      <c r="M11" s="24" t="s">
        <v>4619</v>
      </c>
      <c r="N11" s="24"/>
      <c r="O11" s="24"/>
      <c r="P11" s="24"/>
      <c r="Q11" s="6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</row>
    <row r="12" spans="1:29" ht="24.75" customHeight="1">
      <c r="A12" s="24" t="s">
        <v>54</v>
      </c>
      <c r="B12" s="24" t="s">
        <v>4581</v>
      </c>
      <c r="C12" s="24" t="s">
        <v>4581</v>
      </c>
      <c r="D12" s="222">
        <v>43008</v>
      </c>
      <c r="E12" s="222">
        <v>42942</v>
      </c>
      <c r="F12" s="222">
        <v>43008</v>
      </c>
      <c r="G12" s="24" t="s">
        <v>4620</v>
      </c>
      <c r="H12" s="24" t="s">
        <v>4621</v>
      </c>
      <c r="I12" s="223" t="s">
        <v>4585</v>
      </c>
      <c r="J12" s="95" t="s">
        <v>51</v>
      </c>
      <c r="K12" s="24"/>
      <c r="L12" s="24"/>
      <c r="M12" s="24" t="s">
        <v>4622</v>
      </c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  <c r="AA12" s="24"/>
      <c r="AB12" s="24"/>
      <c r="AC12" s="24"/>
    </row>
    <row r="13" spans="1:29" ht="24.75" customHeight="1">
      <c r="A13" s="24" t="s">
        <v>54</v>
      </c>
      <c r="B13" s="24" t="s">
        <v>4581</v>
      </c>
      <c r="C13" s="24" t="s">
        <v>4581</v>
      </c>
      <c r="D13" s="222">
        <v>43013</v>
      </c>
      <c r="E13" s="222">
        <v>42942</v>
      </c>
      <c r="F13" s="222">
        <v>43008</v>
      </c>
      <c r="G13" s="24" t="s">
        <v>4623</v>
      </c>
      <c r="H13" s="24" t="s">
        <v>4624</v>
      </c>
      <c r="I13" s="223" t="s">
        <v>4585</v>
      </c>
      <c r="J13" s="24" t="s">
        <v>51</v>
      </c>
      <c r="K13" s="24"/>
      <c r="L13" s="24"/>
      <c r="M13" s="24" t="s">
        <v>4625</v>
      </c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  <c r="AA13" s="24"/>
      <c r="AB13" s="24"/>
      <c r="AC13" s="24"/>
    </row>
    <row r="14" spans="1:29" ht="24.75" customHeight="1">
      <c r="A14" s="24" t="s">
        <v>54</v>
      </c>
      <c r="B14" s="24" t="s">
        <v>4581</v>
      </c>
      <c r="C14" s="24" t="s">
        <v>4581</v>
      </c>
      <c r="D14" s="222">
        <v>43082</v>
      </c>
      <c r="E14" s="222">
        <v>43076</v>
      </c>
      <c r="F14" s="222">
        <v>43082</v>
      </c>
      <c r="G14" s="24" t="s">
        <v>4626</v>
      </c>
      <c r="H14" s="24" t="s">
        <v>4627</v>
      </c>
      <c r="I14" s="223" t="s">
        <v>4585</v>
      </c>
      <c r="J14" s="24" t="s">
        <v>51</v>
      </c>
      <c r="K14" s="24"/>
      <c r="L14" s="24"/>
      <c r="M14" s="24" t="s">
        <v>4628</v>
      </c>
      <c r="N14" s="24"/>
      <c r="O14" s="24"/>
      <c r="P14" s="24"/>
      <c r="Q14" s="64" t="s">
        <v>4629</v>
      </c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</row>
    <row r="15" spans="1:29" ht="24.75" customHeight="1">
      <c r="A15" s="24" t="s">
        <v>54</v>
      </c>
      <c r="B15" s="24" t="s">
        <v>4581</v>
      </c>
      <c r="C15" s="24" t="s">
        <v>4581</v>
      </c>
      <c r="D15" s="222">
        <v>43008</v>
      </c>
      <c r="E15" s="222">
        <v>42942</v>
      </c>
      <c r="F15" s="222">
        <v>43008</v>
      </c>
      <c r="G15" s="24" t="s">
        <v>4630</v>
      </c>
      <c r="H15" s="24" t="s">
        <v>4631</v>
      </c>
      <c r="I15" s="223" t="s">
        <v>4585</v>
      </c>
      <c r="J15" s="24" t="s">
        <v>62</v>
      </c>
      <c r="K15" s="24"/>
      <c r="L15" s="24"/>
      <c r="M15" s="24" t="s">
        <v>4632</v>
      </c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</row>
    <row r="16" spans="1:29" ht="24.75" customHeight="1">
      <c r="A16" s="24" t="s">
        <v>54</v>
      </c>
      <c r="B16" s="24" t="s">
        <v>4581</v>
      </c>
      <c r="C16" s="24" t="s">
        <v>4581</v>
      </c>
      <c r="D16" s="222">
        <v>43008</v>
      </c>
      <c r="E16" s="222">
        <v>42942</v>
      </c>
      <c r="F16" s="222">
        <v>43008</v>
      </c>
      <c r="G16" s="24" t="s">
        <v>4633</v>
      </c>
      <c r="H16" s="24" t="s">
        <v>4634</v>
      </c>
      <c r="I16" s="223" t="s">
        <v>4585</v>
      </c>
      <c r="J16" s="24" t="s">
        <v>62</v>
      </c>
      <c r="K16" s="24"/>
      <c r="L16" s="24"/>
      <c r="M16" s="24" t="s">
        <v>4635</v>
      </c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  <c r="AB16" s="24"/>
      <c r="AC16" s="24"/>
    </row>
    <row r="17" spans="1:29" ht="24.75" customHeight="1">
      <c r="A17" s="24" t="s">
        <v>54</v>
      </c>
      <c r="B17" s="24" t="s">
        <v>4581</v>
      </c>
      <c r="C17" s="24" t="s">
        <v>4581</v>
      </c>
      <c r="D17" s="222">
        <v>43008</v>
      </c>
      <c r="E17" s="222">
        <v>42942</v>
      </c>
      <c r="F17" s="222">
        <v>43008</v>
      </c>
      <c r="G17" s="24" t="s">
        <v>4636</v>
      </c>
      <c r="H17" s="24" t="s">
        <v>4637</v>
      </c>
      <c r="I17" s="223" t="s">
        <v>4585</v>
      </c>
      <c r="J17" s="24" t="s">
        <v>62</v>
      </c>
      <c r="K17" s="24"/>
      <c r="L17" s="24"/>
      <c r="M17" s="24" t="s">
        <v>4638</v>
      </c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  <c r="AA17" s="24"/>
      <c r="AB17" s="24"/>
      <c r="AC17" s="24"/>
    </row>
    <row r="18" spans="1:29" ht="24.75" customHeight="1">
      <c r="A18" s="24" t="s">
        <v>54</v>
      </c>
      <c r="B18" s="24" t="s">
        <v>4581</v>
      </c>
      <c r="C18" s="24" t="s">
        <v>4581</v>
      </c>
      <c r="D18" s="222">
        <v>43008</v>
      </c>
      <c r="E18" s="222">
        <v>42942</v>
      </c>
      <c r="F18" s="222">
        <v>43008</v>
      </c>
      <c r="G18" s="24" t="s">
        <v>4639</v>
      </c>
      <c r="H18" s="24" t="s">
        <v>4640</v>
      </c>
      <c r="I18" s="223" t="s">
        <v>4585</v>
      </c>
      <c r="J18" s="24" t="s">
        <v>62</v>
      </c>
      <c r="K18" s="24"/>
      <c r="L18" s="24"/>
      <c r="M18" s="24" t="s">
        <v>4641</v>
      </c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  <c r="AA18" s="24"/>
      <c r="AB18" s="24"/>
      <c r="AC18" s="24"/>
    </row>
    <row r="19" spans="1:29" ht="24.75" customHeight="1">
      <c r="A19" s="24" t="s">
        <v>54</v>
      </c>
      <c r="B19" s="24" t="s">
        <v>4581</v>
      </c>
      <c r="C19" s="24" t="s">
        <v>4581</v>
      </c>
      <c r="D19" s="222">
        <v>43013</v>
      </c>
      <c r="E19" s="222">
        <v>42942</v>
      </c>
      <c r="F19" s="222">
        <v>43008</v>
      </c>
      <c r="G19" s="24" t="s">
        <v>4642</v>
      </c>
      <c r="H19" s="24" t="s">
        <v>4643</v>
      </c>
      <c r="I19" s="223" t="s">
        <v>4585</v>
      </c>
      <c r="J19" s="24" t="s">
        <v>62</v>
      </c>
      <c r="K19" s="24"/>
      <c r="L19" s="24"/>
      <c r="M19" s="24" t="s">
        <v>4644</v>
      </c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</row>
    <row r="20" spans="1:29" ht="24.75" customHeight="1">
      <c r="A20" s="24" t="s">
        <v>54</v>
      </c>
      <c r="B20" s="24" t="s">
        <v>4581</v>
      </c>
      <c r="C20" s="24" t="s">
        <v>4581</v>
      </c>
      <c r="D20" s="222">
        <v>43008</v>
      </c>
      <c r="E20" s="222">
        <v>42942</v>
      </c>
      <c r="F20" s="222">
        <v>43008</v>
      </c>
      <c r="G20" s="24" t="s">
        <v>4645</v>
      </c>
      <c r="H20" s="24" t="s">
        <v>4646</v>
      </c>
      <c r="I20" s="223" t="s">
        <v>4585</v>
      </c>
      <c r="J20" s="24" t="s">
        <v>51</v>
      </c>
      <c r="K20" s="24"/>
      <c r="L20" s="24"/>
      <c r="M20" s="24" t="s">
        <v>4647</v>
      </c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  <c r="AA20" s="24"/>
      <c r="AB20" s="24"/>
      <c r="AC20" s="24"/>
    </row>
    <row r="21" spans="1:29" ht="24.75" customHeight="1">
      <c r="A21" s="24" t="s">
        <v>54</v>
      </c>
      <c r="B21" s="24" t="s">
        <v>4581</v>
      </c>
      <c r="C21" s="24" t="s">
        <v>4581</v>
      </c>
      <c r="D21" s="222">
        <v>43013</v>
      </c>
      <c r="E21" s="222">
        <v>42942</v>
      </c>
      <c r="F21" s="222">
        <v>43008</v>
      </c>
      <c r="G21" s="24" t="s">
        <v>4648</v>
      </c>
      <c r="H21" s="24" t="s">
        <v>4649</v>
      </c>
      <c r="I21" s="223" t="s">
        <v>4585</v>
      </c>
      <c r="J21" s="24" t="s">
        <v>62</v>
      </c>
      <c r="K21" s="24"/>
      <c r="L21" s="24"/>
      <c r="M21" s="24" t="s">
        <v>4650</v>
      </c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</row>
    <row r="22" spans="1:29" ht="24.75" customHeight="1">
      <c r="A22" s="24" t="s">
        <v>54</v>
      </c>
      <c r="B22" s="24" t="s">
        <v>4581</v>
      </c>
      <c r="C22" s="24" t="s">
        <v>4581</v>
      </c>
      <c r="D22" s="222">
        <v>43008</v>
      </c>
      <c r="E22" s="222">
        <v>42943</v>
      </c>
      <c r="F22" s="222">
        <v>43008</v>
      </c>
      <c r="G22" s="24" t="s">
        <v>4651</v>
      </c>
      <c r="H22" s="24" t="s">
        <v>4652</v>
      </c>
      <c r="I22" s="223" t="s">
        <v>4585</v>
      </c>
      <c r="J22" s="24" t="s">
        <v>62</v>
      </c>
      <c r="K22" s="24"/>
      <c r="L22" s="24"/>
      <c r="M22" s="24" t="s">
        <v>4653</v>
      </c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</row>
    <row r="23" spans="1:29" ht="24.75" customHeight="1">
      <c r="A23" s="24" t="s">
        <v>54</v>
      </c>
      <c r="B23" s="24" t="s">
        <v>4581</v>
      </c>
      <c r="C23" s="24" t="s">
        <v>4581</v>
      </c>
      <c r="D23" s="24" t="s">
        <v>4588</v>
      </c>
      <c r="E23" s="222">
        <v>42943</v>
      </c>
      <c r="F23" s="222">
        <v>43008</v>
      </c>
      <c r="G23" s="24" t="s">
        <v>4654</v>
      </c>
      <c r="H23" s="24" t="s">
        <v>4655</v>
      </c>
      <c r="I23" s="223" t="s">
        <v>4585</v>
      </c>
      <c r="J23" s="24" t="s">
        <v>62</v>
      </c>
      <c r="K23" s="24"/>
      <c r="L23" s="24"/>
      <c r="M23" s="24" t="s">
        <v>4656</v>
      </c>
      <c r="N23" s="24"/>
      <c r="O23" s="24"/>
      <c r="P23" s="24"/>
      <c r="Q23" s="6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</row>
    <row r="24" spans="1:29" ht="24.75" customHeight="1">
      <c r="A24" s="24" t="s">
        <v>54</v>
      </c>
      <c r="B24" s="24" t="s">
        <v>4581</v>
      </c>
      <c r="C24" s="24" t="s">
        <v>4581</v>
      </c>
      <c r="D24" s="222">
        <v>43008</v>
      </c>
      <c r="E24" s="222">
        <v>42943</v>
      </c>
      <c r="F24" s="222">
        <v>43008</v>
      </c>
      <c r="G24" s="24" t="s">
        <v>4657</v>
      </c>
      <c r="H24" s="24" t="s">
        <v>4658</v>
      </c>
      <c r="I24" s="223" t="s">
        <v>4585</v>
      </c>
      <c r="J24" s="24" t="s">
        <v>62</v>
      </c>
      <c r="K24" s="24"/>
      <c r="L24" s="24"/>
      <c r="M24" s="24" t="s">
        <v>4659</v>
      </c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</row>
    <row r="25" spans="1:29" ht="24.75" customHeight="1">
      <c r="A25" s="24" t="s">
        <v>54</v>
      </c>
      <c r="B25" s="24" t="s">
        <v>4581</v>
      </c>
      <c r="C25" s="24" t="s">
        <v>4581</v>
      </c>
      <c r="D25" s="222">
        <v>43008</v>
      </c>
      <c r="E25" s="222">
        <v>42943</v>
      </c>
      <c r="F25" s="222">
        <v>43008</v>
      </c>
      <c r="G25" s="24" t="s">
        <v>4660</v>
      </c>
      <c r="H25" s="24" t="s">
        <v>4661</v>
      </c>
      <c r="I25" s="223" t="s">
        <v>4585</v>
      </c>
      <c r="J25" s="24" t="s">
        <v>62</v>
      </c>
      <c r="K25" s="24"/>
      <c r="L25" s="24"/>
      <c r="M25" s="24" t="s">
        <v>4662</v>
      </c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</row>
    <row r="26" spans="1:29" ht="24.75" customHeight="1">
      <c r="A26" s="24" t="s">
        <v>54</v>
      </c>
      <c r="B26" s="24" t="s">
        <v>4581</v>
      </c>
      <c r="C26" s="24" t="s">
        <v>4581</v>
      </c>
      <c r="D26" s="222">
        <v>43008</v>
      </c>
      <c r="E26" s="222">
        <v>42943</v>
      </c>
      <c r="F26" s="222">
        <v>43008</v>
      </c>
      <c r="G26" s="24" t="s">
        <v>4663</v>
      </c>
      <c r="H26" s="24" t="s">
        <v>4664</v>
      </c>
      <c r="I26" s="223" t="s">
        <v>4585</v>
      </c>
      <c r="J26" s="24" t="s">
        <v>51</v>
      </c>
      <c r="K26" s="24"/>
      <c r="L26" s="24"/>
      <c r="M26" s="24" t="s">
        <v>4665</v>
      </c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</row>
    <row r="27" spans="1:29" ht="24.75" customHeight="1">
      <c r="A27" s="24" t="s">
        <v>54</v>
      </c>
      <c r="B27" s="24" t="s">
        <v>4581</v>
      </c>
      <c r="C27" s="24" t="s">
        <v>4581</v>
      </c>
      <c r="D27" s="222">
        <v>43008</v>
      </c>
      <c r="E27" s="222">
        <v>42943</v>
      </c>
      <c r="F27" s="222">
        <v>43008</v>
      </c>
      <c r="G27" s="24" t="s">
        <v>4666</v>
      </c>
      <c r="H27" s="24" t="s">
        <v>4667</v>
      </c>
      <c r="I27" s="223" t="s">
        <v>4585</v>
      </c>
      <c r="J27" s="24" t="s">
        <v>62</v>
      </c>
      <c r="K27" s="24"/>
      <c r="L27" s="24"/>
      <c r="M27" s="24" t="s">
        <v>4668</v>
      </c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</row>
    <row r="28" spans="1:29" ht="24.75" customHeight="1">
      <c r="A28" s="24" t="s">
        <v>54</v>
      </c>
      <c r="B28" s="24" t="s">
        <v>4581</v>
      </c>
      <c r="C28" s="24" t="s">
        <v>4581</v>
      </c>
      <c r="D28" s="222">
        <v>43008</v>
      </c>
      <c r="E28" s="222">
        <v>42943</v>
      </c>
      <c r="F28" s="222">
        <v>43008</v>
      </c>
      <c r="G28" s="24" t="s">
        <v>4669</v>
      </c>
      <c r="H28" s="24" t="s">
        <v>4670</v>
      </c>
      <c r="I28" s="223" t="s">
        <v>4585</v>
      </c>
      <c r="J28" s="24" t="s">
        <v>62</v>
      </c>
      <c r="K28" s="24"/>
      <c r="L28" s="24"/>
      <c r="M28" s="24" t="s">
        <v>4671</v>
      </c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</row>
    <row r="29" spans="1:29" ht="24.75" customHeight="1">
      <c r="A29" s="24" t="s">
        <v>54</v>
      </c>
      <c r="B29" s="24" t="s">
        <v>4581</v>
      </c>
      <c r="C29" s="24" t="s">
        <v>4581</v>
      </c>
      <c r="D29" s="222">
        <v>43008</v>
      </c>
      <c r="E29" s="222">
        <v>42943</v>
      </c>
      <c r="F29" s="222">
        <v>43008</v>
      </c>
      <c r="G29" s="24" t="s">
        <v>4672</v>
      </c>
      <c r="H29" s="56" t="s">
        <v>4673</v>
      </c>
      <c r="I29" s="223" t="s">
        <v>4585</v>
      </c>
      <c r="J29" s="24" t="s">
        <v>62</v>
      </c>
      <c r="K29" s="24"/>
      <c r="L29" s="24"/>
      <c r="M29" s="24" t="s">
        <v>4674</v>
      </c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</row>
    <row r="30" spans="1:29" ht="24.75" customHeight="1">
      <c r="A30" s="24" t="s">
        <v>54</v>
      </c>
      <c r="B30" s="24" t="s">
        <v>4581</v>
      </c>
      <c r="C30" s="24" t="s">
        <v>4581</v>
      </c>
      <c r="D30" s="222">
        <v>43008</v>
      </c>
      <c r="E30" s="222">
        <v>42943</v>
      </c>
      <c r="F30" s="222">
        <v>43008</v>
      </c>
      <c r="G30" s="24" t="s">
        <v>4675</v>
      </c>
      <c r="H30" s="24" t="s">
        <v>4676</v>
      </c>
      <c r="I30" s="223" t="s">
        <v>4585</v>
      </c>
      <c r="J30" s="24" t="s">
        <v>62</v>
      </c>
      <c r="K30" s="24"/>
      <c r="L30" s="24"/>
      <c r="M30" s="24" t="s">
        <v>4677</v>
      </c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</row>
    <row r="31" spans="1:29" ht="24.75" customHeight="1">
      <c r="A31" s="24" t="s">
        <v>54</v>
      </c>
      <c r="B31" s="24" t="s">
        <v>4581</v>
      </c>
      <c r="C31" s="24" t="s">
        <v>4581</v>
      </c>
      <c r="D31" s="222">
        <v>43008</v>
      </c>
      <c r="E31" s="222">
        <v>42943</v>
      </c>
      <c r="F31" s="222">
        <v>43008</v>
      </c>
      <c r="G31" s="24" t="s">
        <v>4678</v>
      </c>
      <c r="H31" s="24" t="s">
        <v>4679</v>
      </c>
      <c r="I31" s="223" t="s">
        <v>4585</v>
      </c>
      <c r="J31" s="24" t="s">
        <v>62</v>
      </c>
      <c r="K31" s="24"/>
      <c r="L31" s="24"/>
      <c r="M31" s="24" t="s">
        <v>4680</v>
      </c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</row>
    <row r="32" spans="1:29" ht="24.75" customHeight="1">
      <c r="A32" s="24" t="s">
        <v>54</v>
      </c>
      <c r="B32" s="24" t="s">
        <v>4581</v>
      </c>
      <c r="C32" s="24" t="s">
        <v>4581</v>
      </c>
      <c r="D32" s="222">
        <v>43008</v>
      </c>
      <c r="E32" s="222">
        <v>42943</v>
      </c>
      <c r="F32" s="222">
        <v>43008</v>
      </c>
      <c r="G32" s="24" t="s">
        <v>4681</v>
      </c>
      <c r="H32" s="24" t="s">
        <v>4682</v>
      </c>
      <c r="I32" s="223" t="s">
        <v>4585</v>
      </c>
      <c r="J32" s="24" t="s">
        <v>51</v>
      </c>
      <c r="K32" s="24"/>
      <c r="L32" s="24"/>
      <c r="M32" s="24" t="s">
        <v>4683</v>
      </c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</row>
    <row r="33" spans="1:29" ht="24.75" customHeight="1">
      <c r="A33" s="24" t="s">
        <v>54</v>
      </c>
      <c r="B33" s="24" t="s">
        <v>4581</v>
      </c>
      <c r="C33" s="24" t="s">
        <v>4581</v>
      </c>
      <c r="D33" s="222">
        <v>43008</v>
      </c>
      <c r="E33" s="222">
        <v>42943</v>
      </c>
      <c r="F33" s="222">
        <v>43008</v>
      </c>
      <c r="G33" s="24" t="s">
        <v>4684</v>
      </c>
      <c r="H33" s="24" t="s">
        <v>4685</v>
      </c>
      <c r="I33" s="223" t="s">
        <v>4585</v>
      </c>
      <c r="J33" s="24" t="s">
        <v>62</v>
      </c>
      <c r="K33" s="24"/>
      <c r="L33" s="24"/>
      <c r="M33" s="24" t="s">
        <v>4686</v>
      </c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</row>
    <row r="34" spans="1:29" ht="24.75" customHeight="1">
      <c r="A34" s="24" t="s">
        <v>54</v>
      </c>
      <c r="B34" s="24" t="s">
        <v>4581</v>
      </c>
      <c r="C34" s="24" t="s">
        <v>4581</v>
      </c>
      <c r="D34" s="222">
        <v>43008</v>
      </c>
      <c r="E34" s="222">
        <v>42943</v>
      </c>
      <c r="F34" s="222">
        <v>43008</v>
      </c>
      <c r="G34" s="24" t="s">
        <v>4687</v>
      </c>
      <c r="H34" s="24" t="s">
        <v>4688</v>
      </c>
      <c r="I34" s="223" t="s">
        <v>4585</v>
      </c>
      <c r="J34" s="24" t="s">
        <v>62</v>
      </c>
      <c r="K34" s="24"/>
      <c r="L34" s="24"/>
      <c r="M34" s="24" t="s">
        <v>4689</v>
      </c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</row>
    <row r="35" spans="1:29" ht="24.75" customHeight="1">
      <c r="A35" s="24" t="s">
        <v>54</v>
      </c>
      <c r="B35" s="24" t="s">
        <v>4581</v>
      </c>
      <c r="C35" s="24" t="s">
        <v>4581</v>
      </c>
      <c r="D35" s="222">
        <v>43008</v>
      </c>
      <c r="E35" s="222">
        <v>42943</v>
      </c>
      <c r="F35" s="222">
        <v>43008</v>
      </c>
      <c r="G35" s="24" t="s">
        <v>4690</v>
      </c>
      <c r="H35" s="24" t="s">
        <v>4691</v>
      </c>
      <c r="I35" s="223" t="s">
        <v>4585</v>
      </c>
      <c r="J35" s="24" t="s">
        <v>62</v>
      </c>
      <c r="K35" s="24"/>
      <c r="L35" s="24"/>
      <c r="M35" s="24" t="s">
        <v>4692</v>
      </c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</row>
    <row r="36" spans="1:29" ht="24.75" customHeight="1">
      <c r="A36" s="24" t="s">
        <v>54</v>
      </c>
      <c r="B36" s="24" t="s">
        <v>4581</v>
      </c>
      <c r="C36" s="24" t="s">
        <v>4581</v>
      </c>
      <c r="D36" s="222">
        <v>43008</v>
      </c>
      <c r="E36" s="222">
        <v>42943</v>
      </c>
      <c r="F36" s="222">
        <v>43008</v>
      </c>
      <c r="G36" s="24" t="s">
        <v>4693</v>
      </c>
      <c r="H36" s="24" t="s">
        <v>4694</v>
      </c>
      <c r="I36" s="223" t="s">
        <v>4585</v>
      </c>
      <c r="J36" s="24" t="s">
        <v>62</v>
      </c>
      <c r="K36" s="24"/>
      <c r="L36" s="24"/>
      <c r="M36" s="24" t="s">
        <v>4695</v>
      </c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</row>
    <row r="37" spans="1:29" ht="24.75" customHeight="1">
      <c r="A37" s="24" t="s">
        <v>54</v>
      </c>
      <c r="B37" s="24" t="s">
        <v>4581</v>
      </c>
      <c r="C37" s="24" t="s">
        <v>4581</v>
      </c>
      <c r="D37" s="222">
        <v>43013</v>
      </c>
      <c r="E37" s="222">
        <v>42943</v>
      </c>
      <c r="F37" s="222">
        <v>43008</v>
      </c>
      <c r="G37" s="24" t="s">
        <v>4696</v>
      </c>
      <c r="H37" s="24" t="s">
        <v>4697</v>
      </c>
      <c r="I37" s="223" t="s">
        <v>4585</v>
      </c>
      <c r="J37" s="24" t="s">
        <v>51</v>
      </c>
      <c r="K37" s="24"/>
      <c r="L37" s="24"/>
      <c r="M37" s="24" t="s">
        <v>4698</v>
      </c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  <c r="AA37" s="24"/>
      <c r="AB37" s="24"/>
      <c r="AC37" s="24"/>
    </row>
    <row r="38" spans="1:29" ht="24.75" customHeight="1">
      <c r="A38" s="24" t="s">
        <v>54</v>
      </c>
      <c r="B38" s="24" t="s">
        <v>4581</v>
      </c>
      <c r="C38" s="24" t="s">
        <v>4581</v>
      </c>
      <c r="D38" s="222">
        <v>43008</v>
      </c>
      <c r="E38" s="222">
        <v>42943</v>
      </c>
      <c r="F38" s="222">
        <v>43008</v>
      </c>
      <c r="G38" s="24" t="s">
        <v>4699</v>
      </c>
      <c r="H38" s="24" t="s">
        <v>4700</v>
      </c>
      <c r="I38" s="223" t="s">
        <v>4585</v>
      </c>
      <c r="J38" s="24" t="s">
        <v>62</v>
      </c>
      <c r="K38" s="24"/>
      <c r="L38" s="24"/>
      <c r="M38" s="24" t="s">
        <v>4701</v>
      </c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  <c r="AB38" s="24"/>
      <c r="AC38" s="24"/>
    </row>
    <row r="39" spans="1:29" ht="24.75" customHeight="1">
      <c r="A39" s="24" t="s">
        <v>54</v>
      </c>
      <c r="B39" s="24" t="s">
        <v>4581</v>
      </c>
      <c r="C39" s="24" t="s">
        <v>4581</v>
      </c>
      <c r="D39" s="222">
        <v>43013</v>
      </c>
      <c r="E39" s="222">
        <v>42943</v>
      </c>
      <c r="F39" s="222">
        <v>43008</v>
      </c>
      <c r="G39" s="24" t="s">
        <v>4702</v>
      </c>
      <c r="H39" s="24" t="s">
        <v>4703</v>
      </c>
      <c r="I39" s="223" t="s">
        <v>4585</v>
      </c>
      <c r="J39" s="24" t="s">
        <v>62</v>
      </c>
      <c r="K39" s="24"/>
      <c r="L39" s="24"/>
      <c r="M39" s="24" t="s">
        <v>4704</v>
      </c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</row>
    <row r="40" spans="1:29" ht="24.75" customHeight="1">
      <c r="A40" s="24" t="s">
        <v>54</v>
      </c>
      <c r="B40" s="24" t="s">
        <v>4581</v>
      </c>
      <c r="C40" s="24" t="s">
        <v>4581</v>
      </c>
      <c r="D40" s="222">
        <v>43008</v>
      </c>
      <c r="E40" s="222">
        <v>42943</v>
      </c>
      <c r="F40" s="222">
        <v>43008</v>
      </c>
      <c r="G40" s="24" t="s">
        <v>4705</v>
      </c>
      <c r="H40" s="24" t="s">
        <v>4706</v>
      </c>
      <c r="I40" s="223" t="s">
        <v>4585</v>
      </c>
      <c r="J40" s="24" t="s">
        <v>62</v>
      </c>
      <c r="K40" s="24"/>
      <c r="L40" s="24"/>
      <c r="M40" s="24" t="s">
        <v>4707</v>
      </c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</row>
    <row r="41" spans="1:29" ht="24.75" customHeight="1">
      <c r="A41" s="24" t="s">
        <v>54</v>
      </c>
      <c r="B41" s="24" t="s">
        <v>4581</v>
      </c>
      <c r="C41" s="24" t="s">
        <v>4581</v>
      </c>
      <c r="D41" s="222">
        <v>43013</v>
      </c>
      <c r="E41" s="222">
        <v>42943</v>
      </c>
      <c r="F41" s="222">
        <v>43008</v>
      </c>
      <c r="G41" s="24" t="s">
        <v>4708</v>
      </c>
      <c r="H41" s="24" t="s">
        <v>4709</v>
      </c>
      <c r="I41" s="223" t="s">
        <v>4585</v>
      </c>
      <c r="J41" s="24" t="s">
        <v>62</v>
      </c>
      <c r="K41" s="24"/>
      <c r="L41" s="24"/>
      <c r="M41" s="24" t="s">
        <v>4710</v>
      </c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</row>
    <row r="42" spans="1:29" ht="24.75" customHeight="1">
      <c r="A42" s="24" t="s">
        <v>54</v>
      </c>
      <c r="B42" s="24" t="s">
        <v>4581</v>
      </c>
      <c r="C42" s="24" t="s">
        <v>4581</v>
      </c>
      <c r="D42" s="222">
        <v>43008</v>
      </c>
      <c r="E42" s="222">
        <v>42943</v>
      </c>
      <c r="F42" s="222">
        <v>43008</v>
      </c>
      <c r="G42" s="24" t="s">
        <v>230</v>
      </c>
      <c r="H42" s="24" t="s">
        <v>231</v>
      </c>
      <c r="I42" s="223" t="s">
        <v>4585</v>
      </c>
      <c r="J42" s="24" t="s">
        <v>51</v>
      </c>
      <c r="K42" s="24"/>
      <c r="L42" s="24"/>
      <c r="M42" s="24" t="s">
        <v>4711</v>
      </c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</row>
    <row r="43" spans="1:29" ht="24.75" customHeight="1">
      <c r="A43" s="24" t="s">
        <v>54</v>
      </c>
      <c r="B43" s="24" t="s">
        <v>4581</v>
      </c>
      <c r="C43" s="24" t="s">
        <v>4581</v>
      </c>
      <c r="D43" s="222">
        <v>43013</v>
      </c>
      <c r="E43" s="222">
        <v>42944</v>
      </c>
      <c r="F43" s="222">
        <v>43008</v>
      </c>
      <c r="G43" s="24" t="s">
        <v>4712</v>
      </c>
      <c r="H43" s="24" t="s">
        <v>4713</v>
      </c>
      <c r="I43" s="223" t="s">
        <v>4585</v>
      </c>
      <c r="J43" s="24" t="s">
        <v>62</v>
      </c>
      <c r="K43" s="24"/>
      <c r="L43" s="24"/>
      <c r="M43" s="24" t="s">
        <v>4714</v>
      </c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</row>
    <row r="44" spans="1:29" ht="24.75" customHeight="1">
      <c r="A44" s="24" t="s">
        <v>54</v>
      </c>
      <c r="B44" s="24" t="s">
        <v>4581</v>
      </c>
      <c r="C44" s="24" t="s">
        <v>4581</v>
      </c>
      <c r="D44" s="222">
        <v>43008</v>
      </c>
      <c r="E44" s="222">
        <v>42944</v>
      </c>
      <c r="F44" s="222">
        <v>43008</v>
      </c>
      <c r="G44" s="24" t="s">
        <v>4715</v>
      </c>
      <c r="H44" s="24" t="s">
        <v>4716</v>
      </c>
      <c r="I44" s="223" t="s">
        <v>4585</v>
      </c>
      <c r="J44" s="24" t="s">
        <v>51</v>
      </c>
      <c r="K44" s="24"/>
      <c r="L44" s="24"/>
      <c r="M44" s="24" t="s">
        <v>4717</v>
      </c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</row>
    <row r="45" spans="1:29" ht="24.75" customHeight="1">
      <c r="A45" s="24" t="s">
        <v>54</v>
      </c>
      <c r="B45" s="24" t="s">
        <v>4581</v>
      </c>
      <c r="C45" s="24" t="s">
        <v>4581</v>
      </c>
      <c r="D45" s="222">
        <v>43008</v>
      </c>
      <c r="E45" s="222">
        <v>42944</v>
      </c>
      <c r="F45" s="222">
        <v>43008</v>
      </c>
      <c r="G45" s="24" t="s">
        <v>4718</v>
      </c>
      <c r="H45" s="24" t="s">
        <v>4719</v>
      </c>
      <c r="I45" s="223" t="s">
        <v>4585</v>
      </c>
      <c r="J45" s="24" t="s">
        <v>62</v>
      </c>
      <c r="K45" s="24"/>
      <c r="L45" s="24"/>
      <c r="M45" s="24" t="s">
        <v>4720</v>
      </c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</row>
    <row r="46" spans="1:29" ht="24.75" customHeight="1">
      <c r="A46" s="24" t="s">
        <v>54</v>
      </c>
      <c r="B46" s="24" t="s">
        <v>4581</v>
      </c>
      <c r="C46" s="24" t="s">
        <v>4581</v>
      </c>
      <c r="D46" s="222">
        <v>43013</v>
      </c>
      <c r="E46" s="222">
        <v>42944</v>
      </c>
      <c r="F46" s="222">
        <v>43008</v>
      </c>
      <c r="G46" s="24" t="s">
        <v>4721</v>
      </c>
      <c r="H46" s="24" t="s">
        <v>4722</v>
      </c>
      <c r="I46" s="223" t="s">
        <v>4585</v>
      </c>
      <c r="J46" s="24" t="s">
        <v>62</v>
      </c>
      <c r="K46" s="24"/>
      <c r="L46" s="24"/>
      <c r="M46" s="24" t="s">
        <v>4723</v>
      </c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</row>
    <row r="47" spans="1:29" ht="24.75" customHeight="1">
      <c r="A47" s="24" t="s">
        <v>54</v>
      </c>
      <c r="B47" s="24" t="s">
        <v>4581</v>
      </c>
      <c r="C47" s="24" t="s">
        <v>4581</v>
      </c>
      <c r="D47" s="222">
        <v>43008</v>
      </c>
      <c r="E47" s="222">
        <v>42944</v>
      </c>
      <c r="F47" s="222">
        <v>43008</v>
      </c>
      <c r="G47" s="24" t="s">
        <v>4724</v>
      </c>
      <c r="H47" s="24" t="s">
        <v>4725</v>
      </c>
      <c r="I47" s="223" t="s">
        <v>4585</v>
      </c>
      <c r="J47" s="24" t="s">
        <v>51</v>
      </c>
      <c r="K47" s="24"/>
      <c r="L47" s="24"/>
      <c r="M47" s="24" t="s">
        <v>4726</v>
      </c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</row>
    <row r="48" spans="1:29" ht="24.75" customHeight="1">
      <c r="A48" s="24" t="s">
        <v>54</v>
      </c>
      <c r="B48" s="24" t="s">
        <v>4581</v>
      </c>
      <c r="C48" s="24" t="s">
        <v>4581</v>
      </c>
      <c r="D48" s="222">
        <v>43013</v>
      </c>
      <c r="E48" s="222">
        <v>42944</v>
      </c>
      <c r="F48" s="222">
        <v>43008</v>
      </c>
      <c r="G48" s="24" t="s">
        <v>4727</v>
      </c>
      <c r="H48" s="24" t="s">
        <v>4728</v>
      </c>
      <c r="I48" s="223" t="s">
        <v>4585</v>
      </c>
      <c r="J48" s="24" t="s">
        <v>62</v>
      </c>
      <c r="K48" s="24"/>
      <c r="L48" s="24"/>
      <c r="M48" s="24" t="s">
        <v>4729</v>
      </c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</row>
    <row r="49" spans="1:29" ht="24.75" customHeight="1">
      <c r="A49" s="24" t="s">
        <v>54</v>
      </c>
      <c r="B49" s="24" t="s">
        <v>4581</v>
      </c>
      <c r="C49" s="24" t="s">
        <v>4581</v>
      </c>
      <c r="D49" s="222" t="s">
        <v>4588</v>
      </c>
      <c r="E49" s="222">
        <v>42944</v>
      </c>
      <c r="F49" s="222">
        <v>43008</v>
      </c>
      <c r="G49" s="24" t="s">
        <v>4730</v>
      </c>
      <c r="H49" s="24" t="s">
        <v>4731</v>
      </c>
      <c r="I49" s="223" t="s">
        <v>4585</v>
      </c>
      <c r="J49" s="24" t="s">
        <v>51</v>
      </c>
      <c r="K49" s="24"/>
      <c r="L49" s="24"/>
      <c r="M49" s="24" t="s">
        <v>4732</v>
      </c>
      <c r="N49" s="24"/>
      <c r="O49" s="24"/>
      <c r="P49" s="24"/>
      <c r="Q49" s="6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</row>
    <row r="50" spans="1:29" ht="24.75" customHeight="1">
      <c r="A50" s="24" t="s">
        <v>54</v>
      </c>
      <c r="B50" s="24" t="s">
        <v>4581</v>
      </c>
      <c r="C50" s="24" t="s">
        <v>4581</v>
      </c>
      <c r="D50" s="222">
        <v>43008</v>
      </c>
      <c r="E50" s="222">
        <v>42944</v>
      </c>
      <c r="F50" s="222">
        <v>43008</v>
      </c>
      <c r="G50" s="24" t="s">
        <v>4733</v>
      </c>
      <c r="H50" s="24" t="s">
        <v>4734</v>
      </c>
      <c r="I50" s="223" t="s">
        <v>4585</v>
      </c>
      <c r="J50" s="24" t="s">
        <v>62</v>
      </c>
      <c r="K50" s="24"/>
      <c r="L50" s="24"/>
      <c r="M50" s="24" t="s">
        <v>4735</v>
      </c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</row>
    <row r="51" spans="1:29" ht="24.75" customHeight="1">
      <c r="A51" s="24" t="s">
        <v>54</v>
      </c>
      <c r="B51" s="24" t="s">
        <v>4581</v>
      </c>
      <c r="C51" s="24" t="s">
        <v>4581</v>
      </c>
      <c r="D51" s="24" t="s">
        <v>4588</v>
      </c>
      <c r="E51" s="222">
        <v>42944</v>
      </c>
      <c r="F51" s="222">
        <v>43008</v>
      </c>
      <c r="G51" s="24" t="s">
        <v>4736</v>
      </c>
      <c r="H51" s="24" t="s">
        <v>4737</v>
      </c>
      <c r="I51" s="223" t="s">
        <v>4585</v>
      </c>
      <c r="J51" s="24" t="s">
        <v>51</v>
      </c>
      <c r="K51" s="24"/>
      <c r="L51" s="24"/>
      <c r="M51" s="24" t="s">
        <v>4738</v>
      </c>
      <c r="N51" s="24"/>
      <c r="O51" s="24"/>
      <c r="P51" s="24"/>
      <c r="Q51" s="6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</row>
    <row r="52" spans="1:29" ht="24.75" customHeight="1">
      <c r="A52" s="24" t="s">
        <v>54</v>
      </c>
      <c r="B52" s="24" t="s">
        <v>4581</v>
      </c>
      <c r="C52" s="24" t="s">
        <v>4581</v>
      </c>
      <c r="D52" s="222">
        <v>43008</v>
      </c>
      <c r="E52" s="222">
        <v>42944</v>
      </c>
      <c r="F52" s="222">
        <v>43008</v>
      </c>
      <c r="G52" s="24" t="s">
        <v>4739</v>
      </c>
      <c r="H52" s="24" t="s">
        <v>4740</v>
      </c>
      <c r="I52" s="223" t="s">
        <v>4585</v>
      </c>
      <c r="J52" s="24" t="s">
        <v>62</v>
      </c>
      <c r="K52" s="24"/>
      <c r="L52" s="24"/>
      <c r="M52" s="24" t="s">
        <v>4741</v>
      </c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</row>
    <row r="53" spans="1:29" ht="24.75" customHeight="1">
      <c r="A53" s="24" t="s">
        <v>54</v>
      </c>
      <c r="B53" s="24" t="s">
        <v>4581</v>
      </c>
      <c r="C53" s="24" t="s">
        <v>4581</v>
      </c>
      <c r="D53" s="222">
        <v>43008</v>
      </c>
      <c r="E53" s="222">
        <v>42944</v>
      </c>
      <c r="F53" s="222">
        <v>43008</v>
      </c>
      <c r="G53" s="24" t="s">
        <v>4742</v>
      </c>
      <c r="H53" s="56" t="s">
        <v>4743</v>
      </c>
      <c r="I53" s="223" t="s">
        <v>4585</v>
      </c>
      <c r="J53" s="24" t="s">
        <v>62</v>
      </c>
      <c r="K53" s="24"/>
      <c r="L53" s="24"/>
      <c r="M53" s="24" t="s">
        <v>4744</v>
      </c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</row>
    <row r="54" spans="1:29" ht="24.75" customHeight="1">
      <c r="A54" s="24" t="s">
        <v>54</v>
      </c>
      <c r="B54" s="24" t="s">
        <v>4581</v>
      </c>
      <c r="C54" s="24" t="s">
        <v>4581</v>
      </c>
      <c r="D54" s="222">
        <v>43013</v>
      </c>
      <c r="E54" s="222">
        <v>42944</v>
      </c>
      <c r="F54" s="222">
        <v>43008</v>
      </c>
      <c r="G54" s="24" t="s">
        <v>4745</v>
      </c>
      <c r="H54" s="24" t="s">
        <v>4746</v>
      </c>
      <c r="I54" s="223" t="s">
        <v>4585</v>
      </c>
      <c r="J54" s="24" t="s">
        <v>62</v>
      </c>
      <c r="K54" s="24"/>
      <c r="L54" s="24"/>
      <c r="M54" s="24" t="s">
        <v>4747</v>
      </c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</row>
    <row r="55" spans="1:29" ht="24.75" customHeight="1">
      <c r="A55" s="24" t="s">
        <v>54</v>
      </c>
      <c r="B55" s="24" t="s">
        <v>4581</v>
      </c>
      <c r="C55" s="24" t="s">
        <v>4581</v>
      </c>
      <c r="D55" s="222">
        <v>43008</v>
      </c>
      <c r="E55" s="222">
        <v>42944</v>
      </c>
      <c r="F55" s="222">
        <v>43008</v>
      </c>
      <c r="G55" s="24" t="s">
        <v>4748</v>
      </c>
      <c r="H55" s="24" t="s">
        <v>4749</v>
      </c>
      <c r="I55" s="223" t="s">
        <v>4585</v>
      </c>
      <c r="J55" s="24" t="s">
        <v>51</v>
      </c>
      <c r="K55" s="24"/>
      <c r="L55" s="24"/>
      <c r="M55" s="24" t="s">
        <v>4750</v>
      </c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</row>
    <row r="56" spans="1:29" ht="24.75" customHeight="1">
      <c r="A56" s="24" t="s">
        <v>54</v>
      </c>
      <c r="B56" s="24" t="s">
        <v>4581</v>
      </c>
      <c r="C56" s="24" t="s">
        <v>4581</v>
      </c>
      <c r="D56" s="222">
        <v>43008</v>
      </c>
      <c r="E56" s="222">
        <v>42944</v>
      </c>
      <c r="F56" s="222">
        <v>43008</v>
      </c>
      <c r="G56" s="24" t="s">
        <v>4751</v>
      </c>
      <c r="H56" s="24" t="s">
        <v>4752</v>
      </c>
      <c r="I56" s="223" t="s">
        <v>4585</v>
      </c>
      <c r="J56" s="24" t="s">
        <v>62</v>
      </c>
      <c r="K56" s="24"/>
      <c r="L56" s="24"/>
      <c r="M56" s="24" t="s">
        <v>4753</v>
      </c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</row>
    <row r="57" spans="1:29" ht="24.75" customHeight="1">
      <c r="A57" s="24" t="s">
        <v>54</v>
      </c>
      <c r="B57" s="24" t="s">
        <v>4581</v>
      </c>
      <c r="C57" s="24" t="s">
        <v>4581</v>
      </c>
      <c r="D57" s="222">
        <v>43008</v>
      </c>
      <c r="E57" s="222">
        <v>42944</v>
      </c>
      <c r="F57" s="222">
        <v>43008</v>
      </c>
      <c r="G57" s="24" t="s">
        <v>4754</v>
      </c>
      <c r="H57" s="24" t="s">
        <v>4755</v>
      </c>
      <c r="I57" s="223" t="s">
        <v>4585</v>
      </c>
      <c r="J57" s="24" t="s">
        <v>62</v>
      </c>
      <c r="K57" s="24"/>
      <c r="L57" s="24"/>
      <c r="M57" s="24" t="s">
        <v>4756</v>
      </c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</row>
    <row r="58" spans="1:29" ht="24.75" customHeight="1">
      <c r="A58" s="24" t="s">
        <v>54</v>
      </c>
      <c r="B58" s="24" t="s">
        <v>4581</v>
      </c>
      <c r="C58" s="24" t="s">
        <v>4581</v>
      </c>
      <c r="D58" s="222">
        <v>43008</v>
      </c>
      <c r="E58" s="222">
        <v>42944</v>
      </c>
      <c r="F58" s="222">
        <v>43008</v>
      </c>
      <c r="G58" s="24" t="s">
        <v>4757</v>
      </c>
      <c r="H58" s="24" t="s">
        <v>4758</v>
      </c>
      <c r="I58" s="223" t="s">
        <v>4585</v>
      </c>
      <c r="J58" s="24" t="s">
        <v>62</v>
      </c>
      <c r="K58" s="24"/>
      <c r="L58" s="24"/>
      <c r="M58" s="24" t="s">
        <v>4759</v>
      </c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</row>
    <row r="59" spans="1:29" ht="24.75" customHeight="1">
      <c r="A59" s="24" t="s">
        <v>54</v>
      </c>
      <c r="B59" s="24" t="s">
        <v>4581</v>
      </c>
      <c r="C59" s="24" t="s">
        <v>4581</v>
      </c>
      <c r="D59" s="222">
        <v>43008</v>
      </c>
      <c r="E59" s="222">
        <v>42944</v>
      </c>
      <c r="F59" s="222">
        <v>43008</v>
      </c>
      <c r="G59" s="24" t="s">
        <v>4760</v>
      </c>
      <c r="H59" s="24" t="s">
        <v>4761</v>
      </c>
      <c r="I59" s="223" t="s">
        <v>4585</v>
      </c>
      <c r="J59" s="24" t="s">
        <v>62</v>
      </c>
      <c r="K59" s="24"/>
      <c r="L59" s="24"/>
      <c r="M59" s="24" t="s">
        <v>4762</v>
      </c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</row>
    <row r="60" spans="1:29" ht="24.75" customHeight="1">
      <c r="A60" s="24" t="s">
        <v>54</v>
      </c>
      <c r="B60" s="24" t="s">
        <v>4581</v>
      </c>
      <c r="C60" s="24" t="s">
        <v>4581</v>
      </c>
      <c r="D60" s="222">
        <v>43008</v>
      </c>
      <c r="E60" s="222">
        <v>42944</v>
      </c>
      <c r="F60" s="222">
        <v>43008</v>
      </c>
      <c r="G60" s="24" t="s">
        <v>4763</v>
      </c>
      <c r="H60" s="24" t="s">
        <v>4764</v>
      </c>
      <c r="I60" s="223" t="s">
        <v>4585</v>
      </c>
      <c r="J60" s="24" t="s">
        <v>62</v>
      </c>
      <c r="K60" s="24"/>
      <c r="L60" s="24"/>
      <c r="M60" s="24" t="s">
        <v>4765</v>
      </c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</row>
    <row r="61" spans="1:29" ht="24.75" customHeight="1">
      <c r="A61" s="24" t="s">
        <v>54</v>
      </c>
      <c r="B61" s="24" t="s">
        <v>4581</v>
      </c>
      <c r="C61" s="24" t="s">
        <v>4581</v>
      </c>
      <c r="D61" s="222">
        <v>43013</v>
      </c>
      <c r="E61" s="222">
        <v>42944</v>
      </c>
      <c r="F61" s="222">
        <v>43008</v>
      </c>
      <c r="G61" s="24" t="s">
        <v>4766</v>
      </c>
      <c r="H61" s="24" t="s">
        <v>4767</v>
      </c>
      <c r="I61" s="223" t="s">
        <v>4585</v>
      </c>
      <c r="J61" s="24" t="s">
        <v>62</v>
      </c>
      <c r="K61" s="24"/>
      <c r="L61" s="24"/>
      <c r="M61" s="24" t="s">
        <v>4768</v>
      </c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</row>
    <row r="62" spans="1:29" ht="15.75" customHeight="1">
      <c r="A62" s="24" t="s">
        <v>54</v>
      </c>
      <c r="B62" s="24" t="s">
        <v>4581</v>
      </c>
      <c r="C62" s="24" t="s">
        <v>4581</v>
      </c>
      <c r="D62" s="224">
        <v>43144</v>
      </c>
      <c r="E62" s="224">
        <v>43138</v>
      </c>
      <c r="F62" s="224">
        <v>43144</v>
      </c>
      <c r="G62" s="24" t="s">
        <v>4769</v>
      </c>
      <c r="H62" s="24" t="s">
        <v>4770</v>
      </c>
      <c r="I62" s="223" t="s">
        <v>4611</v>
      </c>
      <c r="J62" s="24" t="s">
        <v>62</v>
      </c>
      <c r="K62" s="24"/>
      <c r="L62" s="24"/>
      <c r="M62" s="24" t="s">
        <v>4771</v>
      </c>
      <c r="N62" s="24"/>
      <c r="O62" s="24"/>
      <c r="P62" s="24"/>
      <c r="Q62" s="98" t="s">
        <v>4772</v>
      </c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25" t="s">
        <v>4596</v>
      </c>
    </row>
    <row r="63" spans="1:29" ht="24.75" customHeight="1">
      <c r="A63" s="24" t="s">
        <v>54</v>
      </c>
      <c r="B63" s="24" t="s">
        <v>4581</v>
      </c>
      <c r="C63" s="24" t="s">
        <v>4581</v>
      </c>
      <c r="D63" s="222">
        <v>43008</v>
      </c>
      <c r="E63" s="222">
        <v>42944</v>
      </c>
      <c r="F63" s="222">
        <v>43008</v>
      </c>
      <c r="G63" s="24" t="s">
        <v>4773</v>
      </c>
      <c r="H63" s="24" t="s">
        <v>4774</v>
      </c>
      <c r="I63" s="223" t="s">
        <v>4585</v>
      </c>
      <c r="J63" s="24" t="s">
        <v>62</v>
      </c>
      <c r="K63" s="226"/>
      <c r="L63" s="226"/>
      <c r="M63" s="24" t="s">
        <v>4775</v>
      </c>
      <c r="N63" s="226"/>
      <c r="O63" s="226"/>
      <c r="P63" s="226"/>
      <c r="Q63" s="226"/>
      <c r="R63" s="226"/>
      <c r="S63" s="226"/>
      <c r="T63" s="226"/>
      <c r="U63" s="226"/>
      <c r="V63" s="226"/>
      <c r="W63" s="226"/>
      <c r="X63" s="226"/>
      <c r="Y63" s="226"/>
      <c r="Z63" s="226"/>
      <c r="AA63" s="226"/>
      <c r="AB63" s="226"/>
      <c r="AC63" s="226"/>
    </row>
    <row r="64" spans="1:29" ht="24.75" customHeight="1">
      <c r="A64" s="24" t="s">
        <v>54</v>
      </c>
      <c r="B64" s="24" t="s">
        <v>4581</v>
      </c>
      <c r="C64" s="24" t="s">
        <v>4581</v>
      </c>
      <c r="D64" s="222">
        <v>43008</v>
      </c>
      <c r="E64" s="222">
        <v>42944</v>
      </c>
      <c r="F64" s="222">
        <v>43008</v>
      </c>
      <c r="G64" s="24" t="s">
        <v>4776</v>
      </c>
      <c r="H64" s="24" t="s">
        <v>4777</v>
      </c>
      <c r="I64" s="223" t="s">
        <v>4585</v>
      </c>
      <c r="J64" s="24" t="s">
        <v>62</v>
      </c>
      <c r="K64" s="24"/>
      <c r="L64" s="24"/>
      <c r="M64" s="24" t="s">
        <v>4778</v>
      </c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</row>
    <row r="65" spans="1:29" ht="24.75" customHeight="1">
      <c r="A65" s="24"/>
      <c r="B65" s="24"/>
      <c r="C65" s="24"/>
      <c r="D65" s="24"/>
      <c r="E65" s="222"/>
      <c r="F65" s="222"/>
      <c r="G65" s="24"/>
      <c r="H65" s="24"/>
      <c r="I65" s="227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</row>
    <row r="66" spans="1:29" ht="24.75" customHeight="1">
      <c r="A66" s="24"/>
      <c r="B66" s="24"/>
      <c r="C66" s="24"/>
      <c r="D66" s="24"/>
      <c r="E66" s="222"/>
      <c r="F66" s="222"/>
      <c r="G66" s="24"/>
      <c r="H66" s="24"/>
      <c r="I66" s="227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</row>
    <row r="67" spans="1:29" ht="24.75" customHeight="1">
      <c r="A67" s="24"/>
      <c r="B67" s="24"/>
      <c r="C67" s="24"/>
      <c r="D67" s="24"/>
      <c r="E67" s="222"/>
      <c r="F67" s="222"/>
      <c r="G67" s="24"/>
      <c r="H67" s="24"/>
      <c r="I67" s="227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</row>
    <row r="68" spans="1:29" ht="24.75" customHeight="1">
      <c r="A68" s="24"/>
      <c r="B68" s="24"/>
      <c r="C68" s="24"/>
      <c r="D68" s="24"/>
      <c r="E68" s="222"/>
      <c r="F68" s="222"/>
      <c r="G68" s="24"/>
      <c r="H68" s="24"/>
      <c r="I68" s="227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</row>
    <row r="69" spans="1:29" ht="24.75" customHeight="1">
      <c r="A69" s="24"/>
      <c r="B69" s="24"/>
      <c r="C69" s="24"/>
      <c r="D69" s="24"/>
      <c r="E69" s="222"/>
      <c r="F69" s="222"/>
      <c r="G69" s="24"/>
      <c r="H69" s="24"/>
      <c r="I69" s="227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</row>
    <row r="70" spans="1:29" ht="24.75" customHeight="1">
      <c r="A70" s="24"/>
      <c r="B70" s="24"/>
      <c r="C70" s="24"/>
      <c r="D70" s="24"/>
      <c r="E70" s="222"/>
      <c r="F70" s="222"/>
      <c r="G70" s="24"/>
      <c r="H70" s="24"/>
      <c r="I70" s="227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</row>
    <row r="71" spans="1:29" ht="24.75" customHeight="1">
      <c r="A71" s="24"/>
      <c r="B71" s="24"/>
      <c r="C71" s="24"/>
      <c r="D71" s="24"/>
      <c r="E71" s="222"/>
      <c r="F71" s="222"/>
      <c r="G71" s="24"/>
      <c r="H71" s="24"/>
      <c r="I71" s="227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</row>
    <row r="72" spans="1:29" ht="24.75" customHeight="1">
      <c r="A72" s="24"/>
      <c r="B72" s="24"/>
      <c r="C72" s="24"/>
      <c r="D72" s="24"/>
      <c r="E72" s="222"/>
      <c r="F72" s="222"/>
      <c r="G72" s="24"/>
      <c r="H72" s="24"/>
      <c r="I72" s="227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</row>
    <row r="73" spans="1:29" ht="24.75" customHeight="1">
      <c r="A73" s="24"/>
      <c r="B73" s="24"/>
      <c r="C73" s="24"/>
      <c r="D73" s="24"/>
      <c r="E73" s="222"/>
      <c r="F73" s="222"/>
      <c r="G73" s="24"/>
      <c r="H73" s="24"/>
      <c r="I73" s="227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</row>
    <row r="74" spans="1:29" ht="24.75" customHeight="1">
      <c r="A74" s="24"/>
      <c r="B74" s="24"/>
      <c r="C74" s="24"/>
      <c r="D74" s="24"/>
      <c r="E74" s="222"/>
      <c r="F74" s="222"/>
      <c r="G74" s="24"/>
      <c r="H74" s="24"/>
      <c r="I74" s="227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</row>
    <row r="75" spans="1:29" ht="24.75" customHeight="1">
      <c r="A75" s="24"/>
      <c r="B75" s="24"/>
      <c r="C75" s="24"/>
      <c r="D75" s="24"/>
      <c r="E75" s="222"/>
      <c r="F75" s="222"/>
      <c r="G75" s="24"/>
      <c r="H75" s="24"/>
      <c r="I75" s="227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</row>
    <row r="76" spans="1:29" ht="24.75" customHeight="1">
      <c r="A76" s="24"/>
      <c r="B76" s="24"/>
      <c r="C76" s="24"/>
      <c r="D76" s="24"/>
      <c r="E76" s="222"/>
      <c r="F76" s="222"/>
      <c r="G76" s="24"/>
      <c r="H76" s="24"/>
      <c r="I76" s="227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</row>
    <row r="77" spans="1:29" ht="24.7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</row>
    <row r="78" spans="1:29" ht="24.7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</row>
    <row r="79" spans="1:29" ht="15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</row>
    <row r="80" spans="1:29" ht="15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</row>
    <row r="81" spans="1:29" ht="15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</row>
    <row r="82" spans="1:29" ht="15.7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</row>
    <row r="83" spans="1:29" ht="15.7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</row>
    <row r="84" spans="1:29" ht="15.7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</row>
    <row r="85" spans="1:29" ht="15.7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</row>
    <row r="86" spans="1:29" ht="15.7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</row>
    <row r="87" spans="1:29" ht="15.7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</row>
    <row r="88" spans="1:29" ht="15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</row>
    <row r="89" spans="1:29" ht="15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</row>
    <row r="90" spans="1:29" ht="15.75" customHeight="1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</row>
    <row r="91" spans="1:29" ht="15.7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</row>
    <row r="92" spans="1:29" ht="15.7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</row>
    <row r="93" spans="1:29" ht="15.7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</row>
    <row r="94" spans="1:29" ht="15.7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</row>
    <row r="95" spans="1:29" ht="15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</row>
    <row r="96" spans="1:29" ht="15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</row>
    <row r="97" spans="1:29" ht="15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</row>
    <row r="98" spans="1:29" ht="15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</row>
    <row r="99" spans="1:29" ht="15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</row>
    <row r="100" spans="1:29" ht="15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</row>
    <row r="101" spans="1:29" ht="15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</row>
    <row r="102" spans="1:29" ht="15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</row>
    <row r="103" spans="1:29" ht="15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</row>
    <row r="104" spans="1:29" ht="15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</row>
    <row r="105" spans="1:29" ht="15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</row>
    <row r="106" spans="1:29" ht="15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</row>
    <row r="107" spans="1:29" ht="15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</row>
    <row r="108" spans="1:29" ht="15.7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</row>
    <row r="109" spans="1:29" ht="15.7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</row>
    <row r="110" spans="1:29" ht="15.7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</row>
    <row r="111" spans="1:29" ht="15.7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</row>
    <row r="112" spans="1:29" ht="15.75" customHeight="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</row>
    <row r="113" spans="1:29" ht="15.75" customHeight="1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</row>
    <row r="114" spans="1:29" ht="15.7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</row>
    <row r="115" spans="1:29" ht="15.7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</row>
    <row r="116" spans="1:29" ht="15.7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</row>
    <row r="117" spans="1:29" ht="15.7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</row>
    <row r="118" spans="1:29" ht="15.7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</row>
    <row r="119" spans="1:29" ht="15.7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</row>
    <row r="120" spans="1:29" ht="15.7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</row>
    <row r="121" spans="1:29" ht="15.7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</row>
    <row r="122" spans="1:29" ht="15.7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</row>
    <row r="123" spans="1:29" ht="15.7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</row>
    <row r="124" spans="1:29" ht="15.7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</row>
    <row r="125" spans="1:29" ht="15.7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</row>
    <row r="126" spans="1:29" ht="15.7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</row>
    <row r="127" spans="1:29" ht="15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</row>
    <row r="128" spans="1:29" ht="15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</row>
    <row r="129" spans="1:29" ht="15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</row>
    <row r="130" spans="1:29" ht="15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</row>
    <row r="131" spans="1:29" ht="15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</row>
    <row r="132" spans="1:29" ht="15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</row>
    <row r="133" spans="1:29" ht="15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</row>
    <row r="134" spans="1:29" ht="15.75" customHeight="1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</row>
    <row r="135" spans="1:29" ht="15.75" customHeight="1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</row>
    <row r="136" spans="1:29" ht="15.75" customHeight="1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</row>
    <row r="137" spans="1:29" ht="15.75" customHeight="1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</row>
    <row r="138" spans="1:29" ht="15.75" customHeight="1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</row>
    <row r="139" spans="1:29" ht="15.7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</row>
    <row r="140" spans="1:29" ht="15.75" customHeight="1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</row>
    <row r="141" spans="1:29" ht="15.75" customHeight="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</row>
    <row r="142" spans="1:29" ht="15.75" customHeight="1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</row>
    <row r="143" spans="1:29" ht="15.75" customHeight="1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</row>
    <row r="144" spans="1:29" ht="15.75" customHeight="1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</row>
    <row r="145" spans="1:29" ht="15.75" customHeight="1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</row>
    <row r="146" spans="1:29" ht="15.75" customHeight="1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</row>
    <row r="147" spans="1:29" ht="15.75" customHeight="1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</row>
    <row r="148" spans="1:29" ht="15.75" customHeight="1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</row>
    <row r="149" spans="1:29" ht="15.75" customHeight="1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</row>
    <row r="150" spans="1:29" ht="15.75" customHeight="1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</row>
    <row r="151" spans="1:29" ht="15.75" customHeight="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</row>
    <row r="152" spans="1:29" ht="15.75" customHeight="1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</row>
    <row r="153" spans="1:29" ht="15.75" customHeight="1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</row>
    <row r="154" spans="1:29" ht="15.75" customHeight="1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</row>
    <row r="155" spans="1:29" ht="15.75" customHeight="1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</row>
    <row r="156" spans="1:29" ht="15.75" customHeight="1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</row>
    <row r="157" spans="1:29" ht="15.75" customHeight="1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</row>
    <row r="158" spans="1:29" ht="15.75" customHeight="1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</row>
    <row r="159" spans="1:29" ht="15.7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</row>
    <row r="160" spans="1:29" ht="15.75" customHeight="1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</row>
    <row r="161" spans="1:29" ht="15.75" customHeight="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</row>
    <row r="162" spans="1:29" ht="15.75" customHeight="1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</row>
    <row r="163" spans="1:29" ht="15.75" customHeight="1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</row>
    <row r="164" spans="1:29" ht="15.75" customHeight="1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</row>
    <row r="165" spans="1:29" ht="15.75" customHeight="1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</row>
    <row r="166" spans="1:29" ht="15.75" customHeight="1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</row>
    <row r="167" spans="1:29" ht="15.75" customHeight="1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</row>
    <row r="168" spans="1:29" ht="15.75" customHeight="1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</row>
    <row r="169" spans="1:29" ht="15.75" customHeight="1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</row>
    <row r="170" spans="1:29" ht="15.75" customHeight="1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</row>
    <row r="171" spans="1:29" ht="15.7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</row>
    <row r="172" spans="1:29" ht="15.75" customHeight="1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</row>
    <row r="173" spans="1:29" ht="15.75" customHeight="1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</row>
    <row r="174" spans="1:29" ht="15.75" customHeight="1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</row>
    <row r="175" spans="1:29" ht="15.75" customHeight="1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</row>
    <row r="176" spans="1:29" ht="15.75" customHeight="1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</row>
    <row r="177" spans="1:29" ht="15.75" customHeight="1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</row>
    <row r="178" spans="1:29" ht="15.75" customHeight="1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</row>
    <row r="179" spans="1:29" ht="15.75" customHeight="1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</row>
    <row r="180" spans="1:29" ht="15.75" customHeight="1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</row>
    <row r="181" spans="1:29" ht="15.75" customHeight="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</row>
    <row r="182" spans="1:29" ht="15.75" customHeight="1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</row>
    <row r="183" spans="1:29" ht="15.75" customHeight="1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</row>
    <row r="184" spans="1:29" ht="15.75" customHeight="1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</row>
    <row r="185" spans="1:29" ht="15.75" customHeight="1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</row>
    <row r="186" spans="1:29" ht="15.75" customHeight="1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</row>
    <row r="187" spans="1:29" ht="15.75" customHeight="1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</row>
    <row r="188" spans="1:29" ht="15.7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</row>
    <row r="189" spans="1:29" ht="15.75" customHeight="1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</row>
    <row r="190" spans="1:29" ht="15.75" customHeight="1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</row>
    <row r="191" spans="1:29" ht="15.75" customHeight="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</row>
    <row r="192" spans="1:29" ht="15.7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</row>
    <row r="193" spans="1:29" ht="15.7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</row>
    <row r="194" spans="1:29" ht="15.75" customHeight="1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</row>
    <row r="195" spans="1:29" ht="15.75" customHeight="1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</row>
    <row r="196" spans="1:29" ht="15.75" customHeight="1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</row>
    <row r="197" spans="1:29" ht="15.75" customHeight="1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</row>
    <row r="198" spans="1:29" ht="15.75" customHeight="1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</row>
    <row r="199" spans="1:29" ht="15.75" customHeight="1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</row>
    <row r="200" spans="1:29" ht="15.75" customHeight="1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</row>
    <row r="201" spans="1:29" ht="15.75" customHeight="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</row>
    <row r="202" spans="1:29" ht="15.75" customHeight="1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</row>
    <row r="203" spans="1:29" ht="15.75" customHeight="1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</row>
    <row r="204" spans="1:29" ht="15.75" customHeight="1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</row>
    <row r="205" spans="1:29" ht="15.75" customHeight="1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</row>
    <row r="206" spans="1:29" ht="15.75" customHeight="1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</row>
    <row r="207" spans="1:29" ht="15.75" customHeight="1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</row>
    <row r="208" spans="1:29" ht="15.75" customHeight="1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</row>
    <row r="209" spans="1:29" ht="15.75" customHeight="1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</row>
    <row r="210" spans="1:29" ht="15.75" customHeight="1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</row>
    <row r="211" spans="1:29" ht="15.75" customHeight="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</row>
    <row r="212" spans="1:29" ht="15.75" customHeight="1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</row>
    <row r="213" spans="1:29" ht="15.75" customHeight="1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</row>
    <row r="214" spans="1:29" ht="15.75" customHeight="1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</row>
    <row r="215" spans="1:29" ht="15.75" customHeight="1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</row>
    <row r="216" spans="1:29" ht="15.75" customHeight="1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</row>
    <row r="217" spans="1:29" ht="15.7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</row>
    <row r="218" spans="1:29" ht="15.7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</row>
    <row r="219" spans="1:29" ht="15.7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</row>
    <row r="220" spans="1:29" ht="15.7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</row>
    <row r="221" spans="1:29" ht="15.75" customHeight="1">
      <c r="A221" s="24"/>
      <c r="B221" s="24"/>
      <c r="C221" s="24"/>
      <c r="D221" s="24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</row>
    <row r="222" spans="1:29" ht="15.75" customHeight="1">
      <c r="A222" s="24"/>
      <c r="B222" s="24"/>
      <c r="C222" s="24"/>
      <c r="D222" s="24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</row>
    <row r="223" spans="1:29" ht="15.75" customHeight="1">
      <c r="A223" s="24"/>
      <c r="B223" s="24"/>
      <c r="C223" s="24"/>
      <c r="D223" s="24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</row>
    <row r="224" spans="1:29" ht="15.75" customHeight="1">
      <c r="A224" s="24"/>
      <c r="B224" s="24"/>
      <c r="C224" s="24"/>
      <c r="D224" s="24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</row>
    <row r="225" spans="1:29" ht="15.75" customHeight="1">
      <c r="A225" s="24"/>
      <c r="B225" s="24"/>
      <c r="C225" s="24"/>
      <c r="D225" s="24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</row>
    <row r="226" spans="1:29" ht="15.75" customHeight="1">
      <c r="A226" s="24"/>
      <c r="B226" s="24"/>
      <c r="C226" s="24"/>
      <c r="D226" s="24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</row>
    <row r="227" spans="1:29" ht="15.75" customHeight="1">
      <c r="A227" s="24"/>
      <c r="B227" s="24"/>
      <c r="C227" s="24"/>
      <c r="D227" s="24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</row>
    <row r="228" spans="1:29" ht="15.75" customHeight="1">
      <c r="A228" s="24"/>
      <c r="B228" s="24"/>
      <c r="C228" s="24"/>
      <c r="D228" s="24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</row>
    <row r="229" spans="1:29" ht="15.75" customHeight="1">
      <c r="A229" s="24"/>
      <c r="B229" s="24"/>
      <c r="C229" s="24"/>
      <c r="D229" s="24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</row>
    <row r="230" spans="1:29" ht="15.75" customHeight="1">
      <c r="A230" s="24"/>
      <c r="B230" s="24"/>
      <c r="C230" s="24"/>
      <c r="D230" s="24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</row>
    <row r="231" spans="1:29" ht="15.75" customHeight="1">
      <c r="A231" s="24"/>
      <c r="B231" s="24"/>
      <c r="C231" s="24"/>
      <c r="D231" s="24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</row>
    <row r="232" spans="1:29" ht="15.75" customHeight="1">
      <c r="A232" s="24"/>
      <c r="B232" s="24"/>
      <c r="C232" s="24"/>
      <c r="D232" s="24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</row>
    <row r="233" spans="1:29" ht="15.75" customHeight="1">
      <c r="A233" s="24"/>
      <c r="B233" s="24"/>
      <c r="C233" s="24"/>
      <c r="D233" s="24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</row>
    <row r="234" spans="1:29" ht="15.75" customHeight="1">
      <c r="A234" s="24"/>
      <c r="B234" s="24"/>
      <c r="C234" s="24"/>
      <c r="D234" s="24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</row>
    <row r="235" spans="1:29" ht="15.75" customHeight="1">
      <c r="A235" s="24"/>
      <c r="B235" s="24"/>
      <c r="C235" s="24"/>
      <c r="D235" s="24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</row>
    <row r="236" spans="1:29" ht="15.75" customHeight="1">
      <c r="A236" s="24"/>
      <c r="B236" s="24"/>
      <c r="C236" s="24"/>
      <c r="D236" s="24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</row>
    <row r="237" spans="1:29" ht="15.75" customHeight="1">
      <c r="A237" s="24"/>
      <c r="B237" s="24"/>
      <c r="C237" s="24"/>
      <c r="D237" s="24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</row>
    <row r="238" spans="1:29" ht="15.75" customHeight="1">
      <c r="A238" s="24"/>
      <c r="B238" s="24"/>
      <c r="C238" s="24"/>
      <c r="D238" s="24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</row>
    <row r="239" spans="1:29" ht="15.75" customHeight="1">
      <c r="A239" s="24"/>
      <c r="B239" s="24"/>
      <c r="C239" s="24"/>
      <c r="D239" s="24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</row>
    <row r="240" spans="1:29" ht="15.75" customHeight="1">
      <c r="A240" s="24"/>
      <c r="B240" s="24"/>
      <c r="C240" s="24"/>
      <c r="D240" s="24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</row>
    <row r="241" spans="1:29" ht="15.75" customHeight="1">
      <c r="A241" s="24"/>
      <c r="B241" s="24"/>
      <c r="C241" s="24"/>
      <c r="D241" s="24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</row>
    <row r="242" spans="1:29" ht="15.75" customHeight="1">
      <c r="A242" s="24"/>
      <c r="B242" s="24"/>
      <c r="C242" s="24"/>
      <c r="D242" s="24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</row>
    <row r="243" spans="1:29" ht="15.75" customHeight="1">
      <c r="A243" s="24"/>
      <c r="B243" s="24"/>
      <c r="C243" s="24"/>
      <c r="D243" s="24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</row>
    <row r="244" spans="1:29" ht="15.75" customHeight="1">
      <c r="A244" s="24"/>
      <c r="B244" s="24"/>
      <c r="C244" s="24"/>
      <c r="D244" s="24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</row>
    <row r="245" spans="1:29" ht="15.75" customHeight="1">
      <c r="A245" s="24"/>
      <c r="B245" s="24"/>
      <c r="C245" s="24"/>
      <c r="D245" s="24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</row>
    <row r="246" spans="1:29" ht="15.75" customHeight="1">
      <c r="A246" s="24"/>
      <c r="B246" s="24"/>
      <c r="C246" s="24"/>
      <c r="D246" s="24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</row>
    <row r="247" spans="1:29" ht="15.75" customHeight="1">
      <c r="A247" s="24"/>
      <c r="B247" s="24"/>
      <c r="C247" s="24"/>
      <c r="D247" s="24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</row>
    <row r="248" spans="1:29" ht="15.75" customHeight="1">
      <c r="A248" s="24"/>
      <c r="B248" s="24"/>
      <c r="C248" s="24"/>
      <c r="D248" s="24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</row>
    <row r="249" spans="1:29" ht="15.75" customHeight="1">
      <c r="A249" s="24"/>
      <c r="B249" s="24"/>
      <c r="C249" s="24"/>
      <c r="D249" s="24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</row>
    <row r="250" spans="1:29" ht="15.75" customHeight="1">
      <c r="A250" s="24"/>
      <c r="B250" s="24"/>
      <c r="C250" s="24"/>
      <c r="D250" s="24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</row>
    <row r="251" spans="1:29" ht="15.75" customHeight="1">
      <c r="A251" s="24"/>
      <c r="B251" s="24"/>
      <c r="C251" s="24"/>
      <c r="D251" s="24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</row>
    <row r="252" spans="1:29" ht="15.75" customHeight="1">
      <c r="A252" s="24"/>
      <c r="B252" s="24"/>
      <c r="C252" s="24"/>
      <c r="D252" s="24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</row>
    <row r="253" spans="1:29" ht="15.75" customHeight="1">
      <c r="A253" s="24"/>
      <c r="B253" s="24"/>
      <c r="C253" s="24"/>
      <c r="D253" s="24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</row>
    <row r="254" spans="1:29" ht="15.75" customHeight="1">
      <c r="A254" s="24"/>
      <c r="B254" s="24"/>
      <c r="C254" s="24"/>
      <c r="D254" s="24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</row>
    <row r="255" spans="1:29" ht="15.75" customHeight="1">
      <c r="A255" s="24"/>
      <c r="B255" s="24"/>
      <c r="C255" s="24"/>
      <c r="D255" s="24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</row>
    <row r="256" spans="1:29" ht="15.75" customHeight="1">
      <c r="A256" s="24"/>
      <c r="B256" s="24"/>
      <c r="C256" s="24"/>
      <c r="D256" s="24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</row>
    <row r="257" spans="1:29" ht="15.75" customHeight="1">
      <c r="A257" s="24"/>
      <c r="B257" s="24"/>
      <c r="C257" s="24"/>
      <c r="D257" s="24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</row>
    <row r="258" spans="1:29" ht="15.75" customHeight="1">
      <c r="A258" s="24"/>
      <c r="B258" s="24"/>
      <c r="C258" s="24"/>
      <c r="D258" s="24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</row>
    <row r="259" spans="1:29" ht="15.75" customHeight="1">
      <c r="A259" s="24"/>
      <c r="B259" s="24"/>
      <c r="C259" s="24"/>
      <c r="D259" s="24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</row>
    <row r="260" spans="1:29" ht="15.75" customHeight="1">
      <c r="A260" s="24"/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</row>
    <row r="261" spans="1:29" ht="15.75" customHeight="1">
      <c r="A261" s="24"/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</row>
    <row r="262" spans="1:29" ht="15.75" customHeight="1">
      <c r="A262" s="24"/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</row>
    <row r="263" spans="1:29" ht="15.75" customHeight="1">
      <c r="A263" s="24"/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</row>
    <row r="264" spans="1:29" ht="15.75" customHeight="1">
      <c r="A264" s="24"/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</row>
    <row r="265" spans="1:29" ht="15.75" customHeight="1">
      <c r="A265" s="24"/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</row>
    <row r="266" spans="1:29" ht="15.75" customHeight="1">
      <c r="A266" s="24"/>
      <c r="B266" s="24"/>
      <c r="C266" s="24"/>
      <c r="D266" s="24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</row>
    <row r="267" spans="1:29" ht="15.75" customHeight="1">
      <c r="A267" s="24"/>
      <c r="B267" s="24"/>
      <c r="C267" s="24"/>
      <c r="D267" s="24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</row>
    <row r="268" spans="1:29" ht="15.75" customHeight="1">
      <c r="A268" s="24"/>
      <c r="B268" s="24"/>
      <c r="C268" s="24"/>
      <c r="D268" s="24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</row>
    <row r="269" spans="1:29" ht="15.75" customHeight="1">
      <c r="A269" s="24"/>
      <c r="B269" s="24"/>
      <c r="C269" s="24"/>
      <c r="D269" s="24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</row>
    <row r="270" spans="1:29" ht="15.75" customHeight="1">
      <c r="A270" s="24"/>
      <c r="B270" s="24"/>
      <c r="C270" s="24"/>
      <c r="D270" s="24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</row>
    <row r="271" spans="1:29" ht="15.75" customHeight="1">
      <c r="A271" s="24"/>
      <c r="B271" s="24"/>
      <c r="C271" s="24"/>
      <c r="D271" s="24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</row>
    <row r="272" spans="1:29" ht="15.75" customHeight="1">
      <c r="A272" s="24"/>
      <c r="B272" s="24"/>
      <c r="C272" s="24"/>
      <c r="D272" s="24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</row>
    <row r="273" spans="1:29" ht="15.75" customHeight="1">
      <c r="A273" s="24"/>
      <c r="B273" s="24"/>
      <c r="C273" s="24"/>
      <c r="D273" s="24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</row>
    <row r="274" spans="1:29" ht="15.75" customHeight="1">
      <c r="A274" s="24"/>
      <c r="B274" s="24"/>
      <c r="C274" s="24"/>
      <c r="D274" s="24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</row>
    <row r="275" spans="1:29" ht="15.75" customHeight="1">
      <c r="A275" s="24"/>
      <c r="B275" s="24"/>
      <c r="C275" s="24"/>
      <c r="D275" s="24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</row>
    <row r="276" spans="1:29" ht="15.75" customHeight="1">
      <c r="A276" s="24"/>
      <c r="B276" s="24"/>
      <c r="C276" s="24"/>
      <c r="D276" s="24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</row>
    <row r="277" spans="1:29" ht="15.75" customHeight="1">
      <c r="A277" s="24"/>
      <c r="B277" s="24"/>
      <c r="C277" s="24"/>
      <c r="D277" s="24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</row>
    <row r="278" spans="1:29" ht="15.75" customHeight="1">
      <c r="A278" s="24"/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</row>
    <row r="279" spans="1:29" ht="15.75" customHeight="1">
      <c r="A279" s="24"/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</row>
    <row r="280" spans="1:29" ht="15.75" customHeight="1">
      <c r="A280" s="24"/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</row>
    <row r="281" spans="1:29" ht="15.75" customHeight="1">
      <c r="A281" s="24"/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</row>
    <row r="282" spans="1:29" ht="15.75" customHeight="1">
      <c r="A282" s="24"/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</row>
    <row r="283" spans="1:29" ht="15.75" customHeight="1">
      <c r="A283" s="24"/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</row>
    <row r="284" spans="1:29" ht="15.75" customHeight="1">
      <c r="A284" s="24"/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</row>
    <row r="285" spans="1:29" ht="15.75" customHeight="1">
      <c r="A285" s="24"/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</row>
    <row r="286" spans="1:29" ht="15.75" customHeight="1">
      <c r="A286" s="24"/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</row>
    <row r="287" spans="1:29" ht="15.75" customHeight="1">
      <c r="A287" s="24"/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</row>
    <row r="288" spans="1:29" ht="15.75" customHeight="1">
      <c r="A288" s="24"/>
      <c r="B288" s="24"/>
      <c r="C288" s="24"/>
      <c r="D288" s="24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</row>
    <row r="289" spans="1:29" ht="15.75" customHeight="1">
      <c r="A289" s="24"/>
      <c r="B289" s="24"/>
      <c r="C289" s="24"/>
      <c r="D289" s="24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</row>
    <row r="290" spans="1:29" ht="15.75" customHeight="1">
      <c r="A290" s="24"/>
      <c r="B290" s="24"/>
      <c r="C290" s="24"/>
      <c r="D290" s="24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</row>
    <row r="291" spans="1:29" ht="15.75" customHeight="1">
      <c r="A291" s="24"/>
      <c r="B291" s="24"/>
      <c r="C291" s="24"/>
      <c r="D291" s="24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</row>
    <row r="292" spans="1:29" ht="15.75" customHeight="1">
      <c r="A292" s="24"/>
      <c r="B292" s="24"/>
      <c r="C292" s="24"/>
      <c r="D292" s="24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</row>
    <row r="293" spans="1:29" ht="15.75" customHeight="1">
      <c r="A293" s="24"/>
      <c r="B293" s="24"/>
      <c r="C293" s="24"/>
      <c r="D293" s="24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</row>
    <row r="294" spans="1:29" ht="15.75" customHeight="1">
      <c r="A294" s="24"/>
      <c r="B294" s="24"/>
      <c r="C294" s="24"/>
      <c r="D294" s="24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</row>
    <row r="295" spans="1:29" ht="15.75" customHeight="1">
      <c r="A295" s="24"/>
      <c r="B295" s="24"/>
      <c r="C295" s="24"/>
      <c r="D295" s="24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</row>
    <row r="296" spans="1:29" ht="15.75" customHeight="1">
      <c r="A296" s="24"/>
      <c r="B296" s="24"/>
      <c r="C296" s="24"/>
      <c r="D296" s="24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</row>
    <row r="297" spans="1:29" ht="15.75" customHeight="1">
      <c r="A297" s="24"/>
      <c r="B297" s="24"/>
      <c r="C297" s="24"/>
      <c r="D297" s="24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</row>
    <row r="298" spans="1:29" ht="15.75" customHeight="1">
      <c r="A298" s="24"/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</row>
    <row r="299" spans="1:29" ht="15.75" customHeight="1">
      <c r="A299" s="24"/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</row>
    <row r="300" spans="1:29" ht="15.75" customHeight="1">
      <c r="A300" s="24"/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</row>
    <row r="301" spans="1:29" ht="15.75" customHeight="1">
      <c r="A301" s="24"/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</row>
    <row r="302" spans="1:29" ht="15.75" customHeight="1">
      <c r="A302" s="24"/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</row>
    <row r="303" spans="1:29" ht="15.75" customHeight="1">
      <c r="A303" s="24"/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</row>
    <row r="304" spans="1:29" ht="15.75" customHeight="1">
      <c r="A304" s="24"/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</row>
    <row r="305" spans="1:29" ht="15.75" customHeight="1">
      <c r="A305" s="24"/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</row>
    <row r="306" spans="1:29" ht="15.75" customHeight="1">
      <c r="A306" s="24"/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</row>
    <row r="307" spans="1:29" ht="15.75" customHeight="1">
      <c r="A307" s="24"/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</row>
    <row r="308" spans="1:29" ht="15.75" customHeight="1">
      <c r="A308" s="24"/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</row>
    <row r="309" spans="1:29" ht="15.75" customHeight="1">
      <c r="A309" s="24"/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</row>
    <row r="310" spans="1:29" ht="15.75" customHeight="1">
      <c r="A310" s="24"/>
      <c r="B310" s="24"/>
      <c r="C310" s="24"/>
      <c r="D310" s="24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</row>
    <row r="311" spans="1:29" ht="15.75" customHeight="1">
      <c r="A311" s="24"/>
      <c r="B311" s="24"/>
      <c r="C311" s="24"/>
      <c r="D311" s="24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</row>
    <row r="312" spans="1:29" ht="15.75" customHeight="1">
      <c r="A312" s="24"/>
      <c r="B312" s="24"/>
      <c r="C312" s="24"/>
      <c r="D312" s="24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</row>
    <row r="313" spans="1:29" ht="15.75" customHeight="1">
      <c r="A313" s="24"/>
      <c r="B313" s="24"/>
      <c r="C313" s="24"/>
      <c r="D313" s="24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</row>
    <row r="314" spans="1:29" ht="15.75" customHeight="1">
      <c r="A314" s="24"/>
      <c r="B314" s="24"/>
      <c r="C314" s="24"/>
      <c r="D314" s="24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</row>
    <row r="315" spans="1:29" ht="15.75" customHeight="1">
      <c r="A315" s="24"/>
      <c r="B315" s="24"/>
      <c r="C315" s="24"/>
      <c r="D315" s="24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</row>
    <row r="316" spans="1:29" ht="15.75" customHeight="1">
      <c r="A316" s="24"/>
      <c r="B316" s="24"/>
      <c r="C316" s="24"/>
      <c r="D316" s="24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</row>
    <row r="317" spans="1:29" ht="15.75" customHeight="1">
      <c r="A317" s="24"/>
      <c r="B317" s="24"/>
      <c r="C317" s="24"/>
      <c r="D317" s="24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</row>
    <row r="318" spans="1:29" ht="15.75" customHeight="1">
      <c r="A318" s="24"/>
      <c r="B318" s="24"/>
      <c r="C318" s="24"/>
      <c r="D318" s="24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</row>
    <row r="319" spans="1:29" ht="15.75" customHeight="1">
      <c r="A319" s="24"/>
      <c r="B319" s="24"/>
      <c r="C319" s="24"/>
      <c r="D319" s="24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</row>
    <row r="320" spans="1:29" ht="15.75" customHeight="1">
      <c r="A320" s="24"/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</row>
    <row r="321" spans="1:29" ht="15.75" customHeight="1">
      <c r="A321" s="24"/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</row>
    <row r="322" spans="1:29" ht="15.75" customHeight="1">
      <c r="A322" s="24"/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</row>
    <row r="323" spans="1:29" ht="15.75" customHeight="1">
      <c r="A323" s="24"/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</row>
    <row r="324" spans="1:29" ht="15.75" customHeight="1">
      <c r="A324" s="24"/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</row>
    <row r="325" spans="1:29" ht="15.75" customHeight="1">
      <c r="A325" s="24"/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</row>
    <row r="326" spans="1:29" ht="15.75" customHeight="1">
      <c r="A326" s="24"/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</row>
    <row r="327" spans="1:29" ht="15.75" customHeight="1">
      <c r="A327" s="24"/>
      <c r="B327" s="24"/>
      <c r="C327" s="24"/>
      <c r="D327" s="24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</row>
    <row r="328" spans="1:29" ht="15.75" customHeight="1">
      <c r="A328" s="24"/>
      <c r="B328" s="24"/>
      <c r="C328" s="24"/>
      <c r="D328" s="24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</row>
    <row r="329" spans="1:29" ht="15.75" customHeight="1">
      <c r="A329" s="24"/>
      <c r="B329" s="24"/>
      <c r="C329" s="24"/>
      <c r="D329" s="24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</row>
    <row r="330" spans="1:29" ht="15.75" customHeight="1">
      <c r="A330" s="24"/>
      <c r="B330" s="24"/>
      <c r="C330" s="24"/>
      <c r="D330" s="24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</row>
    <row r="331" spans="1:29" ht="15.75" customHeight="1">
      <c r="A331" s="24"/>
      <c r="B331" s="24"/>
      <c r="C331" s="24"/>
      <c r="D331" s="24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</row>
    <row r="332" spans="1:29" ht="15.75" customHeight="1">
      <c r="A332" s="24"/>
      <c r="B332" s="24"/>
      <c r="C332" s="24"/>
      <c r="D332" s="24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</row>
    <row r="333" spans="1:29" ht="15.75" customHeight="1">
      <c r="A333" s="24"/>
      <c r="B333" s="24"/>
      <c r="C333" s="24"/>
      <c r="D333" s="24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</row>
    <row r="334" spans="1:29" ht="15.75" customHeight="1">
      <c r="A334" s="24"/>
      <c r="B334" s="24"/>
      <c r="C334" s="24"/>
      <c r="D334" s="24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</row>
    <row r="335" spans="1:29" ht="15.75" customHeight="1">
      <c r="A335" s="24"/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</row>
    <row r="336" spans="1:29" ht="15.75" customHeight="1">
      <c r="A336" s="24"/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</row>
    <row r="337" spans="1:29" ht="15.75" customHeight="1">
      <c r="A337" s="24"/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</row>
    <row r="338" spans="1:29" ht="15.75" customHeight="1">
      <c r="A338" s="24"/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</row>
    <row r="339" spans="1:29" ht="15.75" customHeight="1">
      <c r="A339" s="24"/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</row>
    <row r="340" spans="1:29" ht="15.75" customHeight="1">
      <c r="A340" s="24"/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</row>
    <row r="341" spans="1:29" ht="15.75" customHeight="1">
      <c r="A341" s="24"/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</row>
    <row r="342" spans="1:29" ht="15.75" customHeight="1">
      <c r="A342" s="24"/>
      <c r="B342" s="24"/>
      <c r="C342" s="24"/>
      <c r="D342" s="24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</row>
    <row r="343" spans="1:29" ht="15.75" customHeight="1">
      <c r="A343" s="24"/>
      <c r="B343" s="24"/>
      <c r="C343" s="24"/>
      <c r="D343" s="24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</row>
    <row r="344" spans="1:29" ht="15.75" customHeight="1">
      <c r="A344" s="24"/>
      <c r="B344" s="24"/>
      <c r="C344" s="24"/>
      <c r="D344" s="24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</row>
    <row r="345" spans="1:29" ht="15.75" customHeight="1">
      <c r="A345" s="24"/>
      <c r="B345" s="24"/>
      <c r="C345" s="24"/>
      <c r="D345" s="24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</row>
    <row r="346" spans="1:29" ht="15.75" customHeight="1">
      <c r="A346" s="24"/>
      <c r="B346" s="24"/>
      <c r="C346" s="24"/>
      <c r="D346" s="24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</row>
    <row r="347" spans="1:29" ht="15.75" customHeight="1">
      <c r="A347" s="24"/>
      <c r="B347" s="24"/>
      <c r="C347" s="24"/>
      <c r="D347" s="24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</row>
    <row r="348" spans="1:29" ht="15.75" customHeight="1">
      <c r="A348" s="24"/>
      <c r="B348" s="24"/>
      <c r="C348" s="24"/>
      <c r="D348" s="24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</row>
    <row r="349" spans="1:29" ht="15.75" customHeight="1">
      <c r="A349" s="24"/>
      <c r="B349" s="24"/>
      <c r="C349" s="24"/>
      <c r="D349" s="24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</row>
    <row r="350" spans="1:29" ht="15.75" customHeight="1">
      <c r="A350" s="24"/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</row>
    <row r="351" spans="1:29" ht="15.75" customHeight="1">
      <c r="A351" s="24"/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</row>
    <row r="352" spans="1:29" ht="15.75" customHeight="1">
      <c r="A352" s="24"/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</row>
    <row r="353" spans="1:29" ht="15.75" customHeight="1">
      <c r="A353" s="24"/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</row>
    <row r="354" spans="1:29" ht="15.75" customHeight="1">
      <c r="A354" s="24"/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</row>
    <row r="355" spans="1:29" ht="15.75" customHeight="1">
      <c r="A355" s="24"/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</row>
    <row r="356" spans="1:29" ht="15.75" customHeight="1">
      <c r="A356" s="24"/>
      <c r="B356" s="24"/>
      <c r="C356" s="24"/>
      <c r="D356" s="24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</row>
    <row r="357" spans="1:29" ht="15.75" customHeight="1">
      <c r="A357" s="24"/>
      <c r="B357" s="24"/>
      <c r="C357" s="24"/>
      <c r="D357" s="24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</row>
    <row r="358" spans="1:29" ht="15.75" customHeight="1">
      <c r="A358" s="24"/>
      <c r="B358" s="24"/>
      <c r="C358" s="24"/>
      <c r="D358" s="24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</row>
    <row r="359" spans="1:29" ht="15.75" customHeight="1">
      <c r="A359" s="24"/>
      <c r="B359" s="24"/>
      <c r="C359" s="24"/>
      <c r="D359" s="24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</row>
    <row r="360" spans="1:29" ht="15.75" customHeight="1">
      <c r="A360" s="24"/>
      <c r="B360" s="24"/>
      <c r="C360" s="24"/>
      <c r="D360" s="24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</row>
    <row r="361" spans="1:29" ht="15.75" customHeight="1">
      <c r="A361" s="24"/>
      <c r="B361" s="24"/>
      <c r="C361" s="24"/>
      <c r="D361" s="24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</row>
    <row r="362" spans="1:29" ht="15.75" customHeight="1">
      <c r="A362" s="24"/>
      <c r="B362" s="24"/>
      <c r="C362" s="24"/>
      <c r="D362" s="24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</row>
    <row r="363" spans="1:29" ht="15.75" customHeight="1">
      <c r="A363" s="24"/>
      <c r="B363" s="24"/>
      <c r="C363" s="24"/>
      <c r="D363" s="24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</row>
    <row r="364" spans="1:29" ht="15.75" customHeight="1">
      <c r="A364" s="24"/>
      <c r="B364" s="24"/>
      <c r="C364" s="24"/>
      <c r="D364" s="24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</row>
    <row r="365" spans="1:29" ht="15.75" customHeight="1">
      <c r="A365" s="24"/>
      <c r="B365" s="24"/>
      <c r="C365" s="24"/>
      <c r="D365" s="24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</row>
    <row r="366" spans="1:29" ht="15.75" customHeight="1">
      <c r="A366" s="24"/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</row>
    <row r="367" spans="1:29" ht="15.75" customHeight="1">
      <c r="A367" s="24"/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</row>
    <row r="368" spans="1:29" ht="15.75" customHeight="1">
      <c r="A368" s="24"/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</row>
    <row r="369" spans="1:29" ht="15.75" customHeight="1">
      <c r="A369" s="24"/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</row>
    <row r="370" spans="1:29" ht="15.75" customHeight="1">
      <c r="A370" s="24"/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</row>
    <row r="371" spans="1:29" ht="15.75" customHeight="1">
      <c r="A371" s="24"/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</row>
    <row r="372" spans="1:29" ht="15.75" customHeight="1">
      <c r="A372" s="24"/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</row>
    <row r="373" spans="1:29" ht="15.75" customHeight="1">
      <c r="A373" s="24"/>
      <c r="B373" s="24"/>
      <c r="C373" s="24"/>
      <c r="D373" s="24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</row>
    <row r="374" spans="1:29" ht="15.75" customHeight="1">
      <c r="A374" s="24"/>
      <c r="B374" s="24"/>
      <c r="C374" s="24"/>
      <c r="D374" s="24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</row>
    <row r="375" spans="1:29" ht="15.75" customHeight="1">
      <c r="A375" s="24"/>
      <c r="B375" s="24"/>
      <c r="C375" s="24"/>
      <c r="D375" s="24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</row>
    <row r="376" spans="1:29" ht="15.75" customHeight="1">
      <c r="A376" s="24"/>
      <c r="B376" s="24"/>
      <c r="C376" s="24"/>
      <c r="D376" s="24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</row>
    <row r="377" spans="1:29" ht="15.75" customHeight="1">
      <c r="A377" s="24"/>
      <c r="B377" s="24"/>
      <c r="C377" s="24"/>
      <c r="D377" s="24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</row>
    <row r="378" spans="1:29" ht="15.75" customHeight="1">
      <c r="A378" s="24"/>
      <c r="B378" s="24"/>
      <c r="C378" s="24"/>
      <c r="D378" s="24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</row>
    <row r="379" spans="1:29" ht="15.75" customHeight="1">
      <c r="A379" s="24"/>
      <c r="B379" s="24"/>
      <c r="C379" s="24"/>
      <c r="D379" s="24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</row>
    <row r="380" spans="1:29" ht="15.75" customHeight="1">
      <c r="A380" s="24"/>
      <c r="B380" s="24"/>
      <c r="C380" s="24"/>
      <c r="D380" s="24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</row>
    <row r="381" spans="1:29" ht="15.75" customHeight="1">
      <c r="A381" s="24"/>
      <c r="B381" s="24"/>
      <c r="C381" s="24"/>
      <c r="D381" s="24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</row>
    <row r="382" spans="1:29" ht="15.75" customHeight="1">
      <c r="A382" s="24"/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</row>
    <row r="383" spans="1:29" ht="15.75" customHeight="1">
      <c r="A383" s="24"/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</row>
    <row r="384" spans="1:29" ht="15.75" customHeight="1">
      <c r="A384" s="24"/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</row>
    <row r="385" spans="1:29" ht="15.75" customHeight="1">
      <c r="A385" s="24"/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</row>
    <row r="386" spans="1:29" ht="15.75" customHeight="1">
      <c r="A386" s="24"/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</row>
    <row r="387" spans="1:29" ht="15.75" customHeight="1">
      <c r="A387" s="24"/>
      <c r="B387" s="24"/>
      <c r="C387" s="24"/>
      <c r="D387" s="24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</row>
    <row r="388" spans="1:29" ht="15.75" customHeight="1">
      <c r="A388" s="24"/>
      <c r="B388" s="24"/>
      <c r="C388" s="24"/>
      <c r="D388" s="24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</row>
    <row r="389" spans="1:29" ht="15.75" customHeight="1">
      <c r="A389" s="24"/>
      <c r="B389" s="24"/>
      <c r="C389" s="24"/>
      <c r="D389" s="24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</row>
    <row r="390" spans="1:29" ht="15.75" customHeight="1">
      <c r="A390" s="24"/>
      <c r="B390" s="24"/>
      <c r="C390" s="24"/>
      <c r="D390" s="24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</row>
    <row r="391" spans="1:29" ht="15.75" customHeight="1">
      <c r="A391" s="24"/>
      <c r="B391" s="24"/>
      <c r="C391" s="24"/>
      <c r="D391" s="24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</row>
    <row r="392" spans="1:29" ht="15.75" customHeight="1">
      <c r="A392" s="24"/>
      <c r="B392" s="24"/>
      <c r="C392" s="24"/>
      <c r="D392" s="24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</row>
    <row r="393" spans="1:29" ht="15.75" customHeight="1">
      <c r="A393" s="24"/>
      <c r="B393" s="24"/>
      <c r="C393" s="24"/>
      <c r="D393" s="24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</row>
    <row r="394" spans="1:29" ht="15.75" customHeight="1">
      <c r="A394" s="24"/>
      <c r="B394" s="24"/>
      <c r="C394" s="24"/>
      <c r="D394" s="24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</row>
    <row r="395" spans="1:29" ht="15.75" customHeight="1">
      <c r="A395" s="24"/>
      <c r="B395" s="24"/>
      <c r="C395" s="24"/>
      <c r="D395" s="24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</row>
    <row r="396" spans="1:29" ht="15.75" customHeight="1">
      <c r="A396" s="24"/>
      <c r="B396" s="24"/>
      <c r="C396" s="24"/>
      <c r="D396" s="24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</row>
    <row r="397" spans="1:29" ht="15.75" customHeight="1">
      <c r="A397" s="24"/>
      <c r="B397" s="24"/>
      <c r="C397" s="24"/>
      <c r="D397" s="24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</row>
    <row r="398" spans="1:29" ht="15.75" customHeight="1">
      <c r="A398" s="24"/>
      <c r="B398" s="24"/>
      <c r="C398" s="24"/>
      <c r="D398" s="24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</row>
    <row r="399" spans="1:29" ht="15.75" customHeight="1">
      <c r="A399" s="24"/>
      <c r="B399" s="24"/>
      <c r="C399" s="24"/>
      <c r="D399" s="24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</row>
    <row r="400" spans="1:29" ht="15.75" customHeight="1">
      <c r="A400" s="24"/>
      <c r="B400" s="24"/>
      <c r="C400" s="24"/>
      <c r="D400" s="24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</row>
    <row r="401" spans="1:29" ht="15.75" customHeight="1">
      <c r="A401" s="24"/>
      <c r="B401" s="24"/>
      <c r="C401" s="24"/>
      <c r="D401" s="24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</row>
    <row r="402" spans="1:29" ht="15.75" customHeight="1">
      <c r="A402" s="24"/>
      <c r="B402" s="24"/>
      <c r="C402" s="24"/>
      <c r="D402" s="24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</row>
    <row r="403" spans="1:29" ht="15.75" customHeight="1">
      <c r="A403" s="24"/>
      <c r="B403" s="24"/>
      <c r="C403" s="24"/>
      <c r="D403" s="24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</row>
    <row r="404" spans="1:29" ht="15.75" customHeight="1">
      <c r="A404" s="24"/>
      <c r="B404" s="24"/>
      <c r="C404" s="24"/>
      <c r="D404" s="24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</row>
    <row r="405" spans="1:29" ht="15.75" customHeight="1">
      <c r="A405" s="24"/>
      <c r="B405" s="24"/>
      <c r="C405" s="24"/>
      <c r="D405" s="24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</row>
    <row r="406" spans="1:29" ht="15.75" customHeight="1">
      <c r="A406" s="24"/>
      <c r="B406" s="24"/>
      <c r="C406" s="24"/>
      <c r="D406" s="24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</row>
    <row r="407" spans="1:29" ht="15.75" customHeight="1">
      <c r="A407" s="24"/>
      <c r="B407" s="24"/>
      <c r="C407" s="24"/>
      <c r="D407" s="24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</row>
    <row r="408" spans="1:29" ht="15.75" customHeight="1">
      <c r="A408" s="24"/>
      <c r="B408" s="24"/>
      <c r="C408" s="24"/>
      <c r="D408" s="24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</row>
    <row r="409" spans="1:29" ht="15.75" customHeight="1">
      <c r="A409" s="24"/>
      <c r="B409" s="24"/>
      <c r="C409" s="24"/>
      <c r="D409" s="24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</row>
    <row r="410" spans="1:29" ht="15.75" customHeight="1">
      <c r="A410" s="24"/>
      <c r="B410" s="24"/>
      <c r="C410" s="24"/>
      <c r="D410" s="24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</row>
    <row r="411" spans="1:29" ht="15.75" customHeight="1">
      <c r="A411" s="24"/>
      <c r="B411" s="24"/>
      <c r="C411" s="24"/>
      <c r="D411" s="24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</row>
    <row r="412" spans="1:29" ht="15.75" customHeight="1">
      <c r="A412" s="24"/>
      <c r="B412" s="24"/>
      <c r="C412" s="24"/>
      <c r="D412" s="24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</row>
    <row r="413" spans="1:29" ht="15.75" customHeight="1">
      <c r="A413" s="24"/>
      <c r="B413" s="24"/>
      <c r="C413" s="24"/>
      <c r="D413" s="24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</row>
    <row r="414" spans="1:29" ht="15.75" customHeight="1">
      <c r="A414" s="24"/>
      <c r="B414" s="24"/>
      <c r="C414" s="24"/>
      <c r="D414" s="24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</row>
    <row r="415" spans="1:29" ht="15.75" customHeight="1">
      <c r="A415" s="24"/>
      <c r="B415" s="24"/>
      <c r="C415" s="24"/>
      <c r="D415" s="24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</row>
    <row r="416" spans="1:29" ht="15.75" customHeight="1">
      <c r="A416" s="24"/>
      <c r="B416" s="24"/>
      <c r="C416" s="24"/>
      <c r="D416" s="24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</row>
    <row r="417" spans="1:29" ht="15.75" customHeight="1">
      <c r="A417" s="24"/>
      <c r="B417" s="24"/>
      <c r="C417" s="24"/>
      <c r="D417" s="24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</row>
    <row r="418" spans="1:29" ht="15.75" customHeight="1">
      <c r="A418" s="24"/>
      <c r="B418" s="24"/>
      <c r="C418" s="24"/>
      <c r="D418" s="24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</row>
    <row r="419" spans="1:29" ht="15.75" customHeight="1">
      <c r="A419" s="24"/>
      <c r="B419" s="24"/>
      <c r="C419" s="24"/>
      <c r="D419" s="24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</row>
    <row r="420" spans="1:29" ht="15.75" customHeight="1">
      <c r="A420" s="24"/>
      <c r="B420" s="24"/>
      <c r="C420" s="24"/>
      <c r="D420" s="24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</row>
    <row r="421" spans="1:29" ht="15.75" customHeight="1">
      <c r="A421" s="24"/>
      <c r="B421" s="24"/>
      <c r="C421" s="24"/>
      <c r="D421" s="24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</row>
    <row r="422" spans="1:29" ht="15.75" customHeight="1">
      <c r="A422" s="24"/>
      <c r="B422" s="24"/>
      <c r="C422" s="24"/>
      <c r="D422" s="24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</row>
    <row r="423" spans="1:29" ht="15.75" customHeight="1">
      <c r="A423" s="24"/>
      <c r="B423" s="24"/>
      <c r="C423" s="24"/>
      <c r="D423" s="24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</row>
    <row r="424" spans="1:29" ht="15.75" customHeight="1">
      <c r="A424" s="24"/>
      <c r="B424" s="24"/>
      <c r="C424" s="24"/>
      <c r="D424" s="24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</row>
    <row r="425" spans="1:29" ht="15.75" customHeight="1">
      <c r="A425" s="24"/>
      <c r="B425" s="24"/>
      <c r="C425" s="24"/>
      <c r="D425" s="24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</row>
    <row r="426" spans="1:29" ht="15.75" customHeight="1">
      <c r="A426" s="24"/>
      <c r="B426" s="24"/>
      <c r="C426" s="24"/>
      <c r="D426" s="24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</row>
    <row r="427" spans="1:29" ht="15.75" customHeight="1">
      <c r="A427" s="24"/>
      <c r="B427" s="24"/>
      <c r="C427" s="24"/>
      <c r="D427" s="24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</row>
    <row r="428" spans="1:29" ht="15.75" customHeight="1">
      <c r="A428" s="24"/>
      <c r="B428" s="24"/>
      <c r="C428" s="24"/>
      <c r="D428" s="24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</row>
    <row r="429" spans="1:29" ht="15.75" customHeight="1">
      <c r="A429" s="24"/>
      <c r="B429" s="24"/>
      <c r="C429" s="24"/>
      <c r="D429" s="24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</row>
    <row r="430" spans="1:29" ht="15.75" customHeight="1">
      <c r="A430" s="24"/>
      <c r="B430" s="24"/>
      <c r="C430" s="24"/>
      <c r="D430" s="24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</row>
    <row r="431" spans="1:29" ht="15.75" customHeight="1">
      <c r="A431" s="24"/>
      <c r="B431" s="24"/>
      <c r="C431" s="24"/>
      <c r="D431" s="24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</row>
    <row r="432" spans="1:29" ht="15.75" customHeight="1">
      <c r="A432" s="24"/>
      <c r="B432" s="24"/>
      <c r="C432" s="24"/>
      <c r="D432" s="24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</row>
    <row r="433" spans="1:29" ht="15.75" customHeight="1">
      <c r="A433" s="24"/>
      <c r="B433" s="24"/>
      <c r="C433" s="24"/>
      <c r="D433" s="24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</row>
    <row r="434" spans="1:29" ht="15.75" customHeight="1">
      <c r="A434" s="24"/>
      <c r="B434" s="24"/>
      <c r="C434" s="24"/>
      <c r="D434" s="24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</row>
    <row r="435" spans="1:29" ht="15.75" customHeight="1">
      <c r="A435" s="24"/>
      <c r="B435" s="24"/>
      <c r="C435" s="24"/>
      <c r="D435" s="24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</row>
    <row r="436" spans="1:29" ht="15.75" customHeight="1">
      <c r="A436" s="24"/>
      <c r="B436" s="24"/>
      <c r="C436" s="24"/>
      <c r="D436" s="24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</row>
    <row r="437" spans="1:29" ht="15.75" customHeight="1">
      <c r="A437" s="24"/>
      <c r="B437" s="24"/>
      <c r="C437" s="24"/>
      <c r="D437" s="24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</row>
    <row r="438" spans="1:29" ht="15.75" customHeight="1">
      <c r="A438" s="24"/>
      <c r="B438" s="24"/>
      <c r="C438" s="24"/>
      <c r="D438" s="24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</row>
    <row r="439" spans="1:29" ht="15.75" customHeight="1">
      <c r="A439" s="24"/>
      <c r="B439" s="24"/>
      <c r="C439" s="24"/>
      <c r="D439" s="24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</row>
    <row r="440" spans="1:29" ht="15.75" customHeight="1">
      <c r="A440" s="24"/>
      <c r="B440" s="24"/>
      <c r="C440" s="24"/>
      <c r="D440" s="24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</row>
    <row r="441" spans="1:29" ht="15.75" customHeight="1">
      <c r="A441" s="24"/>
      <c r="B441" s="24"/>
      <c r="C441" s="24"/>
      <c r="D441" s="24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</row>
    <row r="442" spans="1:29" ht="15.75" customHeight="1">
      <c r="A442" s="24"/>
      <c r="B442" s="24"/>
      <c r="C442" s="24"/>
      <c r="D442" s="24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</row>
    <row r="443" spans="1:29" ht="15.75" customHeight="1">
      <c r="A443" s="24"/>
      <c r="B443" s="24"/>
      <c r="C443" s="24"/>
      <c r="D443" s="24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</row>
    <row r="444" spans="1:29" ht="15.75" customHeight="1">
      <c r="A444" s="24"/>
      <c r="B444" s="24"/>
      <c r="C444" s="24"/>
      <c r="D444" s="24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</row>
    <row r="445" spans="1:29" ht="15.75" customHeight="1">
      <c r="A445" s="24"/>
      <c r="B445" s="24"/>
      <c r="C445" s="24"/>
      <c r="D445" s="24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</row>
    <row r="446" spans="1:29" ht="15.75" customHeight="1">
      <c r="A446" s="24"/>
      <c r="B446" s="24"/>
      <c r="C446" s="24"/>
      <c r="D446" s="24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</row>
    <row r="447" spans="1:29" ht="15.75" customHeight="1">
      <c r="A447" s="24"/>
      <c r="B447" s="24"/>
      <c r="C447" s="24"/>
      <c r="D447" s="24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</row>
    <row r="448" spans="1:29" ht="15.75" customHeight="1">
      <c r="A448" s="24"/>
      <c r="B448" s="24"/>
      <c r="C448" s="24"/>
      <c r="D448" s="24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</row>
    <row r="449" spans="1:29" ht="15.75" customHeight="1">
      <c r="A449" s="24"/>
      <c r="B449" s="24"/>
      <c r="C449" s="24"/>
      <c r="D449" s="24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</row>
    <row r="450" spans="1:29" ht="15.75" customHeight="1">
      <c r="A450" s="24"/>
      <c r="B450" s="24"/>
      <c r="C450" s="24"/>
      <c r="D450" s="24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</row>
    <row r="451" spans="1:29" ht="15.75" customHeight="1">
      <c r="A451" s="24"/>
      <c r="B451" s="24"/>
      <c r="C451" s="24"/>
      <c r="D451" s="24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</row>
    <row r="452" spans="1:29" ht="15.75" customHeight="1">
      <c r="A452" s="24"/>
      <c r="B452" s="24"/>
      <c r="C452" s="24"/>
      <c r="D452" s="24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</row>
    <row r="453" spans="1:29" ht="15.75" customHeight="1">
      <c r="A453" s="24"/>
      <c r="B453" s="24"/>
      <c r="C453" s="24"/>
      <c r="D453" s="24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</row>
    <row r="454" spans="1:29" ht="15.75" customHeight="1">
      <c r="A454" s="24"/>
      <c r="B454" s="24"/>
      <c r="C454" s="24"/>
      <c r="D454" s="24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</row>
    <row r="455" spans="1:29" ht="15.75" customHeight="1">
      <c r="A455" s="24"/>
      <c r="B455" s="24"/>
      <c r="C455" s="24"/>
      <c r="D455" s="24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</row>
    <row r="456" spans="1:29" ht="15.75" customHeight="1">
      <c r="A456" s="24"/>
      <c r="B456" s="24"/>
      <c r="C456" s="24"/>
      <c r="D456" s="24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</row>
    <row r="457" spans="1:29" ht="15.75" customHeight="1">
      <c r="A457" s="24"/>
      <c r="B457" s="24"/>
      <c r="C457" s="24"/>
      <c r="D457" s="24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</row>
    <row r="458" spans="1:29" ht="15.75" customHeight="1">
      <c r="A458" s="24"/>
      <c r="B458" s="24"/>
      <c r="C458" s="24"/>
      <c r="D458" s="24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</row>
    <row r="459" spans="1:29" ht="15.75" customHeight="1">
      <c r="A459" s="24"/>
      <c r="B459" s="24"/>
      <c r="C459" s="24"/>
      <c r="D459" s="24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</row>
    <row r="460" spans="1:29" ht="15.75" customHeight="1">
      <c r="A460" s="24"/>
      <c r="B460" s="24"/>
      <c r="C460" s="24"/>
      <c r="D460" s="24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</row>
    <row r="461" spans="1:29" ht="15.75" customHeight="1">
      <c r="A461" s="24"/>
      <c r="B461" s="24"/>
      <c r="C461" s="24"/>
      <c r="D461" s="24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</row>
    <row r="462" spans="1:29" ht="15.75" customHeight="1">
      <c r="A462" s="24"/>
      <c r="B462" s="24"/>
      <c r="C462" s="24"/>
      <c r="D462" s="24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</row>
    <row r="463" spans="1:29" ht="15.75" customHeight="1">
      <c r="A463" s="24"/>
      <c r="B463" s="24"/>
      <c r="C463" s="24"/>
      <c r="D463" s="24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</row>
    <row r="464" spans="1:29" ht="15.75" customHeight="1">
      <c r="A464" s="24"/>
      <c r="B464" s="24"/>
      <c r="C464" s="24"/>
      <c r="D464" s="2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</row>
    <row r="465" spans="1:29" ht="15.75" customHeight="1">
      <c r="A465" s="24"/>
      <c r="B465" s="24"/>
      <c r="C465" s="24"/>
      <c r="D465" s="2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</row>
    <row r="466" spans="1:29" ht="15.75" customHeight="1">
      <c r="A466" s="24"/>
      <c r="B466" s="24"/>
      <c r="C466" s="24"/>
      <c r="D466" s="2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</row>
    <row r="467" spans="1:29" ht="15.75" customHeight="1">
      <c r="A467" s="24"/>
      <c r="B467" s="24"/>
      <c r="C467" s="24"/>
      <c r="D467" s="2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</row>
    <row r="468" spans="1:29" ht="15.75" customHeight="1">
      <c r="A468" s="24"/>
      <c r="B468" s="24"/>
      <c r="C468" s="24"/>
      <c r="D468" s="2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</row>
    <row r="469" spans="1:29" ht="15.75" customHeight="1">
      <c r="A469" s="24"/>
      <c r="B469" s="24"/>
      <c r="C469" s="24"/>
      <c r="D469" s="2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</row>
    <row r="470" spans="1:29" ht="15.75" customHeight="1">
      <c r="A470" s="24"/>
      <c r="B470" s="24"/>
      <c r="C470" s="24"/>
      <c r="D470" s="2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</row>
    <row r="471" spans="1:29" ht="15.75" customHeight="1">
      <c r="A471" s="24"/>
      <c r="B471" s="24"/>
      <c r="C471" s="24"/>
      <c r="D471" s="2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</row>
    <row r="472" spans="1:29" ht="15.75" customHeight="1">
      <c r="A472" s="24"/>
      <c r="B472" s="24"/>
      <c r="C472" s="24"/>
      <c r="D472" s="2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</row>
    <row r="473" spans="1:29" ht="15.75" customHeight="1">
      <c r="A473" s="24"/>
      <c r="B473" s="24"/>
      <c r="C473" s="24"/>
      <c r="D473" s="2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</row>
    <row r="474" spans="1:29" ht="15.75" customHeight="1">
      <c r="A474" s="24"/>
      <c r="B474" s="24"/>
      <c r="C474" s="24"/>
      <c r="D474" s="24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</row>
    <row r="475" spans="1:29" ht="15.75" customHeight="1">
      <c r="A475" s="24"/>
      <c r="B475" s="24"/>
      <c r="C475" s="24"/>
      <c r="D475" s="24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</row>
    <row r="476" spans="1:29" ht="15.75" customHeight="1">
      <c r="A476" s="24"/>
      <c r="B476" s="24"/>
      <c r="C476" s="24"/>
      <c r="D476" s="24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</row>
    <row r="477" spans="1:29" ht="15.75" customHeight="1">
      <c r="A477" s="24"/>
      <c r="B477" s="24"/>
      <c r="C477" s="24"/>
      <c r="D477" s="2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</row>
    <row r="478" spans="1:29" ht="15.75" customHeight="1">
      <c r="A478" s="24"/>
      <c r="B478" s="24"/>
      <c r="C478" s="24"/>
      <c r="D478" s="2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</row>
    <row r="479" spans="1:29" ht="15.75" customHeight="1">
      <c r="A479" s="24"/>
      <c r="B479" s="24"/>
      <c r="C479" s="24"/>
      <c r="D479" s="2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</row>
    <row r="480" spans="1:29" ht="15.75" customHeight="1">
      <c r="A480" s="24"/>
      <c r="B480" s="24"/>
      <c r="C480" s="24"/>
      <c r="D480" s="2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</row>
    <row r="481" spans="1:29" ht="15.75" customHeight="1">
      <c r="A481" s="24"/>
      <c r="B481" s="24"/>
      <c r="C481" s="24"/>
      <c r="D481" s="2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</row>
    <row r="482" spans="1:29" ht="15.75" customHeight="1">
      <c r="A482" s="24"/>
      <c r="B482" s="24"/>
      <c r="C482" s="24"/>
      <c r="D482" s="2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</row>
    <row r="483" spans="1:29" ht="15.75" customHeight="1">
      <c r="A483" s="24"/>
      <c r="B483" s="24"/>
      <c r="C483" s="24"/>
      <c r="D483" s="2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</row>
    <row r="484" spans="1:29" ht="15.75" customHeight="1">
      <c r="A484" s="24"/>
      <c r="B484" s="24"/>
      <c r="C484" s="24"/>
      <c r="D484" s="2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</row>
    <row r="485" spans="1:29" ht="15.75" customHeight="1">
      <c r="A485" s="24"/>
      <c r="B485" s="24"/>
      <c r="C485" s="24"/>
      <c r="D485" s="2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</row>
    <row r="486" spans="1:29" ht="15.75" customHeight="1">
      <c r="A486" s="24"/>
      <c r="B486" s="24"/>
      <c r="C486" s="24"/>
      <c r="D486" s="2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</row>
    <row r="487" spans="1:29" ht="15.75" customHeight="1">
      <c r="A487" s="24"/>
      <c r="B487" s="24"/>
      <c r="C487" s="24"/>
      <c r="D487" s="24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</row>
    <row r="488" spans="1:29" ht="15.75" customHeight="1">
      <c r="A488" s="24"/>
      <c r="B488" s="24"/>
      <c r="C488" s="24"/>
      <c r="D488" s="24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</row>
    <row r="489" spans="1:29" ht="15.75" customHeight="1">
      <c r="A489" s="24"/>
      <c r="B489" s="24"/>
      <c r="C489" s="24"/>
      <c r="D489" s="24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</row>
    <row r="490" spans="1:29" ht="15.75" customHeight="1">
      <c r="A490" s="24"/>
      <c r="B490" s="24"/>
      <c r="C490" s="24"/>
      <c r="D490" s="24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</row>
    <row r="491" spans="1:29" ht="15.75" customHeight="1">
      <c r="A491" s="24"/>
      <c r="B491" s="24"/>
      <c r="C491" s="24"/>
      <c r="D491" s="24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</row>
    <row r="492" spans="1:29" ht="15.75" customHeight="1">
      <c r="A492" s="24"/>
      <c r="B492" s="24"/>
      <c r="C492" s="24"/>
      <c r="D492" s="24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</row>
    <row r="493" spans="1:29" ht="15.75" customHeight="1">
      <c r="A493" s="24"/>
      <c r="B493" s="24"/>
      <c r="C493" s="24"/>
      <c r="D493" s="24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</row>
    <row r="494" spans="1:29" ht="15.75" customHeight="1">
      <c r="A494" s="24"/>
      <c r="B494" s="24"/>
      <c r="C494" s="24"/>
      <c r="D494" s="24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</row>
    <row r="495" spans="1:29" ht="15.75" customHeight="1">
      <c r="A495" s="24"/>
      <c r="B495" s="24"/>
      <c r="C495" s="24"/>
      <c r="D495" s="24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</row>
    <row r="496" spans="1:29" ht="15.75" customHeight="1">
      <c r="A496" s="24"/>
      <c r="B496" s="24"/>
      <c r="C496" s="24"/>
      <c r="D496" s="24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</row>
    <row r="497" spans="1:29" ht="15.75" customHeight="1">
      <c r="A497" s="24"/>
      <c r="B497" s="24"/>
      <c r="C497" s="24"/>
      <c r="D497" s="24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</row>
    <row r="498" spans="1:29" ht="15.75" customHeight="1">
      <c r="A498" s="24"/>
      <c r="B498" s="24"/>
      <c r="C498" s="24"/>
      <c r="D498" s="24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</row>
    <row r="499" spans="1:29" ht="15.75" customHeight="1">
      <c r="A499" s="24"/>
      <c r="B499" s="24"/>
      <c r="C499" s="24"/>
      <c r="D499" s="24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</row>
    <row r="500" spans="1:29" ht="15.75" customHeight="1">
      <c r="A500" s="24"/>
      <c r="B500" s="24"/>
      <c r="C500" s="24"/>
      <c r="D500" s="24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</row>
    <row r="501" spans="1:29" ht="15.75" customHeight="1">
      <c r="A501" s="24"/>
      <c r="B501" s="24"/>
      <c r="C501" s="24"/>
      <c r="D501" s="24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</row>
    <row r="502" spans="1:29" ht="15.75" customHeight="1">
      <c r="A502" s="24"/>
      <c r="B502" s="24"/>
      <c r="C502" s="24"/>
      <c r="D502" s="24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</row>
    <row r="503" spans="1:29" ht="15.75" customHeight="1">
      <c r="A503" s="24"/>
      <c r="B503" s="24"/>
      <c r="C503" s="24"/>
      <c r="D503" s="24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</row>
    <row r="504" spans="1:29" ht="15.75" customHeight="1">
      <c r="A504" s="24"/>
      <c r="B504" s="24"/>
      <c r="C504" s="24"/>
      <c r="D504" s="24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</row>
    <row r="505" spans="1:29" ht="15.75" customHeight="1">
      <c r="A505" s="24"/>
      <c r="B505" s="24"/>
      <c r="C505" s="24"/>
      <c r="D505" s="24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</row>
    <row r="506" spans="1:29" ht="15.75" customHeight="1">
      <c r="A506" s="24"/>
      <c r="B506" s="24"/>
      <c r="C506" s="24"/>
      <c r="D506" s="24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</row>
    <row r="507" spans="1:29" ht="15.75" customHeight="1">
      <c r="A507" s="24"/>
      <c r="B507" s="24"/>
      <c r="C507" s="24"/>
      <c r="D507" s="24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</row>
    <row r="508" spans="1:29" ht="15.75" customHeight="1">
      <c r="A508" s="24"/>
      <c r="B508" s="24"/>
      <c r="C508" s="24"/>
      <c r="D508" s="24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</row>
    <row r="509" spans="1:29" ht="15.75" customHeight="1">
      <c r="A509" s="24"/>
      <c r="B509" s="24"/>
      <c r="C509" s="24"/>
      <c r="D509" s="24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</row>
    <row r="510" spans="1:29" ht="15.75" customHeight="1">
      <c r="A510" s="24"/>
      <c r="B510" s="24"/>
      <c r="C510" s="24"/>
      <c r="D510" s="24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</row>
    <row r="511" spans="1:29" ht="15.75" customHeight="1">
      <c r="A511" s="24"/>
      <c r="B511" s="24"/>
      <c r="C511" s="24"/>
      <c r="D511" s="24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</row>
    <row r="512" spans="1:29" ht="15.75" customHeight="1">
      <c r="A512" s="24"/>
      <c r="B512" s="24"/>
      <c r="C512" s="24"/>
      <c r="D512" s="24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</row>
    <row r="513" spans="1:29" ht="15.75" customHeight="1">
      <c r="A513" s="24"/>
      <c r="B513" s="24"/>
      <c r="C513" s="24"/>
      <c r="D513" s="24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</row>
    <row r="514" spans="1:29" ht="15.75" customHeight="1">
      <c r="A514" s="24"/>
      <c r="B514" s="24"/>
      <c r="C514" s="24"/>
      <c r="D514" s="24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</row>
    <row r="515" spans="1:29" ht="15.75" customHeight="1">
      <c r="A515" s="24"/>
      <c r="B515" s="24"/>
      <c r="C515" s="24"/>
      <c r="D515" s="24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</row>
    <row r="516" spans="1:29" ht="15.75" customHeight="1">
      <c r="A516" s="24"/>
      <c r="B516" s="24"/>
      <c r="C516" s="24"/>
      <c r="D516" s="24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</row>
    <row r="517" spans="1:29" ht="15.75" customHeight="1">
      <c r="A517" s="24"/>
      <c r="B517" s="24"/>
      <c r="C517" s="24"/>
      <c r="D517" s="24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</row>
    <row r="518" spans="1:29" ht="15.75" customHeight="1">
      <c r="A518" s="24"/>
      <c r="B518" s="24"/>
      <c r="C518" s="24"/>
      <c r="D518" s="24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</row>
    <row r="519" spans="1:29" ht="15.75" customHeight="1">
      <c r="A519" s="24"/>
      <c r="B519" s="24"/>
      <c r="C519" s="24"/>
      <c r="D519" s="24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</row>
    <row r="520" spans="1:29" ht="15.75" customHeight="1">
      <c r="A520" s="24"/>
      <c r="B520" s="24"/>
      <c r="C520" s="24"/>
      <c r="D520" s="24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</row>
    <row r="521" spans="1:29" ht="15.75" customHeight="1">
      <c r="A521" s="24"/>
      <c r="B521" s="24"/>
      <c r="C521" s="24"/>
      <c r="D521" s="24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</row>
    <row r="522" spans="1:29" ht="15.75" customHeight="1">
      <c r="A522" s="24"/>
      <c r="B522" s="24"/>
      <c r="C522" s="24"/>
      <c r="D522" s="24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</row>
    <row r="523" spans="1:29" ht="15.75" customHeight="1">
      <c r="A523" s="24"/>
      <c r="B523" s="24"/>
      <c r="C523" s="24"/>
      <c r="D523" s="24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</row>
    <row r="524" spans="1:29" ht="15.75" customHeight="1">
      <c r="A524" s="24"/>
      <c r="B524" s="24"/>
      <c r="C524" s="24"/>
      <c r="D524" s="24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</row>
    <row r="525" spans="1:29" ht="15.75" customHeight="1">
      <c r="A525" s="24"/>
      <c r="B525" s="24"/>
      <c r="C525" s="24"/>
      <c r="D525" s="24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</row>
    <row r="526" spans="1:29" ht="15.75" customHeight="1">
      <c r="A526" s="24"/>
      <c r="B526" s="24"/>
      <c r="C526" s="24"/>
      <c r="D526" s="24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</row>
    <row r="527" spans="1:29" ht="15.75" customHeight="1">
      <c r="A527" s="24"/>
      <c r="B527" s="24"/>
      <c r="C527" s="24"/>
      <c r="D527" s="24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</row>
    <row r="528" spans="1:29" ht="15.75" customHeight="1">
      <c r="A528" s="24"/>
      <c r="B528" s="24"/>
      <c r="C528" s="24"/>
      <c r="D528" s="24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</row>
    <row r="529" spans="1:29" ht="15.75" customHeight="1">
      <c r="A529" s="24"/>
      <c r="B529" s="24"/>
      <c r="C529" s="24"/>
      <c r="D529" s="24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</row>
    <row r="530" spans="1:29" ht="15.75" customHeight="1">
      <c r="A530" s="24"/>
      <c r="B530" s="24"/>
      <c r="C530" s="24"/>
      <c r="D530" s="24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</row>
    <row r="531" spans="1:29" ht="15.75" customHeight="1">
      <c r="A531" s="24"/>
      <c r="B531" s="24"/>
      <c r="C531" s="24"/>
      <c r="D531" s="24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</row>
    <row r="532" spans="1:29" ht="15.75" customHeight="1">
      <c r="A532" s="24"/>
      <c r="B532" s="24"/>
      <c r="C532" s="24"/>
      <c r="D532" s="24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</row>
    <row r="533" spans="1:29" ht="15.75" customHeight="1">
      <c r="A533" s="24"/>
      <c r="B533" s="24"/>
      <c r="C533" s="24"/>
      <c r="D533" s="24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</row>
    <row r="534" spans="1:29" ht="15.75" customHeight="1">
      <c r="A534" s="24"/>
      <c r="B534" s="24"/>
      <c r="C534" s="24"/>
      <c r="D534" s="24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</row>
    <row r="535" spans="1:29" ht="15.75" customHeight="1">
      <c r="A535" s="24"/>
      <c r="B535" s="24"/>
      <c r="C535" s="24"/>
      <c r="D535" s="24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</row>
    <row r="536" spans="1:29" ht="15.75" customHeight="1">
      <c r="A536" s="24"/>
      <c r="B536" s="24"/>
      <c r="C536" s="24"/>
      <c r="D536" s="24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</row>
    <row r="537" spans="1:29" ht="15.75" customHeight="1">
      <c r="A537" s="24"/>
      <c r="B537" s="24"/>
      <c r="C537" s="24"/>
      <c r="D537" s="24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</row>
    <row r="538" spans="1:29" ht="15.75" customHeight="1">
      <c r="A538" s="24"/>
      <c r="B538" s="24"/>
      <c r="C538" s="24"/>
      <c r="D538" s="24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</row>
    <row r="539" spans="1:29" ht="15.75" customHeight="1">
      <c r="A539" s="24"/>
      <c r="B539" s="24"/>
      <c r="C539" s="24"/>
      <c r="D539" s="24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</row>
    <row r="540" spans="1:29" ht="15.75" customHeight="1">
      <c r="A540" s="24"/>
      <c r="B540" s="24"/>
      <c r="C540" s="24"/>
      <c r="D540" s="24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</row>
    <row r="541" spans="1:29" ht="15.75" customHeight="1">
      <c r="A541" s="24"/>
      <c r="B541" s="24"/>
      <c r="C541" s="24"/>
      <c r="D541" s="24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</row>
    <row r="542" spans="1:29" ht="15.75" customHeight="1">
      <c r="A542" s="24"/>
      <c r="B542" s="24"/>
      <c r="C542" s="24"/>
      <c r="D542" s="24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</row>
    <row r="543" spans="1:29" ht="15.75" customHeight="1">
      <c r="A543" s="24"/>
      <c r="B543" s="24"/>
      <c r="C543" s="24"/>
      <c r="D543" s="24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</row>
    <row r="544" spans="1:29" ht="15.75" customHeight="1">
      <c r="A544" s="24"/>
      <c r="B544" s="24"/>
      <c r="C544" s="24"/>
      <c r="D544" s="24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</row>
    <row r="545" spans="1:29" ht="15.75" customHeight="1">
      <c r="A545" s="24"/>
      <c r="B545" s="24"/>
      <c r="C545" s="24"/>
      <c r="D545" s="24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</row>
    <row r="546" spans="1:29" ht="15.75" customHeight="1">
      <c r="A546" s="24"/>
      <c r="B546" s="24"/>
      <c r="C546" s="24"/>
      <c r="D546" s="24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</row>
    <row r="547" spans="1:29" ht="15.75" customHeight="1">
      <c r="A547" s="24"/>
      <c r="B547" s="24"/>
      <c r="C547" s="24"/>
      <c r="D547" s="24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</row>
    <row r="548" spans="1:29" ht="15.75" customHeight="1">
      <c r="A548" s="24"/>
      <c r="B548" s="24"/>
      <c r="C548" s="24"/>
      <c r="D548" s="24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</row>
    <row r="549" spans="1:29" ht="15.75" customHeight="1">
      <c r="A549" s="24"/>
      <c r="B549" s="24"/>
      <c r="C549" s="24"/>
      <c r="D549" s="24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</row>
    <row r="550" spans="1:29" ht="15.75" customHeight="1">
      <c r="A550" s="24"/>
      <c r="B550" s="24"/>
      <c r="C550" s="24"/>
      <c r="D550" s="24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</row>
    <row r="551" spans="1:29" ht="15.75" customHeight="1">
      <c r="A551" s="24"/>
      <c r="B551" s="24"/>
      <c r="C551" s="24"/>
      <c r="D551" s="24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</row>
    <row r="552" spans="1:29" ht="15.75" customHeight="1">
      <c r="A552" s="24"/>
      <c r="B552" s="24"/>
      <c r="C552" s="24"/>
      <c r="D552" s="24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</row>
    <row r="553" spans="1:29" ht="15.75" customHeight="1">
      <c r="A553" s="24"/>
      <c r="B553" s="24"/>
      <c r="C553" s="24"/>
      <c r="D553" s="24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</row>
    <row r="554" spans="1:29" ht="15.75" customHeight="1">
      <c r="A554" s="24"/>
      <c r="B554" s="24"/>
      <c r="C554" s="24"/>
      <c r="D554" s="24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</row>
    <row r="555" spans="1:29" ht="15.75" customHeight="1">
      <c r="A555" s="24"/>
      <c r="B555" s="24"/>
      <c r="C555" s="24"/>
      <c r="D555" s="24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</row>
    <row r="556" spans="1:29" ht="15.75" customHeight="1">
      <c r="A556" s="24"/>
      <c r="B556" s="24"/>
      <c r="C556" s="24"/>
      <c r="D556" s="24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</row>
    <row r="557" spans="1:29" ht="15.75" customHeight="1">
      <c r="A557" s="24"/>
      <c r="B557" s="24"/>
      <c r="C557" s="24"/>
      <c r="D557" s="24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</row>
    <row r="558" spans="1:29" ht="15.75" customHeight="1">
      <c r="A558" s="24"/>
      <c r="B558" s="24"/>
      <c r="C558" s="24"/>
      <c r="D558" s="24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</row>
    <row r="559" spans="1:29" ht="15.75" customHeight="1">
      <c r="A559" s="24"/>
      <c r="B559" s="24"/>
      <c r="C559" s="24"/>
      <c r="D559" s="24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</row>
    <row r="560" spans="1:29" ht="15.75" customHeight="1">
      <c r="A560" s="24"/>
      <c r="B560" s="24"/>
      <c r="C560" s="24"/>
      <c r="D560" s="24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</row>
    <row r="561" spans="1:29" ht="15.75" customHeight="1">
      <c r="A561" s="24"/>
      <c r="B561" s="24"/>
      <c r="C561" s="24"/>
      <c r="D561" s="24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</row>
    <row r="562" spans="1:29" ht="15.75" customHeight="1">
      <c r="A562" s="24"/>
      <c r="B562" s="24"/>
      <c r="C562" s="24"/>
      <c r="D562" s="24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</row>
    <row r="563" spans="1:29" ht="15.75" customHeight="1">
      <c r="A563" s="24"/>
      <c r="B563" s="24"/>
      <c r="C563" s="24"/>
      <c r="D563" s="24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</row>
    <row r="564" spans="1:29" ht="15.75" customHeight="1">
      <c r="A564" s="24"/>
      <c r="B564" s="24"/>
      <c r="C564" s="24"/>
      <c r="D564" s="24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</row>
    <row r="565" spans="1:29" ht="15.75" customHeight="1">
      <c r="A565" s="24"/>
      <c r="B565" s="24"/>
      <c r="C565" s="24"/>
      <c r="D565" s="24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</row>
    <row r="566" spans="1:29" ht="15.75" customHeight="1">
      <c r="A566" s="24"/>
      <c r="B566" s="24"/>
      <c r="C566" s="24"/>
      <c r="D566" s="24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</row>
    <row r="567" spans="1:29" ht="15.75" customHeight="1">
      <c r="A567" s="24"/>
      <c r="B567" s="24"/>
      <c r="C567" s="24"/>
      <c r="D567" s="24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</row>
    <row r="568" spans="1:29" ht="15.75" customHeight="1">
      <c r="A568" s="24"/>
      <c r="B568" s="24"/>
      <c r="C568" s="24"/>
      <c r="D568" s="24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</row>
    <row r="569" spans="1:29" ht="15.75" customHeight="1">
      <c r="A569" s="24"/>
      <c r="B569" s="24"/>
      <c r="C569" s="24"/>
      <c r="D569" s="24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</row>
    <row r="570" spans="1:29" ht="15.75" customHeight="1">
      <c r="A570" s="24"/>
      <c r="B570" s="24"/>
      <c r="C570" s="24"/>
      <c r="D570" s="24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</row>
    <row r="571" spans="1:29" ht="15.75" customHeight="1">
      <c r="A571" s="24"/>
      <c r="B571" s="24"/>
      <c r="C571" s="24"/>
      <c r="D571" s="24"/>
      <c r="E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</row>
    <row r="572" spans="1:29" ht="15.75" customHeight="1">
      <c r="A572" s="24"/>
      <c r="B572" s="24"/>
      <c r="C572" s="24"/>
      <c r="D572" s="24"/>
      <c r="E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</row>
    <row r="573" spans="1:29" ht="15.75" customHeight="1">
      <c r="A573" s="24"/>
      <c r="B573" s="24"/>
      <c r="C573" s="24"/>
      <c r="D573" s="24"/>
      <c r="E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</row>
    <row r="574" spans="1:29" ht="15.75" customHeight="1">
      <c r="A574" s="24"/>
      <c r="B574" s="24"/>
      <c r="C574" s="24"/>
      <c r="D574" s="24"/>
      <c r="E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</row>
    <row r="575" spans="1:29" ht="15.75" customHeight="1">
      <c r="A575" s="24"/>
      <c r="B575" s="24"/>
      <c r="C575" s="24"/>
      <c r="D575" s="24"/>
      <c r="E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</row>
    <row r="576" spans="1:29" ht="15.75" customHeight="1">
      <c r="A576" s="24"/>
      <c r="B576" s="24"/>
      <c r="C576" s="24"/>
      <c r="D576" s="24"/>
      <c r="E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</row>
    <row r="577" spans="1:29" ht="15.75" customHeight="1">
      <c r="A577" s="24"/>
      <c r="B577" s="24"/>
      <c r="C577" s="24"/>
      <c r="D577" s="24"/>
      <c r="E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</row>
    <row r="578" spans="1:29" ht="15.75" customHeight="1">
      <c r="A578" s="24"/>
      <c r="B578" s="24"/>
      <c r="C578" s="24"/>
      <c r="D578" s="24"/>
      <c r="E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</row>
    <row r="579" spans="1:29" ht="15.75" customHeight="1">
      <c r="A579" s="24"/>
      <c r="B579" s="24"/>
      <c r="C579" s="24"/>
      <c r="D579" s="24"/>
      <c r="E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</row>
    <row r="580" spans="1:29" ht="15.75" customHeight="1">
      <c r="A580" s="24"/>
      <c r="B580" s="24"/>
      <c r="C580" s="24"/>
      <c r="D580" s="24"/>
      <c r="E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</row>
    <row r="581" spans="1:29" ht="15.75" customHeight="1">
      <c r="A581" s="24"/>
      <c r="B581" s="24"/>
      <c r="C581" s="24"/>
      <c r="D581" s="24"/>
      <c r="E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</row>
    <row r="582" spans="1:29" ht="15.75" customHeight="1">
      <c r="A582" s="24"/>
      <c r="B582" s="24"/>
      <c r="C582" s="24"/>
      <c r="D582" s="24"/>
      <c r="E582" s="24"/>
      <c r="F582" s="24"/>
      <c r="G582" s="24"/>
      <c r="H582" s="24"/>
      <c r="I582" s="24"/>
      <c r="J582" s="24"/>
      <c r="K582" s="24"/>
      <c r="L582" s="24"/>
      <c r="M582" s="24"/>
      <c r="N582" s="24"/>
      <c r="O582" s="24"/>
      <c r="P582" s="24"/>
      <c r="Q582" s="24"/>
      <c r="R582" s="24"/>
      <c r="S582" s="24"/>
      <c r="T582" s="24"/>
      <c r="U582" s="24"/>
      <c r="V582" s="24"/>
      <c r="W582" s="24"/>
      <c r="X582" s="24"/>
      <c r="Y582" s="24"/>
      <c r="Z582" s="24"/>
      <c r="AA582" s="24"/>
      <c r="AB582" s="24"/>
      <c r="AC582" s="24"/>
    </row>
    <row r="583" spans="1:29" ht="15.75" customHeight="1">
      <c r="A583" s="24"/>
      <c r="B583" s="24"/>
      <c r="C583" s="24"/>
      <c r="D583" s="24"/>
      <c r="E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</row>
    <row r="584" spans="1:29" ht="15.75" customHeight="1">
      <c r="A584" s="24"/>
      <c r="B584" s="24"/>
      <c r="C584" s="24"/>
      <c r="D584" s="24"/>
      <c r="E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</row>
    <row r="585" spans="1:29" ht="15.75" customHeight="1">
      <c r="A585" s="24"/>
      <c r="B585" s="24"/>
      <c r="C585" s="24"/>
      <c r="D585" s="24"/>
      <c r="E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</row>
    <row r="586" spans="1:29" ht="15.75" customHeight="1">
      <c r="A586" s="24"/>
      <c r="B586" s="24"/>
      <c r="C586" s="24"/>
      <c r="D586" s="24"/>
      <c r="E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</row>
    <row r="587" spans="1:29" ht="15.75" customHeight="1">
      <c r="A587" s="24"/>
      <c r="B587" s="24"/>
      <c r="C587" s="24"/>
      <c r="D587" s="24"/>
      <c r="E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</row>
    <row r="588" spans="1:29" ht="15.75" customHeight="1">
      <c r="A588" s="24"/>
      <c r="B588" s="24"/>
      <c r="C588" s="24"/>
      <c r="D588" s="24"/>
      <c r="E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</row>
    <row r="589" spans="1:29" ht="15.75" customHeight="1">
      <c r="A589" s="24"/>
      <c r="B589" s="24"/>
      <c r="C589" s="24"/>
      <c r="D589" s="24"/>
      <c r="E589" s="24"/>
      <c r="F589" s="24"/>
      <c r="G589" s="24"/>
      <c r="H589" s="24"/>
      <c r="I589" s="24"/>
      <c r="J589" s="24"/>
      <c r="K589" s="24"/>
      <c r="L589" s="24"/>
      <c r="M589" s="24"/>
      <c r="N589" s="24"/>
      <c r="O589" s="24"/>
      <c r="P589" s="24"/>
      <c r="Q589" s="24"/>
      <c r="R589" s="24"/>
      <c r="S589" s="24"/>
      <c r="T589" s="24"/>
      <c r="U589" s="24"/>
      <c r="V589" s="24"/>
      <c r="W589" s="24"/>
      <c r="X589" s="24"/>
      <c r="Y589" s="24"/>
      <c r="Z589" s="24"/>
      <c r="AA589" s="24"/>
      <c r="AB589" s="24"/>
      <c r="AC589" s="24"/>
    </row>
    <row r="590" spans="1:29" ht="15.75" customHeight="1">
      <c r="A590" s="24"/>
      <c r="B590" s="24"/>
      <c r="C590" s="24"/>
      <c r="D590" s="24"/>
      <c r="E590" s="24"/>
      <c r="F590" s="24"/>
      <c r="G590" s="24"/>
      <c r="H590" s="24"/>
      <c r="I590" s="24"/>
      <c r="J590" s="24"/>
      <c r="K590" s="24"/>
      <c r="L590" s="24"/>
      <c r="M590" s="24"/>
      <c r="N590" s="24"/>
      <c r="O590" s="24"/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</row>
    <row r="591" spans="1:29" ht="15.75" customHeight="1">
      <c r="A591" s="24"/>
      <c r="B591" s="24"/>
      <c r="C591" s="24"/>
      <c r="D591" s="24"/>
      <c r="E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</row>
    <row r="592" spans="1:29" ht="15.75" customHeight="1">
      <c r="A592" s="24"/>
      <c r="B592" s="24"/>
      <c r="C592" s="24"/>
      <c r="D592" s="24"/>
      <c r="E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</row>
    <row r="593" spans="1:29" ht="15.75" customHeight="1">
      <c r="A593" s="24"/>
      <c r="B593" s="24"/>
      <c r="C593" s="24"/>
      <c r="D593" s="24"/>
      <c r="E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</row>
    <row r="594" spans="1:29" ht="15.75" customHeight="1">
      <c r="A594" s="24"/>
      <c r="B594" s="24"/>
      <c r="C594" s="24"/>
      <c r="D594" s="24"/>
      <c r="E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</row>
    <row r="595" spans="1:29" ht="15.75" customHeight="1">
      <c r="A595" s="24"/>
      <c r="B595" s="24"/>
      <c r="C595" s="24"/>
      <c r="D595" s="24"/>
      <c r="E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</row>
    <row r="596" spans="1:29" ht="15.75" customHeight="1">
      <c r="A596" s="24"/>
      <c r="B596" s="24"/>
      <c r="C596" s="24"/>
      <c r="D596" s="24"/>
      <c r="E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</row>
    <row r="597" spans="1:29" ht="15.75" customHeight="1">
      <c r="A597" s="24"/>
      <c r="B597" s="24"/>
      <c r="C597" s="24"/>
      <c r="D597" s="24"/>
      <c r="E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</row>
    <row r="598" spans="1:29" ht="15.75" customHeight="1">
      <c r="A598" s="24"/>
      <c r="B598" s="24"/>
      <c r="C598" s="24"/>
      <c r="D598" s="24"/>
      <c r="E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</row>
    <row r="599" spans="1:29" ht="15.75" customHeight="1">
      <c r="A599" s="24"/>
      <c r="B599" s="24"/>
      <c r="C599" s="24"/>
      <c r="D599" s="24"/>
      <c r="E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</row>
    <row r="600" spans="1:29" ht="15.75" customHeight="1">
      <c r="A600" s="24"/>
      <c r="B600" s="24"/>
      <c r="C600" s="24"/>
      <c r="D600" s="24"/>
      <c r="E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</row>
    <row r="601" spans="1:29" ht="15.75" customHeight="1">
      <c r="A601" s="24"/>
      <c r="B601" s="24"/>
      <c r="C601" s="24"/>
      <c r="D601" s="24"/>
      <c r="E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</row>
    <row r="602" spans="1:29" ht="15.75" customHeight="1">
      <c r="A602" s="24"/>
      <c r="B602" s="24"/>
      <c r="C602" s="24"/>
      <c r="D602" s="24"/>
      <c r="E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</row>
    <row r="603" spans="1:29" ht="15.75" customHeight="1">
      <c r="A603" s="24"/>
      <c r="B603" s="24"/>
      <c r="C603" s="24"/>
      <c r="D603" s="24"/>
      <c r="E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</row>
    <row r="604" spans="1:29" ht="15.75" customHeight="1">
      <c r="A604" s="24"/>
      <c r="B604" s="24"/>
      <c r="C604" s="24"/>
      <c r="D604" s="24"/>
      <c r="E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</row>
    <row r="605" spans="1:29" ht="15.75" customHeight="1">
      <c r="A605" s="24"/>
      <c r="B605" s="24"/>
      <c r="C605" s="24"/>
      <c r="D605" s="24"/>
      <c r="E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</row>
    <row r="606" spans="1:29" ht="15.75" customHeight="1">
      <c r="A606" s="24"/>
      <c r="B606" s="24"/>
      <c r="C606" s="24"/>
      <c r="D606" s="24"/>
      <c r="E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</row>
    <row r="607" spans="1:29" ht="15.75" customHeight="1">
      <c r="A607" s="24"/>
      <c r="B607" s="24"/>
      <c r="C607" s="24"/>
      <c r="D607" s="24"/>
      <c r="E607" s="24"/>
      <c r="F607" s="24"/>
      <c r="G607" s="24"/>
      <c r="H607" s="24"/>
      <c r="I607" s="24"/>
      <c r="J607" s="24"/>
      <c r="K607" s="24"/>
      <c r="L607" s="24"/>
      <c r="M607" s="24"/>
      <c r="N607" s="24"/>
      <c r="O607" s="24"/>
      <c r="P607" s="24"/>
      <c r="Q607" s="24"/>
      <c r="R607" s="24"/>
      <c r="S607" s="24"/>
      <c r="T607" s="24"/>
      <c r="U607" s="24"/>
      <c r="V607" s="24"/>
      <c r="W607" s="24"/>
      <c r="X607" s="24"/>
      <c r="Y607" s="24"/>
      <c r="Z607" s="24"/>
      <c r="AA607" s="24"/>
      <c r="AB607" s="24"/>
      <c r="AC607" s="24"/>
    </row>
    <row r="608" spans="1:29" ht="15.75" customHeight="1">
      <c r="A608" s="24"/>
      <c r="B608" s="24"/>
      <c r="C608" s="24"/>
      <c r="D608" s="24"/>
      <c r="E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</row>
    <row r="609" spans="1:29" ht="15.75" customHeight="1">
      <c r="A609" s="24"/>
      <c r="B609" s="24"/>
      <c r="C609" s="24"/>
      <c r="D609" s="24"/>
      <c r="E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</row>
    <row r="610" spans="1:29" ht="15.75" customHeight="1">
      <c r="A610" s="24"/>
      <c r="B610" s="24"/>
      <c r="C610" s="24"/>
      <c r="D610" s="24"/>
      <c r="E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</row>
    <row r="611" spans="1:29" ht="15.75" customHeight="1">
      <c r="A611" s="24"/>
      <c r="B611" s="24"/>
      <c r="C611" s="24"/>
      <c r="D611" s="24"/>
      <c r="E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</row>
    <row r="612" spans="1:29" ht="15.75" customHeight="1">
      <c r="A612" s="24"/>
      <c r="B612" s="24"/>
      <c r="C612" s="24"/>
      <c r="D612" s="24"/>
      <c r="E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</row>
    <row r="613" spans="1:29" ht="15.75" customHeight="1">
      <c r="A613" s="24"/>
      <c r="B613" s="24"/>
      <c r="C613" s="24"/>
      <c r="D613" s="24"/>
      <c r="E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</row>
    <row r="614" spans="1:29" ht="15.75" customHeight="1">
      <c r="A614" s="24"/>
      <c r="B614" s="24"/>
      <c r="C614" s="24"/>
      <c r="D614" s="24"/>
      <c r="E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</row>
    <row r="615" spans="1:29" ht="15.75" customHeight="1">
      <c r="A615" s="24"/>
      <c r="B615" s="24"/>
      <c r="C615" s="24"/>
      <c r="D615" s="24"/>
      <c r="E615" s="24"/>
      <c r="F615" s="24"/>
      <c r="G615" s="24"/>
      <c r="H615" s="24"/>
      <c r="I615" s="24"/>
      <c r="J615" s="24"/>
      <c r="K615" s="24"/>
      <c r="L615" s="24"/>
      <c r="M615" s="24"/>
      <c r="N615" s="24"/>
      <c r="O615" s="24"/>
      <c r="P615" s="24"/>
      <c r="Q615" s="24"/>
      <c r="R615" s="24"/>
      <c r="S615" s="24"/>
      <c r="T615" s="24"/>
      <c r="U615" s="24"/>
      <c r="V615" s="24"/>
      <c r="W615" s="24"/>
      <c r="X615" s="24"/>
      <c r="Y615" s="24"/>
      <c r="Z615" s="24"/>
      <c r="AA615" s="24"/>
      <c r="AB615" s="24"/>
      <c r="AC615" s="24"/>
    </row>
    <row r="616" spans="1:29" ht="15.75" customHeight="1">
      <c r="A616" s="24"/>
      <c r="B616" s="24"/>
      <c r="C616" s="24"/>
      <c r="D616" s="24"/>
      <c r="E616" s="24"/>
      <c r="F616" s="24"/>
      <c r="G616" s="24"/>
      <c r="H616" s="24"/>
      <c r="I616" s="24"/>
      <c r="J616" s="24"/>
      <c r="K616" s="24"/>
      <c r="L616" s="24"/>
      <c r="M616" s="24"/>
      <c r="N616" s="24"/>
      <c r="O616" s="24"/>
      <c r="P616" s="24"/>
      <c r="Q616" s="24"/>
      <c r="R616" s="24"/>
      <c r="S616" s="24"/>
      <c r="T616" s="24"/>
      <c r="U616" s="24"/>
      <c r="V616" s="24"/>
      <c r="W616" s="24"/>
      <c r="X616" s="24"/>
      <c r="Y616" s="24"/>
      <c r="Z616" s="24"/>
      <c r="AA616" s="24"/>
      <c r="AB616" s="24"/>
      <c r="AC616" s="24"/>
    </row>
    <row r="617" spans="1:29" ht="15.75" customHeight="1">
      <c r="A617" s="24"/>
      <c r="B617" s="24"/>
      <c r="C617" s="24"/>
      <c r="D617" s="24"/>
      <c r="E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</row>
    <row r="618" spans="1:29" ht="15.75" customHeight="1">
      <c r="A618" s="24"/>
      <c r="B618" s="24"/>
      <c r="C618" s="24"/>
      <c r="D618" s="24"/>
      <c r="E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</row>
    <row r="619" spans="1:29" ht="15.75" customHeight="1">
      <c r="A619" s="24"/>
      <c r="B619" s="24"/>
      <c r="C619" s="24"/>
      <c r="D619" s="24"/>
      <c r="E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</row>
    <row r="620" spans="1:29" ht="15.75" customHeight="1">
      <c r="A620" s="24"/>
      <c r="B620" s="24"/>
      <c r="C620" s="24"/>
      <c r="D620" s="24"/>
      <c r="E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</row>
    <row r="621" spans="1:29" ht="15.75" customHeight="1">
      <c r="A621" s="24"/>
      <c r="B621" s="24"/>
      <c r="C621" s="24"/>
      <c r="D621" s="24"/>
      <c r="E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</row>
    <row r="622" spans="1:29" ht="15.75" customHeight="1">
      <c r="A622" s="24"/>
      <c r="B622" s="24"/>
      <c r="C622" s="24"/>
      <c r="D622" s="24"/>
      <c r="E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</row>
    <row r="623" spans="1:29" ht="15.75" customHeight="1">
      <c r="A623" s="24"/>
      <c r="B623" s="24"/>
      <c r="C623" s="24"/>
      <c r="D623" s="24"/>
      <c r="E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</row>
    <row r="624" spans="1:29" ht="15.75" customHeight="1">
      <c r="A624" s="24"/>
      <c r="B624" s="24"/>
      <c r="C624" s="24"/>
      <c r="D624" s="24"/>
      <c r="E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</row>
    <row r="625" spans="1:29" ht="15.75" customHeight="1">
      <c r="A625" s="24"/>
      <c r="B625" s="24"/>
      <c r="C625" s="24"/>
      <c r="D625" s="24"/>
      <c r="E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</row>
    <row r="626" spans="1:29" ht="15.75" customHeight="1">
      <c r="A626" s="24"/>
      <c r="B626" s="24"/>
      <c r="C626" s="24"/>
      <c r="D626" s="24"/>
      <c r="E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</row>
    <row r="627" spans="1:29" ht="15.75" customHeight="1">
      <c r="A627" s="24"/>
      <c r="B627" s="24"/>
      <c r="C627" s="24"/>
      <c r="D627" s="24"/>
      <c r="E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</row>
    <row r="628" spans="1:29" ht="15.75" customHeight="1">
      <c r="A628" s="24"/>
      <c r="B628" s="24"/>
      <c r="C628" s="24"/>
      <c r="D628" s="24"/>
      <c r="E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</row>
    <row r="629" spans="1:29" ht="15.75" customHeight="1">
      <c r="A629" s="24"/>
      <c r="B629" s="24"/>
      <c r="C629" s="24"/>
      <c r="D629" s="24"/>
      <c r="E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</row>
    <row r="630" spans="1:29" ht="15.75" customHeight="1">
      <c r="A630" s="24"/>
      <c r="B630" s="24"/>
      <c r="C630" s="24"/>
      <c r="D630" s="24"/>
      <c r="E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</row>
    <row r="631" spans="1:29" ht="15.75" customHeight="1">
      <c r="A631" s="24"/>
      <c r="B631" s="24"/>
      <c r="C631" s="24"/>
      <c r="D631" s="24"/>
      <c r="E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</row>
    <row r="632" spans="1:29" ht="15.75" customHeight="1">
      <c r="A632" s="24"/>
      <c r="B632" s="24"/>
      <c r="C632" s="24"/>
      <c r="D632" s="24"/>
      <c r="E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</row>
    <row r="633" spans="1:29" ht="15.75" customHeight="1">
      <c r="A633" s="24"/>
      <c r="B633" s="24"/>
      <c r="C633" s="24"/>
      <c r="D633" s="24"/>
      <c r="E633" s="24"/>
      <c r="F633" s="24"/>
      <c r="G633" s="24"/>
      <c r="H633" s="24"/>
      <c r="I633" s="24"/>
      <c r="J633" s="24"/>
      <c r="K633" s="24"/>
      <c r="L633" s="24"/>
      <c r="M633" s="24"/>
      <c r="N633" s="24"/>
      <c r="O633" s="24"/>
      <c r="P633" s="24"/>
      <c r="Q633" s="24"/>
      <c r="R633" s="24"/>
      <c r="S633" s="24"/>
      <c r="T633" s="24"/>
      <c r="U633" s="24"/>
      <c r="V633" s="24"/>
      <c r="W633" s="24"/>
      <c r="X633" s="24"/>
      <c r="Y633" s="24"/>
      <c r="Z633" s="24"/>
      <c r="AA633" s="24"/>
      <c r="AB633" s="24"/>
      <c r="AC633" s="24"/>
    </row>
    <row r="634" spans="1:29" ht="15.75" customHeight="1">
      <c r="A634" s="24"/>
      <c r="B634" s="24"/>
      <c r="C634" s="24"/>
      <c r="D634" s="24"/>
      <c r="E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</row>
    <row r="635" spans="1:29" ht="15.75" customHeight="1">
      <c r="A635" s="24"/>
      <c r="B635" s="24"/>
      <c r="C635" s="24"/>
      <c r="D635" s="24"/>
      <c r="E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</row>
    <row r="636" spans="1:29" ht="15.75" customHeight="1">
      <c r="A636" s="24"/>
      <c r="B636" s="24"/>
      <c r="C636" s="24"/>
      <c r="D636" s="24"/>
      <c r="E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</row>
    <row r="637" spans="1:29" ht="15.75" customHeight="1">
      <c r="A637" s="24"/>
      <c r="B637" s="24"/>
      <c r="C637" s="24"/>
      <c r="D637" s="24"/>
      <c r="E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</row>
    <row r="638" spans="1:29" ht="15.75" customHeight="1">
      <c r="A638" s="24"/>
      <c r="B638" s="24"/>
      <c r="C638" s="24"/>
      <c r="D638" s="24"/>
      <c r="E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</row>
    <row r="639" spans="1:29" ht="15.75" customHeight="1">
      <c r="A639" s="24"/>
      <c r="B639" s="24"/>
      <c r="C639" s="24"/>
      <c r="D639" s="24"/>
      <c r="E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</row>
    <row r="640" spans="1:29" ht="15.75" customHeight="1">
      <c r="A640" s="24"/>
      <c r="B640" s="24"/>
      <c r="C640" s="24"/>
      <c r="D640" s="24"/>
      <c r="E640" s="24"/>
      <c r="F640" s="24"/>
      <c r="G640" s="24"/>
      <c r="H640" s="24"/>
      <c r="I640" s="24"/>
      <c r="J640" s="24"/>
      <c r="K640" s="24"/>
      <c r="L640" s="24"/>
      <c r="M640" s="24"/>
      <c r="N640" s="24"/>
      <c r="O640" s="24"/>
      <c r="P640" s="24"/>
      <c r="Q640" s="24"/>
      <c r="R640" s="24"/>
      <c r="S640" s="24"/>
      <c r="T640" s="24"/>
      <c r="U640" s="24"/>
      <c r="V640" s="24"/>
      <c r="W640" s="24"/>
      <c r="X640" s="24"/>
      <c r="Y640" s="24"/>
      <c r="Z640" s="24"/>
      <c r="AA640" s="24"/>
      <c r="AB640" s="24"/>
      <c r="AC640" s="24"/>
    </row>
    <row r="641" spans="1:29" ht="15.75" customHeight="1">
      <c r="A641" s="24"/>
      <c r="B641" s="24"/>
      <c r="C641" s="24"/>
      <c r="D641" s="24"/>
      <c r="E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</row>
    <row r="642" spans="1:29" ht="15.75" customHeight="1">
      <c r="A642" s="24"/>
      <c r="B642" s="24"/>
      <c r="C642" s="24"/>
      <c r="D642" s="24"/>
      <c r="E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</row>
    <row r="643" spans="1:29" ht="15.75" customHeight="1">
      <c r="A643" s="24"/>
      <c r="B643" s="24"/>
      <c r="C643" s="24"/>
      <c r="D643" s="24"/>
      <c r="E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</row>
    <row r="644" spans="1:29" ht="15.75" customHeight="1">
      <c r="A644" s="24"/>
      <c r="B644" s="24"/>
      <c r="C644" s="24"/>
      <c r="D644" s="24"/>
      <c r="E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</row>
    <row r="645" spans="1:29" ht="15.75" customHeight="1">
      <c r="A645" s="24"/>
      <c r="B645" s="24"/>
      <c r="C645" s="24"/>
      <c r="D645" s="24"/>
      <c r="E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</row>
    <row r="646" spans="1:29" ht="15.75" customHeight="1">
      <c r="A646" s="24"/>
      <c r="B646" s="24"/>
      <c r="C646" s="24"/>
      <c r="D646" s="24"/>
      <c r="E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</row>
    <row r="647" spans="1:29" ht="15.75" customHeight="1">
      <c r="A647" s="24"/>
      <c r="B647" s="24"/>
      <c r="C647" s="24"/>
      <c r="D647" s="24"/>
      <c r="E647" s="24"/>
      <c r="F647" s="24"/>
      <c r="G647" s="24"/>
      <c r="H647" s="24"/>
      <c r="I647" s="24"/>
      <c r="J647" s="24"/>
      <c r="K647" s="24"/>
      <c r="L647" s="24"/>
      <c r="M647" s="24"/>
      <c r="N647" s="24"/>
      <c r="O647" s="24"/>
      <c r="P647" s="24"/>
      <c r="Q647" s="24"/>
      <c r="R647" s="24"/>
      <c r="S647" s="24"/>
      <c r="T647" s="24"/>
      <c r="U647" s="24"/>
      <c r="V647" s="24"/>
      <c r="W647" s="24"/>
      <c r="X647" s="24"/>
      <c r="Y647" s="24"/>
      <c r="Z647" s="24"/>
      <c r="AA647" s="24"/>
      <c r="AB647" s="24"/>
      <c r="AC647" s="24"/>
    </row>
    <row r="648" spans="1:29" ht="15.75" customHeight="1">
      <c r="A648" s="24"/>
      <c r="B648" s="24"/>
      <c r="C648" s="24"/>
      <c r="D648" s="24"/>
      <c r="E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</row>
    <row r="649" spans="1:29" ht="15.75" customHeight="1">
      <c r="A649" s="24"/>
      <c r="B649" s="24"/>
      <c r="C649" s="24"/>
      <c r="D649" s="24"/>
      <c r="E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</row>
    <row r="650" spans="1:29" ht="15.75" customHeight="1">
      <c r="A650" s="24"/>
      <c r="B650" s="24"/>
      <c r="C650" s="24"/>
      <c r="D650" s="24"/>
      <c r="E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</row>
    <row r="651" spans="1:29" ht="15.75" customHeight="1">
      <c r="A651" s="24"/>
      <c r="B651" s="24"/>
      <c r="C651" s="24"/>
      <c r="D651" s="24"/>
      <c r="E651" s="24"/>
      <c r="F651" s="24"/>
      <c r="G651" s="24"/>
      <c r="H651" s="24"/>
      <c r="I651" s="24"/>
      <c r="J651" s="24"/>
      <c r="K651" s="24"/>
      <c r="L651" s="24"/>
      <c r="M651" s="24"/>
      <c r="N651" s="24"/>
      <c r="O651" s="24"/>
      <c r="P651" s="24"/>
      <c r="Q651" s="24"/>
      <c r="R651" s="24"/>
      <c r="S651" s="24"/>
      <c r="T651" s="24"/>
      <c r="U651" s="24"/>
      <c r="V651" s="24"/>
      <c r="W651" s="24"/>
      <c r="X651" s="24"/>
      <c r="Y651" s="24"/>
      <c r="Z651" s="24"/>
      <c r="AA651" s="24"/>
      <c r="AB651" s="24"/>
      <c r="AC651" s="24"/>
    </row>
    <row r="652" spans="1:29" ht="15.75" customHeight="1">
      <c r="A652" s="24"/>
      <c r="B652" s="24"/>
      <c r="C652" s="24"/>
      <c r="D652" s="24"/>
      <c r="E652" s="24"/>
      <c r="F652" s="24"/>
      <c r="G652" s="24"/>
      <c r="H652" s="24"/>
      <c r="I652" s="24"/>
      <c r="J652" s="24"/>
      <c r="K652" s="24"/>
      <c r="L652" s="24"/>
      <c r="M652" s="24"/>
      <c r="N652" s="24"/>
      <c r="O652" s="24"/>
      <c r="P652" s="24"/>
      <c r="Q652" s="24"/>
      <c r="R652" s="24"/>
      <c r="S652" s="24"/>
      <c r="T652" s="24"/>
      <c r="U652" s="24"/>
      <c r="V652" s="24"/>
      <c r="W652" s="24"/>
      <c r="X652" s="24"/>
      <c r="Y652" s="24"/>
      <c r="Z652" s="24"/>
      <c r="AA652" s="24"/>
      <c r="AB652" s="24"/>
      <c r="AC652" s="24"/>
    </row>
    <row r="653" spans="1:29" ht="15.75" customHeight="1">
      <c r="A653" s="24"/>
      <c r="B653" s="24"/>
      <c r="C653" s="24"/>
      <c r="D653" s="24"/>
      <c r="E653" s="24"/>
      <c r="F653" s="24"/>
      <c r="G653" s="24"/>
      <c r="H653" s="24"/>
      <c r="I653" s="24"/>
      <c r="J653" s="24"/>
      <c r="K653" s="24"/>
      <c r="L653" s="24"/>
      <c r="M653" s="24"/>
      <c r="N653" s="24"/>
      <c r="O653" s="24"/>
      <c r="P653" s="24"/>
      <c r="Q653" s="24"/>
      <c r="R653" s="24"/>
      <c r="S653" s="24"/>
      <c r="T653" s="24"/>
      <c r="U653" s="24"/>
      <c r="V653" s="24"/>
      <c r="W653" s="24"/>
      <c r="X653" s="24"/>
      <c r="Y653" s="24"/>
      <c r="Z653" s="24"/>
      <c r="AA653" s="24"/>
      <c r="AB653" s="24"/>
      <c r="AC653" s="24"/>
    </row>
    <row r="654" spans="1:29" ht="15.75" customHeight="1">
      <c r="A654" s="24"/>
      <c r="B654" s="24"/>
      <c r="C654" s="24"/>
      <c r="D654" s="24"/>
      <c r="E654" s="24"/>
      <c r="F654" s="24"/>
      <c r="G654" s="24"/>
      <c r="H654" s="24"/>
      <c r="I654" s="24"/>
      <c r="J654" s="24"/>
      <c r="K654" s="24"/>
      <c r="L654" s="24"/>
      <c r="M654" s="24"/>
      <c r="N654" s="24"/>
      <c r="O654" s="24"/>
      <c r="P654" s="24"/>
      <c r="Q654" s="24"/>
      <c r="R654" s="24"/>
      <c r="S654" s="24"/>
      <c r="T654" s="24"/>
      <c r="U654" s="24"/>
      <c r="V654" s="24"/>
      <c r="W654" s="24"/>
      <c r="X654" s="24"/>
      <c r="Y654" s="24"/>
      <c r="Z654" s="24"/>
      <c r="AA654" s="24"/>
      <c r="AB654" s="24"/>
      <c r="AC654" s="24"/>
    </row>
    <row r="655" spans="1:29" ht="15.75" customHeight="1">
      <c r="A655" s="24"/>
      <c r="B655" s="24"/>
      <c r="C655" s="24"/>
      <c r="D655" s="24"/>
      <c r="E655" s="24"/>
      <c r="F655" s="24"/>
      <c r="G655" s="24"/>
      <c r="H655" s="24"/>
      <c r="I655" s="24"/>
      <c r="J655" s="24"/>
      <c r="K655" s="24"/>
      <c r="L655" s="24"/>
      <c r="M655" s="24"/>
      <c r="N655" s="24"/>
      <c r="O655" s="24"/>
      <c r="P655" s="24"/>
      <c r="Q655" s="24"/>
      <c r="R655" s="24"/>
      <c r="S655" s="24"/>
      <c r="T655" s="24"/>
      <c r="U655" s="24"/>
      <c r="V655" s="24"/>
      <c r="W655" s="24"/>
      <c r="X655" s="24"/>
      <c r="Y655" s="24"/>
      <c r="Z655" s="24"/>
      <c r="AA655" s="24"/>
      <c r="AB655" s="24"/>
      <c r="AC655" s="24"/>
    </row>
    <row r="656" spans="1:29" ht="15.75" customHeight="1">
      <c r="A656" s="24"/>
      <c r="B656" s="24"/>
      <c r="C656" s="24"/>
      <c r="D656" s="24"/>
      <c r="E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</row>
    <row r="657" spans="1:29" ht="15.75" customHeight="1">
      <c r="A657" s="24"/>
      <c r="B657" s="24"/>
      <c r="C657" s="24"/>
      <c r="D657" s="24"/>
      <c r="E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</row>
    <row r="658" spans="1:29" ht="15.75" customHeight="1">
      <c r="A658" s="24"/>
      <c r="B658" s="24"/>
      <c r="C658" s="24"/>
      <c r="D658" s="24"/>
      <c r="E658" s="24"/>
      <c r="F658" s="24"/>
      <c r="G658" s="24"/>
      <c r="H658" s="24"/>
      <c r="I658" s="24"/>
      <c r="J658" s="24"/>
      <c r="K658" s="24"/>
      <c r="L658" s="24"/>
      <c r="M658" s="24"/>
      <c r="N658" s="24"/>
      <c r="O658" s="24"/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</row>
    <row r="659" spans="1:29" ht="15.75" customHeight="1">
      <c r="A659" s="24"/>
      <c r="B659" s="24"/>
      <c r="C659" s="24"/>
      <c r="D659" s="24"/>
      <c r="E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</row>
    <row r="660" spans="1:29" ht="15.75" customHeight="1">
      <c r="A660" s="24"/>
      <c r="B660" s="24"/>
      <c r="C660" s="24"/>
      <c r="D660" s="24"/>
      <c r="E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</row>
    <row r="661" spans="1:29" ht="15.75" customHeight="1">
      <c r="A661" s="24"/>
      <c r="B661" s="24"/>
      <c r="C661" s="24"/>
      <c r="D661" s="24"/>
      <c r="E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</row>
    <row r="662" spans="1:29" ht="15.75" customHeight="1">
      <c r="A662" s="24"/>
      <c r="B662" s="24"/>
      <c r="C662" s="24"/>
      <c r="D662" s="24"/>
      <c r="E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</row>
    <row r="663" spans="1:29" ht="15.75" customHeight="1">
      <c r="A663" s="24"/>
      <c r="B663" s="24"/>
      <c r="C663" s="24"/>
      <c r="D663" s="24"/>
      <c r="E663" s="24"/>
      <c r="F663" s="24"/>
      <c r="G663" s="24"/>
      <c r="H663" s="24"/>
      <c r="I663" s="24"/>
      <c r="J663" s="24"/>
      <c r="K663" s="24"/>
      <c r="L663" s="24"/>
      <c r="M663" s="24"/>
      <c r="N663" s="24"/>
      <c r="O663" s="24"/>
      <c r="P663" s="24"/>
      <c r="Q663" s="24"/>
      <c r="R663" s="24"/>
      <c r="S663" s="24"/>
      <c r="T663" s="24"/>
      <c r="U663" s="24"/>
      <c r="V663" s="24"/>
      <c r="W663" s="24"/>
      <c r="X663" s="24"/>
      <c r="Y663" s="24"/>
      <c r="Z663" s="24"/>
      <c r="AA663" s="24"/>
      <c r="AB663" s="24"/>
      <c r="AC663" s="24"/>
    </row>
    <row r="664" spans="1:29" ht="15.75" customHeight="1">
      <c r="A664" s="24"/>
      <c r="B664" s="24"/>
      <c r="C664" s="24"/>
      <c r="D664" s="24"/>
      <c r="E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</row>
    <row r="665" spans="1:29" ht="15.75" customHeight="1">
      <c r="A665" s="24"/>
      <c r="B665" s="24"/>
      <c r="C665" s="24"/>
      <c r="D665" s="24"/>
      <c r="E665" s="24"/>
      <c r="F665" s="24"/>
      <c r="G665" s="24"/>
      <c r="H665" s="24"/>
      <c r="I665" s="24"/>
      <c r="J665" s="24"/>
      <c r="K665" s="24"/>
      <c r="L665" s="24"/>
      <c r="M665" s="24"/>
      <c r="N665" s="24"/>
      <c r="O665" s="24"/>
      <c r="P665" s="24"/>
      <c r="Q665" s="24"/>
      <c r="R665" s="24"/>
      <c r="S665" s="24"/>
      <c r="T665" s="24"/>
      <c r="U665" s="24"/>
      <c r="V665" s="24"/>
      <c r="W665" s="24"/>
      <c r="X665" s="24"/>
      <c r="Y665" s="24"/>
      <c r="Z665" s="24"/>
      <c r="AA665" s="24"/>
      <c r="AB665" s="24"/>
      <c r="AC665" s="24"/>
    </row>
    <row r="666" spans="1:29" ht="15.75" customHeight="1">
      <c r="A666" s="24"/>
      <c r="B666" s="24"/>
      <c r="C666" s="24"/>
      <c r="D666" s="24"/>
      <c r="E666" s="24"/>
      <c r="F666" s="24"/>
      <c r="G666" s="24"/>
      <c r="H666" s="24"/>
      <c r="I666" s="24"/>
      <c r="J666" s="24"/>
      <c r="K666" s="24"/>
      <c r="L666" s="24"/>
      <c r="M666" s="24"/>
      <c r="N666" s="24"/>
      <c r="O666" s="24"/>
      <c r="P666" s="24"/>
      <c r="Q666" s="24"/>
      <c r="R666" s="24"/>
      <c r="S666" s="24"/>
      <c r="T666" s="24"/>
      <c r="U666" s="24"/>
      <c r="V666" s="24"/>
      <c r="W666" s="24"/>
      <c r="X666" s="24"/>
      <c r="Y666" s="24"/>
      <c r="Z666" s="24"/>
      <c r="AA666" s="24"/>
      <c r="AB666" s="24"/>
      <c r="AC666" s="24"/>
    </row>
    <row r="667" spans="1:29" ht="15.75" customHeight="1">
      <c r="A667" s="24"/>
      <c r="B667" s="24"/>
      <c r="C667" s="24"/>
      <c r="D667" s="24"/>
      <c r="E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</row>
    <row r="668" spans="1:29" ht="15.75" customHeight="1">
      <c r="A668" s="24"/>
      <c r="B668" s="24"/>
      <c r="C668" s="24"/>
      <c r="D668" s="24"/>
      <c r="E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</row>
    <row r="669" spans="1:29" ht="15.75" customHeight="1">
      <c r="A669" s="24"/>
      <c r="B669" s="24"/>
      <c r="C669" s="24"/>
      <c r="D669" s="24"/>
      <c r="E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</row>
    <row r="670" spans="1:29" ht="15.75" customHeight="1">
      <c r="A670" s="24"/>
      <c r="B670" s="24"/>
      <c r="C670" s="24"/>
      <c r="D670" s="24"/>
      <c r="E670" s="24"/>
      <c r="F670" s="24"/>
      <c r="G670" s="24"/>
      <c r="H670" s="24"/>
      <c r="I670" s="24"/>
      <c r="J670" s="24"/>
      <c r="K670" s="24"/>
      <c r="L670" s="24"/>
      <c r="M670" s="24"/>
      <c r="N670" s="24"/>
      <c r="O670" s="24"/>
      <c r="P670" s="24"/>
      <c r="Q670" s="24"/>
      <c r="R670" s="24"/>
      <c r="S670" s="24"/>
      <c r="T670" s="24"/>
      <c r="U670" s="24"/>
      <c r="V670" s="24"/>
      <c r="W670" s="24"/>
      <c r="X670" s="24"/>
      <c r="Y670" s="24"/>
      <c r="Z670" s="24"/>
      <c r="AA670" s="24"/>
      <c r="AB670" s="24"/>
      <c r="AC670" s="24"/>
    </row>
    <row r="671" spans="1:29" ht="15.75" customHeight="1">
      <c r="A671" s="24"/>
      <c r="B671" s="24"/>
      <c r="C671" s="24"/>
      <c r="D671" s="24"/>
      <c r="E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</row>
    <row r="672" spans="1:29" ht="15.75" customHeight="1">
      <c r="A672" s="24"/>
      <c r="B672" s="24"/>
      <c r="C672" s="24"/>
      <c r="D672" s="24"/>
      <c r="E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</row>
    <row r="673" spans="1:29" ht="15.75" customHeight="1">
      <c r="A673" s="24"/>
      <c r="B673" s="24"/>
      <c r="C673" s="24"/>
      <c r="D673" s="24"/>
      <c r="E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</row>
    <row r="674" spans="1:29" ht="15.75" customHeight="1">
      <c r="A674" s="24"/>
      <c r="B674" s="24"/>
      <c r="C674" s="24"/>
      <c r="D674" s="24"/>
      <c r="E674" s="24"/>
      <c r="F674" s="24"/>
      <c r="G674" s="24"/>
      <c r="H674" s="24"/>
      <c r="I674" s="24"/>
      <c r="J674" s="24"/>
      <c r="K674" s="24"/>
      <c r="L674" s="24"/>
      <c r="M674" s="24"/>
      <c r="N674" s="24"/>
      <c r="O674" s="24"/>
      <c r="P674" s="24"/>
      <c r="Q674" s="24"/>
      <c r="R674" s="24"/>
      <c r="S674" s="24"/>
      <c r="T674" s="24"/>
      <c r="U674" s="24"/>
      <c r="V674" s="24"/>
      <c r="W674" s="24"/>
      <c r="X674" s="24"/>
      <c r="Y674" s="24"/>
      <c r="Z674" s="24"/>
      <c r="AA674" s="24"/>
      <c r="AB674" s="24"/>
      <c r="AC674" s="24"/>
    </row>
    <row r="675" spans="1:29" ht="15.75" customHeight="1">
      <c r="A675" s="24"/>
      <c r="B675" s="24"/>
      <c r="C675" s="24"/>
      <c r="D675" s="24"/>
      <c r="E675" s="24"/>
      <c r="F675" s="24"/>
      <c r="G675" s="24"/>
      <c r="H675" s="24"/>
      <c r="I675" s="24"/>
      <c r="J675" s="24"/>
      <c r="K675" s="24"/>
      <c r="L675" s="24"/>
      <c r="M675" s="24"/>
      <c r="N675" s="24"/>
      <c r="O675" s="24"/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</row>
    <row r="676" spans="1:29" ht="15.75" customHeight="1">
      <c r="A676" s="24"/>
      <c r="B676" s="24"/>
      <c r="C676" s="24"/>
      <c r="D676" s="24"/>
      <c r="E676" s="24"/>
      <c r="F676" s="24"/>
      <c r="G676" s="24"/>
      <c r="H676" s="24"/>
      <c r="I676" s="24"/>
      <c r="J676" s="24"/>
      <c r="K676" s="24"/>
      <c r="L676" s="24"/>
      <c r="M676" s="24"/>
      <c r="N676" s="24"/>
      <c r="O676" s="24"/>
      <c r="P676" s="24"/>
      <c r="Q676" s="24"/>
      <c r="R676" s="24"/>
      <c r="S676" s="24"/>
      <c r="T676" s="24"/>
      <c r="U676" s="24"/>
      <c r="V676" s="24"/>
      <c r="W676" s="24"/>
      <c r="X676" s="24"/>
      <c r="Y676" s="24"/>
      <c r="Z676" s="24"/>
      <c r="AA676" s="24"/>
      <c r="AB676" s="24"/>
      <c r="AC676" s="24"/>
    </row>
    <row r="677" spans="1:29" ht="15.75" customHeight="1">
      <c r="A677" s="24"/>
      <c r="B677" s="24"/>
      <c r="C677" s="24"/>
      <c r="D677" s="24"/>
      <c r="E677" s="24"/>
      <c r="F677" s="24"/>
      <c r="G677" s="24"/>
      <c r="H677" s="24"/>
      <c r="I677" s="24"/>
      <c r="J677" s="24"/>
      <c r="K677" s="24"/>
      <c r="L677" s="24"/>
      <c r="M677" s="24"/>
      <c r="N677" s="24"/>
      <c r="O677" s="24"/>
      <c r="P677" s="24"/>
      <c r="Q677" s="24"/>
      <c r="R677" s="24"/>
      <c r="S677" s="24"/>
      <c r="T677" s="24"/>
      <c r="U677" s="24"/>
      <c r="V677" s="24"/>
      <c r="W677" s="24"/>
      <c r="X677" s="24"/>
      <c r="Y677" s="24"/>
      <c r="Z677" s="24"/>
      <c r="AA677" s="24"/>
      <c r="AB677" s="24"/>
      <c r="AC677" s="24"/>
    </row>
    <row r="678" spans="1:29" ht="15.75" customHeight="1">
      <c r="A678" s="24"/>
      <c r="B678" s="24"/>
      <c r="C678" s="24"/>
      <c r="D678" s="24"/>
      <c r="E678" s="24"/>
      <c r="F678" s="24"/>
      <c r="G678" s="24"/>
      <c r="H678" s="24"/>
      <c r="I678" s="24"/>
      <c r="J678" s="24"/>
      <c r="K678" s="24"/>
      <c r="L678" s="24"/>
      <c r="M678" s="24"/>
      <c r="N678" s="24"/>
      <c r="O678" s="24"/>
      <c r="P678" s="24"/>
      <c r="Q678" s="24"/>
      <c r="R678" s="24"/>
      <c r="S678" s="24"/>
      <c r="T678" s="24"/>
      <c r="U678" s="24"/>
      <c r="V678" s="24"/>
      <c r="W678" s="24"/>
      <c r="X678" s="24"/>
      <c r="Y678" s="24"/>
      <c r="Z678" s="24"/>
      <c r="AA678" s="24"/>
      <c r="AB678" s="24"/>
      <c r="AC678" s="24"/>
    </row>
    <row r="679" spans="1:29" ht="15.75" customHeight="1">
      <c r="A679" s="24"/>
      <c r="B679" s="24"/>
      <c r="C679" s="24"/>
      <c r="D679" s="24"/>
      <c r="E679" s="24"/>
      <c r="F679" s="24"/>
      <c r="G679" s="24"/>
      <c r="H679" s="24"/>
      <c r="I679" s="24"/>
      <c r="J679" s="24"/>
      <c r="K679" s="24"/>
      <c r="L679" s="24"/>
      <c r="M679" s="24"/>
      <c r="N679" s="24"/>
      <c r="O679" s="24"/>
      <c r="P679" s="24"/>
      <c r="Q679" s="24"/>
      <c r="R679" s="24"/>
      <c r="S679" s="24"/>
      <c r="T679" s="24"/>
      <c r="U679" s="24"/>
      <c r="V679" s="24"/>
      <c r="W679" s="24"/>
      <c r="X679" s="24"/>
      <c r="Y679" s="24"/>
      <c r="Z679" s="24"/>
      <c r="AA679" s="24"/>
      <c r="AB679" s="24"/>
      <c r="AC679" s="24"/>
    </row>
    <row r="680" spans="1:29" ht="15.75" customHeight="1">
      <c r="A680" s="24"/>
      <c r="B680" s="24"/>
      <c r="C680" s="24"/>
      <c r="D680" s="24"/>
      <c r="E680" s="24"/>
      <c r="F680" s="24"/>
      <c r="G680" s="24"/>
      <c r="H680" s="24"/>
      <c r="I680" s="24"/>
      <c r="J680" s="24"/>
      <c r="K680" s="24"/>
      <c r="L680" s="24"/>
      <c r="M680" s="24"/>
      <c r="N680" s="24"/>
      <c r="O680" s="24"/>
      <c r="P680" s="24"/>
      <c r="Q680" s="24"/>
      <c r="R680" s="24"/>
      <c r="S680" s="24"/>
      <c r="T680" s="24"/>
      <c r="U680" s="24"/>
      <c r="V680" s="24"/>
      <c r="W680" s="24"/>
      <c r="X680" s="24"/>
      <c r="Y680" s="24"/>
      <c r="Z680" s="24"/>
      <c r="AA680" s="24"/>
      <c r="AB680" s="24"/>
      <c r="AC680" s="24"/>
    </row>
    <row r="681" spans="1:29" ht="15.75" customHeight="1">
      <c r="A681" s="24"/>
      <c r="B681" s="24"/>
      <c r="C681" s="24"/>
      <c r="D681" s="24"/>
      <c r="E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</row>
    <row r="682" spans="1:29" ht="15.75" customHeight="1">
      <c r="A682" s="24"/>
      <c r="B682" s="24"/>
      <c r="C682" s="24"/>
      <c r="D682" s="24"/>
      <c r="E682" s="24"/>
      <c r="F682" s="24"/>
      <c r="G682" s="24"/>
      <c r="H682" s="24"/>
      <c r="I682" s="24"/>
      <c r="J682" s="24"/>
      <c r="K682" s="24"/>
      <c r="L682" s="24"/>
      <c r="M682" s="24"/>
      <c r="N682" s="24"/>
      <c r="O682" s="24"/>
      <c r="P682" s="24"/>
      <c r="Q682" s="24"/>
      <c r="R682" s="24"/>
      <c r="S682" s="24"/>
      <c r="T682" s="24"/>
      <c r="U682" s="24"/>
      <c r="V682" s="24"/>
      <c r="W682" s="24"/>
      <c r="X682" s="24"/>
      <c r="Y682" s="24"/>
      <c r="Z682" s="24"/>
      <c r="AA682" s="24"/>
      <c r="AB682" s="24"/>
      <c r="AC682" s="24"/>
    </row>
    <row r="683" spans="1:29" ht="15.75" customHeight="1">
      <c r="A683" s="24"/>
      <c r="B683" s="24"/>
      <c r="C683" s="24"/>
      <c r="D683" s="24"/>
      <c r="E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</row>
    <row r="684" spans="1:29" ht="15.75" customHeight="1">
      <c r="A684" s="24"/>
      <c r="B684" s="24"/>
      <c r="C684" s="24"/>
      <c r="D684" s="24"/>
      <c r="E684" s="24"/>
      <c r="F684" s="24"/>
      <c r="G684" s="24"/>
      <c r="H684" s="24"/>
      <c r="I684" s="24"/>
      <c r="J684" s="24"/>
      <c r="K684" s="24"/>
      <c r="L684" s="24"/>
      <c r="M684" s="24"/>
      <c r="N684" s="24"/>
      <c r="O684" s="24"/>
      <c r="P684" s="24"/>
      <c r="Q684" s="24"/>
      <c r="R684" s="24"/>
      <c r="S684" s="24"/>
      <c r="T684" s="24"/>
      <c r="U684" s="24"/>
      <c r="V684" s="24"/>
      <c r="W684" s="24"/>
      <c r="X684" s="24"/>
      <c r="Y684" s="24"/>
      <c r="Z684" s="24"/>
      <c r="AA684" s="24"/>
      <c r="AB684" s="24"/>
      <c r="AC684" s="24"/>
    </row>
    <row r="685" spans="1:29" ht="15.75" customHeight="1">
      <c r="A685" s="24"/>
      <c r="B685" s="24"/>
      <c r="C685" s="24"/>
      <c r="D685" s="24"/>
      <c r="E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</row>
    <row r="686" spans="1:29" ht="15.75" customHeight="1">
      <c r="A686" s="24"/>
      <c r="B686" s="24"/>
      <c r="C686" s="24"/>
      <c r="D686" s="24"/>
      <c r="E686" s="24"/>
      <c r="F686" s="24"/>
      <c r="G686" s="24"/>
      <c r="H686" s="24"/>
      <c r="I686" s="24"/>
      <c r="J686" s="24"/>
      <c r="K686" s="24"/>
      <c r="L686" s="24"/>
      <c r="M686" s="24"/>
      <c r="N686" s="24"/>
      <c r="O686" s="24"/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</row>
    <row r="687" spans="1:29" ht="15.75" customHeight="1">
      <c r="A687" s="24"/>
      <c r="B687" s="24"/>
      <c r="C687" s="24"/>
      <c r="D687" s="24"/>
      <c r="E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</row>
    <row r="688" spans="1:29" ht="15.75" customHeight="1">
      <c r="A688" s="24"/>
      <c r="B688" s="24"/>
      <c r="C688" s="24"/>
      <c r="D688" s="24"/>
      <c r="E688" s="24"/>
      <c r="F688" s="24"/>
      <c r="G688" s="24"/>
      <c r="H688" s="24"/>
      <c r="I688" s="24"/>
      <c r="J688" s="24"/>
      <c r="K688" s="24"/>
      <c r="L688" s="24"/>
      <c r="M688" s="24"/>
      <c r="N688" s="24"/>
      <c r="O688" s="24"/>
      <c r="P688" s="24"/>
      <c r="Q688" s="24"/>
      <c r="R688" s="24"/>
      <c r="S688" s="24"/>
      <c r="T688" s="24"/>
      <c r="U688" s="24"/>
      <c r="V688" s="24"/>
      <c r="W688" s="24"/>
      <c r="X688" s="24"/>
      <c r="Y688" s="24"/>
      <c r="Z688" s="24"/>
      <c r="AA688" s="24"/>
      <c r="AB688" s="24"/>
      <c r="AC688" s="24"/>
    </row>
    <row r="689" spans="1:29" ht="15.75" customHeight="1">
      <c r="A689" s="24"/>
      <c r="B689" s="24"/>
      <c r="C689" s="24"/>
      <c r="D689" s="24"/>
      <c r="E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</row>
    <row r="690" spans="1:29" ht="15.75" customHeight="1">
      <c r="A690" s="24"/>
      <c r="B690" s="24"/>
      <c r="C690" s="24"/>
      <c r="D690" s="24"/>
      <c r="E690" s="24"/>
      <c r="F690" s="24"/>
      <c r="G690" s="24"/>
      <c r="H690" s="24"/>
      <c r="I690" s="24"/>
      <c r="J690" s="24"/>
      <c r="K690" s="24"/>
      <c r="L690" s="24"/>
      <c r="M690" s="24"/>
      <c r="N690" s="24"/>
      <c r="O690" s="24"/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</row>
    <row r="691" spans="1:29" ht="15.75" customHeight="1">
      <c r="A691" s="24"/>
      <c r="B691" s="24"/>
      <c r="C691" s="24"/>
      <c r="D691" s="24"/>
      <c r="E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</row>
    <row r="692" spans="1:29" ht="15.75" customHeight="1">
      <c r="A692" s="24"/>
      <c r="B692" s="24"/>
      <c r="C692" s="24"/>
      <c r="D692" s="24"/>
      <c r="E692" s="24"/>
      <c r="F692" s="24"/>
      <c r="G692" s="24"/>
      <c r="H692" s="24"/>
      <c r="I692" s="24"/>
      <c r="J692" s="24"/>
      <c r="K692" s="24"/>
      <c r="L692" s="24"/>
      <c r="M692" s="24"/>
      <c r="N692" s="24"/>
      <c r="O692" s="24"/>
      <c r="P692" s="24"/>
      <c r="Q692" s="24"/>
      <c r="R692" s="24"/>
      <c r="S692" s="24"/>
      <c r="T692" s="24"/>
      <c r="U692" s="24"/>
      <c r="V692" s="24"/>
      <c r="W692" s="24"/>
      <c r="X692" s="24"/>
      <c r="Y692" s="24"/>
      <c r="Z692" s="24"/>
      <c r="AA692" s="24"/>
      <c r="AB692" s="24"/>
      <c r="AC692" s="24"/>
    </row>
    <row r="693" spans="1:29" ht="15.75" customHeight="1">
      <c r="A693" s="24"/>
      <c r="B693" s="24"/>
      <c r="C693" s="24"/>
      <c r="D693" s="24"/>
      <c r="E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</row>
    <row r="694" spans="1:29" ht="15.75" customHeight="1">
      <c r="A694" s="24"/>
      <c r="B694" s="24"/>
      <c r="C694" s="24"/>
      <c r="D694" s="24"/>
      <c r="E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</row>
    <row r="695" spans="1:29" ht="15.75" customHeight="1">
      <c r="A695" s="24"/>
      <c r="B695" s="24"/>
      <c r="C695" s="24"/>
      <c r="D695" s="24"/>
      <c r="E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</row>
    <row r="696" spans="1:29" ht="15.75" customHeight="1">
      <c r="A696" s="24"/>
      <c r="B696" s="24"/>
      <c r="C696" s="24"/>
      <c r="D696" s="24"/>
      <c r="E696" s="24"/>
      <c r="F696" s="24"/>
      <c r="G696" s="24"/>
      <c r="H696" s="24"/>
      <c r="I696" s="24"/>
      <c r="J696" s="24"/>
      <c r="K696" s="24"/>
      <c r="L696" s="24"/>
      <c r="M696" s="24"/>
      <c r="N696" s="24"/>
      <c r="O696" s="24"/>
      <c r="P696" s="24"/>
      <c r="Q696" s="24"/>
      <c r="R696" s="24"/>
      <c r="S696" s="24"/>
      <c r="T696" s="24"/>
      <c r="U696" s="24"/>
      <c r="V696" s="24"/>
      <c r="W696" s="24"/>
      <c r="X696" s="24"/>
      <c r="Y696" s="24"/>
      <c r="Z696" s="24"/>
      <c r="AA696" s="24"/>
      <c r="AB696" s="24"/>
      <c r="AC696" s="24"/>
    </row>
    <row r="697" spans="1:29" ht="15.75" customHeight="1">
      <c r="A697" s="24"/>
      <c r="B697" s="24"/>
      <c r="C697" s="24"/>
      <c r="D697" s="24"/>
      <c r="E697" s="24"/>
      <c r="F697" s="24"/>
      <c r="G697" s="24"/>
      <c r="H697" s="24"/>
      <c r="I697" s="24"/>
      <c r="J697" s="24"/>
      <c r="K697" s="24"/>
      <c r="L697" s="24"/>
      <c r="M697" s="24"/>
      <c r="N697" s="24"/>
      <c r="O697" s="24"/>
      <c r="P697" s="24"/>
      <c r="Q697" s="24"/>
      <c r="R697" s="24"/>
      <c r="S697" s="24"/>
      <c r="T697" s="24"/>
      <c r="U697" s="24"/>
      <c r="V697" s="24"/>
      <c r="W697" s="24"/>
      <c r="X697" s="24"/>
      <c r="Y697" s="24"/>
      <c r="Z697" s="24"/>
      <c r="AA697" s="24"/>
      <c r="AB697" s="24"/>
      <c r="AC697" s="24"/>
    </row>
    <row r="698" spans="1:29" ht="15.75" customHeight="1">
      <c r="A698" s="24"/>
      <c r="B698" s="24"/>
      <c r="C698" s="24"/>
      <c r="D698" s="24"/>
      <c r="E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</row>
    <row r="699" spans="1:29" ht="15.75" customHeight="1">
      <c r="A699" s="24"/>
      <c r="B699" s="24"/>
      <c r="C699" s="24"/>
      <c r="D699" s="24"/>
      <c r="E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</row>
    <row r="700" spans="1:29" ht="15.75" customHeight="1">
      <c r="A700" s="24"/>
      <c r="B700" s="24"/>
      <c r="C700" s="24"/>
      <c r="D700" s="24"/>
      <c r="E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</row>
    <row r="701" spans="1:29" ht="15.75" customHeight="1">
      <c r="A701" s="24"/>
      <c r="B701" s="24"/>
      <c r="C701" s="24"/>
      <c r="D701" s="24"/>
      <c r="E701" s="24"/>
      <c r="F701" s="24"/>
      <c r="G701" s="24"/>
      <c r="H701" s="24"/>
      <c r="I701" s="24"/>
      <c r="J701" s="24"/>
      <c r="K701" s="24"/>
      <c r="L701" s="24"/>
      <c r="M701" s="24"/>
      <c r="N701" s="24"/>
      <c r="O701" s="24"/>
      <c r="P701" s="24"/>
      <c r="Q701" s="24"/>
      <c r="R701" s="24"/>
      <c r="S701" s="24"/>
      <c r="T701" s="24"/>
      <c r="U701" s="24"/>
      <c r="V701" s="24"/>
      <c r="W701" s="24"/>
      <c r="X701" s="24"/>
      <c r="Y701" s="24"/>
      <c r="Z701" s="24"/>
      <c r="AA701" s="24"/>
      <c r="AB701" s="24"/>
      <c r="AC701" s="24"/>
    </row>
    <row r="702" spans="1:29" ht="15.75" customHeight="1">
      <c r="A702" s="24"/>
      <c r="B702" s="24"/>
      <c r="C702" s="24"/>
      <c r="D702" s="24"/>
      <c r="E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</row>
    <row r="703" spans="1:29" ht="15.75" customHeight="1">
      <c r="A703" s="24"/>
      <c r="B703" s="24"/>
      <c r="C703" s="24"/>
      <c r="D703" s="24"/>
      <c r="E703" s="24"/>
      <c r="F703" s="24"/>
      <c r="G703" s="24"/>
      <c r="H703" s="24"/>
      <c r="I703" s="24"/>
      <c r="J703" s="24"/>
      <c r="K703" s="24"/>
      <c r="L703" s="24"/>
      <c r="M703" s="24"/>
      <c r="N703" s="24"/>
      <c r="O703" s="24"/>
      <c r="P703" s="24"/>
      <c r="Q703" s="24"/>
      <c r="R703" s="24"/>
      <c r="S703" s="24"/>
      <c r="T703" s="24"/>
      <c r="U703" s="24"/>
      <c r="V703" s="24"/>
      <c r="W703" s="24"/>
      <c r="X703" s="24"/>
      <c r="Y703" s="24"/>
      <c r="Z703" s="24"/>
      <c r="AA703" s="24"/>
      <c r="AB703" s="24"/>
      <c r="AC703" s="24"/>
    </row>
    <row r="704" spans="1:29" ht="15.75" customHeight="1">
      <c r="A704" s="24"/>
      <c r="B704" s="24"/>
      <c r="C704" s="24"/>
      <c r="D704" s="24"/>
      <c r="E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</row>
    <row r="705" spans="1:29" ht="15.75" customHeight="1">
      <c r="A705" s="24"/>
      <c r="B705" s="24"/>
      <c r="C705" s="24"/>
      <c r="D705" s="24"/>
      <c r="E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</row>
    <row r="706" spans="1:29" ht="15.75" customHeight="1">
      <c r="A706" s="24"/>
      <c r="B706" s="24"/>
      <c r="C706" s="24"/>
      <c r="D706" s="24"/>
      <c r="E706" s="24"/>
      <c r="F706" s="24"/>
      <c r="G706" s="24"/>
      <c r="H706" s="24"/>
      <c r="I706" s="24"/>
      <c r="J706" s="24"/>
      <c r="K706" s="24"/>
      <c r="L706" s="24"/>
      <c r="M706" s="24"/>
      <c r="N706" s="24"/>
      <c r="O706" s="24"/>
      <c r="P706" s="24"/>
      <c r="Q706" s="24"/>
      <c r="R706" s="24"/>
      <c r="S706" s="24"/>
      <c r="T706" s="24"/>
      <c r="U706" s="24"/>
      <c r="V706" s="24"/>
      <c r="W706" s="24"/>
      <c r="X706" s="24"/>
      <c r="Y706" s="24"/>
      <c r="Z706" s="24"/>
      <c r="AA706" s="24"/>
      <c r="AB706" s="24"/>
      <c r="AC706" s="24"/>
    </row>
    <row r="707" spans="1:29" ht="15.75" customHeight="1">
      <c r="A707" s="24"/>
      <c r="B707" s="24"/>
      <c r="C707" s="24"/>
      <c r="D707" s="24"/>
      <c r="E707" s="24"/>
      <c r="F707" s="24"/>
      <c r="G707" s="24"/>
      <c r="H707" s="24"/>
      <c r="I707" s="24"/>
      <c r="J707" s="24"/>
      <c r="K707" s="24"/>
      <c r="L707" s="24"/>
      <c r="M707" s="24"/>
      <c r="N707" s="24"/>
      <c r="O707" s="24"/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</row>
    <row r="708" spans="1:29" ht="15.75" customHeight="1">
      <c r="A708" s="24"/>
      <c r="B708" s="24"/>
      <c r="C708" s="24"/>
      <c r="D708" s="24"/>
      <c r="E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</row>
    <row r="709" spans="1:29" ht="15.75" customHeight="1">
      <c r="A709" s="24"/>
      <c r="B709" s="24"/>
      <c r="C709" s="24"/>
      <c r="D709" s="24"/>
      <c r="E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</row>
    <row r="710" spans="1:29" ht="15.75" customHeight="1">
      <c r="A710" s="24"/>
      <c r="B710" s="24"/>
      <c r="C710" s="24"/>
      <c r="D710" s="24"/>
      <c r="E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</row>
    <row r="711" spans="1:29" ht="15.75" customHeight="1">
      <c r="A711" s="24"/>
      <c r="B711" s="24"/>
      <c r="C711" s="24"/>
      <c r="D711" s="24"/>
      <c r="E711" s="24"/>
      <c r="F711" s="24"/>
      <c r="G711" s="24"/>
      <c r="H711" s="24"/>
      <c r="I711" s="24"/>
      <c r="J711" s="24"/>
      <c r="K711" s="24"/>
      <c r="L711" s="24"/>
      <c r="M711" s="24"/>
      <c r="N711" s="24"/>
      <c r="O711" s="24"/>
      <c r="P711" s="24"/>
      <c r="Q711" s="24"/>
      <c r="R711" s="24"/>
      <c r="S711" s="24"/>
      <c r="T711" s="24"/>
      <c r="U711" s="24"/>
      <c r="V711" s="24"/>
      <c r="W711" s="24"/>
      <c r="X711" s="24"/>
      <c r="Y711" s="24"/>
      <c r="Z711" s="24"/>
      <c r="AA711" s="24"/>
      <c r="AB711" s="24"/>
      <c r="AC711" s="24"/>
    </row>
    <row r="712" spans="1:29" ht="15.75" customHeight="1">
      <c r="A712" s="24"/>
      <c r="B712" s="24"/>
      <c r="C712" s="24"/>
      <c r="D712" s="24"/>
      <c r="E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</row>
    <row r="713" spans="1:29" ht="15.75" customHeight="1">
      <c r="A713" s="24"/>
      <c r="B713" s="24"/>
      <c r="C713" s="24"/>
      <c r="D713" s="24"/>
      <c r="E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</row>
    <row r="714" spans="1:29" ht="15.75" customHeight="1">
      <c r="A714" s="24"/>
      <c r="B714" s="24"/>
      <c r="C714" s="24"/>
      <c r="D714" s="24"/>
      <c r="E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</row>
    <row r="715" spans="1:29" ht="15.75" customHeight="1">
      <c r="A715" s="24"/>
      <c r="B715" s="24"/>
      <c r="C715" s="24"/>
      <c r="D715" s="24"/>
      <c r="E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</row>
    <row r="716" spans="1:29" ht="15.75" customHeight="1">
      <c r="A716" s="24"/>
      <c r="B716" s="24"/>
      <c r="C716" s="24"/>
      <c r="D716" s="24"/>
      <c r="E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</row>
    <row r="717" spans="1:29" ht="15.75" customHeight="1">
      <c r="A717" s="24"/>
      <c r="B717" s="24"/>
      <c r="C717" s="24"/>
      <c r="D717" s="24"/>
      <c r="E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</row>
    <row r="718" spans="1:29" ht="15.75" customHeight="1">
      <c r="A718" s="24"/>
      <c r="B718" s="24"/>
      <c r="C718" s="24"/>
      <c r="D718" s="24"/>
      <c r="E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</row>
    <row r="719" spans="1:29" ht="15.75" customHeight="1">
      <c r="A719" s="24"/>
      <c r="B719" s="24"/>
      <c r="C719" s="24"/>
      <c r="D719" s="24"/>
      <c r="E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</row>
    <row r="720" spans="1:29" ht="15.75" customHeight="1">
      <c r="A720" s="24"/>
      <c r="B720" s="24"/>
      <c r="C720" s="24"/>
      <c r="D720" s="24"/>
      <c r="E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</row>
    <row r="721" spans="1:29" ht="15.75" customHeight="1">
      <c r="A721" s="24"/>
      <c r="B721" s="24"/>
      <c r="C721" s="24"/>
      <c r="D721" s="24"/>
      <c r="E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</row>
    <row r="722" spans="1:29" ht="15.75" customHeight="1">
      <c r="A722" s="24"/>
      <c r="B722" s="24"/>
      <c r="C722" s="24"/>
      <c r="D722" s="24"/>
      <c r="E722" s="24"/>
      <c r="F722" s="24"/>
      <c r="G722" s="24"/>
      <c r="H722" s="24"/>
      <c r="I722" s="24"/>
      <c r="J722" s="24"/>
      <c r="K722" s="24"/>
      <c r="L722" s="24"/>
      <c r="M722" s="24"/>
      <c r="N722" s="24"/>
      <c r="O722" s="24"/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</row>
    <row r="723" spans="1:29" ht="15.75" customHeight="1">
      <c r="A723" s="24"/>
      <c r="B723" s="24"/>
      <c r="C723" s="24"/>
      <c r="D723" s="24"/>
      <c r="E723" s="24"/>
      <c r="F723" s="24"/>
      <c r="G723" s="24"/>
      <c r="H723" s="24"/>
      <c r="I723" s="24"/>
      <c r="J723" s="24"/>
      <c r="K723" s="24"/>
      <c r="L723" s="24"/>
      <c r="M723" s="24"/>
      <c r="N723" s="24"/>
      <c r="O723" s="24"/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</row>
    <row r="724" spans="1:29" ht="15.75" customHeight="1">
      <c r="A724" s="24"/>
      <c r="B724" s="24"/>
      <c r="C724" s="24"/>
      <c r="D724" s="24"/>
      <c r="E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</row>
    <row r="725" spans="1:29" ht="15.75" customHeight="1">
      <c r="A725" s="24"/>
      <c r="B725" s="24"/>
      <c r="C725" s="24"/>
      <c r="D725" s="24"/>
      <c r="E725" s="24"/>
      <c r="F725" s="24"/>
      <c r="G725" s="24"/>
      <c r="H725" s="24"/>
      <c r="I725" s="24"/>
      <c r="J725" s="24"/>
      <c r="K725" s="24"/>
      <c r="L725" s="24"/>
      <c r="M725" s="24"/>
      <c r="N725" s="24"/>
      <c r="O725" s="24"/>
      <c r="P725" s="24"/>
      <c r="Q725" s="24"/>
      <c r="R725" s="24"/>
      <c r="S725" s="24"/>
      <c r="T725" s="24"/>
      <c r="U725" s="24"/>
      <c r="V725" s="24"/>
      <c r="W725" s="24"/>
      <c r="X725" s="24"/>
      <c r="Y725" s="24"/>
      <c r="Z725" s="24"/>
      <c r="AA725" s="24"/>
      <c r="AB725" s="24"/>
      <c r="AC725" s="24"/>
    </row>
    <row r="726" spans="1:29" ht="15.75" customHeight="1">
      <c r="A726" s="24"/>
      <c r="B726" s="24"/>
      <c r="C726" s="24"/>
      <c r="D726" s="24"/>
      <c r="E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</row>
    <row r="727" spans="1:29" ht="15.75" customHeight="1">
      <c r="A727" s="24"/>
      <c r="B727" s="24"/>
      <c r="C727" s="24"/>
      <c r="D727" s="24"/>
      <c r="E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</row>
    <row r="728" spans="1:29" ht="15.75" customHeight="1">
      <c r="A728" s="24"/>
      <c r="B728" s="24"/>
      <c r="C728" s="24"/>
      <c r="D728" s="24"/>
      <c r="E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</row>
    <row r="729" spans="1:29" ht="15.75" customHeight="1">
      <c r="A729" s="24"/>
      <c r="B729" s="24"/>
      <c r="C729" s="24"/>
      <c r="D729" s="24"/>
      <c r="E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</row>
    <row r="730" spans="1:29" ht="15.75" customHeight="1">
      <c r="A730" s="24"/>
      <c r="B730" s="24"/>
      <c r="C730" s="24"/>
      <c r="D730" s="24"/>
      <c r="E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</row>
    <row r="731" spans="1:29" ht="15.75" customHeight="1">
      <c r="A731" s="24"/>
      <c r="B731" s="24"/>
      <c r="C731" s="24"/>
      <c r="D731" s="24"/>
      <c r="E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</row>
    <row r="732" spans="1:29" ht="15.75" customHeight="1">
      <c r="A732" s="24"/>
      <c r="B732" s="24"/>
      <c r="C732" s="24"/>
      <c r="D732" s="24"/>
      <c r="E732" s="24"/>
      <c r="F732" s="24"/>
      <c r="G732" s="24"/>
      <c r="H732" s="24"/>
      <c r="I732" s="24"/>
      <c r="J732" s="24"/>
      <c r="K732" s="24"/>
      <c r="L732" s="24"/>
      <c r="M732" s="24"/>
      <c r="N732" s="24"/>
      <c r="O732" s="24"/>
      <c r="P732" s="24"/>
      <c r="Q732" s="24"/>
      <c r="R732" s="24"/>
      <c r="S732" s="24"/>
      <c r="T732" s="24"/>
      <c r="U732" s="24"/>
      <c r="V732" s="24"/>
      <c r="W732" s="24"/>
      <c r="X732" s="24"/>
      <c r="Y732" s="24"/>
      <c r="Z732" s="24"/>
      <c r="AA732" s="24"/>
      <c r="AB732" s="24"/>
      <c r="AC732" s="24"/>
    </row>
    <row r="733" spans="1:29" ht="15.75" customHeight="1">
      <c r="A733" s="24"/>
      <c r="B733" s="24"/>
      <c r="C733" s="24"/>
      <c r="D733" s="24"/>
      <c r="E733" s="24"/>
      <c r="F733" s="24"/>
      <c r="G733" s="24"/>
      <c r="H733" s="24"/>
      <c r="I733" s="24"/>
      <c r="J733" s="24"/>
      <c r="K733" s="24"/>
      <c r="L733" s="24"/>
      <c r="M733" s="24"/>
      <c r="N733" s="24"/>
      <c r="O733" s="24"/>
      <c r="P733" s="24"/>
      <c r="Q733" s="24"/>
      <c r="R733" s="24"/>
      <c r="S733" s="24"/>
      <c r="T733" s="24"/>
      <c r="U733" s="24"/>
      <c r="V733" s="24"/>
      <c r="W733" s="24"/>
      <c r="X733" s="24"/>
      <c r="Y733" s="24"/>
      <c r="Z733" s="24"/>
      <c r="AA733" s="24"/>
      <c r="AB733" s="24"/>
      <c r="AC733" s="24"/>
    </row>
    <row r="734" spans="1:29" ht="15.75" customHeight="1">
      <c r="A734" s="24"/>
      <c r="B734" s="24"/>
      <c r="C734" s="24"/>
      <c r="D734" s="24"/>
      <c r="E734" s="24"/>
      <c r="F734" s="24"/>
      <c r="G734" s="24"/>
      <c r="H734" s="24"/>
      <c r="I734" s="24"/>
      <c r="J734" s="24"/>
      <c r="K734" s="24"/>
      <c r="L734" s="24"/>
      <c r="M734" s="24"/>
      <c r="N734" s="24"/>
      <c r="O734" s="24"/>
      <c r="P734" s="24"/>
      <c r="Q734" s="24"/>
      <c r="R734" s="24"/>
      <c r="S734" s="24"/>
      <c r="T734" s="24"/>
      <c r="U734" s="24"/>
      <c r="V734" s="24"/>
      <c r="W734" s="24"/>
      <c r="X734" s="24"/>
      <c r="Y734" s="24"/>
      <c r="Z734" s="24"/>
      <c r="AA734" s="24"/>
      <c r="AB734" s="24"/>
      <c r="AC734" s="24"/>
    </row>
    <row r="735" spans="1:29" ht="15.75" customHeight="1">
      <c r="A735" s="24"/>
      <c r="B735" s="24"/>
      <c r="C735" s="24"/>
      <c r="D735" s="24"/>
      <c r="E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</row>
    <row r="736" spans="1:29" ht="15.75" customHeight="1">
      <c r="A736" s="24"/>
      <c r="B736" s="24"/>
      <c r="C736" s="24"/>
      <c r="D736" s="24"/>
      <c r="E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</row>
    <row r="737" spans="1:29" ht="15.75" customHeight="1">
      <c r="A737" s="24"/>
      <c r="B737" s="24"/>
      <c r="C737" s="24"/>
      <c r="D737" s="24"/>
      <c r="E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</row>
    <row r="738" spans="1:29" ht="15.75" customHeight="1">
      <c r="A738" s="24"/>
      <c r="B738" s="24"/>
      <c r="C738" s="24"/>
      <c r="D738" s="24"/>
      <c r="E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</row>
    <row r="739" spans="1:29" ht="15.75" customHeight="1">
      <c r="A739" s="24"/>
      <c r="B739" s="24"/>
      <c r="C739" s="24"/>
      <c r="D739" s="24"/>
      <c r="E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</row>
    <row r="740" spans="1:29" ht="15.75" customHeight="1">
      <c r="A740" s="24"/>
      <c r="B740" s="24"/>
      <c r="C740" s="24"/>
      <c r="D740" s="24"/>
      <c r="E740" s="24"/>
      <c r="F740" s="24"/>
      <c r="G740" s="24"/>
      <c r="H740" s="24"/>
      <c r="I740" s="24"/>
      <c r="J740" s="24"/>
      <c r="K740" s="24"/>
      <c r="L740" s="24"/>
      <c r="M740" s="24"/>
      <c r="N740" s="24"/>
      <c r="O740" s="24"/>
      <c r="P740" s="24"/>
      <c r="Q740" s="24"/>
      <c r="R740" s="24"/>
      <c r="S740" s="24"/>
      <c r="T740" s="24"/>
      <c r="U740" s="24"/>
      <c r="V740" s="24"/>
      <c r="W740" s="24"/>
      <c r="X740" s="24"/>
      <c r="Y740" s="24"/>
      <c r="Z740" s="24"/>
      <c r="AA740" s="24"/>
      <c r="AB740" s="24"/>
      <c r="AC740" s="24"/>
    </row>
    <row r="741" spans="1:29" ht="15.75" customHeight="1">
      <c r="A741" s="24"/>
      <c r="B741" s="24"/>
      <c r="C741" s="24"/>
      <c r="D741" s="24"/>
      <c r="E741" s="24"/>
      <c r="F741" s="24"/>
      <c r="G741" s="24"/>
      <c r="H741" s="24"/>
      <c r="I741" s="24"/>
      <c r="J741" s="24"/>
      <c r="K741" s="24"/>
      <c r="L741" s="24"/>
      <c r="M741" s="24"/>
      <c r="N741" s="24"/>
      <c r="O741" s="24"/>
      <c r="P741" s="24"/>
      <c r="Q741" s="24"/>
      <c r="R741" s="24"/>
      <c r="S741" s="24"/>
      <c r="T741" s="24"/>
      <c r="U741" s="24"/>
      <c r="V741" s="24"/>
      <c r="W741" s="24"/>
      <c r="X741" s="24"/>
      <c r="Y741" s="24"/>
      <c r="Z741" s="24"/>
      <c r="AA741" s="24"/>
      <c r="AB741" s="24"/>
      <c r="AC741" s="24"/>
    </row>
    <row r="742" spans="1:29" ht="15.75" customHeight="1">
      <c r="A742" s="24"/>
      <c r="B742" s="24"/>
      <c r="C742" s="24"/>
      <c r="D742" s="24"/>
      <c r="E742" s="24"/>
      <c r="F742" s="24"/>
      <c r="G742" s="24"/>
      <c r="H742" s="24"/>
      <c r="I742" s="24"/>
      <c r="J742" s="24"/>
      <c r="K742" s="24"/>
      <c r="L742" s="24"/>
      <c r="M742" s="24"/>
      <c r="N742" s="24"/>
      <c r="O742" s="24"/>
      <c r="P742" s="24"/>
      <c r="Q742" s="24"/>
      <c r="R742" s="24"/>
      <c r="S742" s="24"/>
      <c r="T742" s="24"/>
      <c r="U742" s="24"/>
      <c r="V742" s="24"/>
      <c r="W742" s="24"/>
      <c r="X742" s="24"/>
      <c r="Y742" s="24"/>
      <c r="Z742" s="24"/>
      <c r="AA742" s="24"/>
      <c r="AB742" s="24"/>
      <c r="AC742" s="24"/>
    </row>
    <row r="743" spans="1:29" ht="15.75" customHeight="1">
      <c r="A743" s="24"/>
      <c r="B743" s="24"/>
      <c r="C743" s="24"/>
      <c r="D743" s="24"/>
      <c r="E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</row>
    <row r="744" spans="1:29" ht="15.75" customHeight="1">
      <c r="A744" s="24"/>
      <c r="B744" s="24"/>
      <c r="C744" s="24"/>
      <c r="D744" s="24"/>
      <c r="E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</row>
    <row r="745" spans="1:29" ht="15.75" customHeight="1">
      <c r="A745" s="24"/>
      <c r="B745" s="24"/>
      <c r="C745" s="24"/>
      <c r="D745" s="24"/>
      <c r="E745" s="24"/>
      <c r="F745" s="24"/>
      <c r="G745" s="24"/>
      <c r="H745" s="24"/>
      <c r="I745" s="24"/>
      <c r="J745" s="24"/>
      <c r="K745" s="24"/>
      <c r="L745" s="24"/>
      <c r="M745" s="24"/>
      <c r="N745" s="24"/>
      <c r="O745" s="24"/>
      <c r="P745" s="24"/>
      <c r="Q745" s="24"/>
      <c r="R745" s="24"/>
      <c r="S745" s="24"/>
      <c r="T745" s="24"/>
      <c r="U745" s="24"/>
      <c r="V745" s="24"/>
      <c r="W745" s="24"/>
      <c r="X745" s="24"/>
      <c r="Y745" s="24"/>
      <c r="Z745" s="24"/>
      <c r="AA745" s="24"/>
      <c r="AB745" s="24"/>
      <c r="AC745" s="24"/>
    </row>
    <row r="746" spans="1:29" ht="15.75" customHeight="1">
      <c r="A746" s="24"/>
      <c r="B746" s="24"/>
      <c r="C746" s="24"/>
      <c r="D746" s="24"/>
      <c r="E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</row>
    <row r="747" spans="1:29" ht="15.75" customHeight="1">
      <c r="A747" s="24"/>
      <c r="B747" s="24"/>
      <c r="C747" s="24"/>
      <c r="D747" s="24"/>
      <c r="E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</row>
    <row r="748" spans="1:29" ht="15.75" customHeight="1">
      <c r="A748" s="24"/>
      <c r="B748" s="24"/>
      <c r="C748" s="24"/>
      <c r="D748" s="24"/>
      <c r="E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</row>
    <row r="749" spans="1:29" ht="15.75" customHeight="1">
      <c r="A749" s="24"/>
      <c r="B749" s="24"/>
      <c r="C749" s="24"/>
      <c r="D749" s="24"/>
      <c r="E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</row>
    <row r="750" spans="1:29" ht="15.75" customHeight="1">
      <c r="A750" s="24"/>
      <c r="B750" s="24"/>
      <c r="C750" s="24"/>
      <c r="D750" s="24"/>
      <c r="E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</row>
    <row r="751" spans="1:29" ht="15.75" customHeight="1">
      <c r="A751" s="24"/>
      <c r="B751" s="24"/>
      <c r="C751" s="24"/>
      <c r="D751" s="24"/>
      <c r="E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</row>
    <row r="752" spans="1:29" ht="15.75" customHeight="1">
      <c r="A752" s="24"/>
      <c r="B752" s="24"/>
      <c r="C752" s="24"/>
      <c r="D752" s="24"/>
      <c r="E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</row>
    <row r="753" spans="1:29" ht="15.75" customHeight="1">
      <c r="A753" s="24"/>
      <c r="B753" s="24"/>
      <c r="C753" s="24"/>
      <c r="D753" s="24"/>
      <c r="E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</row>
    <row r="754" spans="1:29" ht="15.75" customHeight="1">
      <c r="A754" s="24"/>
      <c r="B754" s="24"/>
      <c r="C754" s="24"/>
      <c r="D754" s="24"/>
      <c r="E754" s="24"/>
      <c r="F754" s="24"/>
      <c r="G754" s="24"/>
      <c r="H754" s="24"/>
      <c r="I754" s="24"/>
      <c r="J754" s="24"/>
      <c r="K754" s="24"/>
      <c r="L754" s="24"/>
      <c r="M754" s="24"/>
      <c r="N754" s="24"/>
      <c r="O754" s="24"/>
      <c r="P754" s="24"/>
      <c r="Q754" s="24"/>
      <c r="R754" s="24"/>
      <c r="S754" s="24"/>
      <c r="T754" s="24"/>
      <c r="U754" s="24"/>
      <c r="V754" s="24"/>
      <c r="W754" s="24"/>
      <c r="X754" s="24"/>
      <c r="Y754" s="24"/>
      <c r="Z754" s="24"/>
      <c r="AA754" s="24"/>
      <c r="AB754" s="24"/>
      <c r="AC754" s="24"/>
    </row>
    <row r="755" spans="1:29" ht="15.75" customHeight="1">
      <c r="A755" s="24"/>
      <c r="B755" s="24"/>
      <c r="C755" s="24"/>
      <c r="D755" s="24"/>
      <c r="E755" s="24"/>
      <c r="F755" s="24"/>
      <c r="G755" s="24"/>
      <c r="H755" s="24"/>
      <c r="I755" s="24"/>
      <c r="J755" s="24"/>
      <c r="K755" s="24"/>
      <c r="L755" s="24"/>
      <c r="M755" s="24"/>
      <c r="N755" s="24"/>
      <c r="O755" s="24"/>
      <c r="P755" s="24"/>
      <c r="Q755" s="24"/>
      <c r="R755" s="24"/>
      <c r="S755" s="24"/>
      <c r="T755" s="24"/>
      <c r="U755" s="24"/>
      <c r="V755" s="24"/>
      <c r="W755" s="24"/>
      <c r="X755" s="24"/>
      <c r="Y755" s="24"/>
      <c r="Z755" s="24"/>
      <c r="AA755" s="24"/>
      <c r="AB755" s="24"/>
      <c r="AC755" s="24"/>
    </row>
    <row r="756" spans="1:29" ht="15.75" customHeight="1">
      <c r="A756" s="24"/>
      <c r="B756" s="24"/>
      <c r="C756" s="24"/>
      <c r="D756" s="24"/>
      <c r="E756" s="24"/>
      <c r="F756" s="24"/>
      <c r="G756" s="24"/>
      <c r="H756" s="24"/>
      <c r="I756" s="24"/>
      <c r="J756" s="24"/>
      <c r="K756" s="24"/>
      <c r="L756" s="24"/>
      <c r="M756" s="24"/>
      <c r="N756" s="24"/>
      <c r="O756" s="24"/>
      <c r="P756" s="24"/>
      <c r="Q756" s="24"/>
      <c r="R756" s="24"/>
      <c r="S756" s="24"/>
      <c r="T756" s="24"/>
      <c r="U756" s="24"/>
      <c r="V756" s="24"/>
      <c r="W756" s="24"/>
      <c r="X756" s="24"/>
      <c r="Y756" s="24"/>
      <c r="Z756" s="24"/>
      <c r="AA756" s="24"/>
      <c r="AB756" s="24"/>
      <c r="AC756" s="24"/>
    </row>
    <row r="757" spans="1:29" ht="15.75" customHeight="1">
      <c r="A757" s="24"/>
      <c r="B757" s="24"/>
      <c r="C757" s="24"/>
      <c r="D757" s="24"/>
      <c r="E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</row>
    <row r="758" spans="1:29" ht="15.75" customHeight="1">
      <c r="A758" s="24"/>
      <c r="B758" s="24"/>
      <c r="C758" s="24"/>
      <c r="D758" s="24"/>
      <c r="E758" s="24"/>
      <c r="F758" s="24"/>
      <c r="G758" s="24"/>
      <c r="H758" s="24"/>
      <c r="I758" s="24"/>
      <c r="J758" s="24"/>
      <c r="K758" s="24"/>
      <c r="L758" s="24"/>
      <c r="M758" s="24"/>
      <c r="N758" s="24"/>
      <c r="O758" s="24"/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</row>
    <row r="759" spans="1:29" ht="15.75" customHeight="1">
      <c r="A759" s="24"/>
      <c r="B759" s="24"/>
      <c r="C759" s="24"/>
      <c r="D759" s="24"/>
      <c r="E759" s="24"/>
      <c r="F759" s="24"/>
      <c r="G759" s="24"/>
      <c r="H759" s="24"/>
      <c r="I759" s="24"/>
      <c r="J759" s="24"/>
      <c r="K759" s="24"/>
      <c r="L759" s="24"/>
      <c r="M759" s="24"/>
      <c r="N759" s="24"/>
      <c r="O759" s="24"/>
      <c r="P759" s="24"/>
      <c r="Q759" s="24"/>
      <c r="R759" s="24"/>
      <c r="S759" s="24"/>
      <c r="T759" s="24"/>
      <c r="U759" s="24"/>
      <c r="V759" s="24"/>
      <c r="W759" s="24"/>
      <c r="X759" s="24"/>
      <c r="Y759" s="24"/>
      <c r="Z759" s="24"/>
      <c r="AA759" s="24"/>
      <c r="AB759" s="24"/>
      <c r="AC759" s="24"/>
    </row>
    <row r="760" spans="1:29" ht="15.75" customHeight="1">
      <c r="A760" s="24"/>
      <c r="B760" s="24"/>
      <c r="C760" s="24"/>
      <c r="D760" s="24"/>
      <c r="E760" s="24"/>
      <c r="F760" s="24"/>
      <c r="G760" s="24"/>
      <c r="H760" s="24"/>
      <c r="I760" s="24"/>
      <c r="J760" s="24"/>
      <c r="K760" s="24"/>
      <c r="L760" s="24"/>
      <c r="M760" s="24"/>
      <c r="N760" s="24"/>
      <c r="O760" s="24"/>
      <c r="P760" s="24"/>
      <c r="Q760" s="24"/>
      <c r="R760" s="24"/>
      <c r="S760" s="24"/>
      <c r="T760" s="24"/>
      <c r="U760" s="24"/>
      <c r="V760" s="24"/>
      <c r="W760" s="24"/>
      <c r="X760" s="24"/>
      <c r="Y760" s="24"/>
      <c r="Z760" s="24"/>
      <c r="AA760" s="24"/>
      <c r="AB760" s="24"/>
      <c r="AC760" s="24"/>
    </row>
    <row r="761" spans="1:29" ht="15.75" customHeight="1">
      <c r="A761" s="24"/>
      <c r="B761" s="24"/>
      <c r="C761" s="24"/>
      <c r="D761" s="24"/>
      <c r="E761" s="24"/>
      <c r="F761" s="24"/>
      <c r="G761" s="24"/>
      <c r="H761" s="24"/>
      <c r="I761" s="24"/>
      <c r="J761" s="24"/>
      <c r="K761" s="24"/>
      <c r="L761" s="24"/>
      <c r="M761" s="24"/>
      <c r="N761" s="24"/>
      <c r="O761" s="24"/>
      <c r="P761" s="24"/>
      <c r="Q761" s="24"/>
      <c r="R761" s="24"/>
      <c r="S761" s="24"/>
      <c r="T761" s="24"/>
      <c r="U761" s="24"/>
      <c r="V761" s="24"/>
      <c r="W761" s="24"/>
      <c r="X761" s="24"/>
      <c r="Y761" s="24"/>
      <c r="Z761" s="24"/>
      <c r="AA761" s="24"/>
      <c r="AB761" s="24"/>
      <c r="AC761" s="24"/>
    </row>
    <row r="762" spans="1:29" ht="15.75" customHeight="1">
      <c r="A762" s="24"/>
      <c r="B762" s="24"/>
      <c r="C762" s="24"/>
      <c r="D762" s="24"/>
      <c r="E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</row>
    <row r="763" spans="1:29" ht="15.75" customHeight="1">
      <c r="A763" s="24"/>
      <c r="B763" s="24"/>
      <c r="C763" s="24"/>
      <c r="D763" s="24"/>
      <c r="E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</row>
    <row r="764" spans="1:29" ht="15.75" customHeight="1">
      <c r="A764" s="24"/>
      <c r="B764" s="24"/>
      <c r="C764" s="24"/>
      <c r="D764" s="24"/>
      <c r="E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</row>
    <row r="765" spans="1:29" ht="15.75" customHeight="1">
      <c r="A765" s="24"/>
      <c r="B765" s="24"/>
      <c r="C765" s="24"/>
      <c r="D765" s="24"/>
      <c r="E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</row>
    <row r="766" spans="1:29" ht="15.75" customHeight="1">
      <c r="A766" s="24"/>
      <c r="B766" s="24"/>
      <c r="C766" s="24"/>
      <c r="D766" s="24"/>
      <c r="E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</row>
    <row r="767" spans="1:29" ht="15.75" customHeight="1">
      <c r="A767" s="24"/>
      <c r="B767" s="24"/>
      <c r="C767" s="24"/>
      <c r="D767" s="24"/>
      <c r="E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</row>
    <row r="768" spans="1:29" ht="15.75" customHeight="1">
      <c r="A768" s="24"/>
      <c r="B768" s="24"/>
      <c r="C768" s="24"/>
      <c r="D768" s="24"/>
      <c r="E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</row>
    <row r="769" spans="1:29" ht="15.75" customHeight="1">
      <c r="A769" s="24"/>
      <c r="B769" s="24"/>
      <c r="C769" s="24"/>
      <c r="D769" s="24"/>
      <c r="E769" s="24"/>
      <c r="F769" s="24"/>
      <c r="G769" s="24"/>
      <c r="H769" s="24"/>
      <c r="I769" s="24"/>
      <c r="J769" s="24"/>
      <c r="K769" s="24"/>
      <c r="L769" s="24"/>
      <c r="M769" s="24"/>
      <c r="N769" s="24"/>
      <c r="O769" s="24"/>
      <c r="P769" s="24"/>
      <c r="Q769" s="24"/>
      <c r="R769" s="24"/>
      <c r="S769" s="24"/>
      <c r="T769" s="24"/>
      <c r="U769" s="24"/>
      <c r="V769" s="24"/>
      <c r="W769" s="24"/>
      <c r="X769" s="24"/>
      <c r="Y769" s="24"/>
      <c r="Z769" s="24"/>
      <c r="AA769" s="24"/>
      <c r="AB769" s="24"/>
      <c r="AC769" s="24"/>
    </row>
    <row r="770" spans="1:29" ht="15.75" customHeight="1">
      <c r="A770" s="24"/>
      <c r="B770" s="24"/>
      <c r="C770" s="24"/>
      <c r="D770" s="24"/>
      <c r="E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</row>
    <row r="771" spans="1:29" ht="15.75" customHeight="1">
      <c r="A771" s="24"/>
      <c r="B771" s="24"/>
      <c r="C771" s="24"/>
      <c r="D771" s="24"/>
      <c r="E771" s="24"/>
      <c r="F771" s="24"/>
      <c r="G771" s="24"/>
      <c r="H771" s="24"/>
      <c r="I771" s="24"/>
      <c r="J771" s="24"/>
      <c r="K771" s="24"/>
      <c r="L771" s="24"/>
      <c r="M771" s="24"/>
      <c r="N771" s="24"/>
      <c r="O771" s="24"/>
      <c r="P771" s="24"/>
      <c r="Q771" s="24"/>
      <c r="R771" s="24"/>
      <c r="S771" s="24"/>
      <c r="T771" s="24"/>
      <c r="U771" s="24"/>
      <c r="V771" s="24"/>
      <c r="W771" s="24"/>
      <c r="X771" s="24"/>
      <c r="Y771" s="24"/>
      <c r="Z771" s="24"/>
      <c r="AA771" s="24"/>
      <c r="AB771" s="24"/>
      <c r="AC771" s="24"/>
    </row>
    <row r="772" spans="1:29" ht="15.75" customHeight="1">
      <c r="A772" s="24"/>
      <c r="B772" s="24"/>
      <c r="C772" s="24"/>
      <c r="D772" s="24"/>
      <c r="E772" s="24"/>
      <c r="F772" s="24"/>
      <c r="G772" s="24"/>
      <c r="H772" s="24"/>
      <c r="I772" s="24"/>
      <c r="J772" s="24"/>
      <c r="K772" s="24"/>
      <c r="L772" s="24"/>
      <c r="M772" s="24"/>
      <c r="N772" s="24"/>
      <c r="O772" s="24"/>
      <c r="P772" s="24"/>
      <c r="Q772" s="24"/>
      <c r="R772" s="24"/>
      <c r="S772" s="24"/>
      <c r="T772" s="24"/>
      <c r="U772" s="24"/>
      <c r="V772" s="24"/>
      <c r="W772" s="24"/>
      <c r="X772" s="24"/>
      <c r="Y772" s="24"/>
      <c r="Z772" s="24"/>
      <c r="AA772" s="24"/>
      <c r="AB772" s="24"/>
      <c r="AC772" s="24"/>
    </row>
    <row r="773" spans="1:29" ht="15.75" customHeight="1">
      <c r="A773" s="24"/>
      <c r="B773" s="24"/>
      <c r="C773" s="24"/>
      <c r="D773" s="24"/>
      <c r="E773" s="24"/>
      <c r="F773" s="24"/>
      <c r="G773" s="24"/>
      <c r="H773" s="24"/>
      <c r="I773" s="24"/>
      <c r="J773" s="24"/>
      <c r="K773" s="24"/>
      <c r="L773" s="24"/>
      <c r="M773" s="24"/>
      <c r="N773" s="24"/>
      <c r="O773" s="24"/>
      <c r="P773" s="24"/>
      <c r="Q773" s="24"/>
      <c r="R773" s="24"/>
      <c r="S773" s="24"/>
      <c r="T773" s="24"/>
      <c r="U773" s="24"/>
      <c r="V773" s="24"/>
      <c r="W773" s="24"/>
      <c r="X773" s="24"/>
      <c r="Y773" s="24"/>
      <c r="Z773" s="24"/>
      <c r="AA773" s="24"/>
      <c r="AB773" s="24"/>
      <c r="AC773" s="24"/>
    </row>
    <row r="774" spans="1:29" ht="15.75" customHeight="1">
      <c r="A774" s="24"/>
      <c r="B774" s="24"/>
      <c r="C774" s="24"/>
      <c r="D774" s="24"/>
      <c r="E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</row>
    <row r="775" spans="1:29" ht="15.75" customHeight="1">
      <c r="A775" s="24"/>
      <c r="B775" s="24"/>
      <c r="C775" s="24"/>
      <c r="D775" s="24"/>
      <c r="E775" s="24"/>
      <c r="F775" s="24"/>
      <c r="G775" s="24"/>
      <c r="H775" s="24"/>
      <c r="I775" s="24"/>
      <c r="J775" s="24"/>
      <c r="K775" s="24"/>
      <c r="L775" s="24"/>
      <c r="M775" s="24"/>
      <c r="N775" s="24"/>
      <c r="O775" s="24"/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</row>
    <row r="776" spans="1:29" ht="15.75" customHeight="1">
      <c r="A776" s="24"/>
      <c r="B776" s="24"/>
      <c r="C776" s="24"/>
      <c r="D776" s="24"/>
      <c r="E776" s="24"/>
      <c r="F776" s="24"/>
      <c r="G776" s="24"/>
      <c r="H776" s="24"/>
      <c r="I776" s="24"/>
      <c r="J776" s="24"/>
      <c r="K776" s="24"/>
      <c r="L776" s="24"/>
      <c r="M776" s="24"/>
      <c r="N776" s="24"/>
      <c r="O776" s="24"/>
      <c r="P776" s="24"/>
      <c r="Q776" s="24"/>
      <c r="R776" s="24"/>
      <c r="S776" s="24"/>
      <c r="T776" s="24"/>
      <c r="U776" s="24"/>
      <c r="V776" s="24"/>
      <c r="W776" s="24"/>
      <c r="X776" s="24"/>
      <c r="Y776" s="24"/>
      <c r="Z776" s="24"/>
      <c r="AA776" s="24"/>
      <c r="AB776" s="24"/>
      <c r="AC776" s="24"/>
    </row>
    <row r="777" spans="1:29" ht="15.75" customHeight="1">
      <c r="A777" s="24"/>
      <c r="B777" s="24"/>
      <c r="C777" s="24"/>
      <c r="D777" s="24"/>
      <c r="E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</row>
    <row r="778" spans="1:29" ht="15.75" customHeight="1">
      <c r="A778" s="24"/>
      <c r="B778" s="24"/>
      <c r="C778" s="24"/>
      <c r="D778" s="24"/>
      <c r="E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</row>
    <row r="779" spans="1:29" ht="15.75" customHeight="1">
      <c r="A779" s="24"/>
      <c r="B779" s="24"/>
      <c r="C779" s="24"/>
      <c r="D779" s="24"/>
      <c r="E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</row>
    <row r="780" spans="1:29" ht="15.75" customHeight="1">
      <c r="A780" s="24"/>
      <c r="B780" s="24"/>
      <c r="C780" s="24"/>
      <c r="D780" s="24"/>
      <c r="E780" s="24"/>
      <c r="F780" s="24"/>
      <c r="G780" s="24"/>
      <c r="H780" s="24"/>
      <c r="I780" s="24"/>
      <c r="J780" s="24"/>
      <c r="K780" s="24"/>
      <c r="L780" s="24"/>
      <c r="M780" s="24"/>
      <c r="N780" s="24"/>
      <c r="O780" s="24"/>
      <c r="P780" s="24"/>
      <c r="Q780" s="24"/>
      <c r="R780" s="24"/>
      <c r="S780" s="24"/>
      <c r="T780" s="24"/>
      <c r="U780" s="24"/>
      <c r="V780" s="24"/>
      <c r="W780" s="24"/>
      <c r="X780" s="24"/>
      <c r="Y780" s="24"/>
      <c r="Z780" s="24"/>
      <c r="AA780" s="24"/>
      <c r="AB780" s="24"/>
      <c r="AC780" s="24"/>
    </row>
    <row r="781" spans="1:29" ht="15.75" customHeight="1">
      <c r="A781" s="24"/>
      <c r="B781" s="24"/>
      <c r="C781" s="24"/>
      <c r="D781" s="24"/>
      <c r="E781" s="24"/>
      <c r="F781" s="24"/>
      <c r="G781" s="24"/>
      <c r="H781" s="24"/>
      <c r="I781" s="24"/>
      <c r="J781" s="24"/>
      <c r="K781" s="24"/>
      <c r="L781" s="24"/>
      <c r="M781" s="24"/>
      <c r="N781" s="24"/>
      <c r="O781" s="24"/>
      <c r="P781" s="24"/>
      <c r="Q781" s="24"/>
      <c r="R781" s="24"/>
      <c r="S781" s="24"/>
      <c r="T781" s="24"/>
      <c r="U781" s="24"/>
      <c r="V781" s="24"/>
      <c r="W781" s="24"/>
      <c r="X781" s="24"/>
      <c r="Y781" s="24"/>
      <c r="Z781" s="24"/>
      <c r="AA781" s="24"/>
      <c r="AB781" s="24"/>
      <c r="AC781" s="24"/>
    </row>
    <row r="782" spans="1:29" ht="15.75" customHeight="1">
      <c r="A782" s="24"/>
      <c r="B782" s="24"/>
      <c r="C782" s="24"/>
      <c r="D782" s="24"/>
      <c r="E782" s="24"/>
      <c r="F782" s="24"/>
      <c r="G782" s="24"/>
      <c r="H782" s="24"/>
      <c r="I782" s="24"/>
      <c r="J782" s="24"/>
      <c r="K782" s="24"/>
      <c r="L782" s="24"/>
      <c r="M782" s="24"/>
      <c r="N782" s="24"/>
      <c r="O782" s="24"/>
      <c r="P782" s="24"/>
      <c r="Q782" s="24"/>
      <c r="R782" s="24"/>
      <c r="S782" s="24"/>
      <c r="T782" s="24"/>
      <c r="U782" s="24"/>
      <c r="V782" s="24"/>
      <c r="W782" s="24"/>
      <c r="X782" s="24"/>
      <c r="Y782" s="24"/>
      <c r="Z782" s="24"/>
      <c r="AA782" s="24"/>
      <c r="AB782" s="24"/>
      <c r="AC782" s="24"/>
    </row>
    <row r="783" spans="1:29" ht="15.75" customHeight="1">
      <c r="A783" s="24"/>
      <c r="B783" s="24"/>
      <c r="C783" s="24"/>
      <c r="D783" s="24"/>
      <c r="E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</row>
    <row r="784" spans="1:29" ht="15.75" customHeight="1">
      <c r="A784" s="24"/>
      <c r="B784" s="24"/>
      <c r="C784" s="24"/>
      <c r="D784" s="24"/>
      <c r="E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</row>
    <row r="785" spans="1:29" ht="15.75" customHeight="1">
      <c r="A785" s="24"/>
      <c r="B785" s="24"/>
      <c r="C785" s="24"/>
      <c r="D785" s="24"/>
      <c r="E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</row>
    <row r="786" spans="1:29" ht="15.75" customHeight="1">
      <c r="A786" s="24"/>
      <c r="B786" s="24"/>
      <c r="C786" s="24"/>
      <c r="D786" s="24"/>
      <c r="E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</row>
    <row r="787" spans="1:29" ht="15.75" customHeight="1">
      <c r="A787" s="24"/>
      <c r="B787" s="24"/>
      <c r="C787" s="24"/>
      <c r="D787" s="24"/>
      <c r="E787" s="24"/>
      <c r="F787" s="24"/>
      <c r="G787" s="24"/>
      <c r="H787" s="24"/>
      <c r="I787" s="24"/>
      <c r="J787" s="24"/>
      <c r="K787" s="24"/>
      <c r="L787" s="24"/>
      <c r="M787" s="24"/>
      <c r="N787" s="24"/>
      <c r="O787" s="24"/>
      <c r="P787" s="24"/>
      <c r="Q787" s="24"/>
      <c r="R787" s="24"/>
      <c r="S787" s="24"/>
      <c r="T787" s="24"/>
      <c r="U787" s="24"/>
      <c r="V787" s="24"/>
      <c r="W787" s="24"/>
      <c r="X787" s="24"/>
      <c r="Y787" s="24"/>
      <c r="Z787" s="24"/>
      <c r="AA787" s="24"/>
      <c r="AB787" s="24"/>
      <c r="AC787" s="24"/>
    </row>
    <row r="788" spans="1:29" ht="15.75" customHeight="1">
      <c r="A788" s="24"/>
      <c r="B788" s="24"/>
      <c r="C788" s="24"/>
      <c r="D788" s="24"/>
      <c r="E788" s="24"/>
      <c r="F788" s="24"/>
      <c r="G788" s="24"/>
      <c r="H788" s="24"/>
      <c r="I788" s="24"/>
      <c r="J788" s="24"/>
      <c r="K788" s="24"/>
      <c r="L788" s="24"/>
      <c r="M788" s="24"/>
      <c r="N788" s="24"/>
      <c r="O788" s="24"/>
      <c r="P788" s="24"/>
      <c r="Q788" s="24"/>
      <c r="R788" s="24"/>
      <c r="S788" s="24"/>
      <c r="T788" s="24"/>
      <c r="U788" s="24"/>
      <c r="V788" s="24"/>
      <c r="W788" s="24"/>
      <c r="X788" s="24"/>
      <c r="Y788" s="24"/>
      <c r="Z788" s="24"/>
      <c r="AA788" s="24"/>
      <c r="AB788" s="24"/>
      <c r="AC788" s="24"/>
    </row>
    <row r="789" spans="1:29" ht="15.75" customHeight="1">
      <c r="A789" s="24"/>
      <c r="B789" s="24"/>
      <c r="C789" s="24"/>
      <c r="D789" s="24"/>
      <c r="E789" s="24"/>
      <c r="F789" s="24"/>
      <c r="G789" s="24"/>
      <c r="H789" s="24"/>
      <c r="I789" s="24"/>
      <c r="J789" s="24"/>
      <c r="K789" s="24"/>
      <c r="L789" s="24"/>
      <c r="M789" s="24"/>
      <c r="N789" s="24"/>
      <c r="O789" s="24"/>
      <c r="P789" s="24"/>
      <c r="Q789" s="24"/>
      <c r="R789" s="24"/>
      <c r="S789" s="24"/>
      <c r="T789" s="24"/>
      <c r="U789" s="24"/>
      <c r="V789" s="24"/>
      <c r="W789" s="24"/>
      <c r="X789" s="24"/>
      <c r="Y789" s="24"/>
      <c r="Z789" s="24"/>
      <c r="AA789" s="24"/>
      <c r="AB789" s="24"/>
      <c r="AC789" s="24"/>
    </row>
    <row r="790" spans="1:29" ht="15.75" customHeight="1">
      <c r="A790" s="24"/>
      <c r="B790" s="24"/>
      <c r="C790" s="24"/>
      <c r="D790" s="24"/>
      <c r="E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</row>
    <row r="791" spans="1:29" ht="15.75" customHeight="1">
      <c r="A791" s="24"/>
      <c r="B791" s="24"/>
      <c r="C791" s="24"/>
      <c r="D791" s="24"/>
      <c r="E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</row>
    <row r="792" spans="1:29" ht="15.75" customHeight="1">
      <c r="A792" s="24"/>
      <c r="B792" s="24"/>
      <c r="C792" s="24"/>
      <c r="D792" s="24"/>
      <c r="E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</row>
    <row r="793" spans="1:29" ht="15.75" customHeight="1">
      <c r="A793" s="24"/>
      <c r="B793" s="24"/>
      <c r="C793" s="24"/>
      <c r="D793" s="24"/>
      <c r="E793" s="24"/>
      <c r="F793" s="24"/>
      <c r="G793" s="24"/>
      <c r="H793" s="24"/>
      <c r="I793" s="24"/>
      <c r="J793" s="24"/>
      <c r="K793" s="24"/>
      <c r="L793" s="24"/>
      <c r="M793" s="24"/>
      <c r="N793" s="24"/>
      <c r="O793" s="24"/>
      <c r="P793" s="24"/>
      <c r="Q793" s="24"/>
      <c r="R793" s="24"/>
      <c r="S793" s="24"/>
      <c r="T793" s="24"/>
      <c r="U793" s="24"/>
      <c r="V793" s="24"/>
      <c r="W793" s="24"/>
      <c r="X793" s="24"/>
      <c r="Y793" s="24"/>
      <c r="Z793" s="24"/>
      <c r="AA793" s="24"/>
      <c r="AB793" s="24"/>
      <c r="AC793" s="24"/>
    </row>
    <row r="794" spans="1:29" ht="15.75" customHeight="1">
      <c r="A794" s="24"/>
      <c r="B794" s="24"/>
      <c r="C794" s="24"/>
      <c r="D794" s="24"/>
      <c r="E794" s="24"/>
      <c r="F794" s="24"/>
      <c r="G794" s="24"/>
      <c r="H794" s="24"/>
      <c r="I794" s="24"/>
      <c r="J794" s="24"/>
      <c r="K794" s="24"/>
      <c r="L794" s="24"/>
      <c r="M794" s="24"/>
      <c r="N794" s="24"/>
      <c r="O794" s="24"/>
      <c r="P794" s="24"/>
      <c r="Q794" s="24"/>
      <c r="R794" s="24"/>
      <c r="S794" s="24"/>
      <c r="T794" s="24"/>
      <c r="U794" s="24"/>
      <c r="V794" s="24"/>
      <c r="W794" s="24"/>
      <c r="X794" s="24"/>
      <c r="Y794" s="24"/>
      <c r="Z794" s="24"/>
      <c r="AA794" s="24"/>
      <c r="AB794" s="24"/>
      <c r="AC794" s="24"/>
    </row>
    <row r="795" spans="1:29" ht="15.75" customHeight="1">
      <c r="A795" s="24"/>
      <c r="B795" s="24"/>
      <c r="C795" s="24"/>
      <c r="D795" s="24"/>
      <c r="E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</row>
    <row r="796" spans="1:29" ht="15.75" customHeight="1">
      <c r="A796" s="24"/>
      <c r="B796" s="24"/>
      <c r="C796" s="24"/>
      <c r="D796" s="24"/>
      <c r="E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</row>
    <row r="797" spans="1:29" ht="15.75" customHeight="1">
      <c r="A797" s="24"/>
      <c r="B797" s="24"/>
      <c r="C797" s="24"/>
      <c r="D797" s="24"/>
      <c r="E797" s="24"/>
      <c r="F797" s="24"/>
      <c r="G797" s="24"/>
      <c r="H797" s="24"/>
      <c r="I797" s="24"/>
      <c r="J797" s="24"/>
      <c r="K797" s="24"/>
      <c r="L797" s="24"/>
      <c r="M797" s="24"/>
      <c r="N797" s="24"/>
      <c r="O797" s="24"/>
      <c r="P797" s="24"/>
      <c r="Q797" s="24"/>
      <c r="R797" s="24"/>
      <c r="S797" s="24"/>
      <c r="T797" s="24"/>
      <c r="U797" s="24"/>
      <c r="V797" s="24"/>
      <c r="W797" s="24"/>
      <c r="X797" s="24"/>
      <c r="Y797" s="24"/>
      <c r="Z797" s="24"/>
      <c r="AA797" s="24"/>
      <c r="AB797" s="24"/>
      <c r="AC797" s="24"/>
    </row>
    <row r="798" spans="1:29" ht="15.75" customHeight="1">
      <c r="A798" s="24"/>
      <c r="B798" s="24"/>
      <c r="C798" s="24"/>
      <c r="D798" s="24"/>
      <c r="E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</row>
    <row r="799" spans="1:29" ht="15.75" customHeight="1">
      <c r="A799" s="24"/>
      <c r="B799" s="24"/>
      <c r="C799" s="24"/>
      <c r="D799" s="24"/>
      <c r="E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</row>
    <row r="800" spans="1:29" ht="15.75" customHeight="1">
      <c r="A800" s="24"/>
      <c r="B800" s="24"/>
      <c r="C800" s="24"/>
      <c r="D800" s="24"/>
      <c r="E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</row>
    <row r="801" spans="1:29" ht="15.75" customHeight="1">
      <c r="A801" s="24"/>
      <c r="B801" s="24"/>
      <c r="C801" s="24"/>
      <c r="D801" s="24"/>
      <c r="E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</row>
    <row r="802" spans="1:29" ht="15.75" customHeight="1">
      <c r="A802" s="24"/>
      <c r="B802" s="24"/>
      <c r="C802" s="24"/>
      <c r="D802" s="24"/>
      <c r="E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</row>
    <row r="803" spans="1:29" ht="15.75" customHeight="1">
      <c r="A803" s="24"/>
      <c r="B803" s="24"/>
      <c r="C803" s="24"/>
      <c r="D803" s="24"/>
      <c r="E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</row>
    <row r="804" spans="1:29" ht="15.75" customHeight="1">
      <c r="A804" s="24"/>
      <c r="B804" s="24"/>
      <c r="C804" s="24"/>
      <c r="D804" s="24"/>
      <c r="E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</row>
    <row r="805" spans="1:29" ht="15.75" customHeight="1">
      <c r="A805" s="24"/>
      <c r="B805" s="24"/>
      <c r="C805" s="24"/>
      <c r="D805" s="24"/>
      <c r="E805" s="24"/>
      <c r="F805" s="24"/>
      <c r="G805" s="24"/>
      <c r="H805" s="24"/>
      <c r="I805" s="24"/>
      <c r="J805" s="24"/>
      <c r="K805" s="24"/>
      <c r="L805" s="24"/>
      <c r="M805" s="24"/>
      <c r="N805" s="24"/>
      <c r="O805" s="24"/>
      <c r="P805" s="24"/>
      <c r="Q805" s="24"/>
      <c r="R805" s="24"/>
      <c r="S805" s="24"/>
      <c r="T805" s="24"/>
      <c r="U805" s="24"/>
      <c r="V805" s="24"/>
      <c r="W805" s="24"/>
      <c r="X805" s="24"/>
      <c r="Y805" s="24"/>
      <c r="Z805" s="24"/>
      <c r="AA805" s="24"/>
      <c r="AB805" s="24"/>
      <c r="AC805" s="24"/>
    </row>
    <row r="806" spans="1:29" ht="15.75" customHeight="1">
      <c r="A806" s="24"/>
      <c r="B806" s="24"/>
      <c r="C806" s="24"/>
      <c r="D806" s="24"/>
      <c r="E806" s="24"/>
      <c r="F806" s="24"/>
      <c r="G806" s="24"/>
      <c r="H806" s="24"/>
      <c r="I806" s="24"/>
      <c r="J806" s="24"/>
      <c r="K806" s="24"/>
      <c r="L806" s="24"/>
      <c r="M806" s="24"/>
      <c r="N806" s="24"/>
      <c r="O806" s="24"/>
      <c r="P806" s="24"/>
      <c r="Q806" s="24"/>
      <c r="R806" s="24"/>
      <c r="S806" s="24"/>
      <c r="T806" s="24"/>
      <c r="U806" s="24"/>
      <c r="V806" s="24"/>
      <c r="W806" s="24"/>
      <c r="X806" s="24"/>
      <c r="Y806" s="24"/>
      <c r="Z806" s="24"/>
      <c r="AA806" s="24"/>
      <c r="AB806" s="24"/>
      <c r="AC806" s="24"/>
    </row>
    <row r="807" spans="1:29" ht="15.75" customHeight="1">
      <c r="A807" s="24"/>
      <c r="B807" s="24"/>
      <c r="C807" s="24"/>
      <c r="D807" s="24"/>
      <c r="E807" s="24"/>
      <c r="F807" s="24"/>
      <c r="G807" s="24"/>
      <c r="H807" s="24"/>
      <c r="I807" s="24"/>
      <c r="J807" s="24"/>
      <c r="K807" s="24"/>
      <c r="L807" s="24"/>
      <c r="M807" s="24"/>
      <c r="N807" s="24"/>
      <c r="O807" s="24"/>
      <c r="P807" s="24"/>
      <c r="Q807" s="24"/>
      <c r="R807" s="24"/>
      <c r="S807" s="24"/>
      <c r="T807" s="24"/>
      <c r="U807" s="24"/>
      <c r="V807" s="24"/>
      <c r="W807" s="24"/>
      <c r="X807" s="24"/>
      <c r="Y807" s="24"/>
      <c r="Z807" s="24"/>
      <c r="AA807" s="24"/>
      <c r="AB807" s="24"/>
      <c r="AC807" s="24"/>
    </row>
    <row r="808" spans="1:29" ht="15.75" customHeight="1">
      <c r="A808" s="24"/>
      <c r="B808" s="24"/>
      <c r="C808" s="24"/>
      <c r="D808" s="24"/>
      <c r="E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</row>
    <row r="809" spans="1:29" ht="15.75" customHeight="1">
      <c r="A809" s="24"/>
      <c r="B809" s="24"/>
      <c r="C809" s="24"/>
      <c r="D809" s="24"/>
      <c r="E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</row>
    <row r="810" spans="1:29" ht="15.75" customHeight="1">
      <c r="A810" s="24"/>
      <c r="B810" s="24"/>
      <c r="C810" s="24"/>
      <c r="D810" s="24"/>
      <c r="E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</row>
    <row r="811" spans="1:29" ht="15.75" customHeight="1">
      <c r="A811" s="24"/>
      <c r="B811" s="24"/>
      <c r="C811" s="24"/>
      <c r="D811" s="24"/>
      <c r="E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</row>
    <row r="812" spans="1:29" ht="15.75" customHeight="1">
      <c r="A812" s="24"/>
      <c r="B812" s="24"/>
      <c r="C812" s="24"/>
      <c r="D812" s="24"/>
      <c r="E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</row>
    <row r="813" spans="1:29" ht="15.75" customHeight="1">
      <c r="A813" s="24"/>
      <c r="B813" s="24"/>
      <c r="C813" s="24"/>
      <c r="D813" s="24"/>
      <c r="E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</row>
    <row r="814" spans="1:29" ht="15.75" customHeight="1">
      <c r="A814" s="24"/>
      <c r="B814" s="24"/>
      <c r="C814" s="24"/>
      <c r="D814" s="24"/>
      <c r="E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</row>
    <row r="815" spans="1:29" ht="15.75" customHeight="1">
      <c r="A815" s="24"/>
      <c r="B815" s="24"/>
      <c r="C815" s="24"/>
      <c r="D815" s="24"/>
      <c r="E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</row>
    <row r="816" spans="1:29" ht="15.75" customHeight="1">
      <c r="A816" s="24"/>
      <c r="B816" s="24"/>
      <c r="C816" s="24"/>
      <c r="D816" s="24"/>
      <c r="E816" s="24"/>
      <c r="F816" s="24"/>
      <c r="G816" s="24"/>
      <c r="H816" s="24"/>
      <c r="I816" s="24"/>
      <c r="J816" s="24"/>
      <c r="K816" s="24"/>
      <c r="L816" s="24"/>
      <c r="M816" s="24"/>
      <c r="N816" s="24"/>
      <c r="O816" s="24"/>
      <c r="P816" s="24"/>
      <c r="Q816" s="24"/>
      <c r="R816" s="24"/>
      <c r="S816" s="24"/>
      <c r="T816" s="24"/>
      <c r="U816" s="24"/>
      <c r="V816" s="24"/>
      <c r="W816" s="24"/>
      <c r="X816" s="24"/>
      <c r="Y816" s="24"/>
      <c r="Z816" s="24"/>
      <c r="AA816" s="24"/>
      <c r="AB816" s="24"/>
      <c r="AC816" s="24"/>
    </row>
    <row r="817" spans="1:29" ht="15.75" customHeight="1">
      <c r="A817" s="24"/>
      <c r="B817" s="24"/>
      <c r="C817" s="24"/>
      <c r="D817" s="24"/>
      <c r="E817" s="24"/>
      <c r="F817" s="24"/>
      <c r="G817" s="24"/>
      <c r="H817" s="24"/>
      <c r="I817" s="24"/>
      <c r="J817" s="24"/>
      <c r="K817" s="24"/>
      <c r="L817" s="24"/>
      <c r="M817" s="24"/>
      <c r="N817" s="24"/>
      <c r="O817" s="24"/>
      <c r="P817" s="24"/>
      <c r="Q817" s="24"/>
      <c r="R817" s="24"/>
      <c r="S817" s="24"/>
      <c r="T817" s="24"/>
      <c r="U817" s="24"/>
      <c r="V817" s="24"/>
      <c r="W817" s="24"/>
      <c r="X817" s="24"/>
      <c r="Y817" s="24"/>
      <c r="Z817" s="24"/>
      <c r="AA817" s="24"/>
      <c r="AB817" s="24"/>
      <c r="AC817" s="24"/>
    </row>
    <row r="818" spans="1:29" ht="15.75" customHeight="1">
      <c r="A818" s="24"/>
      <c r="B818" s="24"/>
      <c r="C818" s="24"/>
      <c r="D818" s="24"/>
      <c r="E818" s="24"/>
      <c r="F818" s="24"/>
      <c r="G818" s="24"/>
      <c r="H818" s="24"/>
      <c r="I818" s="24"/>
      <c r="J818" s="24"/>
      <c r="K818" s="24"/>
      <c r="L818" s="24"/>
      <c r="M818" s="24"/>
      <c r="N818" s="24"/>
      <c r="O818" s="24"/>
      <c r="P818" s="24"/>
      <c r="Q818" s="24"/>
      <c r="R818" s="24"/>
      <c r="S818" s="24"/>
      <c r="T818" s="24"/>
      <c r="U818" s="24"/>
      <c r="V818" s="24"/>
      <c r="W818" s="24"/>
      <c r="X818" s="24"/>
      <c r="Y818" s="24"/>
      <c r="Z818" s="24"/>
      <c r="AA818" s="24"/>
      <c r="AB818" s="24"/>
      <c r="AC818" s="24"/>
    </row>
    <row r="819" spans="1:29" ht="15.75" customHeight="1">
      <c r="A819" s="24"/>
      <c r="B819" s="24"/>
      <c r="C819" s="24"/>
      <c r="D819" s="24"/>
      <c r="E819" s="24"/>
      <c r="F819" s="24"/>
      <c r="G819" s="24"/>
      <c r="H819" s="24"/>
      <c r="I819" s="24"/>
      <c r="J819" s="24"/>
      <c r="K819" s="24"/>
      <c r="L819" s="24"/>
      <c r="M819" s="24"/>
      <c r="N819" s="24"/>
      <c r="O819" s="24"/>
      <c r="P819" s="24"/>
      <c r="Q819" s="24"/>
      <c r="R819" s="24"/>
      <c r="S819" s="24"/>
      <c r="T819" s="24"/>
      <c r="U819" s="24"/>
      <c r="V819" s="24"/>
      <c r="W819" s="24"/>
      <c r="X819" s="24"/>
      <c r="Y819" s="24"/>
      <c r="Z819" s="24"/>
      <c r="AA819" s="24"/>
      <c r="AB819" s="24"/>
      <c r="AC819" s="24"/>
    </row>
    <row r="820" spans="1:29" ht="15.75" customHeight="1">
      <c r="A820" s="24"/>
      <c r="B820" s="24"/>
      <c r="C820" s="24"/>
      <c r="D820" s="24"/>
      <c r="E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</row>
    <row r="821" spans="1:29" ht="15.75" customHeight="1">
      <c r="A821" s="24"/>
      <c r="B821" s="24"/>
      <c r="C821" s="24"/>
      <c r="D821" s="24"/>
      <c r="E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</row>
    <row r="822" spans="1:29" ht="15.75" customHeight="1">
      <c r="A822" s="24"/>
      <c r="B822" s="24"/>
      <c r="C822" s="24"/>
      <c r="D822" s="24"/>
      <c r="E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</row>
    <row r="823" spans="1:29" ht="15.75" customHeight="1">
      <c r="A823" s="24"/>
      <c r="B823" s="24"/>
      <c r="C823" s="24"/>
      <c r="D823" s="24"/>
      <c r="E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</row>
    <row r="824" spans="1:29" ht="15.75" customHeight="1">
      <c r="A824" s="24"/>
      <c r="B824" s="24"/>
      <c r="C824" s="24"/>
      <c r="D824" s="24"/>
      <c r="E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</row>
    <row r="825" spans="1:29" ht="15.75" customHeight="1">
      <c r="A825" s="24"/>
      <c r="B825" s="24"/>
      <c r="C825" s="24"/>
      <c r="D825" s="24"/>
      <c r="E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</row>
    <row r="826" spans="1:29" ht="15.75" customHeight="1">
      <c r="A826" s="24"/>
      <c r="B826" s="24"/>
      <c r="C826" s="24"/>
      <c r="D826" s="24"/>
      <c r="E826" s="24"/>
      <c r="F826" s="24"/>
      <c r="G826" s="24"/>
      <c r="H826" s="24"/>
      <c r="I826" s="24"/>
      <c r="J826" s="24"/>
      <c r="K826" s="24"/>
      <c r="L826" s="24"/>
      <c r="M826" s="24"/>
      <c r="N826" s="24"/>
      <c r="O826" s="24"/>
      <c r="P826" s="24"/>
      <c r="Q826" s="24"/>
      <c r="R826" s="24"/>
      <c r="S826" s="24"/>
      <c r="T826" s="24"/>
      <c r="U826" s="24"/>
      <c r="V826" s="24"/>
      <c r="W826" s="24"/>
      <c r="X826" s="24"/>
      <c r="Y826" s="24"/>
      <c r="Z826" s="24"/>
      <c r="AA826" s="24"/>
      <c r="AB826" s="24"/>
      <c r="AC826" s="24"/>
    </row>
    <row r="827" spans="1:29" ht="15.75" customHeight="1">
      <c r="A827" s="24"/>
      <c r="B827" s="24"/>
      <c r="C827" s="24"/>
      <c r="D827" s="24"/>
      <c r="E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</row>
    <row r="828" spans="1:29" ht="15.75" customHeight="1">
      <c r="A828" s="24"/>
      <c r="B828" s="24"/>
      <c r="C828" s="24"/>
      <c r="D828" s="24"/>
      <c r="E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</row>
    <row r="829" spans="1:29" ht="15.75" customHeight="1">
      <c r="A829" s="24"/>
      <c r="B829" s="24"/>
      <c r="C829" s="24"/>
      <c r="D829" s="24"/>
      <c r="E829" s="24"/>
      <c r="F829" s="24"/>
      <c r="G829" s="24"/>
      <c r="H829" s="24"/>
      <c r="I829" s="24"/>
      <c r="J829" s="24"/>
      <c r="K829" s="24"/>
      <c r="L829" s="24"/>
      <c r="M829" s="24"/>
      <c r="N829" s="24"/>
      <c r="O829" s="24"/>
      <c r="P829" s="24"/>
      <c r="Q829" s="24"/>
      <c r="R829" s="24"/>
      <c r="S829" s="24"/>
      <c r="T829" s="24"/>
      <c r="U829" s="24"/>
      <c r="V829" s="24"/>
      <c r="W829" s="24"/>
      <c r="X829" s="24"/>
      <c r="Y829" s="24"/>
      <c r="Z829" s="24"/>
      <c r="AA829" s="24"/>
      <c r="AB829" s="24"/>
      <c r="AC829" s="24"/>
    </row>
    <row r="830" spans="1:29" ht="15.75" customHeight="1">
      <c r="A830" s="24"/>
      <c r="B830" s="24"/>
      <c r="C830" s="24"/>
      <c r="D830" s="24"/>
      <c r="E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</row>
    <row r="831" spans="1:29" ht="15.75" customHeight="1">
      <c r="A831" s="24"/>
      <c r="B831" s="24"/>
      <c r="C831" s="24"/>
      <c r="D831" s="24"/>
      <c r="E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</row>
    <row r="832" spans="1:29" ht="15.75" customHeight="1">
      <c r="A832" s="24"/>
      <c r="B832" s="24"/>
      <c r="C832" s="24"/>
      <c r="D832" s="24"/>
      <c r="E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</row>
    <row r="833" spans="1:29" ht="15.75" customHeight="1">
      <c r="A833" s="24"/>
      <c r="B833" s="24"/>
      <c r="C833" s="24"/>
      <c r="D833" s="24"/>
      <c r="E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</row>
    <row r="834" spans="1:29" ht="15.75" customHeight="1">
      <c r="A834" s="24"/>
      <c r="B834" s="24"/>
      <c r="C834" s="24"/>
      <c r="D834" s="24"/>
      <c r="E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</row>
    <row r="835" spans="1:29" ht="15.75" customHeight="1">
      <c r="A835" s="24"/>
      <c r="B835" s="24"/>
      <c r="C835" s="24"/>
      <c r="D835" s="24"/>
      <c r="E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</row>
    <row r="836" spans="1:29" ht="15.75" customHeight="1">
      <c r="A836" s="24"/>
      <c r="B836" s="24"/>
      <c r="C836" s="24"/>
      <c r="D836" s="24"/>
      <c r="E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</row>
    <row r="837" spans="1:29" ht="15.75" customHeight="1">
      <c r="A837" s="24"/>
      <c r="B837" s="24"/>
      <c r="C837" s="24"/>
      <c r="D837" s="24"/>
      <c r="E837" s="24"/>
      <c r="F837" s="24"/>
      <c r="G837" s="24"/>
      <c r="H837" s="24"/>
      <c r="I837" s="24"/>
      <c r="J837" s="24"/>
      <c r="K837" s="24"/>
      <c r="L837" s="24"/>
      <c r="M837" s="24"/>
      <c r="N837" s="24"/>
      <c r="O837" s="24"/>
      <c r="P837" s="24"/>
      <c r="Q837" s="24"/>
      <c r="R837" s="24"/>
      <c r="S837" s="24"/>
      <c r="T837" s="24"/>
      <c r="U837" s="24"/>
      <c r="V837" s="24"/>
      <c r="W837" s="24"/>
      <c r="X837" s="24"/>
      <c r="Y837" s="24"/>
      <c r="Z837" s="24"/>
      <c r="AA837" s="24"/>
      <c r="AB837" s="24"/>
      <c r="AC837" s="24"/>
    </row>
    <row r="838" spans="1:29" ht="15.75" customHeight="1">
      <c r="A838" s="24"/>
      <c r="B838" s="24"/>
      <c r="C838" s="24"/>
      <c r="D838" s="24"/>
      <c r="E838" s="24"/>
      <c r="F838" s="24"/>
      <c r="G838" s="24"/>
      <c r="H838" s="24"/>
      <c r="I838" s="24"/>
      <c r="J838" s="24"/>
      <c r="K838" s="24"/>
      <c r="L838" s="24"/>
      <c r="M838" s="24"/>
      <c r="N838" s="24"/>
      <c r="O838" s="24"/>
      <c r="P838" s="24"/>
      <c r="Q838" s="24"/>
      <c r="R838" s="24"/>
      <c r="S838" s="24"/>
      <c r="T838" s="24"/>
      <c r="U838" s="24"/>
      <c r="V838" s="24"/>
      <c r="W838" s="24"/>
      <c r="X838" s="24"/>
      <c r="Y838" s="24"/>
      <c r="Z838" s="24"/>
      <c r="AA838" s="24"/>
      <c r="AB838" s="24"/>
      <c r="AC838" s="24"/>
    </row>
    <row r="839" spans="1:29" ht="15.75" customHeight="1">
      <c r="A839" s="24"/>
      <c r="B839" s="24"/>
      <c r="C839" s="24"/>
      <c r="D839" s="24"/>
      <c r="E839" s="24"/>
      <c r="F839" s="24"/>
      <c r="G839" s="24"/>
      <c r="H839" s="24"/>
      <c r="I839" s="24"/>
      <c r="J839" s="24"/>
      <c r="K839" s="24"/>
      <c r="L839" s="24"/>
      <c r="M839" s="24"/>
      <c r="N839" s="24"/>
      <c r="O839" s="24"/>
      <c r="P839" s="24"/>
      <c r="Q839" s="24"/>
      <c r="R839" s="24"/>
      <c r="S839" s="24"/>
      <c r="T839" s="24"/>
      <c r="U839" s="24"/>
      <c r="V839" s="24"/>
      <c r="W839" s="24"/>
      <c r="X839" s="24"/>
      <c r="Y839" s="24"/>
      <c r="Z839" s="24"/>
      <c r="AA839" s="24"/>
      <c r="AB839" s="24"/>
      <c r="AC839" s="24"/>
    </row>
    <row r="840" spans="1:29" ht="15.75" customHeight="1">
      <c r="A840" s="24"/>
      <c r="B840" s="24"/>
      <c r="C840" s="24"/>
      <c r="D840" s="24"/>
      <c r="E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</row>
    <row r="841" spans="1:29" ht="15.75" customHeight="1">
      <c r="A841" s="24"/>
      <c r="B841" s="24"/>
      <c r="C841" s="24"/>
      <c r="D841" s="24"/>
      <c r="E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</row>
    <row r="842" spans="1:29" ht="15.75" customHeight="1">
      <c r="A842" s="24"/>
      <c r="B842" s="24"/>
      <c r="C842" s="24"/>
      <c r="D842" s="24"/>
      <c r="E842" s="24"/>
      <c r="F842" s="24"/>
      <c r="G842" s="24"/>
      <c r="H842" s="24"/>
      <c r="I842" s="24"/>
      <c r="J842" s="24"/>
      <c r="K842" s="24"/>
      <c r="L842" s="24"/>
      <c r="M842" s="24"/>
      <c r="N842" s="24"/>
      <c r="O842" s="24"/>
      <c r="P842" s="24"/>
      <c r="Q842" s="24"/>
      <c r="R842" s="24"/>
      <c r="S842" s="24"/>
      <c r="T842" s="24"/>
      <c r="U842" s="24"/>
      <c r="V842" s="24"/>
      <c r="W842" s="24"/>
      <c r="X842" s="24"/>
      <c r="Y842" s="24"/>
      <c r="Z842" s="24"/>
      <c r="AA842" s="24"/>
      <c r="AB842" s="24"/>
      <c r="AC842" s="24"/>
    </row>
    <row r="843" spans="1:29" ht="15.75" customHeight="1">
      <c r="A843" s="24"/>
      <c r="B843" s="24"/>
      <c r="C843" s="24"/>
      <c r="D843" s="24"/>
      <c r="E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</row>
    <row r="844" spans="1:29" ht="15.75" customHeight="1">
      <c r="A844" s="24"/>
      <c r="B844" s="24"/>
      <c r="C844" s="24"/>
      <c r="D844" s="24"/>
      <c r="E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</row>
    <row r="845" spans="1:29" ht="15.75" customHeight="1">
      <c r="A845" s="24"/>
      <c r="B845" s="24"/>
      <c r="C845" s="24"/>
      <c r="D845" s="24"/>
      <c r="E845" s="24"/>
      <c r="F845" s="24"/>
      <c r="G845" s="24"/>
      <c r="H845" s="24"/>
      <c r="I845" s="24"/>
      <c r="J845" s="24"/>
      <c r="K845" s="24"/>
      <c r="L845" s="24"/>
      <c r="M845" s="24"/>
      <c r="N845" s="24"/>
      <c r="O845" s="24"/>
      <c r="P845" s="24"/>
      <c r="Q845" s="24"/>
      <c r="R845" s="24"/>
      <c r="S845" s="24"/>
      <c r="T845" s="24"/>
      <c r="U845" s="24"/>
      <c r="V845" s="24"/>
      <c r="W845" s="24"/>
      <c r="X845" s="24"/>
      <c r="Y845" s="24"/>
      <c r="Z845" s="24"/>
      <c r="AA845" s="24"/>
      <c r="AB845" s="24"/>
      <c r="AC845" s="24"/>
    </row>
    <row r="846" spans="1:29" ht="15.75" customHeight="1">
      <c r="A846" s="24"/>
      <c r="B846" s="24"/>
      <c r="C846" s="24"/>
      <c r="D846" s="24"/>
      <c r="E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</row>
    <row r="847" spans="1:29" ht="15.75" customHeight="1">
      <c r="A847" s="24"/>
      <c r="B847" s="24"/>
      <c r="C847" s="24"/>
      <c r="D847" s="24"/>
      <c r="E847" s="24"/>
      <c r="F847" s="24"/>
      <c r="G847" s="24"/>
      <c r="H847" s="24"/>
      <c r="I847" s="24"/>
      <c r="J847" s="24"/>
      <c r="K847" s="24"/>
      <c r="L847" s="24"/>
      <c r="M847" s="24"/>
      <c r="N847" s="24"/>
      <c r="O847" s="24"/>
      <c r="P847" s="24"/>
      <c r="Q847" s="24"/>
      <c r="R847" s="24"/>
      <c r="S847" s="24"/>
      <c r="T847" s="24"/>
      <c r="U847" s="24"/>
      <c r="V847" s="24"/>
      <c r="W847" s="24"/>
      <c r="X847" s="24"/>
      <c r="Y847" s="24"/>
      <c r="Z847" s="24"/>
      <c r="AA847" s="24"/>
      <c r="AB847" s="24"/>
      <c r="AC847" s="24"/>
    </row>
    <row r="848" spans="1:29" ht="15.75" customHeight="1">
      <c r="A848" s="24"/>
      <c r="B848" s="24"/>
      <c r="C848" s="24"/>
      <c r="D848" s="24"/>
      <c r="E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</row>
    <row r="849" spans="1:29" ht="15.75" customHeight="1">
      <c r="A849" s="24"/>
      <c r="B849" s="24"/>
      <c r="C849" s="24"/>
      <c r="D849" s="24"/>
      <c r="E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</row>
    <row r="850" spans="1:29" ht="15.75" customHeight="1">
      <c r="A850" s="24"/>
      <c r="B850" s="24"/>
      <c r="C850" s="24"/>
      <c r="D850" s="24"/>
      <c r="E850" s="24"/>
      <c r="F850" s="24"/>
      <c r="G850" s="24"/>
      <c r="H850" s="24"/>
      <c r="I850" s="24"/>
      <c r="J850" s="24"/>
      <c r="K850" s="24"/>
      <c r="L850" s="24"/>
      <c r="M850" s="24"/>
      <c r="N850" s="24"/>
      <c r="O850" s="24"/>
      <c r="P850" s="24"/>
      <c r="Q850" s="24"/>
      <c r="R850" s="24"/>
      <c r="S850" s="24"/>
      <c r="T850" s="24"/>
      <c r="U850" s="24"/>
      <c r="V850" s="24"/>
      <c r="W850" s="24"/>
      <c r="X850" s="24"/>
      <c r="Y850" s="24"/>
      <c r="Z850" s="24"/>
      <c r="AA850" s="24"/>
      <c r="AB850" s="24"/>
      <c r="AC850" s="24"/>
    </row>
    <row r="851" spans="1:29" ht="15.75" customHeight="1">
      <c r="A851" s="24"/>
      <c r="B851" s="24"/>
      <c r="C851" s="24"/>
      <c r="D851" s="24"/>
      <c r="E851" s="24"/>
      <c r="F851" s="24"/>
      <c r="G851" s="24"/>
      <c r="H851" s="24"/>
      <c r="I851" s="24"/>
      <c r="J851" s="24"/>
      <c r="K851" s="24"/>
      <c r="L851" s="24"/>
      <c r="M851" s="24"/>
      <c r="N851" s="24"/>
      <c r="O851" s="24"/>
      <c r="P851" s="24"/>
      <c r="Q851" s="24"/>
      <c r="R851" s="24"/>
      <c r="S851" s="24"/>
      <c r="T851" s="24"/>
      <c r="U851" s="24"/>
      <c r="V851" s="24"/>
      <c r="W851" s="24"/>
      <c r="X851" s="24"/>
      <c r="Y851" s="24"/>
      <c r="Z851" s="24"/>
      <c r="AA851" s="24"/>
      <c r="AB851" s="24"/>
      <c r="AC851" s="24"/>
    </row>
    <row r="852" spans="1:29" ht="15.75" customHeight="1">
      <c r="A852" s="24"/>
      <c r="B852" s="24"/>
      <c r="C852" s="24"/>
      <c r="D852" s="24"/>
      <c r="E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</row>
    <row r="853" spans="1:29" ht="15.75" customHeight="1">
      <c r="A853" s="24"/>
      <c r="B853" s="24"/>
      <c r="C853" s="24"/>
      <c r="D853" s="24"/>
      <c r="E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</row>
    <row r="854" spans="1:29" ht="15.75" customHeight="1">
      <c r="A854" s="24"/>
      <c r="B854" s="24"/>
      <c r="C854" s="24"/>
      <c r="D854" s="24"/>
      <c r="E854" s="24"/>
      <c r="F854" s="24"/>
      <c r="G854" s="24"/>
      <c r="H854" s="24"/>
      <c r="I854" s="24"/>
      <c r="J854" s="24"/>
      <c r="K854" s="24"/>
      <c r="L854" s="24"/>
      <c r="M854" s="24"/>
      <c r="N854" s="24"/>
      <c r="O854" s="24"/>
      <c r="P854" s="24"/>
      <c r="Q854" s="24"/>
      <c r="R854" s="24"/>
      <c r="S854" s="24"/>
      <c r="T854" s="24"/>
      <c r="U854" s="24"/>
      <c r="V854" s="24"/>
      <c r="W854" s="24"/>
      <c r="X854" s="24"/>
      <c r="Y854" s="24"/>
      <c r="Z854" s="24"/>
      <c r="AA854" s="24"/>
      <c r="AB854" s="24"/>
      <c r="AC854" s="24"/>
    </row>
    <row r="855" spans="1:29" ht="15.75" customHeight="1">
      <c r="A855" s="24"/>
      <c r="B855" s="24"/>
      <c r="C855" s="24"/>
      <c r="D855" s="24"/>
      <c r="E855" s="24"/>
      <c r="F855" s="24"/>
      <c r="G855" s="24"/>
      <c r="H855" s="24"/>
      <c r="I855" s="24"/>
      <c r="J855" s="24"/>
      <c r="K855" s="24"/>
      <c r="L855" s="24"/>
      <c r="M855" s="24"/>
      <c r="N855" s="24"/>
      <c r="O855" s="24"/>
      <c r="P855" s="24"/>
      <c r="Q855" s="24"/>
      <c r="R855" s="24"/>
      <c r="S855" s="24"/>
      <c r="T855" s="24"/>
      <c r="U855" s="24"/>
      <c r="V855" s="24"/>
      <c r="W855" s="24"/>
      <c r="X855" s="24"/>
      <c r="Y855" s="24"/>
      <c r="Z855" s="24"/>
      <c r="AA855" s="24"/>
      <c r="AB855" s="24"/>
      <c r="AC855" s="24"/>
    </row>
    <row r="856" spans="1:29" ht="15.75" customHeight="1">
      <c r="A856" s="24"/>
      <c r="B856" s="24"/>
      <c r="C856" s="24"/>
      <c r="D856" s="24"/>
      <c r="E856" s="24"/>
      <c r="F856" s="24"/>
      <c r="G856" s="24"/>
      <c r="H856" s="24"/>
      <c r="I856" s="24"/>
      <c r="J856" s="24"/>
      <c r="K856" s="24"/>
      <c r="L856" s="24"/>
      <c r="M856" s="24"/>
      <c r="N856" s="24"/>
      <c r="O856" s="24"/>
      <c r="P856" s="24"/>
      <c r="Q856" s="24"/>
      <c r="R856" s="24"/>
      <c r="S856" s="24"/>
      <c r="T856" s="24"/>
      <c r="U856" s="24"/>
      <c r="V856" s="24"/>
      <c r="W856" s="24"/>
      <c r="X856" s="24"/>
      <c r="Y856" s="24"/>
      <c r="Z856" s="24"/>
      <c r="AA856" s="24"/>
      <c r="AB856" s="24"/>
      <c r="AC856" s="24"/>
    </row>
    <row r="857" spans="1:29" ht="15.75" customHeight="1">
      <c r="A857" s="24"/>
      <c r="B857" s="24"/>
      <c r="C857" s="24"/>
      <c r="D857" s="24"/>
      <c r="E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</row>
    <row r="858" spans="1:29" ht="15.75" customHeight="1">
      <c r="A858" s="24"/>
      <c r="B858" s="24"/>
      <c r="C858" s="24"/>
      <c r="D858" s="24"/>
      <c r="E858" s="24"/>
      <c r="F858" s="24"/>
      <c r="G858" s="24"/>
      <c r="H858" s="24"/>
      <c r="I858" s="24"/>
      <c r="J858" s="24"/>
      <c r="K858" s="24"/>
      <c r="L858" s="24"/>
      <c r="M858" s="24"/>
      <c r="N858" s="24"/>
      <c r="O858" s="24"/>
      <c r="P858" s="24"/>
      <c r="Q858" s="24"/>
      <c r="R858" s="24"/>
      <c r="S858" s="24"/>
      <c r="T858" s="24"/>
      <c r="U858" s="24"/>
      <c r="V858" s="24"/>
      <c r="W858" s="24"/>
      <c r="X858" s="24"/>
      <c r="Y858" s="24"/>
      <c r="Z858" s="24"/>
      <c r="AA858" s="24"/>
      <c r="AB858" s="24"/>
      <c r="AC858" s="24"/>
    </row>
    <row r="859" spans="1:29" ht="15.75" customHeight="1">
      <c r="A859" s="24"/>
      <c r="B859" s="24"/>
      <c r="C859" s="24"/>
      <c r="D859" s="24"/>
      <c r="E859" s="24"/>
      <c r="F859" s="24"/>
      <c r="G859" s="24"/>
      <c r="H859" s="24"/>
      <c r="I859" s="24"/>
      <c r="J859" s="24"/>
      <c r="K859" s="24"/>
      <c r="L859" s="24"/>
      <c r="M859" s="24"/>
      <c r="N859" s="24"/>
      <c r="O859" s="24"/>
      <c r="P859" s="24"/>
      <c r="Q859" s="24"/>
      <c r="R859" s="24"/>
      <c r="S859" s="24"/>
      <c r="T859" s="24"/>
      <c r="U859" s="24"/>
      <c r="V859" s="24"/>
      <c r="W859" s="24"/>
      <c r="X859" s="24"/>
      <c r="Y859" s="24"/>
      <c r="Z859" s="24"/>
      <c r="AA859" s="24"/>
      <c r="AB859" s="24"/>
      <c r="AC859" s="24"/>
    </row>
    <row r="860" spans="1:29" ht="15.75" customHeight="1">
      <c r="A860" s="24"/>
      <c r="B860" s="24"/>
      <c r="C860" s="24"/>
      <c r="D860" s="24"/>
      <c r="E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</row>
    <row r="861" spans="1:29" ht="15.75" customHeight="1">
      <c r="A861" s="24"/>
      <c r="B861" s="24"/>
      <c r="C861" s="24"/>
      <c r="D861" s="24"/>
      <c r="E861" s="24"/>
      <c r="F861" s="24"/>
      <c r="G861" s="24"/>
      <c r="H861" s="24"/>
      <c r="I861" s="24"/>
      <c r="J861" s="24"/>
      <c r="K861" s="24"/>
      <c r="L861" s="24"/>
      <c r="M861" s="24"/>
      <c r="N861" s="24"/>
      <c r="O861" s="24"/>
      <c r="P861" s="24"/>
      <c r="Q861" s="24"/>
      <c r="R861" s="24"/>
      <c r="S861" s="24"/>
      <c r="T861" s="24"/>
      <c r="U861" s="24"/>
      <c r="V861" s="24"/>
      <c r="W861" s="24"/>
      <c r="X861" s="24"/>
      <c r="Y861" s="24"/>
      <c r="Z861" s="24"/>
      <c r="AA861" s="24"/>
      <c r="AB861" s="24"/>
      <c r="AC861" s="24"/>
    </row>
    <row r="862" spans="1:29" ht="15.75" customHeight="1">
      <c r="A862" s="24"/>
      <c r="B862" s="24"/>
      <c r="C862" s="24"/>
      <c r="D862" s="24"/>
      <c r="E862" s="24"/>
      <c r="F862" s="24"/>
      <c r="G862" s="24"/>
      <c r="H862" s="24"/>
      <c r="I862" s="24"/>
      <c r="J862" s="24"/>
      <c r="K862" s="24"/>
      <c r="L862" s="24"/>
      <c r="M862" s="24"/>
      <c r="N862" s="24"/>
      <c r="O862" s="24"/>
      <c r="P862" s="24"/>
      <c r="Q862" s="24"/>
      <c r="R862" s="24"/>
      <c r="S862" s="24"/>
      <c r="T862" s="24"/>
      <c r="U862" s="24"/>
      <c r="V862" s="24"/>
      <c r="W862" s="24"/>
      <c r="X862" s="24"/>
      <c r="Y862" s="24"/>
      <c r="Z862" s="24"/>
      <c r="AA862" s="24"/>
      <c r="AB862" s="24"/>
      <c r="AC862" s="24"/>
    </row>
    <row r="863" spans="1:29" ht="15.75" customHeight="1">
      <c r="A863" s="24"/>
      <c r="B863" s="24"/>
      <c r="C863" s="24"/>
      <c r="D863" s="24"/>
      <c r="E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</row>
    <row r="864" spans="1:29" ht="15.75" customHeight="1">
      <c r="A864" s="24"/>
      <c r="B864" s="24"/>
      <c r="C864" s="24"/>
      <c r="D864" s="24"/>
      <c r="E864" s="24"/>
      <c r="F864" s="24"/>
      <c r="G864" s="24"/>
      <c r="H864" s="24"/>
      <c r="I864" s="24"/>
      <c r="J864" s="24"/>
      <c r="K864" s="24"/>
      <c r="L864" s="24"/>
      <c r="M864" s="24"/>
      <c r="N864" s="24"/>
      <c r="O864" s="24"/>
      <c r="P864" s="24"/>
      <c r="Q864" s="24"/>
      <c r="R864" s="24"/>
      <c r="S864" s="24"/>
      <c r="T864" s="24"/>
      <c r="U864" s="24"/>
      <c r="V864" s="24"/>
      <c r="W864" s="24"/>
      <c r="X864" s="24"/>
      <c r="Y864" s="24"/>
      <c r="Z864" s="24"/>
      <c r="AA864" s="24"/>
      <c r="AB864" s="24"/>
      <c r="AC864" s="24"/>
    </row>
    <row r="865" spans="1:29" ht="15.75" customHeight="1">
      <c r="A865" s="24"/>
      <c r="B865" s="24"/>
      <c r="C865" s="24"/>
      <c r="D865" s="24"/>
      <c r="E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</row>
    <row r="866" spans="1:29" ht="15.75" customHeight="1">
      <c r="A866" s="24"/>
      <c r="B866" s="24"/>
      <c r="C866" s="24"/>
      <c r="D866" s="24"/>
      <c r="E866" s="24"/>
      <c r="F866" s="24"/>
      <c r="G866" s="24"/>
      <c r="H866" s="24"/>
      <c r="I866" s="24"/>
      <c r="J866" s="24"/>
      <c r="K866" s="24"/>
      <c r="L866" s="24"/>
      <c r="M866" s="24"/>
      <c r="N866" s="24"/>
      <c r="O866" s="24"/>
      <c r="P866" s="24"/>
      <c r="Q866" s="24"/>
      <c r="R866" s="24"/>
      <c r="S866" s="24"/>
      <c r="T866" s="24"/>
      <c r="U866" s="24"/>
      <c r="V866" s="24"/>
      <c r="W866" s="24"/>
      <c r="X866" s="24"/>
      <c r="Y866" s="24"/>
      <c r="Z866" s="24"/>
      <c r="AA866" s="24"/>
      <c r="AB866" s="24"/>
      <c r="AC866" s="24"/>
    </row>
    <row r="867" spans="1:29" ht="15.75" customHeight="1">
      <c r="A867" s="24"/>
      <c r="B867" s="24"/>
      <c r="C867" s="24"/>
      <c r="D867" s="24"/>
      <c r="E867" s="24"/>
      <c r="F867" s="24"/>
      <c r="G867" s="24"/>
      <c r="H867" s="24"/>
      <c r="I867" s="24"/>
      <c r="J867" s="24"/>
      <c r="K867" s="24"/>
      <c r="L867" s="24"/>
      <c r="M867" s="24"/>
      <c r="N867" s="24"/>
      <c r="O867" s="24"/>
      <c r="P867" s="24"/>
      <c r="Q867" s="24"/>
      <c r="R867" s="24"/>
      <c r="S867" s="24"/>
      <c r="T867" s="24"/>
      <c r="U867" s="24"/>
      <c r="V867" s="24"/>
      <c r="W867" s="24"/>
      <c r="X867" s="24"/>
      <c r="Y867" s="24"/>
      <c r="Z867" s="24"/>
      <c r="AA867" s="24"/>
      <c r="AB867" s="24"/>
      <c r="AC867" s="24"/>
    </row>
    <row r="868" spans="1:29" ht="15.75" customHeight="1">
      <c r="A868" s="24"/>
      <c r="B868" s="24"/>
      <c r="C868" s="24"/>
      <c r="D868" s="24"/>
      <c r="E868" s="24"/>
      <c r="F868" s="24"/>
      <c r="G868" s="24"/>
      <c r="H868" s="24"/>
      <c r="I868" s="24"/>
      <c r="J868" s="24"/>
      <c r="K868" s="24"/>
      <c r="L868" s="24"/>
      <c r="M868" s="24"/>
      <c r="N868" s="24"/>
      <c r="O868" s="24"/>
      <c r="P868" s="24"/>
      <c r="Q868" s="24"/>
      <c r="R868" s="24"/>
      <c r="S868" s="24"/>
      <c r="T868" s="24"/>
      <c r="U868" s="24"/>
      <c r="V868" s="24"/>
      <c r="W868" s="24"/>
      <c r="X868" s="24"/>
      <c r="Y868" s="24"/>
      <c r="Z868" s="24"/>
      <c r="AA868" s="24"/>
      <c r="AB868" s="24"/>
      <c r="AC868" s="24"/>
    </row>
    <row r="869" spans="1:29" ht="15.75" customHeight="1">
      <c r="A869" s="24"/>
      <c r="B869" s="24"/>
      <c r="C869" s="24"/>
      <c r="D869" s="24"/>
      <c r="E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</row>
    <row r="870" spans="1:29" ht="15.75" customHeight="1">
      <c r="A870" s="24"/>
      <c r="B870" s="24"/>
      <c r="C870" s="24"/>
      <c r="D870" s="24"/>
      <c r="E870" s="24"/>
      <c r="F870" s="24"/>
      <c r="G870" s="24"/>
      <c r="H870" s="24"/>
      <c r="I870" s="24"/>
      <c r="J870" s="24"/>
      <c r="K870" s="24"/>
      <c r="L870" s="24"/>
      <c r="M870" s="24"/>
      <c r="N870" s="24"/>
      <c r="O870" s="24"/>
      <c r="P870" s="24"/>
      <c r="Q870" s="24"/>
      <c r="R870" s="24"/>
      <c r="S870" s="24"/>
      <c r="T870" s="24"/>
      <c r="U870" s="24"/>
      <c r="V870" s="24"/>
      <c r="W870" s="24"/>
      <c r="X870" s="24"/>
      <c r="Y870" s="24"/>
      <c r="Z870" s="24"/>
      <c r="AA870" s="24"/>
      <c r="AB870" s="24"/>
      <c r="AC870" s="24"/>
    </row>
    <row r="871" spans="1:29" ht="15.75" customHeight="1">
      <c r="A871" s="24"/>
      <c r="B871" s="24"/>
      <c r="C871" s="24"/>
      <c r="D871" s="24"/>
      <c r="E871" s="24"/>
      <c r="F871" s="24"/>
      <c r="G871" s="24"/>
      <c r="H871" s="24"/>
      <c r="I871" s="24"/>
      <c r="J871" s="24"/>
      <c r="K871" s="24"/>
      <c r="L871" s="24"/>
      <c r="M871" s="24"/>
      <c r="N871" s="24"/>
      <c r="O871" s="24"/>
      <c r="P871" s="24"/>
      <c r="Q871" s="24"/>
      <c r="R871" s="24"/>
      <c r="S871" s="24"/>
      <c r="T871" s="24"/>
      <c r="U871" s="24"/>
      <c r="V871" s="24"/>
      <c r="W871" s="24"/>
      <c r="X871" s="24"/>
      <c r="Y871" s="24"/>
      <c r="Z871" s="24"/>
      <c r="AA871" s="24"/>
      <c r="AB871" s="24"/>
      <c r="AC871" s="24"/>
    </row>
    <row r="872" spans="1:29" ht="15.75" customHeight="1">
      <c r="A872" s="24"/>
      <c r="B872" s="24"/>
      <c r="C872" s="24"/>
      <c r="D872" s="24"/>
      <c r="E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</row>
    <row r="873" spans="1:29" ht="15.75" customHeight="1">
      <c r="A873" s="24"/>
      <c r="B873" s="24"/>
      <c r="C873" s="24"/>
      <c r="D873" s="24"/>
      <c r="E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</row>
    <row r="874" spans="1:29" ht="15.75" customHeight="1">
      <c r="A874" s="24"/>
      <c r="B874" s="24"/>
      <c r="C874" s="24"/>
      <c r="D874" s="24"/>
      <c r="E874" s="24"/>
      <c r="F874" s="24"/>
      <c r="G874" s="24"/>
      <c r="H874" s="24"/>
      <c r="I874" s="24"/>
      <c r="J874" s="24"/>
      <c r="K874" s="24"/>
      <c r="L874" s="24"/>
      <c r="M874" s="24"/>
      <c r="N874" s="24"/>
      <c r="O874" s="24"/>
      <c r="P874" s="24"/>
      <c r="Q874" s="24"/>
      <c r="R874" s="24"/>
      <c r="S874" s="24"/>
      <c r="T874" s="24"/>
      <c r="U874" s="24"/>
      <c r="V874" s="24"/>
      <c r="W874" s="24"/>
      <c r="X874" s="24"/>
      <c r="Y874" s="24"/>
      <c r="Z874" s="24"/>
      <c r="AA874" s="24"/>
      <c r="AB874" s="24"/>
      <c r="AC874" s="24"/>
    </row>
    <row r="875" spans="1:29" ht="15.75" customHeight="1">
      <c r="A875" s="24"/>
      <c r="B875" s="24"/>
      <c r="C875" s="24"/>
      <c r="D875" s="24"/>
      <c r="E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</row>
    <row r="876" spans="1:29" ht="15.75" customHeight="1">
      <c r="A876" s="24"/>
      <c r="B876" s="24"/>
      <c r="C876" s="24"/>
      <c r="D876" s="24"/>
      <c r="E876" s="24"/>
      <c r="F876" s="24"/>
      <c r="G876" s="24"/>
      <c r="H876" s="24"/>
      <c r="I876" s="24"/>
      <c r="J876" s="24"/>
      <c r="K876" s="24"/>
      <c r="L876" s="24"/>
      <c r="M876" s="24"/>
      <c r="N876" s="24"/>
      <c r="O876" s="24"/>
      <c r="P876" s="24"/>
      <c r="Q876" s="24"/>
      <c r="R876" s="24"/>
      <c r="S876" s="24"/>
      <c r="T876" s="24"/>
      <c r="U876" s="24"/>
      <c r="V876" s="24"/>
      <c r="W876" s="24"/>
      <c r="X876" s="24"/>
      <c r="Y876" s="24"/>
      <c r="Z876" s="24"/>
      <c r="AA876" s="24"/>
      <c r="AB876" s="24"/>
      <c r="AC876" s="24"/>
    </row>
    <row r="877" spans="1:29" ht="15.75" customHeight="1">
      <c r="A877" s="24"/>
      <c r="B877" s="24"/>
      <c r="C877" s="24"/>
      <c r="D877" s="24"/>
      <c r="E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</row>
    <row r="878" spans="1:29" ht="15.75" customHeight="1">
      <c r="A878" s="24"/>
      <c r="B878" s="24"/>
      <c r="C878" s="24"/>
      <c r="D878" s="24"/>
      <c r="E878" s="24"/>
      <c r="F878" s="24"/>
      <c r="G878" s="24"/>
      <c r="H878" s="24"/>
      <c r="I878" s="24"/>
      <c r="J878" s="24"/>
      <c r="K878" s="24"/>
      <c r="L878" s="24"/>
      <c r="M878" s="24"/>
      <c r="N878" s="24"/>
      <c r="O878" s="24"/>
      <c r="P878" s="24"/>
      <c r="Q878" s="24"/>
      <c r="R878" s="24"/>
      <c r="S878" s="24"/>
      <c r="T878" s="24"/>
      <c r="U878" s="24"/>
      <c r="V878" s="24"/>
      <c r="W878" s="24"/>
      <c r="X878" s="24"/>
      <c r="Y878" s="24"/>
      <c r="Z878" s="24"/>
      <c r="AA878" s="24"/>
      <c r="AB878" s="24"/>
      <c r="AC878" s="24"/>
    </row>
    <row r="879" spans="1:29" ht="15.75" customHeight="1">
      <c r="A879" s="24"/>
      <c r="B879" s="24"/>
      <c r="C879" s="24"/>
      <c r="D879" s="24"/>
      <c r="E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</row>
    <row r="880" spans="1:29" ht="15.75" customHeight="1">
      <c r="A880" s="24"/>
      <c r="B880" s="24"/>
      <c r="C880" s="24"/>
      <c r="D880" s="24"/>
      <c r="E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</row>
    <row r="881" spans="1:29" ht="15.75" customHeight="1">
      <c r="A881" s="24"/>
      <c r="B881" s="24"/>
      <c r="C881" s="24"/>
      <c r="D881" s="24"/>
      <c r="E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</row>
    <row r="882" spans="1:29" ht="15.75" customHeight="1">
      <c r="A882" s="24"/>
      <c r="B882" s="24"/>
      <c r="C882" s="24"/>
      <c r="D882" s="24"/>
      <c r="E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</row>
    <row r="883" spans="1:29" ht="15.75" customHeight="1">
      <c r="A883" s="24"/>
      <c r="B883" s="24"/>
      <c r="C883" s="24"/>
      <c r="D883" s="24"/>
      <c r="E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</row>
    <row r="884" spans="1:29" ht="15.75" customHeight="1">
      <c r="A884" s="24"/>
      <c r="B884" s="24"/>
      <c r="C884" s="24"/>
      <c r="D884" s="24"/>
      <c r="E884" s="24"/>
      <c r="F884" s="24"/>
      <c r="G884" s="24"/>
      <c r="H884" s="24"/>
      <c r="I884" s="24"/>
      <c r="J884" s="24"/>
      <c r="K884" s="24"/>
      <c r="L884" s="24"/>
      <c r="M884" s="24"/>
      <c r="N884" s="24"/>
      <c r="O884" s="24"/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</row>
    <row r="885" spans="1:29" ht="15.75" customHeight="1">
      <c r="A885" s="24"/>
      <c r="B885" s="24"/>
      <c r="C885" s="24"/>
      <c r="D885" s="24"/>
      <c r="E885" s="24"/>
      <c r="F885" s="24"/>
      <c r="G885" s="24"/>
      <c r="H885" s="24"/>
      <c r="I885" s="24"/>
      <c r="J885" s="24"/>
      <c r="K885" s="24"/>
      <c r="L885" s="24"/>
      <c r="M885" s="24"/>
      <c r="N885" s="24"/>
      <c r="O885" s="24"/>
      <c r="P885" s="24"/>
      <c r="Q885" s="24"/>
      <c r="R885" s="24"/>
      <c r="S885" s="24"/>
      <c r="T885" s="24"/>
      <c r="U885" s="24"/>
      <c r="V885" s="24"/>
      <c r="W885" s="24"/>
      <c r="X885" s="24"/>
      <c r="Y885" s="24"/>
      <c r="Z885" s="24"/>
      <c r="AA885" s="24"/>
      <c r="AB885" s="24"/>
      <c r="AC885" s="24"/>
    </row>
    <row r="886" spans="1:29" ht="15.75" customHeight="1">
      <c r="A886" s="24"/>
      <c r="B886" s="24"/>
      <c r="C886" s="24"/>
      <c r="D886" s="24"/>
      <c r="E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</row>
    <row r="887" spans="1:29" ht="15.75" customHeight="1">
      <c r="A887" s="24"/>
      <c r="B887" s="24"/>
      <c r="C887" s="24"/>
      <c r="D887" s="24"/>
      <c r="E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</row>
    <row r="888" spans="1:29" ht="15.75" customHeight="1">
      <c r="A888" s="24"/>
      <c r="B888" s="24"/>
      <c r="C888" s="24"/>
      <c r="D888" s="24"/>
      <c r="E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</row>
    <row r="889" spans="1:29" ht="15.75" customHeight="1">
      <c r="A889" s="24"/>
      <c r="B889" s="24"/>
      <c r="C889" s="24"/>
      <c r="D889" s="24"/>
      <c r="E889" s="24"/>
      <c r="F889" s="24"/>
      <c r="G889" s="24"/>
      <c r="H889" s="24"/>
      <c r="I889" s="24"/>
      <c r="J889" s="24"/>
      <c r="K889" s="24"/>
      <c r="L889" s="24"/>
      <c r="M889" s="24"/>
      <c r="N889" s="24"/>
      <c r="O889" s="24"/>
      <c r="P889" s="24"/>
      <c r="Q889" s="24"/>
      <c r="R889" s="24"/>
      <c r="S889" s="24"/>
      <c r="T889" s="24"/>
      <c r="U889" s="24"/>
      <c r="V889" s="24"/>
      <c r="W889" s="24"/>
      <c r="X889" s="24"/>
      <c r="Y889" s="24"/>
      <c r="Z889" s="24"/>
      <c r="AA889" s="24"/>
      <c r="AB889" s="24"/>
      <c r="AC889" s="24"/>
    </row>
    <row r="890" spans="1:29" ht="15.75" customHeight="1">
      <c r="A890" s="24"/>
      <c r="B890" s="24"/>
      <c r="C890" s="24"/>
      <c r="D890" s="24"/>
      <c r="E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</row>
    <row r="891" spans="1:29" ht="15.75" customHeight="1">
      <c r="A891" s="24"/>
      <c r="B891" s="24"/>
      <c r="C891" s="24"/>
      <c r="D891" s="24"/>
      <c r="E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</row>
    <row r="892" spans="1:29" ht="15.75" customHeight="1">
      <c r="A892" s="24"/>
      <c r="B892" s="24"/>
      <c r="C892" s="24"/>
      <c r="D892" s="24"/>
      <c r="E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</row>
    <row r="893" spans="1:29" ht="15.75" customHeight="1">
      <c r="A893" s="24"/>
      <c r="B893" s="24"/>
      <c r="C893" s="24"/>
      <c r="D893" s="24"/>
      <c r="E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</row>
    <row r="894" spans="1:29" ht="15.75" customHeight="1">
      <c r="A894" s="24"/>
      <c r="B894" s="24"/>
      <c r="C894" s="24"/>
      <c r="D894" s="24"/>
      <c r="E894" s="24"/>
      <c r="F894" s="24"/>
      <c r="G894" s="24"/>
      <c r="H894" s="24"/>
      <c r="I894" s="24"/>
      <c r="J894" s="24"/>
      <c r="K894" s="24"/>
      <c r="L894" s="24"/>
      <c r="M894" s="24"/>
      <c r="N894" s="24"/>
      <c r="O894" s="24"/>
      <c r="P894" s="24"/>
      <c r="Q894" s="24"/>
      <c r="R894" s="24"/>
      <c r="S894" s="24"/>
      <c r="T894" s="24"/>
      <c r="U894" s="24"/>
      <c r="V894" s="24"/>
      <c r="W894" s="24"/>
      <c r="X894" s="24"/>
      <c r="Y894" s="24"/>
      <c r="Z894" s="24"/>
      <c r="AA894" s="24"/>
      <c r="AB894" s="24"/>
      <c r="AC894" s="24"/>
    </row>
    <row r="895" spans="1:29" ht="15.75" customHeight="1">
      <c r="A895" s="24"/>
      <c r="B895" s="24"/>
      <c r="C895" s="24"/>
      <c r="D895" s="24"/>
      <c r="E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</row>
    <row r="896" spans="1:29" ht="15.75" customHeight="1">
      <c r="A896" s="24"/>
      <c r="B896" s="24"/>
      <c r="C896" s="24"/>
      <c r="D896" s="24"/>
      <c r="E896" s="24"/>
      <c r="F896" s="24"/>
      <c r="G896" s="24"/>
      <c r="H896" s="24"/>
      <c r="I896" s="24"/>
      <c r="J896" s="24"/>
      <c r="K896" s="24"/>
      <c r="L896" s="24"/>
      <c r="M896" s="24"/>
      <c r="N896" s="24"/>
      <c r="O896" s="24"/>
      <c r="P896" s="24"/>
      <c r="Q896" s="24"/>
      <c r="R896" s="24"/>
      <c r="S896" s="24"/>
      <c r="T896" s="24"/>
      <c r="U896" s="24"/>
      <c r="V896" s="24"/>
      <c r="W896" s="24"/>
      <c r="X896" s="24"/>
      <c r="Y896" s="24"/>
      <c r="Z896" s="24"/>
      <c r="AA896" s="24"/>
      <c r="AB896" s="24"/>
      <c r="AC896" s="24"/>
    </row>
    <row r="897" spans="1:29" ht="15.75" customHeight="1">
      <c r="A897" s="24"/>
      <c r="B897" s="24"/>
      <c r="C897" s="24"/>
      <c r="D897" s="24"/>
      <c r="E897" s="24"/>
      <c r="F897" s="24"/>
      <c r="G897" s="24"/>
      <c r="H897" s="24"/>
      <c r="I897" s="24"/>
      <c r="J897" s="24"/>
      <c r="K897" s="24"/>
      <c r="L897" s="24"/>
      <c r="M897" s="24"/>
      <c r="N897" s="24"/>
      <c r="O897" s="24"/>
      <c r="P897" s="24"/>
      <c r="Q897" s="24"/>
      <c r="R897" s="24"/>
      <c r="S897" s="24"/>
      <c r="T897" s="24"/>
      <c r="U897" s="24"/>
      <c r="V897" s="24"/>
      <c r="W897" s="24"/>
      <c r="X897" s="24"/>
      <c r="Y897" s="24"/>
      <c r="Z897" s="24"/>
      <c r="AA897" s="24"/>
      <c r="AB897" s="24"/>
      <c r="AC897" s="24"/>
    </row>
    <row r="898" spans="1:29" ht="15.75" customHeight="1">
      <c r="A898" s="24"/>
      <c r="B898" s="24"/>
      <c r="C898" s="24"/>
      <c r="D898" s="24"/>
      <c r="E898" s="24"/>
      <c r="F898" s="24"/>
      <c r="G898" s="24"/>
      <c r="H898" s="24"/>
      <c r="I898" s="24"/>
      <c r="J898" s="24"/>
      <c r="K898" s="24"/>
      <c r="L898" s="24"/>
      <c r="M898" s="24"/>
      <c r="N898" s="24"/>
      <c r="O898" s="24"/>
      <c r="P898" s="24"/>
      <c r="Q898" s="24"/>
      <c r="R898" s="24"/>
      <c r="S898" s="24"/>
      <c r="T898" s="24"/>
      <c r="U898" s="24"/>
      <c r="V898" s="24"/>
      <c r="W898" s="24"/>
      <c r="X898" s="24"/>
      <c r="Y898" s="24"/>
      <c r="Z898" s="24"/>
      <c r="AA898" s="24"/>
      <c r="AB898" s="24"/>
      <c r="AC898" s="24"/>
    </row>
    <row r="899" spans="1:29" ht="15.75" customHeight="1">
      <c r="A899" s="24"/>
      <c r="B899" s="24"/>
      <c r="C899" s="24"/>
      <c r="D899" s="24"/>
      <c r="E899" s="24"/>
      <c r="F899" s="24"/>
      <c r="G899" s="24"/>
      <c r="H899" s="24"/>
      <c r="I899" s="24"/>
      <c r="J899" s="24"/>
      <c r="K899" s="24"/>
      <c r="L899" s="24"/>
      <c r="M899" s="24"/>
      <c r="N899" s="24"/>
      <c r="O899" s="24"/>
      <c r="P899" s="24"/>
      <c r="Q899" s="24"/>
      <c r="R899" s="24"/>
      <c r="S899" s="24"/>
      <c r="T899" s="24"/>
      <c r="U899" s="24"/>
      <c r="V899" s="24"/>
      <c r="W899" s="24"/>
      <c r="X899" s="24"/>
      <c r="Y899" s="24"/>
      <c r="Z899" s="24"/>
      <c r="AA899" s="24"/>
      <c r="AB899" s="24"/>
      <c r="AC899" s="24"/>
    </row>
    <row r="900" spans="1:29" ht="15.75" customHeight="1">
      <c r="A900" s="24"/>
      <c r="B900" s="24"/>
      <c r="C900" s="24"/>
      <c r="D900" s="24"/>
      <c r="E900" s="24"/>
      <c r="F900" s="24"/>
      <c r="G900" s="24"/>
      <c r="H900" s="24"/>
      <c r="I900" s="24"/>
      <c r="J900" s="24"/>
      <c r="K900" s="24"/>
      <c r="L900" s="24"/>
      <c r="M900" s="24"/>
      <c r="N900" s="24"/>
      <c r="O900" s="24"/>
      <c r="P900" s="24"/>
      <c r="Q900" s="24"/>
      <c r="R900" s="24"/>
      <c r="S900" s="24"/>
      <c r="T900" s="24"/>
      <c r="U900" s="24"/>
      <c r="V900" s="24"/>
      <c r="W900" s="24"/>
      <c r="X900" s="24"/>
      <c r="Y900" s="24"/>
      <c r="Z900" s="24"/>
      <c r="AA900" s="24"/>
      <c r="AB900" s="24"/>
      <c r="AC900" s="24"/>
    </row>
    <row r="901" spans="1:29" ht="15.75" customHeight="1">
      <c r="A901" s="24"/>
      <c r="B901" s="24"/>
      <c r="C901" s="24"/>
      <c r="D901" s="24"/>
      <c r="E901" s="24"/>
      <c r="F901" s="24"/>
      <c r="G901" s="24"/>
      <c r="H901" s="24"/>
      <c r="I901" s="24"/>
      <c r="J901" s="24"/>
      <c r="K901" s="24"/>
      <c r="L901" s="24"/>
      <c r="M901" s="24"/>
      <c r="N901" s="24"/>
      <c r="O901" s="24"/>
      <c r="P901" s="24"/>
      <c r="Q901" s="24"/>
      <c r="R901" s="24"/>
      <c r="S901" s="24"/>
      <c r="T901" s="24"/>
      <c r="U901" s="24"/>
      <c r="V901" s="24"/>
      <c r="W901" s="24"/>
      <c r="X901" s="24"/>
      <c r="Y901" s="24"/>
      <c r="Z901" s="24"/>
      <c r="AA901" s="24"/>
      <c r="AB901" s="24"/>
      <c r="AC901" s="24"/>
    </row>
    <row r="902" spans="1:29" ht="15.75" customHeight="1">
      <c r="A902" s="24"/>
      <c r="B902" s="24"/>
      <c r="C902" s="24"/>
      <c r="D902" s="24"/>
      <c r="E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</row>
    <row r="903" spans="1:29" ht="15.75" customHeight="1">
      <c r="A903" s="24"/>
      <c r="B903" s="24"/>
      <c r="C903" s="24"/>
      <c r="D903" s="24"/>
      <c r="E903" s="24"/>
      <c r="F903" s="24"/>
      <c r="G903" s="24"/>
      <c r="H903" s="24"/>
      <c r="I903" s="24"/>
      <c r="J903" s="24"/>
      <c r="K903" s="24"/>
      <c r="L903" s="24"/>
      <c r="M903" s="24"/>
      <c r="N903" s="24"/>
      <c r="O903" s="24"/>
      <c r="P903" s="24"/>
      <c r="Q903" s="24"/>
      <c r="R903" s="24"/>
      <c r="S903" s="24"/>
      <c r="T903" s="24"/>
      <c r="U903" s="24"/>
      <c r="V903" s="24"/>
      <c r="W903" s="24"/>
      <c r="X903" s="24"/>
      <c r="Y903" s="24"/>
      <c r="Z903" s="24"/>
      <c r="AA903" s="24"/>
      <c r="AB903" s="24"/>
      <c r="AC903" s="24"/>
    </row>
    <row r="904" spans="1:29" ht="15.75" customHeight="1">
      <c r="A904" s="24"/>
      <c r="B904" s="24"/>
      <c r="C904" s="24"/>
      <c r="D904" s="24"/>
      <c r="E904" s="24"/>
      <c r="F904" s="24"/>
      <c r="G904" s="24"/>
      <c r="H904" s="24"/>
      <c r="I904" s="24"/>
      <c r="J904" s="24"/>
      <c r="K904" s="24"/>
      <c r="L904" s="24"/>
      <c r="M904" s="24"/>
      <c r="N904" s="24"/>
      <c r="O904" s="24"/>
      <c r="P904" s="24"/>
      <c r="Q904" s="24"/>
      <c r="R904" s="24"/>
      <c r="S904" s="24"/>
      <c r="T904" s="24"/>
      <c r="U904" s="24"/>
      <c r="V904" s="24"/>
      <c r="W904" s="24"/>
      <c r="X904" s="24"/>
      <c r="Y904" s="24"/>
      <c r="Z904" s="24"/>
      <c r="AA904" s="24"/>
      <c r="AB904" s="24"/>
      <c r="AC904" s="24"/>
    </row>
    <row r="905" spans="1:29" ht="15.75" customHeight="1">
      <c r="A905" s="24"/>
      <c r="B905" s="24"/>
      <c r="C905" s="24"/>
      <c r="D905" s="24"/>
      <c r="E905" s="24"/>
      <c r="F905" s="24"/>
      <c r="G905" s="24"/>
      <c r="H905" s="24"/>
      <c r="I905" s="24"/>
      <c r="J905" s="24"/>
      <c r="K905" s="24"/>
      <c r="L905" s="24"/>
      <c r="M905" s="24"/>
      <c r="N905" s="24"/>
      <c r="O905" s="24"/>
      <c r="P905" s="24"/>
      <c r="Q905" s="24"/>
      <c r="R905" s="24"/>
      <c r="S905" s="24"/>
      <c r="T905" s="24"/>
      <c r="U905" s="24"/>
      <c r="V905" s="24"/>
      <c r="W905" s="24"/>
      <c r="X905" s="24"/>
      <c r="Y905" s="24"/>
      <c r="Z905" s="24"/>
      <c r="AA905" s="24"/>
      <c r="AB905" s="24"/>
      <c r="AC905" s="24"/>
    </row>
    <row r="906" spans="1:29" ht="15.75" customHeight="1">
      <c r="A906" s="24"/>
      <c r="B906" s="24"/>
      <c r="C906" s="24"/>
      <c r="D906" s="24"/>
      <c r="E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</row>
    <row r="907" spans="1:29" ht="15.75" customHeight="1">
      <c r="A907" s="24"/>
      <c r="B907" s="24"/>
      <c r="C907" s="24"/>
      <c r="D907" s="24"/>
      <c r="E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</row>
    <row r="908" spans="1:29" ht="15.75" customHeight="1">
      <c r="A908" s="24"/>
      <c r="B908" s="24"/>
      <c r="C908" s="24"/>
      <c r="D908" s="24"/>
      <c r="E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</row>
    <row r="909" spans="1:29" ht="15.75" customHeight="1">
      <c r="A909" s="24"/>
      <c r="B909" s="24"/>
      <c r="C909" s="24"/>
      <c r="D909" s="24"/>
      <c r="E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</row>
    <row r="910" spans="1:29" ht="15.75" customHeight="1">
      <c r="A910" s="24"/>
      <c r="B910" s="24"/>
      <c r="C910" s="24"/>
      <c r="D910" s="24"/>
      <c r="E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</row>
    <row r="911" spans="1:29" ht="15.75" customHeight="1">
      <c r="A911" s="24"/>
      <c r="B911" s="24"/>
      <c r="C911" s="24"/>
      <c r="D911" s="24"/>
      <c r="E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</row>
    <row r="912" spans="1:29" ht="15.75" customHeight="1">
      <c r="A912" s="24"/>
      <c r="B912" s="24"/>
      <c r="C912" s="24"/>
      <c r="D912" s="24"/>
      <c r="E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</row>
    <row r="913" spans="1:29" ht="15.75" customHeight="1">
      <c r="A913" s="24"/>
      <c r="B913" s="24"/>
      <c r="C913" s="24"/>
      <c r="D913" s="24"/>
      <c r="E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</row>
    <row r="914" spans="1:29" ht="15.75" customHeight="1">
      <c r="A914" s="24"/>
      <c r="B914" s="24"/>
      <c r="C914" s="24"/>
      <c r="D914" s="24"/>
      <c r="E914" s="24"/>
      <c r="F914" s="24"/>
      <c r="G914" s="24"/>
      <c r="H914" s="24"/>
      <c r="I914" s="24"/>
      <c r="J914" s="24"/>
      <c r="K914" s="24"/>
      <c r="L914" s="24"/>
      <c r="M914" s="24"/>
      <c r="N914" s="24"/>
      <c r="O914" s="24"/>
      <c r="P914" s="24"/>
      <c r="Q914" s="24"/>
      <c r="R914" s="24"/>
      <c r="S914" s="24"/>
      <c r="T914" s="24"/>
      <c r="U914" s="24"/>
      <c r="V914" s="24"/>
      <c r="W914" s="24"/>
      <c r="X914" s="24"/>
      <c r="Y914" s="24"/>
      <c r="Z914" s="24"/>
      <c r="AA914" s="24"/>
      <c r="AB914" s="24"/>
      <c r="AC914" s="24"/>
    </row>
    <row r="915" spans="1:29" ht="15.75" customHeight="1">
      <c r="A915" s="24"/>
      <c r="B915" s="24"/>
      <c r="C915" s="24"/>
      <c r="D915" s="24"/>
      <c r="E915" s="24"/>
      <c r="F915" s="24"/>
      <c r="G915" s="24"/>
      <c r="H915" s="24"/>
      <c r="I915" s="24"/>
      <c r="J915" s="24"/>
      <c r="K915" s="24"/>
      <c r="L915" s="24"/>
      <c r="M915" s="24"/>
      <c r="N915" s="24"/>
      <c r="O915" s="24"/>
      <c r="P915" s="24"/>
      <c r="Q915" s="24"/>
      <c r="R915" s="24"/>
      <c r="S915" s="24"/>
      <c r="T915" s="24"/>
      <c r="U915" s="24"/>
      <c r="V915" s="24"/>
      <c r="W915" s="24"/>
      <c r="X915" s="24"/>
      <c r="Y915" s="24"/>
      <c r="Z915" s="24"/>
      <c r="AA915" s="24"/>
      <c r="AB915" s="24"/>
      <c r="AC915" s="24"/>
    </row>
    <row r="916" spans="1:29" ht="15.75" customHeight="1">
      <c r="A916" s="24"/>
      <c r="B916" s="24"/>
      <c r="C916" s="24"/>
      <c r="D916" s="24"/>
      <c r="E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</row>
    <row r="917" spans="1:29" ht="15.75" customHeight="1">
      <c r="A917" s="24"/>
      <c r="B917" s="24"/>
      <c r="C917" s="24"/>
      <c r="D917" s="24"/>
      <c r="E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</row>
    <row r="918" spans="1:29" ht="15.75" customHeight="1">
      <c r="A918" s="24"/>
      <c r="B918" s="24"/>
      <c r="C918" s="24"/>
      <c r="D918" s="24"/>
      <c r="E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</row>
    <row r="919" spans="1:29" ht="15.75" customHeight="1">
      <c r="A919" s="24"/>
      <c r="B919" s="24"/>
      <c r="C919" s="24"/>
      <c r="D919" s="24"/>
      <c r="E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</row>
    <row r="920" spans="1:29" ht="15.75" customHeight="1">
      <c r="A920" s="24"/>
      <c r="B920" s="24"/>
      <c r="C920" s="24"/>
      <c r="D920" s="24"/>
      <c r="E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</row>
    <row r="921" spans="1:29" ht="15.75" customHeight="1">
      <c r="A921" s="24"/>
      <c r="B921" s="24"/>
      <c r="C921" s="24"/>
      <c r="D921" s="24"/>
      <c r="E921" s="24"/>
      <c r="F921" s="24"/>
      <c r="G921" s="24"/>
      <c r="H921" s="24"/>
      <c r="I921" s="24"/>
      <c r="J921" s="24"/>
      <c r="K921" s="24"/>
      <c r="L921" s="24"/>
      <c r="M921" s="24"/>
      <c r="N921" s="24"/>
      <c r="O921" s="24"/>
      <c r="P921" s="24"/>
      <c r="Q921" s="24"/>
      <c r="R921" s="24"/>
      <c r="S921" s="24"/>
      <c r="T921" s="24"/>
      <c r="U921" s="24"/>
      <c r="V921" s="24"/>
      <c r="W921" s="24"/>
      <c r="X921" s="24"/>
      <c r="Y921" s="24"/>
      <c r="Z921" s="24"/>
      <c r="AA921" s="24"/>
      <c r="AB921" s="24"/>
      <c r="AC921" s="24"/>
    </row>
    <row r="922" spans="1:29" ht="15.75" customHeight="1">
      <c r="A922" s="24"/>
      <c r="B922" s="24"/>
      <c r="C922" s="24"/>
      <c r="D922" s="24"/>
      <c r="E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</row>
    <row r="923" spans="1:29" ht="15.75" customHeight="1">
      <c r="A923" s="24"/>
      <c r="B923" s="24"/>
      <c r="C923" s="24"/>
      <c r="D923" s="24"/>
      <c r="E923" s="24"/>
      <c r="F923" s="24"/>
      <c r="G923" s="24"/>
      <c r="H923" s="24"/>
      <c r="I923" s="24"/>
      <c r="J923" s="24"/>
      <c r="K923" s="24"/>
      <c r="L923" s="24"/>
      <c r="M923" s="24"/>
      <c r="N923" s="24"/>
      <c r="O923" s="24"/>
      <c r="P923" s="24"/>
      <c r="Q923" s="24"/>
      <c r="R923" s="24"/>
      <c r="S923" s="24"/>
      <c r="T923" s="24"/>
      <c r="U923" s="24"/>
      <c r="V923" s="24"/>
      <c r="W923" s="24"/>
      <c r="X923" s="24"/>
      <c r="Y923" s="24"/>
      <c r="Z923" s="24"/>
      <c r="AA923" s="24"/>
      <c r="AB923" s="24"/>
      <c r="AC923" s="24"/>
    </row>
    <row r="924" spans="1:29" ht="15.75" customHeight="1">
      <c r="A924" s="24"/>
      <c r="B924" s="24"/>
      <c r="C924" s="24"/>
      <c r="D924" s="24"/>
      <c r="E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</row>
    <row r="925" spans="1:29" ht="15.75" customHeight="1">
      <c r="A925" s="24"/>
      <c r="B925" s="24"/>
      <c r="C925" s="24"/>
      <c r="D925" s="24"/>
      <c r="E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</row>
    <row r="926" spans="1:29" ht="15.75" customHeight="1">
      <c r="A926" s="24"/>
      <c r="B926" s="24"/>
      <c r="C926" s="24"/>
      <c r="D926" s="24"/>
      <c r="E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</row>
    <row r="927" spans="1:29" ht="15.75" customHeight="1">
      <c r="A927" s="24"/>
      <c r="B927" s="24"/>
      <c r="C927" s="24"/>
      <c r="D927" s="24"/>
      <c r="E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</row>
    <row r="928" spans="1:29" ht="15.75" customHeight="1">
      <c r="A928" s="24"/>
      <c r="B928" s="24"/>
      <c r="C928" s="24"/>
      <c r="D928" s="24"/>
      <c r="E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</row>
    <row r="929" spans="1:29" ht="15.75" customHeight="1">
      <c r="A929" s="24"/>
      <c r="B929" s="24"/>
      <c r="C929" s="24"/>
      <c r="D929" s="24"/>
      <c r="E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</row>
    <row r="930" spans="1:29" ht="15.75" customHeight="1">
      <c r="A930" s="24"/>
      <c r="B930" s="24"/>
      <c r="C930" s="24"/>
      <c r="D930" s="24"/>
      <c r="E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</row>
    <row r="931" spans="1:29" ht="15.75" customHeight="1">
      <c r="A931" s="24"/>
      <c r="B931" s="24"/>
      <c r="C931" s="24"/>
      <c r="D931" s="24"/>
      <c r="E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</row>
    <row r="932" spans="1:29" ht="15.75" customHeight="1">
      <c r="A932" s="24"/>
      <c r="B932" s="24"/>
      <c r="C932" s="24"/>
      <c r="D932" s="24"/>
      <c r="E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</row>
    <row r="933" spans="1:29" ht="15.75" customHeight="1">
      <c r="A933" s="24"/>
      <c r="B933" s="24"/>
      <c r="C933" s="24"/>
      <c r="D933" s="24"/>
      <c r="E933" s="24"/>
      <c r="F933" s="24"/>
      <c r="G933" s="24"/>
      <c r="H933" s="24"/>
      <c r="I933" s="24"/>
      <c r="J933" s="24"/>
      <c r="K933" s="24"/>
      <c r="L933" s="24"/>
      <c r="M933" s="24"/>
      <c r="N933" s="24"/>
      <c r="O933" s="24"/>
      <c r="P933" s="24"/>
      <c r="Q933" s="24"/>
      <c r="R933" s="24"/>
      <c r="S933" s="24"/>
      <c r="T933" s="24"/>
      <c r="U933" s="24"/>
      <c r="V933" s="24"/>
      <c r="W933" s="24"/>
      <c r="X933" s="24"/>
      <c r="Y933" s="24"/>
      <c r="Z933" s="24"/>
      <c r="AA933" s="24"/>
      <c r="AB933" s="24"/>
      <c r="AC933" s="24"/>
    </row>
    <row r="934" spans="1:29" ht="15.75" customHeight="1">
      <c r="A934" s="24"/>
      <c r="B934" s="24"/>
      <c r="C934" s="24"/>
      <c r="D934" s="24"/>
      <c r="E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</row>
    <row r="935" spans="1:29" ht="15.75" customHeight="1">
      <c r="A935" s="24"/>
      <c r="B935" s="24"/>
      <c r="C935" s="24"/>
      <c r="D935" s="24"/>
      <c r="E935" s="24"/>
      <c r="F935" s="24"/>
      <c r="G935" s="24"/>
      <c r="H935" s="24"/>
      <c r="I935" s="24"/>
      <c r="J935" s="24"/>
      <c r="K935" s="24"/>
      <c r="L935" s="24"/>
      <c r="M935" s="24"/>
      <c r="N935" s="24"/>
      <c r="O935" s="24"/>
      <c r="P935" s="24"/>
      <c r="Q935" s="24"/>
      <c r="R935" s="24"/>
      <c r="S935" s="24"/>
      <c r="T935" s="24"/>
      <c r="U935" s="24"/>
      <c r="V935" s="24"/>
      <c r="W935" s="24"/>
      <c r="X935" s="24"/>
      <c r="Y935" s="24"/>
      <c r="Z935" s="24"/>
      <c r="AA935" s="24"/>
      <c r="AB935" s="24"/>
      <c r="AC935" s="24"/>
    </row>
    <row r="936" spans="1:29" ht="15.75" customHeight="1">
      <c r="A936" s="24"/>
      <c r="B936" s="24"/>
      <c r="C936" s="24"/>
      <c r="D936" s="24"/>
      <c r="E936" s="24"/>
      <c r="F936" s="24"/>
      <c r="G936" s="24"/>
      <c r="H936" s="24"/>
      <c r="I936" s="24"/>
      <c r="J936" s="24"/>
      <c r="K936" s="24"/>
      <c r="L936" s="24"/>
      <c r="M936" s="24"/>
      <c r="N936" s="24"/>
      <c r="O936" s="24"/>
      <c r="P936" s="24"/>
      <c r="Q936" s="24"/>
      <c r="R936" s="24"/>
      <c r="S936" s="24"/>
      <c r="T936" s="24"/>
      <c r="U936" s="24"/>
      <c r="V936" s="24"/>
      <c r="W936" s="24"/>
      <c r="X936" s="24"/>
      <c r="Y936" s="24"/>
      <c r="Z936" s="24"/>
      <c r="AA936" s="24"/>
      <c r="AB936" s="24"/>
      <c r="AC936" s="24"/>
    </row>
    <row r="937" spans="1:29" ht="15.75" customHeight="1">
      <c r="A937" s="24"/>
      <c r="B937" s="24"/>
      <c r="C937" s="24"/>
      <c r="D937" s="24"/>
      <c r="E937" s="24"/>
      <c r="F937" s="24"/>
      <c r="G937" s="24"/>
      <c r="H937" s="24"/>
      <c r="I937" s="24"/>
      <c r="J937" s="24"/>
      <c r="K937" s="24"/>
      <c r="L937" s="24"/>
      <c r="M937" s="24"/>
      <c r="N937" s="24"/>
      <c r="O937" s="24"/>
      <c r="P937" s="24"/>
      <c r="Q937" s="24"/>
      <c r="R937" s="24"/>
      <c r="S937" s="24"/>
      <c r="T937" s="24"/>
      <c r="U937" s="24"/>
      <c r="V937" s="24"/>
      <c r="W937" s="24"/>
      <c r="X937" s="24"/>
      <c r="Y937" s="24"/>
      <c r="Z937" s="24"/>
      <c r="AA937" s="24"/>
      <c r="AB937" s="24"/>
      <c r="AC937" s="24"/>
    </row>
    <row r="938" spans="1:29" ht="15.75" customHeight="1">
      <c r="A938" s="24"/>
      <c r="B938" s="24"/>
      <c r="C938" s="24"/>
      <c r="D938" s="24"/>
      <c r="E938" s="24"/>
      <c r="F938" s="24"/>
      <c r="G938" s="24"/>
      <c r="H938" s="24"/>
      <c r="I938" s="24"/>
      <c r="J938" s="24"/>
      <c r="K938" s="24"/>
      <c r="L938" s="24"/>
      <c r="M938" s="24"/>
      <c r="N938" s="24"/>
      <c r="O938" s="24"/>
      <c r="P938" s="24"/>
      <c r="Q938" s="24"/>
      <c r="R938" s="24"/>
      <c r="S938" s="24"/>
      <c r="T938" s="24"/>
      <c r="U938" s="24"/>
      <c r="V938" s="24"/>
      <c r="W938" s="24"/>
      <c r="X938" s="24"/>
      <c r="Y938" s="24"/>
      <c r="Z938" s="24"/>
      <c r="AA938" s="24"/>
      <c r="AB938" s="24"/>
      <c r="AC938" s="24"/>
    </row>
    <row r="939" spans="1:29" ht="15.75" customHeight="1">
      <c r="A939" s="24"/>
      <c r="B939" s="24"/>
      <c r="C939" s="24"/>
      <c r="D939" s="24"/>
      <c r="E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</row>
    <row r="940" spans="1:29" ht="15.75" customHeight="1">
      <c r="A940" s="24"/>
      <c r="B940" s="24"/>
      <c r="C940" s="24"/>
      <c r="D940" s="24"/>
      <c r="E940" s="24"/>
      <c r="F940" s="24"/>
      <c r="G940" s="24"/>
      <c r="H940" s="24"/>
      <c r="I940" s="24"/>
      <c r="J940" s="24"/>
      <c r="K940" s="24"/>
      <c r="L940" s="24"/>
      <c r="M940" s="24"/>
      <c r="N940" s="24"/>
      <c r="O940" s="24"/>
      <c r="P940" s="24"/>
      <c r="Q940" s="24"/>
      <c r="R940" s="24"/>
      <c r="S940" s="24"/>
      <c r="T940" s="24"/>
      <c r="U940" s="24"/>
      <c r="V940" s="24"/>
      <c r="W940" s="24"/>
      <c r="X940" s="24"/>
      <c r="Y940" s="24"/>
      <c r="Z940" s="24"/>
      <c r="AA940" s="24"/>
      <c r="AB940" s="24"/>
      <c r="AC940" s="24"/>
    </row>
    <row r="941" spans="1:29" ht="15.75" customHeight="1">
      <c r="A941" s="24"/>
      <c r="B941" s="24"/>
      <c r="C941" s="24"/>
      <c r="D941" s="24"/>
      <c r="E941" s="24"/>
      <c r="F941" s="24"/>
      <c r="G941" s="24"/>
      <c r="H941" s="24"/>
      <c r="I941" s="24"/>
      <c r="J941" s="24"/>
      <c r="K941" s="24"/>
      <c r="L941" s="24"/>
      <c r="M941" s="24"/>
      <c r="N941" s="24"/>
      <c r="O941" s="24"/>
      <c r="P941" s="24"/>
      <c r="Q941" s="24"/>
      <c r="R941" s="24"/>
      <c r="S941" s="24"/>
      <c r="T941" s="24"/>
      <c r="U941" s="24"/>
      <c r="V941" s="24"/>
      <c r="W941" s="24"/>
      <c r="X941" s="24"/>
      <c r="Y941" s="24"/>
      <c r="Z941" s="24"/>
      <c r="AA941" s="24"/>
      <c r="AB941" s="24"/>
      <c r="AC941" s="24"/>
    </row>
    <row r="942" spans="1:29" ht="15.75" customHeight="1">
      <c r="A942" s="24"/>
      <c r="B942" s="24"/>
      <c r="C942" s="24"/>
      <c r="D942" s="24"/>
      <c r="E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</row>
    <row r="943" spans="1:29" ht="15.75" customHeight="1">
      <c r="A943" s="24"/>
      <c r="B943" s="24"/>
      <c r="C943" s="24"/>
      <c r="D943" s="24"/>
      <c r="E943" s="24"/>
      <c r="F943" s="24"/>
      <c r="G943" s="24"/>
      <c r="H943" s="24"/>
      <c r="I943" s="24"/>
      <c r="J943" s="24"/>
      <c r="K943" s="24"/>
      <c r="L943" s="24"/>
      <c r="M943" s="24"/>
      <c r="N943" s="24"/>
      <c r="O943" s="24"/>
      <c r="P943" s="24"/>
      <c r="Q943" s="24"/>
      <c r="R943" s="24"/>
      <c r="S943" s="24"/>
      <c r="T943" s="24"/>
      <c r="U943" s="24"/>
      <c r="V943" s="24"/>
      <c r="W943" s="24"/>
      <c r="X943" s="24"/>
      <c r="Y943" s="24"/>
      <c r="Z943" s="24"/>
      <c r="AA943" s="24"/>
      <c r="AB943" s="24"/>
      <c r="AC943" s="24"/>
    </row>
    <row r="944" spans="1:29" ht="15.75" customHeight="1">
      <c r="A944" s="24"/>
      <c r="B944" s="24"/>
      <c r="C944" s="24"/>
      <c r="D944" s="24"/>
      <c r="E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</row>
    <row r="945" spans="1:29" ht="15.75" customHeight="1">
      <c r="A945" s="24"/>
      <c r="B945" s="24"/>
      <c r="C945" s="24"/>
      <c r="D945" s="24"/>
      <c r="E945" s="24"/>
      <c r="F945" s="24"/>
      <c r="G945" s="24"/>
      <c r="H945" s="24"/>
      <c r="I945" s="24"/>
      <c r="J945" s="24"/>
      <c r="K945" s="24"/>
      <c r="L945" s="24"/>
      <c r="M945" s="24"/>
      <c r="N945" s="24"/>
      <c r="O945" s="24"/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</row>
    <row r="946" spans="1:29" ht="15.75" customHeight="1">
      <c r="A946" s="24"/>
      <c r="B946" s="24"/>
      <c r="C946" s="24"/>
      <c r="D946" s="24"/>
      <c r="E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</row>
    <row r="947" spans="1:29" ht="15.75" customHeight="1">
      <c r="A947" s="24"/>
      <c r="B947" s="24"/>
      <c r="C947" s="24"/>
      <c r="D947" s="24"/>
      <c r="E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</row>
    <row r="948" spans="1:29" ht="15.75" customHeight="1">
      <c r="A948" s="24"/>
      <c r="B948" s="24"/>
      <c r="C948" s="24"/>
      <c r="D948" s="24"/>
      <c r="E948" s="24"/>
      <c r="F948" s="24"/>
      <c r="G948" s="24"/>
      <c r="H948" s="24"/>
      <c r="I948" s="24"/>
      <c r="J948" s="24"/>
      <c r="K948" s="24"/>
      <c r="L948" s="24"/>
      <c r="M948" s="24"/>
      <c r="N948" s="24"/>
      <c r="O948" s="24"/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</row>
    <row r="949" spans="1:29" ht="15.75" customHeight="1">
      <c r="A949" s="24"/>
      <c r="B949" s="24"/>
      <c r="C949" s="24"/>
      <c r="D949" s="24"/>
      <c r="E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</row>
    <row r="950" spans="1:29" ht="15.75" customHeight="1">
      <c r="A950" s="24"/>
      <c r="B950" s="24"/>
      <c r="C950" s="24"/>
      <c r="D950" s="24"/>
      <c r="E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</row>
    <row r="951" spans="1:29" ht="15.75" customHeight="1">
      <c r="A951" s="24"/>
      <c r="B951" s="24"/>
      <c r="C951" s="24"/>
      <c r="D951" s="24"/>
      <c r="E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</row>
    <row r="952" spans="1:29" ht="15.75" customHeight="1">
      <c r="A952" s="24"/>
      <c r="B952" s="24"/>
      <c r="C952" s="24"/>
      <c r="D952" s="24"/>
      <c r="E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</row>
    <row r="953" spans="1:29" ht="15.75" customHeight="1">
      <c r="A953" s="24"/>
      <c r="B953" s="24"/>
      <c r="C953" s="24"/>
      <c r="D953" s="24"/>
      <c r="E953" s="24"/>
      <c r="F953" s="24"/>
      <c r="G953" s="24"/>
      <c r="H953" s="24"/>
      <c r="I953" s="24"/>
      <c r="J953" s="24"/>
      <c r="K953" s="24"/>
      <c r="L953" s="24"/>
      <c r="M953" s="24"/>
      <c r="N953" s="24"/>
      <c r="O953" s="24"/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</row>
    <row r="954" spans="1:29" ht="15.75" customHeight="1">
      <c r="A954" s="24"/>
      <c r="B954" s="24"/>
      <c r="C954" s="24"/>
      <c r="D954" s="24"/>
      <c r="E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</row>
    <row r="955" spans="1:29" ht="15.75" customHeight="1">
      <c r="A955" s="24"/>
      <c r="B955" s="24"/>
      <c r="C955" s="24"/>
      <c r="D955" s="24"/>
      <c r="E955" s="24"/>
      <c r="F955" s="24"/>
      <c r="G955" s="24"/>
      <c r="H955" s="24"/>
      <c r="I955" s="24"/>
      <c r="J955" s="24"/>
      <c r="K955" s="24"/>
      <c r="L955" s="24"/>
      <c r="M955" s="24"/>
      <c r="N955" s="24"/>
      <c r="O955" s="24"/>
      <c r="P955" s="24"/>
      <c r="Q955" s="24"/>
      <c r="R955" s="24"/>
      <c r="S955" s="24"/>
      <c r="T955" s="24"/>
      <c r="U955" s="24"/>
      <c r="V955" s="24"/>
      <c r="W955" s="24"/>
      <c r="X955" s="24"/>
      <c r="Y955" s="24"/>
      <c r="Z955" s="24"/>
      <c r="AA955" s="24"/>
      <c r="AB955" s="24"/>
      <c r="AC955" s="24"/>
    </row>
    <row r="956" spans="1:29" ht="15.75" customHeight="1">
      <c r="A956" s="24"/>
      <c r="B956" s="24"/>
      <c r="C956" s="24"/>
      <c r="D956" s="24"/>
      <c r="E956" s="24"/>
      <c r="F956" s="24"/>
      <c r="G956" s="24"/>
      <c r="H956" s="24"/>
      <c r="I956" s="24"/>
      <c r="J956" s="24"/>
      <c r="K956" s="24"/>
      <c r="L956" s="24"/>
      <c r="M956" s="24"/>
      <c r="N956" s="24"/>
      <c r="O956" s="24"/>
      <c r="P956" s="24"/>
      <c r="Q956" s="24"/>
      <c r="R956" s="24"/>
      <c r="S956" s="24"/>
      <c r="T956" s="24"/>
      <c r="U956" s="24"/>
      <c r="V956" s="24"/>
      <c r="W956" s="24"/>
      <c r="X956" s="24"/>
      <c r="Y956" s="24"/>
      <c r="Z956" s="24"/>
      <c r="AA956" s="24"/>
      <c r="AB956" s="24"/>
      <c r="AC956" s="24"/>
    </row>
    <row r="957" spans="1:29" ht="15.75" customHeight="1">
      <c r="A957" s="24"/>
      <c r="B957" s="24"/>
      <c r="C957" s="24"/>
      <c r="D957" s="24"/>
      <c r="E957" s="24"/>
      <c r="F957" s="24"/>
      <c r="G957" s="24"/>
      <c r="H957" s="24"/>
      <c r="I957" s="24"/>
      <c r="J957" s="24"/>
      <c r="K957" s="24"/>
      <c r="L957" s="24"/>
      <c r="M957" s="24"/>
      <c r="N957" s="24"/>
      <c r="O957" s="24"/>
      <c r="P957" s="24"/>
      <c r="Q957" s="24"/>
      <c r="R957" s="24"/>
      <c r="S957" s="24"/>
      <c r="T957" s="24"/>
      <c r="U957" s="24"/>
      <c r="V957" s="24"/>
      <c r="W957" s="24"/>
      <c r="X957" s="24"/>
      <c r="Y957" s="24"/>
      <c r="Z957" s="24"/>
      <c r="AA957" s="24"/>
      <c r="AB957" s="24"/>
      <c r="AC957" s="24"/>
    </row>
    <row r="958" spans="1:29" ht="15.75" customHeight="1">
      <c r="A958" s="24"/>
      <c r="B958" s="24"/>
      <c r="C958" s="24"/>
      <c r="D958" s="24"/>
      <c r="E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</row>
    <row r="959" spans="1:29" ht="15.75" customHeight="1">
      <c r="A959" s="24"/>
      <c r="B959" s="24"/>
      <c r="C959" s="24"/>
      <c r="D959" s="24"/>
      <c r="E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</row>
    <row r="960" spans="1:29" ht="15.75" customHeight="1">
      <c r="A960" s="24"/>
      <c r="B960" s="24"/>
      <c r="C960" s="24"/>
      <c r="D960" s="24"/>
      <c r="E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</row>
    <row r="961" spans="1:29" ht="15.75" customHeight="1">
      <c r="A961" s="24"/>
      <c r="B961" s="24"/>
      <c r="C961" s="24"/>
      <c r="D961" s="24"/>
      <c r="E961" s="24"/>
      <c r="F961" s="24"/>
      <c r="G961" s="24"/>
      <c r="H961" s="24"/>
      <c r="I961" s="24"/>
      <c r="J961" s="24"/>
      <c r="K961" s="24"/>
      <c r="L961" s="24"/>
      <c r="M961" s="24"/>
      <c r="N961" s="24"/>
      <c r="O961" s="24"/>
      <c r="P961" s="24"/>
      <c r="Q961" s="24"/>
      <c r="R961" s="24"/>
      <c r="S961" s="24"/>
      <c r="T961" s="24"/>
      <c r="U961" s="24"/>
      <c r="V961" s="24"/>
      <c r="W961" s="24"/>
      <c r="X961" s="24"/>
      <c r="Y961" s="24"/>
      <c r="Z961" s="24"/>
      <c r="AA961" s="24"/>
      <c r="AB961" s="24"/>
      <c r="AC961" s="24"/>
    </row>
    <row r="962" spans="1:29" ht="15.75" customHeight="1">
      <c r="A962" s="24"/>
      <c r="B962" s="24"/>
      <c r="C962" s="24"/>
      <c r="D962" s="24"/>
      <c r="E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</row>
    <row r="963" spans="1:29" ht="15.75" customHeight="1">
      <c r="A963" s="24"/>
      <c r="B963" s="24"/>
      <c r="C963" s="24"/>
      <c r="D963" s="24"/>
      <c r="E963" s="24"/>
      <c r="F963" s="24"/>
      <c r="G963" s="24"/>
      <c r="H963" s="24"/>
      <c r="I963" s="24"/>
      <c r="J963" s="24"/>
      <c r="K963" s="24"/>
      <c r="L963" s="24"/>
      <c r="M963" s="24"/>
      <c r="N963" s="24"/>
      <c r="O963" s="24"/>
      <c r="P963" s="24"/>
      <c r="Q963" s="24"/>
      <c r="R963" s="24"/>
      <c r="S963" s="24"/>
      <c r="T963" s="24"/>
      <c r="U963" s="24"/>
      <c r="V963" s="24"/>
      <c r="W963" s="24"/>
      <c r="X963" s="24"/>
      <c r="Y963" s="24"/>
      <c r="Z963" s="24"/>
      <c r="AA963" s="24"/>
      <c r="AB963" s="24"/>
      <c r="AC963" s="24"/>
    </row>
    <row r="964" spans="1:29" ht="15.75" customHeight="1">
      <c r="A964" s="24"/>
      <c r="B964" s="24"/>
      <c r="C964" s="24"/>
      <c r="D964" s="24"/>
      <c r="E964" s="24"/>
      <c r="F964" s="24"/>
      <c r="G964" s="24"/>
      <c r="H964" s="24"/>
      <c r="I964" s="24"/>
      <c r="J964" s="24"/>
      <c r="K964" s="24"/>
      <c r="L964" s="24"/>
      <c r="M964" s="24"/>
      <c r="N964" s="24"/>
      <c r="O964" s="24"/>
      <c r="P964" s="24"/>
      <c r="Q964" s="24"/>
      <c r="R964" s="24"/>
      <c r="S964" s="24"/>
      <c r="T964" s="24"/>
      <c r="U964" s="24"/>
      <c r="V964" s="24"/>
      <c r="W964" s="24"/>
      <c r="X964" s="24"/>
      <c r="Y964" s="24"/>
      <c r="Z964" s="24"/>
      <c r="AA964" s="24"/>
      <c r="AB964" s="24"/>
      <c r="AC964" s="24"/>
    </row>
    <row r="965" spans="1:29" ht="15.75" customHeight="1">
      <c r="A965" s="24"/>
      <c r="B965" s="24"/>
      <c r="C965" s="24"/>
      <c r="D965" s="24"/>
      <c r="E965" s="24"/>
      <c r="F965" s="24"/>
      <c r="G965" s="24"/>
      <c r="H965" s="24"/>
      <c r="I965" s="24"/>
      <c r="J965" s="24"/>
      <c r="K965" s="24"/>
      <c r="L965" s="24"/>
      <c r="M965" s="24"/>
      <c r="N965" s="24"/>
      <c r="O965" s="24"/>
      <c r="P965" s="24"/>
      <c r="Q965" s="24"/>
      <c r="R965" s="24"/>
      <c r="S965" s="24"/>
      <c r="T965" s="24"/>
      <c r="U965" s="24"/>
      <c r="V965" s="24"/>
      <c r="W965" s="24"/>
      <c r="X965" s="24"/>
      <c r="Y965" s="24"/>
      <c r="Z965" s="24"/>
      <c r="AA965" s="24"/>
      <c r="AB965" s="24"/>
      <c r="AC965" s="24"/>
    </row>
    <row r="966" spans="1:29" ht="15.75" customHeight="1">
      <c r="A966" s="24"/>
      <c r="B966" s="24"/>
      <c r="C966" s="24"/>
      <c r="D966" s="24"/>
      <c r="E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</row>
    <row r="967" spans="1:29" ht="15.75" customHeight="1">
      <c r="A967" s="24"/>
      <c r="B967" s="24"/>
      <c r="C967" s="24"/>
      <c r="D967" s="24"/>
      <c r="E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</row>
    <row r="968" spans="1:29" ht="15.75" customHeight="1">
      <c r="A968" s="24"/>
      <c r="B968" s="24"/>
      <c r="C968" s="24"/>
      <c r="D968" s="24"/>
      <c r="E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</row>
    <row r="969" spans="1:29" ht="15.75" customHeight="1">
      <c r="A969" s="24"/>
      <c r="B969" s="24"/>
      <c r="C969" s="24"/>
      <c r="D969" s="24"/>
      <c r="E969" s="24"/>
      <c r="F969" s="24"/>
      <c r="G969" s="24"/>
      <c r="H969" s="24"/>
      <c r="I969" s="24"/>
      <c r="J969" s="24"/>
      <c r="K969" s="24"/>
      <c r="L969" s="24"/>
      <c r="M969" s="24"/>
      <c r="N969" s="24"/>
      <c r="O969" s="24"/>
      <c r="P969" s="24"/>
      <c r="Q969" s="24"/>
      <c r="R969" s="24"/>
      <c r="S969" s="24"/>
      <c r="T969" s="24"/>
      <c r="U969" s="24"/>
      <c r="V969" s="24"/>
      <c r="W969" s="24"/>
      <c r="X969" s="24"/>
      <c r="Y969" s="24"/>
      <c r="Z969" s="24"/>
      <c r="AA969" s="24"/>
      <c r="AB969" s="24"/>
      <c r="AC969" s="24"/>
    </row>
    <row r="970" spans="1:29" ht="15.75" customHeight="1">
      <c r="A970" s="24"/>
      <c r="B970" s="24"/>
      <c r="C970" s="24"/>
      <c r="D970" s="24"/>
      <c r="E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</row>
    <row r="971" spans="1:29" ht="15.75" customHeight="1">
      <c r="A971" s="24"/>
      <c r="B971" s="24"/>
      <c r="C971" s="24"/>
      <c r="D971" s="24"/>
      <c r="E971" s="24"/>
      <c r="F971" s="24"/>
      <c r="G971" s="24"/>
      <c r="H971" s="24"/>
      <c r="I971" s="24"/>
      <c r="J971" s="24"/>
      <c r="K971" s="24"/>
      <c r="L971" s="24"/>
      <c r="M971" s="24"/>
      <c r="N971" s="24"/>
      <c r="O971" s="24"/>
      <c r="P971" s="24"/>
      <c r="Q971" s="24"/>
      <c r="R971" s="24"/>
      <c r="S971" s="24"/>
      <c r="T971" s="24"/>
      <c r="U971" s="24"/>
      <c r="V971" s="24"/>
      <c r="W971" s="24"/>
      <c r="X971" s="24"/>
      <c r="Y971" s="24"/>
      <c r="Z971" s="24"/>
      <c r="AA971" s="24"/>
      <c r="AB971" s="24"/>
      <c r="AC971" s="24"/>
    </row>
    <row r="972" spans="1:29" ht="15.75" customHeight="1">
      <c r="A972" s="24"/>
      <c r="B972" s="24"/>
      <c r="C972" s="24"/>
      <c r="D972" s="24"/>
      <c r="E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</row>
    <row r="973" spans="1:29" ht="15.75" customHeight="1">
      <c r="A973" s="24"/>
      <c r="B973" s="24"/>
      <c r="C973" s="24"/>
      <c r="D973" s="24"/>
      <c r="E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</row>
    <row r="974" spans="1:29" ht="15.75" customHeight="1">
      <c r="A974" s="24"/>
      <c r="B974" s="24"/>
      <c r="C974" s="24"/>
      <c r="D974" s="24"/>
      <c r="E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</row>
    <row r="975" spans="1:29" ht="15.75" customHeight="1">
      <c r="A975" s="24"/>
      <c r="B975" s="24"/>
      <c r="C975" s="24"/>
      <c r="D975" s="24"/>
      <c r="E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</row>
    <row r="976" spans="1:29" ht="15.75" customHeight="1">
      <c r="A976" s="24"/>
      <c r="B976" s="24"/>
      <c r="C976" s="24"/>
      <c r="D976" s="24"/>
      <c r="E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</row>
    <row r="977" spans="1:29" ht="15.75" customHeight="1">
      <c r="A977" s="24"/>
      <c r="B977" s="24"/>
      <c r="C977" s="24"/>
      <c r="D977" s="24"/>
      <c r="E977" s="24"/>
      <c r="F977" s="24"/>
      <c r="G977" s="24"/>
      <c r="H977" s="24"/>
      <c r="I977" s="24"/>
      <c r="J977" s="24"/>
      <c r="K977" s="24"/>
      <c r="L977" s="24"/>
      <c r="M977" s="24"/>
      <c r="N977" s="24"/>
      <c r="O977" s="24"/>
      <c r="P977" s="24"/>
      <c r="Q977" s="24"/>
      <c r="R977" s="24"/>
      <c r="S977" s="24"/>
      <c r="T977" s="24"/>
      <c r="U977" s="24"/>
      <c r="V977" s="24"/>
      <c r="W977" s="24"/>
      <c r="X977" s="24"/>
      <c r="Y977" s="24"/>
      <c r="Z977" s="24"/>
      <c r="AA977" s="24"/>
      <c r="AB977" s="24"/>
      <c r="AC977" s="24"/>
    </row>
    <row r="978" spans="1:29" ht="15.75" customHeight="1">
      <c r="A978" s="24"/>
      <c r="B978" s="24"/>
      <c r="C978" s="24"/>
      <c r="D978" s="24"/>
      <c r="E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</row>
    <row r="979" spans="1:29" ht="15.75" customHeight="1">
      <c r="A979" s="24"/>
      <c r="B979" s="24"/>
      <c r="C979" s="24"/>
      <c r="D979" s="24"/>
      <c r="E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</row>
    <row r="980" spans="1:29" ht="15.75" customHeight="1">
      <c r="A980" s="24"/>
      <c r="B980" s="24"/>
      <c r="C980" s="24"/>
      <c r="D980" s="24"/>
      <c r="E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</row>
    <row r="981" spans="1:29" ht="15.75" customHeight="1">
      <c r="A981" s="24"/>
      <c r="B981" s="24"/>
      <c r="C981" s="24"/>
      <c r="D981" s="24"/>
      <c r="E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</row>
    <row r="982" spans="1:29" ht="15.75" customHeight="1">
      <c r="A982" s="24"/>
      <c r="B982" s="24"/>
      <c r="C982" s="24"/>
      <c r="D982" s="24"/>
      <c r="E982" s="24"/>
      <c r="F982" s="24"/>
      <c r="G982" s="24"/>
      <c r="H982" s="24"/>
      <c r="I982" s="24"/>
      <c r="J982" s="24"/>
      <c r="K982" s="24"/>
      <c r="L982" s="24"/>
      <c r="M982" s="24"/>
      <c r="N982" s="24"/>
      <c r="O982" s="24"/>
      <c r="P982" s="24"/>
      <c r="Q982" s="24"/>
      <c r="R982" s="24"/>
      <c r="S982" s="24"/>
      <c r="T982" s="24"/>
      <c r="U982" s="24"/>
      <c r="V982" s="24"/>
      <c r="W982" s="24"/>
      <c r="X982" s="24"/>
      <c r="Y982" s="24"/>
      <c r="Z982" s="24"/>
      <c r="AA982" s="24"/>
      <c r="AB982" s="24"/>
      <c r="AC982" s="24"/>
    </row>
    <row r="983" spans="1:29" ht="15.75" customHeight="1">
      <c r="A983" s="24"/>
      <c r="B983" s="24"/>
      <c r="C983" s="24"/>
      <c r="D983" s="24"/>
      <c r="E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</row>
    <row r="984" spans="1:29" ht="15.75" customHeight="1">
      <c r="A984" s="24"/>
      <c r="B984" s="24"/>
      <c r="C984" s="24"/>
      <c r="D984" s="24"/>
      <c r="E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</row>
    <row r="985" spans="1:29" ht="15.75" customHeight="1">
      <c r="A985" s="24"/>
      <c r="B985" s="24"/>
      <c r="C985" s="24"/>
      <c r="D985" s="24"/>
      <c r="E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</row>
    <row r="986" spans="1:29" ht="15.75" customHeight="1">
      <c r="A986" s="24"/>
      <c r="B986" s="24"/>
      <c r="C986" s="24"/>
      <c r="D986" s="24"/>
      <c r="E986" s="24"/>
      <c r="F986" s="24"/>
      <c r="G986" s="24"/>
      <c r="H986" s="24"/>
      <c r="I986" s="24"/>
      <c r="J986" s="24"/>
      <c r="K986" s="24"/>
      <c r="L986" s="24"/>
      <c r="M986" s="24"/>
      <c r="N986" s="24"/>
      <c r="O986" s="24"/>
      <c r="P986" s="24"/>
      <c r="Q986" s="24"/>
      <c r="R986" s="24"/>
      <c r="S986" s="24"/>
      <c r="T986" s="24"/>
      <c r="U986" s="24"/>
      <c r="V986" s="24"/>
      <c r="W986" s="24"/>
      <c r="X986" s="24"/>
      <c r="Y986" s="24"/>
      <c r="Z986" s="24"/>
      <c r="AA986" s="24"/>
      <c r="AB986" s="24"/>
      <c r="AC986" s="24"/>
    </row>
    <row r="987" spans="1:29" ht="15.75" customHeight="1">
      <c r="A987" s="24"/>
      <c r="B987" s="24"/>
      <c r="C987" s="24"/>
      <c r="D987" s="24"/>
      <c r="E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</row>
    <row r="988" spans="1:29" ht="15.75" customHeight="1">
      <c r="A988" s="24"/>
      <c r="B988" s="24"/>
      <c r="C988" s="24"/>
      <c r="D988" s="24"/>
      <c r="E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</row>
    <row r="989" spans="1:29" ht="15.75" customHeight="1">
      <c r="A989" s="24"/>
      <c r="B989" s="24"/>
      <c r="C989" s="24"/>
      <c r="D989" s="24"/>
      <c r="E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</row>
    <row r="990" spans="1:29" ht="15.75" customHeight="1">
      <c r="A990" s="24"/>
      <c r="B990" s="24"/>
      <c r="C990" s="24"/>
      <c r="D990" s="24"/>
      <c r="E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</row>
    <row r="991" spans="1:29" ht="15.75" customHeight="1">
      <c r="A991" s="24"/>
      <c r="B991" s="24"/>
      <c r="C991" s="24"/>
      <c r="D991" s="24"/>
      <c r="E991" s="24"/>
      <c r="F991" s="24"/>
      <c r="G991" s="24"/>
      <c r="H991" s="24"/>
      <c r="I991" s="24"/>
      <c r="J991" s="24"/>
      <c r="K991" s="24"/>
      <c r="L991" s="24"/>
      <c r="M991" s="24"/>
      <c r="N991" s="24"/>
      <c r="O991" s="24"/>
      <c r="P991" s="24"/>
      <c r="Q991" s="24"/>
      <c r="R991" s="24"/>
      <c r="S991" s="24"/>
      <c r="T991" s="24"/>
      <c r="U991" s="24"/>
      <c r="V991" s="24"/>
      <c r="W991" s="24"/>
      <c r="X991" s="24"/>
      <c r="Y991" s="24"/>
      <c r="Z991" s="24"/>
      <c r="AA991" s="24"/>
      <c r="AB991" s="24"/>
      <c r="AC991" s="24"/>
    </row>
    <row r="992" spans="1:29" ht="15.75" customHeight="1">
      <c r="A992" s="24"/>
      <c r="B992" s="24"/>
      <c r="C992" s="24"/>
      <c r="D992" s="24"/>
      <c r="E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</row>
    <row r="993" spans="1:29" ht="15.75" customHeight="1">
      <c r="A993" s="24"/>
      <c r="B993" s="24"/>
      <c r="C993" s="24"/>
      <c r="D993" s="24"/>
      <c r="E993" s="24"/>
      <c r="F993" s="24"/>
      <c r="G993" s="24"/>
      <c r="H993" s="24"/>
      <c r="I993" s="24"/>
      <c r="J993" s="24"/>
      <c r="K993" s="24"/>
      <c r="L993" s="24"/>
      <c r="M993" s="24"/>
      <c r="N993" s="24"/>
      <c r="O993" s="24"/>
      <c r="P993" s="24"/>
      <c r="Q993" s="24"/>
      <c r="R993" s="24"/>
      <c r="S993" s="24"/>
      <c r="T993" s="24"/>
      <c r="U993" s="24"/>
      <c r="V993" s="24"/>
      <c r="W993" s="24"/>
      <c r="X993" s="24"/>
      <c r="Y993" s="24"/>
      <c r="Z993" s="24"/>
      <c r="AA993" s="24"/>
      <c r="AB993" s="24"/>
      <c r="AC993" s="24"/>
    </row>
    <row r="994" spans="1:29" ht="15.75" customHeight="1">
      <c r="A994" s="24"/>
      <c r="B994" s="24"/>
      <c r="C994" s="24"/>
      <c r="D994" s="24"/>
      <c r="E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</row>
    <row r="995" spans="1:29" ht="15.75" customHeight="1">
      <c r="A995" s="24"/>
      <c r="B995" s="24"/>
      <c r="C995" s="24"/>
      <c r="D995" s="24"/>
      <c r="E995" s="24"/>
      <c r="F995" s="24"/>
      <c r="G995" s="24"/>
      <c r="H995" s="24"/>
      <c r="I995" s="24"/>
      <c r="J995" s="24"/>
      <c r="K995" s="24"/>
      <c r="L995" s="24"/>
      <c r="M995" s="24"/>
      <c r="N995" s="24"/>
      <c r="O995" s="24"/>
      <c r="P995" s="24"/>
      <c r="Q995" s="24"/>
      <c r="R995" s="24"/>
      <c r="S995" s="24"/>
      <c r="T995" s="24"/>
      <c r="U995" s="24"/>
      <c r="V995" s="24"/>
      <c r="W995" s="24"/>
      <c r="X995" s="24"/>
      <c r="Y995" s="24"/>
      <c r="Z995" s="24"/>
      <c r="AA995" s="24"/>
      <c r="AB995" s="24"/>
      <c r="AC995" s="24"/>
    </row>
    <row r="996" spans="1:29" ht="15.75" customHeight="1">
      <c r="A996" s="24"/>
      <c r="B996" s="24"/>
      <c r="C996" s="24"/>
      <c r="D996" s="24"/>
      <c r="E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</row>
    <row r="997" spans="1:29" ht="15.75" customHeight="1">
      <c r="A997" s="24"/>
      <c r="B997" s="24"/>
      <c r="C997" s="24"/>
      <c r="D997" s="24"/>
      <c r="E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</row>
    <row r="998" spans="1:29" ht="15.75" customHeight="1">
      <c r="A998" s="24"/>
      <c r="B998" s="24"/>
      <c r="C998" s="24"/>
      <c r="D998" s="24"/>
      <c r="E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</row>
    <row r="999" spans="1:29" ht="15.75" customHeight="1">
      <c r="A999" s="24"/>
      <c r="B999" s="24"/>
      <c r="C999" s="24"/>
      <c r="D999" s="24"/>
      <c r="E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</row>
    <row r="1000" spans="1:29" ht="15.75" customHeight="1">
      <c r="A1000" s="24"/>
      <c r="B1000" s="24"/>
      <c r="C1000" s="24"/>
      <c r="D1000" s="24"/>
      <c r="E1000" s="24"/>
      <c r="F1000" s="24"/>
      <c r="G1000" s="24"/>
      <c r="H1000" s="24"/>
      <c r="I1000" s="24"/>
      <c r="J1000" s="24"/>
      <c r="K1000" s="24"/>
      <c r="L1000" s="24"/>
      <c r="M1000" s="24"/>
      <c r="N1000" s="24"/>
      <c r="O1000" s="24"/>
      <c r="P1000" s="24"/>
      <c r="Q1000" s="24"/>
      <c r="R1000" s="24"/>
      <c r="S1000" s="24"/>
      <c r="T1000" s="24"/>
      <c r="U1000" s="24"/>
      <c r="V1000" s="24"/>
      <c r="W1000" s="24"/>
      <c r="X1000" s="24"/>
      <c r="Y1000" s="24"/>
      <c r="Z1000" s="24"/>
      <c r="AA1000" s="24"/>
      <c r="AB1000" s="24"/>
      <c r="AC1000" s="24"/>
    </row>
  </sheetData>
  <autoFilter ref="A1:Q64"/>
  <phoneticPr fontId="50" type="noConversion"/>
  <pageMargins left="0.7" right="0.7" top="0.75" bottom="0.75" header="0" footer="0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1.28515625" defaultRowHeight="15" customHeight="1" x14ac:dyDescent="0"/>
  <cols>
    <col min="1" max="1" width="4.7109375" customWidth="1"/>
    <col min="2" max="2" width="9.42578125" customWidth="1"/>
    <col min="3" max="3" width="8.85546875" customWidth="1"/>
    <col min="4" max="5" width="10.85546875" customWidth="1"/>
    <col min="6" max="6" width="17.85546875" customWidth="1"/>
    <col min="7" max="7" width="15.140625" customWidth="1"/>
    <col min="8" max="13" width="17.85546875" customWidth="1"/>
    <col min="14" max="14" width="14.5703125" customWidth="1"/>
    <col min="15" max="15" width="19.5703125" customWidth="1"/>
    <col min="16" max="16" width="14.85546875" customWidth="1"/>
    <col min="17" max="17" width="29.28515625" customWidth="1"/>
    <col min="18" max="18" width="7" customWidth="1"/>
    <col min="19" max="19" width="18.85546875" customWidth="1"/>
    <col min="20" max="20" width="4.7109375" customWidth="1"/>
    <col min="21" max="26" width="17.85546875" hidden="1" customWidth="1"/>
  </cols>
  <sheetData>
    <row r="1" spans="1:26" ht="24.75" customHeight="1">
      <c r="A1" s="230"/>
      <c r="B1" s="230"/>
      <c r="C1" s="415" t="s">
        <v>4779</v>
      </c>
      <c r="D1" s="416"/>
      <c r="E1" s="416"/>
      <c r="F1" s="416"/>
      <c r="G1" s="416"/>
      <c r="H1" s="416"/>
      <c r="I1" s="416"/>
      <c r="J1" s="416"/>
      <c r="K1" s="416"/>
      <c r="L1" s="416"/>
      <c r="M1" s="416"/>
      <c r="N1" s="416"/>
      <c r="O1" s="416"/>
      <c r="P1" s="416"/>
      <c r="Q1" s="417"/>
      <c r="R1" s="230"/>
      <c r="S1" s="422" t="s">
        <v>4780</v>
      </c>
      <c r="T1" s="417"/>
      <c r="U1" s="231"/>
      <c r="V1" s="231"/>
      <c r="W1" s="231"/>
      <c r="X1" s="231"/>
      <c r="Y1" s="231"/>
      <c r="Z1" s="231"/>
    </row>
    <row r="2" spans="1:26" ht="24.75" customHeight="1">
      <c r="A2" s="418" t="s">
        <v>4781</v>
      </c>
      <c r="B2" s="416"/>
      <c r="C2" s="416"/>
      <c r="D2" s="416"/>
      <c r="E2" s="416"/>
      <c r="F2" s="416"/>
      <c r="G2" s="416"/>
      <c r="H2" s="416"/>
      <c r="I2" s="416"/>
      <c r="J2" s="416"/>
      <c r="K2" s="416"/>
      <c r="L2" s="416"/>
      <c r="M2" s="416"/>
      <c r="N2" s="416"/>
      <c r="O2" s="416"/>
      <c r="P2" s="416"/>
      <c r="Q2" s="416"/>
      <c r="R2" s="416"/>
      <c r="S2" s="416"/>
      <c r="T2" s="416"/>
      <c r="U2" s="416"/>
      <c r="V2" s="416"/>
      <c r="W2" s="416"/>
      <c r="X2" s="416"/>
      <c r="Y2" s="416"/>
      <c r="Z2" s="417"/>
    </row>
    <row r="3" spans="1:26" ht="46.5" customHeight="1">
      <c r="A3" s="232" t="s">
        <v>7</v>
      </c>
      <c r="B3" s="233" t="s">
        <v>9</v>
      </c>
      <c r="C3" s="232" t="s">
        <v>11</v>
      </c>
      <c r="D3" s="234" t="s">
        <v>13</v>
      </c>
      <c r="E3" s="234" t="s">
        <v>4573</v>
      </c>
      <c r="F3" s="235" t="s">
        <v>4574</v>
      </c>
      <c r="G3" s="236" t="s">
        <v>19</v>
      </c>
      <c r="H3" s="236" t="s">
        <v>4782</v>
      </c>
      <c r="I3" s="236" t="s">
        <v>4576</v>
      </c>
      <c r="J3" s="232" t="s">
        <v>1</v>
      </c>
      <c r="K3" s="234" t="s">
        <v>24</v>
      </c>
      <c r="L3" s="232" t="s">
        <v>34</v>
      </c>
      <c r="M3" s="232" t="s">
        <v>4783</v>
      </c>
      <c r="N3" s="232" t="s">
        <v>4784</v>
      </c>
      <c r="O3" s="237" t="s">
        <v>4577</v>
      </c>
      <c r="P3" s="232" t="s">
        <v>4578</v>
      </c>
      <c r="Q3" s="232" t="s">
        <v>44</v>
      </c>
      <c r="R3" s="230"/>
      <c r="S3" s="238" t="s">
        <v>4579</v>
      </c>
      <c r="T3" s="238" t="s">
        <v>4580</v>
      </c>
      <c r="U3" s="232" t="s">
        <v>4785</v>
      </c>
      <c r="V3" s="232" t="s">
        <v>4786</v>
      </c>
      <c r="W3" s="237" t="s">
        <v>4787</v>
      </c>
      <c r="X3" s="232" t="s">
        <v>4788</v>
      </c>
      <c r="Y3" s="232" t="s">
        <v>4789</v>
      </c>
      <c r="Z3" s="232" t="s">
        <v>4790</v>
      </c>
    </row>
    <row r="4" spans="1:26" ht="24.75" customHeight="1">
      <c r="A4" s="230" t="s">
        <v>4791</v>
      </c>
      <c r="B4" s="239" t="s">
        <v>4581</v>
      </c>
      <c r="C4" s="230" t="s">
        <v>4792</v>
      </c>
      <c r="D4" s="240">
        <v>42836</v>
      </c>
      <c r="E4" s="240">
        <v>42845</v>
      </c>
      <c r="F4" s="230" t="s">
        <v>4793</v>
      </c>
      <c r="G4" s="230" t="s">
        <v>4794</v>
      </c>
      <c r="H4" s="241" t="s">
        <v>4585</v>
      </c>
      <c r="I4" s="230" t="s">
        <v>51</v>
      </c>
      <c r="J4" s="238" t="s">
        <v>4795</v>
      </c>
      <c r="K4" s="230" t="s">
        <v>4796</v>
      </c>
      <c r="L4" s="242"/>
      <c r="M4" s="238" t="s">
        <v>4795</v>
      </c>
      <c r="N4" s="238" t="s">
        <v>4795</v>
      </c>
      <c r="O4" s="243" t="s">
        <v>4797</v>
      </c>
      <c r="P4" s="230" t="s">
        <v>4798</v>
      </c>
      <c r="Q4" s="242"/>
      <c r="R4" s="230"/>
      <c r="S4" s="244" t="s">
        <v>2863</v>
      </c>
      <c r="T4" s="238">
        <v>0</v>
      </c>
      <c r="U4" s="245">
        <v>29125</v>
      </c>
      <c r="V4" s="246" t="s">
        <v>4799</v>
      </c>
      <c r="W4" s="247" t="s">
        <v>4800</v>
      </c>
      <c r="X4" s="248">
        <v>157</v>
      </c>
      <c r="Y4" s="248">
        <v>59</v>
      </c>
      <c r="Z4" s="248">
        <v>23.94</v>
      </c>
    </row>
    <row r="5" spans="1:26" ht="24.75" customHeight="1">
      <c r="A5" s="230" t="s">
        <v>4791</v>
      </c>
      <c r="B5" s="239" t="s">
        <v>4581</v>
      </c>
      <c r="C5" s="240">
        <v>42859</v>
      </c>
      <c r="D5" s="249">
        <v>42842</v>
      </c>
      <c r="E5" s="249">
        <v>42851</v>
      </c>
      <c r="F5" s="230" t="s">
        <v>4801</v>
      </c>
      <c r="G5" s="230" t="s">
        <v>4802</v>
      </c>
      <c r="H5" s="241" t="s">
        <v>4585</v>
      </c>
      <c r="I5" s="230" t="s">
        <v>62</v>
      </c>
      <c r="J5" s="238" t="s">
        <v>4795</v>
      </c>
      <c r="K5" s="230" t="s">
        <v>4803</v>
      </c>
      <c r="L5" s="242"/>
      <c r="M5" s="238" t="s">
        <v>4795</v>
      </c>
      <c r="N5" s="238" t="s">
        <v>4795</v>
      </c>
      <c r="O5" s="419" t="s">
        <v>4804</v>
      </c>
      <c r="P5" s="423" t="s">
        <v>4805</v>
      </c>
      <c r="Q5" s="242"/>
      <c r="R5" s="230"/>
      <c r="S5" s="241" t="s">
        <v>4585</v>
      </c>
      <c r="T5" s="238">
        <v>9</v>
      </c>
      <c r="U5" s="250" t="s">
        <v>4806</v>
      </c>
      <c r="V5" s="251" t="s">
        <v>4807</v>
      </c>
      <c r="W5" s="238">
        <v>175</v>
      </c>
      <c r="X5" s="238">
        <v>80</v>
      </c>
      <c r="Y5" s="238">
        <v>26.12</v>
      </c>
      <c r="Z5" s="230"/>
    </row>
    <row r="6" spans="1:26" ht="24.75" customHeight="1">
      <c r="A6" s="230" t="s">
        <v>4791</v>
      </c>
      <c r="B6" s="239" t="s">
        <v>4581</v>
      </c>
      <c r="C6" s="240">
        <v>42859</v>
      </c>
      <c r="D6" s="249">
        <v>42842</v>
      </c>
      <c r="E6" s="249">
        <v>42851</v>
      </c>
      <c r="F6" s="230" t="s">
        <v>4808</v>
      </c>
      <c r="G6" s="230" t="s">
        <v>4809</v>
      </c>
      <c r="H6" s="241" t="s">
        <v>4585</v>
      </c>
      <c r="I6" s="230" t="s">
        <v>62</v>
      </c>
      <c r="J6" s="238" t="s">
        <v>4795</v>
      </c>
      <c r="K6" s="230" t="s">
        <v>4810</v>
      </c>
      <c r="L6" s="242"/>
      <c r="M6" s="238" t="s">
        <v>4795</v>
      </c>
      <c r="N6" s="238" t="s">
        <v>4795</v>
      </c>
      <c r="O6" s="420"/>
      <c r="P6" s="420"/>
      <c r="Q6" s="242"/>
      <c r="R6" s="230"/>
      <c r="S6" s="252" t="s">
        <v>4811</v>
      </c>
      <c r="T6" s="238">
        <v>0</v>
      </c>
      <c r="U6" s="253" t="s">
        <v>4806</v>
      </c>
      <c r="V6" s="254" t="s">
        <v>4807</v>
      </c>
      <c r="W6" s="248">
        <v>175</v>
      </c>
      <c r="X6" s="248">
        <v>80</v>
      </c>
      <c r="Y6" s="248">
        <v>26.12</v>
      </c>
      <c r="Z6" s="230"/>
    </row>
    <row r="7" spans="1:26" ht="24.75" customHeight="1">
      <c r="A7" s="230" t="s">
        <v>4791</v>
      </c>
      <c r="B7" s="239" t="s">
        <v>4581</v>
      </c>
      <c r="C7" s="240">
        <v>42859</v>
      </c>
      <c r="D7" s="249">
        <v>42842</v>
      </c>
      <c r="E7" s="249">
        <v>42851</v>
      </c>
      <c r="F7" s="230" t="s">
        <v>4812</v>
      </c>
      <c r="G7" s="230" t="s">
        <v>4813</v>
      </c>
      <c r="H7" s="241" t="s">
        <v>4585</v>
      </c>
      <c r="I7" s="230" t="s">
        <v>51</v>
      </c>
      <c r="J7" s="238" t="s">
        <v>4795</v>
      </c>
      <c r="K7" s="230" t="s">
        <v>4814</v>
      </c>
      <c r="L7" s="242"/>
      <c r="M7" s="238" t="s">
        <v>4795</v>
      </c>
      <c r="N7" s="238" t="s">
        <v>4795</v>
      </c>
      <c r="O7" s="421"/>
      <c r="P7" s="421"/>
      <c r="Q7" s="242"/>
      <c r="R7" s="230"/>
      <c r="S7" s="255" t="s">
        <v>4815</v>
      </c>
      <c r="T7" s="238">
        <v>0</v>
      </c>
      <c r="U7" s="230"/>
      <c r="V7" s="256"/>
      <c r="W7" s="257"/>
      <c r="X7" s="230"/>
      <c r="Y7" s="230"/>
      <c r="Z7" s="230"/>
    </row>
    <row r="8" spans="1:26" ht="24.75" customHeight="1">
      <c r="A8" s="230" t="s">
        <v>4791</v>
      </c>
      <c r="B8" s="239" t="s">
        <v>4581</v>
      </c>
      <c r="C8" s="240">
        <v>42858</v>
      </c>
      <c r="D8" s="249">
        <v>42842</v>
      </c>
      <c r="E8" s="249">
        <v>42851</v>
      </c>
      <c r="F8" s="230" t="s">
        <v>4817</v>
      </c>
      <c r="G8" s="230" t="s">
        <v>4818</v>
      </c>
      <c r="H8" s="241" t="s">
        <v>4585</v>
      </c>
      <c r="I8" s="230" t="s">
        <v>51</v>
      </c>
      <c r="J8" s="238" t="s">
        <v>4795</v>
      </c>
      <c r="K8" s="230" t="s">
        <v>4819</v>
      </c>
      <c r="L8" s="242"/>
      <c r="M8" s="238" t="s">
        <v>4795</v>
      </c>
      <c r="N8" s="238" t="s">
        <v>4795</v>
      </c>
      <c r="O8" s="258" t="s">
        <v>4820</v>
      </c>
      <c r="P8" s="230" t="s">
        <v>4805</v>
      </c>
      <c r="Q8" s="242"/>
      <c r="R8" s="230"/>
      <c r="S8" s="260" t="s">
        <v>4821</v>
      </c>
      <c r="T8" s="238">
        <v>4</v>
      </c>
      <c r="U8" s="253" t="s">
        <v>4806</v>
      </c>
      <c r="V8" s="254" t="s">
        <v>4807</v>
      </c>
      <c r="W8" s="248">
        <v>175</v>
      </c>
      <c r="X8" s="248">
        <v>80</v>
      </c>
      <c r="Y8" s="248">
        <v>26.12</v>
      </c>
      <c r="Z8" s="230"/>
    </row>
    <row r="9" spans="1:26" ht="24.75" customHeight="1">
      <c r="A9" s="230" t="s">
        <v>4791</v>
      </c>
      <c r="B9" s="239" t="s">
        <v>4581</v>
      </c>
      <c r="C9" s="262" t="s">
        <v>4822</v>
      </c>
      <c r="D9" s="249">
        <v>42842</v>
      </c>
      <c r="E9" s="249">
        <v>42851</v>
      </c>
      <c r="F9" s="230" t="s">
        <v>4823</v>
      </c>
      <c r="G9" s="230" t="s">
        <v>4824</v>
      </c>
      <c r="H9" s="241" t="s">
        <v>4585</v>
      </c>
      <c r="I9" s="230" t="s">
        <v>51</v>
      </c>
      <c r="J9" s="238" t="s">
        <v>4795</v>
      </c>
      <c r="K9" s="230" t="s">
        <v>4825</v>
      </c>
      <c r="L9" s="242"/>
      <c r="M9" s="238" t="s">
        <v>4795</v>
      </c>
      <c r="N9" s="238" t="s">
        <v>4795</v>
      </c>
      <c r="O9" s="262" t="s">
        <v>4822</v>
      </c>
      <c r="P9" s="262" t="s">
        <v>4822</v>
      </c>
      <c r="Q9" s="242"/>
      <c r="R9" s="230"/>
      <c r="S9" s="264" t="s">
        <v>4826</v>
      </c>
      <c r="T9" s="265" t="s">
        <v>4795</v>
      </c>
      <c r="U9" s="245">
        <v>27925</v>
      </c>
      <c r="V9" s="246" t="s">
        <v>4827</v>
      </c>
      <c r="W9" s="247" t="s">
        <v>4828</v>
      </c>
      <c r="X9" s="248">
        <v>157</v>
      </c>
      <c r="Y9" s="248">
        <v>72</v>
      </c>
      <c r="Z9" s="248">
        <v>29.21</v>
      </c>
    </row>
    <row r="10" spans="1:26" ht="24.75" customHeight="1">
      <c r="A10" s="230" t="s">
        <v>4791</v>
      </c>
      <c r="B10" s="239" t="s">
        <v>4581</v>
      </c>
      <c r="C10" s="240">
        <v>42859</v>
      </c>
      <c r="D10" s="249">
        <v>42842</v>
      </c>
      <c r="E10" s="249">
        <v>42851</v>
      </c>
      <c r="F10" s="230" t="s">
        <v>4829</v>
      </c>
      <c r="G10" s="230" t="s">
        <v>4830</v>
      </c>
      <c r="H10" s="241" t="s">
        <v>4585</v>
      </c>
      <c r="I10" s="230" t="s">
        <v>62</v>
      </c>
      <c r="J10" s="238" t="s">
        <v>4795</v>
      </c>
      <c r="K10" s="230" t="s">
        <v>4831</v>
      </c>
      <c r="L10" s="242"/>
      <c r="M10" s="238" t="s">
        <v>4795</v>
      </c>
      <c r="N10" s="238" t="s">
        <v>4795</v>
      </c>
      <c r="O10" s="258" t="s">
        <v>4832</v>
      </c>
      <c r="P10" s="230" t="s">
        <v>4805</v>
      </c>
      <c r="Q10" s="242"/>
      <c r="R10" s="230"/>
      <c r="S10" s="267" t="s">
        <v>4833</v>
      </c>
      <c r="T10" s="238">
        <v>0</v>
      </c>
      <c r="U10" s="230"/>
      <c r="V10" s="256"/>
      <c r="W10" s="257"/>
      <c r="X10" s="230"/>
      <c r="Y10" s="230"/>
      <c r="Z10" s="230"/>
    </row>
    <row r="11" spans="1:26" ht="24.75" customHeight="1">
      <c r="A11" s="230" t="s">
        <v>4791</v>
      </c>
      <c r="B11" s="239" t="s">
        <v>4581</v>
      </c>
      <c r="C11" s="230">
        <v>509</v>
      </c>
      <c r="D11" s="269">
        <v>42845</v>
      </c>
      <c r="E11" s="269">
        <v>42857</v>
      </c>
      <c r="F11" s="230" t="s">
        <v>4835</v>
      </c>
      <c r="G11" s="230" t="s">
        <v>4837</v>
      </c>
      <c r="H11" s="241" t="s">
        <v>4585</v>
      </c>
      <c r="I11" s="230" t="s">
        <v>62</v>
      </c>
      <c r="J11" s="238" t="s">
        <v>4795</v>
      </c>
      <c r="K11" s="230" t="s">
        <v>4838</v>
      </c>
      <c r="L11" s="242"/>
      <c r="M11" s="238" t="s">
        <v>4795</v>
      </c>
      <c r="N11" s="238" t="s">
        <v>4795</v>
      </c>
      <c r="O11" s="243" t="s">
        <v>4839</v>
      </c>
      <c r="P11" s="230" t="s">
        <v>4805</v>
      </c>
      <c r="Q11" s="242"/>
      <c r="R11" s="230"/>
      <c r="S11" s="271" t="s">
        <v>4840</v>
      </c>
      <c r="T11" s="265" t="s">
        <v>4795</v>
      </c>
      <c r="U11" s="256"/>
      <c r="V11" s="257"/>
      <c r="W11" s="230"/>
      <c r="X11" s="230"/>
      <c r="Y11" s="230"/>
      <c r="Z11" s="230"/>
    </row>
    <row r="12" spans="1:26" ht="24.75" customHeight="1">
      <c r="A12" s="230" t="s">
        <v>4791</v>
      </c>
      <c r="B12" s="239" t="s">
        <v>4581</v>
      </c>
      <c r="C12" s="230">
        <v>509</v>
      </c>
      <c r="D12" s="269">
        <v>42845</v>
      </c>
      <c r="E12" s="269">
        <v>42857</v>
      </c>
      <c r="F12" s="230" t="s">
        <v>4853</v>
      </c>
      <c r="G12" s="230" t="s">
        <v>4855</v>
      </c>
      <c r="H12" s="241" t="s">
        <v>4585</v>
      </c>
      <c r="I12" s="238" t="s">
        <v>62</v>
      </c>
      <c r="J12" s="238" t="s">
        <v>4795</v>
      </c>
      <c r="K12" s="230" t="s">
        <v>4856</v>
      </c>
      <c r="L12" s="242"/>
      <c r="M12" s="238" t="s">
        <v>4795</v>
      </c>
      <c r="N12" s="238" t="s">
        <v>4795</v>
      </c>
      <c r="O12" s="272" t="s">
        <v>4859</v>
      </c>
      <c r="P12" s="230" t="s">
        <v>4805</v>
      </c>
      <c r="Q12" s="242"/>
      <c r="R12" s="230"/>
      <c r="S12" s="273" t="s">
        <v>4878</v>
      </c>
      <c r="T12" s="238">
        <v>0</v>
      </c>
      <c r="U12" s="256"/>
      <c r="V12" s="257"/>
      <c r="W12" s="230"/>
      <c r="X12" s="230"/>
      <c r="Y12" s="230"/>
      <c r="Z12" s="230"/>
    </row>
    <row r="13" spans="1:26" ht="24.75" customHeight="1">
      <c r="A13" s="230" t="s">
        <v>4791</v>
      </c>
      <c r="B13" s="239" t="s">
        <v>4581</v>
      </c>
      <c r="C13" s="240">
        <v>42867</v>
      </c>
      <c r="D13" s="240">
        <v>42859</v>
      </c>
      <c r="E13" s="240">
        <v>42870</v>
      </c>
      <c r="F13" s="230" t="s">
        <v>4894</v>
      </c>
      <c r="G13" s="230" t="s">
        <v>4895</v>
      </c>
      <c r="H13" s="241" t="s">
        <v>4585</v>
      </c>
      <c r="I13" s="238" t="s">
        <v>62</v>
      </c>
      <c r="J13" s="238" t="s">
        <v>4795</v>
      </c>
      <c r="K13" s="238" t="s">
        <v>4897</v>
      </c>
      <c r="L13" s="242"/>
      <c r="M13" s="238" t="s">
        <v>4795</v>
      </c>
      <c r="N13" s="238" t="s">
        <v>4795</v>
      </c>
      <c r="O13" s="243" t="s">
        <v>4898</v>
      </c>
      <c r="P13" s="230" t="s">
        <v>4805</v>
      </c>
      <c r="Q13" s="242"/>
      <c r="R13" s="230"/>
      <c r="S13" s="250"/>
      <c r="T13" s="250"/>
      <c r="U13" s="246" t="s">
        <v>4899</v>
      </c>
      <c r="V13" s="254" t="s">
        <v>4900</v>
      </c>
      <c r="W13" s="248">
        <v>160</v>
      </c>
      <c r="X13" s="248">
        <v>66</v>
      </c>
      <c r="Y13" s="248">
        <v>25.78</v>
      </c>
      <c r="Z13" s="230"/>
    </row>
    <row r="14" spans="1:26" ht="24.75" customHeight="1">
      <c r="A14" s="230" t="s">
        <v>4791</v>
      </c>
      <c r="B14" s="239" t="s">
        <v>4581</v>
      </c>
      <c r="C14" s="425" t="s">
        <v>4904</v>
      </c>
      <c r="D14" s="426"/>
      <c r="E14" s="426"/>
      <c r="F14" s="426"/>
      <c r="G14" s="426"/>
      <c r="H14" s="426"/>
      <c r="I14" s="426"/>
      <c r="J14" s="426"/>
      <c r="K14" s="426"/>
      <c r="L14" s="426"/>
      <c r="M14" s="426"/>
      <c r="N14" s="426"/>
      <c r="O14" s="426"/>
      <c r="P14" s="426"/>
      <c r="Q14" s="427"/>
      <c r="R14" s="230"/>
      <c r="S14" s="250"/>
      <c r="T14" s="250"/>
      <c r="U14" s="256"/>
      <c r="V14" s="257"/>
      <c r="W14" s="230"/>
      <c r="X14" s="230"/>
      <c r="Y14" s="230"/>
      <c r="Z14" s="230"/>
    </row>
    <row r="15" spans="1:26" ht="24.75" customHeight="1">
      <c r="A15" s="230" t="s">
        <v>4791</v>
      </c>
      <c r="B15" s="239" t="s">
        <v>4581</v>
      </c>
      <c r="C15" s="428"/>
      <c r="D15" s="429"/>
      <c r="E15" s="429"/>
      <c r="F15" s="429"/>
      <c r="G15" s="429"/>
      <c r="H15" s="429"/>
      <c r="I15" s="429"/>
      <c r="J15" s="429"/>
      <c r="K15" s="429"/>
      <c r="L15" s="429"/>
      <c r="M15" s="429"/>
      <c r="N15" s="429"/>
      <c r="O15" s="429"/>
      <c r="P15" s="429"/>
      <c r="Q15" s="430"/>
      <c r="R15" s="230"/>
      <c r="S15" s="250"/>
      <c r="T15" s="250"/>
      <c r="U15" s="256"/>
      <c r="V15" s="257"/>
      <c r="W15" s="230"/>
      <c r="X15" s="230"/>
      <c r="Y15" s="230"/>
      <c r="Z15" s="230"/>
    </row>
    <row r="16" spans="1:26" ht="24.75" customHeight="1">
      <c r="A16" s="230" t="s">
        <v>4791</v>
      </c>
      <c r="B16" s="239" t="s">
        <v>4581</v>
      </c>
      <c r="C16" s="240">
        <v>42871</v>
      </c>
      <c r="D16" s="240">
        <v>42860</v>
      </c>
      <c r="E16" s="240">
        <v>42871</v>
      </c>
      <c r="F16" s="230" t="s">
        <v>4935</v>
      </c>
      <c r="G16" s="230" t="s">
        <v>4936</v>
      </c>
      <c r="H16" s="241" t="s">
        <v>4585</v>
      </c>
      <c r="I16" s="230" t="s">
        <v>51</v>
      </c>
      <c r="J16" s="230"/>
      <c r="K16" s="230" t="s">
        <v>4937</v>
      </c>
      <c r="L16" s="242"/>
      <c r="M16" s="238" t="s">
        <v>4795</v>
      </c>
      <c r="N16" s="238" t="s">
        <v>4795</v>
      </c>
      <c r="O16" s="424" t="s">
        <v>4938</v>
      </c>
      <c r="P16" s="423" t="s">
        <v>4805</v>
      </c>
      <c r="Q16" s="242"/>
      <c r="R16" s="230"/>
      <c r="S16" s="250"/>
      <c r="T16" s="250"/>
      <c r="U16" s="253" t="s">
        <v>4806</v>
      </c>
      <c r="V16" s="254" t="s">
        <v>4807</v>
      </c>
      <c r="W16" s="248">
        <v>175</v>
      </c>
      <c r="X16" s="248">
        <v>80</v>
      </c>
      <c r="Y16" s="248">
        <v>26.12</v>
      </c>
      <c r="Z16" s="230"/>
    </row>
    <row r="17" spans="1:26" ht="24.75" customHeight="1">
      <c r="A17" s="230" t="s">
        <v>4791</v>
      </c>
      <c r="B17" s="239" t="s">
        <v>4581</v>
      </c>
      <c r="C17" s="240">
        <v>42871</v>
      </c>
      <c r="D17" s="240">
        <v>42860</v>
      </c>
      <c r="E17" s="240">
        <v>42871</v>
      </c>
      <c r="F17" s="230" t="s">
        <v>4939</v>
      </c>
      <c r="G17" s="230" t="s">
        <v>4940</v>
      </c>
      <c r="H17" s="241" t="s">
        <v>4585</v>
      </c>
      <c r="I17" s="238" t="s">
        <v>62</v>
      </c>
      <c r="J17" s="230"/>
      <c r="K17" s="230" t="s">
        <v>4941</v>
      </c>
      <c r="L17" s="242"/>
      <c r="M17" s="238" t="s">
        <v>4795</v>
      </c>
      <c r="N17" s="238" t="s">
        <v>4795</v>
      </c>
      <c r="O17" s="421"/>
      <c r="P17" s="421"/>
      <c r="Q17" s="242"/>
      <c r="R17" s="230"/>
      <c r="S17" s="250"/>
      <c r="T17" s="250"/>
      <c r="U17" s="253"/>
      <c r="V17" s="254"/>
      <c r="W17" s="248"/>
      <c r="X17" s="248"/>
      <c r="Y17" s="248"/>
      <c r="Z17" s="230"/>
    </row>
    <row r="18" spans="1:26" ht="24.75" customHeight="1">
      <c r="A18" s="230" t="s">
        <v>4791</v>
      </c>
      <c r="B18" s="239" t="s">
        <v>4581</v>
      </c>
      <c r="C18" s="240">
        <v>42871</v>
      </c>
      <c r="D18" s="240">
        <v>42860</v>
      </c>
      <c r="E18" s="240">
        <v>42871</v>
      </c>
      <c r="F18" s="230" t="s">
        <v>4944</v>
      </c>
      <c r="G18" s="230" t="s">
        <v>4945</v>
      </c>
      <c r="H18" s="241" t="s">
        <v>4585</v>
      </c>
      <c r="I18" s="230" t="s">
        <v>51</v>
      </c>
      <c r="J18" s="230"/>
      <c r="K18" s="230" t="s">
        <v>4946</v>
      </c>
      <c r="L18" s="242"/>
      <c r="M18" s="238" t="s">
        <v>4795</v>
      </c>
      <c r="N18" s="238" t="s">
        <v>4795</v>
      </c>
      <c r="O18" s="431" t="s">
        <v>4947</v>
      </c>
      <c r="P18" s="423" t="s">
        <v>4805</v>
      </c>
      <c r="Q18" s="242"/>
      <c r="R18" s="230"/>
      <c r="S18" s="250"/>
      <c r="T18" s="250"/>
      <c r="U18" s="253"/>
      <c r="V18" s="254"/>
      <c r="W18" s="248"/>
      <c r="X18" s="248"/>
      <c r="Y18" s="248"/>
      <c r="Z18" s="230"/>
    </row>
    <row r="19" spans="1:26" ht="24.75" customHeight="1">
      <c r="A19" s="230" t="s">
        <v>4791</v>
      </c>
      <c r="B19" s="239" t="s">
        <v>4581</v>
      </c>
      <c r="C19" s="240">
        <v>42871</v>
      </c>
      <c r="D19" s="240">
        <v>42860</v>
      </c>
      <c r="E19" s="240">
        <v>42871</v>
      </c>
      <c r="F19" s="230" t="s">
        <v>4949</v>
      </c>
      <c r="G19" s="230" t="s">
        <v>4950</v>
      </c>
      <c r="H19" s="241" t="s">
        <v>4585</v>
      </c>
      <c r="I19" s="230" t="s">
        <v>51</v>
      </c>
      <c r="J19" s="230"/>
      <c r="K19" s="230" t="s">
        <v>4951</v>
      </c>
      <c r="L19" s="242"/>
      <c r="M19" s="238" t="s">
        <v>4795</v>
      </c>
      <c r="N19" s="238" t="s">
        <v>4795</v>
      </c>
      <c r="O19" s="420"/>
      <c r="P19" s="420"/>
      <c r="Q19" s="242"/>
      <c r="R19" s="230"/>
      <c r="S19" s="250"/>
      <c r="T19" s="250"/>
      <c r="U19" s="230"/>
      <c r="V19" s="256"/>
      <c r="W19" s="257"/>
      <c r="X19" s="230"/>
      <c r="Y19" s="230"/>
      <c r="Z19" s="230"/>
    </row>
    <row r="20" spans="1:26" ht="24.75" customHeight="1">
      <c r="A20" s="230" t="s">
        <v>4791</v>
      </c>
      <c r="B20" s="239" t="s">
        <v>4581</v>
      </c>
      <c r="C20" s="240">
        <v>42871</v>
      </c>
      <c r="D20" s="240">
        <v>42860</v>
      </c>
      <c r="E20" s="240">
        <v>42871</v>
      </c>
      <c r="F20" s="230" t="s">
        <v>4955</v>
      </c>
      <c r="G20" s="230" t="s">
        <v>4956</v>
      </c>
      <c r="H20" s="241" t="s">
        <v>4585</v>
      </c>
      <c r="I20" s="230" t="s">
        <v>51</v>
      </c>
      <c r="J20" s="230"/>
      <c r="K20" s="230" t="s">
        <v>4957</v>
      </c>
      <c r="L20" s="242"/>
      <c r="M20" s="238" t="s">
        <v>4795</v>
      </c>
      <c r="N20" s="238" t="s">
        <v>4795</v>
      </c>
      <c r="O20" s="421"/>
      <c r="P20" s="421"/>
      <c r="Q20" s="242"/>
      <c r="R20" s="230"/>
      <c r="S20" s="250"/>
      <c r="T20" s="250"/>
      <c r="U20" s="256"/>
      <c r="V20" s="257"/>
      <c r="W20" s="230"/>
      <c r="X20" s="230"/>
      <c r="Y20" s="230"/>
      <c r="Z20" s="230"/>
    </row>
    <row r="21" spans="1:26" ht="24.75" customHeight="1">
      <c r="A21" s="230" t="s">
        <v>4791</v>
      </c>
      <c r="B21" s="239" t="s">
        <v>4581</v>
      </c>
      <c r="C21" s="269">
        <v>42887</v>
      </c>
      <c r="D21" s="269">
        <v>42879</v>
      </c>
      <c r="E21" s="269">
        <v>42887</v>
      </c>
      <c r="F21" s="230" t="s">
        <v>4960</v>
      </c>
      <c r="G21" s="230" t="s">
        <v>4961</v>
      </c>
      <c r="H21" s="241" t="s">
        <v>4585</v>
      </c>
      <c r="I21" s="230" t="s">
        <v>62</v>
      </c>
      <c r="J21" s="238" t="s">
        <v>4795</v>
      </c>
      <c r="K21" s="238" t="s">
        <v>4963</v>
      </c>
      <c r="L21" s="242"/>
      <c r="M21" s="238" t="s">
        <v>4795</v>
      </c>
      <c r="N21" s="238" t="s">
        <v>4795</v>
      </c>
      <c r="O21" s="419" t="s">
        <v>4964</v>
      </c>
      <c r="P21" s="423" t="s">
        <v>4805</v>
      </c>
      <c r="Q21" s="242" t="s">
        <v>4971</v>
      </c>
      <c r="R21" s="230"/>
      <c r="S21" s="250"/>
      <c r="T21" s="250"/>
      <c r="U21" s="230"/>
      <c r="V21" s="256"/>
      <c r="W21" s="257"/>
      <c r="X21" s="230"/>
      <c r="Y21" s="230"/>
      <c r="Z21" s="230"/>
    </row>
    <row r="22" spans="1:26" ht="24.75" customHeight="1">
      <c r="A22" s="230" t="s">
        <v>4791</v>
      </c>
      <c r="B22" s="239" t="s">
        <v>4581</v>
      </c>
      <c r="C22" s="269">
        <v>42887</v>
      </c>
      <c r="D22" s="269">
        <v>42879</v>
      </c>
      <c r="E22" s="269">
        <v>42887</v>
      </c>
      <c r="F22" s="230" t="s">
        <v>4972</v>
      </c>
      <c r="G22" s="230" t="s">
        <v>4973</v>
      </c>
      <c r="H22" s="241" t="s">
        <v>4585</v>
      </c>
      <c r="I22" s="230" t="s">
        <v>51</v>
      </c>
      <c r="J22" s="230"/>
      <c r="K22" s="238" t="s">
        <v>4976</v>
      </c>
      <c r="L22" s="242"/>
      <c r="M22" s="238" t="s">
        <v>4795</v>
      </c>
      <c r="N22" s="238" t="s">
        <v>4795</v>
      </c>
      <c r="O22" s="421"/>
      <c r="P22" s="421"/>
      <c r="Q22" s="242" t="s">
        <v>4978</v>
      </c>
      <c r="R22" s="230"/>
      <c r="S22" s="250"/>
      <c r="T22" s="250"/>
      <c r="U22" s="256"/>
      <c r="V22" s="257"/>
      <c r="W22" s="230"/>
      <c r="X22" s="230"/>
      <c r="Y22" s="230"/>
      <c r="Z22" s="230"/>
    </row>
    <row r="23" spans="1:26" ht="24.75" customHeight="1">
      <c r="A23" s="230" t="s">
        <v>4791</v>
      </c>
      <c r="B23" s="239" t="s">
        <v>4581</v>
      </c>
      <c r="C23" s="240">
        <v>42888</v>
      </c>
      <c r="D23" s="269">
        <v>42880</v>
      </c>
      <c r="E23" s="269">
        <v>42888</v>
      </c>
      <c r="F23" s="230" t="s">
        <v>4980</v>
      </c>
      <c r="G23" s="230" t="s">
        <v>4982</v>
      </c>
      <c r="H23" s="241" t="s">
        <v>4585</v>
      </c>
      <c r="I23" s="230" t="s">
        <v>51</v>
      </c>
      <c r="J23" s="238" t="s">
        <v>4795</v>
      </c>
      <c r="K23" s="230" t="s">
        <v>4984</v>
      </c>
      <c r="L23" s="242"/>
      <c r="M23" s="238" t="s">
        <v>4795</v>
      </c>
      <c r="N23" s="238" t="s">
        <v>4795</v>
      </c>
      <c r="O23" s="435" t="s">
        <v>4985</v>
      </c>
      <c r="P23" s="423" t="s">
        <v>4805</v>
      </c>
      <c r="Q23" s="242" t="s">
        <v>4998</v>
      </c>
      <c r="R23" s="230"/>
      <c r="S23" s="250"/>
      <c r="T23" s="250"/>
      <c r="U23" s="230"/>
      <c r="V23" s="256"/>
      <c r="W23" s="257"/>
      <c r="X23" s="230"/>
      <c r="Y23" s="230"/>
      <c r="Z23" s="230"/>
    </row>
    <row r="24" spans="1:26" ht="24.75" customHeight="1">
      <c r="A24" s="230" t="s">
        <v>4791</v>
      </c>
      <c r="B24" s="239" t="s">
        <v>4581</v>
      </c>
      <c r="C24" s="240">
        <v>42888</v>
      </c>
      <c r="D24" s="269">
        <v>42880</v>
      </c>
      <c r="E24" s="269">
        <v>42888</v>
      </c>
      <c r="F24" s="230" t="s">
        <v>5002</v>
      </c>
      <c r="G24" s="230" t="s">
        <v>5003</v>
      </c>
      <c r="H24" s="241" t="s">
        <v>4585</v>
      </c>
      <c r="I24" s="230" t="s">
        <v>51</v>
      </c>
      <c r="J24" s="238" t="s">
        <v>4795</v>
      </c>
      <c r="K24" s="230" t="s">
        <v>5004</v>
      </c>
      <c r="L24" s="242"/>
      <c r="M24" s="238" t="s">
        <v>4795</v>
      </c>
      <c r="N24" s="238" t="s">
        <v>4795</v>
      </c>
      <c r="O24" s="420"/>
      <c r="P24" s="420"/>
      <c r="Q24" s="242" t="s">
        <v>5006</v>
      </c>
      <c r="R24" s="230"/>
      <c r="S24" s="250"/>
      <c r="T24" s="250"/>
      <c r="U24" s="256"/>
      <c r="V24" s="257"/>
      <c r="W24" s="230"/>
      <c r="X24" s="230"/>
      <c r="Y24" s="230"/>
      <c r="Z24" s="230"/>
    </row>
    <row r="25" spans="1:26" ht="24.75" customHeight="1">
      <c r="A25" s="230" t="s">
        <v>4791</v>
      </c>
      <c r="B25" s="230" t="s">
        <v>4581</v>
      </c>
      <c r="C25" s="240">
        <v>42888</v>
      </c>
      <c r="D25" s="269">
        <v>42880</v>
      </c>
      <c r="E25" s="269">
        <v>42888</v>
      </c>
      <c r="F25" s="230" t="s">
        <v>5016</v>
      </c>
      <c r="G25" s="230" t="s">
        <v>5018</v>
      </c>
      <c r="H25" s="244" t="s">
        <v>2863</v>
      </c>
      <c r="I25" s="230" t="s">
        <v>62</v>
      </c>
      <c r="J25" s="230"/>
      <c r="K25" s="230" t="s">
        <v>5020</v>
      </c>
      <c r="L25" s="242"/>
      <c r="M25" s="230"/>
      <c r="N25" s="230"/>
      <c r="O25" s="421"/>
      <c r="P25" s="421"/>
      <c r="Q25" s="242"/>
      <c r="R25" s="230"/>
      <c r="S25" s="250"/>
      <c r="T25" s="250"/>
      <c r="U25" s="230"/>
      <c r="V25" s="256"/>
      <c r="W25" s="257"/>
      <c r="X25" s="230"/>
      <c r="Y25" s="230"/>
      <c r="Z25" s="230"/>
    </row>
    <row r="26" spans="1:26" ht="24.75" customHeight="1">
      <c r="A26" s="230" t="s">
        <v>5023</v>
      </c>
      <c r="B26" s="230" t="s">
        <v>4581</v>
      </c>
      <c r="C26" s="269">
        <v>42906</v>
      </c>
      <c r="D26" s="269">
        <v>42900</v>
      </c>
      <c r="E26" s="269">
        <v>42906</v>
      </c>
      <c r="F26" s="230" t="s">
        <v>5025</v>
      </c>
      <c r="G26" s="230" t="s">
        <v>5026</v>
      </c>
      <c r="H26" s="241" t="s">
        <v>4585</v>
      </c>
      <c r="I26" s="230" t="s">
        <v>62</v>
      </c>
      <c r="J26" s="230"/>
      <c r="K26" s="238" t="s">
        <v>5027</v>
      </c>
      <c r="L26" s="242"/>
      <c r="M26" s="230"/>
      <c r="N26" s="230"/>
      <c r="O26" s="424" t="s">
        <v>5028</v>
      </c>
      <c r="P26" s="423" t="s">
        <v>5031</v>
      </c>
      <c r="Q26" s="242"/>
      <c r="R26" s="230"/>
      <c r="S26" s="250"/>
      <c r="T26" s="250"/>
      <c r="U26" s="256"/>
      <c r="V26" s="257"/>
      <c r="W26" s="230"/>
      <c r="X26" s="230"/>
      <c r="Y26" s="230"/>
      <c r="Z26" s="230"/>
    </row>
    <row r="27" spans="1:26" ht="24.75" customHeight="1">
      <c r="A27" s="230" t="s">
        <v>5023</v>
      </c>
      <c r="B27" s="230" t="s">
        <v>4581</v>
      </c>
      <c r="C27" s="269">
        <v>42906</v>
      </c>
      <c r="D27" s="269">
        <v>42900</v>
      </c>
      <c r="E27" s="269">
        <v>42906</v>
      </c>
      <c r="F27" s="230" t="s">
        <v>5033</v>
      </c>
      <c r="G27" s="230" t="s">
        <v>5034</v>
      </c>
      <c r="H27" s="241" t="s">
        <v>4585</v>
      </c>
      <c r="I27" s="230" t="s">
        <v>51</v>
      </c>
      <c r="J27" s="230"/>
      <c r="K27" s="238" t="s">
        <v>5035</v>
      </c>
      <c r="L27" s="242"/>
      <c r="M27" s="230"/>
      <c r="N27" s="230"/>
      <c r="O27" s="420"/>
      <c r="P27" s="420"/>
      <c r="Q27" s="242"/>
      <c r="R27" s="230"/>
      <c r="S27" s="250"/>
      <c r="T27" s="250"/>
      <c r="U27" s="230"/>
      <c r="V27" s="256"/>
      <c r="W27" s="257"/>
      <c r="X27" s="230"/>
      <c r="Y27" s="230"/>
      <c r="Z27" s="230"/>
    </row>
    <row r="28" spans="1:26" ht="24.75" customHeight="1">
      <c r="A28" s="230" t="s">
        <v>5023</v>
      </c>
      <c r="B28" s="230" t="s">
        <v>4581</v>
      </c>
      <c r="C28" s="269">
        <v>42906</v>
      </c>
      <c r="D28" s="269">
        <v>42900</v>
      </c>
      <c r="E28" s="269">
        <v>42906</v>
      </c>
      <c r="F28" s="230" t="s">
        <v>5036</v>
      </c>
      <c r="G28" s="230" t="s">
        <v>5037</v>
      </c>
      <c r="H28" s="241" t="s">
        <v>4585</v>
      </c>
      <c r="I28" s="230" t="s">
        <v>62</v>
      </c>
      <c r="J28" s="230"/>
      <c r="K28" s="238" t="s">
        <v>5038</v>
      </c>
      <c r="L28" s="242"/>
      <c r="M28" s="230"/>
      <c r="N28" s="230"/>
      <c r="O28" s="421"/>
      <c r="P28" s="421"/>
      <c r="Q28" s="242"/>
      <c r="R28" s="230"/>
      <c r="S28" s="250"/>
      <c r="T28" s="250"/>
      <c r="U28" s="256"/>
      <c r="V28" s="257"/>
      <c r="W28" s="230"/>
      <c r="X28" s="230"/>
      <c r="Y28" s="230"/>
      <c r="Z28" s="230"/>
    </row>
    <row r="29" spans="1:26" ht="24.75" customHeight="1">
      <c r="A29" s="230" t="s">
        <v>4791</v>
      </c>
      <c r="B29" s="230" t="s">
        <v>4581</v>
      </c>
      <c r="C29" s="240">
        <v>42907</v>
      </c>
      <c r="D29" s="269">
        <v>42902</v>
      </c>
      <c r="E29" s="269">
        <v>42908</v>
      </c>
      <c r="F29" s="230" t="s">
        <v>5039</v>
      </c>
      <c r="G29" s="230" t="s">
        <v>5040</v>
      </c>
      <c r="H29" s="241" t="s">
        <v>4585</v>
      </c>
      <c r="I29" s="230" t="s">
        <v>51</v>
      </c>
      <c r="J29" s="230"/>
      <c r="K29" s="230" t="s">
        <v>5041</v>
      </c>
      <c r="L29" s="242"/>
      <c r="M29" s="230"/>
      <c r="N29" s="230"/>
      <c r="O29" s="257" t="s">
        <v>5042</v>
      </c>
      <c r="P29" s="230" t="s">
        <v>4805</v>
      </c>
      <c r="Q29" s="242"/>
      <c r="R29" s="230"/>
      <c r="S29" s="250"/>
      <c r="T29" s="250"/>
      <c r="U29" s="230"/>
      <c r="V29" s="256"/>
      <c r="W29" s="257"/>
      <c r="X29" s="230"/>
      <c r="Y29" s="230"/>
      <c r="Z29" s="230"/>
    </row>
    <row r="30" spans="1:26" ht="24.75" customHeight="1">
      <c r="A30" s="432" t="s">
        <v>5043</v>
      </c>
      <c r="B30" s="433"/>
      <c r="C30" s="433"/>
      <c r="D30" s="433"/>
      <c r="E30" s="433"/>
      <c r="F30" s="433"/>
      <c r="G30" s="433"/>
      <c r="H30" s="433"/>
      <c r="I30" s="433"/>
      <c r="J30" s="433"/>
      <c r="K30" s="433"/>
      <c r="L30" s="433"/>
      <c r="M30" s="433"/>
      <c r="N30" s="433"/>
      <c r="O30" s="433"/>
      <c r="P30" s="433"/>
      <c r="Q30" s="433"/>
      <c r="R30" s="433"/>
      <c r="S30" s="433"/>
      <c r="T30" s="433"/>
      <c r="U30" s="433"/>
      <c r="V30" s="433"/>
      <c r="W30" s="433"/>
      <c r="X30" s="433"/>
      <c r="Y30" s="433"/>
      <c r="Z30" s="434"/>
    </row>
    <row r="31" spans="1:26" ht="24.75" customHeight="1">
      <c r="A31" s="230" t="s">
        <v>4791</v>
      </c>
      <c r="B31" s="230" t="s">
        <v>4581</v>
      </c>
      <c r="C31" s="282">
        <v>42923</v>
      </c>
      <c r="D31" s="240">
        <v>42919</v>
      </c>
      <c r="E31" s="240">
        <v>42923</v>
      </c>
      <c r="F31" s="230" t="s">
        <v>5056</v>
      </c>
      <c r="G31" s="230" t="s">
        <v>5057</v>
      </c>
      <c r="H31" s="241" t="s">
        <v>5058</v>
      </c>
      <c r="I31" s="230" t="s">
        <v>5059</v>
      </c>
      <c r="J31" s="230"/>
      <c r="K31" s="230" t="s">
        <v>5060</v>
      </c>
      <c r="L31" s="242"/>
      <c r="M31" s="230"/>
      <c r="N31" s="230"/>
      <c r="O31" s="257"/>
      <c r="P31" s="230"/>
      <c r="Q31" s="242"/>
      <c r="R31" s="230"/>
      <c r="S31" s="250"/>
      <c r="T31" s="250"/>
      <c r="U31" s="256"/>
      <c r="V31" s="257"/>
      <c r="W31" s="230"/>
      <c r="X31" s="230"/>
      <c r="Y31" s="230"/>
      <c r="Z31" s="230"/>
    </row>
    <row r="32" spans="1:26" ht="24.75" customHeight="1">
      <c r="A32" s="230" t="s">
        <v>4791</v>
      </c>
      <c r="B32" s="230" t="s">
        <v>4581</v>
      </c>
      <c r="C32" s="282">
        <v>42923</v>
      </c>
      <c r="D32" s="240">
        <v>42919</v>
      </c>
      <c r="E32" s="240">
        <v>42923</v>
      </c>
      <c r="F32" s="230" t="s">
        <v>5061</v>
      </c>
      <c r="G32" s="230" t="s">
        <v>5062</v>
      </c>
      <c r="H32" s="241" t="s">
        <v>5058</v>
      </c>
      <c r="I32" s="230" t="s">
        <v>5063</v>
      </c>
      <c r="J32" s="230"/>
      <c r="K32" s="230" t="s">
        <v>5064</v>
      </c>
      <c r="L32" s="242"/>
      <c r="M32" s="230"/>
      <c r="N32" s="230"/>
      <c r="O32" s="257"/>
      <c r="P32" s="230"/>
      <c r="Q32" s="242"/>
      <c r="R32" s="230"/>
      <c r="S32" s="250"/>
      <c r="T32" s="250"/>
      <c r="U32" s="256"/>
      <c r="V32" s="257"/>
      <c r="W32" s="230"/>
      <c r="X32" s="230"/>
      <c r="Y32" s="230"/>
      <c r="Z32" s="230"/>
    </row>
    <row r="33" spans="1:26" ht="24.75" customHeight="1">
      <c r="A33" s="230" t="s">
        <v>4791</v>
      </c>
      <c r="B33" s="230" t="s">
        <v>4581</v>
      </c>
      <c r="C33" s="282">
        <v>42923</v>
      </c>
      <c r="D33" s="240">
        <v>42919</v>
      </c>
      <c r="E33" s="240">
        <v>42923</v>
      </c>
      <c r="F33" s="230" t="s">
        <v>5068</v>
      </c>
      <c r="G33" s="230" t="s">
        <v>5069</v>
      </c>
      <c r="H33" s="241" t="s">
        <v>5058</v>
      </c>
      <c r="I33" s="230" t="s">
        <v>5070</v>
      </c>
      <c r="J33" s="230"/>
      <c r="K33" s="230" t="s">
        <v>5071</v>
      </c>
      <c r="L33" s="242"/>
      <c r="M33" s="230"/>
      <c r="N33" s="230"/>
      <c r="O33" s="257"/>
      <c r="P33" s="230"/>
      <c r="Q33" s="242"/>
      <c r="R33" s="230"/>
      <c r="S33" s="250"/>
      <c r="T33" s="250"/>
      <c r="U33" s="230"/>
      <c r="V33" s="256"/>
      <c r="W33" s="257"/>
      <c r="X33" s="230"/>
      <c r="Y33" s="230"/>
      <c r="Z33" s="230"/>
    </row>
    <row r="34" spans="1:26" ht="24.75" customHeight="1">
      <c r="A34" s="230" t="s">
        <v>4791</v>
      </c>
      <c r="B34" s="230" t="s">
        <v>4581</v>
      </c>
      <c r="C34" s="282">
        <v>42923</v>
      </c>
      <c r="D34" s="240">
        <v>42919</v>
      </c>
      <c r="E34" s="240">
        <v>42923</v>
      </c>
      <c r="F34" s="230" t="s">
        <v>5075</v>
      </c>
      <c r="G34" s="230" t="s">
        <v>5076</v>
      </c>
      <c r="H34" s="241" t="s">
        <v>5058</v>
      </c>
      <c r="I34" s="230" t="s">
        <v>5077</v>
      </c>
      <c r="J34" s="230"/>
      <c r="K34" s="230" t="s">
        <v>5078</v>
      </c>
      <c r="L34" s="242"/>
      <c r="M34" s="230"/>
      <c r="N34" s="230"/>
      <c r="O34" s="257"/>
      <c r="P34" s="230"/>
      <c r="Q34" s="242"/>
      <c r="R34" s="230"/>
      <c r="S34" s="250"/>
      <c r="T34" s="250"/>
      <c r="U34" s="256"/>
      <c r="V34" s="257"/>
      <c r="W34" s="230"/>
      <c r="X34" s="230"/>
      <c r="Y34" s="230"/>
      <c r="Z34" s="230"/>
    </row>
    <row r="35" spans="1:26" ht="24.75" customHeight="1">
      <c r="A35" s="230" t="s">
        <v>4791</v>
      </c>
      <c r="B35" s="230" t="s">
        <v>4581</v>
      </c>
      <c r="C35" s="282">
        <v>42923</v>
      </c>
      <c r="D35" s="240">
        <v>42919</v>
      </c>
      <c r="E35" s="240">
        <v>42923</v>
      </c>
      <c r="F35" s="230" t="s">
        <v>5081</v>
      </c>
      <c r="G35" s="230" t="s">
        <v>5083</v>
      </c>
      <c r="H35" s="241" t="s">
        <v>5058</v>
      </c>
      <c r="I35" s="230" t="s">
        <v>5084</v>
      </c>
      <c r="J35" s="230"/>
      <c r="K35" s="230" t="s">
        <v>5085</v>
      </c>
      <c r="L35" s="242"/>
      <c r="M35" s="230"/>
      <c r="N35" s="230"/>
      <c r="O35" s="257"/>
      <c r="P35" s="230"/>
      <c r="Q35" s="242"/>
      <c r="R35" s="230"/>
      <c r="S35" s="250"/>
      <c r="T35" s="250"/>
      <c r="U35" s="230"/>
      <c r="V35" s="256"/>
      <c r="W35" s="257"/>
      <c r="X35" s="230"/>
      <c r="Y35" s="230"/>
      <c r="Z35" s="230"/>
    </row>
    <row r="36" spans="1:26" ht="24.75" customHeight="1">
      <c r="A36" s="230" t="s">
        <v>4791</v>
      </c>
      <c r="B36" s="230" t="s">
        <v>4581</v>
      </c>
      <c r="C36" s="282">
        <v>42923</v>
      </c>
      <c r="D36" s="240">
        <v>42919</v>
      </c>
      <c r="E36" s="240">
        <v>42923</v>
      </c>
      <c r="F36" s="230" t="s">
        <v>5089</v>
      </c>
      <c r="G36" s="230" t="s">
        <v>5090</v>
      </c>
      <c r="H36" s="241" t="s">
        <v>5058</v>
      </c>
      <c r="I36" s="230" t="s">
        <v>5091</v>
      </c>
      <c r="J36" s="230"/>
      <c r="K36" s="230" t="s">
        <v>5092</v>
      </c>
      <c r="L36" s="242"/>
      <c r="M36" s="230"/>
      <c r="N36" s="230"/>
      <c r="O36" s="257"/>
      <c r="P36" s="230"/>
      <c r="Q36" s="242"/>
      <c r="R36" s="230"/>
      <c r="S36" s="250"/>
      <c r="T36" s="250"/>
      <c r="U36" s="256"/>
      <c r="V36" s="257"/>
      <c r="W36" s="230"/>
      <c r="X36" s="230"/>
      <c r="Y36" s="230"/>
      <c r="Z36" s="230"/>
    </row>
    <row r="37" spans="1:26" ht="24.75" customHeight="1">
      <c r="A37" s="230" t="s">
        <v>4791</v>
      </c>
      <c r="B37" s="230" t="s">
        <v>4581</v>
      </c>
      <c r="C37" s="282">
        <v>42923</v>
      </c>
      <c r="D37" s="240">
        <v>42919</v>
      </c>
      <c r="E37" s="240">
        <v>42923</v>
      </c>
      <c r="F37" s="230" t="s">
        <v>5096</v>
      </c>
      <c r="G37" s="230" t="s">
        <v>5097</v>
      </c>
      <c r="H37" s="241" t="s">
        <v>5058</v>
      </c>
      <c r="I37" s="230" t="s">
        <v>5098</v>
      </c>
      <c r="J37" s="230"/>
      <c r="K37" s="230" t="s">
        <v>5102</v>
      </c>
      <c r="L37" s="242"/>
      <c r="M37" s="230"/>
      <c r="N37" s="230"/>
      <c r="O37" s="257"/>
      <c r="P37" s="230"/>
      <c r="Q37" s="242"/>
      <c r="R37" s="230"/>
      <c r="S37" s="250"/>
      <c r="T37" s="250"/>
      <c r="U37" s="256"/>
      <c r="V37" s="257"/>
      <c r="W37" s="230"/>
      <c r="X37" s="230"/>
      <c r="Y37" s="230"/>
      <c r="Z37" s="230"/>
    </row>
    <row r="38" spans="1:26" ht="24.75" customHeight="1">
      <c r="A38" s="230" t="s">
        <v>5023</v>
      </c>
      <c r="B38" s="230" t="s">
        <v>4581</v>
      </c>
      <c r="C38" s="269">
        <v>42927</v>
      </c>
      <c r="D38" s="269">
        <v>42921</v>
      </c>
      <c r="E38" s="269">
        <v>42927</v>
      </c>
      <c r="F38" s="230" t="s">
        <v>5105</v>
      </c>
      <c r="G38" s="230" t="s">
        <v>5106</v>
      </c>
      <c r="H38" s="241" t="s">
        <v>4585</v>
      </c>
      <c r="I38" s="230" t="s">
        <v>62</v>
      </c>
      <c r="J38" s="230"/>
      <c r="K38" s="238" t="s">
        <v>5108</v>
      </c>
      <c r="L38" s="242"/>
      <c r="M38" s="230"/>
      <c r="N38" s="230"/>
      <c r="O38" s="257"/>
      <c r="P38" s="230"/>
      <c r="Q38" s="242"/>
      <c r="R38" s="230"/>
      <c r="S38" s="250"/>
      <c r="T38" s="250"/>
      <c r="U38" s="256"/>
      <c r="V38" s="257"/>
      <c r="W38" s="230"/>
      <c r="X38" s="230"/>
      <c r="Y38" s="230"/>
      <c r="Z38" s="230"/>
    </row>
    <row r="39" spans="1:26" ht="24.75" customHeight="1">
      <c r="A39" s="230" t="s">
        <v>5023</v>
      </c>
      <c r="B39" s="230" t="s">
        <v>4581</v>
      </c>
      <c r="C39" s="269">
        <v>42927</v>
      </c>
      <c r="D39" s="269">
        <v>42921</v>
      </c>
      <c r="E39" s="269">
        <v>42927</v>
      </c>
      <c r="F39" s="230" t="s">
        <v>5112</v>
      </c>
      <c r="G39" s="230" t="s">
        <v>5113</v>
      </c>
      <c r="H39" s="241" t="s">
        <v>4585</v>
      </c>
      <c r="I39" s="230" t="s">
        <v>62</v>
      </c>
      <c r="J39" s="230"/>
      <c r="K39" s="238" t="s">
        <v>5114</v>
      </c>
      <c r="L39" s="242"/>
      <c r="M39" s="230"/>
      <c r="N39" s="230"/>
      <c r="O39" s="257"/>
      <c r="P39" s="230"/>
      <c r="Q39" s="242"/>
      <c r="R39" s="230"/>
      <c r="S39" s="250"/>
      <c r="T39" s="250"/>
      <c r="U39" s="256"/>
      <c r="V39" s="257"/>
      <c r="W39" s="230"/>
      <c r="X39" s="230"/>
      <c r="Y39" s="230"/>
      <c r="Z39" s="230"/>
    </row>
    <row r="40" spans="1:26" ht="24.75" customHeight="1">
      <c r="A40" s="230" t="s">
        <v>5023</v>
      </c>
      <c r="B40" s="230" t="s">
        <v>4581</v>
      </c>
      <c r="C40" s="269">
        <v>42927</v>
      </c>
      <c r="D40" s="269">
        <v>42921</v>
      </c>
      <c r="E40" s="269">
        <v>42927</v>
      </c>
      <c r="F40" s="230" t="s">
        <v>5118</v>
      </c>
      <c r="G40" s="230" t="s">
        <v>5119</v>
      </c>
      <c r="H40" s="241" t="s">
        <v>4585</v>
      </c>
      <c r="I40" s="230" t="s">
        <v>51</v>
      </c>
      <c r="J40" s="230"/>
      <c r="K40" s="238" t="s">
        <v>5120</v>
      </c>
      <c r="L40" s="242"/>
      <c r="M40" s="230"/>
      <c r="N40" s="230"/>
      <c r="O40" s="257"/>
      <c r="P40" s="230"/>
      <c r="Q40" s="242"/>
      <c r="R40" s="230"/>
      <c r="S40" s="250"/>
      <c r="T40" s="250"/>
      <c r="U40" s="230"/>
      <c r="V40" s="256"/>
      <c r="W40" s="257"/>
      <c r="X40" s="230"/>
      <c r="Y40" s="230"/>
      <c r="Z40" s="230"/>
    </row>
    <row r="41" spans="1:26" ht="24.75" customHeight="1">
      <c r="A41" s="230" t="s">
        <v>4791</v>
      </c>
      <c r="B41" s="230" t="s">
        <v>4581</v>
      </c>
      <c r="C41" s="269">
        <v>42934</v>
      </c>
      <c r="D41" s="269">
        <v>42928</v>
      </c>
      <c r="E41" s="269">
        <v>42934</v>
      </c>
      <c r="F41" s="230" t="s">
        <v>5124</v>
      </c>
      <c r="G41" s="230" t="s">
        <v>5125</v>
      </c>
      <c r="H41" s="241" t="s">
        <v>4585</v>
      </c>
      <c r="I41" s="230" t="s">
        <v>51</v>
      </c>
      <c r="J41" s="230"/>
      <c r="K41" s="238" t="s">
        <v>5126</v>
      </c>
      <c r="L41" s="242"/>
      <c r="M41" s="230"/>
      <c r="N41" s="230"/>
      <c r="O41" s="257"/>
      <c r="P41" s="230"/>
      <c r="Q41" s="242"/>
      <c r="R41" s="230"/>
      <c r="S41" s="250"/>
      <c r="T41" s="250"/>
      <c r="U41" s="256"/>
      <c r="V41" s="257"/>
      <c r="W41" s="230"/>
      <c r="X41" s="230"/>
      <c r="Y41" s="230"/>
      <c r="Z41" s="230"/>
    </row>
    <row r="42" spans="1:26" ht="24.75" customHeight="1">
      <c r="A42" s="230" t="s">
        <v>4791</v>
      </c>
      <c r="B42" s="230" t="s">
        <v>4581</v>
      </c>
      <c r="C42" s="269">
        <v>42936</v>
      </c>
      <c r="D42" s="269">
        <v>42930</v>
      </c>
      <c r="E42" s="269">
        <v>42936</v>
      </c>
      <c r="F42" s="230" t="s">
        <v>5132</v>
      </c>
      <c r="G42" s="230" t="s">
        <v>5133</v>
      </c>
      <c r="H42" s="241" t="s">
        <v>4585</v>
      </c>
      <c r="I42" s="230" t="s">
        <v>51</v>
      </c>
      <c r="J42" s="230"/>
      <c r="K42" s="238" t="s">
        <v>5135</v>
      </c>
      <c r="L42" s="242"/>
      <c r="M42" s="230"/>
      <c r="N42" s="230"/>
      <c r="O42" s="243" t="s">
        <v>5136</v>
      </c>
      <c r="P42" s="230" t="s">
        <v>4805</v>
      </c>
      <c r="Q42" s="242"/>
      <c r="R42" s="230"/>
      <c r="S42" s="250"/>
      <c r="T42" s="250"/>
      <c r="U42" s="230"/>
      <c r="V42" s="256"/>
      <c r="W42" s="257"/>
      <c r="X42" s="230"/>
      <c r="Y42" s="230"/>
      <c r="Z42" s="230"/>
    </row>
    <row r="43" spans="1:26" ht="24.75" customHeight="1">
      <c r="A43" s="230"/>
      <c r="B43" s="230"/>
      <c r="C43" s="230"/>
      <c r="D43" s="230"/>
      <c r="E43" s="230"/>
      <c r="F43" s="230"/>
      <c r="G43" s="230"/>
      <c r="H43" s="230"/>
      <c r="I43" s="230"/>
      <c r="J43" s="230"/>
      <c r="K43" s="230"/>
      <c r="L43" s="242"/>
      <c r="M43" s="230"/>
      <c r="N43" s="230"/>
      <c r="O43" s="257"/>
      <c r="P43" s="230"/>
      <c r="Q43" s="242"/>
      <c r="R43" s="230"/>
      <c r="S43" s="250"/>
      <c r="T43" s="250"/>
      <c r="U43" s="256"/>
      <c r="V43" s="257"/>
      <c r="W43" s="230"/>
      <c r="X43" s="230"/>
      <c r="Y43" s="230"/>
      <c r="Z43" s="230"/>
    </row>
    <row r="44" spans="1:26" ht="24.75" customHeight="1">
      <c r="A44" s="230"/>
      <c r="B44" s="230"/>
      <c r="C44" s="230"/>
      <c r="D44" s="230"/>
      <c r="E44" s="230"/>
      <c r="F44" s="230"/>
      <c r="G44" s="230"/>
      <c r="H44" s="230"/>
      <c r="I44" s="230"/>
      <c r="J44" s="230"/>
      <c r="K44" s="230"/>
      <c r="L44" s="242"/>
      <c r="M44" s="230"/>
      <c r="N44" s="230"/>
      <c r="O44" s="257"/>
      <c r="P44" s="230"/>
      <c r="Q44" s="242"/>
      <c r="R44" s="230"/>
      <c r="S44" s="250"/>
      <c r="T44" s="250"/>
      <c r="U44" s="256"/>
      <c r="V44" s="257"/>
      <c r="W44" s="230"/>
      <c r="X44" s="230"/>
      <c r="Y44" s="230"/>
      <c r="Z44" s="230"/>
    </row>
    <row r="45" spans="1:26" ht="24.75" customHeight="1">
      <c r="A45" s="230"/>
      <c r="B45" s="230"/>
      <c r="C45" s="230"/>
      <c r="D45" s="230"/>
      <c r="E45" s="230"/>
      <c r="F45" s="230"/>
      <c r="G45" s="230"/>
      <c r="H45" s="230"/>
      <c r="I45" s="230"/>
      <c r="J45" s="230"/>
      <c r="K45" s="230"/>
      <c r="L45" s="242"/>
      <c r="M45" s="230"/>
      <c r="N45" s="230"/>
      <c r="O45" s="257"/>
      <c r="P45" s="230"/>
      <c r="Q45" s="242"/>
      <c r="R45" s="230"/>
      <c r="S45" s="250"/>
      <c r="T45" s="250"/>
      <c r="U45" s="256"/>
      <c r="V45" s="257"/>
      <c r="W45" s="230"/>
      <c r="X45" s="230"/>
      <c r="Y45" s="230"/>
      <c r="Z45" s="230"/>
    </row>
    <row r="46" spans="1:26" ht="24.75" customHeight="1">
      <c r="A46" s="230"/>
      <c r="B46" s="230"/>
      <c r="C46" s="230"/>
      <c r="D46" s="230"/>
      <c r="E46" s="230"/>
      <c r="F46" s="230"/>
      <c r="G46" s="230"/>
      <c r="H46" s="230"/>
      <c r="I46" s="230"/>
      <c r="J46" s="230"/>
      <c r="K46" s="230"/>
      <c r="L46" s="242"/>
      <c r="M46" s="230"/>
      <c r="N46" s="230"/>
      <c r="O46" s="257"/>
      <c r="P46" s="230"/>
      <c r="Q46" s="242"/>
      <c r="R46" s="230"/>
      <c r="S46" s="250"/>
      <c r="T46" s="250"/>
      <c r="U46" s="256"/>
      <c r="V46" s="257"/>
      <c r="W46" s="230"/>
      <c r="X46" s="230"/>
      <c r="Y46" s="230"/>
      <c r="Z46" s="230"/>
    </row>
    <row r="47" spans="1:26" ht="24.75" customHeight="1">
      <c r="A47" s="230"/>
      <c r="B47" s="230"/>
      <c r="C47" s="230"/>
      <c r="D47" s="230"/>
      <c r="E47" s="230"/>
      <c r="F47" s="230"/>
      <c r="G47" s="230"/>
      <c r="H47" s="230"/>
      <c r="I47" s="230"/>
      <c r="J47" s="230"/>
      <c r="K47" s="230"/>
      <c r="L47" s="242"/>
      <c r="M47" s="230"/>
      <c r="N47" s="230"/>
      <c r="O47" s="257"/>
      <c r="P47" s="230"/>
      <c r="Q47" s="242"/>
      <c r="R47" s="230"/>
      <c r="S47" s="250"/>
      <c r="T47" s="250"/>
      <c r="U47" s="230"/>
      <c r="V47" s="256"/>
      <c r="W47" s="257"/>
      <c r="X47" s="230"/>
      <c r="Y47" s="230"/>
      <c r="Z47" s="230"/>
    </row>
    <row r="48" spans="1:26" ht="24.75" customHeight="1">
      <c r="A48" s="230"/>
      <c r="B48" s="230"/>
      <c r="C48" s="230"/>
      <c r="D48" s="230"/>
      <c r="E48" s="230"/>
      <c r="F48" s="230"/>
      <c r="G48" s="230"/>
      <c r="H48" s="230"/>
      <c r="I48" s="230"/>
      <c r="J48" s="230"/>
      <c r="K48" s="230"/>
      <c r="L48" s="242"/>
      <c r="M48" s="230"/>
      <c r="N48" s="230"/>
      <c r="O48" s="257"/>
      <c r="P48" s="230"/>
      <c r="Q48" s="242"/>
      <c r="R48" s="230"/>
      <c r="S48" s="250"/>
      <c r="T48" s="250"/>
      <c r="U48" s="256"/>
      <c r="V48" s="257"/>
      <c r="W48" s="230"/>
      <c r="X48" s="230"/>
      <c r="Y48" s="230"/>
      <c r="Z48" s="230"/>
    </row>
    <row r="49" spans="1:26" ht="24.75" customHeight="1">
      <c r="A49" s="230"/>
      <c r="B49" s="230"/>
      <c r="C49" s="230"/>
      <c r="D49" s="230"/>
      <c r="E49" s="230"/>
      <c r="F49" s="230"/>
      <c r="G49" s="230"/>
      <c r="H49" s="230"/>
      <c r="I49" s="230"/>
      <c r="J49" s="230"/>
      <c r="K49" s="230"/>
      <c r="L49" s="242"/>
      <c r="M49" s="230"/>
      <c r="N49" s="230"/>
      <c r="O49" s="257"/>
      <c r="P49" s="230"/>
      <c r="Q49" s="242"/>
      <c r="R49" s="230"/>
      <c r="S49" s="250"/>
      <c r="T49" s="250"/>
      <c r="U49" s="230"/>
      <c r="V49" s="256"/>
      <c r="W49" s="257"/>
      <c r="X49" s="230"/>
      <c r="Y49" s="230"/>
      <c r="Z49" s="230"/>
    </row>
    <row r="50" spans="1:26" ht="24.75" customHeight="1">
      <c r="A50" s="230"/>
      <c r="B50" s="230"/>
      <c r="C50" s="230"/>
      <c r="D50" s="230"/>
      <c r="E50" s="230"/>
      <c r="F50" s="230"/>
      <c r="G50" s="230"/>
      <c r="H50" s="230"/>
      <c r="I50" s="230"/>
      <c r="J50" s="230"/>
      <c r="K50" s="230"/>
      <c r="L50" s="242"/>
      <c r="M50" s="230"/>
      <c r="N50" s="230"/>
      <c r="O50" s="257"/>
      <c r="P50" s="230"/>
      <c r="Q50" s="242"/>
      <c r="R50" s="230"/>
      <c r="S50" s="250"/>
      <c r="T50" s="250"/>
      <c r="U50" s="256"/>
      <c r="V50" s="257"/>
      <c r="W50" s="230"/>
      <c r="X50" s="230"/>
      <c r="Y50" s="230"/>
      <c r="Z50" s="230"/>
    </row>
    <row r="51" spans="1:26" ht="24.75" customHeight="1">
      <c r="A51" s="230"/>
      <c r="B51" s="230"/>
      <c r="C51" s="230"/>
      <c r="D51" s="230"/>
      <c r="E51" s="230"/>
      <c r="F51" s="230"/>
      <c r="G51" s="230"/>
      <c r="H51" s="230"/>
      <c r="I51" s="230"/>
      <c r="J51" s="230"/>
      <c r="K51" s="230"/>
      <c r="L51" s="242"/>
      <c r="M51" s="230"/>
      <c r="N51" s="230"/>
      <c r="O51" s="257"/>
      <c r="P51" s="230"/>
      <c r="Q51" s="242"/>
      <c r="R51" s="230"/>
      <c r="S51" s="250"/>
      <c r="T51" s="250"/>
      <c r="U51" s="256"/>
      <c r="V51" s="257"/>
      <c r="W51" s="230"/>
      <c r="X51" s="230"/>
      <c r="Y51" s="230"/>
      <c r="Z51" s="230"/>
    </row>
    <row r="52" spans="1:26" ht="24.75" customHeight="1">
      <c r="A52" s="230"/>
      <c r="B52" s="230"/>
      <c r="C52" s="230"/>
      <c r="D52" s="230"/>
      <c r="E52" s="230"/>
      <c r="F52" s="230"/>
      <c r="G52" s="285" t="s">
        <v>5152</v>
      </c>
      <c r="H52" s="244" t="s">
        <v>2863</v>
      </c>
      <c r="I52" s="230"/>
      <c r="J52" s="286" t="s">
        <v>5153</v>
      </c>
      <c r="K52" s="230"/>
      <c r="L52" s="242"/>
      <c r="M52" s="230"/>
      <c r="N52" s="230"/>
      <c r="O52" s="257"/>
      <c r="P52" s="230"/>
      <c r="Q52" s="242"/>
      <c r="R52" s="230"/>
      <c r="S52" s="250"/>
      <c r="T52" s="250"/>
      <c r="U52" s="256"/>
      <c r="V52" s="257"/>
      <c r="W52" s="230"/>
      <c r="X52" s="230"/>
      <c r="Y52" s="230"/>
      <c r="Z52" s="230"/>
    </row>
    <row r="53" spans="1:26" ht="24.75" customHeight="1">
      <c r="A53" s="230"/>
      <c r="B53" s="230"/>
      <c r="C53" s="230"/>
      <c r="D53" s="230"/>
      <c r="E53" s="230"/>
      <c r="F53" s="230"/>
      <c r="G53" s="285" t="s">
        <v>5154</v>
      </c>
      <c r="H53" s="244" t="s">
        <v>2863</v>
      </c>
      <c r="I53" s="230"/>
      <c r="J53" s="230"/>
      <c r="K53" s="230"/>
      <c r="L53" s="242"/>
      <c r="M53" s="230"/>
      <c r="N53" s="230"/>
      <c r="O53" s="257"/>
      <c r="P53" s="230"/>
      <c r="Q53" s="242"/>
      <c r="R53" s="230"/>
      <c r="S53" s="250"/>
      <c r="T53" s="250"/>
      <c r="U53" s="256"/>
      <c r="V53" s="257"/>
      <c r="W53" s="230"/>
      <c r="X53" s="230"/>
      <c r="Y53" s="230"/>
      <c r="Z53" s="230"/>
    </row>
    <row r="54" spans="1:26" ht="24.75" customHeight="1">
      <c r="A54" s="230"/>
      <c r="B54" s="230"/>
      <c r="C54" s="230"/>
      <c r="D54" s="230"/>
      <c r="E54" s="230"/>
      <c r="F54" s="230"/>
      <c r="G54" s="285" t="s">
        <v>5155</v>
      </c>
      <c r="H54" s="244" t="s">
        <v>2863</v>
      </c>
      <c r="I54" s="230"/>
      <c r="J54" s="230"/>
      <c r="K54" s="230"/>
      <c r="L54" s="242"/>
      <c r="M54" s="230"/>
      <c r="N54" s="230"/>
      <c r="O54" s="257"/>
      <c r="P54" s="230"/>
      <c r="Q54" s="242"/>
      <c r="R54" s="230"/>
      <c r="S54" s="250"/>
      <c r="T54" s="250"/>
      <c r="U54" s="230"/>
      <c r="V54" s="256"/>
      <c r="W54" s="257"/>
      <c r="X54" s="230"/>
      <c r="Y54" s="230"/>
      <c r="Z54" s="230"/>
    </row>
    <row r="55" spans="1:26" ht="24.75" customHeight="1">
      <c r="A55" s="230"/>
      <c r="B55" s="230"/>
      <c r="C55" s="230"/>
      <c r="D55" s="230"/>
      <c r="E55" s="230"/>
      <c r="F55" s="230"/>
      <c r="G55" s="285" t="s">
        <v>5156</v>
      </c>
      <c r="H55" s="244" t="s">
        <v>2863</v>
      </c>
      <c r="I55" s="230"/>
      <c r="J55" s="230"/>
      <c r="K55" s="230"/>
      <c r="L55" s="242"/>
      <c r="M55" s="230"/>
      <c r="N55" s="230"/>
      <c r="O55" s="257"/>
      <c r="P55" s="230"/>
      <c r="Q55" s="242"/>
      <c r="R55" s="230"/>
      <c r="S55" s="250"/>
      <c r="T55" s="250"/>
      <c r="U55" s="230"/>
      <c r="V55" s="256"/>
      <c r="W55" s="257"/>
      <c r="X55" s="230"/>
      <c r="Y55" s="230"/>
      <c r="Z55" s="230"/>
    </row>
    <row r="56" spans="1:26" ht="24.75" customHeight="1">
      <c r="A56" s="230"/>
      <c r="B56" s="230"/>
      <c r="C56" s="230"/>
      <c r="D56" s="230"/>
      <c r="E56" s="230"/>
      <c r="F56" s="230"/>
      <c r="G56" s="230"/>
      <c r="H56" s="230"/>
      <c r="I56" s="230"/>
      <c r="J56" s="230"/>
      <c r="K56" s="230"/>
      <c r="L56" s="242"/>
      <c r="M56" s="230"/>
      <c r="N56" s="230"/>
      <c r="O56" s="257"/>
      <c r="P56" s="230"/>
      <c r="Q56" s="242"/>
      <c r="R56" s="250"/>
      <c r="S56" s="250"/>
      <c r="T56" s="250"/>
      <c r="U56" s="230"/>
      <c r="V56" s="256"/>
      <c r="W56" s="257"/>
      <c r="X56" s="230"/>
      <c r="Y56" s="230"/>
      <c r="Z56" s="230"/>
    </row>
    <row r="57" spans="1:26" ht="24.75" customHeight="1">
      <c r="A57" s="230"/>
      <c r="B57" s="230"/>
      <c r="C57" s="230"/>
      <c r="D57" s="230"/>
      <c r="E57" s="230"/>
      <c r="F57" s="230"/>
      <c r="G57" s="230"/>
      <c r="H57" s="230"/>
      <c r="I57" s="230"/>
      <c r="J57" s="230"/>
      <c r="K57" s="230"/>
      <c r="L57" s="242"/>
      <c r="M57" s="230"/>
      <c r="N57" s="230"/>
      <c r="O57" s="257"/>
      <c r="P57" s="230"/>
      <c r="Q57" s="242"/>
      <c r="R57" s="250"/>
      <c r="S57" s="250"/>
      <c r="T57" s="250"/>
      <c r="U57" s="230"/>
      <c r="V57" s="256"/>
      <c r="W57" s="257"/>
      <c r="X57" s="230"/>
      <c r="Y57" s="230"/>
      <c r="Z57" s="230"/>
    </row>
    <row r="58" spans="1:26" ht="24.75" customHeight="1">
      <c r="A58" s="230"/>
      <c r="B58" s="230" t="s">
        <v>4581</v>
      </c>
      <c r="C58" s="230"/>
      <c r="D58" s="230"/>
      <c r="E58" s="230"/>
      <c r="F58" s="230" t="s">
        <v>5157</v>
      </c>
      <c r="G58" s="287" t="s">
        <v>5158</v>
      </c>
      <c r="H58" s="270" t="s">
        <v>4585</v>
      </c>
      <c r="I58" s="230"/>
      <c r="J58" s="230"/>
      <c r="K58" s="230"/>
      <c r="L58" s="242"/>
      <c r="M58" s="230"/>
      <c r="N58" s="230"/>
      <c r="O58" s="257"/>
      <c r="P58" s="230"/>
      <c r="Q58" s="242"/>
      <c r="R58" s="230"/>
      <c r="S58" s="250"/>
      <c r="T58" s="250"/>
      <c r="U58" s="230"/>
      <c r="V58" s="256"/>
      <c r="W58" s="257"/>
      <c r="X58" s="230"/>
      <c r="Y58" s="230"/>
      <c r="Z58" s="230"/>
    </row>
    <row r="59" spans="1:26" ht="24.75" customHeight="1">
      <c r="A59" s="230"/>
      <c r="B59" s="230"/>
      <c r="C59" s="230"/>
      <c r="D59" s="230"/>
      <c r="E59" s="230"/>
      <c r="F59" s="230"/>
      <c r="G59" s="230"/>
      <c r="H59" s="230"/>
      <c r="I59" s="242"/>
      <c r="J59" s="230"/>
      <c r="K59" s="230"/>
      <c r="L59" s="257"/>
      <c r="M59" s="230"/>
      <c r="N59" s="242"/>
      <c r="O59" s="230"/>
      <c r="P59" s="250"/>
      <c r="Q59" s="250"/>
      <c r="R59" s="250"/>
      <c r="S59" s="250"/>
      <c r="T59" s="250"/>
      <c r="U59" s="230"/>
      <c r="V59" s="256"/>
      <c r="W59" s="257"/>
      <c r="X59" s="230"/>
      <c r="Y59" s="230"/>
      <c r="Z59" s="230"/>
    </row>
    <row r="60" spans="1:26" ht="24.75" customHeight="1">
      <c r="A60" s="230"/>
      <c r="B60" s="230"/>
      <c r="C60" s="230"/>
      <c r="D60" s="230"/>
      <c r="E60" s="230"/>
      <c r="F60" s="230"/>
      <c r="G60" s="230"/>
      <c r="H60" s="230"/>
      <c r="I60" s="242"/>
      <c r="J60" s="230"/>
      <c r="K60" s="230"/>
      <c r="L60" s="257"/>
      <c r="M60" s="230"/>
      <c r="N60" s="242"/>
      <c r="O60" s="230"/>
      <c r="P60" s="250"/>
      <c r="Q60" s="250"/>
      <c r="R60" s="230"/>
      <c r="S60" s="250"/>
      <c r="T60" s="250"/>
      <c r="U60" s="288">
        <v>25278</v>
      </c>
      <c r="V60" s="246" t="s">
        <v>5159</v>
      </c>
      <c r="W60" s="247" t="s">
        <v>5160</v>
      </c>
      <c r="X60" s="248">
        <v>160</v>
      </c>
      <c r="Y60" s="248">
        <v>70.7</v>
      </c>
      <c r="Z60" s="248">
        <v>27.62</v>
      </c>
    </row>
    <row r="61" spans="1:26" ht="24.75" customHeight="1">
      <c r="A61" s="230"/>
      <c r="B61" s="230"/>
      <c r="C61" s="230"/>
      <c r="D61" s="230"/>
      <c r="E61" s="230"/>
      <c r="F61" s="230"/>
      <c r="G61" s="230"/>
      <c r="H61" s="242"/>
      <c r="I61" s="230"/>
      <c r="J61" s="230"/>
      <c r="K61" s="257"/>
      <c r="L61" s="230"/>
      <c r="M61" s="242"/>
      <c r="N61" s="230"/>
      <c r="O61" s="250"/>
      <c r="P61" s="250"/>
      <c r="Q61" s="256"/>
      <c r="R61" s="230"/>
      <c r="S61" s="256"/>
      <c r="T61" s="257"/>
      <c r="U61" s="230"/>
      <c r="V61" s="230"/>
      <c r="W61" s="230"/>
      <c r="X61" s="230"/>
      <c r="Y61" s="230"/>
      <c r="Z61" s="230"/>
    </row>
    <row r="62" spans="1:26" ht="24.75" customHeight="1">
      <c r="A62" s="230"/>
      <c r="B62" s="230"/>
      <c r="C62" s="230"/>
      <c r="D62" s="230"/>
      <c r="E62" s="230"/>
      <c r="F62" s="230"/>
      <c r="G62" s="230"/>
      <c r="H62" s="230"/>
      <c r="I62" s="230"/>
      <c r="J62" s="230"/>
      <c r="K62" s="230"/>
      <c r="L62" s="242"/>
      <c r="M62" s="230"/>
      <c r="N62" s="230"/>
      <c r="O62" s="257"/>
      <c r="P62" s="230"/>
      <c r="Q62" s="242"/>
      <c r="R62" s="230"/>
      <c r="S62" s="256"/>
      <c r="T62" s="257"/>
      <c r="U62" s="230"/>
      <c r="V62" s="230"/>
      <c r="W62" s="230"/>
      <c r="X62" s="230"/>
      <c r="Y62" s="230"/>
      <c r="Z62" s="230"/>
    </row>
    <row r="63" spans="1:26" ht="24.75" customHeight="1">
      <c r="A63" s="230"/>
      <c r="B63" s="230"/>
      <c r="C63" s="230"/>
      <c r="D63" s="230"/>
      <c r="E63" s="230"/>
      <c r="F63" s="230"/>
      <c r="G63" s="230"/>
      <c r="H63" s="230"/>
      <c r="I63" s="230"/>
      <c r="J63" s="230"/>
      <c r="K63" s="230"/>
      <c r="L63" s="242"/>
      <c r="M63" s="230"/>
      <c r="N63" s="230"/>
      <c r="O63" s="257"/>
      <c r="P63" s="230"/>
      <c r="Q63" s="242"/>
      <c r="R63" s="257"/>
      <c r="S63" s="230"/>
      <c r="T63" s="230"/>
      <c r="U63" s="230"/>
      <c r="V63" s="230"/>
      <c r="W63" s="230"/>
      <c r="X63" s="230"/>
      <c r="Y63" s="230"/>
      <c r="Z63" s="230"/>
    </row>
    <row r="64" spans="1:26" ht="24.75" customHeight="1">
      <c r="A64" s="230"/>
      <c r="B64" s="230"/>
      <c r="C64" s="230"/>
      <c r="D64" s="230"/>
      <c r="E64" s="230"/>
      <c r="F64" s="230"/>
      <c r="G64" s="230"/>
      <c r="H64" s="230"/>
      <c r="I64" s="230"/>
      <c r="J64" s="230"/>
      <c r="K64" s="230"/>
      <c r="L64" s="242"/>
      <c r="M64" s="230"/>
      <c r="N64" s="230"/>
      <c r="O64" s="257"/>
      <c r="P64" s="230"/>
      <c r="Q64" s="242"/>
      <c r="R64" s="230"/>
      <c r="S64" s="250"/>
      <c r="T64" s="250"/>
      <c r="U64" s="245">
        <v>25409</v>
      </c>
      <c r="V64" s="246" t="s">
        <v>5161</v>
      </c>
      <c r="W64" s="247" t="s">
        <v>5162</v>
      </c>
      <c r="X64" s="248">
        <v>158</v>
      </c>
      <c r="Y64" s="248">
        <v>63</v>
      </c>
      <c r="Z64" s="248">
        <v>25.24</v>
      </c>
    </row>
    <row r="65" spans="1:26" ht="24.75" customHeight="1">
      <c r="A65" s="230"/>
      <c r="B65" s="230"/>
      <c r="C65" s="230"/>
      <c r="D65" s="230"/>
      <c r="E65" s="230"/>
      <c r="F65" s="230"/>
      <c r="G65" s="230"/>
      <c r="H65" s="230"/>
      <c r="I65" s="230"/>
      <c r="J65" s="230"/>
      <c r="K65" s="230"/>
      <c r="L65" s="242"/>
      <c r="M65" s="230"/>
      <c r="N65" s="230"/>
      <c r="O65" s="257"/>
      <c r="P65" s="230"/>
      <c r="Q65" s="242"/>
      <c r="R65" s="230"/>
      <c r="S65" s="250"/>
      <c r="T65" s="250"/>
      <c r="U65" s="288">
        <v>24312</v>
      </c>
      <c r="V65" s="253" t="s">
        <v>5163</v>
      </c>
      <c r="W65" s="254" t="s">
        <v>5164</v>
      </c>
      <c r="X65" s="248">
        <v>161</v>
      </c>
      <c r="Y65" s="248">
        <v>68.5</v>
      </c>
      <c r="Z65" s="248">
        <v>26.43</v>
      </c>
    </row>
    <row r="66" spans="1:26" ht="24.75" customHeight="1">
      <c r="A66" s="230"/>
      <c r="B66" s="230"/>
      <c r="C66" s="230"/>
      <c r="D66" s="230"/>
      <c r="E66" s="230"/>
      <c r="F66" s="230"/>
      <c r="G66" s="230"/>
      <c r="H66" s="230"/>
      <c r="I66" s="230"/>
      <c r="J66" s="230"/>
      <c r="K66" s="230"/>
      <c r="L66" s="242"/>
      <c r="M66" s="230"/>
      <c r="N66" s="230"/>
      <c r="O66" s="257"/>
      <c r="P66" s="230"/>
      <c r="Q66" s="242"/>
      <c r="R66" s="230"/>
      <c r="S66" s="250"/>
      <c r="T66" s="250"/>
      <c r="U66" s="245">
        <v>27925</v>
      </c>
      <c r="V66" s="246" t="s">
        <v>4827</v>
      </c>
      <c r="W66" s="247" t="s">
        <v>4828</v>
      </c>
      <c r="X66" s="248">
        <v>157</v>
      </c>
      <c r="Y66" s="248">
        <v>72</v>
      </c>
      <c r="Z66" s="248">
        <v>29.21</v>
      </c>
    </row>
    <row r="67" spans="1:26" ht="24" customHeight="1">
      <c r="A67" s="230"/>
      <c r="B67" s="230"/>
      <c r="C67" s="230"/>
      <c r="D67" s="230"/>
      <c r="E67" s="230"/>
      <c r="F67" s="230"/>
      <c r="G67" s="230"/>
      <c r="H67" s="230"/>
      <c r="I67" s="230"/>
      <c r="J67" s="230"/>
      <c r="K67" s="230"/>
      <c r="L67" s="242"/>
      <c r="M67" s="230"/>
      <c r="N67" s="230"/>
      <c r="O67" s="257"/>
      <c r="P67" s="230"/>
      <c r="Q67" s="242"/>
      <c r="R67" s="230"/>
      <c r="S67" s="250"/>
      <c r="T67" s="250"/>
      <c r="U67" s="288">
        <v>25278</v>
      </c>
      <c r="V67" s="246" t="s">
        <v>5159</v>
      </c>
      <c r="W67" s="247" t="s">
        <v>5160</v>
      </c>
      <c r="X67" s="248">
        <v>160</v>
      </c>
      <c r="Y67" s="248">
        <v>70.7</v>
      </c>
      <c r="Z67" s="248">
        <v>27.62</v>
      </c>
    </row>
    <row r="68" spans="1:26" ht="24.75" customHeight="1">
      <c r="A68" s="230"/>
      <c r="B68" s="230"/>
      <c r="C68" s="230"/>
      <c r="D68" s="230"/>
      <c r="E68" s="230"/>
      <c r="F68" s="230"/>
      <c r="G68" s="230"/>
      <c r="H68" s="230"/>
      <c r="I68" s="230"/>
      <c r="J68" s="230"/>
      <c r="K68" s="230"/>
      <c r="L68" s="242"/>
      <c r="M68" s="230"/>
      <c r="N68" s="230"/>
      <c r="O68" s="257"/>
      <c r="P68" s="230"/>
      <c r="Q68" s="242"/>
      <c r="R68" s="230"/>
      <c r="S68" s="250"/>
      <c r="T68" s="250"/>
      <c r="U68" s="288">
        <v>24312</v>
      </c>
      <c r="V68" s="253" t="s">
        <v>5163</v>
      </c>
      <c r="W68" s="254" t="s">
        <v>5164</v>
      </c>
      <c r="X68" s="248">
        <v>161</v>
      </c>
      <c r="Y68" s="248">
        <v>68.5</v>
      </c>
      <c r="Z68" s="248">
        <v>26.43</v>
      </c>
    </row>
    <row r="69" spans="1:26" ht="24.75" customHeight="1">
      <c r="A69" s="230"/>
      <c r="B69" s="230"/>
      <c r="C69" s="230"/>
      <c r="D69" s="230"/>
      <c r="E69" s="230"/>
      <c r="F69" s="230"/>
      <c r="G69" s="230"/>
      <c r="H69" s="230"/>
      <c r="I69" s="230"/>
      <c r="J69" s="230"/>
      <c r="K69" s="230"/>
      <c r="L69" s="242"/>
      <c r="M69" s="230"/>
      <c r="N69" s="230"/>
      <c r="O69" s="257"/>
      <c r="P69" s="230"/>
      <c r="Q69" s="242"/>
      <c r="R69" s="230"/>
      <c r="S69" s="250"/>
      <c r="T69" s="250"/>
      <c r="U69" s="245">
        <v>25409</v>
      </c>
      <c r="V69" s="246" t="s">
        <v>5161</v>
      </c>
      <c r="W69" s="247" t="s">
        <v>5162</v>
      </c>
      <c r="X69" s="248">
        <v>158</v>
      </c>
      <c r="Y69" s="248">
        <v>63</v>
      </c>
      <c r="Z69" s="248">
        <v>25.24</v>
      </c>
    </row>
    <row r="70" spans="1:26" ht="24.75" customHeight="1">
      <c r="A70" s="230"/>
      <c r="B70" s="230"/>
      <c r="C70" s="230"/>
      <c r="D70" s="230"/>
      <c r="E70" s="230"/>
      <c r="F70" s="230"/>
      <c r="G70" s="230"/>
      <c r="H70" s="230"/>
      <c r="I70" s="230"/>
      <c r="J70" s="230"/>
      <c r="K70" s="230"/>
      <c r="L70" s="242"/>
      <c r="M70" s="230"/>
      <c r="N70" s="230"/>
      <c r="O70" s="257"/>
      <c r="P70" s="230"/>
      <c r="Q70" s="242"/>
      <c r="R70" s="230"/>
      <c r="S70" s="250"/>
      <c r="T70" s="250"/>
      <c r="U70" s="245">
        <v>27925</v>
      </c>
      <c r="V70" s="246" t="s">
        <v>4827</v>
      </c>
      <c r="W70" s="247" t="s">
        <v>4828</v>
      </c>
      <c r="X70" s="248">
        <v>157</v>
      </c>
      <c r="Y70" s="248">
        <v>72</v>
      </c>
      <c r="Z70" s="248">
        <v>29.21</v>
      </c>
    </row>
    <row r="71" spans="1:26" ht="24.75" customHeight="1">
      <c r="A71" s="230"/>
      <c r="B71" s="230"/>
      <c r="C71" s="230"/>
      <c r="D71" s="230"/>
      <c r="E71" s="230"/>
      <c r="F71" s="230"/>
      <c r="G71" s="230"/>
      <c r="H71" s="230"/>
      <c r="I71" s="230"/>
      <c r="J71" s="230"/>
      <c r="K71" s="230"/>
      <c r="L71" s="242"/>
      <c r="M71" s="230"/>
      <c r="N71" s="230"/>
      <c r="O71" s="257"/>
      <c r="P71" s="230"/>
      <c r="Q71" s="242"/>
      <c r="R71" s="230"/>
      <c r="S71" s="250"/>
      <c r="T71" s="250"/>
      <c r="U71" s="288">
        <v>25278</v>
      </c>
      <c r="V71" s="246" t="s">
        <v>5159</v>
      </c>
      <c r="W71" s="247" t="s">
        <v>5160</v>
      </c>
      <c r="X71" s="248">
        <v>160</v>
      </c>
      <c r="Y71" s="248">
        <v>70.7</v>
      </c>
      <c r="Z71" s="248">
        <v>27.62</v>
      </c>
    </row>
    <row r="72" spans="1:26" ht="24.75" customHeight="1">
      <c r="A72" s="230"/>
      <c r="B72" s="230"/>
      <c r="C72" s="230"/>
      <c r="D72" s="230"/>
      <c r="E72" s="230"/>
      <c r="F72" s="230"/>
      <c r="G72" s="230"/>
      <c r="H72" s="230"/>
      <c r="I72" s="230"/>
      <c r="J72" s="230"/>
      <c r="K72" s="230"/>
      <c r="L72" s="242"/>
      <c r="M72" s="230"/>
      <c r="N72" s="230"/>
      <c r="O72" s="257"/>
      <c r="P72" s="230"/>
      <c r="Q72" s="242"/>
      <c r="R72" s="230"/>
      <c r="S72" s="250"/>
      <c r="T72" s="250"/>
      <c r="U72" s="288">
        <v>24312</v>
      </c>
      <c r="V72" s="253" t="s">
        <v>5163</v>
      </c>
      <c r="W72" s="254" t="s">
        <v>5164</v>
      </c>
      <c r="X72" s="248">
        <v>161</v>
      </c>
      <c r="Y72" s="248">
        <v>68.5</v>
      </c>
      <c r="Z72" s="248">
        <v>26.43</v>
      </c>
    </row>
    <row r="73" spans="1:26" ht="24.75" customHeight="1">
      <c r="A73" s="230"/>
      <c r="B73" s="230"/>
      <c r="C73" s="230"/>
      <c r="D73" s="230"/>
      <c r="E73" s="230"/>
      <c r="F73" s="230"/>
      <c r="G73" s="230"/>
      <c r="H73" s="230"/>
      <c r="I73" s="230"/>
      <c r="J73" s="230"/>
      <c r="K73" s="230"/>
      <c r="L73" s="242"/>
      <c r="M73" s="230"/>
      <c r="N73" s="230"/>
      <c r="O73" s="257"/>
      <c r="P73" s="230"/>
      <c r="Q73" s="242"/>
      <c r="R73" s="230"/>
      <c r="S73" s="250"/>
      <c r="T73" s="250"/>
      <c r="U73" s="288">
        <v>28464</v>
      </c>
      <c r="V73" s="246" t="s">
        <v>5165</v>
      </c>
      <c r="W73" s="254" t="s">
        <v>5166</v>
      </c>
      <c r="X73" s="248">
        <v>158</v>
      </c>
      <c r="Y73" s="248">
        <v>64</v>
      </c>
      <c r="Z73" s="248">
        <v>25.64</v>
      </c>
    </row>
    <row r="74" spans="1:26" ht="24.75" customHeight="1">
      <c r="A74" s="230"/>
      <c r="B74" s="230"/>
      <c r="C74" s="230"/>
      <c r="D74" s="230"/>
      <c r="E74" s="230"/>
      <c r="F74" s="230"/>
      <c r="G74" s="230"/>
      <c r="H74" s="230"/>
      <c r="I74" s="230"/>
      <c r="J74" s="230"/>
      <c r="K74" s="230"/>
      <c r="L74" s="242"/>
      <c r="M74" s="230"/>
      <c r="N74" s="230"/>
      <c r="O74" s="257"/>
      <c r="P74" s="230"/>
      <c r="Q74" s="242"/>
      <c r="R74" s="230"/>
      <c r="S74" s="230"/>
      <c r="T74" s="230"/>
      <c r="U74" s="288">
        <v>26964</v>
      </c>
      <c r="V74" s="246" t="s">
        <v>5167</v>
      </c>
      <c r="W74" s="254" t="s">
        <v>5168</v>
      </c>
      <c r="X74" s="248">
        <v>150</v>
      </c>
      <c r="Y74" s="248">
        <v>84</v>
      </c>
      <c r="Z74" s="248">
        <v>37.33</v>
      </c>
    </row>
    <row r="75" spans="1:26" ht="24.75" customHeight="1">
      <c r="A75" s="230"/>
      <c r="B75" s="230"/>
      <c r="C75" s="230"/>
      <c r="D75" s="230"/>
      <c r="E75" s="230"/>
      <c r="F75" s="230"/>
      <c r="G75" s="230"/>
      <c r="H75" s="230"/>
      <c r="I75" s="230"/>
      <c r="J75" s="230"/>
      <c r="K75" s="230"/>
      <c r="L75" s="242"/>
      <c r="M75" s="230"/>
      <c r="N75" s="230"/>
      <c r="O75" s="257"/>
      <c r="P75" s="230"/>
      <c r="Q75" s="242"/>
      <c r="R75" s="230"/>
      <c r="S75" s="230"/>
      <c r="T75" s="230"/>
      <c r="U75" s="246" t="s">
        <v>4899</v>
      </c>
      <c r="V75" s="254" t="s">
        <v>4900</v>
      </c>
      <c r="W75" s="248">
        <v>160</v>
      </c>
      <c r="X75" s="248">
        <v>66</v>
      </c>
      <c r="Y75" s="248">
        <v>25.78</v>
      </c>
      <c r="Z75" s="230"/>
    </row>
    <row r="76" spans="1:26" ht="24.75" customHeight="1">
      <c r="A76" s="230"/>
      <c r="B76" s="230"/>
      <c r="C76" s="230"/>
      <c r="D76" s="230"/>
      <c r="E76" s="230"/>
      <c r="F76" s="230"/>
      <c r="G76" s="230"/>
      <c r="H76" s="230"/>
      <c r="I76" s="230"/>
      <c r="J76" s="230"/>
      <c r="K76" s="230"/>
      <c r="L76" s="242"/>
      <c r="M76" s="230"/>
      <c r="N76" s="230"/>
      <c r="O76" s="257"/>
      <c r="P76" s="230"/>
      <c r="Q76" s="242"/>
      <c r="R76" s="230"/>
      <c r="S76" s="250"/>
      <c r="T76" s="250"/>
      <c r="U76" s="253" t="s">
        <v>4806</v>
      </c>
      <c r="V76" s="254" t="s">
        <v>4807</v>
      </c>
      <c r="W76" s="248">
        <v>175</v>
      </c>
      <c r="X76" s="248">
        <v>80</v>
      </c>
      <c r="Y76" s="248">
        <v>26.12</v>
      </c>
      <c r="Z76" s="230"/>
    </row>
    <row r="77" spans="1:26" ht="24.75" customHeight="1">
      <c r="A77" s="230"/>
      <c r="B77" s="230"/>
      <c r="C77" s="230"/>
      <c r="D77" s="230"/>
      <c r="E77" s="230"/>
      <c r="F77" s="230"/>
      <c r="G77" s="230"/>
      <c r="H77" s="230"/>
      <c r="I77" s="230"/>
      <c r="J77" s="230"/>
      <c r="K77" s="230"/>
      <c r="L77" s="242"/>
      <c r="M77" s="230"/>
      <c r="N77" s="230"/>
      <c r="O77" s="257"/>
      <c r="P77" s="230"/>
      <c r="Q77" s="242"/>
      <c r="R77" s="230"/>
      <c r="S77" s="250"/>
      <c r="T77" s="250"/>
      <c r="U77" s="230"/>
      <c r="V77" s="256"/>
      <c r="W77" s="257"/>
      <c r="X77" s="230"/>
      <c r="Y77" s="230"/>
      <c r="Z77" s="230"/>
    </row>
    <row r="78" spans="1:26" ht="24.75" customHeight="1">
      <c r="A78" s="230"/>
      <c r="B78" s="230"/>
      <c r="C78" s="230"/>
      <c r="D78" s="230"/>
      <c r="E78" s="230"/>
      <c r="F78" s="230"/>
      <c r="G78" s="230"/>
      <c r="H78" s="230"/>
      <c r="I78" s="230"/>
      <c r="J78" s="230"/>
      <c r="K78" s="230"/>
      <c r="L78" s="242"/>
      <c r="M78" s="230"/>
      <c r="N78" s="230"/>
      <c r="O78" s="257"/>
      <c r="P78" s="230"/>
      <c r="Q78" s="242"/>
      <c r="R78" s="230"/>
      <c r="S78" s="250"/>
      <c r="T78" s="250"/>
      <c r="U78" s="230"/>
      <c r="V78" s="256"/>
      <c r="W78" s="257"/>
      <c r="X78" s="230"/>
      <c r="Y78" s="230"/>
      <c r="Z78" s="230"/>
    </row>
    <row r="79" spans="1:26" ht="24.75" customHeight="1">
      <c r="A79" s="230"/>
      <c r="B79" s="230"/>
      <c r="C79" s="230"/>
      <c r="D79" s="230"/>
      <c r="E79" s="230"/>
      <c r="F79" s="230"/>
      <c r="G79" s="230"/>
      <c r="H79" s="230"/>
      <c r="I79" s="230"/>
      <c r="J79" s="230"/>
      <c r="K79" s="230"/>
      <c r="L79" s="242"/>
      <c r="M79" s="230"/>
      <c r="N79" s="230"/>
      <c r="O79" s="257"/>
      <c r="P79" s="230"/>
      <c r="Q79" s="242"/>
      <c r="R79" s="230"/>
      <c r="S79" s="250"/>
      <c r="T79" s="250"/>
      <c r="U79" s="230"/>
      <c r="V79" s="256"/>
      <c r="W79" s="257"/>
      <c r="X79" s="230"/>
      <c r="Y79" s="230"/>
      <c r="Z79" s="230"/>
    </row>
    <row r="80" spans="1:26" ht="24.75" customHeight="1">
      <c r="A80" s="230"/>
      <c r="B80" s="230"/>
      <c r="C80" s="230"/>
      <c r="D80" s="230"/>
      <c r="E80" s="230"/>
      <c r="F80" s="230"/>
      <c r="G80" s="230"/>
      <c r="H80" s="230"/>
      <c r="I80" s="230"/>
      <c r="J80" s="230"/>
      <c r="K80" s="230"/>
      <c r="L80" s="242"/>
      <c r="M80" s="230"/>
      <c r="N80" s="230"/>
      <c r="O80" s="257"/>
      <c r="P80" s="230"/>
      <c r="Q80" s="242"/>
      <c r="R80" s="230"/>
      <c r="S80" s="250"/>
      <c r="T80" s="250"/>
      <c r="U80" s="230"/>
      <c r="V80" s="256"/>
      <c r="W80" s="257"/>
      <c r="X80" s="230"/>
      <c r="Y80" s="230"/>
      <c r="Z80" s="230"/>
    </row>
    <row r="81" spans="1:26" ht="24.75" customHeight="1">
      <c r="A81" s="230"/>
      <c r="B81" s="230"/>
      <c r="C81" s="230"/>
      <c r="D81" s="230"/>
      <c r="E81" s="230"/>
      <c r="F81" s="230"/>
      <c r="G81" s="230"/>
      <c r="H81" s="230"/>
      <c r="I81" s="230"/>
      <c r="J81" s="230"/>
      <c r="K81" s="230"/>
      <c r="L81" s="242"/>
      <c r="M81" s="230"/>
      <c r="N81" s="230"/>
      <c r="O81" s="257"/>
      <c r="P81" s="230"/>
      <c r="Q81" s="242"/>
      <c r="R81" s="230"/>
      <c r="S81" s="250"/>
      <c r="T81" s="250"/>
      <c r="U81" s="230"/>
      <c r="V81" s="256"/>
      <c r="W81" s="257"/>
      <c r="X81" s="230"/>
      <c r="Y81" s="230"/>
      <c r="Z81" s="230"/>
    </row>
    <row r="82" spans="1:26" ht="24.75" customHeight="1">
      <c r="A82" s="230"/>
      <c r="B82" s="230"/>
      <c r="C82" s="230"/>
      <c r="D82" s="230"/>
      <c r="E82" s="230"/>
      <c r="F82" s="230"/>
      <c r="G82" s="230"/>
      <c r="H82" s="230"/>
      <c r="I82" s="230"/>
      <c r="J82" s="230"/>
      <c r="K82" s="230"/>
      <c r="L82" s="242"/>
      <c r="M82" s="230"/>
      <c r="N82" s="230"/>
      <c r="O82" s="257"/>
      <c r="P82" s="230"/>
      <c r="Q82" s="242"/>
      <c r="R82" s="230"/>
      <c r="S82" s="250"/>
      <c r="T82" s="250"/>
      <c r="U82" s="256"/>
      <c r="V82" s="257"/>
      <c r="W82" s="230"/>
      <c r="X82" s="230"/>
      <c r="Y82" s="230"/>
      <c r="Z82" s="230"/>
    </row>
    <row r="83" spans="1:26" ht="24.75" customHeight="1">
      <c r="A83" s="230"/>
      <c r="B83" s="230"/>
      <c r="C83" s="230"/>
      <c r="D83" s="230"/>
      <c r="E83" s="230"/>
      <c r="F83" s="230"/>
      <c r="G83" s="230"/>
      <c r="H83" s="230"/>
      <c r="I83" s="230"/>
      <c r="J83" s="230"/>
      <c r="K83" s="230"/>
      <c r="L83" s="242"/>
      <c r="M83" s="230"/>
      <c r="N83" s="230"/>
      <c r="O83" s="257"/>
      <c r="P83" s="230"/>
      <c r="Q83" s="242"/>
      <c r="R83" s="230"/>
      <c r="S83" s="250"/>
      <c r="T83" s="250"/>
      <c r="U83" s="230"/>
      <c r="V83" s="256"/>
      <c r="W83" s="257"/>
      <c r="X83" s="230"/>
      <c r="Y83" s="230"/>
      <c r="Z83" s="230"/>
    </row>
    <row r="84" spans="1:26" ht="24.75" customHeight="1">
      <c r="A84" s="230"/>
      <c r="B84" s="230"/>
      <c r="C84" s="230"/>
      <c r="D84" s="230"/>
      <c r="E84" s="230"/>
      <c r="F84" s="230"/>
      <c r="G84" s="230"/>
      <c r="H84" s="230"/>
      <c r="I84" s="230"/>
      <c r="J84" s="230"/>
      <c r="K84" s="230"/>
      <c r="L84" s="242"/>
      <c r="M84" s="230"/>
      <c r="N84" s="230"/>
      <c r="O84" s="257"/>
      <c r="P84" s="230"/>
      <c r="Q84" s="242"/>
      <c r="R84" s="230"/>
      <c r="S84" s="250"/>
      <c r="T84" s="250"/>
      <c r="U84" s="230"/>
      <c r="V84" s="256"/>
      <c r="W84" s="257"/>
      <c r="X84" s="230"/>
      <c r="Y84" s="230"/>
      <c r="Z84" s="230"/>
    </row>
    <row r="85" spans="1:26" ht="24.75" customHeight="1">
      <c r="A85" s="230"/>
      <c r="B85" s="230"/>
      <c r="C85" s="230"/>
      <c r="D85" s="230"/>
      <c r="E85" s="230"/>
      <c r="F85" s="230"/>
      <c r="G85" s="230"/>
      <c r="H85" s="230"/>
      <c r="I85" s="230"/>
      <c r="J85" s="230"/>
      <c r="K85" s="230"/>
      <c r="L85" s="242"/>
      <c r="M85" s="230"/>
      <c r="N85" s="230"/>
      <c r="O85" s="257"/>
      <c r="P85" s="230"/>
      <c r="Q85" s="242"/>
      <c r="R85" s="230"/>
      <c r="S85" s="250"/>
      <c r="T85" s="250"/>
      <c r="U85" s="230"/>
      <c r="V85" s="256"/>
      <c r="W85" s="257"/>
      <c r="X85" s="230"/>
      <c r="Y85" s="230"/>
      <c r="Z85" s="230"/>
    </row>
    <row r="86" spans="1:26" ht="24.75" customHeight="1">
      <c r="A86" s="230"/>
      <c r="B86" s="230"/>
      <c r="C86" s="230"/>
      <c r="D86" s="230"/>
      <c r="E86" s="230"/>
      <c r="F86" s="230"/>
      <c r="G86" s="230"/>
      <c r="H86" s="230"/>
      <c r="I86" s="230"/>
      <c r="J86" s="230"/>
      <c r="K86" s="230"/>
      <c r="L86" s="242"/>
      <c r="M86" s="230"/>
      <c r="N86" s="230"/>
      <c r="O86" s="257"/>
      <c r="P86" s="230"/>
      <c r="Q86" s="242"/>
      <c r="R86" s="230"/>
      <c r="S86" s="250"/>
      <c r="T86" s="250"/>
      <c r="U86" s="230"/>
      <c r="V86" s="256"/>
      <c r="W86" s="257"/>
      <c r="X86" s="230"/>
      <c r="Y86" s="230"/>
      <c r="Z86" s="230"/>
    </row>
    <row r="87" spans="1:26" ht="24.75" customHeight="1">
      <c r="A87" s="230"/>
      <c r="B87" s="230"/>
      <c r="C87" s="230"/>
      <c r="D87" s="230"/>
      <c r="E87" s="230"/>
      <c r="F87" s="230"/>
      <c r="G87" s="230"/>
      <c r="H87" s="230"/>
      <c r="I87" s="230"/>
      <c r="J87" s="230"/>
      <c r="K87" s="230"/>
      <c r="L87" s="242"/>
      <c r="M87" s="230"/>
      <c r="N87" s="230"/>
      <c r="O87" s="257"/>
      <c r="P87" s="230"/>
      <c r="Q87" s="242"/>
      <c r="R87" s="230"/>
      <c r="S87" s="250"/>
      <c r="T87" s="250"/>
      <c r="U87" s="230"/>
      <c r="V87" s="256"/>
      <c r="W87" s="257"/>
      <c r="X87" s="230"/>
      <c r="Y87" s="230"/>
      <c r="Z87" s="230"/>
    </row>
    <row r="88" spans="1:26" ht="24.75" customHeight="1">
      <c r="A88" s="230"/>
      <c r="B88" s="230"/>
      <c r="C88" s="230"/>
      <c r="D88" s="230"/>
      <c r="E88" s="230"/>
      <c r="F88" s="230"/>
      <c r="G88" s="230"/>
      <c r="H88" s="230"/>
      <c r="I88" s="230"/>
      <c r="J88" s="230"/>
      <c r="K88" s="230"/>
      <c r="L88" s="242"/>
      <c r="M88" s="230"/>
      <c r="N88" s="230"/>
      <c r="O88" s="257"/>
      <c r="P88" s="230"/>
      <c r="Q88" s="242"/>
      <c r="R88" s="230"/>
      <c r="S88" s="250"/>
      <c r="T88" s="250"/>
      <c r="U88" s="230"/>
      <c r="V88" s="256"/>
      <c r="W88" s="257"/>
      <c r="X88" s="230"/>
      <c r="Y88" s="230"/>
      <c r="Z88" s="230"/>
    </row>
    <row r="89" spans="1:26" ht="24.75" customHeight="1">
      <c r="A89" s="230"/>
      <c r="B89" s="230"/>
      <c r="C89" s="230"/>
      <c r="D89" s="230"/>
      <c r="E89" s="230"/>
      <c r="F89" s="230"/>
      <c r="G89" s="230"/>
      <c r="H89" s="230"/>
      <c r="I89" s="230"/>
      <c r="J89" s="230"/>
      <c r="K89" s="230"/>
      <c r="L89" s="242"/>
      <c r="M89" s="230"/>
      <c r="N89" s="230"/>
      <c r="O89" s="257"/>
      <c r="P89" s="230"/>
      <c r="Q89" s="242"/>
      <c r="R89" s="230"/>
      <c r="S89" s="250"/>
      <c r="T89" s="250"/>
      <c r="U89" s="230"/>
      <c r="V89" s="256"/>
      <c r="W89" s="257"/>
      <c r="X89" s="230"/>
      <c r="Y89" s="230"/>
      <c r="Z89" s="230"/>
    </row>
    <row r="90" spans="1:26" ht="24.75" customHeight="1">
      <c r="A90" s="230"/>
      <c r="B90" s="230"/>
      <c r="C90" s="230"/>
      <c r="D90" s="230"/>
      <c r="E90" s="230"/>
      <c r="F90" s="230"/>
      <c r="G90" s="230"/>
      <c r="H90" s="230"/>
      <c r="I90" s="230"/>
      <c r="J90" s="230"/>
      <c r="K90" s="230"/>
      <c r="L90" s="242"/>
      <c r="M90" s="230"/>
      <c r="N90" s="230"/>
      <c r="O90" s="257"/>
      <c r="P90" s="230"/>
      <c r="Q90" s="242"/>
      <c r="R90" s="230"/>
      <c r="S90" s="230"/>
      <c r="T90" s="230"/>
      <c r="U90" s="253" t="s">
        <v>4806</v>
      </c>
      <c r="V90" s="254" t="s">
        <v>4807</v>
      </c>
      <c r="W90" s="248">
        <v>175</v>
      </c>
      <c r="X90" s="248">
        <v>80</v>
      </c>
      <c r="Y90" s="248">
        <v>26.12</v>
      </c>
      <c r="Z90" s="230"/>
    </row>
    <row r="91" spans="1:26" ht="24.75" customHeight="1">
      <c r="A91" s="230"/>
      <c r="B91" s="230"/>
      <c r="C91" s="230"/>
      <c r="D91" s="230"/>
      <c r="E91" s="230"/>
      <c r="F91" s="230"/>
      <c r="G91" s="230"/>
      <c r="H91" s="230"/>
      <c r="I91" s="230"/>
      <c r="J91" s="230"/>
      <c r="K91" s="230"/>
      <c r="L91" s="242"/>
      <c r="M91" s="230"/>
      <c r="N91" s="230"/>
      <c r="O91" s="257"/>
      <c r="P91" s="230"/>
      <c r="Q91" s="242"/>
      <c r="R91" s="230"/>
      <c r="S91" s="250"/>
      <c r="T91" s="250"/>
      <c r="U91" s="256"/>
      <c r="V91" s="257"/>
      <c r="W91" s="230"/>
      <c r="X91" s="230"/>
      <c r="Y91" s="230"/>
      <c r="Z91" s="230"/>
    </row>
    <row r="92" spans="1:26" ht="24.75" customHeight="1">
      <c r="A92" s="230"/>
      <c r="B92" s="230"/>
      <c r="C92" s="230"/>
      <c r="D92" s="230"/>
      <c r="E92" s="230"/>
      <c r="F92" s="230"/>
      <c r="G92" s="230"/>
      <c r="H92" s="230"/>
      <c r="I92" s="230"/>
      <c r="J92" s="230"/>
      <c r="K92" s="230"/>
      <c r="L92" s="242"/>
      <c r="M92" s="230"/>
      <c r="N92" s="230"/>
      <c r="O92" s="257"/>
      <c r="P92" s="230"/>
      <c r="Q92" s="242"/>
      <c r="R92" s="230"/>
      <c r="S92" s="250"/>
      <c r="T92" s="250"/>
      <c r="U92" s="256"/>
      <c r="V92" s="257"/>
      <c r="W92" s="230"/>
      <c r="X92" s="230"/>
      <c r="Y92" s="230"/>
      <c r="Z92" s="230"/>
    </row>
    <row r="93" spans="1:26" ht="24.75" customHeight="1">
      <c r="A93" s="230"/>
      <c r="B93" s="230"/>
      <c r="C93" s="230"/>
      <c r="D93" s="230"/>
      <c r="E93" s="230"/>
      <c r="F93" s="230"/>
      <c r="G93" s="230"/>
      <c r="H93" s="230"/>
      <c r="I93" s="230"/>
      <c r="J93" s="230"/>
      <c r="K93" s="230"/>
      <c r="L93" s="242"/>
      <c r="M93" s="230"/>
      <c r="N93" s="230"/>
      <c r="O93" s="257"/>
      <c r="P93" s="230"/>
      <c r="Q93" s="242"/>
      <c r="R93" s="230"/>
      <c r="S93" s="250"/>
      <c r="T93" s="250"/>
      <c r="U93" s="256"/>
      <c r="V93" s="257"/>
      <c r="W93" s="230"/>
      <c r="X93" s="230"/>
      <c r="Y93" s="230"/>
      <c r="Z93" s="230"/>
    </row>
    <row r="94" spans="1:26" ht="24.75" customHeight="1">
      <c r="A94" s="230"/>
      <c r="B94" s="230"/>
      <c r="C94" s="230"/>
      <c r="D94" s="230"/>
      <c r="E94" s="230"/>
      <c r="F94" s="230"/>
      <c r="G94" s="230"/>
      <c r="H94" s="230"/>
      <c r="I94" s="230"/>
      <c r="J94" s="230"/>
      <c r="K94" s="230"/>
      <c r="L94" s="242"/>
      <c r="M94" s="230"/>
      <c r="N94" s="230"/>
      <c r="O94" s="257"/>
      <c r="P94" s="230"/>
      <c r="Q94" s="242"/>
      <c r="R94" s="230"/>
      <c r="S94" s="230"/>
      <c r="T94" s="230"/>
      <c r="U94" s="246" t="s">
        <v>4899</v>
      </c>
      <c r="V94" s="254" t="s">
        <v>4900</v>
      </c>
      <c r="W94" s="248">
        <v>160</v>
      </c>
      <c r="X94" s="248">
        <v>66</v>
      </c>
      <c r="Y94" s="248">
        <v>25.78</v>
      </c>
      <c r="Z94" s="230"/>
    </row>
    <row r="95" spans="1:26" ht="24.75" customHeight="1">
      <c r="A95" s="230"/>
      <c r="B95" s="230"/>
      <c r="C95" s="230"/>
      <c r="D95" s="230"/>
      <c r="E95" s="230"/>
      <c r="F95" s="230"/>
      <c r="G95" s="230"/>
      <c r="H95" s="230"/>
      <c r="I95" s="230"/>
      <c r="J95" s="230"/>
      <c r="K95" s="230"/>
      <c r="L95" s="242"/>
      <c r="M95" s="230"/>
      <c r="N95" s="230"/>
      <c r="O95" s="257"/>
      <c r="P95" s="230"/>
      <c r="Q95" s="242"/>
      <c r="R95" s="230"/>
      <c r="S95" s="230"/>
      <c r="T95" s="230"/>
      <c r="U95" s="253" t="s">
        <v>4806</v>
      </c>
      <c r="V95" s="254" t="s">
        <v>4807</v>
      </c>
      <c r="W95" s="248">
        <v>175</v>
      </c>
      <c r="X95" s="248">
        <v>80</v>
      </c>
      <c r="Y95" s="248">
        <v>26.12</v>
      </c>
      <c r="Z95" s="230"/>
    </row>
    <row r="96" spans="1:26" ht="24.75" customHeight="1">
      <c r="A96" s="230"/>
      <c r="B96" s="230"/>
      <c r="C96" s="230"/>
      <c r="D96" s="230"/>
      <c r="E96" s="230"/>
      <c r="F96" s="230"/>
      <c r="G96" s="230"/>
      <c r="H96" s="230"/>
      <c r="I96" s="230"/>
      <c r="J96" s="230"/>
      <c r="K96" s="230"/>
      <c r="L96" s="242"/>
      <c r="M96" s="230"/>
      <c r="N96" s="230"/>
      <c r="O96" s="257"/>
      <c r="P96" s="230"/>
      <c r="Q96" s="242"/>
      <c r="R96" s="230"/>
      <c r="S96" s="230"/>
      <c r="T96" s="230"/>
      <c r="U96" s="253"/>
      <c r="V96" s="254"/>
      <c r="W96" s="248"/>
      <c r="X96" s="248"/>
      <c r="Y96" s="248"/>
      <c r="Z96" s="230"/>
    </row>
    <row r="97" spans="1:26" ht="24.75" customHeight="1">
      <c r="A97" s="230"/>
      <c r="B97" s="230"/>
      <c r="C97" s="230"/>
      <c r="D97" s="230"/>
      <c r="E97" s="230"/>
      <c r="F97" s="230"/>
      <c r="G97" s="230"/>
      <c r="H97" s="230"/>
      <c r="I97" s="230"/>
      <c r="J97" s="230"/>
      <c r="K97" s="230"/>
      <c r="L97" s="242"/>
      <c r="M97" s="230"/>
      <c r="N97" s="230"/>
      <c r="O97" s="257"/>
      <c r="P97" s="230"/>
      <c r="Q97" s="242"/>
      <c r="R97" s="230"/>
      <c r="S97" s="250"/>
      <c r="T97" s="250"/>
      <c r="U97" s="288">
        <v>27171</v>
      </c>
      <c r="V97" s="253" t="s">
        <v>5169</v>
      </c>
      <c r="W97" s="254" t="s">
        <v>5170</v>
      </c>
      <c r="X97" s="248">
        <v>151</v>
      </c>
      <c r="Y97" s="248">
        <v>48</v>
      </c>
      <c r="Z97" s="248">
        <v>21.05</v>
      </c>
    </row>
    <row r="98" spans="1:26" ht="24.75" customHeight="1">
      <c r="A98" s="230"/>
      <c r="B98" s="230"/>
      <c r="C98" s="230"/>
      <c r="D98" s="230"/>
      <c r="E98" s="230"/>
      <c r="F98" s="230"/>
      <c r="G98" s="230"/>
      <c r="H98" s="230"/>
      <c r="I98" s="230"/>
      <c r="J98" s="230"/>
      <c r="K98" s="230"/>
      <c r="L98" s="242"/>
      <c r="M98" s="230"/>
      <c r="N98" s="230"/>
      <c r="O98" s="257"/>
      <c r="P98" s="230"/>
      <c r="Q98" s="242"/>
      <c r="R98" s="230"/>
      <c r="S98" s="250"/>
      <c r="T98" s="250"/>
      <c r="U98" s="256"/>
      <c r="V98" s="257"/>
      <c r="W98" s="230"/>
      <c r="X98" s="230"/>
      <c r="Y98" s="230"/>
      <c r="Z98" s="230"/>
    </row>
    <row r="99" spans="1:26" ht="24.75" customHeight="1">
      <c r="A99" s="230"/>
      <c r="B99" s="230"/>
      <c r="C99" s="230"/>
      <c r="D99" s="230"/>
      <c r="E99" s="230"/>
      <c r="F99" s="230"/>
      <c r="G99" s="230"/>
      <c r="H99" s="230"/>
      <c r="I99" s="230"/>
      <c r="J99" s="230"/>
      <c r="K99" s="230"/>
      <c r="L99" s="242"/>
      <c r="M99" s="230"/>
      <c r="N99" s="230"/>
      <c r="O99" s="257"/>
      <c r="P99" s="230"/>
      <c r="Q99" s="242"/>
      <c r="R99" s="230"/>
      <c r="S99" s="250"/>
      <c r="T99" s="250"/>
      <c r="U99" s="256"/>
      <c r="V99" s="257"/>
      <c r="W99" s="230"/>
      <c r="X99" s="230"/>
      <c r="Y99" s="230"/>
      <c r="Z99" s="230"/>
    </row>
    <row r="100" spans="1:26" ht="24.75" customHeight="1">
      <c r="A100" s="230"/>
      <c r="B100" s="230"/>
      <c r="C100" s="230"/>
      <c r="D100" s="230"/>
      <c r="E100" s="230"/>
      <c r="F100" s="230"/>
      <c r="G100" s="230"/>
      <c r="H100" s="230"/>
      <c r="I100" s="230"/>
      <c r="J100" s="230"/>
      <c r="K100" s="230"/>
      <c r="L100" s="242"/>
      <c r="M100" s="230"/>
      <c r="N100" s="230"/>
      <c r="O100" s="257"/>
      <c r="P100" s="230"/>
      <c r="Q100" s="242"/>
      <c r="R100" s="230"/>
      <c r="S100" s="250"/>
      <c r="T100" s="250"/>
      <c r="U100" s="256"/>
      <c r="V100" s="257"/>
      <c r="W100" s="230"/>
      <c r="X100" s="230"/>
      <c r="Y100" s="230"/>
      <c r="Z100" s="230"/>
    </row>
    <row r="101" spans="1:26" ht="24.75" customHeight="1">
      <c r="A101" s="230"/>
      <c r="B101" s="230"/>
      <c r="C101" s="230"/>
      <c r="D101" s="230"/>
      <c r="E101" s="230"/>
      <c r="F101" s="230"/>
      <c r="G101" s="230"/>
      <c r="H101" s="230"/>
      <c r="I101" s="230"/>
      <c r="J101" s="230"/>
      <c r="K101" s="230"/>
      <c r="L101" s="242"/>
      <c r="M101" s="230"/>
      <c r="N101" s="230"/>
      <c r="O101" s="257"/>
      <c r="P101" s="230"/>
      <c r="Q101" s="242"/>
      <c r="R101" s="230"/>
      <c r="S101" s="250"/>
      <c r="T101" s="250"/>
      <c r="U101" s="256"/>
      <c r="V101" s="257"/>
      <c r="W101" s="230"/>
      <c r="X101" s="230"/>
      <c r="Y101" s="230"/>
      <c r="Z101" s="230"/>
    </row>
    <row r="102" spans="1:26" ht="24.75" customHeight="1">
      <c r="A102" s="230"/>
      <c r="B102" s="230"/>
      <c r="C102" s="230"/>
      <c r="D102" s="230"/>
      <c r="E102" s="230"/>
      <c r="F102" s="230"/>
      <c r="G102" s="230"/>
      <c r="H102" s="230"/>
      <c r="I102" s="230"/>
      <c r="J102" s="230"/>
      <c r="K102" s="230"/>
      <c r="L102" s="242"/>
      <c r="M102" s="230"/>
      <c r="N102" s="230"/>
      <c r="O102" s="257"/>
      <c r="P102" s="230"/>
      <c r="Q102" s="242"/>
      <c r="R102" s="230"/>
      <c r="S102" s="250"/>
      <c r="T102" s="250"/>
      <c r="U102" s="256"/>
      <c r="V102" s="257"/>
      <c r="W102" s="230"/>
      <c r="X102" s="230"/>
      <c r="Y102" s="230"/>
      <c r="Z102" s="230"/>
    </row>
    <row r="103" spans="1:26" ht="24.75" customHeight="1">
      <c r="A103" s="230"/>
      <c r="B103" s="230"/>
      <c r="C103" s="230"/>
      <c r="D103" s="230"/>
      <c r="E103" s="230"/>
      <c r="F103" s="230"/>
      <c r="G103" s="230"/>
      <c r="H103" s="230"/>
      <c r="I103" s="230"/>
      <c r="J103" s="230"/>
      <c r="K103" s="230"/>
      <c r="L103" s="242"/>
      <c r="M103" s="230"/>
      <c r="N103" s="230"/>
      <c r="O103" s="257"/>
      <c r="P103" s="230"/>
      <c r="Q103" s="242"/>
      <c r="R103" s="230"/>
      <c r="S103" s="230"/>
      <c r="T103" s="230"/>
      <c r="U103" s="253" t="s">
        <v>5171</v>
      </c>
      <c r="V103" s="254" t="s">
        <v>5172</v>
      </c>
      <c r="W103" s="248">
        <v>155</v>
      </c>
      <c r="X103" s="248">
        <v>59</v>
      </c>
      <c r="Y103" s="248">
        <v>24.56</v>
      </c>
      <c r="Z103" s="230"/>
    </row>
    <row r="104" spans="1:26" ht="24.75" customHeight="1">
      <c r="A104" s="230"/>
      <c r="B104" s="230"/>
      <c r="C104" s="230"/>
      <c r="D104" s="230"/>
      <c r="E104" s="230"/>
      <c r="F104" s="230"/>
      <c r="G104" s="230"/>
      <c r="H104" s="230"/>
      <c r="I104" s="230"/>
      <c r="J104" s="230"/>
      <c r="K104" s="230"/>
      <c r="L104" s="242"/>
      <c r="M104" s="230"/>
      <c r="N104" s="230"/>
      <c r="O104" s="257"/>
      <c r="P104" s="230"/>
      <c r="Q104" s="242"/>
      <c r="R104" s="230"/>
      <c r="S104" s="250"/>
      <c r="T104" s="250"/>
      <c r="U104" s="256"/>
      <c r="V104" s="257"/>
      <c r="W104" s="230"/>
      <c r="X104" s="230"/>
      <c r="Y104" s="230"/>
      <c r="Z104" s="230"/>
    </row>
    <row r="105" spans="1:26" ht="24.75" customHeight="1">
      <c r="A105" s="230"/>
      <c r="B105" s="230"/>
      <c r="C105" s="230"/>
      <c r="D105" s="230"/>
      <c r="E105" s="230"/>
      <c r="F105" s="230"/>
      <c r="G105" s="230"/>
      <c r="H105" s="230"/>
      <c r="I105" s="230"/>
      <c r="J105" s="230"/>
      <c r="K105" s="230"/>
      <c r="L105" s="242"/>
      <c r="M105" s="230"/>
      <c r="N105" s="230"/>
      <c r="O105" s="257"/>
      <c r="P105" s="230"/>
      <c r="Q105" s="242"/>
      <c r="R105" s="230"/>
      <c r="S105" s="250"/>
      <c r="T105" s="250"/>
      <c r="U105" s="256"/>
      <c r="V105" s="257"/>
      <c r="W105" s="230"/>
      <c r="X105" s="230"/>
      <c r="Y105" s="230"/>
      <c r="Z105" s="230"/>
    </row>
    <row r="106" spans="1:26" ht="24.75" customHeight="1">
      <c r="A106" s="230"/>
      <c r="B106" s="230"/>
      <c r="C106" s="230"/>
      <c r="D106" s="230"/>
      <c r="E106" s="230"/>
      <c r="F106" s="230"/>
      <c r="G106" s="230"/>
      <c r="H106" s="230"/>
      <c r="I106" s="230"/>
      <c r="J106" s="230"/>
      <c r="K106" s="230"/>
      <c r="L106" s="242"/>
      <c r="M106" s="230"/>
      <c r="N106" s="230"/>
      <c r="O106" s="257"/>
      <c r="P106" s="230"/>
      <c r="Q106" s="242"/>
      <c r="R106" s="230"/>
      <c r="S106" s="250"/>
      <c r="T106" s="250"/>
      <c r="U106" s="256"/>
      <c r="V106" s="257"/>
      <c r="W106" s="230"/>
      <c r="X106" s="230"/>
      <c r="Y106" s="230"/>
      <c r="Z106" s="230"/>
    </row>
    <row r="107" spans="1:26" ht="24.75" customHeight="1">
      <c r="A107" s="230"/>
      <c r="B107" s="230"/>
      <c r="C107" s="230"/>
      <c r="D107" s="230"/>
      <c r="E107" s="230"/>
      <c r="F107" s="230"/>
      <c r="G107" s="230"/>
      <c r="H107" s="230"/>
      <c r="I107" s="230"/>
      <c r="J107" s="230"/>
      <c r="K107" s="230"/>
      <c r="L107" s="242"/>
      <c r="M107" s="230"/>
      <c r="N107" s="230"/>
      <c r="O107" s="257"/>
      <c r="P107" s="230"/>
      <c r="Q107" s="242"/>
      <c r="R107" s="230"/>
      <c r="S107" s="230"/>
      <c r="T107" s="230"/>
      <c r="U107" s="253" t="s">
        <v>5171</v>
      </c>
      <c r="V107" s="254" t="s">
        <v>5172</v>
      </c>
      <c r="W107" s="248">
        <v>155</v>
      </c>
      <c r="X107" s="248">
        <v>59</v>
      </c>
      <c r="Y107" s="248">
        <v>24.56</v>
      </c>
      <c r="Z107" s="230"/>
    </row>
    <row r="108" spans="1:26" ht="24.75" customHeight="1">
      <c r="A108" s="230"/>
      <c r="B108" s="230"/>
      <c r="C108" s="230"/>
      <c r="D108" s="230"/>
      <c r="E108" s="230"/>
      <c r="F108" s="230"/>
      <c r="G108" s="230"/>
      <c r="H108" s="230"/>
      <c r="I108" s="230"/>
      <c r="J108" s="230"/>
      <c r="K108" s="230"/>
      <c r="L108" s="242"/>
      <c r="M108" s="230"/>
      <c r="N108" s="230"/>
      <c r="O108" s="257"/>
      <c r="P108" s="230"/>
      <c r="Q108" s="242"/>
      <c r="R108" s="230"/>
      <c r="S108" s="250"/>
      <c r="T108" s="250"/>
      <c r="U108" s="253" t="s">
        <v>5173</v>
      </c>
      <c r="V108" s="254" t="s">
        <v>5174</v>
      </c>
      <c r="W108" s="248">
        <v>175</v>
      </c>
      <c r="X108" s="248">
        <v>105</v>
      </c>
      <c r="Y108" s="248">
        <v>34.29</v>
      </c>
      <c r="Z108" s="230"/>
    </row>
    <row r="109" spans="1:26" ht="24.75" customHeight="1">
      <c r="A109" s="230"/>
      <c r="B109" s="230"/>
      <c r="C109" s="230"/>
      <c r="D109" s="230"/>
      <c r="E109" s="230"/>
      <c r="F109" s="230"/>
      <c r="G109" s="230"/>
      <c r="H109" s="230"/>
      <c r="I109" s="230"/>
      <c r="J109" s="230"/>
      <c r="K109" s="230"/>
      <c r="L109" s="242"/>
      <c r="M109" s="230"/>
      <c r="N109" s="230"/>
      <c r="O109" s="257"/>
      <c r="P109" s="230"/>
      <c r="Q109" s="242"/>
      <c r="R109" s="230"/>
      <c r="S109" s="230"/>
      <c r="T109" s="230"/>
      <c r="U109" s="253" t="s">
        <v>5175</v>
      </c>
      <c r="V109" s="254" t="s">
        <v>5176</v>
      </c>
      <c r="W109" s="248">
        <v>158</v>
      </c>
      <c r="X109" s="248">
        <v>59</v>
      </c>
      <c r="Y109" s="248">
        <v>23.63</v>
      </c>
      <c r="Z109" s="230"/>
    </row>
    <row r="110" spans="1:26" ht="24.75" customHeight="1">
      <c r="A110" s="230"/>
      <c r="B110" s="230"/>
      <c r="C110" s="230"/>
      <c r="D110" s="230"/>
      <c r="E110" s="230"/>
      <c r="F110" s="230"/>
      <c r="G110" s="230"/>
      <c r="H110" s="230"/>
      <c r="I110" s="230"/>
      <c r="J110" s="230"/>
      <c r="K110" s="230"/>
      <c r="L110" s="242"/>
      <c r="M110" s="230"/>
      <c r="N110" s="230"/>
      <c r="O110" s="257"/>
      <c r="P110" s="230"/>
      <c r="Q110" s="242"/>
      <c r="R110" s="230"/>
      <c r="S110" s="250"/>
      <c r="T110" s="250"/>
      <c r="U110" s="288">
        <v>31235</v>
      </c>
      <c r="V110" s="253" t="s">
        <v>5177</v>
      </c>
      <c r="W110" s="254" t="s">
        <v>5178</v>
      </c>
      <c r="X110" s="248">
        <v>153</v>
      </c>
      <c r="Y110" s="248">
        <v>59</v>
      </c>
      <c r="Z110" s="248">
        <v>25.2</v>
      </c>
    </row>
    <row r="111" spans="1:26" ht="24.75" customHeight="1">
      <c r="A111" s="230"/>
      <c r="B111" s="230"/>
      <c r="C111" s="230"/>
      <c r="D111" s="230"/>
      <c r="E111" s="230"/>
      <c r="F111" s="230"/>
      <c r="G111" s="230"/>
      <c r="H111" s="230"/>
      <c r="I111" s="230"/>
      <c r="J111" s="230"/>
      <c r="K111" s="230"/>
      <c r="L111" s="242"/>
      <c r="M111" s="230"/>
      <c r="N111" s="230"/>
      <c r="O111" s="257"/>
      <c r="P111" s="230"/>
      <c r="Q111" s="242"/>
      <c r="R111" s="230"/>
      <c r="S111" s="250"/>
      <c r="T111" s="250"/>
      <c r="U111" s="288"/>
      <c r="V111" s="253"/>
      <c r="W111" s="254"/>
      <c r="X111" s="248"/>
      <c r="Y111" s="248"/>
      <c r="Z111" s="248"/>
    </row>
    <row r="112" spans="1:26" ht="24.75" customHeight="1">
      <c r="A112" s="230"/>
      <c r="B112" s="230"/>
      <c r="C112" s="230"/>
      <c r="D112" s="230"/>
      <c r="E112" s="230"/>
      <c r="F112" s="230"/>
      <c r="G112" s="230"/>
      <c r="H112" s="230"/>
      <c r="I112" s="230"/>
      <c r="J112" s="230"/>
      <c r="K112" s="230"/>
      <c r="L112" s="242"/>
      <c r="M112" s="230"/>
      <c r="N112" s="230"/>
      <c r="O112" s="257"/>
      <c r="P112" s="230"/>
      <c r="Q112" s="242"/>
      <c r="R112" s="230"/>
      <c r="S112" s="250"/>
      <c r="T112" s="250"/>
      <c r="U112" s="230"/>
      <c r="V112" s="256"/>
      <c r="W112" s="257"/>
      <c r="X112" s="230"/>
      <c r="Y112" s="230"/>
      <c r="Z112" s="230"/>
    </row>
    <row r="113" spans="1:26" ht="24.75" customHeight="1">
      <c r="A113" s="230"/>
      <c r="B113" s="230"/>
      <c r="C113" s="230"/>
      <c r="D113" s="230"/>
      <c r="E113" s="230"/>
      <c r="F113" s="230"/>
      <c r="G113" s="230"/>
      <c r="H113" s="230"/>
      <c r="I113" s="230"/>
      <c r="J113" s="230"/>
      <c r="K113" s="230"/>
      <c r="L113" s="242"/>
      <c r="M113" s="230"/>
      <c r="N113" s="230"/>
      <c r="O113" s="257"/>
      <c r="P113" s="230"/>
      <c r="Q113" s="242"/>
      <c r="R113" s="230"/>
      <c r="S113" s="250"/>
      <c r="T113" s="250"/>
      <c r="U113" s="230"/>
      <c r="V113" s="256"/>
      <c r="W113" s="257"/>
      <c r="X113" s="230"/>
      <c r="Y113" s="230"/>
      <c r="Z113" s="230"/>
    </row>
    <row r="114" spans="1:26" ht="24.75" customHeight="1">
      <c r="A114" s="230"/>
      <c r="B114" s="230"/>
      <c r="C114" s="230"/>
      <c r="D114" s="230"/>
      <c r="E114" s="230"/>
      <c r="F114" s="230"/>
      <c r="G114" s="230"/>
      <c r="H114" s="230"/>
      <c r="I114" s="230"/>
      <c r="J114" s="230"/>
      <c r="K114" s="230"/>
      <c r="L114" s="242"/>
      <c r="M114" s="230"/>
      <c r="N114" s="230"/>
      <c r="O114" s="257"/>
      <c r="P114" s="230"/>
      <c r="Q114" s="242"/>
      <c r="R114" s="230"/>
      <c r="S114" s="250"/>
      <c r="T114" s="250"/>
      <c r="U114" s="230"/>
      <c r="V114" s="256"/>
      <c r="W114" s="257"/>
      <c r="X114" s="230"/>
      <c r="Y114" s="230"/>
      <c r="Z114" s="230"/>
    </row>
    <row r="115" spans="1:26" ht="24.75" customHeight="1">
      <c r="A115" s="230"/>
      <c r="B115" s="230"/>
      <c r="C115" s="230"/>
      <c r="D115" s="230"/>
      <c r="E115" s="230"/>
      <c r="F115" s="230"/>
      <c r="G115" s="230"/>
      <c r="H115" s="230"/>
      <c r="I115" s="230"/>
      <c r="J115" s="230"/>
      <c r="K115" s="230"/>
      <c r="L115" s="242"/>
      <c r="M115" s="230"/>
      <c r="N115" s="230"/>
      <c r="O115" s="257"/>
      <c r="P115" s="230"/>
      <c r="Q115" s="242"/>
      <c r="R115" s="230"/>
      <c r="S115" s="250"/>
      <c r="T115" s="250"/>
      <c r="U115" s="230"/>
      <c r="V115" s="256"/>
      <c r="W115" s="257"/>
      <c r="X115" s="230"/>
      <c r="Y115" s="230"/>
      <c r="Z115" s="230"/>
    </row>
    <row r="116" spans="1:26" ht="24.75" customHeight="1">
      <c r="A116" s="230"/>
      <c r="B116" s="230"/>
      <c r="C116" s="230"/>
      <c r="D116" s="230"/>
      <c r="E116" s="230"/>
      <c r="F116" s="230"/>
      <c r="G116" s="230"/>
      <c r="H116" s="230"/>
      <c r="I116" s="230"/>
      <c r="J116" s="230"/>
      <c r="K116" s="230"/>
      <c r="L116" s="242"/>
      <c r="M116" s="230"/>
      <c r="N116" s="230"/>
      <c r="O116" s="257"/>
      <c r="P116" s="230"/>
      <c r="Q116" s="242"/>
      <c r="R116" s="230"/>
      <c r="S116" s="250"/>
      <c r="T116" s="250"/>
      <c r="U116" s="230"/>
      <c r="V116" s="256"/>
      <c r="W116" s="257"/>
      <c r="X116" s="230"/>
      <c r="Y116" s="230"/>
      <c r="Z116" s="230"/>
    </row>
    <row r="117" spans="1:26" ht="24.75" customHeight="1">
      <c r="A117" s="230"/>
      <c r="B117" s="230"/>
      <c r="C117" s="230"/>
      <c r="D117" s="230"/>
      <c r="E117" s="230"/>
      <c r="F117" s="230"/>
      <c r="G117" s="230"/>
      <c r="H117" s="230"/>
      <c r="I117" s="230"/>
      <c r="J117" s="230"/>
      <c r="K117" s="230"/>
      <c r="L117" s="242"/>
      <c r="M117" s="230"/>
      <c r="N117" s="230"/>
      <c r="O117" s="257"/>
      <c r="P117" s="230"/>
      <c r="Q117" s="242"/>
      <c r="R117" s="230"/>
      <c r="S117" s="250"/>
      <c r="T117" s="250"/>
      <c r="U117" s="230"/>
      <c r="V117" s="256"/>
      <c r="W117" s="257"/>
      <c r="X117" s="230"/>
      <c r="Y117" s="230"/>
      <c r="Z117" s="230"/>
    </row>
    <row r="118" spans="1:26" ht="24.75" customHeight="1">
      <c r="A118" s="230"/>
      <c r="B118" s="230"/>
      <c r="C118" s="230"/>
      <c r="D118" s="230"/>
      <c r="E118" s="230"/>
      <c r="F118" s="230"/>
      <c r="G118" s="230"/>
      <c r="H118" s="230"/>
      <c r="I118" s="230"/>
      <c r="J118" s="230"/>
      <c r="K118" s="230"/>
      <c r="L118" s="242"/>
      <c r="M118" s="230"/>
      <c r="N118" s="230"/>
      <c r="O118" s="257"/>
      <c r="P118" s="230"/>
      <c r="Q118" s="242"/>
      <c r="R118" s="230"/>
      <c r="S118" s="250"/>
      <c r="T118" s="250"/>
      <c r="U118" s="230"/>
      <c r="V118" s="256"/>
      <c r="W118" s="257"/>
      <c r="X118" s="230"/>
      <c r="Y118" s="230"/>
      <c r="Z118" s="230"/>
    </row>
    <row r="119" spans="1:26" ht="24.75" customHeight="1">
      <c r="A119" s="230"/>
      <c r="B119" s="230"/>
      <c r="C119" s="230"/>
      <c r="D119" s="230"/>
      <c r="E119" s="230"/>
      <c r="F119" s="230"/>
      <c r="G119" s="230"/>
      <c r="H119" s="230"/>
      <c r="I119" s="230"/>
      <c r="J119" s="230"/>
      <c r="K119" s="230"/>
      <c r="L119" s="242"/>
      <c r="M119" s="230"/>
      <c r="N119" s="230"/>
      <c r="O119" s="257"/>
      <c r="P119" s="230"/>
      <c r="Q119" s="242"/>
      <c r="R119" s="230"/>
      <c r="S119" s="250"/>
      <c r="T119" s="250"/>
      <c r="U119" s="230"/>
      <c r="V119" s="256"/>
      <c r="W119" s="257"/>
      <c r="X119" s="230"/>
      <c r="Y119" s="230"/>
      <c r="Z119" s="230"/>
    </row>
    <row r="120" spans="1:26" ht="24.75" customHeight="1">
      <c r="A120" s="230"/>
      <c r="B120" s="230"/>
      <c r="C120" s="230"/>
      <c r="D120" s="230"/>
      <c r="E120" s="230"/>
      <c r="F120" s="230"/>
      <c r="G120" s="230"/>
      <c r="H120" s="230"/>
      <c r="I120" s="230"/>
      <c r="J120" s="230"/>
      <c r="K120" s="230"/>
      <c r="L120" s="242"/>
      <c r="M120" s="230"/>
      <c r="N120" s="230"/>
      <c r="O120" s="257"/>
      <c r="P120" s="230"/>
      <c r="Q120" s="242"/>
      <c r="R120" s="230"/>
      <c r="S120" s="250"/>
      <c r="T120" s="250"/>
      <c r="U120" s="230"/>
      <c r="V120" s="256"/>
      <c r="W120" s="257"/>
      <c r="X120" s="230"/>
      <c r="Y120" s="230"/>
      <c r="Z120" s="230"/>
    </row>
    <row r="121" spans="1:26" ht="24.75" customHeight="1">
      <c r="A121" s="230"/>
      <c r="B121" s="230"/>
      <c r="C121" s="230"/>
      <c r="D121" s="230"/>
      <c r="E121" s="230"/>
      <c r="F121" s="230"/>
      <c r="G121" s="230"/>
      <c r="H121" s="230"/>
      <c r="I121" s="230"/>
      <c r="J121" s="230"/>
      <c r="K121" s="230"/>
      <c r="L121" s="242"/>
      <c r="M121" s="230"/>
      <c r="N121" s="230"/>
      <c r="O121" s="257"/>
      <c r="P121" s="230"/>
      <c r="Q121" s="242"/>
      <c r="R121" s="230"/>
      <c r="S121" s="250"/>
      <c r="T121" s="250"/>
      <c r="U121" s="230"/>
      <c r="V121" s="256"/>
      <c r="W121" s="257"/>
      <c r="X121" s="230"/>
      <c r="Y121" s="230"/>
      <c r="Z121" s="230"/>
    </row>
    <row r="122" spans="1:26" ht="24.75" customHeight="1">
      <c r="A122" s="230"/>
      <c r="B122" s="230"/>
      <c r="C122" s="230"/>
      <c r="D122" s="230"/>
      <c r="E122" s="230"/>
      <c r="F122" s="230"/>
      <c r="G122" s="230"/>
      <c r="H122" s="230"/>
      <c r="I122" s="230"/>
      <c r="J122" s="230"/>
      <c r="K122" s="230"/>
      <c r="L122" s="242"/>
      <c r="M122" s="230"/>
      <c r="N122" s="230"/>
      <c r="O122" s="257"/>
      <c r="P122" s="230"/>
      <c r="Q122" s="242"/>
      <c r="R122" s="230"/>
      <c r="S122" s="250"/>
      <c r="T122" s="250"/>
      <c r="U122" s="230"/>
      <c r="V122" s="256"/>
      <c r="W122" s="257"/>
      <c r="X122" s="230"/>
      <c r="Y122" s="230"/>
      <c r="Z122" s="230"/>
    </row>
    <row r="123" spans="1:26" ht="24.75" customHeight="1">
      <c r="A123" s="230"/>
      <c r="B123" s="230"/>
      <c r="C123" s="230"/>
      <c r="D123" s="230"/>
      <c r="E123" s="230"/>
      <c r="F123" s="230"/>
      <c r="G123" s="230"/>
      <c r="H123" s="230"/>
      <c r="I123" s="230"/>
      <c r="J123" s="230"/>
      <c r="K123" s="230"/>
      <c r="L123" s="242"/>
      <c r="M123" s="230"/>
      <c r="N123" s="230"/>
      <c r="O123" s="257"/>
      <c r="P123" s="230"/>
      <c r="Q123" s="242"/>
      <c r="R123" s="230"/>
      <c r="S123" s="250"/>
      <c r="T123" s="250"/>
      <c r="U123" s="289"/>
      <c r="V123" s="290"/>
      <c r="W123" s="291"/>
      <c r="X123" s="289"/>
      <c r="Y123" s="289"/>
      <c r="Z123" s="289"/>
    </row>
    <row r="124" spans="1:26" ht="24.75" customHeight="1">
      <c r="A124" s="230"/>
      <c r="B124" s="230"/>
      <c r="C124" s="230"/>
      <c r="D124" s="230"/>
      <c r="E124" s="230"/>
      <c r="F124" s="230"/>
      <c r="G124" s="230"/>
      <c r="H124" s="230"/>
      <c r="I124" s="230"/>
      <c r="J124" s="230"/>
      <c r="K124" s="230"/>
      <c r="L124" s="242"/>
      <c r="M124" s="230"/>
      <c r="N124" s="230"/>
      <c r="O124" s="257"/>
      <c r="P124" s="230"/>
      <c r="Q124" s="242"/>
      <c r="R124" s="230"/>
      <c r="S124" s="250"/>
      <c r="T124" s="250"/>
      <c r="U124" s="230"/>
      <c r="V124" s="256"/>
      <c r="W124" s="257"/>
      <c r="X124" s="230"/>
      <c r="Y124" s="230"/>
      <c r="Z124" s="230"/>
    </row>
    <row r="125" spans="1:26" ht="24.75" customHeight="1">
      <c r="A125" s="230"/>
      <c r="B125" s="230"/>
      <c r="C125" s="230"/>
      <c r="D125" s="230"/>
      <c r="E125" s="230"/>
      <c r="F125" s="230"/>
      <c r="G125" s="230"/>
      <c r="H125" s="230"/>
      <c r="I125" s="230"/>
      <c r="J125" s="230"/>
      <c r="K125" s="230"/>
      <c r="L125" s="242"/>
      <c r="M125" s="230"/>
      <c r="N125" s="230"/>
      <c r="O125" s="257"/>
      <c r="P125" s="230"/>
      <c r="Q125" s="242"/>
      <c r="R125" s="230"/>
      <c r="S125" s="250"/>
      <c r="T125" s="250"/>
      <c r="U125" s="230"/>
      <c r="V125" s="256"/>
      <c r="W125" s="257"/>
      <c r="X125" s="230"/>
      <c r="Y125" s="230"/>
      <c r="Z125" s="230"/>
    </row>
    <row r="126" spans="1:26" ht="24.75" customHeight="1">
      <c r="A126" s="230"/>
      <c r="B126" s="230"/>
      <c r="C126" s="230"/>
      <c r="D126" s="230"/>
      <c r="E126" s="230"/>
      <c r="F126" s="230"/>
      <c r="G126" s="230"/>
      <c r="H126" s="230"/>
      <c r="I126" s="230"/>
      <c r="J126" s="230"/>
      <c r="K126" s="230"/>
      <c r="L126" s="242"/>
      <c r="M126" s="230"/>
      <c r="N126" s="230"/>
      <c r="O126" s="257"/>
      <c r="P126" s="230"/>
      <c r="Q126" s="242"/>
      <c r="R126" s="230"/>
      <c r="S126" s="250"/>
      <c r="T126" s="250"/>
      <c r="U126" s="230"/>
      <c r="V126" s="256"/>
      <c r="W126" s="257"/>
      <c r="X126" s="230"/>
      <c r="Y126" s="230"/>
      <c r="Z126" s="230"/>
    </row>
    <row r="127" spans="1:26" ht="24.75" customHeight="1">
      <c r="A127" s="230"/>
      <c r="B127" s="230"/>
      <c r="C127" s="230"/>
      <c r="D127" s="230"/>
      <c r="E127" s="230"/>
      <c r="F127" s="230"/>
      <c r="G127" s="230"/>
      <c r="H127" s="230"/>
      <c r="I127" s="230"/>
      <c r="J127" s="230"/>
      <c r="K127" s="230"/>
      <c r="L127" s="242"/>
      <c r="M127" s="230"/>
      <c r="N127" s="230"/>
      <c r="O127" s="257"/>
      <c r="P127" s="230"/>
      <c r="Q127" s="242"/>
      <c r="R127" s="230"/>
      <c r="S127" s="250"/>
      <c r="T127" s="250"/>
      <c r="U127" s="230"/>
      <c r="V127" s="256"/>
      <c r="W127" s="257"/>
      <c r="X127" s="230"/>
      <c r="Y127" s="230"/>
      <c r="Z127" s="230"/>
    </row>
    <row r="128" spans="1:26" ht="24.75" customHeight="1">
      <c r="A128" s="230"/>
      <c r="B128" s="230"/>
      <c r="C128" s="230"/>
      <c r="D128" s="230"/>
      <c r="E128" s="230"/>
      <c r="F128" s="230"/>
      <c r="G128" s="230"/>
      <c r="H128" s="230"/>
      <c r="I128" s="230"/>
      <c r="J128" s="230"/>
      <c r="K128" s="230"/>
      <c r="L128" s="242"/>
      <c r="M128" s="230"/>
      <c r="N128" s="230"/>
      <c r="O128" s="257"/>
      <c r="P128" s="230"/>
      <c r="Q128" s="242"/>
      <c r="R128" s="230"/>
      <c r="S128" s="250"/>
      <c r="T128" s="250"/>
      <c r="U128" s="230"/>
      <c r="V128" s="256"/>
      <c r="W128" s="257"/>
      <c r="X128" s="230"/>
      <c r="Y128" s="230"/>
      <c r="Z128" s="230"/>
    </row>
    <row r="129" spans="1:26" ht="24.75" customHeight="1">
      <c r="A129" s="230"/>
      <c r="B129" s="230"/>
      <c r="C129" s="230"/>
      <c r="D129" s="230"/>
      <c r="E129" s="230"/>
      <c r="F129" s="230"/>
      <c r="G129" s="230"/>
      <c r="H129" s="230"/>
      <c r="I129" s="230"/>
      <c r="J129" s="230"/>
      <c r="K129" s="230"/>
      <c r="L129" s="242"/>
      <c r="M129" s="230"/>
      <c r="N129" s="230"/>
      <c r="O129" s="257"/>
      <c r="P129" s="230"/>
      <c r="Q129" s="242"/>
      <c r="R129" s="230"/>
      <c r="S129" s="250"/>
      <c r="T129" s="250"/>
      <c r="U129" s="230"/>
      <c r="V129" s="256"/>
      <c r="W129" s="257"/>
      <c r="X129" s="230"/>
      <c r="Y129" s="230"/>
      <c r="Z129" s="230"/>
    </row>
    <row r="130" spans="1:26" ht="24.75" customHeight="1">
      <c r="A130" s="230"/>
      <c r="B130" s="230"/>
      <c r="C130" s="230"/>
      <c r="D130" s="230"/>
      <c r="E130" s="230"/>
      <c r="F130" s="230"/>
      <c r="G130" s="230"/>
      <c r="H130" s="230"/>
      <c r="I130" s="230"/>
      <c r="J130" s="230"/>
      <c r="K130" s="230"/>
      <c r="L130" s="242"/>
      <c r="M130" s="230"/>
      <c r="N130" s="230"/>
      <c r="O130" s="257"/>
      <c r="P130" s="230"/>
      <c r="Q130" s="242"/>
      <c r="R130" s="230"/>
      <c r="S130" s="250"/>
      <c r="T130" s="250"/>
      <c r="U130" s="230"/>
      <c r="V130" s="256"/>
      <c r="W130" s="257"/>
      <c r="X130" s="230"/>
      <c r="Y130" s="230"/>
      <c r="Z130" s="230"/>
    </row>
    <row r="131" spans="1:26" ht="24.75" customHeight="1">
      <c r="A131" s="230"/>
      <c r="B131" s="230"/>
      <c r="C131" s="230"/>
      <c r="D131" s="230"/>
      <c r="E131" s="230"/>
      <c r="F131" s="230"/>
      <c r="G131" s="230"/>
      <c r="H131" s="230"/>
      <c r="I131" s="230"/>
      <c r="J131" s="230"/>
      <c r="K131" s="230"/>
      <c r="L131" s="242"/>
      <c r="M131" s="230"/>
      <c r="N131" s="230"/>
      <c r="O131" s="257"/>
      <c r="P131" s="230"/>
      <c r="Q131" s="242"/>
      <c r="R131" s="230"/>
      <c r="S131" s="250"/>
      <c r="T131" s="250"/>
      <c r="U131" s="230"/>
      <c r="V131" s="256"/>
      <c r="W131" s="257"/>
      <c r="X131" s="230"/>
      <c r="Y131" s="230"/>
      <c r="Z131" s="230"/>
    </row>
    <row r="132" spans="1:26" ht="24.75" customHeight="1">
      <c r="A132" s="230"/>
      <c r="B132" s="230"/>
      <c r="C132" s="230"/>
      <c r="D132" s="230"/>
      <c r="E132" s="230"/>
      <c r="F132" s="230"/>
      <c r="G132" s="230"/>
      <c r="H132" s="230"/>
      <c r="I132" s="230"/>
      <c r="J132" s="230"/>
      <c r="K132" s="230"/>
      <c r="L132" s="242"/>
      <c r="M132" s="230"/>
      <c r="N132" s="230"/>
      <c r="O132" s="257"/>
      <c r="P132" s="230"/>
      <c r="Q132" s="242"/>
      <c r="R132" s="230"/>
      <c r="S132" s="250"/>
      <c r="T132" s="250"/>
      <c r="U132" s="230"/>
      <c r="V132" s="256"/>
      <c r="W132" s="257"/>
      <c r="X132" s="230"/>
      <c r="Y132" s="230"/>
      <c r="Z132" s="230"/>
    </row>
    <row r="133" spans="1:26" ht="24.75" customHeight="1">
      <c r="A133" s="230"/>
      <c r="B133" s="230"/>
      <c r="C133" s="230"/>
      <c r="D133" s="230"/>
      <c r="E133" s="230"/>
      <c r="F133" s="230"/>
      <c r="G133" s="230"/>
      <c r="H133" s="230"/>
      <c r="I133" s="230"/>
      <c r="J133" s="230"/>
      <c r="K133" s="230"/>
      <c r="L133" s="242"/>
      <c r="M133" s="230"/>
      <c r="N133" s="230"/>
      <c r="O133" s="257"/>
      <c r="P133" s="230"/>
      <c r="Q133" s="242"/>
      <c r="R133" s="230"/>
      <c r="S133" s="250"/>
      <c r="T133" s="250"/>
      <c r="U133" s="230"/>
      <c r="V133" s="256"/>
      <c r="W133" s="257"/>
      <c r="X133" s="230"/>
      <c r="Y133" s="230"/>
      <c r="Z133" s="230"/>
    </row>
    <row r="134" spans="1:26" ht="24.75" customHeight="1">
      <c r="A134" s="230"/>
      <c r="B134" s="230"/>
      <c r="C134" s="230"/>
      <c r="D134" s="230"/>
      <c r="E134" s="230"/>
      <c r="F134" s="230"/>
      <c r="G134" s="230"/>
      <c r="H134" s="230"/>
      <c r="I134" s="230"/>
      <c r="J134" s="230"/>
      <c r="K134" s="230"/>
      <c r="L134" s="242"/>
      <c r="M134" s="230"/>
      <c r="N134" s="230"/>
      <c r="O134" s="257"/>
      <c r="P134" s="230"/>
      <c r="Q134" s="242"/>
      <c r="R134" s="230"/>
      <c r="S134" s="250"/>
      <c r="T134" s="230"/>
      <c r="U134" s="288">
        <v>24454</v>
      </c>
      <c r="V134" s="253" t="s">
        <v>5171</v>
      </c>
      <c r="W134" s="254" t="s">
        <v>5172</v>
      </c>
      <c r="X134" s="248">
        <v>155</v>
      </c>
      <c r="Y134" s="248">
        <v>59</v>
      </c>
      <c r="Z134" s="248">
        <v>24.56</v>
      </c>
    </row>
    <row r="135" spans="1:26" ht="24.75" customHeight="1">
      <c r="A135" s="230"/>
      <c r="B135" s="230"/>
      <c r="C135" s="230"/>
      <c r="D135" s="230"/>
      <c r="E135" s="230"/>
      <c r="F135" s="230"/>
      <c r="G135" s="230"/>
      <c r="H135" s="230"/>
      <c r="I135" s="230"/>
      <c r="J135" s="230"/>
      <c r="K135" s="230"/>
      <c r="L135" s="242"/>
      <c r="M135" s="230"/>
      <c r="N135" s="230"/>
      <c r="O135" s="257"/>
      <c r="P135" s="230"/>
      <c r="Q135" s="242"/>
      <c r="R135" s="230"/>
      <c r="S135" s="250"/>
      <c r="T135" s="230"/>
      <c r="U135" s="288">
        <v>26663</v>
      </c>
      <c r="V135" s="253" t="s">
        <v>5179</v>
      </c>
      <c r="W135" s="254" t="s">
        <v>5180</v>
      </c>
      <c r="X135" s="248">
        <v>158</v>
      </c>
      <c r="Y135" s="248">
        <v>72.5</v>
      </c>
      <c r="Z135" s="248">
        <v>29.04</v>
      </c>
    </row>
    <row r="136" spans="1:26" ht="24.75" customHeight="1">
      <c r="A136" s="230"/>
      <c r="B136" s="230"/>
      <c r="C136" s="230"/>
      <c r="D136" s="230"/>
      <c r="E136" s="230"/>
      <c r="F136" s="230"/>
      <c r="G136" s="230"/>
      <c r="H136" s="230"/>
      <c r="I136" s="230"/>
      <c r="J136" s="230"/>
      <c r="K136" s="230"/>
      <c r="L136" s="242"/>
      <c r="M136" s="230"/>
      <c r="N136" s="230"/>
      <c r="O136" s="257"/>
      <c r="P136" s="230"/>
      <c r="Q136" s="242"/>
      <c r="R136" s="230"/>
      <c r="S136" s="250"/>
      <c r="T136" s="250"/>
      <c r="U136" s="230"/>
      <c r="V136" s="256"/>
      <c r="W136" s="257"/>
      <c r="X136" s="230"/>
      <c r="Y136" s="230"/>
      <c r="Z136" s="230"/>
    </row>
    <row r="137" spans="1:26" ht="24.75" customHeight="1">
      <c r="A137" s="230"/>
      <c r="B137" s="230"/>
      <c r="C137" s="230"/>
      <c r="D137" s="230"/>
      <c r="E137" s="230"/>
      <c r="F137" s="230"/>
      <c r="G137" s="230"/>
      <c r="H137" s="230"/>
      <c r="I137" s="230"/>
      <c r="J137" s="230"/>
      <c r="K137" s="230"/>
      <c r="L137" s="242"/>
      <c r="M137" s="230"/>
      <c r="N137" s="230"/>
      <c r="O137" s="257"/>
      <c r="P137" s="230"/>
      <c r="Q137" s="242"/>
      <c r="R137" s="230"/>
      <c r="S137" s="250"/>
      <c r="T137" s="250"/>
      <c r="U137" s="230"/>
      <c r="V137" s="256"/>
      <c r="W137" s="257"/>
      <c r="X137" s="230"/>
      <c r="Y137" s="230"/>
      <c r="Z137" s="230"/>
    </row>
    <row r="138" spans="1:26" ht="24.75" customHeight="1">
      <c r="A138" s="230"/>
      <c r="B138" s="230"/>
      <c r="C138" s="230"/>
      <c r="D138" s="230"/>
      <c r="E138" s="230"/>
      <c r="F138" s="230"/>
      <c r="G138" s="230"/>
      <c r="H138" s="230"/>
      <c r="I138" s="230"/>
      <c r="J138" s="230"/>
      <c r="K138" s="230"/>
      <c r="L138" s="242"/>
      <c r="M138" s="230"/>
      <c r="N138" s="230"/>
      <c r="O138" s="257"/>
      <c r="P138" s="230"/>
      <c r="Q138" s="242"/>
      <c r="R138" s="230"/>
      <c r="S138" s="250"/>
      <c r="T138" s="250"/>
      <c r="U138" s="230"/>
      <c r="V138" s="256"/>
      <c r="W138" s="257"/>
      <c r="X138" s="230"/>
      <c r="Y138" s="230"/>
      <c r="Z138" s="230"/>
    </row>
    <row r="139" spans="1:26" ht="24.75" customHeight="1">
      <c r="A139" s="230"/>
      <c r="B139" s="230"/>
      <c r="C139" s="230"/>
      <c r="D139" s="230"/>
      <c r="E139" s="230"/>
      <c r="F139" s="230"/>
      <c r="G139" s="230"/>
      <c r="H139" s="230"/>
      <c r="I139" s="230"/>
      <c r="J139" s="230"/>
      <c r="K139" s="230"/>
      <c r="L139" s="242"/>
      <c r="M139" s="230"/>
      <c r="N139" s="230"/>
      <c r="O139" s="257"/>
      <c r="P139" s="230"/>
      <c r="Q139" s="242"/>
      <c r="R139" s="230"/>
      <c r="S139" s="250"/>
      <c r="T139" s="250"/>
      <c r="U139" s="230"/>
      <c r="V139" s="256"/>
      <c r="W139" s="257"/>
      <c r="X139" s="230"/>
      <c r="Y139" s="230"/>
      <c r="Z139" s="230"/>
    </row>
    <row r="140" spans="1:26" ht="24.75" customHeight="1">
      <c r="A140" s="230"/>
      <c r="B140" s="230"/>
      <c r="C140" s="230"/>
      <c r="D140" s="230"/>
      <c r="E140" s="230"/>
      <c r="F140" s="230"/>
      <c r="G140" s="230"/>
      <c r="H140" s="230"/>
      <c r="I140" s="230"/>
      <c r="J140" s="230"/>
      <c r="K140" s="230"/>
      <c r="L140" s="242"/>
      <c r="M140" s="230"/>
      <c r="N140" s="230"/>
      <c r="O140" s="257"/>
      <c r="P140" s="230"/>
      <c r="Q140" s="242"/>
      <c r="R140" s="230"/>
      <c r="S140" s="250"/>
      <c r="T140" s="250"/>
      <c r="U140" s="230"/>
      <c r="V140" s="256"/>
      <c r="W140" s="257"/>
      <c r="X140" s="230"/>
      <c r="Y140" s="230"/>
      <c r="Z140" s="230"/>
    </row>
    <row r="141" spans="1:26" ht="24.75" customHeight="1">
      <c r="A141" s="230"/>
      <c r="B141" s="230"/>
      <c r="C141" s="230"/>
      <c r="D141" s="230"/>
      <c r="E141" s="230"/>
      <c r="F141" s="230"/>
      <c r="G141" s="230"/>
      <c r="H141" s="230"/>
      <c r="I141" s="230"/>
      <c r="J141" s="230"/>
      <c r="K141" s="230"/>
      <c r="L141" s="242"/>
      <c r="M141" s="230"/>
      <c r="N141" s="230"/>
      <c r="O141" s="257"/>
      <c r="P141" s="230"/>
      <c r="Q141" s="242"/>
      <c r="R141" s="230"/>
      <c r="S141" s="250"/>
      <c r="T141" s="250"/>
      <c r="U141" s="248"/>
      <c r="V141" s="253"/>
      <c r="W141" s="254"/>
      <c r="X141" s="248"/>
      <c r="Y141" s="248"/>
      <c r="Z141" s="248"/>
    </row>
    <row r="142" spans="1:26" ht="24.75" customHeight="1">
      <c r="A142" s="230"/>
      <c r="B142" s="230"/>
      <c r="C142" s="230"/>
      <c r="D142" s="230"/>
      <c r="E142" s="230"/>
      <c r="F142" s="230"/>
      <c r="G142" s="230"/>
      <c r="H142" s="230"/>
      <c r="I142" s="230"/>
      <c r="J142" s="230"/>
      <c r="K142" s="230"/>
      <c r="L142" s="242"/>
      <c r="M142" s="230"/>
      <c r="N142" s="230"/>
      <c r="O142" s="257"/>
      <c r="P142" s="230"/>
      <c r="Q142" s="242"/>
      <c r="R142" s="230"/>
      <c r="S142" s="250"/>
      <c r="T142" s="250"/>
      <c r="U142" s="230"/>
      <c r="V142" s="256"/>
      <c r="W142" s="257"/>
      <c r="X142" s="230"/>
      <c r="Y142" s="230"/>
      <c r="Z142" s="230"/>
    </row>
    <row r="143" spans="1:26" ht="24.75" customHeight="1">
      <c r="A143" s="230"/>
      <c r="B143" s="230"/>
      <c r="C143" s="230"/>
      <c r="D143" s="230"/>
      <c r="E143" s="230"/>
      <c r="F143" s="230"/>
      <c r="G143" s="230"/>
      <c r="H143" s="230"/>
      <c r="I143" s="230"/>
      <c r="J143" s="230"/>
      <c r="K143" s="230"/>
      <c r="L143" s="242"/>
      <c r="M143" s="230"/>
      <c r="N143" s="230"/>
      <c r="O143" s="257"/>
      <c r="P143" s="230"/>
      <c r="Q143" s="242"/>
      <c r="R143" s="230"/>
      <c r="S143" s="250"/>
      <c r="T143" s="250"/>
      <c r="U143" s="230"/>
      <c r="V143" s="256"/>
      <c r="W143" s="257"/>
      <c r="X143" s="230"/>
      <c r="Y143" s="230"/>
      <c r="Z143" s="230"/>
    </row>
    <row r="144" spans="1:26" ht="24.75" customHeight="1">
      <c r="A144" s="230"/>
      <c r="B144" s="230"/>
      <c r="C144" s="230"/>
      <c r="D144" s="230"/>
      <c r="E144" s="230"/>
      <c r="F144" s="230"/>
      <c r="G144" s="230"/>
      <c r="H144" s="230"/>
      <c r="I144" s="230"/>
      <c r="J144" s="230"/>
      <c r="K144" s="230"/>
      <c r="L144" s="242"/>
      <c r="M144" s="230"/>
      <c r="N144" s="230"/>
      <c r="O144" s="257"/>
      <c r="P144" s="230"/>
      <c r="Q144" s="242"/>
      <c r="R144" s="230"/>
      <c r="S144" s="250"/>
      <c r="T144" s="250"/>
      <c r="U144" s="230"/>
      <c r="V144" s="256"/>
      <c r="W144" s="257"/>
      <c r="X144" s="230"/>
      <c r="Y144" s="230"/>
      <c r="Z144" s="230"/>
    </row>
    <row r="145" spans="1:26" ht="24.75" customHeight="1">
      <c r="A145" s="230"/>
      <c r="B145" s="230"/>
      <c r="C145" s="230"/>
      <c r="D145" s="230"/>
      <c r="E145" s="230"/>
      <c r="F145" s="230"/>
      <c r="G145" s="230"/>
      <c r="H145" s="230"/>
      <c r="I145" s="230"/>
      <c r="J145" s="230"/>
      <c r="K145" s="230"/>
      <c r="L145" s="242"/>
      <c r="M145" s="230"/>
      <c r="N145" s="230"/>
      <c r="O145" s="257"/>
      <c r="P145" s="230"/>
      <c r="Q145" s="242"/>
      <c r="R145" s="230"/>
      <c r="S145" s="250"/>
      <c r="T145" s="250"/>
      <c r="U145" s="230"/>
      <c r="V145" s="256"/>
      <c r="W145" s="257"/>
      <c r="X145" s="230"/>
      <c r="Y145" s="230"/>
      <c r="Z145" s="230"/>
    </row>
    <row r="146" spans="1:26" ht="24.75" customHeight="1">
      <c r="A146" s="230"/>
      <c r="B146" s="230"/>
      <c r="C146" s="230"/>
      <c r="D146" s="230"/>
      <c r="E146" s="230"/>
      <c r="F146" s="230"/>
      <c r="G146" s="230"/>
      <c r="H146" s="230"/>
      <c r="I146" s="230"/>
      <c r="J146" s="230"/>
      <c r="K146" s="230"/>
      <c r="L146" s="242"/>
      <c r="M146" s="230"/>
      <c r="N146" s="230"/>
      <c r="O146" s="257"/>
      <c r="P146" s="230"/>
      <c r="Q146" s="242"/>
      <c r="R146" s="230"/>
      <c r="S146" s="250"/>
      <c r="T146" s="250"/>
      <c r="U146" s="230"/>
      <c r="V146" s="256"/>
      <c r="W146" s="257"/>
      <c r="X146" s="230"/>
      <c r="Y146" s="230"/>
      <c r="Z146" s="230"/>
    </row>
    <row r="147" spans="1:26" ht="24.75" customHeight="1">
      <c r="A147" s="230"/>
      <c r="B147" s="230"/>
      <c r="C147" s="230"/>
      <c r="D147" s="230"/>
      <c r="E147" s="230"/>
      <c r="F147" s="230"/>
      <c r="G147" s="230"/>
      <c r="H147" s="230"/>
      <c r="I147" s="230"/>
      <c r="J147" s="230"/>
      <c r="K147" s="230"/>
      <c r="L147" s="242"/>
      <c r="M147" s="230"/>
      <c r="N147" s="230"/>
      <c r="O147" s="257"/>
      <c r="P147" s="230"/>
      <c r="Q147" s="242"/>
      <c r="R147" s="230"/>
      <c r="S147" s="250"/>
      <c r="T147" s="250"/>
      <c r="U147" s="230"/>
      <c r="V147" s="256"/>
      <c r="W147" s="257"/>
      <c r="X147" s="230"/>
      <c r="Y147" s="230"/>
      <c r="Z147" s="230"/>
    </row>
    <row r="148" spans="1:26" ht="24.75" customHeight="1">
      <c r="A148" s="230"/>
      <c r="B148" s="230"/>
      <c r="C148" s="230"/>
      <c r="D148" s="230"/>
      <c r="E148" s="230"/>
      <c r="F148" s="230"/>
      <c r="G148" s="230"/>
      <c r="H148" s="230"/>
      <c r="I148" s="230"/>
      <c r="J148" s="230"/>
      <c r="K148" s="230"/>
      <c r="L148" s="242"/>
      <c r="M148" s="230"/>
      <c r="N148" s="230"/>
      <c r="O148" s="257"/>
      <c r="P148" s="230"/>
      <c r="Q148" s="242"/>
      <c r="R148" s="230"/>
      <c r="S148" s="250"/>
      <c r="T148" s="250"/>
      <c r="U148" s="248"/>
      <c r="V148" s="253"/>
      <c r="W148" s="254"/>
      <c r="X148" s="248"/>
      <c r="Y148" s="248"/>
      <c r="Z148" s="248"/>
    </row>
    <row r="149" spans="1:26" ht="24.75" customHeight="1">
      <c r="A149" s="230"/>
      <c r="B149" s="230"/>
      <c r="C149" s="230"/>
      <c r="D149" s="230"/>
      <c r="E149" s="230"/>
      <c r="F149" s="230"/>
      <c r="G149" s="230"/>
      <c r="H149" s="230"/>
      <c r="I149" s="230"/>
      <c r="J149" s="230"/>
      <c r="K149" s="230"/>
      <c r="L149" s="242"/>
      <c r="M149" s="230"/>
      <c r="N149" s="230"/>
      <c r="O149" s="257"/>
      <c r="P149" s="230"/>
      <c r="Q149" s="242"/>
      <c r="R149" s="230"/>
      <c r="S149" s="250"/>
      <c r="T149" s="250"/>
      <c r="U149" s="230"/>
      <c r="V149" s="256"/>
      <c r="W149" s="257"/>
      <c r="X149" s="230"/>
      <c r="Y149" s="230"/>
      <c r="Z149" s="230"/>
    </row>
    <row r="150" spans="1:26" ht="24.75" customHeight="1">
      <c r="A150" s="230"/>
      <c r="B150" s="230"/>
      <c r="C150" s="230"/>
      <c r="D150" s="230"/>
      <c r="E150" s="230"/>
      <c r="F150" s="230"/>
      <c r="G150" s="230"/>
      <c r="H150" s="230"/>
      <c r="I150" s="230"/>
      <c r="J150" s="230"/>
      <c r="K150" s="230"/>
      <c r="L150" s="242"/>
      <c r="M150" s="230"/>
      <c r="N150" s="230"/>
      <c r="O150" s="257"/>
      <c r="P150" s="230"/>
      <c r="Q150" s="242"/>
      <c r="R150" s="230"/>
      <c r="S150" s="250"/>
      <c r="T150" s="250"/>
      <c r="U150" s="230"/>
      <c r="V150" s="256"/>
      <c r="W150" s="257"/>
      <c r="X150" s="230"/>
      <c r="Y150" s="230"/>
      <c r="Z150" s="230"/>
    </row>
    <row r="151" spans="1:26" ht="24.75" customHeight="1">
      <c r="A151" s="230"/>
      <c r="B151" s="230"/>
      <c r="C151" s="230"/>
      <c r="D151" s="230"/>
      <c r="E151" s="230"/>
      <c r="F151" s="230"/>
      <c r="G151" s="230"/>
      <c r="H151" s="230"/>
      <c r="I151" s="230"/>
      <c r="J151" s="230"/>
      <c r="K151" s="230"/>
      <c r="L151" s="242"/>
      <c r="M151" s="230"/>
      <c r="N151" s="230"/>
      <c r="O151" s="257"/>
      <c r="P151" s="230"/>
      <c r="Q151" s="242"/>
      <c r="R151" s="230"/>
      <c r="S151" s="250"/>
      <c r="T151" s="250"/>
      <c r="U151" s="230"/>
      <c r="V151" s="256"/>
      <c r="W151" s="257"/>
      <c r="X151" s="230"/>
      <c r="Y151" s="230"/>
      <c r="Z151" s="230"/>
    </row>
    <row r="152" spans="1:26" ht="24.75" customHeight="1">
      <c r="A152" s="230"/>
      <c r="B152" s="230"/>
      <c r="C152" s="230"/>
      <c r="D152" s="230"/>
      <c r="E152" s="230"/>
      <c r="F152" s="230"/>
      <c r="G152" s="230"/>
      <c r="H152" s="230"/>
      <c r="I152" s="230"/>
      <c r="J152" s="230"/>
      <c r="K152" s="230"/>
      <c r="L152" s="242"/>
      <c r="M152" s="230"/>
      <c r="N152" s="230"/>
      <c r="O152" s="257"/>
      <c r="P152" s="230"/>
      <c r="Q152" s="242"/>
      <c r="R152" s="230"/>
      <c r="S152" s="250"/>
      <c r="T152" s="250"/>
      <c r="U152" s="248"/>
      <c r="V152" s="253"/>
      <c r="W152" s="254"/>
      <c r="X152" s="248"/>
      <c r="Y152" s="248"/>
      <c r="Z152" s="248"/>
    </row>
    <row r="153" spans="1:26" ht="24.75" customHeight="1">
      <c r="A153" s="230"/>
      <c r="B153" s="230"/>
      <c r="C153" s="230"/>
      <c r="D153" s="230"/>
      <c r="E153" s="230"/>
      <c r="F153" s="230"/>
      <c r="G153" s="230"/>
      <c r="H153" s="230"/>
      <c r="I153" s="230"/>
      <c r="J153" s="230"/>
      <c r="K153" s="230"/>
      <c r="L153" s="242"/>
      <c r="M153" s="230"/>
      <c r="N153" s="230"/>
      <c r="O153" s="257"/>
      <c r="P153" s="230"/>
      <c r="Q153" s="242"/>
      <c r="R153" s="230"/>
      <c r="S153" s="250"/>
      <c r="T153" s="250"/>
      <c r="U153" s="230"/>
      <c r="V153" s="256"/>
      <c r="W153" s="257"/>
      <c r="X153" s="230"/>
      <c r="Y153" s="230"/>
      <c r="Z153" s="230"/>
    </row>
    <row r="154" spans="1:26" ht="24.75" customHeight="1">
      <c r="A154" s="230"/>
      <c r="B154" s="230"/>
      <c r="C154" s="230"/>
      <c r="D154" s="230"/>
      <c r="E154" s="230"/>
      <c r="F154" s="230"/>
      <c r="G154" s="230"/>
      <c r="H154" s="230"/>
      <c r="I154" s="230"/>
      <c r="J154" s="230"/>
      <c r="K154" s="230"/>
      <c r="L154" s="242"/>
      <c r="M154" s="230"/>
      <c r="N154" s="230"/>
      <c r="O154" s="257"/>
      <c r="P154" s="230"/>
      <c r="Q154" s="242"/>
      <c r="R154" s="230"/>
      <c r="S154" s="250"/>
      <c r="T154" s="250"/>
      <c r="U154" s="230"/>
      <c r="V154" s="256"/>
      <c r="W154" s="257"/>
      <c r="X154" s="230"/>
      <c r="Y154" s="230"/>
      <c r="Z154" s="230"/>
    </row>
    <row r="155" spans="1:26" ht="24.75" customHeight="1">
      <c r="A155" s="230"/>
      <c r="B155" s="230"/>
      <c r="C155" s="230"/>
      <c r="D155" s="230"/>
      <c r="E155" s="230"/>
      <c r="F155" s="230"/>
      <c r="G155" s="230"/>
      <c r="H155" s="230"/>
      <c r="I155" s="230"/>
      <c r="J155" s="230"/>
      <c r="K155" s="230"/>
      <c r="L155" s="242"/>
      <c r="M155" s="230"/>
      <c r="N155" s="230"/>
      <c r="O155" s="257"/>
      <c r="P155" s="230"/>
      <c r="Q155" s="242"/>
      <c r="R155" s="230"/>
      <c r="S155" s="250"/>
      <c r="T155" s="250"/>
      <c r="U155" s="230"/>
      <c r="V155" s="256"/>
      <c r="W155" s="257"/>
      <c r="X155" s="230"/>
      <c r="Y155" s="230"/>
      <c r="Z155" s="230"/>
    </row>
    <row r="156" spans="1:26" ht="24.75" customHeight="1">
      <c r="A156" s="230"/>
      <c r="B156" s="230"/>
      <c r="C156" s="230"/>
      <c r="D156" s="230"/>
      <c r="E156" s="230"/>
      <c r="F156" s="230"/>
      <c r="G156" s="230"/>
      <c r="H156" s="230"/>
      <c r="I156" s="230"/>
      <c r="J156" s="230"/>
      <c r="K156" s="230"/>
      <c r="L156" s="242"/>
      <c r="M156" s="230"/>
      <c r="N156" s="230"/>
      <c r="O156" s="257"/>
      <c r="P156" s="230"/>
      <c r="Q156" s="242"/>
      <c r="R156" s="230"/>
      <c r="S156" s="250"/>
      <c r="T156" s="250"/>
      <c r="U156" s="230"/>
      <c r="V156" s="256"/>
      <c r="W156" s="257"/>
      <c r="X156" s="230"/>
      <c r="Y156" s="230"/>
      <c r="Z156" s="230"/>
    </row>
    <row r="157" spans="1:26" ht="24.75" customHeight="1">
      <c r="A157" s="230"/>
      <c r="B157" s="230"/>
      <c r="C157" s="230"/>
      <c r="D157" s="230"/>
      <c r="E157" s="230"/>
      <c r="F157" s="230"/>
      <c r="G157" s="230"/>
      <c r="H157" s="230"/>
      <c r="I157" s="230"/>
      <c r="J157" s="230"/>
      <c r="K157" s="230"/>
      <c r="L157" s="242"/>
      <c r="M157" s="230"/>
      <c r="N157" s="230"/>
      <c r="O157" s="257"/>
      <c r="P157" s="230"/>
      <c r="Q157" s="242"/>
      <c r="R157" s="230"/>
      <c r="S157" s="250"/>
      <c r="T157" s="250"/>
      <c r="U157" s="230"/>
      <c r="V157" s="256"/>
      <c r="W157" s="257"/>
      <c r="X157" s="230"/>
      <c r="Y157" s="230"/>
      <c r="Z157" s="230"/>
    </row>
    <row r="158" spans="1:26" ht="24.75" customHeight="1">
      <c r="A158" s="230"/>
      <c r="B158" s="230"/>
      <c r="C158" s="230"/>
      <c r="D158" s="230"/>
      <c r="E158" s="230"/>
      <c r="F158" s="230"/>
      <c r="G158" s="230"/>
      <c r="H158" s="230"/>
      <c r="I158" s="230"/>
      <c r="J158" s="230"/>
      <c r="K158" s="230"/>
      <c r="L158" s="242"/>
      <c r="M158" s="230"/>
      <c r="N158" s="230"/>
      <c r="O158" s="257"/>
      <c r="P158" s="230"/>
      <c r="Q158" s="242"/>
      <c r="R158" s="230"/>
      <c r="S158" s="250"/>
      <c r="T158" s="250"/>
      <c r="U158" s="230"/>
      <c r="V158" s="256"/>
      <c r="W158" s="257"/>
      <c r="X158" s="230"/>
      <c r="Y158" s="230"/>
      <c r="Z158" s="230"/>
    </row>
    <row r="159" spans="1:26" ht="24.75" customHeight="1">
      <c r="A159" s="230"/>
      <c r="B159" s="230"/>
      <c r="C159" s="230"/>
      <c r="D159" s="230"/>
      <c r="E159" s="230"/>
      <c r="F159" s="230"/>
      <c r="G159" s="230"/>
      <c r="H159" s="230"/>
      <c r="I159" s="230"/>
      <c r="J159" s="230"/>
      <c r="K159" s="230"/>
      <c r="L159" s="242"/>
      <c r="M159" s="230"/>
      <c r="N159" s="230"/>
      <c r="O159" s="257"/>
      <c r="P159" s="230"/>
      <c r="Q159" s="242"/>
      <c r="R159" s="230"/>
      <c r="S159" s="250"/>
      <c r="T159" s="250"/>
      <c r="U159" s="230"/>
      <c r="V159" s="256"/>
      <c r="W159" s="257"/>
      <c r="X159" s="230"/>
      <c r="Y159" s="230"/>
      <c r="Z159" s="230"/>
    </row>
    <row r="160" spans="1:26" ht="24.75" customHeight="1">
      <c r="A160" s="230"/>
      <c r="B160" s="230"/>
      <c r="C160" s="230"/>
      <c r="D160" s="230"/>
      <c r="E160" s="230"/>
      <c r="F160" s="230"/>
      <c r="G160" s="230"/>
      <c r="H160" s="230"/>
      <c r="I160" s="230"/>
      <c r="J160" s="230"/>
      <c r="K160" s="230"/>
      <c r="L160" s="242"/>
      <c r="M160" s="230"/>
      <c r="N160" s="230"/>
      <c r="O160" s="257"/>
      <c r="P160" s="230"/>
      <c r="Q160" s="242"/>
      <c r="R160" s="230"/>
      <c r="S160" s="250"/>
      <c r="T160" s="250"/>
      <c r="U160" s="230"/>
      <c r="V160" s="256"/>
      <c r="W160" s="257"/>
      <c r="X160" s="230"/>
      <c r="Y160" s="230"/>
      <c r="Z160" s="230"/>
    </row>
    <row r="161" spans="1:26" ht="24.75" customHeight="1">
      <c r="A161" s="230"/>
      <c r="B161" s="230"/>
      <c r="C161" s="230"/>
      <c r="D161" s="230"/>
      <c r="E161" s="230"/>
      <c r="F161" s="230"/>
      <c r="G161" s="230"/>
      <c r="H161" s="230"/>
      <c r="I161" s="230"/>
      <c r="J161" s="230"/>
      <c r="K161" s="230"/>
      <c r="L161" s="242"/>
      <c r="M161" s="230"/>
      <c r="N161" s="230"/>
      <c r="O161" s="257"/>
      <c r="P161" s="230"/>
      <c r="Q161" s="242"/>
      <c r="R161" s="230"/>
      <c r="S161" s="250"/>
      <c r="T161" s="250"/>
      <c r="U161" s="230"/>
      <c r="V161" s="256"/>
      <c r="W161" s="257"/>
      <c r="X161" s="230"/>
      <c r="Y161" s="230"/>
      <c r="Z161" s="230"/>
    </row>
    <row r="162" spans="1:26" ht="24.75" customHeight="1">
      <c r="A162" s="230"/>
      <c r="B162" s="230"/>
      <c r="C162" s="230"/>
      <c r="D162" s="230"/>
      <c r="E162" s="230"/>
      <c r="F162" s="230"/>
      <c r="G162" s="230"/>
      <c r="H162" s="230"/>
      <c r="I162" s="230"/>
      <c r="J162" s="230"/>
      <c r="K162" s="230"/>
      <c r="L162" s="242"/>
      <c r="M162" s="230"/>
      <c r="N162" s="230"/>
      <c r="O162" s="257"/>
      <c r="P162" s="230"/>
      <c r="Q162" s="242"/>
      <c r="R162" s="230"/>
      <c r="S162" s="250"/>
      <c r="T162" s="250"/>
      <c r="U162" s="230"/>
      <c r="V162" s="256"/>
      <c r="W162" s="257"/>
      <c r="X162" s="230"/>
      <c r="Y162" s="230"/>
      <c r="Z162" s="230"/>
    </row>
    <row r="163" spans="1:26" ht="24.75" customHeight="1">
      <c r="A163" s="230"/>
      <c r="B163" s="230"/>
      <c r="C163" s="230"/>
      <c r="D163" s="230"/>
      <c r="E163" s="230"/>
      <c r="F163" s="230"/>
      <c r="G163" s="230"/>
      <c r="H163" s="230"/>
      <c r="I163" s="230"/>
      <c r="J163" s="230"/>
      <c r="K163" s="230"/>
      <c r="L163" s="242"/>
      <c r="M163" s="230"/>
      <c r="N163" s="230"/>
      <c r="O163" s="257"/>
      <c r="P163" s="230"/>
      <c r="Q163" s="242"/>
      <c r="R163" s="230"/>
      <c r="S163" s="250"/>
      <c r="T163" s="250"/>
      <c r="U163" s="230"/>
      <c r="V163" s="256"/>
      <c r="W163" s="257"/>
      <c r="X163" s="230"/>
      <c r="Y163" s="230"/>
      <c r="Z163" s="230"/>
    </row>
    <row r="164" spans="1:26" ht="24.75" customHeight="1">
      <c r="A164" s="230"/>
      <c r="B164" s="230"/>
      <c r="C164" s="230"/>
      <c r="D164" s="230"/>
      <c r="E164" s="230"/>
      <c r="F164" s="230"/>
      <c r="G164" s="230"/>
      <c r="H164" s="230"/>
      <c r="I164" s="230"/>
      <c r="J164" s="230"/>
      <c r="K164" s="230"/>
      <c r="L164" s="242"/>
      <c r="M164" s="230"/>
      <c r="N164" s="230"/>
      <c r="O164" s="257"/>
      <c r="P164" s="230"/>
      <c r="Q164" s="242"/>
      <c r="R164" s="230"/>
      <c r="S164" s="250"/>
      <c r="T164" s="250"/>
      <c r="U164" s="230"/>
      <c r="V164" s="256"/>
      <c r="W164" s="257"/>
      <c r="X164" s="230"/>
      <c r="Y164" s="230"/>
      <c r="Z164" s="230"/>
    </row>
    <row r="165" spans="1:26" ht="24.75" customHeight="1">
      <c r="A165" s="230"/>
      <c r="B165" s="230"/>
      <c r="C165" s="230"/>
      <c r="D165" s="230"/>
      <c r="E165" s="230"/>
      <c r="F165" s="230"/>
      <c r="G165" s="230"/>
      <c r="H165" s="230"/>
      <c r="I165" s="230"/>
      <c r="J165" s="230"/>
      <c r="K165" s="230"/>
      <c r="L165" s="242"/>
      <c r="M165" s="230"/>
      <c r="N165" s="230"/>
      <c r="O165" s="257"/>
      <c r="P165" s="230"/>
      <c r="Q165" s="242"/>
      <c r="R165" s="230"/>
      <c r="S165" s="250"/>
      <c r="T165" s="250"/>
      <c r="U165" s="230"/>
      <c r="V165" s="256"/>
      <c r="W165" s="257"/>
      <c r="X165" s="230"/>
      <c r="Y165" s="230"/>
      <c r="Z165" s="230"/>
    </row>
    <row r="166" spans="1:26" ht="24.75" customHeight="1">
      <c r="A166" s="230"/>
      <c r="B166" s="230"/>
      <c r="C166" s="230"/>
      <c r="D166" s="230"/>
      <c r="E166" s="230"/>
      <c r="F166" s="230"/>
      <c r="G166" s="230"/>
      <c r="H166" s="230"/>
      <c r="I166" s="230"/>
      <c r="J166" s="230"/>
      <c r="K166" s="230"/>
      <c r="L166" s="242"/>
      <c r="M166" s="230"/>
      <c r="N166" s="230"/>
      <c r="O166" s="257"/>
      <c r="P166" s="230"/>
      <c r="Q166" s="242"/>
      <c r="R166" s="230"/>
      <c r="S166" s="250"/>
      <c r="T166" s="250"/>
      <c r="U166" s="230"/>
      <c r="V166" s="256"/>
      <c r="W166" s="257"/>
      <c r="X166" s="230"/>
      <c r="Y166" s="230"/>
      <c r="Z166" s="230"/>
    </row>
    <row r="167" spans="1:26" ht="24.75" customHeight="1">
      <c r="A167" s="230"/>
      <c r="B167" s="230"/>
      <c r="C167" s="230"/>
      <c r="D167" s="230"/>
      <c r="E167" s="230"/>
      <c r="F167" s="230"/>
      <c r="G167" s="230"/>
      <c r="H167" s="230"/>
      <c r="I167" s="230"/>
      <c r="J167" s="230"/>
      <c r="K167" s="230"/>
      <c r="L167" s="242"/>
      <c r="M167" s="230"/>
      <c r="N167" s="230"/>
      <c r="O167" s="257"/>
      <c r="P167" s="230"/>
      <c r="Q167" s="242"/>
      <c r="R167" s="230"/>
      <c r="S167" s="250"/>
      <c r="T167" s="250"/>
      <c r="U167" s="230"/>
      <c r="V167" s="256"/>
      <c r="W167" s="257"/>
      <c r="X167" s="230"/>
      <c r="Y167" s="230"/>
      <c r="Z167" s="230"/>
    </row>
    <row r="168" spans="1:26" ht="24.75" customHeight="1">
      <c r="A168" s="230"/>
      <c r="B168" s="230"/>
      <c r="C168" s="230"/>
      <c r="D168" s="230"/>
      <c r="E168" s="230"/>
      <c r="F168" s="230"/>
      <c r="G168" s="230"/>
      <c r="H168" s="230"/>
      <c r="I168" s="230"/>
      <c r="J168" s="230"/>
      <c r="K168" s="230"/>
      <c r="L168" s="242"/>
      <c r="M168" s="230"/>
      <c r="N168" s="230"/>
      <c r="O168" s="257"/>
      <c r="P168" s="230"/>
      <c r="Q168" s="242"/>
      <c r="R168" s="230"/>
      <c r="S168" s="250"/>
      <c r="T168" s="250"/>
      <c r="U168" s="230"/>
      <c r="V168" s="256"/>
      <c r="W168" s="257"/>
      <c r="X168" s="230"/>
      <c r="Y168" s="230"/>
      <c r="Z168" s="230"/>
    </row>
    <row r="169" spans="1:26" ht="24.75" customHeight="1">
      <c r="A169" s="230"/>
      <c r="B169" s="230"/>
      <c r="C169" s="230"/>
      <c r="D169" s="230"/>
      <c r="E169" s="230"/>
      <c r="F169" s="230"/>
      <c r="G169" s="230"/>
      <c r="H169" s="230"/>
      <c r="I169" s="230"/>
      <c r="J169" s="230"/>
      <c r="K169" s="230"/>
      <c r="L169" s="242"/>
      <c r="M169" s="230"/>
      <c r="N169" s="230"/>
      <c r="O169" s="257"/>
      <c r="P169" s="230"/>
      <c r="Q169" s="242"/>
      <c r="R169" s="230"/>
      <c r="S169" s="250"/>
      <c r="T169" s="250"/>
      <c r="U169" s="230"/>
      <c r="V169" s="256"/>
      <c r="W169" s="257"/>
      <c r="X169" s="230"/>
      <c r="Y169" s="230"/>
      <c r="Z169" s="230"/>
    </row>
    <row r="170" spans="1:26" ht="24.75" customHeight="1">
      <c r="A170" s="230"/>
      <c r="B170" s="230"/>
      <c r="C170" s="230"/>
      <c r="D170" s="230"/>
      <c r="E170" s="230"/>
      <c r="F170" s="230"/>
      <c r="G170" s="230"/>
      <c r="H170" s="230"/>
      <c r="I170" s="230"/>
      <c r="J170" s="230"/>
      <c r="K170" s="230"/>
      <c r="L170" s="242"/>
      <c r="M170" s="230"/>
      <c r="N170" s="230"/>
      <c r="O170" s="257"/>
      <c r="P170" s="230"/>
      <c r="Q170" s="242"/>
      <c r="R170" s="230"/>
      <c r="S170" s="250"/>
      <c r="T170" s="250"/>
      <c r="U170" s="230"/>
      <c r="V170" s="256"/>
      <c r="W170" s="257"/>
      <c r="X170" s="230"/>
      <c r="Y170" s="230"/>
      <c r="Z170" s="230"/>
    </row>
    <row r="171" spans="1:26" ht="24.75" customHeight="1">
      <c r="A171" s="230"/>
      <c r="B171" s="230"/>
      <c r="C171" s="230"/>
      <c r="D171" s="230"/>
      <c r="E171" s="230"/>
      <c r="F171" s="230"/>
      <c r="G171" s="230"/>
      <c r="H171" s="230"/>
      <c r="I171" s="230"/>
      <c r="J171" s="230"/>
      <c r="K171" s="230"/>
      <c r="L171" s="242"/>
      <c r="M171" s="230"/>
      <c r="N171" s="230"/>
      <c r="O171" s="257"/>
      <c r="P171" s="230"/>
      <c r="Q171" s="242"/>
      <c r="R171" s="230"/>
      <c r="S171" s="250"/>
      <c r="T171" s="250"/>
      <c r="U171" s="230"/>
      <c r="V171" s="256"/>
      <c r="W171" s="257"/>
      <c r="X171" s="230"/>
      <c r="Y171" s="230"/>
      <c r="Z171" s="230"/>
    </row>
    <row r="172" spans="1:26" ht="24.75" customHeight="1">
      <c r="A172" s="230"/>
      <c r="B172" s="230"/>
      <c r="C172" s="230"/>
      <c r="D172" s="230"/>
      <c r="E172" s="230"/>
      <c r="F172" s="230"/>
      <c r="G172" s="230"/>
      <c r="H172" s="230"/>
      <c r="I172" s="230"/>
      <c r="J172" s="230"/>
      <c r="K172" s="230"/>
      <c r="L172" s="242"/>
      <c r="M172" s="230"/>
      <c r="N172" s="230"/>
      <c r="O172" s="257"/>
      <c r="P172" s="230"/>
      <c r="Q172" s="242"/>
      <c r="R172" s="230"/>
      <c r="S172" s="250"/>
      <c r="T172" s="250"/>
      <c r="U172" s="248"/>
      <c r="V172" s="253"/>
      <c r="W172" s="254"/>
      <c r="X172" s="248"/>
      <c r="Y172" s="248"/>
      <c r="Z172" s="248"/>
    </row>
    <row r="173" spans="1:26" ht="24.75" customHeight="1">
      <c r="A173" s="230"/>
      <c r="B173" s="230"/>
      <c r="C173" s="230"/>
      <c r="D173" s="230"/>
      <c r="E173" s="230"/>
      <c r="F173" s="230"/>
      <c r="G173" s="230"/>
      <c r="H173" s="230"/>
      <c r="I173" s="230"/>
      <c r="J173" s="230"/>
      <c r="K173" s="230"/>
      <c r="L173" s="242"/>
      <c r="M173" s="230"/>
      <c r="N173" s="230"/>
      <c r="O173" s="257"/>
      <c r="P173" s="230"/>
      <c r="Q173" s="242"/>
      <c r="R173" s="230"/>
      <c r="S173" s="250"/>
      <c r="T173" s="250"/>
      <c r="U173" s="248"/>
      <c r="V173" s="253"/>
      <c r="W173" s="254"/>
      <c r="X173" s="248"/>
      <c r="Y173" s="248"/>
      <c r="Z173" s="248"/>
    </row>
    <row r="174" spans="1:26" ht="24.75" customHeight="1">
      <c r="A174" s="230"/>
      <c r="B174" s="230"/>
      <c r="C174" s="230"/>
      <c r="D174" s="230"/>
      <c r="E174" s="230"/>
      <c r="F174" s="230"/>
      <c r="G174" s="230"/>
      <c r="H174" s="230"/>
      <c r="I174" s="230"/>
      <c r="J174" s="230"/>
      <c r="K174" s="230"/>
      <c r="L174" s="242"/>
      <c r="M174" s="230"/>
      <c r="N174" s="230"/>
      <c r="O174" s="257"/>
      <c r="P174" s="230"/>
      <c r="Q174" s="242"/>
      <c r="R174" s="230"/>
      <c r="S174" s="250"/>
      <c r="T174" s="250"/>
      <c r="U174" s="230"/>
      <c r="V174" s="256"/>
      <c r="W174" s="257"/>
      <c r="X174" s="230"/>
      <c r="Y174" s="230"/>
      <c r="Z174" s="230"/>
    </row>
    <row r="175" spans="1:26" ht="24.75" customHeight="1">
      <c r="A175" s="230"/>
      <c r="B175" s="230"/>
      <c r="C175" s="230"/>
      <c r="D175" s="230"/>
      <c r="E175" s="230"/>
      <c r="F175" s="230"/>
      <c r="G175" s="230"/>
      <c r="H175" s="230"/>
      <c r="I175" s="230"/>
      <c r="J175" s="230"/>
      <c r="K175" s="230"/>
      <c r="L175" s="242"/>
      <c r="M175" s="230"/>
      <c r="N175" s="230"/>
      <c r="O175" s="257"/>
      <c r="P175" s="230"/>
      <c r="Q175" s="242"/>
      <c r="R175" s="230"/>
      <c r="S175" s="250"/>
      <c r="T175" s="250"/>
      <c r="U175" s="248"/>
      <c r="V175" s="253"/>
      <c r="W175" s="254"/>
      <c r="X175" s="248"/>
      <c r="Y175" s="248"/>
      <c r="Z175" s="248"/>
    </row>
    <row r="176" spans="1:26" ht="24.75" customHeight="1">
      <c r="A176" s="230"/>
      <c r="B176" s="230"/>
      <c r="C176" s="230"/>
      <c r="D176" s="230"/>
      <c r="E176" s="230"/>
      <c r="F176" s="230"/>
      <c r="G176" s="230"/>
      <c r="H176" s="230"/>
      <c r="I176" s="230"/>
      <c r="J176" s="230"/>
      <c r="K176" s="230"/>
      <c r="L176" s="242"/>
      <c r="M176" s="230"/>
      <c r="N176" s="230"/>
      <c r="O176" s="257"/>
      <c r="P176" s="230"/>
      <c r="Q176" s="242"/>
      <c r="R176" s="230"/>
      <c r="S176" s="250"/>
      <c r="T176" s="250"/>
      <c r="U176" s="248"/>
      <c r="V176" s="253"/>
      <c r="W176" s="254"/>
      <c r="X176" s="248"/>
      <c r="Y176" s="248"/>
      <c r="Z176" s="248"/>
    </row>
    <row r="177" spans="1:26" ht="24.75" customHeight="1">
      <c r="A177" s="230"/>
      <c r="B177" s="230"/>
      <c r="C177" s="230"/>
      <c r="D177" s="230"/>
      <c r="E177" s="230"/>
      <c r="F177" s="230"/>
      <c r="G177" s="230"/>
      <c r="H177" s="230"/>
      <c r="I177" s="230"/>
      <c r="J177" s="230"/>
      <c r="K177" s="230"/>
      <c r="L177" s="242"/>
      <c r="M177" s="230"/>
      <c r="N177" s="230"/>
      <c r="O177" s="257"/>
      <c r="P177" s="230"/>
      <c r="Q177" s="242"/>
      <c r="R177" s="230"/>
      <c r="S177" s="250"/>
      <c r="T177" s="250"/>
      <c r="U177" s="248"/>
      <c r="V177" s="253"/>
      <c r="W177" s="254"/>
      <c r="X177" s="248"/>
      <c r="Y177" s="248"/>
      <c r="Z177" s="248"/>
    </row>
    <row r="178" spans="1:26" ht="24.75" customHeight="1">
      <c r="A178" s="230"/>
      <c r="B178" s="230"/>
      <c r="C178" s="230"/>
      <c r="D178" s="230"/>
      <c r="E178" s="230"/>
      <c r="F178" s="230"/>
      <c r="G178" s="230"/>
      <c r="H178" s="230"/>
      <c r="I178" s="230"/>
      <c r="J178" s="230"/>
      <c r="K178" s="230"/>
      <c r="L178" s="242"/>
      <c r="M178" s="230"/>
      <c r="N178" s="230"/>
      <c r="O178" s="257"/>
      <c r="P178" s="230"/>
      <c r="Q178" s="242"/>
      <c r="R178" s="230"/>
      <c r="S178" s="250"/>
      <c r="T178" s="250"/>
      <c r="U178" s="230"/>
      <c r="V178" s="256"/>
      <c r="W178" s="257"/>
      <c r="X178" s="230"/>
      <c r="Y178" s="230"/>
      <c r="Z178" s="230"/>
    </row>
    <row r="179" spans="1:26" ht="24.75" customHeight="1">
      <c r="A179" s="230"/>
      <c r="B179" s="230"/>
      <c r="C179" s="230"/>
      <c r="D179" s="230"/>
      <c r="E179" s="230"/>
      <c r="F179" s="230"/>
      <c r="G179" s="230"/>
      <c r="H179" s="230"/>
      <c r="I179" s="230"/>
      <c r="J179" s="230"/>
      <c r="K179" s="230"/>
      <c r="L179" s="242"/>
      <c r="M179" s="230"/>
      <c r="N179" s="230"/>
      <c r="O179" s="257"/>
      <c r="P179" s="230"/>
      <c r="Q179" s="242"/>
      <c r="R179" s="230"/>
      <c r="S179" s="250"/>
      <c r="T179" s="250"/>
      <c r="U179" s="248"/>
      <c r="V179" s="253"/>
      <c r="W179" s="254"/>
      <c r="X179" s="248"/>
      <c r="Y179" s="248"/>
      <c r="Z179" s="248"/>
    </row>
    <row r="180" spans="1:26" ht="24.75" customHeight="1">
      <c r="A180" s="230"/>
      <c r="B180" s="230"/>
      <c r="C180" s="230"/>
      <c r="D180" s="230"/>
      <c r="E180" s="230"/>
      <c r="F180" s="230"/>
      <c r="G180" s="230"/>
      <c r="H180" s="230"/>
      <c r="I180" s="230"/>
      <c r="J180" s="230"/>
      <c r="K180" s="230"/>
      <c r="L180" s="242"/>
      <c r="M180" s="230"/>
      <c r="N180" s="230"/>
      <c r="O180" s="257"/>
      <c r="P180" s="230"/>
      <c r="Q180" s="242"/>
      <c r="R180" s="230"/>
      <c r="S180" s="250"/>
      <c r="T180" s="250"/>
      <c r="U180" s="248"/>
      <c r="V180" s="253"/>
      <c r="W180" s="254"/>
      <c r="X180" s="248"/>
      <c r="Y180" s="248"/>
      <c r="Z180" s="248"/>
    </row>
    <row r="181" spans="1:26" ht="24.75" customHeight="1">
      <c r="A181" s="230"/>
      <c r="B181" s="230"/>
      <c r="C181" s="230"/>
      <c r="D181" s="230"/>
      <c r="E181" s="230"/>
      <c r="F181" s="230"/>
      <c r="G181" s="230"/>
      <c r="H181" s="230"/>
      <c r="I181" s="230"/>
      <c r="J181" s="230"/>
      <c r="K181" s="230"/>
      <c r="L181" s="242"/>
      <c r="M181" s="230"/>
      <c r="N181" s="230"/>
      <c r="O181" s="257"/>
      <c r="P181" s="230"/>
      <c r="Q181" s="242"/>
      <c r="R181" s="230"/>
      <c r="S181" s="250"/>
      <c r="T181" s="250"/>
      <c r="U181" s="230"/>
      <c r="V181" s="256"/>
      <c r="W181" s="257"/>
      <c r="X181" s="230"/>
      <c r="Y181" s="230"/>
      <c r="Z181" s="230"/>
    </row>
    <row r="182" spans="1:26" ht="24.75" customHeight="1">
      <c r="A182" s="230"/>
      <c r="B182" s="230"/>
      <c r="C182" s="230"/>
      <c r="D182" s="230"/>
      <c r="E182" s="230"/>
      <c r="F182" s="230"/>
      <c r="G182" s="230"/>
      <c r="H182" s="230"/>
      <c r="I182" s="230"/>
      <c r="J182" s="230"/>
      <c r="K182" s="230"/>
      <c r="L182" s="242"/>
      <c r="M182" s="230"/>
      <c r="N182" s="230"/>
      <c r="O182" s="257"/>
      <c r="P182" s="230"/>
      <c r="Q182" s="242"/>
      <c r="R182" s="230"/>
      <c r="S182" s="250"/>
      <c r="T182" s="250"/>
      <c r="U182" s="248"/>
      <c r="V182" s="253"/>
      <c r="W182" s="254"/>
      <c r="X182" s="248"/>
      <c r="Y182" s="248"/>
      <c r="Z182" s="248"/>
    </row>
    <row r="183" spans="1:26" ht="24.75" customHeight="1">
      <c r="A183" s="230"/>
      <c r="B183" s="230"/>
      <c r="C183" s="230"/>
      <c r="D183" s="230"/>
      <c r="E183" s="230"/>
      <c r="F183" s="230"/>
      <c r="G183" s="230"/>
      <c r="H183" s="230"/>
      <c r="I183" s="230"/>
      <c r="J183" s="230"/>
      <c r="K183" s="230"/>
      <c r="L183" s="242"/>
      <c r="M183" s="230"/>
      <c r="N183" s="230"/>
      <c r="O183" s="257"/>
      <c r="P183" s="230"/>
      <c r="Q183" s="242"/>
      <c r="R183" s="230"/>
      <c r="S183" s="250"/>
      <c r="T183" s="250"/>
      <c r="U183" s="248"/>
      <c r="V183" s="253"/>
      <c r="W183" s="254"/>
      <c r="X183" s="248"/>
      <c r="Y183" s="248"/>
      <c r="Z183" s="248"/>
    </row>
    <row r="184" spans="1:26" ht="24.75" customHeight="1">
      <c r="A184" s="230"/>
      <c r="B184" s="230"/>
      <c r="C184" s="230"/>
      <c r="D184" s="230"/>
      <c r="E184" s="230"/>
      <c r="F184" s="230"/>
      <c r="G184" s="230"/>
      <c r="H184" s="230"/>
      <c r="I184" s="230"/>
      <c r="J184" s="230"/>
      <c r="K184" s="230"/>
      <c r="L184" s="242"/>
      <c r="M184" s="230"/>
      <c r="N184" s="230"/>
      <c r="O184" s="257"/>
      <c r="P184" s="230"/>
      <c r="Q184" s="242"/>
      <c r="R184" s="230"/>
      <c r="S184" s="250"/>
      <c r="T184" s="250"/>
      <c r="U184" s="248"/>
      <c r="V184" s="253"/>
      <c r="W184" s="254"/>
      <c r="X184" s="248"/>
      <c r="Y184" s="248"/>
      <c r="Z184" s="248"/>
    </row>
    <row r="185" spans="1:26" ht="24.75" customHeight="1">
      <c r="A185" s="230"/>
      <c r="B185" s="230"/>
      <c r="C185" s="230"/>
      <c r="D185" s="230"/>
      <c r="E185" s="230"/>
      <c r="F185" s="230"/>
      <c r="G185" s="230"/>
      <c r="H185" s="230"/>
      <c r="I185" s="230"/>
      <c r="J185" s="230"/>
      <c r="K185" s="230"/>
      <c r="L185" s="242"/>
      <c r="M185" s="230"/>
      <c r="N185" s="230"/>
      <c r="O185" s="257"/>
      <c r="P185" s="230"/>
      <c r="Q185" s="242"/>
      <c r="R185" s="230"/>
      <c r="S185" s="250"/>
      <c r="T185" s="250"/>
      <c r="U185" s="248"/>
      <c r="V185" s="253"/>
      <c r="W185" s="254"/>
      <c r="X185" s="248"/>
      <c r="Y185" s="248"/>
      <c r="Z185" s="248"/>
    </row>
    <row r="186" spans="1:26" ht="24.75" customHeight="1">
      <c r="A186" s="230"/>
      <c r="B186" s="230"/>
      <c r="C186" s="230"/>
      <c r="D186" s="230"/>
      <c r="E186" s="230"/>
      <c r="F186" s="230"/>
      <c r="G186" s="230"/>
      <c r="H186" s="230"/>
      <c r="I186" s="230"/>
      <c r="J186" s="230"/>
      <c r="K186" s="230"/>
      <c r="L186" s="242"/>
      <c r="M186" s="230"/>
      <c r="N186" s="230"/>
      <c r="O186" s="257"/>
      <c r="P186" s="230"/>
      <c r="Q186" s="242"/>
      <c r="R186" s="230"/>
      <c r="S186" s="250"/>
      <c r="T186" s="250"/>
      <c r="U186" s="230"/>
      <c r="V186" s="256"/>
      <c r="W186" s="257"/>
      <c r="X186" s="230"/>
      <c r="Y186" s="230"/>
      <c r="Z186" s="230"/>
    </row>
    <row r="187" spans="1:26" ht="24.75" customHeight="1">
      <c r="A187" s="230"/>
      <c r="B187" s="230"/>
      <c r="C187" s="230"/>
      <c r="D187" s="230"/>
      <c r="E187" s="230"/>
      <c r="F187" s="230"/>
      <c r="G187" s="230"/>
      <c r="H187" s="230"/>
      <c r="I187" s="230"/>
      <c r="J187" s="230"/>
      <c r="K187" s="230"/>
      <c r="L187" s="242"/>
      <c r="M187" s="230"/>
      <c r="N187" s="230"/>
      <c r="O187" s="257"/>
      <c r="P187" s="230"/>
      <c r="Q187" s="242"/>
      <c r="R187" s="230"/>
      <c r="S187" s="250"/>
      <c r="T187" s="250"/>
      <c r="U187" s="248"/>
      <c r="V187" s="253"/>
      <c r="W187" s="254"/>
      <c r="X187" s="248"/>
      <c r="Y187" s="248"/>
      <c r="Z187" s="248"/>
    </row>
    <row r="188" spans="1:26" ht="24.75" customHeight="1">
      <c r="A188" s="230"/>
      <c r="B188" s="230"/>
      <c r="C188" s="230"/>
      <c r="D188" s="230"/>
      <c r="E188" s="230"/>
      <c r="F188" s="230"/>
      <c r="G188" s="230"/>
      <c r="H188" s="230"/>
      <c r="I188" s="230"/>
      <c r="J188" s="230"/>
      <c r="K188" s="230"/>
      <c r="L188" s="242"/>
      <c r="M188" s="230"/>
      <c r="N188" s="230"/>
      <c r="O188" s="257"/>
      <c r="P188" s="230"/>
      <c r="Q188" s="242"/>
      <c r="R188" s="230"/>
      <c r="S188" s="250"/>
      <c r="T188" s="250"/>
      <c r="U188" s="248"/>
      <c r="V188" s="253"/>
      <c r="W188" s="254"/>
      <c r="X188" s="248"/>
      <c r="Y188" s="248"/>
      <c r="Z188" s="248"/>
    </row>
    <row r="189" spans="1:26" ht="24.75" customHeight="1">
      <c r="A189" s="230"/>
      <c r="B189" s="230"/>
      <c r="C189" s="230"/>
      <c r="D189" s="230"/>
      <c r="E189" s="230"/>
      <c r="F189" s="230"/>
      <c r="G189" s="230"/>
      <c r="H189" s="230"/>
      <c r="I189" s="230"/>
      <c r="J189" s="230"/>
      <c r="K189" s="230"/>
      <c r="L189" s="242"/>
      <c r="M189" s="230"/>
      <c r="N189" s="230"/>
      <c r="O189" s="257"/>
      <c r="P189" s="230"/>
      <c r="Q189" s="242"/>
      <c r="R189" s="230"/>
      <c r="S189" s="250"/>
      <c r="T189" s="250"/>
      <c r="U189" s="230"/>
      <c r="V189" s="256"/>
      <c r="W189" s="257"/>
      <c r="X189" s="230"/>
      <c r="Y189" s="230"/>
      <c r="Z189" s="230"/>
    </row>
    <row r="190" spans="1:26" ht="24.75" customHeight="1">
      <c r="A190" s="230"/>
      <c r="B190" s="230"/>
      <c r="C190" s="230"/>
      <c r="D190" s="230"/>
      <c r="E190" s="230"/>
      <c r="F190" s="230"/>
      <c r="G190" s="230"/>
      <c r="H190" s="230"/>
      <c r="I190" s="230"/>
      <c r="J190" s="230"/>
      <c r="K190" s="230"/>
      <c r="L190" s="242"/>
      <c r="M190" s="230"/>
      <c r="N190" s="230"/>
      <c r="O190" s="257"/>
      <c r="P190" s="230"/>
      <c r="Q190" s="242"/>
      <c r="R190" s="230"/>
      <c r="S190" s="250"/>
      <c r="T190" s="250"/>
      <c r="U190" s="248"/>
      <c r="V190" s="253"/>
      <c r="W190" s="254"/>
      <c r="X190" s="248"/>
      <c r="Y190" s="248"/>
      <c r="Z190" s="248"/>
    </row>
    <row r="191" spans="1:26" ht="24.75" customHeight="1">
      <c r="A191" s="230"/>
      <c r="B191" s="230"/>
      <c r="C191" s="230"/>
      <c r="D191" s="230"/>
      <c r="E191" s="230"/>
      <c r="F191" s="230"/>
      <c r="G191" s="230"/>
      <c r="H191" s="230"/>
      <c r="I191" s="230"/>
      <c r="J191" s="230"/>
      <c r="K191" s="230"/>
      <c r="L191" s="242"/>
      <c r="M191" s="230"/>
      <c r="N191" s="230"/>
      <c r="O191" s="257"/>
      <c r="P191" s="230"/>
      <c r="Q191" s="242"/>
      <c r="R191" s="230"/>
      <c r="S191" s="250"/>
      <c r="T191" s="250"/>
      <c r="U191" s="248"/>
      <c r="V191" s="253"/>
      <c r="W191" s="254"/>
      <c r="X191" s="248"/>
      <c r="Y191" s="248"/>
      <c r="Z191" s="248"/>
    </row>
    <row r="192" spans="1:26" ht="24.75" customHeight="1">
      <c r="A192" s="230"/>
      <c r="B192" s="230"/>
      <c r="C192" s="230"/>
      <c r="D192" s="230"/>
      <c r="E192" s="230"/>
      <c r="F192" s="230"/>
      <c r="G192" s="230"/>
      <c r="H192" s="230"/>
      <c r="I192" s="230"/>
      <c r="J192" s="230"/>
      <c r="K192" s="230"/>
      <c r="L192" s="242"/>
      <c r="M192" s="230"/>
      <c r="N192" s="230"/>
      <c r="O192" s="257"/>
      <c r="P192" s="230"/>
      <c r="Q192" s="242"/>
      <c r="R192" s="230"/>
      <c r="S192" s="250"/>
      <c r="T192" s="250"/>
      <c r="U192" s="248"/>
      <c r="V192" s="253"/>
      <c r="W192" s="254"/>
      <c r="X192" s="248"/>
      <c r="Y192" s="248"/>
      <c r="Z192" s="248"/>
    </row>
    <row r="193" spans="1:26" ht="24.75" customHeight="1">
      <c r="A193" s="230"/>
      <c r="B193" s="230"/>
      <c r="C193" s="230"/>
      <c r="D193" s="230"/>
      <c r="E193" s="230"/>
      <c r="F193" s="230"/>
      <c r="G193" s="230"/>
      <c r="H193" s="230"/>
      <c r="I193" s="230"/>
      <c r="J193" s="230"/>
      <c r="K193" s="230"/>
      <c r="L193" s="242"/>
      <c r="M193" s="230"/>
      <c r="N193" s="230"/>
      <c r="O193" s="257"/>
      <c r="P193" s="230"/>
      <c r="Q193" s="242"/>
      <c r="R193" s="230"/>
      <c r="S193" s="250"/>
      <c r="T193" s="250"/>
      <c r="U193" s="230"/>
      <c r="V193" s="256"/>
      <c r="W193" s="257"/>
      <c r="X193" s="230"/>
      <c r="Y193" s="230"/>
      <c r="Z193" s="230"/>
    </row>
    <row r="194" spans="1:26" ht="24.75" customHeight="1">
      <c r="A194" s="230"/>
      <c r="B194" s="230"/>
      <c r="C194" s="230"/>
      <c r="D194" s="230"/>
      <c r="E194" s="230"/>
      <c r="F194" s="230"/>
      <c r="G194" s="230"/>
      <c r="H194" s="230"/>
      <c r="I194" s="230"/>
      <c r="J194" s="230"/>
      <c r="K194" s="230"/>
      <c r="L194" s="242"/>
      <c r="M194" s="230"/>
      <c r="N194" s="230"/>
      <c r="O194" s="257"/>
      <c r="P194" s="230"/>
      <c r="Q194" s="242"/>
      <c r="R194" s="230"/>
      <c r="S194" s="250"/>
      <c r="T194" s="250"/>
      <c r="U194" s="248"/>
      <c r="V194" s="253"/>
      <c r="W194" s="254"/>
      <c r="X194" s="248"/>
      <c r="Y194" s="248"/>
      <c r="Z194" s="248"/>
    </row>
    <row r="195" spans="1:26" ht="24.75" customHeight="1">
      <c r="A195" s="230"/>
      <c r="B195" s="230"/>
      <c r="C195" s="230"/>
      <c r="D195" s="230"/>
      <c r="E195" s="230"/>
      <c r="F195" s="230"/>
      <c r="G195" s="230"/>
      <c r="H195" s="230"/>
      <c r="I195" s="230"/>
      <c r="J195" s="230"/>
      <c r="K195" s="230"/>
      <c r="L195" s="242"/>
      <c r="M195" s="230"/>
      <c r="N195" s="230"/>
      <c r="O195" s="257"/>
      <c r="P195" s="230"/>
      <c r="Q195" s="242"/>
      <c r="R195" s="230"/>
      <c r="S195" s="250"/>
      <c r="T195" s="250"/>
      <c r="U195" s="248"/>
      <c r="V195" s="253"/>
      <c r="W195" s="254"/>
      <c r="X195" s="248"/>
      <c r="Y195" s="248"/>
      <c r="Z195" s="248"/>
    </row>
    <row r="196" spans="1:26" ht="24.75" customHeight="1">
      <c r="A196" s="230"/>
      <c r="B196" s="230"/>
      <c r="C196" s="230"/>
      <c r="D196" s="230"/>
      <c r="E196" s="230"/>
      <c r="F196" s="230"/>
      <c r="G196" s="230"/>
      <c r="H196" s="230"/>
      <c r="I196" s="230"/>
      <c r="J196" s="230"/>
      <c r="K196" s="230"/>
      <c r="L196" s="242"/>
      <c r="M196" s="230"/>
      <c r="N196" s="230"/>
      <c r="O196" s="257"/>
      <c r="P196" s="230"/>
      <c r="Q196" s="242"/>
      <c r="R196" s="230"/>
      <c r="S196" s="250"/>
      <c r="T196" s="250"/>
      <c r="U196" s="230"/>
      <c r="V196" s="256"/>
      <c r="W196" s="257"/>
      <c r="X196" s="230"/>
      <c r="Y196" s="230"/>
      <c r="Z196" s="230"/>
    </row>
    <row r="197" spans="1:26" ht="24.75" customHeight="1">
      <c r="A197" s="230"/>
      <c r="B197" s="230"/>
      <c r="C197" s="230"/>
      <c r="D197" s="230"/>
      <c r="E197" s="230"/>
      <c r="F197" s="230"/>
      <c r="G197" s="230"/>
      <c r="H197" s="230"/>
      <c r="I197" s="230"/>
      <c r="J197" s="230"/>
      <c r="K197" s="230"/>
      <c r="L197" s="242"/>
      <c r="M197" s="230"/>
      <c r="N197" s="230"/>
      <c r="O197" s="257"/>
      <c r="P197" s="230"/>
      <c r="Q197" s="242"/>
      <c r="R197" s="230"/>
      <c r="S197" s="250"/>
      <c r="T197" s="250"/>
      <c r="U197" s="248"/>
      <c r="V197" s="253"/>
      <c r="W197" s="254"/>
      <c r="X197" s="248"/>
      <c r="Y197" s="248"/>
      <c r="Z197" s="248"/>
    </row>
    <row r="198" spans="1:26" ht="24.75" customHeight="1">
      <c r="A198" s="230"/>
      <c r="B198" s="230"/>
      <c r="C198" s="230"/>
      <c r="D198" s="230"/>
      <c r="E198" s="230"/>
      <c r="F198" s="230"/>
      <c r="G198" s="230"/>
      <c r="H198" s="230"/>
      <c r="I198" s="230"/>
      <c r="J198" s="230"/>
      <c r="K198" s="230"/>
      <c r="L198" s="242"/>
      <c r="M198" s="230"/>
      <c r="N198" s="230"/>
      <c r="O198" s="257"/>
      <c r="P198" s="230"/>
      <c r="Q198" s="242"/>
      <c r="R198" s="230"/>
      <c r="S198" s="250"/>
      <c r="T198" s="250"/>
      <c r="U198" s="248"/>
      <c r="V198" s="253"/>
      <c r="W198" s="254"/>
      <c r="X198" s="248"/>
      <c r="Y198" s="248"/>
      <c r="Z198" s="248"/>
    </row>
    <row r="199" spans="1:26" ht="24.75" customHeight="1">
      <c r="A199" s="230"/>
      <c r="B199" s="230"/>
      <c r="C199" s="230"/>
      <c r="D199" s="230"/>
      <c r="E199" s="230"/>
      <c r="F199" s="230"/>
      <c r="G199" s="230"/>
      <c r="H199" s="230"/>
      <c r="I199" s="230"/>
      <c r="J199" s="230"/>
      <c r="K199" s="230"/>
      <c r="L199" s="242"/>
      <c r="M199" s="230"/>
      <c r="N199" s="230"/>
      <c r="O199" s="257"/>
      <c r="P199" s="230"/>
      <c r="Q199" s="242"/>
      <c r="R199" s="230"/>
      <c r="S199" s="250"/>
      <c r="T199" s="250"/>
      <c r="U199" s="230"/>
      <c r="V199" s="256"/>
      <c r="W199" s="257"/>
      <c r="X199" s="230"/>
      <c r="Y199" s="230"/>
      <c r="Z199" s="230"/>
    </row>
    <row r="200" spans="1:26" ht="24.75" customHeight="1">
      <c r="A200" s="230"/>
      <c r="B200" s="230"/>
      <c r="C200" s="230"/>
      <c r="D200" s="230"/>
      <c r="E200" s="230"/>
      <c r="F200" s="230"/>
      <c r="G200" s="230"/>
      <c r="H200" s="230"/>
      <c r="I200" s="230"/>
      <c r="J200" s="230"/>
      <c r="K200" s="230"/>
      <c r="L200" s="242"/>
      <c r="M200" s="230"/>
      <c r="N200" s="230"/>
      <c r="O200" s="257"/>
      <c r="P200" s="230"/>
      <c r="Q200" s="242"/>
      <c r="R200" s="230"/>
      <c r="S200" s="250"/>
      <c r="T200" s="250"/>
      <c r="U200" s="248"/>
      <c r="V200" s="253"/>
      <c r="W200" s="254"/>
      <c r="X200" s="248"/>
      <c r="Y200" s="248"/>
      <c r="Z200" s="248"/>
    </row>
    <row r="201" spans="1:26" ht="24.75" customHeight="1">
      <c r="A201" s="230"/>
      <c r="B201" s="230"/>
      <c r="C201" s="230"/>
      <c r="D201" s="230"/>
      <c r="E201" s="230"/>
      <c r="F201" s="230"/>
      <c r="G201" s="230"/>
      <c r="H201" s="230"/>
      <c r="I201" s="230"/>
      <c r="J201" s="230"/>
      <c r="K201" s="230"/>
      <c r="L201" s="242"/>
      <c r="M201" s="230"/>
      <c r="N201" s="230"/>
      <c r="O201" s="257"/>
      <c r="P201" s="230"/>
      <c r="Q201" s="242"/>
      <c r="R201" s="230"/>
      <c r="S201" s="250"/>
      <c r="T201" s="250"/>
      <c r="U201" s="248"/>
      <c r="V201" s="253"/>
      <c r="W201" s="254"/>
      <c r="X201" s="248"/>
      <c r="Y201" s="248"/>
      <c r="Z201" s="248"/>
    </row>
    <row r="202" spans="1:26" ht="24.75" customHeight="1">
      <c r="A202" s="230"/>
      <c r="B202" s="230"/>
      <c r="C202" s="230"/>
      <c r="D202" s="230"/>
      <c r="E202" s="230"/>
      <c r="F202" s="230"/>
      <c r="G202" s="230"/>
      <c r="H202" s="230"/>
      <c r="I202" s="230"/>
      <c r="J202" s="230"/>
      <c r="K202" s="230"/>
      <c r="L202" s="242"/>
      <c r="M202" s="230"/>
      <c r="N202" s="230"/>
      <c r="O202" s="257"/>
      <c r="P202" s="230"/>
      <c r="Q202" s="242"/>
      <c r="R202" s="230"/>
      <c r="S202" s="250"/>
      <c r="T202" s="250"/>
      <c r="U202" s="230"/>
      <c r="V202" s="256"/>
      <c r="W202" s="257"/>
      <c r="X202" s="230"/>
      <c r="Y202" s="230"/>
      <c r="Z202" s="230"/>
    </row>
    <row r="203" spans="1:26" ht="24.75" customHeight="1">
      <c r="A203" s="230"/>
      <c r="B203" s="230"/>
      <c r="C203" s="230"/>
      <c r="D203" s="230"/>
      <c r="E203" s="230"/>
      <c r="F203" s="230"/>
      <c r="G203" s="230"/>
      <c r="H203" s="230"/>
      <c r="I203" s="230"/>
      <c r="J203" s="230"/>
      <c r="K203" s="230"/>
      <c r="L203" s="242"/>
      <c r="M203" s="230"/>
      <c r="N203" s="230"/>
      <c r="O203" s="257"/>
      <c r="P203" s="230"/>
      <c r="Q203" s="242"/>
      <c r="R203" s="230"/>
      <c r="S203" s="250"/>
      <c r="T203" s="250"/>
      <c r="U203" s="248"/>
      <c r="V203" s="253"/>
      <c r="W203" s="254"/>
      <c r="X203" s="248"/>
      <c r="Y203" s="248"/>
      <c r="Z203" s="248"/>
    </row>
    <row r="204" spans="1:26" ht="24.75" customHeight="1">
      <c r="A204" s="230"/>
      <c r="B204" s="230"/>
      <c r="C204" s="230"/>
      <c r="D204" s="230"/>
      <c r="E204" s="230"/>
      <c r="F204" s="230"/>
      <c r="G204" s="230"/>
      <c r="H204" s="230"/>
      <c r="I204" s="230"/>
      <c r="J204" s="230"/>
      <c r="K204" s="230"/>
      <c r="L204" s="242"/>
      <c r="M204" s="230"/>
      <c r="N204" s="230"/>
      <c r="O204" s="257"/>
      <c r="P204" s="230"/>
      <c r="Q204" s="242"/>
      <c r="R204" s="230"/>
      <c r="S204" s="250"/>
      <c r="T204" s="250"/>
      <c r="U204" s="230"/>
      <c r="V204" s="256"/>
      <c r="W204" s="257"/>
      <c r="X204" s="230"/>
      <c r="Y204" s="230"/>
      <c r="Z204" s="230"/>
    </row>
    <row r="205" spans="1:26" ht="24.75" customHeight="1">
      <c r="A205" s="230"/>
      <c r="B205" s="230"/>
      <c r="C205" s="230"/>
      <c r="D205" s="230"/>
      <c r="E205" s="230"/>
      <c r="F205" s="230"/>
      <c r="G205" s="230"/>
      <c r="H205" s="230"/>
      <c r="I205" s="230"/>
      <c r="J205" s="230"/>
      <c r="K205" s="230"/>
      <c r="L205" s="242"/>
      <c r="M205" s="230"/>
      <c r="N205" s="230"/>
      <c r="O205" s="257"/>
      <c r="P205" s="230"/>
      <c r="Q205" s="242"/>
      <c r="R205" s="230"/>
      <c r="S205" s="250"/>
      <c r="T205" s="250"/>
      <c r="U205" s="230"/>
      <c r="V205" s="256"/>
      <c r="W205" s="257"/>
      <c r="X205" s="230"/>
      <c r="Y205" s="230"/>
      <c r="Z205" s="230"/>
    </row>
    <row r="206" spans="1:26" ht="24.75" customHeight="1">
      <c r="A206" s="230"/>
      <c r="B206" s="230"/>
      <c r="C206" s="230"/>
      <c r="D206" s="230"/>
      <c r="E206" s="230"/>
      <c r="F206" s="230"/>
      <c r="G206" s="230"/>
      <c r="H206" s="230"/>
      <c r="I206" s="230"/>
      <c r="J206" s="230"/>
      <c r="K206" s="230"/>
      <c r="L206" s="242"/>
      <c r="M206" s="230"/>
      <c r="N206" s="230"/>
      <c r="O206" s="257"/>
      <c r="P206" s="230"/>
      <c r="Q206" s="242"/>
      <c r="R206" s="230"/>
      <c r="S206" s="250"/>
      <c r="T206" s="250"/>
      <c r="U206" s="230"/>
      <c r="V206" s="256"/>
      <c r="W206" s="257"/>
      <c r="X206" s="230"/>
      <c r="Y206" s="230"/>
      <c r="Z206" s="230"/>
    </row>
    <row r="207" spans="1:26" ht="24.75" customHeight="1">
      <c r="A207" s="230"/>
      <c r="B207" s="230"/>
      <c r="C207" s="230"/>
      <c r="D207" s="230"/>
      <c r="E207" s="230"/>
      <c r="F207" s="230"/>
      <c r="G207" s="230"/>
      <c r="H207" s="230"/>
      <c r="I207" s="230"/>
      <c r="J207" s="230"/>
      <c r="K207" s="230"/>
      <c r="L207" s="242"/>
      <c r="M207" s="230"/>
      <c r="N207" s="230"/>
      <c r="O207" s="257"/>
      <c r="P207" s="230"/>
      <c r="Q207" s="242"/>
      <c r="R207" s="230"/>
      <c r="S207" s="250"/>
      <c r="T207" s="250"/>
      <c r="U207" s="230"/>
      <c r="V207" s="256"/>
      <c r="W207" s="257"/>
      <c r="X207" s="230"/>
      <c r="Y207" s="230"/>
      <c r="Z207" s="230"/>
    </row>
    <row r="208" spans="1:26" ht="24.75" customHeight="1">
      <c r="A208" s="230"/>
      <c r="B208" s="230"/>
      <c r="C208" s="230"/>
      <c r="D208" s="230"/>
      <c r="E208" s="230"/>
      <c r="F208" s="230"/>
      <c r="G208" s="230"/>
      <c r="H208" s="230"/>
      <c r="I208" s="230"/>
      <c r="J208" s="230"/>
      <c r="K208" s="230"/>
      <c r="L208" s="242"/>
      <c r="M208" s="230"/>
      <c r="N208" s="230"/>
      <c r="O208" s="257"/>
      <c r="P208" s="230"/>
      <c r="Q208" s="242"/>
      <c r="R208" s="230"/>
      <c r="S208" s="250"/>
      <c r="T208" s="250"/>
      <c r="U208" s="230"/>
      <c r="V208" s="256"/>
      <c r="W208" s="257"/>
      <c r="X208" s="230"/>
      <c r="Y208" s="230"/>
      <c r="Z208" s="230"/>
    </row>
    <row r="209" spans="1:26" ht="24.75" customHeight="1">
      <c r="A209" s="230"/>
      <c r="B209" s="230"/>
      <c r="C209" s="230"/>
      <c r="D209" s="230"/>
      <c r="E209" s="230"/>
      <c r="F209" s="230"/>
      <c r="G209" s="230"/>
      <c r="H209" s="230"/>
      <c r="I209" s="230"/>
      <c r="J209" s="230"/>
      <c r="K209" s="230"/>
      <c r="L209" s="242"/>
      <c r="M209" s="230"/>
      <c r="N209" s="230"/>
      <c r="O209" s="257"/>
      <c r="P209" s="230"/>
      <c r="Q209" s="242"/>
      <c r="R209" s="230"/>
      <c r="S209" s="250"/>
      <c r="T209" s="250"/>
      <c r="U209" s="230"/>
      <c r="V209" s="256"/>
      <c r="W209" s="257"/>
      <c r="X209" s="230"/>
      <c r="Y209" s="230"/>
      <c r="Z209" s="230"/>
    </row>
    <row r="210" spans="1:26" ht="24.75" customHeight="1">
      <c r="A210" s="230"/>
      <c r="B210" s="230"/>
      <c r="C210" s="230"/>
      <c r="D210" s="230"/>
      <c r="E210" s="230"/>
      <c r="F210" s="230"/>
      <c r="G210" s="230"/>
      <c r="H210" s="230"/>
      <c r="I210" s="230"/>
      <c r="J210" s="230"/>
      <c r="K210" s="230"/>
      <c r="L210" s="242"/>
      <c r="M210" s="230"/>
      <c r="N210" s="230"/>
      <c r="O210" s="257"/>
      <c r="P210" s="230"/>
      <c r="Q210" s="242"/>
      <c r="R210" s="230"/>
      <c r="S210" s="250"/>
      <c r="T210" s="250"/>
      <c r="U210" s="230"/>
      <c r="V210" s="256"/>
      <c r="W210" s="257"/>
      <c r="X210" s="230"/>
      <c r="Y210" s="230"/>
      <c r="Z210" s="230"/>
    </row>
    <row r="211" spans="1:26" ht="24.75" customHeight="1">
      <c r="A211" s="230"/>
      <c r="B211" s="230"/>
      <c r="C211" s="230"/>
      <c r="D211" s="230"/>
      <c r="E211" s="230"/>
      <c r="F211" s="230"/>
      <c r="G211" s="230"/>
      <c r="H211" s="230"/>
      <c r="I211" s="230"/>
      <c r="J211" s="230"/>
      <c r="K211" s="230"/>
      <c r="L211" s="242"/>
      <c r="M211" s="230"/>
      <c r="N211" s="230"/>
      <c r="O211" s="257"/>
      <c r="P211" s="230"/>
      <c r="Q211" s="242"/>
      <c r="R211" s="230"/>
      <c r="S211" s="250"/>
      <c r="T211" s="250"/>
      <c r="U211" s="230"/>
      <c r="V211" s="256"/>
      <c r="W211" s="257"/>
      <c r="X211" s="230"/>
      <c r="Y211" s="230"/>
      <c r="Z211" s="230"/>
    </row>
    <row r="212" spans="1:26" ht="24.75" customHeight="1">
      <c r="A212" s="230"/>
      <c r="B212" s="230"/>
      <c r="C212" s="230"/>
      <c r="D212" s="230"/>
      <c r="E212" s="230"/>
      <c r="F212" s="230"/>
      <c r="G212" s="230"/>
      <c r="H212" s="230"/>
      <c r="I212" s="230"/>
      <c r="J212" s="230"/>
      <c r="K212" s="230"/>
      <c r="L212" s="242"/>
      <c r="M212" s="230"/>
      <c r="N212" s="230"/>
      <c r="O212" s="257"/>
      <c r="P212" s="230"/>
      <c r="Q212" s="242"/>
      <c r="R212" s="230"/>
      <c r="S212" s="250"/>
      <c r="T212" s="250"/>
      <c r="U212" s="230"/>
      <c r="V212" s="256"/>
      <c r="W212" s="257"/>
      <c r="X212" s="230"/>
      <c r="Y212" s="230"/>
      <c r="Z212" s="230"/>
    </row>
    <row r="213" spans="1:26" ht="24.75" customHeight="1">
      <c r="A213" s="230"/>
      <c r="B213" s="230"/>
      <c r="C213" s="230"/>
      <c r="D213" s="230"/>
      <c r="E213" s="230"/>
      <c r="F213" s="230"/>
      <c r="G213" s="230"/>
      <c r="H213" s="230"/>
      <c r="I213" s="230"/>
      <c r="J213" s="230"/>
      <c r="K213" s="230"/>
      <c r="L213" s="242"/>
      <c r="M213" s="230"/>
      <c r="N213" s="230"/>
      <c r="O213" s="257"/>
      <c r="P213" s="230"/>
      <c r="Q213" s="242"/>
      <c r="R213" s="230"/>
      <c r="S213" s="250"/>
      <c r="T213" s="250"/>
      <c r="U213" s="248"/>
      <c r="V213" s="253"/>
      <c r="W213" s="254"/>
      <c r="X213" s="248"/>
      <c r="Y213" s="248"/>
      <c r="Z213" s="248"/>
    </row>
    <row r="214" spans="1:26" ht="24.75" customHeight="1">
      <c r="A214" s="230"/>
      <c r="B214" s="230"/>
      <c r="C214" s="230"/>
      <c r="D214" s="230"/>
      <c r="E214" s="230"/>
      <c r="F214" s="230"/>
      <c r="G214" s="230"/>
      <c r="H214" s="230"/>
      <c r="I214" s="230"/>
      <c r="J214" s="230"/>
      <c r="K214" s="230"/>
      <c r="L214" s="242"/>
      <c r="M214" s="230"/>
      <c r="N214" s="230"/>
      <c r="O214" s="257"/>
      <c r="P214" s="230"/>
      <c r="Q214" s="242"/>
      <c r="R214" s="230"/>
      <c r="S214" s="250"/>
      <c r="T214" s="250"/>
      <c r="U214" s="230"/>
      <c r="V214" s="256"/>
      <c r="W214" s="257"/>
      <c r="X214" s="230"/>
      <c r="Y214" s="230"/>
      <c r="Z214" s="230"/>
    </row>
    <row r="215" spans="1:26" ht="24.75" customHeight="1">
      <c r="A215" s="230"/>
      <c r="B215" s="230"/>
      <c r="C215" s="230"/>
      <c r="D215" s="230"/>
      <c r="E215" s="230"/>
      <c r="F215" s="230"/>
      <c r="G215" s="230"/>
      <c r="H215" s="230"/>
      <c r="I215" s="230"/>
      <c r="J215" s="230"/>
      <c r="K215" s="230"/>
      <c r="L215" s="242"/>
      <c r="M215" s="230"/>
      <c r="N215" s="230"/>
      <c r="O215" s="257"/>
      <c r="P215" s="230"/>
      <c r="Q215" s="242"/>
      <c r="R215" s="230"/>
      <c r="S215" s="250"/>
      <c r="T215" s="250"/>
      <c r="U215" s="230"/>
      <c r="V215" s="256"/>
      <c r="W215" s="257"/>
      <c r="X215" s="230"/>
      <c r="Y215" s="230"/>
      <c r="Z215" s="230"/>
    </row>
    <row r="216" spans="1:26" ht="24.75" customHeight="1">
      <c r="A216" s="230"/>
      <c r="B216" s="230"/>
      <c r="C216" s="230"/>
      <c r="D216" s="230"/>
      <c r="E216" s="230"/>
      <c r="F216" s="230"/>
      <c r="G216" s="230"/>
      <c r="H216" s="230"/>
      <c r="I216" s="230"/>
      <c r="J216" s="230"/>
      <c r="K216" s="230"/>
      <c r="L216" s="242"/>
      <c r="M216" s="230"/>
      <c r="N216" s="230"/>
      <c r="O216" s="257"/>
      <c r="P216" s="230"/>
      <c r="Q216" s="242"/>
      <c r="R216" s="230"/>
      <c r="S216" s="250"/>
      <c r="T216" s="250"/>
      <c r="U216" s="230"/>
      <c r="V216" s="256"/>
      <c r="W216" s="257"/>
      <c r="X216" s="230"/>
      <c r="Y216" s="230"/>
      <c r="Z216" s="230"/>
    </row>
    <row r="217" spans="1:26" ht="24.75" customHeight="1">
      <c r="A217" s="230"/>
      <c r="B217" s="230"/>
      <c r="C217" s="230"/>
      <c r="D217" s="230"/>
      <c r="E217" s="230"/>
      <c r="F217" s="230"/>
      <c r="G217" s="230"/>
      <c r="H217" s="230"/>
      <c r="I217" s="230"/>
      <c r="J217" s="230"/>
      <c r="K217" s="230"/>
      <c r="L217" s="242"/>
      <c r="M217" s="230"/>
      <c r="N217" s="230"/>
      <c r="O217" s="257"/>
      <c r="P217" s="230"/>
      <c r="Q217" s="242"/>
      <c r="R217" s="230"/>
      <c r="S217" s="250"/>
      <c r="T217" s="250"/>
      <c r="U217" s="230"/>
      <c r="V217" s="256"/>
      <c r="W217" s="257"/>
      <c r="X217" s="230"/>
      <c r="Y217" s="230"/>
      <c r="Z217" s="230"/>
    </row>
    <row r="218" spans="1:26" ht="24.75" customHeight="1">
      <c r="A218" s="230"/>
      <c r="B218" s="230"/>
      <c r="C218" s="230"/>
      <c r="D218" s="230"/>
      <c r="E218" s="230"/>
      <c r="F218" s="230"/>
      <c r="G218" s="230"/>
      <c r="H218" s="230"/>
      <c r="I218" s="230"/>
      <c r="J218" s="230"/>
      <c r="K218" s="230"/>
      <c r="L218" s="242"/>
      <c r="M218" s="230"/>
      <c r="N218" s="230"/>
      <c r="O218" s="257"/>
      <c r="P218" s="230"/>
      <c r="Q218" s="242"/>
      <c r="R218" s="230"/>
      <c r="S218" s="250"/>
      <c r="T218" s="250"/>
      <c r="U218" s="248"/>
      <c r="V218" s="253"/>
      <c r="W218" s="254"/>
      <c r="X218" s="248"/>
      <c r="Y218" s="248"/>
      <c r="Z218" s="248"/>
    </row>
    <row r="219" spans="1:26" ht="24.75" customHeight="1">
      <c r="A219" s="230"/>
      <c r="B219" s="230"/>
      <c r="C219" s="230"/>
      <c r="D219" s="230"/>
      <c r="E219" s="230"/>
      <c r="F219" s="230"/>
      <c r="G219" s="230"/>
      <c r="H219" s="230"/>
      <c r="I219" s="230"/>
      <c r="J219" s="230"/>
      <c r="K219" s="230"/>
      <c r="L219" s="242"/>
      <c r="M219" s="230"/>
      <c r="N219" s="230"/>
      <c r="O219" s="257"/>
      <c r="P219" s="230"/>
      <c r="Q219" s="242"/>
      <c r="R219" s="230"/>
      <c r="S219" s="250"/>
      <c r="T219" s="250"/>
      <c r="U219" s="230"/>
      <c r="V219" s="256"/>
      <c r="W219" s="257"/>
      <c r="X219" s="230"/>
      <c r="Y219" s="230"/>
      <c r="Z219" s="230"/>
    </row>
    <row r="220" spans="1:26" ht="24.75" customHeight="1">
      <c r="A220" s="230"/>
      <c r="B220" s="230"/>
      <c r="C220" s="230"/>
      <c r="D220" s="230"/>
      <c r="E220" s="230"/>
      <c r="F220" s="230"/>
      <c r="G220" s="230"/>
      <c r="H220" s="230"/>
      <c r="I220" s="230"/>
      <c r="J220" s="230"/>
      <c r="K220" s="230"/>
      <c r="L220" s="242"/>
      <c r="M220" s="230"/>
      <c r="N220" s="230"/>
      <c r="O220" s="257"/>
      <c r="P220" s="230"/>
      <c r="Q220" s="242"/>
      <c r="R220" s="230"/>
      <c r="S220" s="250"/>
      <c r="T220" s="250"/>
      <c r="U220" s="248"/>
      <c r="V220" s="253"/>
      <c r="W220" s="254"/>
      <c r="X220" s="248"/>
      <c r="Y220" s="248"/>
      <c r="Z220" s="248"/>
    </row>
    <row r="221" spans="1:26" ht="24.75" customHeight="1">
      <c r="A221" s="230"/>
      <c r="B221" s="230"/>
      <c r="C221" s="230"/>
      <c r="D221" s="230"/>
      <c r="E221" s="230"/>
      <c r="F221" s="230"/>
      <c r="G221" s="230"/>
      <c r="H221" s="230"/>
      <c r="I221" s="230"/>
      <c r="J221" s="230"/>
      <c r="K221" s="230"/>
      <c r="L221" s="242"/>
      <c r="M221" s="230"/>
      <c r="N221" s="230"/>
      <c r="O221" s="257"/>
      <c r="P221" s="230"/>
      <c r="Q221" s="242"/>
      <c r="R221" s="230"/>
      <c r="S221" s="250"/>
      <c r="T221" s="250"/>
      <c r="U221" s="248"/>
      <c r="V221" s="253"/>
      <c r="W221" s="254"/>
      <c r="X221" s="248"/>
      <c r="Y221" s="248"/>
      <c r="Z221" s="248"/>
    </row>
    <row r="222" spans="1:26" ht="24.75" customHeight="1">
      <c r="A222" s="230"/>
      <c r="B222" s="230"/>
      <c r="C222" s="230"/>
      <c r="D222" s="230"/>
      <c r="E222" s="230"/>
      <c r="F222" s="230"/>
      <c r="G222" s="230"/>
      <c r="H222" s="230"/>
      <c r="I222" s="230"/>
      <c r="J222" s="230"/>
      <c r="K222" s="230"/>
      <c r="L222" s="242"/>
      <c r="M222" s="230"/>
      <c r="N222" s="230"/>
      <c r="O222" s="257"/>
      <c r="P222" s="230"/>
      <c r="Q222" s="242"/>
      <c r="R222" s="230"/>
      <c r="S222" s="250"/>
      <c r="T222" s="250"/>
      <c r="U222" s="230"/>
      <c r="V222" s="256"/>
      <c r="W222" s="257"/>
      <c r="X222" s="230"/>
      <c r="Y222" s="230"/>
      <c r="Z222" s="230"/>
    </row>
    <row r="223" spans="1:26" ht="24.75" customHeight="1">
      <c r="A223" s="230"/>
      <c r="B223" s="230"/>
      <c r="C223" s="230"/>
      <c r="D223" s="230"/>
      <c r="E223" s="230"/>
      <c r="F223" s="230"/>
      <c r="G223" s="230"/>
      <c r="H223" s="230"/>
      <c r="I223" s="230"/>
      <c r="J223" s="230"/>
      <c r="K223" s="230"/>
      <c r="L223" s="242"/>
      <c r="M223" s="230"/>
      <c r="N223" s="230"/>
      <c r="O223" s="257"/>
      <c r="P223" s="230"/>
      <c r="Q223" s="242"/>
      <c r="R223" s="230"/>
      <c r="S223" s="250"/>
      <c r="T223" s="250"/>
      <c r="U223" s="292"/>
      <c r="V223" s="293"/>
      <c r="W223" s="294"/>
      <c r="X223" s="292"/>
      <c r="Y223" s="292"/>
      <c r="Z223" s="292"/>
    </row>
    <row r="224" spans="1:26" ht="24.75" customHeight="1">
      <c r="A224" s="230"/>
      <c r="B224" s="230"/>
      <c r="C224" s="230"/>
      <c r="D224" s="230"/>
      <c r="E224" s="230"/>
      <c r="F224" s="230"/>
      <c r="G224" s="230"/>
      <c r="H224" s="230"/>
      <c r="I224" s="230"/>
      <c r="J224" s="230"/>
      <c r="K224" s="230"/>
      <c r="L224" s="242"/>
      <c r="M224" s="230"/>
      <c r="N224" s="230"/>
      <c r="O224" s="257"/>
      <c r="P224" s="230"/>
      <c r="Q224" s="242"/>
      <c r="R224" s="230"/>
      <c r="S224" s="250"/>
      <c r="T224" s="250"/>
      <c r="U224" s="230"/>
      <c r="V224" s="256"/>
      <c r="W224" s="257"/>
      <c r="X224" s="230"/>
      <c r="Y224" s="230"/>
      <c r="Z224" s="230"/>
    </row>
    <row r="225" spans="1:26" ht="24.75" customHeight="1">
      <c r="A225" s="230"/>
      <c r="B225" s="230"/>
      <c r="C225" s="230"/>
      <c r="D225" s="230"/>
      <c r="E225" s="230"/>
      <c r="F225" s="230"/>
      <c r="G225" s="230"/>
      <c r="H225" s="230"/>
      <c r="I225" s="230"/>
      <c r="J225" s="230"/>
      <c r="K225" s="230"/>
      <c r="L225" s="242"/>
      <c r="M225" s="230"/>
      <c r="N225" s="230"/>
      <c r="O225" s="257"/>
      <c r="P225" s="230"/>
      <c r="Q225" s="242"/>
      <c r="R225" s="230"/>
      <c r="S225" s="250"/>
      <c r="T225" s="250"/>
      <c r="U225" s="230"/>
      <c r="V225" s="256"/>
      <c r="W225" s="257"/>
      <c r="X225" s="230"/>
      <c r="Y225" s="230"/>
      <c r="Z225" s="230"/>
    </row>
    <row r="226" spans="1:26" ht="24.75" customHeight="1">
      <c r="A226" s="230"/>
      <c r="B226" s="230"/>
      <c r="C226" s="230"/>
      <c r="D226" s="230"/>
      <c r="E226" s="230"/>
      <c r="F226" s="230"/>
      <c r="G226" s="230"/>
      <c r="H226" s="230"/>
      <c r="I226" s="230"/>
      <c r="J226" s="230"/>
      <c r="K226" s="230"/>
      <c r="L226" s="242"/>
      <c r="M226" s="230"/>
      <c r="N226" s="230"/>
      <c r="O226" s="257"/>
      <c r="P226" s="230"/>
      <c r="Q226" s="242"/>
      <c r="R226" s="230"/>
      <c r="S226" s="250"/>
      <c r="T226" s="250"/>
      <c r="U226" s="230"/>
      <c r="V226" s="256"/>
      <c r="W226" s="257"/>
      <c r="X226" s="230"/>
      <c r="Y226" s="230"/>
      <c r="Z226" s="230"/>
    </row>
    <row r="227" spans="1:26" ht="24.75" customHeight="1">
      <c r="A227" s="230"/>
      <c r="B227" s="230"/>
      <c r="C227" s="230"/>
      <c r="D227" s="230"/>
      <c r="E227" s="230"/>
      <c r="F227" s="230"/>
      <c r="G227" s="230"/>
      <c r="H227" s="230"/>
      <c r="I227" s="230"/>
      <c r="J227" s="230"/>
      <c r="K227" s="230"/>
      <c r="L227" s="242"/>
      <c r="M227" s="230"/>
      <c r="N227" s="230"/>
      <c r="O227" s="257"/>
      <c r="P227" s="230"/>
      <c r="Q227" s="242"/>
      <c r="R227" s="230"/>
      <c r="S227" s="250"/>
      <c r="T227" s="250"/>
      <c r="U227" s="230"/>
      <c r="V227" s="256"/>
      <c r="W227" s="257"/>
      <c r="X227" s="230"/>
      <c r="Y227" s="230"/>
      <c r="Z227" s="230"/>
    </row>
    <row r="228" spans="1:26" ht="24.75" customHeight="1">
      <c r="A228" s="230"/>
      <c r="B228" s="230"/>
      <c r="C228" s="230"/>
      <c r="D228" s="230"/>
      <c r="E228" s="230"/>
      <c r="F228" s="230"/>
      <c r="G228" s="230"/>
      <c r="H228" s="230"/>
      <c r="I228" s="230"/>
      <c r="J228" s="230"/>
      <c r="K228" s="230"/>
      <c r="L228" s="242"/>
      <c r="M228" s="230"/>
      <c r="N228" s="230"/>
      <c r="O228" s="257"/>
      <c r="P228" s="230"/>
      <c r="Q228" s="242"/>
      <c r="R228" s="230"/>
      <c r="S228" s="250"/>
      <c r="T228" s="250"/>
      <c r="U228" s="230"/>
      <c r="V228" s="256"/>
      <c r="W228" s="257"/>
      <c r="X228" s="230"/>
      <c r="Y228" s="230"/>
      <c r="Z228" s="230"/>
    </row>
    <row r="229" spans="1:26" ht="24.75" customHeight="1">
      <c r="A229" s="230"/>
      <c r="B229" s="230"/>
      <c r="C229" s="230"/>
      <c r="D229" s="230"/>
      <c r="E229" s="230"/>
      <c r="F229" s="230"/>
      <c r="G229" s="230"/>
      <c r="H229" s="230"/>
      <c r="I229" s="230"/>
      <c r="J229" s="230"/>
      <c r="K229" s="230"/>
      <c r="L229" s="242"/>
      <c r="M229" s="230"/>
      <c r="N229" s="230"/>
      <c r="O229" s="257"/>
      <c r="P229" s="230"/>
      <c r="Q229" s="242"/>
      <c r="R229" s="230"/>
      <c r="S229" s="250"/>
      <c r="T229" s="250"/>
      <c r="U229" s="230"/>
      <c r="V229" s="256"/>
      <c r="W229" s="257"/>
      <c r="X229" s="230"/>
      <c r="Y229" s="230"/>
      <c r="Z229" s="230"/>
    </row>
    <row r="230" spans="1:26" ht="24.75" customHeight="1">
      <c r="A230" s="230"/>
      <c r="B230" s="230"/>
      <c r="C230" s="230"/>
      <c r="D230" s="230"/>
      <c r="E230" s="230"/>
      <c r="F230" s="230"/>
      <c r="G230" s="230"/>
      <c r="H230" s="230"/>
      <c r="I230" s="230"/>
      <c r="J230" s="230"/>
      <c r="K230" s="230"/>
      <c r="L230" s="242"/>
      <c r="M230" s="230"/>
      <c r="N230" s="230"/>
      <c r="O230" s="257"/>
      <c r="P230" s="230"/>
      <c r="Q230" s="242"/>
      <c r="R230" s="230"/>
      <c r="S230" s="250"/>
      <c r="T230" s="250"/>
      <c r="U230" s="230"/>
      <c r="V230" s="256"/>
      <c r="W230" s="257"/>
      <c r="X230" s="230"/>
      <c r="Y230" s="230"/>
      <c r="Z230" s="230"/>
    </row>
    <row r="231" spans="1:26" ht="24.75" customHeight="1">
      <c r="A231" s="230"/>
      <c r="B231" s="230"/>
      <c r="C231" s="230"/>
      <c r="D231" s="230"/>
      <c r="E231" s="230"/>
      <c r="F231" s="230"/>
      <c r="G231" s="230"/>
      <c r="H231" s="230"/>
      <c r="I231" s="230"/>
      <c r="J231" s="230"/>
      <c r="K231" s="230"/>
      <c r="L231" s="242"/>
      <c r="M231" s="230"/>
      <c r="N231" s="230"/>
      <c r="O231" s="257"/>
      <c r="P231" s="230"/>
      <c r="Q231" s="242"/>
      <c r="R231" s="230"/>
      <c r="S231" s="250"/>
      <c r="T231" s="250"/>
      <c r="U231" s="230"/>
      <c r="V231" s="256"/>
      <c r="W231" s="257"/>
      <c r="X231" s="230"/>
      <c r="Y231" s="230"/>
      <c r="Z231" s="230"/>
    </row>
    <row r="232" spans="1:26" ht="24.75" customHeight="1">
      <c r="A232" s="230"/>
      <c r="B232" s="230"/>
      <c r="C232" s="230"/>
      <c r="D232" s="230"/>
      <c r="E232" s="230"/>
      <c r="F232" s="230"/>
      <c r="G232" s="230"/>
      <c r="H232" s="230"/>
      <c r="I232" s="230"/>
      <c r="J232" s="230"/>
      <c r="K232" s="230"/>
      <c r="L232" s="242"/>
      <c r="M232" s="230"/>
      <c r="N232" s="230"/>
      <c r="O232" s="257"/>
      <c r="P232" s="230"/>
      <c r="Q232" s="242"/>
      <c r="R232" s="230"/>
      <c r="S232" s="250"/>
      <c r="T232" s="250"/>
      <c r="U232" s="248"/>
      <c r="V232" s="253"/>
      <c r="W232" s="254"/>
      <c r="X232" s="248"/>
      <c r="Y232" s="248"/>
      <c r="Z232" s="248"/>
    </row>
    <row r="233" spans="1:26" ht="24.75" customHeight="1">
      <c r="A233" s="230"/>
      <c r="B233" s="230"/>
      <c r="C233" s="230"/>
      <c r="D233" s="230"/>
      <c r="E233" s="230"/>
      <c r="F233" s="230"/>
      <c r="G233" s="230"/>
      <c r="H233" s="230"/>
      <c r="I233" s="230"/>
      <c r="J233" s="230"/>
      <c r="K233" s="230"/>
      <c r="L233" s="242"/>
      <c r="M233" s="230"/>
      <c r="N233" s="230"/>
      <c r="O233" s="257"/>
      <c r="P233" s="230"/>
      <c r="Q233" s="242"/>
      <c r="R233" s="230"/>
      <c r="S233" s="250"/>
      <c r="T233" s="250"/>
      <c r="U233" s="230"/>
      <c r="V233" s="256"/>
      <c r="W233" s="257"/>
      <c r="X233" s="230"/>
      <c r="Y233" s="230"/>
      <c r="Z233" s="230"/>
    </row>
    <row r="234" spans="1:26" ht="24.75" customHeight="1">
      <c r="A234" s="230"/>
      <c r="B234" s="230"/>
      <c r="C234" s="230"/>
      <c r="D234" s="230"/>
      <c r="E234" s="230"/>
      <c r="F234" s="230"/>
      <c r="G234" s="230"/>
      <c r="H234" s="230"/>
      <c r="I234" s="230"/>
      <c r="J234" s="230"/>
      <c r="K234" s="230"/>
      <c r="L234" s="242"/>
      <c r="M234" s="230"/>
      <c r="N234" s="230"/>
      <c r="O234" s="257"/>
      <c r="P234" s="230"/>
      <c r="Q234" s="242"/>
      <c r="R234" s="230"/>
      <c r="S234" s="250"/>
      <c r="T234" s="250"/>
      <c r="U234" s="230"/>
      <c r="V234" s="256"/>
      <c r="W234" s="257"/>
      <c r="X234" s="230"/>
      <c r="Y234" s="230"/>
      <c r="Z234" s="230"/>
    </row>
    <row r="235" spans="1:26" ht="24.75" customHeight="1">
      <c r="A235" s="230"/>
      <c r="B235" s="230"/>
      <c r="C235" s="230"/>
      <c r="D235" s="230"/>
      <c r="E235" s="230"/>
      <c r="F235" s="230"/>
      <c r="G235" s="230"/>
      <c r="H235" s="230"/>
      <c r="I235" s="230"/>
      <c r="J235" s="230"/>
      <c r="K235" s="230"/>
      <c r="L235" s="242"/>
      <c r="M235" s="230"/>
      <c r="N235" s="230"/>
      <c r="O235" s="257"/>
      <c r="P235" s="230"/>
      <c r="Q235" s="242"/>
      <c r="R235" s="230"/>
      <c r="S235" s="250"/>
      <c r="T235" s="250"/>
      <c r="U235" s="292"/>
      <c r="V235" s="293"/>
      <c r="W235" s="294"/>
      <c r="X235" s="292"/>
      <c r="Y235" s="292"/>
      <c r="Z235" s="292"/>
    </row>
    <row r="236" spans="1:26" ht="24.75" customHeight="1">
      <c r="A236" s="230"/>
      <c r="B236" s="230"/>
      <c r="C236" s="230"/>
      <c r="D236" s="230"/>
      <c r="E236" s="230"/>
      <c r="F236" s="230"/>
      <c r="G236" s="230"/>
      <c r="H236" s="230"/>
      <c r="I236" s="230"/>
      <c r="J236" s="230"/>
      <c r="K236" s="230"/>
      <c r="L236" s="242"/>
      <c r="M236" s="230"/>
      <c r="N236" s="230"/>
      <c r="O236" s="257"/>
      <c r="P236" s="230"/>
      <c r="Q236" s="242"/>
      <c r="R236" s="230"/>
      <c r="S236" s="250"/>
      <c r="T236" s="250"/>
      <c r="U236" s="230"/>
      <c r="V236" s="256"/>
      <c r="W236" s="257"/>
      <c r="X236" s="230"/>
      <c r="Y236" s="230"/>
      <c r="Z236" s="230"/>
    </row>
    <row r="237" spans="1:26" ht="24.75" customHeight="1">
      <c r="A237" s="230"/>
      <c r="B237" s="230"/>
      <c r="C237" s="230"/>
      <c r="D237" s="230"/>
      <c r="E237" s="230"/>
      <c r="F237" s="230"/>
      <c r="G237" s="230"/>
      <c r="H237" s="230"/>
      <c r="I237" s="230"/>
      <c r="J237" s="230"/>
      <c r="K237" s="230"/>
      <c r="L237" s="242"/>
      <c r="M237" s="230"/>
      <c r="N237" s="230"/>
      <c r="O237" s="257"/>
      <c r="P237" s="230"/>
      <c r="Q237" s="242"/>
      <c r="R237" s="230"/>
      <c r="S237" s="250"/>
      <c r="T237" s="250"/>
      <c r="U237" s="248"/>
      <c r="V237" s="253"/>
      <c r="W237" s="254"/>
      <c r="X237" s="248"/>
      <c r="Y237" s="248"/>
      <c r="Z237" s="248"/>
    </row>
    <row r="238" spans="1:26" ht="24.75" customHeight="1">
      <c r="A238" s="230"/>
      <c r="B238" s="230"/>
      <c r="C238" s="230"/>
      <c r="D238" s="230"/>
      <c r="E238" s="230"/>
      <c r="F238" s="230"/>
      <c r="G238" s="230"/>
      <c r="H238" s="230"/>
      <c r="I238" s="230"/>
      <c r="J238" s="230"/>
      <c r="K238" s="230"/>
      <c r="L238" s="242"/>
      <c r="M238" s="230"/>
      <c r="N238" s="230"/>
      <c r="O238" s="257"/>
      <c r="P238" s="230"/>
      <c r="Q238" s="242"/>
      <c r="R238" s="230"/>
      <c r="S238" s="250"/>
      <c r="T238" s="250"/>
      <c r="U238" s="248"/>
      <c r="V238" s="253"/>
      <c r="W238" s="254"/>
      <c r="X238" s="248"/>
      <c r="Y238" s="248"/>
      <c r="Z238" s="248"/>
    </row>
    <row r="239" spans="1:26" ht="24.75" customHeight="1">
      <c r="A239" s="230"/>
      <c r="B239" s="230"/>
      <c r="C239" s="230"/>
      <c r="D239" s="230"/>
      <c r="E239" s="230"/>
      <c r="F239" s="230"/>
      <c r="G239" s="230"/>
      <c r="H239" s="230"/>
      <c r="I239" s="230"/>
      <c r="J239" s="230"/>
      <c r="K239" s="230"/>
      <c r="L239" s="242"/>
      <c r="M239" s="230"/>
      <c r="N239" s="230"/>
      <c r="O239" s="257"/>
      <c r="P239" s="230"/>
      <c r="Q239" s="242"/>
      <c r="R239" s="230"/>
      <c r="S239" s="250"/>
      <c r="T239" s="250"/>
      <c r="U239" s="230"/>
      <c r="V239" s="256"/>
      <c r="W239" s="257"/>
      <c r="X239" s="230"/>
      <c r="Y239" s="230"/>
      <c r="Z239" s="230"/>
    </row>
    <row r="240" spans="1:26" ht="24.75" customHeight="1">
      <c r="A240" s="230"/>
      <c r="B240" s="230"/>
      <c r="C240" s="230"/>
      <c r="D240" s="230"/>
      <c r="E240" s="230"/>
      <c r="F240" s="230"/>
      <c r="G240" s="230"/>
      <c r="H240" s="230"/>
      <c r="I240" s="230"/>
      <c r="J240" s="230"/>
      <c r="K240" s="230"/>
      <c r="L240" s="242"/>
      <c r="M240" s="230"/>
      <c r="N240" s="230"/>
      <c r="O240" s="257"/>
      <c r="P240" s="230"/>
      <c r="Q240" s="242"/>
      <c r="R240" s="230"/>
      <c r="S240" s="250"/>
      <c r="T240" s="250"/>
      <c r="U240" s="230"/>
      <c r="V240" s="256"/>
      <c r="W240" s="257"/>
      <c r="X240" s="230"/>
      <c r="Y240" s="230"/>
      <c r="Z240" s="230"/>
    </row>
    <row r="241" spans="1:26" ht="24.75" customHeight="1">
      <c r="A241" s="230"/>
      <c r="B241" s="230"/>
      <c r="C241" s="230"/>
      <c r="D241" s="230"/>
      <c r="E241" s="230"/>
      <c r="F241" s="230"/>
      <c r="G241" s="230"/>
      <c r="H241" s="230"/>
      <c r="I241" s="230"/>
      <c r="J241" s="230"/>
      <c r="K241" s="230"/>
      <c r="L241" s="242"/>
      <c r="M241" s="230"/>
      <c r="N241" s="230"/>
      <c r="O241" s="257"/>
      <c r="P241" s="230"/>
      <c r="Q241" s="242"/>
      <c r="R241" s="230"/>
      <c r="S241" s="250"/>
      <c r="T241" s="250"/>
      <c r="U241" s="230"/>
      <c r="V241" s="256"/>
      <c r="W241" s="257"/>
      <c r="X241" s="230"/>
      <c r="Y241" s="230"/>
      <c r="Z241" s="230"/>
    </row>
    <row r="242" spans="1:26" ht="24.75" customHeight="1">
      <c r="A242" s="230"/>
      <c r="B242" s="230"/>
      <c r="C242" s="230"/>
      <c r="D242" s="230"/>
      <c r="E242" s="230"/>
      <c r="F242" s="230"/>
      <c r="G242" s="230"/>
      <c r="H242" s="230"/>
      <c r="I242" s="230"/>
      <c r="J242" s="230"/>
      <c r="K242" s="230"/>
      <c r="L242" s="242"/>
      <c r="M242" s="230"/>
      <c r="N242" s="230"/>
      <c r="O242" s="257"/>
      <c r="P242" s="230"/>
      <c r="Q242" s="242"/>
      <c r="R242" s="230"/>
      <c r="S242" s="250"/>
      <c r="T242" s="250"/>
      <c r="U242" s="230"/>
      <c r="V242" s="256"/>
      <c r="W242" s="257"/>
      <c r="X242" s="230"/>
      <c r="Y242" s="230"/>
      <c r="Z242" s="230"/>
    </row>
    <row r="243" spans="1:26" ht="24.75" customHeight="1">
      <c r="A243" s="230"/>
      <c r="B243" s="230"/>
      <c r="C243" s="230"/>
      <c r="D243" s="230"/>
      <c r="E243" s="230"/>
      <c r="F243" s="230"/>
      <c r="G243" s="230"/>
      <c r="H243" s="230"/>
      <c r="I243" s="230"/>
      <c r="J243" s="230"/>
      <c r="K243" s="230"/>
      <c r="L243" s="242"/>
      <c r="M243" s="230"/>
      <c r="N243" s="230"/>
      <c r="O243" s="257"/>
      <c r="P243" s="230"/>
      <c r="Q243" s="242"/>
      <c r="R243" s="230"/>
      <c r="S243" s="250"/>
      <c r="T243" s="250"/>
      <c r="U243" s="230"/>
      <c r="V243" s="256"/>
      <c r="W243" s="257"/>
      <c r="X243" s="230"/>
      <c r="Y243" s="230"/>
      <c r="Z243" s="230"/>
    </row>
    <row r="244" spans="1:26" ht="24.75" customHeight="1">
      <c r="A244" s="230"/>
      <c r="B244" s="230"/>
      <c r="C244" s="230"/>
      <c r="D244" s="230"/>
      <c r="E244" s="230"/>
      <c r="F244" s="230"/>
      <c r="G244" s="230"/>
      <c r="H244" s="230"/>
      <c r="I244" s="230"/>
      <c r="J244" s="230"/>
      <c r="K244" s="230"/>
      <c r="L244" s="242"/>
      <c r="M244" s="230"/>
      <c r="N244" s="230"/>
      <c r="O244" s="257"/>
      <c r="P244" s="230"/>
      <c r="Q244" s="242"/>
      <c r="R244" s="230"/>
      <c r="S244" s="250"/>
      <c r="T244" s="250"/>
      <c r="U244" s="230"/>
      <c r="V244" s="256"/>
      <c r="W244" s="257"/>
      <c r="X244" s="230"/>
      <c r="Y244" s="230"/>
      <c r="Z244" s="230"/>
    </row>
    <row r="245" spans="1:26" ht="24.75" customHeight="1">
      <c r="A245" s="230"/>
      <c r="B245" s="230"/>
      <c r="C245" s="230"/>
      <c r="D245" s="230"/>
      <c r="E245" s="230"/>
      <c r="F245" s="230"/>
      <c r="G245" s="230"/>
      <c r="H245" s="230"/>
      <c r="I245" s="230"/>
      <c r="J245" s="230"/>
      <c r="K245" s="230"/>
      <c r="L245" s="242"/>
      <c r="M245" s="230"/>
      <c r="N245" s="230"/>
      <c r="O245" s="257"/>
      <c r="P245" s="230"/>
      <c r="Q245" s="242"/>
      <c r="R245" s="230"/>
      <c r="S245" s="250"/>
      <c r="T245" s="250"/>
      <c r="U245" s="230"/>
      <c r="V245" s="256"/>
      <c r="W245" s="257"/>
      <c r="X245" s="230"/>
      <c r="Y245" s="230"/>
      <c r="Z245" s="230"/>
    </row>
    <row r="246" spans="1:26" ht="24.75" customHeight="1">
      <c r="A246" s="230"/>
      <c r="B246" s="230"/>
      <c r="C246" s="230"/>
      <c r="D246" s="230"/>
      <c r="E246" s="230"/>
      <c r="F246" s="230"/>
      <c r="G246" s="230"/>
      <c r="H246" s="230"/>
      <c r="I246" s="230"/>
      <c r="J246" s="230"/>
      <c r="K246" s="230"/>
      <c r="L246" s="242"/>
      <c r="M246" s="230"/>
      <c r="N246" s="230"/>
      <c r="O246" s="257"/>
      <c r="P246" s="230"/>
      <c r="Q246" s="242"/>
      <c r="R246" s="230"/>
      <c r="S246" s="250"/>
      <c r="T246" s="250"/>
      <c r="U246" s="230"/>
      <c r="V246" s="256"/>
      <c r="W246" s="257"/>
      <c r="X246" s="230"/>
      <c r="Y246" s="230"/>
      <c r="Z246" s="230"/>
    </row>
    <row r="247" spans="1:26" ht="24.75" customHeight="1">
      <c r="A247" s="230"/>
      <c r="B247" s="230"/>
      <c r="C247" s="230"/>
      <c r="D247" s="230"/>
      <c r="E247" s="230"/>
      <c r="F247" s="230"/>
      <c r="G247" s="230"/>
      <c r="H247" s="230"/>
      <c r="I247" s="230"/>
      <c r="J247" s="230"/>
      <c r="K247" s="230"/>
      <c r="L247" s="242"/>
      <c r="M247" s="230"/>
      <c r="N247" s="230"/>
      <c r="O247" s="257"/>
      <c r="P247" s="230"/>
      <c r="Q247" s="242"/>
      <c r="R247" s="230"/>
      <c r="S247" s="250"/>
      <c r="T247" s="250"/>
      <c r="U247" s="230"/>
      <c r="V247" s="256"/>
      <c r="W247" s="257"/>
      <c r="X247" s="230"/>
      <c r="Y247" s="230"/>
      <c r="Z247" s="230"/>
    </row>
    <row r="248" spans="1:26" ht="24.75" customHeight="1">
      <c r="A248" s="230"/>
      <c r="B248" s="230"/>
      <c r="C248" s="230"/>
      <c r="D248" s="230"/>
      <c r="E248" s="230"/>
      <c r="F248" s="230"/>
      <c r="G248" s="230"/>
      <c r="H248" s="230"/>
      <c r="I248" s="230"/>
      <c r="J248" s="230"/>
      <c r="K248" s="230"/>
      <c r="L248" s="242"/>
      <c r="M248" s="230"/>
      <c r="N248" s="230"/>
      <c r="O248" s="257"/>
      <c r="P248" s="230"/>
      <c r="Q248" s="242"/>
      <c r="R248" s="230"/>
      <c r="S248" s="250"/>
      <c r="T248" s="250"/>
      <c r="U248" s="230"/>
      <c r="V248" s="256"/>
      <c r="W248" s="257"/>
      <c r="X248" s="230"/>
      <c r="Y248" s="230"/>
      <c r="Z248" s="230"/>
    </row>
    <row r="249" spans="1:26" ht="24.75" customHeight="1">
      <c r="A249" s="230"/>
      <c r="B249" s="230"/>
      <c r="C249" s="230"/>
      <c r="D249" s="230"/>
      <c r="E249" s="230"/>
      <c r="F249" s="230"/>
      <c r="G249" s="230"/>
      <c r="H249" s="230"/>
      <c r="I249" s="230"/>
      <c r="J249" s="230"/>
      <c r="K249" s="230"/>
      <c r="L249" s="242"/>
      <c r="M249" s="230"/>
      <c r="N249" s="230"/>
      <c r="O249" s="257"/>
      <c r="P249" s="230"/>
      <c r="Q249" s="242"/>
      <c r="R249" s="230"/>
      <c r="S249" s="250"/>
      <c r="T249" s="250"/>
      <c r="U249" s="230"/>
      <c r="V249" s="256"/>
      <c r="W249" s="257"/>
      <c r="X249" s="230"/>
      <c r="Y249" s="230"/>
      <c r="Z249" s="230"/>
    </row>
    <row r="250" spans="1:26" ht="24.75" customHeight="1">
      <c r="A250" s="230"/>
      <c r="B250" s="230"/>
      <c r="C250" s="230"/>
      <c r="D250" s="230"/>
      <c r="E250" s="230"/>
      <c r="F250" s="230"/>
      <c r="G250" s="230"/>
      <c r="H250" s="230"/>
      <c r="I250" s="230"/>
      <c r="J250" s="230"/>
      <c r="K250" s="230"/>
      <c r="L250" s="242"/>
      <c r="M250" s="230"/>
      <c r="N250" s="230"/>
      <c r="O250" s="257"/>
      <c r="P250" s="230"/>
      <c r="Q250" s="242"/>
      <c r="R250" s="230"/>
      <c r="S250" s="250"/>
      <c r="T250" s="250"/>
      <c r="U250" s="230"/>
      <c r="V250" s="256"/>
      <c r="W250" s="257"/>
      <c r="X250" s="230"/>
      <c r="Y250" s="230"/>
      <c r="Z250" s="230"/>
    </row>
    <row r="251" spans="1:26" ht="24.75" customHeight="1">
      <c r="A251" s="230"/>
      <c r="B251" s="230"/>
      <c r="C251" s="230"/>
      <c r="D251" s="230"/>
      <c r="E251" s="230"/>
      <c r="F251" s="230"/>
      <c r="G251" s="230"/>
      <c r="H251" s="230"/>
      <c r="I251" s="230"/>
      <c r="J251" s="230"/>
      <c r="K251" s="230"/>
      <c r="L251" s="242"/>
      <c r="M251" s="230"/>
      <c r="N251" s="230"/>
      <c r="O251" s="257"/>
      <c r="P251" s="230"/>
      <c r="Q251" s="242"/>
      <c r="R251" s="230"/>
      <c r="S251" s="250"/>
      <c r="T251" s="250"/>
      <c r="U251" s="230"/>
      <c r="V251" s="256"/>
      <c r="W251" s="257"/>
      <c r="X251" s="230"/>
      <c r="Y251" s="230"/>
      <c r="Z251" s="230"/>
    </row>
    <row r="252" spans="1:26" ht="24.75" customHeight="1">
      <c r="A252" s="230"/>
      <c r="B252" s="230"/>
      <c r="C252" s="230"/>
      <c r="D252" s="230"/>
      <c r="E252" s="230"/>
      <c r="F252" s="230"/>
      <c r="G252" s="230"/>
      <c r="H252" s="230"/>
      <c r="I252" s="230"/>
      <c r="J252" s="230"/>
      <c r="K252" s="230"/>
      <c r="L252" s="242"/>
      <c r="M252" s="230"/>
      <c r="N252" s="230"/>
      <c r="O252" s="257"/>
      <c r="P252" s="230"/>
      <c r="Q252" s="242"/>
      <c r="R252" s="230"/>
      <c r="S252" s="250"/>
      <c r="T252" s="250"/>
      <c r="U252" s="230"/>
      <c r="V252" s="256"/>
      <c r="W252" s="257"/>
      <c r="X252" s="230"/>
      <c r="Y252" s="230"/>
      <c r="Z252" s="230"/>
    </row>
    <row r="253" spans="1:26" ht="24.75" customHeight="1">
      <c r="A253" s="230"/>
      <c r="B253" s="230"/>
      <c r="C253" s="230"/>
      <c r="D253" s="230"/>
      <c r="E253" s="230"/>
      <c r="F253" s="230"/>
      <c r="G253" s="230"/>
      <c r="H253" s="230"/>
      <c r="I253" s="230"/>
      <c r="J253" s="230"/>
      <c r="K253" s="230"/>
      <c r="L253" s="242"/>
      <c r="M253" s="230"/>
      <c r="N253" s="230"/>
      <c r="O253" s="257"/>
      <c r="P253" s="230"/>
      <c r="Q253" s="242"/>
      <c r="R253" s="230"/>
      <c r="S253" s="250"/>
      <c r="T253" s="250"/>
      <c r="U253" s="230"/>
      <c r="V253" s="256"/>
      <c r="W253" s="257"/>
      <c r="X253" s="230"/>
      <c r="Y253" s="230"/>
      <c r="Z253" s="230"/>
    </row>
    <row r="254" spans="1:26" ht="24.75" customHeight="1">
      <c r="A254" s="230"/>
      <c r="B254" s="230"/>
      <c r="C254" s="230"/>
      <c r="D254" s="230"/>
      <c r="E254" s="230"/>
      <c r="F254" s="230"/>
      <c r="G254" s="230"/>
      <c r="H254" s="230"/>
      <c r="I254" s="230"/>
      <c r="J254" s="230"/>
      <c r="K254" s="230"/>
      <c r="L254" s="242"/>
      <c r="M254" s="230"/>
      <c r="N254" s="230"/>
      <c r="O254" s="257"/>
      <c r="P254" s="230"/>
      <c r="Q254" s="242"/>
      <c r="R254" s="230"/>
      <c r="S254" s="250"/>
      <c r="T254" s="250"/>
      <c r="U254" s="230"/>
      <c r="V254" s="256"/>
      <c r="W254" s="257"/>
      <c r="X254" s="230"/>
      <c r="Y254" s="230"/>
      <c r="Z254" s="230"/>
    </row>
    <row r="255" spans="1:26" ht="24.75" customHeight="1">
      <c r="A255" s="230"/>
      <c r="B255" s="230"/>
      <c r="C255" s="230"/>
      <c r="D255" s="230"/>
      <c r="E255" s="230"/>
      <c r="F255" s="230"/>
      <c r="G255" s="230"/>
      <c r="H255" s="230"/>
      <c r="I255" s="230"/>
      <c r="J255" s="230"/>
      <c r="K255" s="230"/>
      <c r="L255" s="242"/>
      <c r="M255" s="230"/>
      <c r="N255" s="230"/>
      <c r="O255" s="257"/>
      <c r="P255" s="230"/>
      <c r="Q255" s="242"/>
      <c r="R255" s="230"/>
      <c r="S255" s="250"/>
      <c r="T255" s="250"/>
      <c r="U255" s="230"/>
      <c r="V255" s="256"/>
      <c r="W255" s="257"/>
      <c r="X255" s="230"/>
      <c r="Y255" s="230"/>
      <c r="Z255" s="230"/>
    </row>
    <row r="256" spans="1:26" ht="24.75" customHeight="1">
      <c r="A256" s="230"/>
      <c r="B256" s="230"/>
      <c r="C256" s="230"/>
      <c r="D256" s="230"/>
      <c r="E256" s="230"/>
      <c r="F256" s="230"/>
      <c r="G256" s="230"/>
      <c r="H256" s="230"/>
      <c r="I256" s="230"/>
      <c r="J256" s="230"/>
      <c r="K256" s="230"/>
      <c r="L256" s="242"/>
      <c r="M256" s="230"/>
      <c r="N256" s="230"/>
      <c r="O256" s="257"/>
      <c r="P256" s="230"/>
      <c r="Q256" s="242"/>
      <c r="R256" s="230"/>
      <c r="S256" s="250"/>
      <c r="T256" s="250"/>
      <c r="U256" s="230"/>
      <c r="V256" s="256"/>
      <c r="W256" s="257"/>
      <c r="X256" s="230"/>
      <c r="Y256" s="230"/>
      <c r="Z256" s="230"/>
    </row>
    <row r="257" spans="1:26" ht="24.75" customHeight="1">
      <c r="A257" s="230"/>
      <c r="B257" s="230"/>
      <c r="C257" s="230"/>
      <c r="D257" s="230"/>
      <c r="E257" s="230"/>
      <c r="F257" s="230"/>
      <c r="G257" s="230"/>
      <c r="H257" s="230"/>
      <c r="I257" s="230"/>
      <c r="J257" s="230"/>
      <c r="K257" s="230"/>
      <c r="L257" s="242"/>
      <c r="M257" s="230"/>
      <c r="N257" s="230"/>
      <c r="O257" s="257"/>
      <c r="P257" s="230"/>
      <c r="Q257" s="242"/>
      <c r="R257" s="230"/>
      <c r="S257" s="250"/>
      <c r="T257" s="250"/>
      <c r="U257" s="230"/>
      <c r="V257" s="256"/>
      <c r="W257" s="257"/>
      <c r="X257" s="230"/>
      <c r="Y257" s="230"/>
      <c r="Z257" s="230"/>
    </row>
    <row r="258" spans="1:26" ht="24.75" customHeight="1">
      <c r="A258" s="230"/>
      <c r="B258" s="230"/>
      <c r="C258" s="230"/>
      <c r="D258" s="230"/>
      <c r="E258" s="230"/>
      <c r="F258" s="230"/>
      <c r="G258" s="230"/>
      <c r="H258" s="230"/>
      <c r="I258" s="230"/>
      <c r="J258" s="230"/>
      <c r="K258" s="230"/>
      <c r="L258" s="242"/>
      <c r="M258" s="230"/>
      <c r="N258" s="230"/>
      <c r="O258" s="257"/>
      <c r="P258" s="230"/>
      <c r="Q258" s="242"/>
      <c r="R258" s="230"/>
      <c r="S258" s="250"/>
      <c r="T258" s="250"/>
      <c r="U258" s="230"/>
      <c r="V258" s="256"/>
      <c r="W258" s="257"/>
      <c r="X258" s="230"/>
      <c r="Y258" s="230"/>
      <c r="Z258" s="230"/>
    </row>
    <row r="259" spans="1:26" ht="24.75" customHeight="1">
      <c r="A259" s="230"/>
      <c r="B259" s="230"/>
      <c r="C259" s="230"/>
      <c r="D259" s="230"/>
      <c r="E259" s="230"/>
      <c r="F259" s="230"/>
      <c r="G259" s="230"/>
      <c r="H259" s="230"/>
      <c r="I259" s="230"/>
      <c r="J259" s="230"/>
      <c r="K259" s="230"/>
      <c r="L259" s="242"/>
      <c r="M259" s="230"/>
      <c r="N259" s="230"/>
      <c r="O259" s="257"/>
      <c r="P259" s="230"/>
      <c r="Q259" s="242"/>
      <c r="R259" s="230"/>
      <c r="S259" s="250"/>
      <c r="T259" s="250"/>
      <c r="U259" s="230"/>
      <c r="V259" s="256"/>
      <c r="W259" s="257"/>
      <c r="X259" s="230"/>
      <c r="Y259" s="230"/>
      <c r="Z259" s="230"/>
    </row>
    <row r="260" spans="1:26" ht="24.75" customHeight="1">
      <c r="A260" s="230"/>
      <c r="B260" s="230"/>
      <c r="C260" s="230"/>
      <c r="D260" s="230"/>
      <c r="E260" s="230"/>
      <c r="F260" s="230"/>
      <c r="G260" s="230"/>
      <c r="H260" s="230"/>
      <c r="I260" s="230"/>
      <c r="J260" s="230"/>
      <c r="K260" s="230"/>
      <c r="L260" s="242"/>
      <c r="M260" s="230"/>
      <c r="N260" s="230"/>
      <c r="O260" s="257"/>
      <c r="P260" s="230"/>
      <c r="Q260" s="242"/>
      <c r="R260" s="230"/>
      <c r="S260" s="250"/>
      <c r="T260" s="250"/>
      <c r="U260" s="230"/>
      <c r="V260" s="256"/>
      <c r="W260" s="257"/>
      <c r="X260" s="230"/>
      <c r="Y260" s="230"/>
      <c r="Z260" s="230"/>
    </row>
    <row r="261" spans="1:26" ht="24.75" customHeight="1">
      <c r="A261" s="230"/>
      <c r="B261" s="230"/>
      <c r="C261" s="230"/>
      <c r="D261" s="230"/>
      <c r="E261" s="230"/>
      <c r="F261" s="230"/>
      <c r="G261" s="230"/>
      <c r="H261" s="230"/>
      <c r="I261" s="230"/>
      <c r="J261" s="230"/>
      <c r="K261" s="230"/>
      <c r="L261" s="242"/>
      <c r="M261" s="230"/>
      <c r="N261" s="230"/>
      <c r="O261" s="257"/>
      <c r="P261" s="230"/>
      <c r="Q261" s="242"/>
      <c r="R261" s="230"/>
      <c r="S261" s="250"/>
      <c r="T261" s="250"/>
      <c r="U261" s="230"/>
      <c r="V261" s="256"/>
      <c r="W261" s="257"/>
      <c r="X261" s="230"/>
      <c r="Y261" s="230"/>
      <c r="Z261" s="230"/>
    </row>
    <row r="262" spans="1:26" ht="24.75" customHeight="1">
      <c r="A262" s="230"/>
      <c r="B262" s="230"/>
      <c r="C262" s="230"/>
      <c r="D262" s="230"/>
      <c r="E262" s="230"/>
      <c r="F262" s="230"/>
      <c r="G262" s="230"/>
      <c r="H262" s="230"/>
      <c r="I262" s="230"/>
      <c r="J262" s="230"/>
      <c r="K262" s="230"/>
      <c r="L262" s="242"/>
      <c r="M262" s="230"/>
      <c r="N262" s="230"/>
      <c r="O262" s="257"/>
      <c r="P262" s="230"/>
      <c r="Q262" s="242"/>
      <c r="R262" s="230"/>
      <c r="S262" s="250"/>
      <c r="T262" s="250"/>
      <c r="U262" s="230"/>
      <c r="V262" s="256"/>
      <c r="W262" s="257"/>
      <c r="X262" s="230"/>
      <c r="Y262" s="230"/>
      <c r="Z262" s="230"/>
    </row>
    <row r="263" spans="1:26" ht="24.75" customHeight="1">
      <c r="A263" s="230"/>
      <c r="B263" s="230"/>
      <c r="C263" s="230"/>
      <c r="D263" s="230"/>
      <c r="E263" s="230"/>
      <c r="F263" s="230"/>
      <c r="G263" s="230"/>
      <c r="H263" s="230"/>
      <c r="I263" s="230"/>
      <c r="J263" s="230"/>
      <c r="K263" s="230"/>
      <c r="L263" s="242"/>
      <c r="M263" s="230"/>
      <c r="N263" s="230"/>
      <c r="O263" s="257"/>
      <c r="P263" s="230"/>
      <c r="Q263" s="242"/>
      <c r="R263" s="230"/>
      <c r="S263" s="250"/>
      <c r="T263" s="250"/>
      <c r="U263" s="230"/>
      <c r="V263" s="256"/>
      <c r="W263" s="257"/>
      <c r="X263" s="230"/>
      <c r="Y263" s="230"/>
      <c r="Z263" s="230"/>
    </row>
    <row r="264" spans="1:26" ht="24.75" customHeight="1">
      <c r="A264" s="230"/>
      <c r="B264" s="230"/>
      <c r="C264" s="230"/>
      <c r="D264" s="230"/>
      <c r="E264" s="230"/>
      <c r="F264" s="230"/>
      <c r="G264" s="230"/>
      <c r="H264" s="230"/>
      <c r="I264" s="230"/>
      <c r="J264" s="230"/>
      <c r="K264" s="230"/>
      <c r="L264" s="242"/>
      <c r="M264" s="230"/>
      <c r="N264" s="230"/>
      <c r="O264" s="257"/>
      <c r="P264" s="230"/>
      <c r="Q264" s="242"/>
      <c r="R264" s="230"/>
      <c r="S264" s="250"/>
      <c r="T264" s="250"/>
      <c r="U264" s="230"/>
      <c r="V264" s="256"/>
      <c r="W264" s="257"/>
      <c r="X264" s="230"/>
      <c r="Y264" s="230"/>
      <c r="Z264" s="230"/>
    </row>
    <row r="265" spans="1:26" ht="24.75" customHeight="1">
      <c r="A265" s="230"/>
      <c r="B265" s="230"/>
      <c r="C265" s="230"/>
      <c r="D265" s="230"/>
      <c r="E265" s="230"/>
      <c r="F265" s="230"/>
      <c r="G265" s="230"/>
      <c r="H265" s="230"/>
      <c r="I265" s="230"/>
      <c r="J265" s="230"/>
      <c r="K265" s="230"/>
      <c r="L265" s="242"/>
      <c r="M265" s="230"/>
      <c r="N265" s="230"/>
      <c r="O265" s="257"/>
      <c r="P265" s="230"/>
      <c r="Q265" s="242"/>
      <c r="R265" s="230"/>
      <c r="S265" s="250"/>
      <c r="T265" s="250"/>
      <c r="U265" s="230"/>
      <c r="V265" s="256"/>
      <c r="W265" s="257"/>
      <c r="X265" s="230"/>
      <c r="Y265" s="230"/>
      <c r="Z265" s="230"/>
    </row>
    <row r="266" spans="1:26" ht="24.75" customHeight="1">
      <c r="A266" s="230"/>
      <c r="B266" s="230"/>
      <c r="C266" s="230"/>
      <c r="D266" s="230"/>
      <c r="E266" s="230"/>
      <c r="F266" s="230"/>
      <c r="G266" s="230"/>
      <c r="H266" s="230"/>
      <c r="I266" s="230"/>
      <c r="J266" s="230"/>
      <c r="K266" s="230"/>
      <c r="L266" s="242"/>
      <c r="M266" s="230"/>
      <c r="N266" s="230"/>
      <c r="O266" s="257"/>
      <c r="P266" s="230"/>
      <c r="Q266" s="242"/>
      <c r="R266" s="230"/>
      <c r="S266" s="250"/>
      <c r="T266" s="250"/>
      <c r="U266" s="248"/>
      <c r="V266" s="253"/>
      <c r="W266" s="254"/>
      <c r="X266" s="248"/>
      <c r="Y266" s="248"/>
      <c r="Z266" s="248"/>
    </row>
    <row r="267" spans="1:26" ht="24.75" customHeight="1">
      <c r="A267" s="230"/>
      <c r="B267" s="230"/>
      <c r="C267" s="230"/>
      <c r="D267" s="230"/>
      <c r="E267" s="230"/>
      <c r="F267" s="230"/>
      <c r="G267" s="230"/>
      <c r="H267" s="230"/>
      <c r="I267" s="230"/>
      <c r="J267" s="230"/>
      <c r="K267" s="230"/>
      <c r="L267" s="242"/>
      <c r="M267" s="230"/>
      <c r="N267" s="230"/>
      <c r="O267" s="257"/>
      <c r="P267" s="230"/>
      <c r="Q267" s="242"/>
      <c r="R267" s="230"/>
      <c r="S267" s="250"/>
      <c r="T267" s="250"/>
      <c r="U267" s="230"/>
      <c r="V267" s="256"/>
      <c r="W267" s="257"/>
      <c r="X267" s="230"/>
      <c r="Y267" s="230"/>
      <c r="Z267" s="230"/>
    </row>
    <row r="268" spans="1:26" ht="24.75" customHeight="1">
      <c r="A268" s="230"/>
      <c r="B268" s="230"/>
      <c r="C268" s="230"/>
      <c r="D268" s="230"/>
      <c r="E268" s="230"/>
      <c r="F268" s="230"/>
      <c r="G268" s="230"/>
      <c r="H268" s="230"/>
      <c r="I268" s="230"/>
      <c r="J268" s="230"/>
      <c r="K268" s="230"/>
      <c r="L268" s="242"/>
      <c r="M268" s="230"/>
      <c r="N268" s="230"/>
      <c r="O268" s="257"/>
      <c r="P268" s="230"/>
      <c r="Q268" s="242"/>
      <c r="R268" s="230"/>
      <c r="S268" s="250"/>
      <c r="T268" s="250"/>
      <c r="U268" s="230"/>
      <c r="V268" s="256"/>
      <c r="W268" s="257"/>
      <c r="X268" s="230"/>
      <c r="Y268" s="230"/>
      <c r="Z268" s="230"/>
    </row>
    <row r="269" spans="1:26" ht="24.75" customHeight="1">
      <c r="A269" s="230"/>
      <c r="B269" s="230"/>
      <c r="C269" s="230"/>
      <c r="D269" s="230"/>
      <c r="E269" s="230"/>
      <c r="F269" s="230"/>
      <c r="G269" s="230"/>
      <c r="H269" s="230"/>
      <c r="I269" s="230"/>
      <c r="J269" s="230"/>
      <c r="K269" s="230"/>
      <c r="L269" s="242"/>
      <c r="M269" s="230"/>
      <c r="N269" s="230"/>
      <c r="O269" s="257"/>
      <c r="P269" s="230"/>
      <c r="Q269" s="242"/>
      <c r="R269" s="230"/>
      <c r="S269" s="250"/>
      <c r="T269" s="250"/>
      <c r="U269" s="248"/>
      <c r="V269" s="253"/>
      <c r="W269" s="254"/>
      <c r="X269" s="248"/>
      <c r="Y269" s="248"/>
      <c r="Z269" s="248"/>
    </row>
    <row r="270" spans="1:26" ht="24.75" customHeight="1">
      <c r="A270" s="230"/>
      <c r="B270" s="230"/>
      <c r="C270" s="230"/>
      <c r="D270" s="230"/>
      <c r="E270" s="230"/>
      <c r="F270" s="230"/>
      <c r="G270" s="230"/>
      <c r="H270" s="230"/>
      <c r="I270" s="230"/>
      <c r="J270" s="230"/>
      <c r="K270" s="230"/>
      <c r="L270" s="242"/>
      <c r="M270" s="230"/>
      <c r="N270" s="230"/>
      <c r="O270" s="257"/>
      <c r="P270" s="230"/>
      <c r="Q270" s="242"/>
      <c r="R270" s="230"/>
      <c r="S270" s="250"/>
      <c r="T270" s="250"/>
      <c r="U270" s="230"/>
      <c r="V270" s="256"/>
      <c r="W270" s="257"/>
      <c r="X270" s="230"/>
      <c r="Y270" s="230"/>
      <c r="Z270" s="230"/>
    </row>
    <row r="271" spans="1:26" ht="24.75" customHeight="1">
      <c r="A271" s="230"/>
      <c r="B271" s="230"/>
      <c r="C271" s="230"/>
      <c r="D271" s="230"/>
      <c r="E271" s="230"/>
      <c r="F271" s="230"/>
      <c r="G271" s="230"/>
      <c r="H271" s="230"/>
      <c r="I271" s="230"/>
      <c r="J271" s="230"/>
      <c r="K271" s="230"/>
      <c r="L271" s="242"/>
      <c r="M271" s="230"/>
      <c r="N271" s="230"/>
      <c r="O271" s="257"/>
      <c r="P271" s="230"/>
      <c r="Q271" s="242"/>
      <c r="R271" s="230"/>
      <c r="S271" s="250"/>
      <c r="T271" s="250"/>
      <c r="U271" s="248"/>
      <c r="V271" s="253"/>
      <c r="W271" s="254"/>
      <c r="X271" s="248"/>
      <c r="Y271" s="248"/>
      <c r="Z271" s="248"/>
    </row>
    <row r="272" spans="1:26" ht="24.75" customHeight="1">
      <c r="A272" s="230"/>
      <c r="B272" s="230"/>
      <c r="C272" s="230"/>
      <c r="D272" s="230"/>
      <c r="E272" s="230"/>
      <c r="F272" s="230"/>
      <c r="G272" s="230"/>
      <c r="H272" s="230"/>
      <c r="I272" s="230"/>
      <c r="J272" s="230"/>
      <c r="K272" s="230"/>
      <c r="L272" s="242"/>
      <c r="M272" s="230"/>
      <c r="N272" s="230"/>
      <c r="O272" s="257"/>
      <c r="P272" s="230"/>
      <c r="Q272" s="242"/>
      <c r="R272" s="230"/>
      <c r="S272" s="250"/>
      <c r="T272" s="250"/>
      <c r="U272" s="230"/>
      <c r="V272" s="256"/>
      <c r="W272" s="257"/>
      <c r="X272" s="230"/>
      <c r="Y272" s="230"/>
      <c r="Z272" s="230"/>
    </row>
    <row r="273" spans="1:26" ht="24.75" customHeight="1">
      <c r="A273" s="230"/>
      <c r="B273" s="230"/>
      <c r="C273" s="230"/>
      <c r="D273" s="230"/>
      <c r="E273" s="230"/>
      <c r="F273" s="230"/>
      <c r="G273" s="230"/>
      <c r="H273" s="230"/>
      <c r="I273" s="230"/>
      <c r="J273" s="230"/>
      <c r="K273" s="230"/>
      <c r="L273" s="242"/>
      <c r="M273" s="230"/>
      <c r="N273" s="230"/>
      <c r="O273" s="257"/>
      <c r="P273" s="230"/>
      <c r="Q273" s="242"/>
      <c r="R273" s="230"/>
      <c r="S273" s="250"/>
      <c r="T273" s="250"/>
      <c r="U273" s="230"/>
      <c r="V273" s="256"/>
      <c r="W273" s="257"/>
      <c r="X273" s="230"/>
      <c r="Y273" s="230"/>
      <c r="Z273" s="230"/>
    </row>
    <row r="274" spans="1:26" ht="24.75" customHeight="1">
      <c r="A274" s="230"/>
      <c r="B274" s="230"/>
      <c r="C274" s="230"/>
      <c r="D274" s="230"/>
      <c r="E274" s="230"/>
      <c r="F274" s="230"/>
      <c r="G274" s="230"/>
      <c r="H274" s="230"/>
      <c r="I274" s="230"/>
      <c r="J274" s="230"/>
      <c r="K274" s="230"/>
      <c r="L274" s="242"/>
      <c r="M274" s="230"/>
      <c r="N274" s="230"/>
      <c r="O274" s="257"/>
      <c r="P274" s="230"/>
      <c r="Q274" s="242"/>
      <c r="R274" s="230"/>
      <c r="S274" s="250"/>
      <c r="T274" s="250"/>
      <c r="U274" s="230"/>
      <c r="V274" s="256"/>
      <c r="W274" s="257"/>
      <c r="X274" s="230"/>
      <c r="Y274" s="230"/>
      <c r="Z274" s="230"/>
    </row>
    <row r="275" spans="1:26" ht="24.75" customHeight="1">
      <c r="A275" s="230"/>
      <c r="B275" s="230"/>
      <c r="C275" s="230"/>
      <c r="D275" s="230"/>
      <c r="E275" s="230"/>
      <c r="F275" s="230"/>
      <c r="G275" s="230"/>
      <c r="H275" s="230"/>
      <c r="I275" s="230"/>
      <c r="J275" s="230"/>
      <c r="K275" s="230"/>
      <c r="L275" s="242"/>
      <c r="M275" s="230"/>
      <c r="N275" s="230"/>
      <c r="O275" s="257"/>
      <c r="P275" s="230"/>
      <c r="Q275" s="242"/>
      <c r="R275" s="230"/>
      <c r="S275" s="250"/>
      <c r="T275" s="250"/>
      <c r="U275" s="230"/>
      <c r="V275" s="256"/>
      <c r="W275" s="257"/>
      <c r="X275" s="230"/>
      <c r="Y275" s="230"/>
      <c r="Z275" s="230"/>
    </row>
    <row r="276" spans="1:26" ht="24.75" customHeight="1">
      <c r="A276" s="230"/>
      <c r="B276" s="230"/>
      <c r="C276" s="230"/>
      <c r="D276" s="230"/>
      <c r="E276" s="230"/>
      <c r="F276" s="230"/>
      <c r="G276" s="230"/>
      <c r="H276" s="230"/>
      <c r="I276" s="230"/>
      <c r="J276" s="230"/>
      <c r="K276" s="230"/>
      <c r="L276" s="242"/>
      <c r="M276" s="230"/>
      <c r="N276" s="230"/>
      <c r="O276" s="257"/>
      <c r="P276" s="230"/>
      <c r="Q276" s="242"/>
      <c r="R276" s="230"/>
      <c r="S276" s="250"/>
      <c r="T276" s="250"/>
      <c r="U276" s="230"/>
      <c r="V276" s="256"/>
      <c r="W276" s="257"/>
      <c r="X276" s="230"/>
      <c r="Y276" s="230"/>
      <c r="Z276" s="230"/>
    </row>
    <row r="277" spans="1:26" ht="24.75" customHeight="1">
      <c r="A277" s="230"/>
      <c r="B277" s="230"/>
      <c r="C277" s="230"/>
      <c r="D277" s="230"/>
      <c r="E277" s="230"/>
      <c r="F277" s="230"/>
      <c r="G277" s="230"/>
      <c r="H277" s="230"/>
      <c r="I277" s="230"/>
      <c r="J277" s="230"/>
      <c r="K277" s="230"/>
      <c r="L277" s="242"/>
      <c r="M277" s="230"/>
      <c r="N277" s="230"/>
      <c r="O277" s="257"/>
      <c r="P277" s="230"/>
      <c r="Q277" s="242"/>
      <c r="R277" s="230"/>
      <c r="S277" s="250"/>
      <c r="T277" s="250"/>
      <c r="U277" s="230"/>
      <c r="V277" s="256"/>
      <c r="W277" s="257"/>
      <c r="X277" s="230"/>
      <c r="Y277" s="230"/>
      <c r="Z277" s="230"/>
    </row>
    <row r="278" spans="1:26" ht="24.75" customHeight="1">
      <c r="A278" s="230"/>
      <c r="B278" s="230"/>
      <c r="C278" s="230"/>
      <c r="D278" s="230"/>
      <c r="E278" s="230"/>
      <c r="F278" s="230"/>
      <c r="G278" s="230"/>
      <c r="H278" s="230"/>
      <c r="I278" s="230"/>
      <c r="J278" s="230"/>
      <c r="K278" s="230"/>
      <c r="L278" s="242"/>
      <c r="M278" s="230"/>
      <c r="N278" s="230"/>
      <c r="O278" s="257"/>
      <c r="P278" s="230"/>
      <c r="Q278" s="242"/>
      <c r="R278" s="230"/>
      <c r="S278" s="250"/>
      <c r="T278" s="250"/>
      <c r="U278" s="248"/>
      <c r="V278" s="253"/>
      <c r="W278" s="254"/>
      <c r="X278" s="248"/>
      <c r="Y278" s="248"/>
      <c r="Z278" s="248"/>
    </row>
    <row r="279" spans="1:26" ht="24.75" customHeight="1">
      <c r="A279" s="230"/>
      <c r="B279" s="230"/>
      <c r="C279" s="230"/>
      <c r="D279" s="230"/>
      <c r="E279" s="230"/>
      <c r="F279" s="230"/>
      <c r="G279" s="230"/>
      <c r="H279" s="230"/>
      <c r="I279" s="230"/>
      <c r="J279" s="230"/>
      <c r="K279" s="230"/>
      <c r="L279" s="242"/>
      <c r="M279" s="230"/>
      <c r="N279" s="230"/>
      <c r="O279" s="257"/>
      <c r="P279" s="230"/>
      <c r="Q279" s="242"/>
      <c r="R279" s="230"/>
      <c r="S279" s="250"/>
      <c r="T279" s="250"/>
      <c r="U279" s="230"/>
      <c r="V279" s="256"/>
      <c r="W279" s="257"/>
      <c r="X279" s="230"/>
      <c r="Y279" s="230"/>
      <c r="Z279" s="230"/>
    </row>
    <row r="280" spans="1:26" ht="24.75" customHeight="1">
      <c r="A280" s="230"/>
      <c r="B280" s="230"/>
      <c r="C280" s="230"/>
      <c r="D280" s="230"/>
      <c r="E280" s="230"/>
      <c r="F280" s="230"/>
      <c r="G280" s="230"/>
      <c r="H280" s="230"/>
      <c r="I280" s="230"/>
      <c r="J280" s="230"/>
      <c r="K280" s="230"/>
      <c r="L280" s="242"/>
      <c r="M280" s="230"/>
      <c r="N280" s="230"/>
      <c r="O280" s="257"/>
      <c r="P280" s="230"/>
      <c r="Q280" s="242"/>
      <c r="R280" s="230"/>
      <c r="S280" s="250"/>
      <c r="T280" s="250"/>
      <c r="U280" s="230"/>
      <c r="V280" s="256"/>
      <c r="W280" s="257"/>
      <c r="X280" s="230"/>
      <c r="Y280" s="230"/>
      <c r="Z280" s="230"/>
    </row>
    <row r="281" spans="1:26" ht="24.75" customHeight="1">
      <c r="A281" s="230"/>
      <c r="B281" s="230"/>
      <c r="C281" s="230"/>
      <c r="D281" s="230"/>
      <c r="E281" s="230"/>
      <c r="F281" s="230"/>
      <c r="G281" s="230"/>
      <c r="H281" s="230"/>
      <c r="I281" s="230"/>
      <c r="J281" s="230"/>
      <c r="K281" s="230"/>
      <c r="L281" s="242"/>
      <c r="M281" s="230"/>
      <c r="N281" s="230"/>
      <c r="O281" s="257"/>
      <c r="P281" s="230"/>
      <c r="Q281" s="242"/>
      <c r="R281" s="230"/>
      <c r="S281" s="250"/>
      <c r="T281" s="250"/>
      <c r="U281" s="230"/>
      <c r="V281" s="256"/>
      <c r="W281" s="257"/>
      <c r="X281" s="230"/>
      <c r="Y281" s="230"/>
      <c r="Z281" s="230"/>
    </row>
    <row r="282" spans="1:26" ht="24.75" customHeight="1">
      <c r="A282" s="230"/>
      <c r="B282" s="230"/>
      <c r="C282" s="230"/>
      <c r="D282" s="230"/>
      <c r="E282" s="230"/>
      <c r="F282" s="230"/>
      <c r="G282" s="230"/>
      <c r="H282" s="230"/>
      <c r="I282" s="230"/>
      <c r="J282" s="230"/>
      <c r="K282" s="230"/>
      <c r="L282" s="242"/>
      <c r="M282" s="230"/>
      <c r="N282" s="230"/>
      <c r="O282" s="257"/>
      <c r="P282" s="230"/>
      <c r="Q282" s="242"/>
      <c r="R282" s="230"/>
      <c r="S282" s="250"/>
      <c r="T282" s="250"/>
      <c r="U282" s="230"/>
      <c r="V282" s="256"/>
      <c r="W282" s="257"/>
      <c r="X282" s="230"/>
      <c r="Y282" s="230"/>
      <c r="Z282" s="230"/>
    </row>
    <row r="283" spans="1:26" ht="24.75" customHeight="1">
      <c r="A283" s="230"/>
      <c r="B283" s="230"/>
      <c r="C283" s="230"/>
      <c r="D283" s="230"/>
      <c r="E283" s="230"/>
      <c r="F283" s="230"/>
      <c r="G283" s="230"/>
      <c r="H283" s="230"/>
      <c r="I283" s="230"/>
      <c r="J283" s="230"/>
      <c r="K283" s="230"/>
      <c r="L283" s="242"/>
      <c r="M283" s="230"/>
      <c r="N283" s="230"/>
      <c r="O283" s="257"/>
      <c r="P283" s="230"/>
      <c r="Q283" s="242"/>
      <c r="R283" s="230"/>
      <c r="S283" s="250"/>
      <c r="T283" s="250"/>
      <c r="U283" s="230"/>
      <c r="V283" s="256"/>
      <c r="W283" s="257"/>
      <c r="X283" s="230"/>
      <c r="Y283" s="230"/>
      <c r="Z283" s="230"/>
    </row>
    <row r="284" spans="1:26" ht="24.75" customHeight="1">
      <c r="A284" s="230"/>
      <c r="B284" s="230"/>
      <c r="C284" s="230"/>
      <c r="D284" s="230"/>
      <c r="E284" s="230"/>
      <c r="F284" s="230"/>
      <c r="G284" s="230"/>
      <c r="H284" s="230"/>
      <c r="I284" s="230"/>
      <c r="J284" s="230"/>
      <c r="K284" s="230"/>
      <c r="L284" s="242"/>
      <c r="M284" s="230"/>
      <c r="N284" s="230"/>
      <c r="O284" s="257"/>
      <c r="P284" s="230"/>
      <c r="Q284" s="242"/>
      <c r="R284" s="230"/>
      <c r="S284" s="250"/>
      <c r="T284" s="250"/>
      <c r="U284" s="230"/>
      <c r="V284" s="256"/>
      <c r="W284" s="257"/>
      <c r="X284" s="230"/>
      <c r="Y284" s="230"/>
      <c r="Z284" s="230"/>
    </row>
    <row r="285" spans="1:26" ht="24.75" customHeight="1">
      <c r="A285" s="230"/>
      <c r="B285" s="230"/>
      <c r="C285" s="230"/>
      <c r="D285" s="230"/>
      <c r="E285" s="230"/>
      <c r="F285" s="230"/>
      <c r="G285" s="230"/>
      <c r="H285" s="230"/>
      <c r="I285" s="230"/>
      <c r="J285" s="230"/>
      <c r="K285" s="230"/>
      <c r="L285" s="242"/>
      <c r="M285" s="230"/>
      <c r="N285" s="230"/>
      <c r="O285" s="257"/>
      <c r="P285" s="230"/>
      <c r="Q285" s="242"/>
      <c r="R285" s="230"/>
      <c r="S285" s="250"/>
      <c r="T285" s="250"/>
      <c r="U285" s="230"/>
      <c r="V285" s="256"/>
      <c r="W285" s="257"/>
      <c r="X285" s="230"/>
      <c r="Y285" s="230"/>
      <c r="Z285" s="230"/>
    </row>
    <row r="286" spans="1:26" ht="24.75" customHeight="1">
      <c r="A286" s="230"/>
      <c r="B286" s="230"/>
      <c r="C286" s="230"/>
      <c r="D286" s="230"/>
      <c r="E286" s="230"/>
      <c r="F286" s="230"/>
      <c r="G286" s="230"/>
      <c r="H286" s="230"/>
      <c r="I286" s="230"/>
      <c r="J286" s="230"/>
      <c r="K286" s="230"/>
      <c r="L286" s="242"/>
      <c r="M286" s="230"/>
      <c r="N286" s="230"/>
      <c r="O286" s="257"/>
      <c r="P286" s="230"/>
      <c r="Q286" s="242"/>
      <c r="R286" s="230"/>
      <c r="S286" s="250"/>
      <c r="T286" s="250"/>
      <c r="U286" s="230"/>
      <c r="V286" s="256"/>
      <c r="W286" s="257"/>
      <c r="X286" s="230"/>
      <c r="Y286" s="230"/>
      <c r="Z286" s="230"/>
    </row>
    <row r="287" spans="1:26" ht="24.75" customHeight="1">
      <c r="A287" s="230"/>
      <c r="B287" s="230"/>
      <c r="C287" s="230"/>
      <c r="D287" s="230"/>
      <c r="E287" s="230"/>
      <c r="F287" s="230"/>
      <c r="G287" s="230"/>
      <c r="H287" s="230"/>
      <c r="I287" s="230"/>
      <c r="J287" s="230"/>
      <c r="K287" s="230"/>
      <c r="L287" s="242"/>
      <c r="M287" s="230"/>
      <c r="N287" s="230"/>
      <c r="O287" s="257"/>
      <c r="P287" s="230"/>
      <c r="Q287" s="242"/>
      <c r="R287" s="230"/>
      <c r="S287" s="250"/>
      <c r="T287" s="250"/>
      <c r="U287" s="230"/>
      <c r="V287" s="256"/>
      <c r="W287" s="257"/>
      <c r="X287" s="230"/>
      <c r="Y287" s="230"/>
      <c r="Z287" s="230"/>
    </row>
    <row r="288" spans="1:26" ht="24.75" customHeight="1">
      <c r="A288" s="230"/>
      <c r="B288" s="230"/>
      <c r="C288" s="230"/>
      <c r="D288" s="230"/>
      <c r="E288" s="230"/>
      <c r="F288" s="230"/>
      <c r="G288" s="230"/>
      <c r="H288" s="230"/>
      <c r="I288" s="230"/>
      <c r="J288" s="230"/>
      <c r="K288" s="230"/>
      <c r="L288" s="242"/>
      <c r="M288" s="230"/>
      <c r="N288" s="230"/>
      <c r="O288" s="257"/>
      <c r="P288" s="230"/>
      <c r="Q288" s="242"/>
      <c r="R288" s="230"/>
      <c r="S288" s="250"/>
      <c r="T288" s="250"/>
      <c r="U288" s="230"/>
      <c r="V288" s="256"/>
      <c r="W288" s="257"/>
      <c r="X288" s="230"/>
      <c r="Y288" s="230"/>
      <c r="Z288" s="230"/>
    </row>
    <row r="289" spans="1:26" ht="24.75" customHeight="1">
      <c r="A289" s="230"/>
      <c r="B289" s="230"/>
      <c r="C289" s="230"/>
      <c r="D289" s="230"/>
      <c r="E289" s="230"/>
      <c r="F289" s="230"/>
      <c r="G289" s="230"/>
      <c r="H289" s="230"/>
      <c r="I289" s="230"/>
      <c r="J289" s="230"/>
      <c r="K289" s="230"/>
      <c r="L289" s="242"/>
      <c r="M289" s="230"/>
      <c r="N289" s="230"/>
      <c r="O289" s="257"/>
      <c r="P289" s="230"/>
      <c r="Q289" s="242"/>
      <c r="R289" s="230"/>
      <c r="S289" s="250"/>
      <c r="T289" s="250"/>
      <c r="U289" s="230"/>
      <c r="V289" s="256"/>
      <c r="W289" s="257"/>
      <c r="X289" s="230"/>
      <c r="Y289" s="230"/>
      <c r="Z289" s="230"/>
    </row>
    <row r="290" spans="1:26" ht="24.75" customHeight="1">
      <c r="A290" s="230"/>
      <c r="B290" s="230"/>
      <c r="C290" s="230"/>
      <c r="D290" s="230"/>
      <c r="E290" s="230"/>
      <c r="F290" s="230"/>
      <c r="G290" s="230"/>
      <c r="H290" s="230"/>
      <c r="I290" s="230"/>
      <c r="J290" s="230"/>
      <c r="K290" s="230"/>
      <c r="L290" s="242"/>
      <c r="M290" s="230"/>
      <c r="N290" s="230"/>
      <c r="O290" s="257"/>
      <c r="P290" s="230"/>
      <c r="Q290" s="242"/>
      <c r="R290" s="230"/>
      <c r="S290" s="250"/>
      <c r="T290" s="250"/>
      <c r="U290" s="230"/>
      <c r="V290" s="256"/>
      <c r="W290" s="257"/>
      <c r="X290" s="230"/>
      <c r="Y290" s="230"/>
      <c r="Z290" s="230"/>
    </row>
    <row r="291" spans="1:26" ht="24.75" customHeight="1">
      <c r="A291" s="230"/>
      <c r="B291" s="230"/>
      <c r="C291" s="230"/>
      <c r="D291" s="230"/>
      <c r="E291" s="230"/>
      <c r="F291" s="230"/>
      <c r="G291" s="230"/>
      <c r="H291" s="230"/>
      <c r="I291" s="230"/>
      <c r="J291" s="230"/>
      <c r="K291" s="230"/>
      <c r="L291" s="242"/>
      <c r="M291" s="230"/>
      <c r="N291" s="230"/>
      <c r="O291" s="257"/>
      <c r="P291" s="230"/>
      <c r="Q291" s="242"/>
      <c r="R291" s="230"/>
      <c r="S291" s="250"/>
      <c r="T291" s="250"/>
      <c r="U291" s="230"/>
      <c r="V291" s="256"/>
      <c r="W291" s="257"/>
      <c r="X291" s="230"/>
      <c r="Y291" s="230"/>
      <c r="Z291" s="230"/>
    </row>
    <row r="292" spans="1:26" ht="24.75" customHeight="1">
      <c r="A292" s="230"/>
      <c r="B292" s="230"/>
      <c r="C292" s="230"/>
      <c r="D292" s="230"/>
      <c r="E292" s="230"/>
      <c r="F292" s="230"/>
      <c r="G292" s="230"/>
      <c r="H292" s="230"/>
      <c r="I292" s="230"/>
      <c r="J292" s="230"/>
      <c r="K292" s="230"/>
      <c r="L292" s="242"/>
      <c r="M292" s="230"/>
      <c r="N292" s="230"/>
      <c r="O292" s="257"/>
      <c r="P292" s="230"/>
      <c r="Q292" s="242"/>
      <c r="R292" s="230"/>
      <c r="S292" s="250"/>
      <c r="T292" s="250"/>
      <c r="U292" s="230"/>
      <c r="V292" s="256"/>
      <c r="W292" s="257"/>
      <c r="X292" s="230"/>
      <c r="Y292" s="230"/>
      <c r="Z292" s="230"/>
    </row>
    <row r="293" spans="1:26" ht="24.75" customHeight="1">
      <c r="A293" s="230"/>
      <c r="B293" s="230"/>
      <c r="C293" s="230"/>
      <c r="D293" s="230"/>
      <c r="E293" s="230"/>
      <c r="F293" s="230"/>
      <c r="G293" s="230"/>
      <c r="H293" s="230"/>
      <c r="I293" s="230"/>
      <c r="J293" s="230"/>
      <c r="K293" s="230"/>
      <c r="L293" s="242"/>
      <c r="M293" s="230"/>
      <c r="N293" s="230"/>
      <c r="O293" s="257"/>
      <c r="P293" s="230"/>
      <c r="Q293" s="242"/>
      <c r="R293" s="230"/>
      <c r="S293" s="250"/>
      <c r="T293" s="250"/>
      <c r="U293" s="230"/>
      <c r="V293" s="256"/>
      <c r="W293" s="257"/>
      <c r="X293" s="230"/>
      <c r="Y293" s="230"/>
      <c r="Z293" s="230"/>
    </row>
    <row r="294" spans="1:26" ht="24.75" customHeight="1">
      <c r="A294" s="230"/>
      <c r="B294" s="230"/>
      <c r="C294" s="230"/>
      <c r="D294" s="230"/>
      <c r="E294" s="230"/>
      <c r="F294" s="230"/>
      <c r="G294" s="230"/>
      <c r="H294" s="230"/>
      <c r="I294" s="230"/>
      <c r="J294" s="230"/>
      <c r="K294" s="230"/>
      <c r="L294" s="242"/>
      <c r="M294" s="230"/>
      <c r="N294" s="230"/>
      <c r="O294" s="257"/>
      <c r="P294" s="230"/>
      <c r="Q294" s="242"/>
      <c r="R294" s="230"/>
      <c r="S294" s="250"/>
      <c r="T294" s="250"/>
      <c r="U294" s="230"/>
      <c r="V294" s="256"/>
      <c r="W294" s="257"/>
      <c r="X294" s="230"/>
      <c r="Y294" s="230"/>
      <c r="Z294" s="230"/>
    </row>
    <row r="295" spans="1:26" ht="24.75" customHeight="1">
      <c r="A295" s="230"/>
      <c r="B295" s="230"/>
      <c r="C295" s="230"/>
      <c r="D295" s="230"/>
      <c r="E295" s="230"/>
      <c r="F295" s="230"/>
      <c r="G295" s="230"/>
      <c r="H295" s="230"/>
      <c r="I295" s="230"/>
      <c r="J295" s="230"/>
      <c r="K295" s="230"/>
      <c r="L295" s="242"/>
      <c r="M295" s="230"/>
      <c r="N295" s="230"/>
      <c r="O295" s="257"/>
      <c r="P295" s="230"/>
      <c r="Q295" s="242"/>
      <c r="R295" s="230"/>
      <c r="S295" s="250"/>
      <c r="T295" s="250"/>
      <c r="U295" s="230"/>
      <c r="V295" s="256"/>
      <c r="W295" s="257"/>
      <c r="X295" s="230"/>
      <c r="Y295" s="230"/>
      <c r="Z295" s="230"/>
    </row>
    <row r="296" spans="1:26" ht="24.75" customHeight="1">
      <c r="A296" s="230"/>
      <c r="B296" s="230"/>
      <c r="C296" s="230"/>
      <c r="D296" s="230"/>
      <c r="E296" s="230"/>
      <c r="F296" s="230"/>
      <c r="G296" s="230"/>
      <c r="H296" s="230"/>
      <c r="I296" s="230"/>
      <c r="J296" s="230"/>
      <c r="K296" s="230"/>
      <c r="L296" s="242"/>
      <c r="M296" s="230"/>
      <c r="N296" s="230"/>
      <c r="O296" s="257"/>
      <c r="P296" s="230"/>
      <c r="Q296" s="242"/>
      <c r="R296" s="230"/>
      <c r="S296" s="250"/>
      <c r="T296" s="250"/>
      <c r="U296" s="230"/>
      <c r="V296" s="256"/>
      <c r="W296" s="257"/>
      <c r="X296" s="230"/>
      <c r="Y296" s="230"/>
      <c r="Z296" s="230"/>
    </row>
    <row r="297" spans="1:26" ht="24.75" customHeight="1">
      <c r="A297" s="230"/>
      <c r="B297" s="230"/>
      <c r="C297" s="230"/>
      <c r="D297" s="230"/>
      <c r="E297" s="230"/>
      <c r="F297" s="230"/>
      <c r="G297" s="230"/>
      <c r="H297" s="230"/>
      <c r="I297" s="230"/>
      <c r="J297" s="230"/>
      <c r="K297" s="230"/>
      <c r="L297" s="242"/>
      <c r="M297" s="230"/>
      <c r="N297" s="230"/>
      <c r="O297" s="257"/>
      <c r="P297" s="230"/>
      <c r="Q297" s="242"/>
      <c r="R297" s="230"/>
      <c r="S297" s="250"/>
      <c r="T297" s="250"/>
      <c r="U297" s="230"/>
      <c r="V297" s="256"/>
      <c r="W297" s="257"/>
      <c r="X297" s="230"/>
      <c r="Y297" s="230"/>
      <c r="Z297" s="230"/>
    </row>
    <row r="298" spans="1:26" ht="24.75" customHeight="1">
      <c r="A298" s="230"/>
      <c r="B298" s="230"/>
      <c r="C298" s="230"/>
      <c r="D298" s="230"/>
      <c r="E298" s="230"/>
      <c r="F298" s="230"/>
      <c r="G298" s="230"/>
      <c r="H298" s="230"/>
      <c r="I298" s="230"/>
      <c r="J298" s="230"/>
      <c r="K298" s="230"/>
      <c r="L298" s="242"/>
      <c r="M298" s="230"/>
      <c r="N298" s="230"/>
      <c r="O298" s="257"/>
      <c r="P298" s="230"/>
      <c r="Q298" s="242"/>
      <c r="R298" s="230"/>
      <c r="S298" s="250"/>
      <c r="T298" s="250"/>
      <c r="U298" s="230"/>
      <c r="V298" s="256"/>
      <c r="W298" s="257"/>
      <c r="X298" s="230"/>
      <c r="Y298" s="230"/>
      <c r="Z298" s="230"/>
    </row>
    <row r="299" spans="1:26" ht="24.75" customHeight="1">
      <c r="A299" s="230"/>
      <c r="B299" s="230"/>
      <c r="C299" s="230"/>
      <c r="D299" s="230"/>
      <c r="E299" s="230"/>
      <c r="F299" s="230"/>
      <c r="G299" s="230"/>
      <c r="H299" s="230"/>
      <c r="I299" s="230"/>
      <c r="J299" s="230"/>
      <c r="K299" s="230"/>
      <c r="L299" s="242"/>
      <c r="M299" s="230"/>
      <c r="N299" s="230"/>
      <c r="O299" s="257"/>
      <c r="P299" s="230"/>
      <c r="Q299" s="242"/>
      <c r="R299" s="230"/>
      <c r="S299" s="250"/>
      <c r="T299" s="250"/>
      <c r="U299" s="230"/>
      <c r="V299" s="256"/>
      <c r="W299" s="257"/>
      <c r="X299" s="230"/>
      <c r="Y299" s="230"/>
      <c r="Z299" s="230"/>
    </row>
    <row r="300" spans="1:26" ht="24.75" customHeight="1">
      <c r="A300" s="230"/>
      <c r="B300" s="230"/>
      <c r="C300" s="230"/>
      <c r="D300" s="230"/>
      <c r="E300" s="230"/>
      <c r="F300" s="230"/>
      <c r="G300" s="230"/>
      <c r="H300" s="230"/>
      <c r="I300" s="230"/>
      <c r="J300" s="230"/>
      <c r="K300" s="230"/>
      <c r="L300" s="242"/>
      <c r="M300" s="230"/>
      <c r="N300" s="230"/>
      <c r="O300" s="257"/>
      <c r="P300" s="230"/>
      <c r="Q300" s="242"/>
      <c r="R300" s="230"/>
      <c r="S300" s="250"/>
      <c r="T300" s="250"/>
      <c r="U300" s="230"/>
      <c r="V300" s="256"/>
      <c r="W300" s="257"/>
      <c r="X300" s="230"/>
      <c r="Y300" s="230"/>
      <c r="Z300" s="230"/>
    </row>
    <row r="301" spans="1:26" ht="24.75" customHeight="1">
      <c r="A301" s="230"/>
      <c r="B301" s="230"/>
      <c r="C301" s="230"/>
      <c r="D301" s="230"/>
      <c r="E301" s="230"/>
      <c r="F301" s="230"/>
      <c r="G301" s="230"/>
      <c r="H301" s="230"/>
      <c r="I301" s="230"/>
      <c r="J301" s="230"/>
      <c r="K301" s="230"/>
      <c r="L301" s="242"/>
      <c r="M301" s="230"/>
      <c r="N301" s="230"/>
      <c r="O301" s="257"/>
      <c r="P301" s="230"/>
      <c r="Q301" s="242"/>
      <c r="R301" s="230"/>
      <c r="S301" s="250"/>
      <c r="T301" s="250"/>
      <c r="U301" s="230"/>
      <c r="V301" s="256"/>
      <c r="W301" s="257"/>
      <c r="X301" s="230"/>
      <c r="Y301" s="230"/>
      <c r="Z301" s="230"/>
    </row>
    <row r="302" spans="1:26" ht="24.75" customHeight="1">
      <c r="A302" s="230"/>
      <c r="B302" s="230"/>
      <c r="C302" s="230"/>
      <c r="D302" s="230"/>
      <c r="E302" s="230"/>
      <c r="F302" s="230"/>
      <c r="G302" s="230"/>
      <c r="H302" s="230"/>
      <c r="I302" s="230"/>
      <c r="J302" s="230"/>
      <c r="K302" s="230"/>
      <c r="L302" s="242"/>
      <c r="M302" s="230"/>
      <c r="N302" s="230"/>
      <c r="O302" s="257"/>
      <c r="P302" s="230"/>
      <c r="Q302" s="242"/>
      <c r="R302" s="230"/>
      <c r="S302" s="250"/>
      <c r="T302" s="250"/>
      <c r="U302" s="230"/>
      <c r="V302" s="256"/>
      <c r="W302" s="257"/>
      <c r="X302" s="230"/>
      <c r="Y302" s="230"/>
      <c r="Z302" s="230"/>
    </row>
    <row r="303" spans="1:26" ht="24.75" customHeight="1">
      <c r="A303" s="230"/>
      <c r="B303" s="230"/>
      <c r="C303" s="230"/>
      <c r="D303" s="230"/>
      <c r="E303" s="230"/>
      <c r="F303" s="230"/>
      <c r="G303" s="230"/>
      <c r="H303" s="230"/>
      <c r="I303" s="230"/>
      <c r="J303" s="230"/>
      <c r="K303" s="230"/>
      <c r="L303" s="242"/>
      <c r="M303" s="230"/>
      <c r="N303" s="230"/>
      <c r="O303" s="257"/>
      <c r="P303" s="230"/>
      <c r="Q303" s="242"/>
      <c r="R303" s="230"/>
      <c r="S303" s="250"/>
      <c r="T303" s="250"/>
      <c r="U303" s="230"/>
      <c r="V303" s="256"/>
      <c r="W303" s="257"/>
      <c r="X303" s="230"/>
      <c r="Y303" s="230"/>
      <c r="Z303" s="230"/>
    </row>
    <row r="304" spans="1:26" ht="24.75" customHeight="1">
      <c r="A304" s="230"/>
      <c r="B304" s="230"/>
      <c r="C304" s="230"/>
      <c r="D304" s="230"/>
      <c r="E304" s="230"/>
      <c r="F304" s="230"/>
      <c r="G304" s="230"/>
      <c r="H304" s="230"/>
      <c r="I304" s="230"/>
      <c r="J304" s="230"/>
      <c r="K304" s="230"/>
      <c r="L304" s="242"/>
      <c r="M304" s="230"/>
      <c r="N304" s="230"/>
      <c r="O304" s="257"/>
      <c r="P304" s="230"/>
      <c r="Q304" s="242"/>
      <c r="R304" s="230"/>
      <c r="S304" s="250"/>
      <c r="T304" s="250"/>
      <c r="U304" s="230"/>
      <c r="V304" s="256"/>
      <c r="W304" s="257"/>
      <c r="X304" s="230"/>
      <c r="Y304" s="230"/>
      <c r="Z304" s="230"/>
    </row>
    <row r="305" spans="1:26" ht="24.75" customHeight="1">
      <c r="A305" s="230"/>
      <c r="B305" s="230"/>
      <c r="C305" s="230"/>
      <c r="D305" s="230"/>
      <c r="E305" s="230"/>
      <c r="F305" s="230"/>
      <c r="G305" s="230"/>
      <c r="H305" s="230"/>
      <c r="I305" s="230"/>
      <c r="J305" s="230"/>
      <c r="K305" s="230"/>
      <c r="L305" s="242"/>
      <c r="M305" s="230"/>
      <c r="N305" s="230"/>
      <c r="O305" s="257"/>
      <c r="P305" s="230"/>
      <c r="Q305" s="242"/>
      <c r="R305" s="230"/>
      <c r="S305" s="250"/>
      <c r="T305" s="250"/>
      <c r="U305" s="230"/>
      <c r="V305" s="256"/>
      <c r="W305" s="257"/>
      <c r="X305" s="230"/>
      <c r="Y305" s="230"/>
      <c r="Z305" s="230"/>
    </row>
    <row r="306" spans="1:26" ht="24.75" customHeight="1">
      <c r="A306" s="230"/>
      <c r="B306" s="230"/>
      <c r="C306" s="230"/>
      <c r="D306" s="230"/>
      <c r="E306" s="230"/>
      <c r="F306" s="230"/>
      <c r="G306" s="230"/>
      <c r="H306" s="230"/>
      <c r="I306" s="230"/>
      <c r="J306" s="230"/>
      <c r="K306" s="230"/>
      <c r="L306" s="242"/>
      <c r="M306" s="230"/>
      <c r="N306" s="230"/>
      <c r="O306" s="257"/>
      <c r="P306" s="230"/>
      <c r="Q306" s="242"/>
      <c r="R306" s="230"/>
      <c r="S306" s="250"/>
      <c r="T306" s="250"/>
      <c r="U306" s="230"/>
      <c r="V306" s="256"/>
      <c r="W306" s="257"/>
      <c r="X306" s="230"/>
      <c r="Y306" s="230"/>
      <c r="Z306" s="230"/>
    </row>
    <row r="307" spans="1:26" ht="24.75" customHeight="1">
      <c r="A307" s="230"/>
      <c r="B307" s="230"/>
      <c r="C307" s="230"/>
      <c r="D307" s="230"/>
      <c r="E307" s="230"/>
      <c r="F307" s="230"/>
      <c r="G307" s="230"/>
      <c r="H307" s="230"/>
      <c r="I307" s="230"/>
      <c r="J307" s="230"/>
      <c r="K307" s="230"/>
      <c r="L307" s="242"/>
      <c r="M307" s="230"/>
      <c r="N307" s="230"/>
      <c r="O307" s="257"/>
      <c r="P307" s="230"/>
      <c r="Q307" s="242"/>
      <c r="R307" s="230"/>
      <c r="S307" s="250"/>
      <c r="T307" s="250"/>
      <c r="U307" s="230"/>
      <c r="V307" s="256"/>
      <c r="W307" s="257"/>
      <c r="X307" s="230"/>
      <c r="Y307" s="230"/>
      <c r="Z307" s="230"/>
    </row>
    <row r="308" spans="1:26" ht="24.75" customHeight="1">
      <c r="A308" s="230"/>
      <c r="B308" s="230"/>
      <c r="C308" s="230"/>
      <c r="D308" s="230"/>
      <c r="E308" s="230"/>
      <c r="F308" s="230"/>
      <c r="G308" s="230"/>
      <c r="H308" s="230"/>
      <c r="I308" s="230"/>
      <c r="J308" s="230"/>
      <c r="K308" s="230"/>
      <c r="L308" s="242"/>
      <c r="M308" s="230"/>
      <c r="N308" s="230"/>
      <c r="O308" s="257"/>
      <c r="P308" s="230"/>
      <c r="Q308" s="242"/>
      <c r="R308" s="230"/>
      <c r="S308" s="250"/>
      <c r="T308" s="250"/>
      <c r="U308" s="230"/>
      <c r="V308" s="256"/>
      <c r="W308" s="257"/>
      <c r="X308" s="230"/>
      <c r="Y308" s="230"/>
      <c r="Z308" s="230"/>
    </row>
    <row r="309" spans="1:26" ht="24.75" customHeight="1">
      <c r="A309" s="230"/>
      <c r="B309" s="230"/>
      <c r="C309" s="230"/>
      <c r="D309" s="230"/>
      <c r="E309" s="230"/>
      <c r="F309" s="230"/>
      <c r="G309" s="230"/>
      <c r="H309" s="230"/>
      <c r="I309" s="230"/>
      <c r="J309" s="230"/>
      <c r="K309" s="230"/>
      <c r="L309" s="242"/>
      <c r="M309" s="230"/>
      <c r="N309" s="230"/>
      <c r="O309" s="257"/>
      <c r="P309" s="230"/>
      <c r="Q309" s="242"/>
      <c r="R309" s="230"/>
      <c r="S309" s="250"/>
      <c r="T309" s="250"/>
      <c r="U309" s="230"/>
      <c r="V309" s="256"/>
      <c r="W309" s="257"/>
      <c r="X309" s="230"/>
      <c r="Y309" s="230"/>
      <c r="Z309" s="230"/>
    </row>
    <row r="310" spans="1:26" ht="24.75" customHeight="1">
      <c r="A310" s="230"/>
      <c r="B310" s="230"/>
      <c r="C310" s="230"/>
      <c r="D310" s="230"/>
      <c r="E310" s="230"/>
      <c r="F310" s="230"/>
      <c r="G310" s="230"/>
      <c r="H310" s="230"/>
      <c r="I310" s="230"/>
      <c r="J310" s="230"/>
      <c r="K310" s="230"/>
      <c r="L310" s="242"/>
      <c r="M310" s="230"/>
      <c r="N310" s="230"/>
      <c r="O310" s="257"/>
      <c r="P310" s="230"/>
      <c r="Q310" s="242"/>
      <c r="R310" s="230"/>
      <c r="S310" s="250"/>
      <c r="T310" s="250"/>
      <c r="U310" s="230"/>
      <c r="V310" s="256"/>
      <c r="W310" s="257"/>
      <c r="X310" s="230"/>
      <c r="Y310" s="230"/>
      <c r="Z310" s="230"/>
    </row>
    <row r="311" spans="1:26" ht="24.75" customHeight="1">
      <c r="A311" s="230"/>
      <c r="B311" s="230"/>
      <c r="C311" s="230"/>
      <c r="D311" s="230"/>
      <c r="E311" s="230"/>
      <c r="F311" s="230"/>
      <c r="G311" s="230"/>
      <c r="H311" s="230"/>
      <c r="I311" s="230"/>
      <c r="J311" s="230"/>
      <c r="K311" s="230"/>
      <c r="L311" s="242"/>
      <c r="M311" s="230"/>
      <c r="N311" s="230"/>
      <c r="O311" s="257"/>
      <c r="P311" s="230"/>
      <c r="Q311" s="242"/>
      <c r="R311" s="230"/>
      <c r="S311" s="250"/>
      <c r="T311" s="250"/>
      <c r="U311" s="230"/>
      <c r="V311" s="256"/>
      <c r="W311" s="257"/>
      <c r="X311" s="230"/>
      <c r="Y311" s="230"/>
      <c r="Z311" s="230"/>
    </row>
    <row r="312" spans="1:26" ht="24.75" customHeight="1">
      <c r="A312" s="230"/>
      <c r="B312" s="230"/>
      <c r="C312" s="230"/>
      <c r="D312" s="230"/>
      <c r="E312" s="230"/>
      <c r="F312" s="230"/>
      <c r="G312" s="230"/>
      <c r="H312" s="230"/>
      <c r="I312" s="230"/>
      <c r="J312" s="230"/>
      <c r="K312" s="230"/>
      <c r="L312" s="242"/>
      <c r="M312" s="230"/>
      <c r="N312" s="230"/>
      <c r="O312" s="257"/>
      <c r="P312" s="230"/>
      <c r="Q312" s="242"/>
      <c r="R312" s="230"/>
      <c r="S312" s="250"/>
      <c r="T312" s="250"/>
      <c r="U312" s="230"/>
      <c r="V312" s="256"/>
      <c r="W312" s="257"/>
      <c r="X312" s="230"/>
      <c r="Y312" s="230"/>
      <c r="Z312" s="230"/>
    </row>
    <row r="313" spans="1:26" ht="24.75" customHeight="1">
      <c r="A313" s="230"/>
      <c r="B313" s="230"/>
      <c r="C313" s="230"/>
      <c r="D313" s="230"/>
      <c r="E313" s="230"/>
      <c r="F313" s="230"/>
      <c r="G313" s="230"/>
      <c r="H313" s="230"/>
      <c r="I313" s="230"/>
      <c r="J313" s="230"/>
      <c r="K313" s="230"/>
      <c r="L313" s="242"/>
      <c r="M313" s="230"/>
      <c r="N313" s="230"/>
      <c r="O313" s="257"/>
      <c r="P313" s="230"/>
      <c r="Q313" s="242"/>
      <c r="R313" s="230"/>
      <c r="S313" s="250"/>
      <c r="T313" s="250"/>
      <c r="U313" s="230"/>
      <c r="V313" s="256"/>
      <c r="W313" s="257"/>
      <c r="X313" s="230"/>
      <c r="Y313" s="230"/>
      <c r="Z313" s="230"/>
    </row>
    <row r="314" spans="1:26" ht="24.75" customHeight="1">
      <c r="A314" s="230"/>
      <c r="B314" s="230"/>
      <c r="C314" s="230"/>
      <c r="D314" s="230"/>
      <c r="E314" s="230"/>
      <c r="F314" s="230"/>
      <c r="G314" s="230"/>
      <c r="H314" s="230"/>
      <c r="I314" s="230"/>
      <c r="J314" s="230"/>
      <c r="K314" s="230"/>
      <c r="L314" s="242"/>
      <c r="M314" s="230"/>
      <c r="N314" s="230"/>
      <c r="O314" s="257"/>
      <c r="P314" s="230"/>
      <c r="Q314" s="242"/>
      <c r="R314" s="230"/>
      <c r="S314" s="250"/>
      <c r="T314" s="250"/>
      <c r="U314" s="230"/>
      <c r="V314" s="256"/>
      <c r="W314" s="257"/>
      <c r="X314" s="230"/>
      <c r="Y314" s="230"/>
      <c r="Z314" s="230"/>
    </row>
    <row r="315" spans="1:26" ht="24.75" customHeight="1">
      <c r="A315" s="230"/>
      <c r="B315" s="230"/>
      <c r="C315" s="230"/>
      <c r="D315" s="230"/>
      <c r="E315" s="230"/>
      <c r="F315" s="230"/>
      <c r="G315" s="230"/>
      <c r="H315" s="230"/>
      <c r="I315" s="230"/>
      <c r="J315" s="230"/>
      <c r="K315" s="230"/>
      <c r="L315" s="242"/>
      <c r="M315" s="230"/>
      <c r="N315" s="230"/>
      <c r="O315" s="257"/>
      <c r="P315" s="230"/>
      <c r="Q315" s="242"/>
      <c r="R315" s="230"/>
      <c r="S315" s="250"/>
      <c r="T315" s="250"/>
      <c r="U315" s="230"/>
      <c r="V315" s="256"/>
      <c r="W315" s="257"/>
      <c r="X315" s="230"/>
      <c r="Y315" s="230"/>
      <c r="Z315" s="230"/>
    </row>
    <row r="316" spans="1:26" ht="24.75" customHeight="1">
      <c r="A316" s="230"/>
      <c r="B316" s="230"/>
      <c r="C316" s="230"/>
      <c r="D316" s="230"/>
      <c r="E316" s="230"/>
      <c r="F316" s="230"/>
      <c r="G316" s="230"/>
      <c r="H316" s="230"/>
      <c r="I316" s="230"/>
      <c r="J316" s="230"/>
      <c r="K316" s="230"/>
      <c r="L316" s="242"/>
      <c r="M316" s="230"/>
      <c r="N316" s="230"/>
      <c r="O316" s="257"/>
      <c r="P316" s="230"/>
      <c r="Q316" s="242"/>
      <c r="R316" s="230"/>
      <c r="S316" s="250"/>
      <c r="T316" s="250"/>
      <c r="U316" s="230"/>
      <c r="V316" s="256"/>
      <c r="W316" s="257"/>
      <c r="X316" s="230"/>
      <c r="Y316" s="230"/>
      <c r="Z316" s="230"/>
    </row>
    <row r="317" spans="1:26" ht="24.75" customHeight="1">
      <c r="A317" s="230"/>
      <c r="B317" s="230"/>
      <c r="C317" s="230"/>
      <c r="D317" s="230"/>
      <c r="E317" s="230"/>
      <c r="F317" s="230"/>
      <c r="G317" s="230"/>
      <c r="H317" s="230"/>
      <c r="I317" s="230"/>
      <c r="J317" s="230"/>
      <c r="K317" s="230"/>
      <c r="L317" s="242"/>
      <c r="M317" s="230"/>
      <c r="N317" s="230"/>
      <c r="O317" s="257"/>
      <c r="P317" s="230"/>
      <c r="Q317" s="242"/>
      <c r="R317" s="230"/>
      <c r="S317" s="250"/>
      <c r="T317" s="250"/>
      <c r="U317" s="230"/>
      <c r="V317" s="256"/>
      <c r="W317" s="257"/>
      <c r="X317" s="230"/>
      <c r="Y317" s="230"/>
      <c r="Z317" s="230"/>
    </row>
    <row r="318" spans="1:26" ht="24.75" customHeight="1">
      <c r="A318" s="230"/>
      <c r="B318" s="230"/>
      <c r="C318" s="230"/>
      <c r="D318" s="230"/>
      <c r="E318" s="230"/>
      <c r="F318" s="230"/>
      <c r="G318" s="230"/>
      <c r="H318" s="230"/>
      <c r="I318" s="230"/>
      <c r="J318" s="230"/>
      <c r="K318" s="230"/>
      <c r="L318" s="242"/>
      <c r="M318" s="230"/>
      <c r="N318" s="230"/>
      <c r="O318" s="257"/>
      <c r="P318" s="230"/>
      <c r="Q318" s="242"/>
      <c r="R318" s="230"/>
      <c r="S318" s="250"/>
      <c r="T318" s="250"/>
      <c r="U318" s="230"/>
      <c r="V318" s="256"/>
      <c r="W318" s="257"/>
      <c r="X318" s="230"/>
      <c r="Y318" s="230"/>
      <c r="Z318" s="230"/>
    </row>
    <row r="319" spans="1:26" ht="24.75" customHeight="1">
      <c r="A319" s="230"/>
      <c r="B319" s="230"/>
      <c r="C319" s="230"/>
      <c r="D319" s="230"/>
      <c r="E319" s="230"/>
      <c r="F319" s="230"/>
      <c r="G319" s="230"/>
      <c r="H319" s="230"/>
      <c r="I319" s="230"/>
      <c r="J319" s="230"/>
      <c r="K319" s="230"/>
      <c r="L319" s="242"/>
      <c r="M319" s="230"/>
      <c r="N319" s="230"/>
      <c r="O319" s="257"/>
      <c r="P319" s="230"/>
      <c r="Q319" s="242"/>
      <c r="R319" s="230"/>
      <c r="S319" s="250"/>
      <c r="T319" s="250"/>
      <c r="U319" s="248"/>
      <c r="V319" s="253"/>
      <c r="W319" s="254"/>
      <c r="X319" s="248"/>
      <c r="Y319" s="248"/>
      <c r="Z319" s="248"/>
    </row>
    <row r="320" spans="1:26" ht="24.75" customHeight="1">
      <c r="A320" s="230"/>
      <c r="B320" s="230"/>
      <c r="C320" s="230"/>
      <c r="D320" s="230"/>
      <c r="E320" s="230"/>
      <c r="F320" s="230"/>
      <c r="G320" s="230"/>
      <c r="H320" s="230"/>
      <c r="I320" s="230"/>
      <c r="J320" s="230"/>
      <c r="K320" s="230"/>
      <c r="L320" s="242"/>
      <c r="M320" s="230"/>
      <c r="N320" s="230"/>
      <c r="O320" s="257"/>
      <c r="P320" s="230"/>
      <c r="Q320" s="242"/>
      <c r="R320" s="230"/>
      <c r="S320" s="250"/>
      <c r="T320" s="250"/>
      <c r="U320" s="248"/>
      <c r="V320" s="253"/>
      <c r="W320" s="254"/>
      <c r="X320" s="248"/>
      <c r="Y320" s="248"/>
      <c r="Z320" s="248"/>
    </row>
    <row r="321" spans="1:26" ht="24.75" customHeight="1">
      <c r="A321" s="230"/>
      <c r="B321" s="230"/>
      <c r="C321" s="230"/>
      <c r="D321" s="230"/>
      <c r="E321" s="230"/>
      <c r="F321" s="230"/>
      <c r="G321" s="230"/>
      <c r="H321" s="230"/>
      <c r="I321" s="230"/>
      <c r="J321" s="230"/>
      <c r="K321" s="230"/>
      <c r="L321" s="242"/>
      <c r="M321" s="230"/>
      <c r="N321" s="230"/>
      <c r="O321" s="257"/>
      <c r="P321" s="230"/>
      <c r="Q321" s="242"/>
      <c r="R321" s="230"/>
      <c r="S321" s="250"/>
      <c r="T321" s="250"/>
      <c r="U321" s="248"/>
      <c r="V321" s="253"/>
      <c r="W321" s="254"/>
      <c r="X321" s="248"/>
      <c r="Y321" s="248"/>
      <c r="Z321" s="248"/>
    </row>
    <row r="322" spans="1:26" ht="24.75" customHeight="1">
      <c r="A322" s="230"/>
      <c r="B322" s="230"/>
      <c r="C322" s="230"/>
      <c r="D322" s="230"/>
      <c r="E322" s="230"/>
      <c r="F322" s="230"/>
      <c r="G322" s="230"/>
      <c r="H322" s="230"/>
      <c r="I322" s="230"/>
      <c r="J322" s="230"/>
      <c r="K322" s="230"/>
      <c r="L322" s="242"/>
      <c r="M322" s="230"/>
      <c r="N322" s="230"/>
      <c r="O322" s="257"/>
      <c r="P322" s="230"/>
      <c r="Q322" s="242"/>
      <c r="R322" s="230"/>
      <c r="S322" s="250"/>
      <c r="T322" s="250"/>
      <c r="U322" s="248"/>
      <c r="V322" s="253"/>
      <c r="W322" s="254"/>
      <c r="X322" s="248"/>
      <c r="Y322" s="248"/>
      <c r="Z322" s="248"/>
    </row>
    <row r="323" spans="1:26" ht="24.75" customHeight="1">
      <c r="A323" s="230"/>
      <c r="B323" s="230"/>
      <c r="C323" s="230"/>
      <c r="D323" s="230"/>
      <c r="E323" s="230"/>
      <c r="F323" s="230"/>
      <c r="G323" s="230"/>
      <c r="H323" s="230"/>
      <c r="I323" s="230"/>
      <c r="J323" s="230"/>
      <c r="K323" s="230"/>
      <c r="L323" s="242"/>
      <c r="M323" s="230"/>
      <c r="N323" s="230"/>
      <c r="O323" s="257"/>
      <c r="P323" s="230"/>
      <c r="Q323" s="242"/>
      <c r="R323" s="230"/>
      <c r="S323" s="250"/>
      <c r="T323" s="250"/>
      <c r="U323" s="248"/>
      <c r="V323" s="253"/>
      <c r="W323" s="254"/>
      <c r="X323" s="248"/>
      <c r="Y323" s="248"/>
      <c r="Z323" s="248"/>
    </row>
    <row r="324" spans="1:26" ht="24.75" customHeight="1">
      <c r="A324" s="230"/>
      <c r="B324" s="230"/>
      <c r="C324" s="230"/>
      <c r="D324" s="230"/>
      <c r="E324" s="230"/>
      <c r="F324" s="230"/>
      <c r="G324" s="230"/>
      <c r="H324" s="230"/>
      <c r="I324" s="230"/>
      <c r="J324" s="230"/>
      <c r="K324" s="230"/>
      <c r="L324" s="242"/>
      <c r="M324" s="230"/>
      <c r="N324" s="230"/>
      <c r="O324" s="257"/>
      <c r="P324" s="230"/>
      <c r="Q324" s="242"/>
      <c r="R324" s="230"/>
      <c r="S324" s="250"/>
      <c r="T324" s="250"/>
      <c r="U324" s="248"/>
      <c r="V324" s="253"/>
      <c r="W324" s="254"/>
      <c r="X324" s="248"/>
      <c r="Y324" s="248"/>
      <c r="Z324" s="248"/>
    </row>
    <row r="325" spans="1:26" ht="24.75" customHeight="1">
      <c r="A325" s="230"/>
      <c r="B325" s="230"/>
      <c r="C325" s="230"/>
      <c r="D325" s="230"/>
      <c r="E325" s="230"/>
      <c r="F325" s="230"/>
      <c r="G325" s="230"/>
      <c r="H325" s="230"/>
      <c r="I325" s="230"/>
      <c r="J325" s="230"/>
      <c r="K325" s="230"/>
      <c r="L325" s="242"/>
      <c r="M325" s="230"/>
      <c r="N325" s="230"/>
      <c r="O325" s="257"/>
      <c r="P325" s="230"/>
      <c r="Q325" s="242"/>
      <c r="R325" s="230"/>
      <c r="S325" s="250"/>
      <c r="T325" s="250"/>
      <c r="U325" s="248"/>
      <c r="V325" s="253"/>
      <c r="W325" s="254"/>
      <c r="X325" s="248"/>
      <c r="Y325" s="248"/>
      <c r="Z325" s="248"/>
    </row>
    <row r="326" spans="1:26" ht="24.75" customHeight="1">
      <c r="A326" s="230"/>
      <c r="B326" s="230"/>
      <c r="C326" s="230"/>
      <c r="D326" s="230"/>
      <c r="E326" s="230"/>
      <c r="F326" s="230"/>
      <c r="G326" s="230"/>
      <c r="H326" s="230"/>
      <c r="I326" s="230"/>
      <c r="J326" s="230"/>
      <c r="K326" s="230"/>
      <c r="L326" s="242"/>
      <c r="M326" s="230"/>
      <c r="N326" s="230"/>
      <c r="O326" s="257"/>
      <c r="P326" s="230"/>
      <c r="Q326" s="242"/>
      <c r="R326" s="230"/>
      <c r="S326" s="250"/>
      <c r="T326" s="250"/>
      <c r="U326" s="248"/>
      <c r="V326" s="253"/>
      <c r="W326" s="254"/>
      <c r="X326" s="248"/>
      <c r="Y326" s="248"/>
      <c r="Z326" s="248"/>
    </row>
    <row r="327" spans="1:26" ht="24.75" customHeight="1">
      <c r="A327" s="230"/>
      <c r="B327" s="230"/>
      <c r="C327" s="230"/>
      <c r="D327" s="230"/>
      <c r="E327" s="230"/>
      <c r="F327" s="230"/>
      <c r="G327" s="230"/>
      <c r="H327" s="230"/>
      <c r="I327" s="230"/>
      <c r="J327" s="230"/>
      <c r="K327" s="230"/>
      <c r="L327" s="242"/>
      <c r="M327" s="230"/>
      <c r="N327" s="230"/>
      <c r="O327" s="257"/>
      <c r="P327" s="230"/>
      <c r="Q327" s="242"/>
      <c r="R327" s="230"/>
      <c r="S327" s="250"/>
      <c r="T327" s="250"/>
      <c r="U327" s="248"/>
      <c r="V327" s="253"/>
      <c r="W327" s="254"/>
      <c r="X327" s="248"/>
      <c r="Y327" s="248"/>
      <c r="Z327" s="248"/>
    </row>
    <row r="328" spans="1:26" ht="24.75" customHeight="1">
      <c r="A328" s="230"/>
      <c r="B328" s="230"/>
      <c r="C328" s="230"/>
      <c r="D328" s="230"/>
      <c r="E328" s="230"/>
      <c r="F328" s="230"/>
      <c r="G328" s="230"/>
      <c r="H328" s="230"/>
      <c r="I328" s="230"/>
      <c r="J328" s="230"/>
      <c r="K328" s="230"/>
      <c r="L328" s="242"/>
      <c r="M328" s="230"/>
      <c r="N328" s="230"/>
      <c r="O328" s="257"/>
      <c r="P328" s="230"/>
      <c r="Q328" s="242"/>
      <c r="R328" s="230"/>
      <c r="S328" s="250"/>
      <c r="T328" s="250"/>
      <c r="U328" s="248"/>
      <c r="V328" s="253"/>
      <c r="W328" s="254"/>
      <c r="X328" s="248"/>
      <c r="Y328" s="248"/>
      <c r="Z328" s="248"/>
    </row>
    <row r="329" spans="1:26" ht="24.75" customHeight="1">
      <c r="A329" s="230"/>
      <c r="B329" s="230"/>
      <c r="C329" s="230"/>
      <c r="D329" s="230"/>
      <c r="E329" s="230"/>
      <c r="F329" s="230"/>
      <c r="G329" s="230"/>
      <c r="H329" s="230"/>
      <c r="I329" s="230"/>
      <c r="J329" s="230"/>
      <c r="K329" s="230"/>
      <c r="L329" s="242"/>
      <c r="M329" s="230"/>
      <c r="N329" s="230"/>
      <c r="O329" s="257"/>
      <c r="P329" s="230"/>
      <c r="Q329" s="242"/>
      <c r="R329" s="230"/>
      <c r="S329" s="250"/>
      <c r="T329" s="250"/>
      <c r="U329" s="248"/>
      <c r="V329" s="253"/>
      <c r="W329" s="254"/>
      <c r="X329" s="248"/>
      <c r="Y329" s="248"/>
      <c r="Z329" s="248"/>
    </row>
    <row r="330" spans="1:26" ht="24.75" customHeight="1">
      <c r="A330" s="230"/>
      <c r="B330" s="230"/>
      <c r="C330" s="230"/>
      <c r="D330" s="230"/>
      <c r="E330" s="230"/>
      <c r="F330" s="230"/>
      <c r="G330" s="230"/>
      <c r="H330" s="230"/>
      <c r="I330" s="230"/>
      <c r="J330" s="230"/>
      <c r="K330" s="230"/>
      <c r="L330" s="242"/>
      <c r="M330" s="230"/>
      <c r="N330" s="230"/>
      <c r="O330" s="257"/>
      <c r="P330" s="230"/>
      <c r="Q330" s="242"/>
      <c r="R330" s="230"/>
      <c r="S330" s="250"/>
      <c r="T330" s="250"/>
      <c r="U330" s="230"/>
      <c r="V330" s="256"/>
      <c r="W330" s="257"/>
      <c r="X330" s="230"/>
      <c r="Y330" s="230"/>
      <c r="Z330" s="230"/>
    </row>
    <row r="331" spans="1:26" ht="24.75" customHeight="1">
      <c r="A331" s="230"/>
      <c r="B331" s="230"/>
      <c r="C331" s="230"/>
      <c r="D331" s="230"/>
      <c r="E331" s="230"/>
      <c r="F331" s="230"/>
      <c r="G331" s="230"/>
      <c r="H331" s="230"/>
      <c r="I331" s="230"/>
      <c r="J331" s="230"/>
      <c r="K331" s="230"/>
      <c r="L331" s="242"/>
      <c r="M331" s="230"/>
      <c r="N331" s="230"/>
      <c r="O331" s="257"/>
      <c r="P331" s="230"/>
      <c r="Q331" s="242"/>
      <c r="R331" s="230"/>
      <c r="S331" s="250"/>
      <c r="T331" s="250"/>
      <c r="U331" s="292"/>
      <c r="V331" s="293"/>
      <c r="W331" s="294"/>
      <c r="X331" s="292"/>
      <c r="Y331" s="292"/>
      <c r="Z331" s="292"/>
    </row>
    <row r="332" spans="1:26" ht="24.75" customHeight="1">
      <c r="A332" s="230"/>
      <c r="B332" s="230"/>
      <c r="C332" s="230"/>
      <c r="D332" s="230"/>
      <c r="E332" s="230"/>
      <c r="F332" s="230"/>
      <c r="G332" s="230"/>
      <c r="H332" s="230"/>
      <c r="I332" s="230"/>
      <c r="J332" s="230"/>
      <c r="K332" s="230"/>
      <c r="L332" s="242"/>
      <c r="M332" s="230"/>
      <c r="N332" s="230"/>
      <c r="O332" s="257"/>
      <c r="P332" s="230"/>
      <c r="Q332" s="242"/>
      <c r="R332" s="230"/>
      <c r="S332" s="250"/>
      <c r="T332" s="250"/>
      <c r="U332" s="292"/>
      <c r="V332" s="293"/>
      <c r="W332" s="294"/>
      <c r="X332" s="292"/>
      <c r="Y332" s="292"/>
      <c r="Z332" s="292"/>
    </row>
    <row r="333" spans="1:26" ht="24.75" customHeight="1">
      <c r="A333" s="230"/>
      <c r="B333" s="230"/>
      <c r="C333" s="230"/>
      <c r="D333" s="230"/>
      <c r="E333" s="230"/>
      <c r="F333" s="230"/>
      <c r="G333" s="230"/>
      <c r="H333" s="230"/>
      <c r="I333" s="230"/>
      <c r="J333" s="230"/>
      <c r="K333" s="230"/>
      <c r="L333" s="242"/>
      <c r="M333" s="230"/>
      <c r="N333" s="230"/>
      <c r="O333" s="257"/>
      <c r="P333" s="230"/>
      <c r="Q333" s="242"/>
      <c r="R333" s="230"/>
      <c r="S333" s="250"/>
      <c r="T333" s="250"/>
      <c r="U333" s="230"/>
      <c r="V333" s="256"/>
      <c r="W333" s="257"/>
      <c r="X333" s="230"/>
      <c r="Y333" s="230"/>
      <c r="Z333" s="230"/>
    </row>
    <row r="334" spans="1:26" ht="24.75" customHeight="1">
      <c r="A334" s="230"/>
      <c r="B334" s="230"/>
      <c r="C334" s="230"/>
      <c r="D334" s="230"/>
      <c r="E334" s="230"/>
      <c r="F334" s="230"/>
      <c r="G334" s="230"/>
      <c r="H334" s="230"/>
      <c r="I334" s="230"/>
      <c r="J334" s="230"/>
      <c r="K334" s="230"/>
      <c r="L334" s="242"/>
      <c r="M334" s="230"/>
      <c r="N334" s="230"/>
      <c r="O334" s="257"/>
      <c r="P334" s="230"/>
      <c r="Q334" s="242"/>
      <c r="R334" s="230"/>
      <c r="S334" s="250"/>
      <c r="T334" s="250"/>
      <c r="U334" s="230"/>
      <c r="V334" s="256"/>
      <c r="W334" s="257"/>
      <c r="X334" s="230"/>
      <c r="Y334" s="230"/>
      <c r="Z334" s="230"/>
    </row>
    <row r="335" spans="1:26" ht="24.75" customHeight="1">
      <c r="A335" s="230"/>
      <c r="B335" s="230"/>
      <c r="C335" s="230"/>
      <c r="D335" s="230"/>
      <c r="E335" s="230"/>
      <c r="F335" s="230"/>
      <c r="G335" s="230"/>
      <c r="H335" s="230"/>
      <c r="I335" s="230"/>
      <c r="J335" s="230"/>
      <c r="K335" s="230"/>
      <c r="L335" s="242"/>
      <c r="M335" s="230"/>
      <c r="N335" s="230"/>
      <c r="O335" s="257"/>
      <c r="P335" s="230"/>
      <c r="Q335" s="242"/>
      <c r="R335" s="230"/>
      <c r="S335" s="250"/>
      <c r="T335" s="250"/>
      <c r="U335" s="230"/>
      <c r="V335" s="256"/>
      <c r="W335" s="257"/>
      <c r="X335" s="230"/>
      <c r="Y335" s="230"/>
      <c r="Z335" s="230"/>
    </row>
    <row r="336" spans="1:26" ht="24.75" customHeight="1">
      <c r="A336" s="230"/>
      <c r="B336" s="230"/>
      <c r="C336" s="230"/>
      <c r="D336" s="230"/>
      <c r="E336" s="230"/>
      <c r="F336" s="230"/>
      <c r="G336" s="230"/>
      <c r="H336" s="230"/>
      <c r="I336" s="230"/>
      <c r="J336" s="230"/>
      <c r="K336" s="230"/>
      <c r="L336" s="242"/>
      <c r="M336" s="230"/>
      <c r="N336" s="230"/>
      <c r="O336" s="257"/>
      <c r="P336" s="230"/>
      <c r="Q336" s="242"/>
      <c r="R336" s="230"/>
      <c r="S336" s="250"/>
      <c r="T336" s="250"/>
      <c r="U336" s="230"/>
      <c r="V336" s="256"/>
      <c r="W336" s="257"/>
      <c r="X336" s="230"/>
      <c r="Y336" s="230"/>
      <c r="Z336" s="230"/>
    </row>
    <row r="337" spans="1:26" ht="24.75" customHeight="1">
      <c r="A337" s="230"/>
      <c r="B337" s="230"/>
      <c r="C337" s="230"/>
      <c r="D337" s="230"/>
      <c r="E337" s="230"/>
      <c r="F337" s="230"/>
      <c r="G337" s="230"/>
      <c r="H337" s="230"/>
      <c r="I337" s="230"/>
      <c r="J337" s="230"/>
      <c r="K337" s="230"/>
      <c r="L337" s="242"/>
      <c r="M337" s="230"/>
      <c r="N337" s="230"/>
      <c r="O337" s="257"/>
      <c r="P337" s="230"/>
      <c r="Q337" s="242"/>
      <c r="R337" s="230"/>
      <c r="S337" s="250"/>
      <c r="T337" s="250"/>
      <c r="U337" s="230"/>
      <c r="V337" s="256"/>
      <c r="W337" s="257"/>
      <c r="X337" s="230"/>
      <c r="Y337" s="230"/>
      <c r="Z337" s="230"/>
    </row>
    <row r="338" spans="1:26" ht="24.75" customHeight="1">
      <c r="A338" s="230"/>
      <c r="B338" s="230"/>
      <c r="C338" s="230"/>
      <c r="D338" s="230"/>
      <c r="E338" s="230"/>
      <c r="F338" s="230"/>
      <c r="G338" s="230"/>
      <c r="H338" s="230"/>
      <c r="I338" s="230"/>
      <c r="J338" s="230"/>
      <c r="K338" s="230"/>
      <c r="L338" s="242"/>
      <c r="M338" s="230"/>
      <c r="N338" s="230"/>
      <c r="O338" s="257"/>
      <c r="P338" s="230"/>
      <c r="Q338" s="242"/>
      <c r="R338" s="230"/>
      <c r="S338" s="250"/>
      <c r="T338" s="250"/>
      <c r="U338" s="230"/>
      <c r="V338" s="256"/>
      <c r="W338" s="257"/>
      <c r="X338" s="230"/>
      <c r="Y338" s="230"/>
      <c r="Z338" s="230"/>
    </row>
    <row r="339" spans="1:26" ht="24.75" customHeight="1">
      <c r="A339" s="230"/>
      <c r="B339" s="230"/>
      <c r="C339" s="230"/>
      <c r="D339" s="230"/>
      <c r="E339" s="230"/>
      <c r="F339" s="230"/>
      <c r="G339" s="230"/>
      <c r="H339" s="230"/>
      <c r="I339" s="230"/>
      <c r="J339" s="230"/>
      <c r="K339" s="230"/>
      <c r="L339" s="242"/>
      <c r="M339" s="230"/>
      <c r="N339" s="230"/>
      <c r="O339" s="257"/>
      <c r="P339" s="230"/>
      <c r="Q339" s="242"/>
      <c r="R339" s="230"/>
      <c r="S339" s="250"/>
      <c r="T339" s="250"/>
      <c r="U339" s="230"/>
      <c r="V339" s="256"/>
      <c r="W339" s="257"/>
      <c r="X339" s="230"/>
      <c r="Y339" s="230"/>
      <c r="Z339" s="230"/>
    </row>
    <row r="340" spans="1:26" ht="24.75" customHeight="1">
      <c r="A340" s="230"/>
      <c r="B340" s="230"/>
      <c r="C340" s="230"/>
      <c r="D340" s="230"/>
      <c r="E340" s="230"/>
      <c r="F340" s="230"/>
      <c r="G340" s="230"/>
      <c r="H340" s="230"/>
      <c r="I340" s="230"/>
      <c r="J340" s="230"/>
      <c r="K340" s="230"/>
      <c r="L340" s="242"/>
      <c r="M340" s="230"/>
      <c r="N340" s="230"/>
      <c r="O340" s="257"/>
      <c r="P340" s="230"/>
      <c r="Q340" s="242"/>
      <c r="R340" s="230"/>
      <c r="S340" s="250"/>
      <c r="T340" s="250"/>
      <c r="U340" s="230"/>
      <c r="V340" s="256"/>
      <c r="W340" s="257"/>
      <c r="X340" s="230"/>
      <c r="Y340" s="230"/>
      <c r="Z340" s="230"/>
    </row>
    <row r="341" spans="1:26" ht="24.75" customHeight="1">
      <c r="A341" s="230"/>
      <c r="B341" s="230"/>
      <c r="C341" s="230"/>
      <c r="D341" s="230"/>
      <c r="E341" s="230"/>
      <c r="F341" s="230"/>
      <c r="G341" s="230"/>
      <c r="H341" s="230"/>
      <c r="I341" s="230"/>
      <c r="J341" s="230"/>
      <c r="K341" s="230"/>
      <c r="L341" s="242"/>
      <c r="M341" s="230"/>
      <c r="N341" s="230"/>
      <c r="O341" s="257"/>
      <c r="P341" s="230"/>
      <c r="Q341" s="242"/>
      <c r="R341" s="230"/>
      <c r="S341" s="250"/>
      <c r="T341" s="250"/>
      <c r="U341" s="230"/>
      <c r="V341" s="256"/>
      <c r="W341" s="257"/>
      <c r="X341" s="230"/>
      <c r="Y341" s="230"/>
      <c r="Z341" s="230"/>
    </row>
    <row r="342" spans="1:26" ht="24.75" customHeight="1">
      <c r="A342" s="230"/>
      <c r="B342" s="230"/>
      <c r="C342" s="230"/>
      <c r="D342" s="230"/>
      <c r="E342" s="230"/>
      <c r="F342" s="230"/>
      <c r="G342" s="230"/>
      <c r="H342" s="230"/>
      <c r="I342" s="230"/>
      <c r="J342" s="230"/>
      <c r="K342" s="230"/>
      <c r="L342" s="242"/>
      <c r="M342" s="230"/>
      <c r="N342" s="230"/>
      <c r="O342" s="257"/>
      <c r="P342" s="230"/>
      <c r="Q342" s="242"/>
      <c r="R342" s="230"/>
      <c r="S342" s="250"/>
      <c r="T342" s="250"/>
      <c r="U342" s="230"/>
      <c r="V342" s="256"/>
      <c r="W342" s="257"/>
      <c r="X342" s="230"/>
      <c r="Y342" s="230"/>
      <c r="Z342" s="230"/>
    </row>
    <row r="343" spans="1:26" ht="24.75" customHeight="1">
      <c r="A343" s="230"/>
      <c r="B343" s="230"/>
      <c r="C343" s="230"/>
      <c r="D343" s="230"/>
      <c r="E343" s="230"/>
      <c r="F343" s="230"/>
      <c r="G343" s="230"/>
      <c r="H343" s="230"/>
      <c r="I343" s="230"/>
      <c r="J343" s="230"/>
      <c r="K343" s="230"/>
      <c r="L343" s="242"/>
      <c r="M343" s="230"/>
      <c r="N343" s="230"/>
      <c r="O343" s="257"/>
      <c r="P343" s="230"/>
      <c r="Q343" s="242"/>
      <c r="R343" s="230"/>
      <c r="S343" s="250"/>
      <c r="T343" s="250"/>
      <c r="U343" s="230"/>
      <c r="V343" s="256"/>
      <c r="W343" s="257"/>
      <c r="X343" s="230"/>
      <c r="Y343" s="230"/>
      <c r="Z343" s="230"/>
    </row>
    <row r="344" spans="1:26" ht="24.75" customHeight="1">
      <c r="A344" s="230"/>
      <c r="B344" s="230"/>
      <c r="C344" s="230"/>
      <c r="D344" s="230"/>
      <c r="E344" s="230"/>
      <c r="F344" s="230"/>
      <c r="G344" s="230"/>
      <c r="H344" s="230"/>
      <c r="I344" s="230"/>
      <c r="J344" s="230"/>
      <c r="K344" s="230"/>
      <c r="L344" s="242"/>
      <c r="M344" s="230"/>
      <c r="N344" s="230"/>
      <c r="O344" s="257"/>
      <c r="P344" s="230"/>
      <c r="Q344" s="242"/>
      <c r="R344" s="230"/>
      <c r="S344" s="250"/>
      <c r="T344" s="250"/>
      <c r="U344" s="230"/>
      <c r="V344" s="256"/>
      <c r="W344" s="257"/>
      <c r="X344" s="230"/>
      <c r="Y344" s="230"/>
      <c r="Z344" s="230"/>
    </row>
    <row r="345" spans="1:26" ht="24.75" customHeight="1">
      <c r="A345" s="230"/>
      <c r="B345" s="230"/>
      <c r="C345" s="230"/>
      <c r="D345" s="230"/>
      <c r="E345" s="230"/>
      <c r="F345" s="230"/>
      <c r="G345" s="230"/>
      <c r="H345" s="230"/>
      <c r="I345" s="230"/>
      <c r="J345" s="230"/>
      <c r="K345" s="230"/>
      <c r="L345" s="242"/>
      <c r="M345" s="230"/>
      <c r="N345" s="230"/>
      <c r="O345" s="257"/>
      <c r="P345" s="230"/>
      <c r="Q345" s="242"/>
      <c r="R345" s="230"/>
      <c r="S345" s="250"/>
      <c r="T345" s="250"/>
      <c r="U345" s="230"/>
      <c r="V345" s="256"/>
      <c r="W345" s="257"/>
      <c r="X345" s="230"/>
      <c r="Y345" s="230"/>
      <c r="Z345" s="230"/>
    </row>
    <row r="346" spans="1:26" ht="24.75" customHeight="1">
      <c r="A346" s="230"/>
      <c r="B346" s="230"/>
      <c r="C346" s="230"/>
      <c r="D346" s="230"/>
      <c r="E346" s="230"/>
      <c r="F346" s="230"/>
      <c r="G346" s="230"/>
      <c r="H346" s="230"/>
      <c r="I346" s="230"/>
      <c r="J346" s="230"/>
      <c r="K346" s="230"/>
      <c r="L346" s="242"/>
      <c r="M346" s="230"/>
      <c r="N346" s="230"/>
      <c r="O346" s="257"/>
      <c r="P346" s="230"/>
      <c r="Q346" s="242"/>
      <c r="R346" s="230"/>
      <c r="S346" s="250"/>
      <c r="T346" s="250"/>
      <c r="U346" s="230"/>
      <c r="V346" s="256"/>
      <c r="W346" s="257"/>
      <c r="X346" s="230"/>
      <c r="Y346" s="230"/>
      <c r="Z346" s="230"/>
    </row>
    <row r="347" spans="1:26" ht="24.75" customHeight="1">
      <c r="A347" s="230"/>
      <c r="B347" s="230"/>
      <c r="C347" s="230"/>
      <c r="D347" s="230"/>
      <c r="E347" s="230"/>
      <c r="F347" s="230"/>
      <c r="G347" s="230"/>
      <c r="H347" s="230"/>
      <c r="I347" s="230"/>
      <c r="J347" s="230"/>
      <c r="K347" s="230"/>
      <c r="L347" s="242"/>
      <c r="M347" s="230"/>
      <c r="N347" s="230"/>
      <c r="O347" s="257"/>
      <c r="P347" s="230"/>
      <c r="Q347" s="242"/>
      <c r="R347" s="230"/>
      <c r="S347" s="250"/>
      <c r="T347" s="250"/>
      <c r="U347" s="230"/>
      <c r="V347" s="256"/>
      <c r="W347" s="257"/>
      <c r="X347" s="230"/>
      <c r="Y347" s="230"/>
      <c r="Z347" s="230"/>
    </row>
    <row r="348" spans="1:26" ht="24.75" customHeight="1">
      <c r="A348" s="230"/>
      <c r="B348" s="230"/>
      <c r="C348" s="230"/>
      <c r="D348" s="230"/>
      <c r="E348" s="230"/>
      <c r="F348" s="230"/>
      <c r="G348" s="230"/>
      <c r="H348" s="230"/>
      <c r="I348" s="230"/>
      <c r="J348" s="230"/>
      <c r="K348" s="230"/>
      <c r="L348" s="242"/>
      <c r="M348" s="230"/>
      <c r="N348" s="230"/>
      <c r="O348" s="257"/>
      <c r="P348" s="230"/>
      <c r="Q348" s="242"/>
      <c r="R348" s="230"/>
      <c r="S348" s="250"/>
      <c r="T348" s="250"/>
      <c r="U348" s="230"/>
      <c r="V348" s="256"/>
      <c r="W348" s="257"/>
      <c r="X348" s="230"/>
      <c r="Y348" s="230"/>
      <c r="Z348" s="230"/>
    </row>
    <row r="349" spans="1:26" ht="24.75" customHeight="1">
      <c r="A349" s="230"/>
      <c r="B349" s="230"/>
      <c r="C349" s="230"/>
      <c r="D349" s="230"/>
      <c r="E349" s="230"/>
      <c r="F349" s="230"/>
      <c r="G349" s="230"/>
      <c r="H349" s="230"/>
      <c r="I349" s="230"/>
      <c r="J349" s="230"/>
      <c r="K349" s="230"/>
      <c r="L349" s="242"/>
      <c r="M349" s="230"/>
      <c r="N349" s="230"/>
      <c r="O349" s="257"/>
      <c r="P349" s="230"/>
      <c r="Q349" s="242"/>
      <c r="R349" s="230"/>
      <c r="S349" s="250"/>
      <c r="T349" s="250"/>
      <c r="U349" s="230"/>
      <c r="V349" s="256"/>
      <c r="W349" s="257"/>
      <c r="X349" s="230"/>
      <c r="Y349" s="230"/>
      <c r="Z349" s="230"/>
    </row>
    <row r="350" spans="1:26" ht="24.75" customHeight="1">
      <c r="A350" s="230"/>
      <c r="B350" s="230"/>
      <c r="C350" s="230"/>
      <c r="D350" s="230"/>
      <c r="E350" s="230"/>
      <c r="F350" s="230"/>
      <c r="G350" s="230"/>
      <c r="H350" s="230"/>
      <c r="I350" s="230"/>
      <c r="J350" s="230"/>
      <c r="K350" s="230"/>
      <c r="L350" s="242"/>
      <c r="M350" s="230"/>
      <c r="N350" s="230"/>
      <c r="O350" s="257"/>
      <c r="P350" s="230"/>
      <c r="Q350" s="242"/>
      <c r="R350" s="230"/>
      <c r="S350" s="250"/>
      <c r="T350" s="250"/>
      <c r="U350" s="230"/>
      <c r="V350" s="256"/>
      <c r="W350" s="257"/>
      <c r="X350" s="230"/>
      <c r="Y350" s="230"/>
      <c r="Z350" s="230"/>
    </row>
    <row r="351" spans="1:26" ht="24.75" customHeight="1">
      <c r="A351" s="230"/>
      <c r="B351" s="230"/>
      <c r="C351" s="230"/>
      <c r="D351" s="230"/>
      <c r="E351" s="230"/>
      <c r="F351" s="230"/>
      <c r="G351" s="230"/>
      <c r="H351" s="230"/>
      <c r="I351" s="230"/>
      <c r="J351" s="230"/>
      <c r="K351" s="230"/>
      <c r="L351" s="242"/>
      <c r="M351" s="230"/>
      <c r="N351" s="230"/>
      <c r="O351" s="257"/>
      <c r="P351" s="230"/>
      <c r="Q351" s="242"/>
      <c r="R351" s="230"/>
      <c r="S351" s="250"/>
      <c r="T351" s="250"/>
      <c r="U351" s="230"/>
      <c r="V351" s="256"/>
      <c r="W351" s="257"/>
      <c r="X351" s="230"/>
      <c r="Y351" s="230"/>
      <c r="Z351" s="230"/>
    </row>
    <row r="352" spans="1:26" ht="24.75" customHeight="1">
      <c r="A352" s="230"/>
      <c r="B352" s="230"/>
      <c r="C352" s="230"/>
      <c r="D352" s="230"/>
      <c r="E352" s="230"/>
      <c r="F352" s="230"/>
      <c r="G352" s="230"/>
      <c r="H352" s="230"/>
      <c r="I352" s="230"/>
      <c r="J352" s="230"/>
      <c r="K352" s="230"/>
      <c r="L352" s="242"/>
      <c r="M352" s="230"/>
      <c r="N352" s="230"/>
      <c r="O352" s="257"/>
      <c r="P352" s="230"/>
      <c r="Q352" s="242"/>
      <c r="R352" s="230"/>
      <c r="S352" s="250"/>
      <c r="T352" s="250"/>
      <c r="U352" s="230"/>
      <c r="V352" s="256"/>
      <c r="W352" s="257"/>
      <c r="X352" s="230"/>
      <c r="Y352" s="230"/>
      <c r="Z352" s="230"/>
    </row>
    <row r="353" spans="1:26" ht="24.75" customHeight="1">
      <c r="A353" s="230"/>
      <c r="B353" s="230"/>
      <c r="C353" s="230"/>
      <c r="D353" s="230"/>
      <c r="E353" s="230"/>
      <c r="F353" s="230"/>
      <c r="G353" s="230"/>
      <c r="H353" s="230"/>
      <c r="I353" s="230"/>
      <c r="J353" s="230"/>
      <c r="K353" s="230"/>
      <c r="L353" s="242"/>
      <c r="M353" s="230"/>
      <c r="N353" s="230"/>
      <c r="O353" s="257"/>
      <c r="P353" s="230"/>
      <c r="Q353" s="242"/>
      <c r="R353" s="230"/>
      <c r="S353" s="250"/>
      <c r="T353" s="250"/>
      <c r="U353" s="230"/>
      <c r="V353" s="256"/>
      <c r="W353" s="257"/>
      <c r="X353" s="230"/>
      <c r="Y353" s="230"/>
      <c r="Z353" s="230"/>
    </row>
    <row r="354" spans="1:26" ht="24.75" customHeight="1">
      <c r="A354" s="230"/>
      <c r="B354" s="230"/>
      <c r="C354" s="230"/>
      <c r="D354" s="230"/>
      <c r="E354" s="230"/>
      <c r="F354" s="230"/>
      <c r="G354" s="230"/>
      <c r="H354" s="230"/>
      <c r="I354" s="230"/>
      <c r="J354" s="230"/>
      <c r="K354" s="230"/>
      <c r="L354" s="242"/>
      <c r="M354" s="230"/>
      <c r="N354" s="230"/>
      <c r="O354" s="257"/>
      <c r="P354" s="230"/>
      <c r="Q354" s="242"/>
      <c r="R354" s="230"/>
      <c r="S354" s="250"/>
      <c r="T354" s="250"/>
      <c r="U354" s="230"/>
      <c r="V354" s="256"/>
      <c r="W354" s="257"/>
      <c r="X354" s="230"/>
      <c r="Y354" s="230"/>
      <c r="Z354" s="230"/>
    </row>
    <row r="355" spans="1:26" ht="24.75" customHeight="1">
      <c r="A355" s="230"/>
      <c r="B355" s="230"/>
      <c r="C355" s="230"/>
      <c r="D355" s="230"/>
      <c r="E355" s="230"/>
      <c r="F355" s="230"/>
      <c r="G355" s="230"/>
      <c r="H355" s="230"/>
      <c r="I355" s="230"/>
      <c r="J355" s="230"/>
      <c r="K355" s="230"/>
      <c r="L355" s="242"/>
      <c r="M355" s="230"/>
      <c r="N355" s="230"/>
      <c r="O355" s="257"/>
      <c r="P355" s="230"/>
      <c r="Q355" s="242"/>
      <c r="R355" s="230"/>
      <c r="S355" s="250"/>
      <c r="T355" s="250"/>
      <c r="U355" s="230"/>
      <c r="V355" s="256"/>
      <c r="W355" s="257"/>
      <c r="X355" s="230"/>
      <c r="Y355" s="230"/>
      <c r="Z355" s="230"/>
    </row>
    <row r="356" spans="1:26" ht="24.75" customHeight="1">
      <c r="A356" s="230"/>
      <c r="B356" s="230"/>
      <c r="C356" s="230"/>
      <c r="D356" s="230"/>
      <c r="E356" s="230"/>
      <c r="F356" s="230"/>
      <c r="G356" s="230"/>
      <c r="H356" s="230"/>
      <c r="I356" s="230"/>
      <c r="J356" s="230"/>
      <c r="K356" s="230"/>
      <c r="L356" s="242"/>
      <c r="M356" s="230"/>
      <c r="N356" s="230"/>
      <c r="O356" s="257"/>
      <c r="P356" s="230"/>
      <c r="Q356" s="242"/>
      <c r="R356" s="230"/>
      <c r="S356" s="250"/>
      <c r="T356" s="250"/>
      <c r="U356" s="230"/>
      <c r="V356" s="256"/>
      <c r="W356" s="257"/>
      <c r="X356" s="230"/>
      <c r="Y356" s="230"/>
      <c r="Z356" s="230"/>
    </row>
    <row r="357" spans="1:26" ht="24.75" customHeight="1">
      <c r="A357" s="230"/>
      <c r="B357" s="230"/>
      <c r="C357" s="230"/>
      <c r="D357" s="230"/>
      <c r="E357" s="230"/>
      <c r="F357" s="230"/>
      <c r="G357" s="230"/>
      <c r="H357" s="230"/>
      <c r="I357" s="230"/>
      <c r="J357" s="230"/>
      <c r="K357" s="230"/>
      <c r="L357" s="242"/>
      <c r="M357" s="230"/>
      <c r="N357" s="230"/>
      <c r="O357" s="257"/>
      <c r="P357" s="230"/>
      <c r="Q357" s="242"/>
      <c r="R357" s="230"/>
      <c r="S357" s="250"/>
      <c r="T357" s="250"/>
      <c r="U357" s="230"/>
      <c r="V357" s="256"/>
      <c r="W357" s="257"/>
      <c r="X357" s="230"/>
      <c r="Y357" s="230"/>
      <c r="Z357" s="230"/>
    </row>
    <row r="358" spans="1:26" ht="24.75" customHeight="1">
      <c r="A358" s="230"/>
      <c r="B358" s="230"/>
      <c r="C358" s="230"/>
      <c r="D358" s="230"/>
      <c r="E358" s="230"/>
      <c r="F358" s="230"/>
      <c r="G358" s="230"/>
      <c r="H358" s="230"/>
      <c r="I358" s="230"/>
      <c r="J358" s="230"/>
      <c r="K358" s="230"/>
      <c r="L358" s="242"/>
      <c r="M358" s="230"/>
      <c r="N358" s="230"/>
      <c r="O358" s="257"/>
      <c r="P358" s="230"/>
      <c r="Q358" s="242"/>
      <c r="R358" s="230"/>
      <c r="S358" s="250"/>
      <c r="T358" s="250"/>
      <c r="U358" s="230"/>
      <c r="V358" s="256"/>
      <c r="W358" s="257"/>
      <c r="X358" s="230"/>
      <c r="Y358" s="230"/>
      <c r="Z358" s="230"/>
    </row>
    <row r="359" spans="1:26" ht="24.75" customHeight="1">
      <c r="A359" s="230"/>
      <c r="B359" s="230"/>
      <c r="C359" s="230"/>
      <c r="D359" s="230"/>
      <c r="E359" s="230"/>
      <c r="F359" s="230"/>
      <c r="G359" s="230"/>
      <c r="H359" s="230"/>
      <c r="I359" s="230"/>
      <c r="J359" s="230"/>
      <c r="K359" s="230"/>
      <c r="L359" s="242"/>
      <c r="M359" s="230"/>
      <c r="N359" s="230"/>
      <c r="O359" s="257"/>
      <c r="P359" s="230"/>
      <c r="Q359" s="242"/>
      <c r="R359" s="230"/>
      <c r="S359" s="250"/>
      <c r="T359" s="250"/>
      <c r="U359" s="230"/>
      <c r="V359" s="256"/>
      <c r="W359" s="257"/>
      <c r="X359" s="230"/>
      <c r="Y359" s="230"/>
      <c r="Z359" s="230"/>
    </row>
    <row r="360" spans="1:26" ht="24.75" customHeight="1">
      <c r="A360" s="230"/>
      <c r="B360" s="230"/>
      <c r="C360" s="230"/>
      <c r="D360" s="230"/>
      <c r="E360" s="230"/>
      <c r="F360" s="230"/>
      <c r="G360" s="230"/>
      <c r="H360" s="230"/>
      <c r="I360" s="230"/>
      <c r="J360" s="230"/>
      <c r="K360" s="230"/>
      <c r="L360" s="242"/>
      <c r="M360" s="230"/>
      <c r="N360" s="230"/>
      <c r="O360" s="257"/>
      <c r="P360" s="230"/>
      <c r="Q360" s="242"/>
      <c r="R360" s="230"/>
      <c r="S360" s="250"/>
      <c r="T360" s="250"/>
      <c r="U360" s="230"/>
      <c r="V360" s="256"/>
      <c r="W360" s="257"/>
      <c r="X360" s="230"/>
      <c r="Y360" s="230"/>
      <c r="Z360" s="230"/>
    </row>
    <row r="361" spans="1:26" ht="24.75" customHeight="1">
      <c r="A361" s="230"/>
      <c r="B361" s="230"/>
      <c r="C361" s="230"/>
      <c r="D361" s="230"/>
      <c r="E361" s="230"/>
      <c r="F361" s="230"/>
      <c r="G361" s="230"/>
      <c r="H361" s="230"/>
      <c r="I361" s="230"/>
      <c r="J361" s="230"/>
      <c r="K361" s="230"/>
      <c r="L361" s="242"/>
      <c r="M361" s="230"/>
      <c r="N361" s="230"/>
      <c r="O361" s="257"/>
      <c r="P361" s="230"/>
      <c r="Q361" s="242"/>
      <c r="R361" s="230"/>
      <c r="S361" s="250"/>
      <c r="T361" s="250"/>
      <c r="U361" s="230"/>
      <c r="V361" s="256"/>
      <c r="W361" s="257"/>
      <c r="X361" s="230"/>
      <c r="Y361" s="230"/>
      <c r="Z361" s="230"/>
    </row>
    <row r="362" spans="1:26" ht="24.75" customHeight="1">
      <c r="A362" s="230"/>
      <c r="B362" s="230"/>
      <c r="C362" s="230"/>
      <c r="D362" s="230"/>
      <c r="E362" s="230"/>
      <c r="F362" s="230"/>
      <c r="G362" s="230"/>
      <c r="H362" s="230"/>
      <c r="I362" s="230"/>
      <c r="J362" s="230"/>
      <c r="K362" s="230"/>
      <c r="L362" s="242"/>
      <c r="M362" s="230"/>
      <c r="N362" s="230"/>
      <c r="O362" s="257"/>
      <c r="P362" s="230"/>
      <c r="Q362" s="242"/>
      <c r="R362" s="230"/>
      <c r="S362" s="250"/>
      <c r="T362" s="250"/>
      <c r="U362" s="230"/>
      <c r="V362" s="256"/>
      <c r="W362" s="257"/>
      <c r="X362" s="230"/>
      <c r="Y362" s="230"/>
      <c r="Z362" s="230"/>
    </row>
    <row r="363" spans="1:26" ht="24.75" customHeight="1">
      <c r="A363" s="230"/>
      <c r="B363" s="230"/>
      <c r="C363" s="230"/>
      <c r="D363" s="230"/>
      <c r="E363" s="230"/>
      <c r="F363" s="230"/>
      <c r="G363" s="230"/>
      <c r="H363" s="230"/>
      <c r="I363" s="230"/>
      <c r="J363" s="230"/>
      <c r="K363" s="230"/>
      <c r="L363" s="242"/>
      <c r="M363" s="230"/>
      <c r="N363" s="230"/>
      <c r="O363" s="257"/>
      <c r="P363" s="230"/>
      <c r="Q363" s="242"/>
      <c r="R363" s="230"/>
      <c r="S363" s="250"/>
      <c r="T363" s="250"/>
      <c r="U363" s="230"/>
      <c r="V363" s="256"/>
      <c r="W363" s="257"/>
      <c r="X363" s="230"/>
      <c r="Y363" s="230"/>
      <c r="Z363" s="230"/>
    </row>
    <row r="364" spans="1:26" ht="24.75" customHeight="1">
      <c r="A364" s="230"/>
      <c r="B364" s="230"/>
      <c r="C364" s="230"/>
      <c r="D364" s="230"/>
      <c r="E364" s="230"/>
      <c r="F364" s="230"/>
      <c r="G364" s="230"/>
      <c r="H364" s="230"/>
      <c r="I364" s="230"/>
      <c r="J364" s="230"/>
      <c r="K364" s="230"/>
      <c r="L364" s="242"/>
      <c r="M364" s="230"/>
      <c r="N364" s="230"/>
      <c r="O364" s="257"/>
      <c r="P364" s="230"/>
      <c r="Q364" s="242"/>
      <c r="R364" s="230"/>
      <c r="S364" s="250"/>
      <c r="T364" s="250"/>
      <c r="U364" s="230"/>
      <c r="V364" s="256"/>
      <c r="W364" s="257"/>
      <c r="X364" s="230"/>
      <c r="Y364" s="230"/>
      <c r="Z364" s="230"/>
    </row>
    <row r="365" spans="1:26" ht="24.75" customHeight="1">
      <c r="A365" s="230"/>
      <c r="B365" s="230"/>
      <c r="C365" s="230"/>
      <c r="D365" s="230"/>
      <c r="E365" s="230"/>
      <c r="F365" s="230"/>
      <c r="G365" s="230"/>
      <c r="H365" s="230"/>
      <c r="I365" s="230"/>
      <c r="J365" s="230"/>
      <c r="K365" s="230"/>
      <c r="L365" s="242"/>
      <c r="M365" s="230"/>
      <c r="N365" s="230"/>
      <c r="O365" s="257"/>
      <c r="P365" s="230"/>
      <c r="Q365" s="242"/>
      <c r="R365" s="230"/>
      <c r="S365" s="250"/>
      <c r="T365" s="250"/>
      <c r="U365" s="230"/>
      <c r="V365" s="256"/>
      <c r="W365" s="257"/>
      <c r="X365" s="230"/>
      <c r="Y365" s="230"/>
      <c r="Z365" s="230"/>
    </row>
    <row r="366" spans="1:26" ht="24.75" customHeight="1">
      <c r="A366" s="230"/>
      <c r="B366" s="230"/>
      <c r="C366" s="230"/>
      <c r="D366" s="230"/>
      <c r="E366" s="230"/>
      <c r="F366" s="230"/>
      <c r="G366" s="230"/>
      <c r="H366" s="230"/>
      <c r="I366" s="230"/>
      <c r="J366" s="230"/>
      <c r="K366" s="230"/>
      <c r="L366" s="242"/>
      <c r="M366" s="230"/>
      <c r="N366" s="230"/>
      <c r="O366" s="257"/>
      <c r="P366" s="230"/>
      <c r="Q366" s="242"/>
      <c r="R366" s="230"/>
      <c r="S366" s="250"/>
      <c r="T366" s="250"/>
      <c r="U366" s="230"/>
      <c r="V366" s="256"/>
      <c r="W366" s="257"/>
      <c r="X366" s="230"/>
      <c r="Y366" s="230"/>
      <c r="Z366" s="230"/>
    </row>
    <row r="367" spans="1:26" ht="24.75" customHeight="1">
      <c r="A367" s="230"/>
      <c r="B367" s="230"/>
      <c r="C367" s="230"/>
      <c r="D367" s="230"/>
      <c r="E367" s="230"/>
      <c r="F367" s="230"/>
      <c r="G367" s="230"/>
      <c r="H367" s="230"/>
      <c r="I367" s="230"/>
      <c r="J367" s="230"/>
      <c r="K367" s="230"/>
      <c r="L367" s="242"/>
      <c r="M367" s="230"/>
      <c r="N367" s="230"/>
      <c r="O367" s="257"/>
      <c r="P367" s="230"/>
      <c r="Q367" s="242"/>
      <c r="R367" s="230"/>
      <c r="S367" s="250"/>
      <c r="T367" s="250"/>
      <c r="U367" s="230"/>
      <c r="V367" s="256"/>
      <c r="W367" s="257"/>
      <c r="X367" s="230"/>
      <c r="Y367" s="230"/>
      <c r="Z367" s="230"/>
    </row>
    <row r="368" spans="1:26" ht="24.75" customHeight="1">
      <c r="A368" s="230"/>
      <c r="B368" s="230"/>
      <c r="C368" s="230"/>
      <c r="D368" s="230"/>
      <c r="E368" s="230"/>
      <c r="F368" s="230"/>
      <c r="G368" s="230"/>
      <c r="H368" s="230"/>
      <c r="I368" s="230"/>
      <c r="J368" s="230"/>
      <c r="K368" s="230"/>
      <c r="L368" s="242"/>
      <c r="M368" s="230"/>
      <c r="N368" s="230"/>
      <c r="O368" s="257"/>
      <c r="P368" s="230"/>
      <c r="Q368" s="242"/>
      <c r="R368" s="230"/>
      <c r="S368" s="250"/>
      <c r="T368" s="250"/>
      <c r="U368" s="230"/>
      <c r="V368" s="256"/>
      <c r="W368" s="257"/>
      <c r="X368" s="230"/>
      <c r="Y368" s="230"/>
      <c r="Z368" s="230"/>
    </row>
    <row r="369" spans="1:26" ht="24.75" customHeight="1">
      <c r="A369" s="230"/>
      <c r="B369" s="230"/>
      <c r="C369" s="230"/>
      <c r="D369" s="230"/>
      <c r="E369" s="230"/>
      <c r="F369" s="230"/>
      <c r="G369" s="230"/>
      <c r="H369" s="230"/>
      <c r="I369" s="230"/>
      <c r="J369" s="230"/>
      <c r="K369" s="230"/>
      <c r="L369" s="242"/>
      <c r="M369" s="230"/>
      <c r="N369" s="230"/>
      <c r="O369" s="257"/>
      <c r="P369" s="230"/>
      <c r="Q369" s="242"/>
      <c r="R369" s="230"/>
      <c r="S369" s="250"/>
      <c r="T369" s="250"/>
      <c r="U369" s="230"/>
      <c r="V369" s="256"/>
      <c r="W369" s="257"/>
      <c r="X369" s="230"/>
      <c r="Y369" s="230"/>
      <c r="Z369" s="230"/>
    </row>
    <row r="370" spans="1:26" ht="24.75" customHeight="1">
      <c r="A370" s="230"/>
      <c r="B370" s="230"/>
      <c r="C370" s="230"/>
      <c r="D370" s="230"/>
      <c r="E370" s="230"/>
      <c r="F370" s="230"/>
      <c r="G370" s="230"/>
      <c r="H370" s="230"/>
      <c r="I370" s="230"/>
      <c r="J370" s="230"/>
      <c r="K370" s="230"/>
      <c r="L370" s="242"/>
      <c r="M370" s="230"/>
      <c r="N370" s="230"/>
      <c r="O370" s="257"/>
      <c r="P370" s="230"/>
      <c r="Q370" s="242"/>
      <c r="R370" s="230"/>
      <c r="S370" s="250"/>
      <c r="T370" s="250"/>
      <c r="U370" s="230"/>
      <c r="V370" s="256"/>
      <c r="W370" s="257"/>
      <c r="X370" s="230"/>
      <c r="Y370" s="230"/>
      <c r="Z370" s="230"/>
    </row>
    <row r="371" spans="1:26" ht="24.75" customHeight="1">
      <c r="A371" s="230"/>
      <c r="B371" s="230"/>
      <c r="C371" s="230"/>
      <c r="D371" s="230"/>
      <c r="E371" s="230"/>
      <c r="F371" s="230"/>
      <c r="G371" s="230"/>
      <c r="H371" s="230"/>
      <c r="I371" s="230"/>
      <c r="J371" s="230"/>
      <c r="K371" s="230"/>
      <c r="L371" s="242"/>
      <c r="M371" s="230"/>
      <c r="N371" s="230"/>
      <c r="O371" s="257"/>
      <c r="P371" s="230"/>
      <c r="Q371" s="242"/>
      <c r="R371" s="230"/>
      <c r="S371" s="250"/>
      <c r="T371" s="250"/>
      <c r="U371" s="230"/>
      <c r="V371" s="256"/>
      <c r="W371" s="257"/>
      <c r="X371" s="230"/>
      <c r="Y371" s="230"/>
      <c r="Z371" s="230"/>
    </row>
    <row r="372" spans="1:26" ht="24.75" customHeight="1">
      <c r="A372" s="230"/>
      <c r="B372" s="230"/>
      <c r="C372" s="230"/>
      <c r="D372" s="230"/>
      <c r="E372" s="230"/>
      <c r="F372" s="230"/>
      <c r="G372" s="230"/>
      <c r="H372" s="230"/>
      <c r="I372" s="230"/>
      <c r="J372" s="230"/>
      <c r="K372" s="230"/>
      <c r="L372" s="242"/>
      <c r="M372" s="230"/>
      <c r="N372" s="230"/>
      <c r="O372" s="257"/>
      <c r="P372" s="230"/>
      <c r="Q372" s="242"/>
      <c r="R372" s="230"/>
      <c r="S372" s="250"/>
      <c r="T372" s="250"/>
      <c r="U372" s="230"/>
      <c r="V372" s="256"/>
      <c r="W372" s="257"/>
      <c r="X372" s="230"/>
      <c r="Y372" s="230"/>
      <c r="Z372" s="230"/>
    </row>
    <row r="373" spans="1:26" ht="24.75" customHeight="1">
      <c r="A373" s="230"/>
      <c r="B373" s="230"/>
      <c r="C373" s="230"/>
      <c r="D373" s="230"/>
      <c r="E373" s="230"/>
      <c r="F373" s="230"/>
      <c r="G373" s="230"/>
      <c r="H373" s="230"/>
      <c r="I373" s="230"/>
      <c r="J373" s="230"/>
      <c r="K373" s="230"/>
      <c r="L373" s="242"/>
      <c r="M373" s="230"/>
      <c r="N373" s="230"/>
      <c r="O373" s="257"/>
      <c r="P373" s="230"/>
      <c r="Q373" s="242"/>
      <c r="R373" s="230"/>
      <c r="S373" s="250"/>
      <c r="T373" s="250"/>
      <c r="U373" s="230"/>
      <c r="V373" s="256"/>
      <c r="W373" s="257"/>
      <c r="X373" s="230"/>
      <c r="Y373" s="230"/>
      <c r="Z373" s="230"/>
    </row>
    <row r="374" spans="1:26" ht="24.75" customHeight="1">
      <c r="A374" s="230"/>
      <c r="B374" s="230"/>
      <c r="C374" s="230"/>
      <c r="D374" s="230"/>
      <c r="E374" s="230"/>
      <c r="F374" s="230"/>
      <c r="G374" s="230"/>
      <c r="H374" s="230"/>
      <c r="I374" s="230"/>
      <c r="J374" s="230"/>
      <c r="K374" s="230"/>
      <c r="L374" s="242"/>
      <c r="M374" s="230"/>
      <c r="N374" s="230"/>
      <c r="O374" s="257"/>
      <c r="P374" s="230"/>
      <c r="Q374" s="242"/>
      <c r="R374" s="230"/>
      <c r="S374" s="250"/>
      <c r="T374" s="250"/>
      <c r="U374" s="230"/>
      <c r="V374" s="256"/>
      <c r="W374" s="257"/>
      <c r="X374" s="230"/>
      <c r="Y374" s="230"/>
      <c r="Z374" s="230"/>
    </row>
    <row r="375" spans="1:26" ht="24.75" customHeight="1">
      <c r="A375" s="230"/>
      <c r="B375" s="230"/>
      <c r="C375" s="230"/>
      <c r="D375" s="230"/>
      <c r="E375" s="230"/>
      <c r="F375" s="230"/>
      <c r="G375" s="230"/>
      <c r="H375" s="230"/>
      <c r="I375" s="230"/>
      <c r="J375" s="230"/>
      <c r="K375" s="230"/>
      <c r="L375" s="242"/>
      <c r="M375" s="230"/>
      <c r="N375" s="230"/>
      <c r="O375" s="257"/>
      <c r="P375" s="230"/>
      <c r="Q375" s="242"/>
      <c r="R375" s="230"/>
      <c r="S375" s="250"/>
      <c r="T375" s="250"/>
      <c r="U375" s="230"/>
      <c r="V375" s="256"/>
      <c r="W375" s="257"/>
      <c r="X375" s="230"/>
      <c r="Y375" s="230"/>
      <c r="Z375" s="230"/>
    </row>
    <row r="376" spans="1:26" ht="24.75" customHeight="1">
      <c r="A376" s="230"/>
      <c r="B376" s="230"/>
      <c r="C376" s="230"/>
      <c r="D376" s="230"/>
      <c r="E376" s="230"/>
      <c r="F376" s="230"/>
      <c r="G376" s="230"/>
      <c r="H376" s="230"/>
      <c r="I376" s="230"/>
      <c r="J376" s="230"/>
      <c r="K376" s="230"/>
      <c r="L376" s="242"/>
      <c r="M376" s="230"/>
      <c r="N376" s="230"/>
      <c r="O376" s="257"/>
      <c r="P376" s="230"/>
      <c r="Q376" s="242"/>
      <c r="R376" s="230"/>
      <c r="S376" s="250"/>
      <c r="T376" s="250"/>
      <c r="U376" s="230"/>
      <c r="V376" s="256"/>
      <c r="W376" s="257"/>
      <c r="X376" s="230"/>
      <c r="Y376" s="230"/>
      <c r="Z376" s="230"/>
    </row>
    <row r="377" spans="1:26" ht="24.75" customHeight="1">
      <c r="A377" s="230"/>
      <c r="B377" s="230"/>
      <c r="C377" s="230"/>
      <c r="D377" s="230"/>
      <c r="E377" s="230"/>
      <c r="F377" s="230"/>
      <c r="G377" s="230"/>
      <c r="H377" s="230"/>
      <c r="I377" s="230"/>
      <c r="J377" s="230"/>
      <c r="K377" s="230"/>
      <c r="L377" s="242"/>
      <c r="M377" s="230"/>
      <c r="N377" s="230"/>
      <c r="O377" s="257"/>
      <c r="P377" s="230"/>
      <c r="Q377" s="242"/>
      <c r="R377" s="230"/>
      <c r="S377" s="250"/>
      <c r="T377" s="250"/>
      <c r="U377" s="230"/>
      <c r="V377" s="256"/>
      <c r="W377" s="257"/>
      <c r="X377" s="230"/>
      <c r="Y377" s="230"/>
      <c r="Z377" s="230"/>
    </row>
    <row r="378" spans="1:26" ht="24.75" customHeight="1">
      <c r="A378" s="230"/>
      <c r="B378" s="230"/>
      <c r="C378" s="230"/>
      <c r="D378" s="230"/>
      <c r="E378" s="230"/>
      <c r="F378" s="230"/>
      <c r="G378" s="230"/>
      <c r="H378" s="230"/>
      <c r="I378" s="230"/>
      <c r="J378" s="230"/>
      <c r="K378" s="230"/>
      <c r="L378" s="242"/>
      <c r="M378" s="230"/>
      <c r="N378" s="230"/>
      <c r="O378" s="257"/>
      <c r="P378" s="230"/>
      <c r="Q378" s="242"/>
      <c r="R378" s="230"/>
      <c r="S378" s="250"/>
      <c r="T378" s="250"/>
      <c r="U378" s="230"/>
      <c r="V378" s="256"/>
      <c r="W378" s="257"/>
      <c r="X378" s="230"/>
      <c r="Y378" s="230"/>
      <c r="Z378" s="230"/>
    </row>
    <row r="379" spans="1:26" ht="24.75" customHeight="1">
      <c r="A379" s="230"/>
      <c r="B379" s="230"/>
      <c r="C379" s="230"/>
      <c r="D379" s="230"/>
      <c r="E379" s="230"/>
      <c r="F379" s="230"/>
      <c r="G379" s="230"/>
      <c r="H379" s="230"/>
      <c r="I379" s="230"/>
      <c r="J379" s="230"/>
      <c r="K379" s="230"/>
      <c r="L379" s="242"/>
      <c r="M379" s="230"/>
      <c r="N379" s="230"/>
      <c r="O379" s="257"/>
      <c r="P379" s="230"/>
      <c r="Q379" s="242"/>
      <c r="R379" s="230"/>
      <c r="S379" s="250"/>
      <c r="T379" s="250"/>
      <c r="U379" s="230"/>
      <c r="V379" s="256"/>
      <c r="W379" s="257"/>
      <c r="X379" s="230"/>
      <c r="Y379" s="230"/>
      <c r="Z379" s="230"/>
    </row>
    <row r="380" spans="1:26" ht="24.75" customHeight="1">
      <c r="A380" s="230"/>
      <c r="B380" s="230"/>
      <c r="C380" s="230"/>
      <c r="D380" s="230"/>
      <c r="E380" s="230"/>
      <c r="F380" s="230"/>
      <c r="G380" s="230"/>
      <c r="H380" s="230"/>
      <c r="I380" s="230"/>
      <c r="J380" s="230"/>
      <c r="K380" s="230"/>
      <c r="L380" s="242"/>
      <c r="M380" s="230"/>
      <c r="N380" s="230"/>
      <c r="O380" s="257"/>
      <c r="P380" s="230"/>
      <c r="Q380" s="242"/>
      <c r="R380" s="230"/>
      <c r="S380" s="250"/>
      <c r="T380" s="250"/>
      <c r="U380" s="230"/>
      <c r="V380" s="256"/>
      <c r="W380" s="257"/>
      <c r="X380" s="230"/>
      <c r="Y380" s="230"/>
      <c r="Z380" s="230"/>
    </row>
    <row r="381" spans="1:26" ht="24.75" customHeight="1">
      <c r="A381" s="230"/>
      <c r="B381" s="230"/>
      <c r="C381" s="230"/>
      <c r="D381" s="230"/>
      <c r="E381" s="230"/>
      <c r="F381" s="230"/>
      <c r="G381" s="230"/>
      <c r="H381" s="230"/>
      <c r="I381" s="230"/>
      <c r="J381" s="230"/>
      <c r="K381" s="230"/>
      <c r="L381" s="242"/>
      <c r="M381" s="230"/>
      <c r="N381" s="230"/>
      <c r="O381" s="257"/>
      <c r="P381" s="230"/>
      <c r="Q381" s="242"/>
      <c r="R381" s="230"/>
      <c r="S381" s="250"/>
      <c r="T381" s="250"/>
      <c r="U381" s="230"/>
      <c r="V381" s="256"/>
      <c r="W381" s="257"/>
      <c r="X381" s="230"/>
      <c r="Y381" s="230"/>
      <c r="Z381" s="230"/>
    </row>
    <row r="382" spans="1:26" ht="24.75" customHeight="1">
      <c r="A382" s="230"/>
      <c r="B382" s="230"/>
      <c r="C382" s="230"/>
      <c r="D382" s="230"/>
      <c r="E382" s="230"/>
      <c r="F382" s="230"/>
      <c r="G382" s="230"/>
      <c r="H382" s="230"/>
      <c r="I382" s="230"/>
      <c r="J382" s="230"/>
      <c r="K382" s="230"/>
      <c r="L382" s="242"/>
      <c r="M382" s="230"/>
      <c r="N382" s="230"/>
      <c r="O382" s="257"/>
      <c r="P382" s="230"/>
      <c r="Q382" s="242"/>
      <c r="R382" s="230"/>
      <c r="S382" s="250"/>
      <c r="T382" s="250"/>
      <c r="U382" s="230"/>
      <c r="V382" s="256"/>
      <c r="W382" s="257"/>
      <c r="X382" s="230"/>
      <c r="Y382" s="230"/>
      <c r="Z382" s="230"/>
    </row>
    <row r="383" spans="1:26" ht="24.75" customHeight="1">
      <c r="A383" s="230"/>
      <c r="B383" s="230"/>
      <c r="C383" s="230"/>
      <c r="D383" s="230"/>
      <c r="E383" s="230"/>
      <c r="F383" s="230"/>
      <c r="G383" s="230"/>
      <c r="H383" s="230"/>
      <c r="I383" s="230"/>
      <c r="J383" s="230"/>
      <c r="K383" s="230"/>
      <c r="L383" s="242"/>
      <c r="M383" s="230"/>
      <c r="N383" s="230"/>
      <c r="O383" s="257"/>
      <c r="P383" s="230"/>
      <c r="Q383" s="242"/>
      <c r="R383" s="230"/>
      <c r="S383" s="250"/>
      <c r="T383" s="250"/>
      <c r="U383" s="230"/>
      <c r="V383" s="256"/>
      <c r="W383" s="257"/>
      <c r="X383" s="230"/>
      <c r="Y383" s="230"/>
      <c r="Z383" s="230"/>
    </row>
    <row r="384" spans="1:26" ht="24.75" customHeight="1">
      <c r="A384" s="230"/>
      <c r="B384" s="230"/>
      <c r="C384" s="230"/>
      <c r="D384" s="230"/>
      <c r="E384" s="230"/>
      <c r="F384" s="230"/>
      <c r="G384" s="230"/>
      <c r="H384" s="230"/>
      <c r="I384" s="230"/>
      <c r="J384" s="230"/>
      <c r="K384" s="230"/>
      <c r="L384" s="242"/>
      <c r="M384" s="230"/>
      <c r="N384" s="230"/>
      <c r="O384" s="257"/>
      <c r="P384" s="230"/>
      <c r="Q384" s="242"/>
      <c r="R384" s="230"/>
      <c r="S384" s="250"/>
      <c r="T384" s="250"/>
      <c r="U384" s="230"/>
      <c r="V384" s="256"/>
      <c r="W384" s="257"/>
      <c r="X384" s="230"/>
      <c r="Y384" s="230"/>
      <c r="Z384" s="230"/>
    </row>
    <row r="385" spans="1:26" ht="24.75" customHeight="1">
      <c r="A385" s="230"/>
      <c r="B385" s="230"/>
      <c r="C385" s="230"/>
      <c r="D385" s="230"/>
      <c r="E385" s="230"/>
      <c r="F385" s="230"/>
      <c r="G385" s="230"/>
      <c r="H385" s="230"/>
      <c r="I385" s="230"/>
      <c r="J385" s="230"/>
      <c r="K385" s="230"/>
      <c r="L385" s="242"/>
      <c r="M385" s="230"/>
      <c r="N385" s="230"/>
      <c r="O385" s="257"/>
      <c r="P385" s="230"/>
      <c r="Q385" s="242"/>
      <c r="R385" s="230"/>
      <c r="S385" s="250"/>
      <c r="T385" s="250"/>
      <c r="U385" s="230"/>
      <c r="V385" s="256"/>
      <c r="W385" s="257"/>
      <c r="X385" s="230"/>
      <c r="Y385" s="230"/>
      <c r="Z385" s="230"/>
    </row>
    <row r="386" spans="1:26" ht="24.75" customHeight="1">
      <c r="A386" s="230"/>
      <c r="B386" s="230"/>
      <c r="C386" s="230"/>
      <c r="D386" s="230"/>
      <c r="E386" s="230"/>
      <c r="F386" s="230"/>
      <c r="G386" s="230"/>
      <c r="H386" s="230"/>
      <c r="I386" s="230"/>
      <c r="J386" s="230"/>
      <c r="K386" s="230"/>
      <c r="L386" s="242"/>
      <c r="M386" s="230"/>
      <c r="N386" s="230"/>
      <c r="O386" s="257"/>
      <c r="P386" s="230"/>
      <c r="Q386" s="242"/>
      <c r="R386" s="230"/>
      <c r="S386" s="250"/>
      <c r="T386" s="250"/>
      <c r="U386" s="230"/>
      <c r="V386" s="256"/>
      <c r="W386" s="257"/>
      <c r="X386" s="230"/>
      <c r="Y386" s="230"/>
      <c r="Z386" s="230"/>
    </row>
    <row r="387" spans="1:26" ht="24.75" customHeight="1">
      <c r="A387" s="230"/>
      <c r="B387" s="230"/>
      <c r="C387" s="230"/>
      <c r="D387" s="230"/>
      <c r="E387" s="230"/>
      <c r="F387" s="230"/>
      <c r="G387" s="230"/>
      <c r="H387" s="230"/>
      <c r="I387" s="230"/>
      <c r="J387" s="230"/>
      <c r="K387" s="230"/>
      <c r="L387" s="242"/>
      <c r="M387" s="230"/>
      <c r="N387" s="230"/>
      <c r="O387" s="257"/>
      <c r="P387" s="230"/>
      <c r="Q387" s="242"/>
      <c r="R387" s="230"/>
      <c r="S387" s="250"/>
      <c r="T387" s="250"/>
      <c r="U387" s="230"/>
      <c r="V387" s="256"/>
      <c r="W387" s="257"/>
      <c r="X387" s="230"/>
      <c r="Y387" s="230"/>
      <c r="Z387" s="230"/>
    </row>
    <row r="388" spans="1:26" ht="24.75" customHeight="1">
      <c r="A388" s="230"/>
      <c r="B388" s="230"/>
      <c r="C388" s="230"/>
      <c r="D388" s="230"/>
      <c r="E388" s="230"/>
      <c r="F388" s="230"/>
      <c r="G388" s="230"/>
      <c r="H388" s="230"/>
      <c r="I388" s="230"/>
      <c r="J388" s="230"/>
      <c r="K388" s="230"/>
      <c r="L388" s="242"/>
      <c r="M388" s="230"/>
      <c r="N388" s="230"/>
      <c r="O388" s="257"/>
      <c r="P388" s="230"/>
      <c r="Q388" s="242"/>
      <c r="R388" s="230"/>
      <c r="S388" s="250"/>
      <c r="T388" s="250"/>
      <c r="U388" s="230"/>
      <c r="V388" s="256"/>
      <c r="W388" s="257"/>
      <c r="X388" s="230"/>
      <c r="Y388" s="230"/>
      <c r="Z388" s="230"/>
    </row>
    <row r="389" spans="1:26" ht="24.75" customHeight="1">
      <c r="A389" s="230"/>
      <c r="B389" s="230"/>
      <c r="C389" s="230"/>
      <c r="D389" s="230"/>
      <c r="E389" s="230"/>
      <c r="F389" s="230"/>
      <c r="G389" s="230"/>
      <c r="H389" s="230"/>
      <c r="I389" s="230"/>
      <c r="J389" s="230"/>
      <c r="K389" s="230"/>
      <c r="L389" s="242"/>
      <c r="M389" s="230"/>
      <c r="N389" s="230"/>
      <c r="O389" s="257"/>
      <c r="P389" s="230"/>
      <c r="Q389" s="242"/>
      <c r="R389" s="230"/>
      <c r="S389" s="250"/>
      <c r="T389" s="250"/>
      <c r="U389" s="230"/>
      <c r="V389" s="256"/>
      <c r="W389" s="257"/>
      <c r="X389" s="230"/>
      <c r="Y389" s="230"/>
      <c r="Z389" s="230"/>
    </row>
    <row r="390" spans="1:26" ht="24.75" customHeight="1">
      <c r="A390" s="230"/>
      <c r="B390" s="230"/>
      <c r="C390" s="230"/>
      <c r="D390" s="230"/>
      <c r="E390" s="230"/>
      <c r="F390" s="230"/>
      <c r="G390" s="230"/>
      <c r="H390" s="230"/>
      <c r="I390" s="230"/>
      <c r="J390" s="230"/>
      <c r="K390" s="230"/>
      <c r="L390" s="242"/>
      <c r="M390" s="230"/>
      <c r="N390" s="230"/>
      <c r="O390" s="257"/>
      <c r="P390" s="230"/>
      <c r="Q390" s="242"/>
      <c r="R390" s="230"/>
      <c r="S390" s="250"/>
      <c r="T390" s="250"/>
      <c r="U390" s="230"/>
      <c r="V390" s="256"/>
      <c r="W390" s="257"/>
      <c r="X390" s="230"/>
      <c r="Y390" s="230"/>
      <c r="Z390" s="230"/>
    </row>
    <row r="391" spans="1:26" ht="24.75" customHeight="1">
      <c r="A391" s="230"/>
      <c r="B391" s="230"/>
      <c r="C391" s="230"/>
      <c r="D391" s="230"/>
      <c r="E391" s="230"/>
      <c r="F391" s="230"/>
      <c r="G391" s="230"/>
      <c r="H391" s="230"/>
      <c r="I391" s="230"/>
      <c r="J391" s="230"/>
      <c r="K391" s="230"/>
      <c r="L391" s="242"/>
      <c r="M391" s="230"/>
      <c r="N391" s="230"/>
      <c r="O391" s="257"/>
      <c r="P391" s="230"/>
      <c r="Q391" s="242"/>
      <c r="R391" s="230"/>
      <c r="S391" s="250"/>
      <c r="T391" s="250"/>
      <c r="U391" s="230"/>
      <c r="V391" s="256"/>
      <c r="W391" s="257"/>
      <c r="X391" s="230"/>
      <c r="Y391" s="230"/>
      <c r="Z391" s="230"/>
    </row>
    <row r="392" spans="1:26" ht="24.75" customHeight="1">
      <c r="A392" s="230"/>
      <c r="B392" s="230"/>
      <c r="C392" s="230"/>
      <c r="D392" s="230"/>
      <c r="E392" s="230"/>
      <c r="F392" s="230"/>
      <c r="G392" s="230"/>
      <c r="H392" s="230"/>
      <c r="I392" s="230"/>
      <c r="J392" s="230"/>
      <c r="K392" s="230"/>
      <c r="L392" s="242"/>
      <c r="M392" s="230"/>
      <c r="N392" s="230"/>
      <c r="O392" s="257"/>
      <c r="P392" s="230"/>
      <c r="Q392" s="242"/>
      <c r="R392" s="230"/>
      <c r="S392" s="250"/>
      <c r="T392" s="250"/>
      <c r="U392" s="230"/>
      <c r="V392" s="256"/>
      <c r="W392" s="257"/>
      <c r="X392" s="230"/>
      <c r="Y392" s="230"/>
      <c r="Z392" s="230"/>
    </row>
    <row r="393" spans="1:26" ht="24.75" customHeight="1">
      <c r="A393" s="230"/>
      <c r="B393" s="230"/>
      <c r="C393" s="230"/>
      <c r="D393" s="230"/>
      <c r="E393" s="230"/>
      <c r="F393" s="230"/>
      <c r="G393" s="230"/>
      <c r="H393" s="230"/>
      <c r="I393" s="230"/>
      <c r="J393" s="230"/>
      <c r="K393" s="230"/>
      <c r="L393" s="242"/>
      <c r="M393" s="230"/>
      <c r="N393" s="230"/>
      <c r="O393" s="257"/>
      <c r="P393" s="230"/>
      <c r="Q393" s="242"/>
      <c r="R393" s="230"/>
      <c r="S393" s="250"/>
      <c r="T393" s="250"/>
      <c r="U393" s="230"/>
      <c r="V393" s="256"/>
      <c r="W393" s="257"/>
      <c r="X393" s="230"/>
      <c r="Y393" s="230"/>
      <c r="Z393" s="230"/>
    </row>
    <row r="394" spans="1:26" ht="24.75" customHeight="1">
      <c r="A394" s="230"/>
      <c r="B394" s="230"/>
      <c r="C394" s="230"/>
      <c r="D394" s="230"/>
      <c r="E394" s="230"/>
      <c r="F394" s="230"/>
      <c r="G394" s="230"/>
      <c r="H394" s="230"/>
      <c r="I394" s="230"/>
      <c r="J394" s="230"/>
      <c r="K394" s="230"/>
      <c r="L394" s="242"/>
      <c r="M394" s="230"/>
      <c r="N394" s="230"/>
      <c r="O394" s="257"/>
      <c r="P394" s="230"/>
      <c r="Q394" s="242"/>
      <c r="R394" s="230"/>
      <c r="S394" s="250"/>
      <c r="T394" s="250"/>
      <c r="U394" s="230"/>
      <c r="V394" s="256"/>
      <c r="W394" s="257"/>
      <c r="X394" s="230"/>
      <c r="Y394" s="230"/>
      <c r="Z394" s="230"/>
    </row>
    <row r="395" spans="1:26" ht="24.75" customHeight="1">
      <c r="A395" s="230"/>
      <c r="B395" s="230"/>
      <c r="C395" s="230"/>
      <c r="D395" s="230"/>
      <c r="E395" s="230"/>
      <c r="F395" s="230"/>
      <c r="G395" s="230"/>
      <c r="H395" s="230"/>
      <c r="I395" s="230"/>
      <c r="J395" s="230"/>
      <c r="K395" s="230"/>
      <c r="L395" s="242"/>
      <c r="M395" s="230"/>
      <c r="N395" s="230"/>
      <c r="O395" s="257"/>
      <c r="P395" s="230"/>
      <c r="Q395" s="242"/>
      <c r="R395" s="230"/>
      <c r="S395" s="250"/>
      <c r="T395" s="250"/>
      <c r="U395" s="230"/>
      <c r="V395" s="256"/>
      <c r="W395" s="257"/>
      <c r="X395" s="230"/>
      <c r="Y395" s="230"/>
      <c r="Z395" s="230"/>
    </row>
    <row r="396" spans="1:26" ht="24.75" customHeight="1">
      <c r="A396" s="230"/>
      <c r="B396" s="230"/>
      <c r="C396" s="230"/>
      <c r="D396" s="230"/>
      <c r="E396" s="230"/>
      <c r="F396" s="230"/>
      <c r="G396" s="230"/>
      <c r="H396" s="230"/>
      <c r="I396" s="230"/>
      <c r="J396" s="230"/>
      <c r="K396" s="230"/>
      <c r="L396" s="242"/>
      <c r="M396" s="230"/>
      <c r="N396" s="230"/>
      <c r="O396" s="257"/>
      <c r="P396" s="230"/>
      <c r="Q396" s="242"/>
      <c r="R396" s="230"/>
      <c r="S396" s="250"/>
      <c r="T396" s="250"/>
      <c r="U396" s="230"/>
      <c r="V396" s="256"/>
      <c r="W396" s="257"/>
      <c r="X396" s="230"/>
      <c r="Y396" s="230"/>
      <c r="Z396" s="230"/>
    </row>
    <row r="397" spans="1:26" ht="24.75" customHeight="1">
      <c r="A397" s="230"/>
      <c r="B397" s="230"/>
      <c r="C397" s="230"/>
      <c r="D397" s="230"/>
      <c r="E397" s="230"/>
      <c r="F397" s="230"/>
      <c r="G397" s="230"/>
      <c r="H397" s="230"/>
      <c r="I397" s="230"/>
      <c r="J397" s="230"/>
      <c r="K397" s="230"/>
      <c r="L397" s="242"/>
      <c r="M397" s="230"/>
      <c r="N397" s="230"/>
      <c r="O397" s="257"/>
      <c r="P397" s="230"/>
      <c r="Q397" s="242"/>
      <c r="R397" s="230"/>
      <c r="S397" s="250"/>
      <c r="T397" s="250"/>
      <c r="U397" s="230"/>
      <c r="V397" s="256"/>
      <c r="W397" s="257"/>
      <c r="X397" s="230"/>
      <c r="Y397" s="230"/>
      <c r="Z397" s="230"/>
    </row>
    <row r="398" spans="1:26" ht="24.75" customHeight="1">
      <c r="A398" s="230"/>
      <c r="B398" s="230"/>
      <c r="C398" s="230"/>
      <c r="D398" s="230"/>
      <c r="E398" s="230"/>
      <c r="F398" s="230"/>
      <c r="G398" s="230"/>
      <c r="H398" s="230"/>
      <c r="I398" s="230"/>
      <c r="J398" s="230"/>
      <c r="K398" s="230"/>
      <c r="L398" s="242"/>
      <c r="M398" s="230"/>
      <c r="N398" s="230"/>
      <c r="O398" s="257"/>
      <c r="P398" s="230"/>
      <c r="Q398" s="242"/>
      <c r="R398" s="230"/>
      <c r="S398" s="250"/>
      <c r="T398" s="250"/>
      <c r="U398" s="230"/>
      <c r="V398" s="256"/>
      <c r="W398" s="257"/>
      <c r="X398" s="230"/>
      <c r="Y398" s="230"/>
      <c r="Z398" s="230"/>
    </row>
    <row r="399" spans="1:26" ht="24.75" customHeight="1">
      <c r="A399" s="230"/>
      <c r="B399" s="230"/>
      <c r="C399" s="230"/>
      <c r="D399" s="230"/>
      <c r="E399" s="230"/>
      <c r="F399" s="230"/>
      <c r="G399" s="230"/>
      <c r="H399" s="230"/>
      <c r="I399" s="230"/>
      <c r="J399" s="230"/>
      <c r="K399" s="230"/>
      <c r="L399" s="242"/>
      <c r="M399" s="230"/>
      <c r="N399" s="230"/>
      <c r="O399" s="257"/>
      <c r="P399" s="230"/>
      <c r="Q399" s="242"/>
      <c r="R399" s="230"/>
      <c r="S399" s="250"/>
      <c r="T399" s="250"/>
      <c r="U399" s="230"/>
      <c r="V399" s="256"/>
      <c r="W399" s="257"/>
      <c r="X399" s="230"/>
      <c r="Y399" s="230"/>
      <c r="Z399" s="230"/>
    </row>
    <row r="400" spans="1:26" ht="24.75" customHeight="1">
      <c r="A400" s="230"/>
      <c r="B400" s="230"/>
      <c r="C400" s="230"/>
      <c r="D400" s="230"/>
      <c r="E400" s="230"/>
      <c r="F400" s="230"/>
      <c r="G400" s="230"/>
      <c r="H400" s="230"/>
      <c r="I400" s="230"/>
      <c r="J400" s="230"/>
      <c r="K400" s="230"/>
      <c r="L400" s="242"/>
      <c r="M400" s="230"/>
      <c r="N400" s="230"/>
      <c r="O400" s="257"/>
      <c r="P400" s="230"/>
      <c r="Q400" s="242"/>
      <c r="R400" s="230"/>
      <c r="S400" s="250"/>
      <c r="T400" s="250"/>
      <c r="U400" s="230"/>
      <c r="V400" s="256"/>
      <c r="W400" s="257"/>
      <c r="X400" s="230"/>
      <c r="Y400" s="230"/>
      <c r="Z400" s="230"/>
    </row>
    <row r="401" spans="1:26" ht="24.75" customHeight="1">
      <c r="A401" s="230"/>
      <c r="B401" s="230"/>
      <c r="C401" s="230"/>
      <c r="D401" s="230"/>
      <c r="E401" s="230"/>
      <c r="F401" s="230"/>
      <c r="G401" s="230"/>
      <c r="H401" s="230"/>
      <c r="I401" s="230"/>
      <c r="J401" s="230"/>
      <c r="K401" s="230"/>
      <c r="L401" s="242"/>
      <c r="M401" s="230"/>
      <c r="N401" s="230"/>
      <c r="O401" s="257"/>
      <c r="P401" s="230"/>
      <c r="Q401" s="242"/>
      <c r="R401" s="230"/>
      <c r="S401" s="250"/>
      <c r="T401" s="250"/>
      <c r="U401" s="230"/>
      <c r="V401" s="256"/>
      <c r="W401" s="257"/>
      <c r="X401" s="230"/>
      <c r="Y401" s="230"/>
      <c r="Z401" s="230"/>
    </row>
    <row r="402" spans="1:26" ht="24.75" customHeight="1">
      <c r="A402" s="230"/>
      <c r="B402" s="230"/>
      <c r="C402" s="230"/>
      <c r="D402" s="230"/>
      <c r="E402" s="230"/>
      <c r="F402" s="230"/>
      <c r="G402" s="230"/>
      <c r="H402" s="230"/>
      <c r="I402" s="230"/>
      <c r="J402" s="230"/>
      <c r="K402" s="230"/>
      <c r="L402" s="242"/>
      <c r="M402" s="230"/>
      <c r="N402" s="230"/>
      <c r="O402" s="257"/>
      <c r="P402" s="230"/>
      <c r="Q402" s="242"/>
      <c r="R402" s="230"/>
      <c r="S402" s="250"/>
      <c r="T402" s="250"/>
      <c r="U402" s="230"/>
      <c r="V402" s="256"/>
      <c r="W402" s="257"/>
      <c r="X402" s="230"/>
      <c r="Y402" s="230"/>
      <c r="Z402" s="230"/>
    </row>
    <row r="403" spans="1:26" ht="24.75" customHeight="1">
      <c r="A403" s="230"/>
      <c r="B403" s="230"/>
      <c r="C403" s="230"/>
      <c r="D403" s="230"/>
      <c r="E403" s="230"/>
      <c r="F403" s="230"/>
      <c r="G403" s="230"/>
      <c r="H403" s="230"/>
      <c r="I403" s="230"/>
      <c r="J403" s="230"/>
      <c r="K403" s="230"/>
      <c r="L403" s="242"/>
      <c r="M403" s="230"/>
      <c r="N403" s="230"/>
      <c r="O403" s="257"/>
      <c r="P403" s="230"/>
      <c r="Q403" s="242"/>
      <c r="R403" s="230"/>
      <c r="S403" s="250"/>
      <c r="T403" s="250"/>
      <c r="U403" s="230"/>
      <c r="V403" s="256"/>
      <c r="W403" s="257"/>
      <c r="X403" s="230"/>
      <c r="Y403" s="230"/>
      <c r="Z403" s="230"/>
    </row>
    <row r="404" spans="1:26" ht="24.75" customHeight="1">
      <c r="A404" s="230"/>
      <c r="B404" s="230"/>
      <c r="C404" s="230"/>
      <c r="D404" s="230"/>
      <c r="E404" s="230"/>
      <c r="F404" s="230"/>
      <c r="G404" s="230"/>
      <c r="H404" s="230"/>
      <c r="I404" s="230"/>
      <c r="J404" s="230"/>
      <c r="K404" s="230"/>
      <c r="L404" s="242"/>
      <c r="M404" s="230"/>
      <c r="N404" s="230"/>
      <c r="O404" s="257"/>
      <c r="P404" s="230"/>
      <c r="Q404" s="242"/>
      <c r="R404" s="230"/>
      <c r="S404" s="250"/>
      <c r="T404" s="250"/>
      <c r="U404" s="230"/>
      <c r="V404" s="256"/>
      <c r="W404" s="257"/>
      <c r="X404" s="230"/>
      <c r="Y404" s="230"/>
      <c r="Z404" s="230"/>
    </row>
    <row r="405" spans="1:26" ht="24.75" customHeight="1">
      <c r="A405" s="230"/>
      <c r="B405" s="230"/>
      <c r="C405" s="230"/>
      <c r="D405" s="230"/>
      <c r="E405" s="230"/>
      <c r="F405" s="230"/>
      <c r="G405" s="230"/>
      <c r="H405" s="230"/>
      <c r="I405" s="230"/>
      <c r="J405" s="230"/>
      <c r="K405" s="230"/>
      <c r="L405" s="242"/>
      <c r="M405" s="230"/>
      <c r="N405" s="230"/>
      <c r="O405" s="257"/>
      <c r="P405" s="230"/>
      <c r="Q405" s="242"/>
      <c r="R405" s="230"/>
      <c r="S405" s="250"/>
      <c r="T405" s="250"/>
      <c r="U405" s="230"/>
      <c r="V405" s="256"/>
      <c r="W405" s="257"/>
      <c r="X405" s="230"/>
      <c r="Y405" s="230"/>
      <c r="Z405" s="230"/>
    </row>
    <row r="406" spans="1:26" ht="24.75" customHeight="1">
      <c r="A406" s="230"/>
      <c r="B406" s="230"/>
      <c r="C406" s="230"/>
      <c r="D406" s="230"/>
      <c r="E406" s="230"/>
      <c r="F406" s="230"/>
      <c r="G406" s="230"/>
      <c r="H406" s="230"/>
      <c r="I406" s="230"/>
      <c r="J406" s="230"/>
      <c r="K406" s="230"/>
      <c r="L406" s="242"/>
      <c r="M406" s="230"/>
      <c r="N406" s="230"/>
      <c r="O406" s="257"/>
      <c r="P406" s="230"/>
      <c r="Q406" s="242"/>
      <c r="R406" s="230"/>
      <c r="S406" s="250"/>
      <c r="T406" s="250"/>
      <c r="U406" s="230"/>
      <c r="V406" s="256"/>
      <c r="W406" s="257"/>
      <c r="X406" s="230"/>
      <c r="Y406" s="230"/>
      <c r="Z406" s="230"/>
    </row>
    <row r="407" spans="1:26" ht="24.75" customHeight="1">
      <c r="A407" s="230"/>
      <c r="B407" s="230"/>
      <c r="C407" s="230"/>
      <c r="D407" s="230"/>
      <c r="E407" s="230"/>
      <c r="F407" s="230"/>
      <c r="G407" s="230"/>
      <c r="H407" s="230"/>
      <c r="I407" s="230"/>
      <c r="J407" s="230"/>
      <c r="K407" s="230"/>
      <c r="L407" s="242"/>
      <c r="M407" s="230"/>
      <c r="N407" s="230"/>
      <c r="O407" s="257"/>
      <c r="P407" s="230"/>
      <c r="Q407" s="242"/>
      <c r="R407" s="230"/>
      <c r="S407" s="250"/>
      <c r="T407" s="250"/>
      <c r="U407" s="230"/>
      <c r="V407" s="256"/>
      <c r="W407" s="257"/>
      <c r="X407" s="230"/>
      <c r="Y407" s="230"/>
      <c r="Z407" s="230"/>
    </row>
    <row r="408" spans="1:26" ht="24.75" customHeight="1">
      <c r="A408" s="230"/>
      <c r="B408" s="230"/>
      <c r="C408" s="230"/>
      <c r="D408" s="230"/>
      <c r="E408" s="230"/>
      <c r="F408" s="230"/>
      <c r="G408" s="230"/>
      <c r="H408" s="230"/>
      <c r="I408" s="230"/>
      <c r="J408" s="230"/>
      <c r="K408" s="230"/>
      <c r="L408" s="242"/>
      <c r="M408" s="230"/>
      <c r="N408" s="230"/>
      <c r="O408" s="257"/>
      <c r="P408" s="230"/>
      <c r="Q408" s="242"/>
      <c r="R408" s="230"/>
      <c r="S408" s="250"/>
      <c r="T408" s="250"/>
      <c r="U408" s="230"/>
      <c r="V408" s="256"/>
      <c r="W408" s="257"/>
      <c r="X408" s="230"/>
      <c r="Y408" s="230"/>
      <c r="Z408" s="230"/>
    </row>
    <row r="409" spans="1:26" ht="24.75" customHeight="1">
      <c r="A409" s="230"/>
      <c r="B409" s="230"/>
      <c r="C409" s="230"/>
      <c r="D409" s="230"/>
      <c r="E409" s="230"/>
      <c r="F409" s="230"/>
      <c r="G409" s="230"/>
      <c r="H409" s="230"/>
      <c r="I409" s="230"/>
      <c r="J409" s="230"/>
      <c r="K409" s="230"/>
      <c r="L409" s="242"/>
      <c r="M409" s="230"/>
      <c r="N409" s="230"/>
      <c r="O409" s="257"/>
      <c r="P409" s="230"/>
      <c r="Q409" s="242"/>
      <c r="R409" s="230"/>
      <c r="S409" s="250"/>
      <c r="T409" s="250"/>
      <c r="U409" s="230"/>
      <c r="V409" s="256"/>
      <c r="W409" s="257"/>
      <c r="X409" s="230"/>
      <c r="Y409" s="230"/>
      <c r="Z409" s="230"/>
    </row>
    <row r="410" spans="1:26" ht="24.75" customHeight="1">
      <c r="A410" s="230"/>
      <c r="B410" s="230"/>
      <c r="C410" s="230"/>
      <c r="D410" s="230"/>
      <c r="E410" s="230"/>
      <c r="F410" s="230"/>
      <c r="G410" s="230"/>
      <c r="H410" s="230"/>
      <c r="I410" s="230"/>
      <c r="J410" s="230"/>
      <c r="K410" s="230"/>
      <c r="L410" s="242"/>
      <c r="M410" s="230"/>
      <c r="N410" s="230"/>
      <c r="O410" s="257"/>
      <c r="P410" s="230"/>
      <c r="Q410" s="242"/>
      <c r="R410" s="230"/>
      <c r="S410" s="250"/>
      <c r="T410" s="250"/>
      <c r="U410" s="230"/>
      <c r="V410" s="256"/>
      <c r="W410" s="257"/>
      <c r="X410" s="230"/>
      <c r="Y410" s="230"/>
      <c r="Z410" s="230"/>
    </row>
    <row r="411" spans="1:26" ht="24.75" customHeight="1">
      <c r="A411" s="230"/>
      <c r="B411" s="230"/>
      <c r="C411" s="230"/>
      <c r="D411" s="230"/>
      <c r="E411" s="230"/>
      <c r="F411" s="230"/>
      <c r="G411" s="230"/>
      <c r="H411" s="230"/>
      <c r="I411" s="230"/>
      <c r="J411" s="230"/>
      <c r="K411" s="230"/>
      <c r="L411" s="242"/>
      <c r="M411" s="230"/>
      <c r="N411" s="230"/>
      <c r="O411" s="257"/>
      <c r="P411" s="230"/>
      <c r="Q411" s="242"/>
      <c r="R411" s="230"/>
      <c r="S411" s="250"/>
      <c r="T411" s="250"/>
      <c r="U411" s="230"/>
      <c r="V411" s="256"/>
      <c r="W411" s="257"/>
      <c r="X411" s="230"/>
      <c r="Y411" s="230"/>
      <c r="Z411" s="230"/>
    </row>
    <row r="412" spans="1:26" ht="24.75" customHeight="1">
      <c r="A412" s="230"/>
      <c r="B412" s="230"/>
      <c r="C412" s="230"/>
      <c r="D412" s="230"/>
      <c r="E412" s="230"/>
      <c r="F412" s="230"/>
      <c r="G412" s="230"/>
      <c r="H412" s="230"/>
      <c r="I412" s="230"/>
      <c r="J412" s="230"/>
      <c r="K412" s="230"/>
      <c r="L412" s="242"/>
      <c r="M412" s="230"/>
      <c r="N412" s="230"/>
      <c r="O412" s="257"/>
      <c r="P412" s="230"/>
      <c r="Q412" s="242"/>
      <c r="R412" s="230"/>
      <c r="S412" s="250"/>
      <c r="T412" s="250"/>
      <c r="U412" s="230"/>
      <c r="V412" s="256"/>
      <c r="W412" s="257"/>
      <c r="X412" s="230"/>
      <c r="Y412" s="230"/>
      <c r="Z412" s="230"/>
    </row>
    <row r="413" spans="1:26" ht="24.75" customHeight="1">
      <c r="A413" s="230"/>
      <c r="B413" s="230"/>
      <c r="C413" s="230"/>
      <c r="D413" s="230"/>
      <c r="E413" s="230"/>
      <c r="F413" s="230"/>
      <c r="G413" s="230"/>
      <c r="H413" s="230"/>
      <c r="I413" s="230"/>
      <c r="J413" s="230"/>
      <c r="K413" s="230"/>
      <c r="L413" s="242"/>
      <c r="M413" s="230"/>
      <c r="N413" s="230"/>
      <c r="O413" s="257"/>
      <c r="P413" s="230"/>
      <c r="Q413" s="242"/>
      <c r="R413" s="230"/>
      <c r="S413" s="250"/>
      <c r="T413" s="250"/>
      <c r="U413" s="230"/>
      <c r="V413" s="256"/>
      <c r="W413" s="257"/>
      <c r="X413" s="230"/>
      <c r="Y413" s="230"/>
      <c r="Z413" s="230"/>
    </row>
    <row r="414" spans="1:26" ht="24.75" customHeight="1">
      <c r="A414" s="230"/>
      <c r="B414" s="230"/>
      <c r="C414" s="230"/>
      <c r="D414" s="230"/>
      <c r="E414" s="230"/>
      <c r="F414" s="230"/>
      <c r="G414" s="230"/>
      <c r="H414" s="230"/>
      <c r="I414" s="230"/>
      <c r="J414" s="230"/>
      <c r="K414" s="230"/>
      <c r="L414" s="242"/>
      <c r="M414" s="230"/>
      <c r="N414" s="230"/>
      <c r="O414" s="257"/>
      <c r="P414" s="230"/>
      <c r="Q414" s="242"/>
      <c r="R414" s="230"/>
      <c r="S414" s="250"/>
      <c r="T414" s="250"/>
      <c r="U414" s="230"/>
      <c r="V414" s="256"/>
      <c r="W414" s="257"/>
      <c r="X414" s="230"/>
      <c r="Y414" s="230"/>
      <c r="Z414" s="230"/>
    </row>
    <row r="415" spans="1:26" ht="24.75" customHeight="1">
      <c r="A415" s="230"/>
      <c r="B415" s="230"/>
      <c r="C415" s="230"/>
      <c r="D415" s="230"/>
      <c r="E415" s="230"/>
      <c r="F415" s="230"/>
      <c r="G415" s="230"/>
      <c r="H415" s="230"/>
      <c r="I415" s="230"/>
      <c r="J415" s="230"/>
      <c r="K415" s="230"/>
      <c r="L415" s="242"/>
      <c r="M415" s="230"/>
      <c r="N415" s="230"/>
      <c r="O415" s="257"/>
      <c r="P415" s="230"/>
      <c r="Q415" s="242"/>
      <c r="R415" s="230"/>
      <c r="S415" s="250"/>
      <c r="T415" s="250"/>
      <c r="U415" s="230"/>
      <c r="V415" s="256"/>
      <c r="W415" s="257"/>
      <c r="X415" s="230"/>
      <c r="Y415" s="230"/>
      <c r="Z415" s="230"/>
    </row>
    <row r="416" spans="1:26" ht="24.75" customHeight="1">
      <c r="A416" s="230"/>
      <c r="B416" s="230"/>
      <c r="C416" s="230"/>
      <c r="D416" s="230"/>
      <c r="E416" s="230"/>
      <c r="F416" s="230"/>
      <c r="G416" s="230"/>
      <c r="H416" s="230"/>
      <c r="I416" s="230"/>
      <c r="J416" s="230"/>
      <c r="K416" s="230"/>
      <c r="L416" s="242"/>
      <c r="M416" s="230"/>
      <c r="N416" s="230"/>
      <c r="O416" s="257"/>
      <c r="P416" s="230"/>
      <c r="Q416" s="242"/>
      <c r="R416" s="230"/>
      <c r="S416" s="250"/>
      <c r="T416" s="250"/>
      <c r="U416" s="230"/>
      <c r="V416" s="256"/>
      <c r="W416" s="257"/>
      <c r="X416" s="230"/>
      <c r="Y416" s="230"/>
      <c r="Z416" s="230"/>
    </row>
    <row r="417" spans="1:26" ht="24.75" customHeight="1">
      <c r="A417" s="230"/>
      <c r="B417" s="230"/>
      <c r="C417" s="230"/>
      <c r="D417" s="230"/>
      <c r="E417" s="230"/>
      <c r="F417" s="230"/>
      <c r="G417" s="230"/>
      <c r="H417" s="230"/>
      <c r="I417" s="230"/>
      <c r="J417" s="230"/>
      <c r="K417" s="230"/>
      <c r="L417" s="242"/>
      <c r="M417" s="230"/>
      <c r="N417" s="230"/>
      <c r="O417" s="257"/>
      <c r="P417" s="230"/>
      <c r="Q417" s="242"/>
      <c r="R417" s="230"/>
      <c r="S417" s="250"/>
      <c r="T417" s="250"/>
      <c r="U417" s="230"/>
      <c r="V417" s="256"/>
      <c r="W417" s="257"/>
      <c r="X417" s="230"/>
      <c r="Y417" s="230"/>
      <c r="Z417" s="230"/>
    </row>
    <row r="418" spans="1:26" ht="24.75" customHeight="1">
      <c r="A418" s="230"/>
      <c r="B418" s="230"/>
      <c r="C418" s="230"/>
      <c r="D418" s="230"/>
      <c r="E418" s="230"/>
      <c r="F418" s="230"/>
      <c r="G418" s="230"/>
      <c r="H418" s="230"/>
      <c r="I418" s="230"/>
      <c r="J418" s="230"/>
      <c r="K418" s="230"/>
      <c r="L418" s="242"/>
      <c r="M418" s="230"/>
      <c r="N418" s="230"/>
      <c r="O418" s="257"/>
      <c r="P418" s="230"/>
      <c r="Q418" s="242"/>
      <c r="R418" s="230"/>
      <c r="S418" s="250"/>
      <c r="T418" s="250"/>
      <c r="U418" s="230"/>
      <c r="V418" s="256"/>
      <c r="W418" s="257"/>
      <c r="X418" s="230"/>
      <c r="Y418" s="230"/>
      <c r="Z418" s="230"/>
    </row>
    <row r="419" spans="1:26" ht="24.75" customHeight="1">
      <c r="A419" s="230"/>
      <c r="B419" s="230"/>
      <c r="C419" s="230"/>
      <c r="D419" s="230"/>
      <c r="E419" s="230"/>
      <c r="F419" s="230"/>
      <c r="G419" s="230"/>
      <c r="H419" s="230"/>
      <c r="I419" s="230"/>
      <c r="J419" s="230"/>
      <c r="K419" s="230"/>
      <c r="L419" s="242"/>
      <c r="M419" s="230"/>
      <c r="N419" s="230"/>
      <c r="O419" s="257"/>
      <c r="P419" s="230"/>
      <c r="Q419" s="242"/>
      <c r="R419" s="230"/>
      <c r="S419" s="250"/>
      <c r="T419" s="250"/>
      <c r="U419" s="230"/>
      <c r="V419" s="256"/>
      <c r="W419" s="257"/>
      <c r="X419" s="230"/>
      <c r="Y419" s="230"/>
      <c r="Z419" s="230"/>
    </row>
    <row r="420" spans="1:26" ht="24.75" customHeight="1">
      <c r="A420" s="230"/>
      <c r="B420" s="230"/>
      <c r="C420" s="230"/>
      <c r="D420" s="230"/>
      <c r="E420" s="230"/>
      <c r="F420" s="230"/>
      <c r="G420" s="230"/>
      <c r="H420" s="230"/>
      <c r="I420" s="230"/>
      <c r="J420" s="230"/>
      <c r="K420" s="230"/>
      <c r="L420" s="242"/>
      <c r="M420" s="230"/>
      <c r="N420" s="230"/>
      <c r="O420" s="257"/>
      <c r="P420" s="230"/>
      <c r="Q420" s="242"/>
      <c r="R420" s="230"/>
      <c r="S420" s="250"/>
      <c r="T420" s="250"/>
      <c r="U420" s="230"/>
      <c r="V420" s="256"/>
      <c r="W420" s="257"/>
      <c r="X420" s="230"/>
      <c r="Y420" s="230"/>
      <c r="Z420" s="230"/>
    </row>
    <row r="421" spans="1:26" ht="24.75" customHeight="1">
      <c r="A421" s="230"/>
      <c r="B421" s="230"/>
      <c r="C421" s="230"/>
      <c r="D421" s="230"/>
      <c r="E421" s="230"/>
      <c r="F421" s="230"/>
      <c r="G421" s="230"/>
      <c r="H421" s="230"/>
      <c r="I421" s="230"/>
      <c r="J421" s="230"/>
      <c r="K421" s="230"/>
      <c r="L421" s="242"/>
      <c r="M421" s="230"/>
      <c r="N421" s="230"/>
      <c r="O421" s="257"/>
      <c r="P421" s="230"/>
      <c r="Q421" s="242"/>
      <c r="R421" s="230"/>
      <c r="S421" s="250"/>
      <c r="T421" s="250"/>
      <c r="U421" s="230"/>
      <c r="V421" s="256"/>
      <c r="W421" s="257"/>
      <c r="X421" s="230"/>
      <c r="Y421" s="230"/>
      <c r="Z421" s="230"/>
    </row>
    <row r="422" spans="1:26" ht="24.75" customHeight="1">
      <c r="A422" s="230"/>
      <c r="B422" s="230"/>
      <c r="C422" s="230"/>
      <c r="D422" s="230"/>
      <c r="E422" s="230"/>
      <c r="F422" s="230"/>
      <c r="G422" s="230"/>
      <c r="H422" s="230"/>
      <c r="I422" s="230"/>
      <c r="J422" s="230"/>
      <c r="K422" s="230"/>
      <c r="L422" s="242"/>
      <c r="M422" s="230"/>
      <c r="N422" s="230"/>
      <c r="O422" s="257"/>
      <c r="P422" s="230"/>
      <c r="Q422" s="242"/>
      <c r="R422" s="230"/>
      <c r="S422" s="250"/>
      <c r="T422" s="250"/>
      <c r="U422" s="230"/>
      <c r="V422" s="256"/>
      <c r="W422" s="257"/>
      <c r="X422" s="230"/>
      <c r="Y422" s="230"/>
      <c r="Z422" s="230"/>
    </row>
    <row r="423" spans="1:26" ht="24.75" customHeight="1">
      <c r="A423" s="230"/>
      <c r="B423" s="230"/>
      <c r="C423" s="230"/>
      <c r="D423" s="230"/>
      <c r="E423" s="230"/>
      <c r="F423" s="230"/>
      <c r="G423" s="230"/>
      <c r="H423" s="230"/>
      <c r="I423" s="230"/>
      <c r="J423" s="230"/>
      <c r="K423" s="230"/>
      <c r="L423" s="242"/>
      <c r="M423" s="230"/>
      <c r="N423" s="230"/>
      <c r="O423" s="257"/>
      <c r="P423" s="230"/>
      <c r="Q423" s="242"/>
      <c r="R423" s="230"/>
      <c r="S423" s="250"/>
      <c r="T423" s="250"/>
      <c r="U423" s="230"/>
      <c r="V423" s="256"/>
      <c r="W423" s="257"/>
      <c r="X423" s="230"/>
      <c r="Y423" s="230"/>
      <c r="Z423" s="230"/>
    </row>
    <row r="424" spans="1:26" ht="24.75" customHeight="1">
      <c r="A424" s="230"/>
      <c r="B424" s="230"/>
      <c r="C424" s="230"/>
      <c r="D424" s="230"/>
      <c r="E424" s="230"/>
      <c r="F424" s="230"/>
      <c r="G424" s="230"/>
      <c r="H424" s="230"/>
      <c r="I424" s="230"/>
      <c r="J424" s="230"/>
      <c r="K424" s="230"/>
      <c r="L424" s="242"/>
      <c r="M424" s="230"/>
      <c r="N424" s="230"/>
      <c r="O424" s="257"/>
      <c r="P424" s="230"/>
      <c r="Q424" s="242"/>
      <c r="R424" s="230"/>
      <c r="S424" s="250"/>
      <c r="T424" s="250"/>
      <c r="U424" s="230"/>
      <c r="V424" s="256"/>
      <c r="W424" s="257"/>
      <c r="X424" s="230"/>
      <c r="Y424" s="230"/>
      <c r="Z424" s="230"/>
    </row>
    <row r="425" spans="1:26" ht="24.75" customHeight="1">
      <c r="A425" s="230"/>
      <c r="B425" s="230"/>
      <c r="C425" s="230"/>
      <c r="D425" s="230"/>
      <c r="E425" s="230"/>
      <c r="F425" s="230"/>
      <c r="G425" s="230"/>
      <c r="H425" s="230"/>
      <c r="I425" s="230"/>
      <c r="J425" s="230"/>
      <c r="K425" s="230"/>
      <c r="L425" s="242"/>
      <c r="M425" s="230"/>
      <c r="N425" s="230"/>
      <c r="O425" s="257"/>
      <c r="P425" s="230"/>
      <c r="Q425" s="242"/>
      <c r="R425" s="230"/>
      <c r="S425" s="250"/>
      <c r="T425" s="250"/>
      <c r="U425" s="230"/>
      <c r="V425" s="256"/>
      <c r="W425" s="257"/>
      <c r="X425" s="230"/>
      <c r="Y425" s="230"/>
      <c r="Z425" s="230"/>
    </row>
    <row r="426" spans="1:26" ht="24.75" customHeight="1">
      <c r="A426" s="230"/>
      <c r="B426" s="230"/>
      <c r="C426" s="230"/>
      <c r="D426" s="230"/>
      <c r="E426" s="230"/>
      <c r="F426" s="230"/>
      <c r="G426" s="230"/>
      <c r="H426" s="230"/>
      <c r="I426" s="230"/>
      <c r="J426" s="230"/>
      <c r="K426" s="230"/>
      <c r="L426" s="242"/>
      <c r="M426" s="230"/>
      <c r="N426" s="230"/>
      <c r="O426" s="257"/>
      <c r="P426" s="230"/>
      <c r="Q426" s="242"/>
      <c r="R426" s="230"/>
      <c r="S426" s="250"/>
      <c r="T426" s="250"/>
      <c r="U426" s="230"/>
      <c r="V426" s="256"/>
      <c r="W426" s="257"/>
      <c r="X426" s="230"/>
      <c r="Y426" s="230"/>
      <c r="Z426" s="230"/>
    </row>
    <row r="427" spans="1:26" ht="24.75" customHeight="1">
      <c r="A427" s="230"/>
      <c r="B427" s="230"/>
      <c r="C427" s="230"/>
      <c r="D427" s="230"/>
      <c r="E427" s="230"/>
      <c r="F427" s="230"/>
      <c r="G427" s="230"/>
      <c r="H427" s="230"/>
      <c r="I427" s="230"/>
      <c r="J427" s="230"/>
      <c r="K427" s="230"/>
      <c r="L427" s="242"/>
      <c r="M427" s="230"/>
      <c r="N427" s="230"/>
      <c r="O427" s="257"/>
      <c r="P427" s="230"/>
      <c r="Q427" s="242"/>
      <c r="R427" s="230"/>
      <c r="S427" s="250"/>
      <c r="T427" s="250"/>
      <c r="U427" s="230"/>
      <c r="V427" s="256"/>
      <c r="W427" s="257"/>
      <c r="X427" s="230"/>
      <c r="Y427" s="230"/>
      <c r="Z427" s="230"/>
    </row>
    <row r="428" spans="1:26" ht="24.75" customHeight="1">
      <c r="A428" s="230"/>
      <c r="B428" s="230"/>
      <c r="C428" s="230"/>
      <c r="D428" s="230"/>
      <c r="E428" s="230"/>
      <c r="F428" s="230"/>
      <c r="G428" s="230"/>
      <c r="H428" s="230"/>
      <c r="I428" s="230"/>
      <c r="J428" s="230"/>
      <c r="K428" s="230"/>
      <c r="L428" s="242"/>
      <c r="M428" s="230"/>
      <c r="N428" s="230"/>
      <c r="O428" s="257"/>
      <c r="P428" s="230"/>
      <c r="Q428" s="242"/>
      <c r="R428" s="230"/>
      <c r="S428" s="250"/>
      <c r="T428" s="250"/>
      <c r="U428" s="230"/>
      <c r="V428" s="256"/>
      <c r="W428" s="257"/>
      <c r="X428" s="230"/>
      <c r="Y428" s="230"/>
      <c r="Z428" s="230"/>
    </row>
    <row r="429" spans="1:26" ht="24.75" customHeight="1">
      <c r="A429" s="230"/>
      <c r="B429" s="230"/>
      <c r="C429" s="230"/>
      <c r="D429" s="230"/>
      <c r="E429" s="230"/>
      <c r="F429" s="230"/>
      <c r="G429" s="230"/>
      <c r="H429" s="230"/>
      <c r="I429" s="230"/>
      <c r="J429" s="230"/>
      <c r="K429" s="230"/>
      <c r="L429" s="242"/>
      <c r="M429" s="230"/>
      <c r="N429" s="230"/>
      <c r="O429" s="257"/>
      <c r="P429" s="230"/>
      <c r="Q429" s="242"/>
      <c r="R429" s="230"/>
      <c r="S429" s="250"/>
      <c r="T429" s="250"/>
      <c r="U429" s="230"/>
      <c r="V429" s="256"/>
      <c r="W429" s="257"/>
      <c r="X429" s="230"/>
      <c r="Y429" s="230"/>
      <c r="Z429" s="230"/>
    </row>
    <row r="430" spans="1:26" ht="24.75" customHeight="1">
      <c r="A430" s="230"/>
      <c r="B430" s="230"/>
      <c r="C430" s="230"/>
      <c r="D430" s="230"/>
      <c r="E430" s="230"/>
      <c r="F430" s="230"/>
      <c r="G430" s="230"/>
      <c r="H430" s="230"/>
      <c r="I430" s="230"/>
      <c r="J430" s="230"/>
      <c r="K430" s="230"/>
      <c r="L430" s="242"/>
      <c r="M430" s="230"/>
      <c r="N430" s="230"/>
      <c r="O430" s="257"/>
      <c r="P430" s="230"/>
      <c r="Q430" s="242"/>
      <c r="R430" s="230"/>
      <c r="S430" s="250"/>
      <c r="T430" s="250"/>
      <c r="U430" s="230"/>
      <c r="V430" s="256"/>
      <c r="W430" s="257"/>
      <c r="X430" s="230"/>
      <c r="Y430" s="230"/>
      <c r="Z430" s="230"/>
    </row>
    <row r="431" spans="1:26" ht="24.75" customHeight="1">
      <c r="A431" s="230"/>
      <c r="B431" s="230"/>
      <c r="C431" s="230"/>
      <c r="D431" s="230"/>
      <c r="E431" s="230"/>
      <c r="F431" s="230"/>
      <c r="G431" s="230"/>
      <c r="H431" s="230"/>
      <c r="I431" s="230"/>
      <c r="J431" s="230"/>
      <c r="K431" s="230"/>
      <c r="L431" s="242"/>
      <c r="M431" s="230"/>
      <c r="N431" s="230"/>
      <c r="O431" s="257"/>
      <c r="P431" s="230"/>
      <c r="Q431" s="242"/>
      <c r="R431" s="230"/>
      <c r="S431" s="250"/>
      <c r="T431" s="250"/>
      <c r="U431" s="230"/>
      <c r="V431" s="256"/>
      <c r="W431" s="257"/>
      <c r="X431" s="230"/>
      <c r="Y431" s="230"/>
      <c r="Z431" s="230"/>
    </row>
    <row r="432" spans="1:26" ht="24.75" customHeight="1">
      <c r="A432" s="230"/>
      <c r="B432" s="230"/>
      <c r="C432" s="230"/>
      <c r="D432" s="230"/>
      <c r="E432" s="230"/>
      <c r="F432" s="230"/>
      <c r="G432" s="230"/>
      <c r="H432" s="230"/>
      <c r="I432" s="230"/>
      <c r="J432" s="230"/>
      <c r="K432" s="230"/>
      <c r="L432" s="242"/>
      <c r="M432" s="230"/>
      <c r="N432" s="230"/>
      <c r="O432" s="257"/>
      <c r="P432" s="230"/>
      <c r="Q432" s="242"/>
      <c r="R432" s="230"/>
      <c r="S432" s="250"/>
      <c r="T432" s="250"/>
      <c r="U432" s="230"/>
      <c r="V432" s="256"/>
      <c r="W432" s="257"/>
      <c r="X432" s="230"/>
      <c r="Y432" s="230"/>
      <c r="Z432" s="230"/>
    </row>
    <row r="433" spans="1:26" ht="24.75" customHeight="1">
      <c r="A433" s="230"/>
      <c r="B433" s="230"/>
      <c r="C433" s="230"/>
      <c r="D433" s="230"/>
      <c r="E433" s="230"/>
      <c r="F433" s="230"/>
      <c r="G433" s="230"/>
      <c r="H433" s="230"/>
      <c r="I433" s="230"/>
      <c r="J433" s="230"/>
      <c r="K433" s="230"/>
      <c r="L433" s="242"/>
      <c r="M433" s="230"/>
      <c r="N433" s="230"/>
      <c r="O433" s="257"/>
      <c r="P433" s="230"/>
      <c r="Q433" s="242"/>
      <c r="R433" s="230"/>
      <c r="S433" s="250"/>
      <c r="T433" s="250"/>
      <c r="U433" s="230"/>
      <c r="V433" s="256"/>
      <c r="W433" s="257"/>
      <c r="X433" s="230"/>
      <c r="Y433" s="230"/>
      <c r="Z433" s="230"/>
    </row>
    <row r="434" spans="1:26" ht="24.75" customHeight="1">
      <c r="A434" s="230"/>
      <c r="B434" s="230"/>
      <c r="C434" s="230"/>
      <c r="D434" s="230"/>
      <c r="E434" s="230"/>
      <c r="F434" s="230"/>
      <c r="G434" s="230"/>
      <c r="H434" s="230"/>
      <c r="I434" s="230"/>
      <c r="J434" s="230"/>
      <c r="K434" s="230"/>
      <c r="L434" s="242"/>
      <c r="M434" s="230"/>
      <c r="N434" s="230"/>
      <c r="O434" s="257"/>
      <c r="P434" s="230"/>
      <c r="Q434" s="242"/>
      <c r="R434" s="230"/>
      <c r="S434" s="250"/>
      <c r="T434" s="250"/>
      <c r="U434" s="230"/>
      <c r="V434" s="256"/>
      <c r="W434" s="257"/>
      <c r="X434" s="230"/>
      <c r="Y434" s="230"/>
      <c r="Z434" s="230"/>
    </row>
    <row r="435" spans="1:26" ht="24.75" customHeight="1">
      <c r="A435" s="230"/>
      <c r="B435" s="230"/>
      <c r="C435" s="230"/>
      <c r="D435" s="230"/>
      <c r="E435" s="230"/>
      <c r="F435" s="230"/>
      <c r="G435" s="230"/>
      <c r="H435" s="230"/>
      <c r="I435" s="230"/>
      <c r="J435" s="230"/>
      <c r="K435" s="230"/>
      <c r="L435" s="242"/>
      <c r="M435" s="230"/>
      <c r="N435" s="230"/>
      <c r="O435" s="257"/>
      <c r="P435" s="230"/>
      <c r="Q435" s="242"/>
      <c r="R435" s="230"/>
      <c r="S435" s="250"/>
      <c r="T435" s="250"/>
      <c r="U435" s="230"/>
      <c r="V435" s="256"/>
      <c r="W435" s="257"/>
      <c r="X435" s="230"/>
      <c r="Y435" s="230"/>
      <c r="Z435" s="230"/>
    </row>
    <row r="436" spans="1:26" ht="24.75" customHeight="1">
      <c r="A436" s="230"/>
      <c r="B436" s="230"/>
      <c r="C436" s="230"/>
      <c r="D436" s="230"/>
      <c r="E436" s="230"/>
      <c r="F436" s="230"/>
      <c r="G436" s="230"/>
      <c r="H436" s="230"/>
      <c r="I436" s="230"/>
      <c r="J436" s="230"/>
      <c r="K436" s="230"/>
      <c r="L436" s="242"/>
      <c r="M436" s="230"/>
      <c r="N436" s="230"/>
      <c r="O436" s="257"/>
      <c r="P436" s="230"/>
      <c r="Q436" s="242"/>
      <c r="R436" s="230"/>
      <c r="S436" s="250"/>
      <c r="T436" s="250"/>
      <c r="U436" s="230"/>
      <c r="V436" s="256"/>
      <c r="W436" s="257"/>
      <c r="X436" s="230"/>
      <c r="Y436" s="230"/>
      <c r="Z436" s="230"/>
    </row>
    <row r="437" spans="1:26" ht="24.75" customHeight="1">
      <c r="A437" s="230"/>
      <c r="B437" s="230"/>
      <c r="C437" s="230"/>
      <c r="D437" s="230"/>
      <c r="E437" s="230"/>
      <c r="F437" s="230"/>
      <c r="G437" s="230"/>
      <c r="H437" s="230"/>
      <c r="I437" s="230"/>
      <c r="J437" s="230"/>
      <c r="K437" s="230"/>
      <c r="L437" s="242"/>
      <c r="M437" s="230"/>
      <c r="N437" s="230"/>
      <c r="O437" s="257"/>
      <c r="P437" s="230"/>
      <c r="Q437" s="242"/>
      <c r="R437" s="230"/>
      <c r="S437" s="250"/>
      <c r="T437" s="250"/>
      <c r="U437" s="230"/>
      <c r="V437" s="256"/>
      <c r="W437" s="257"/>
      <c r="X437" s="230"/>
      <c r="Y437" s="230"/>
      <c r="Z437" s="230"/>
    </row>
    <row r="438" spans="1:26" ht="24.75" customHeight="1">
      <c r="A438" s="230"/>
      <c r="B438" s="230"/>
      <c r="C438" s="230"/>
      <c r="D438" s="230"/>
      <c r="E438" s="230"/>
      <c r="F438" s="230"/>
      <c r="G438" s="230"/>
      <c r="H438" s="230"/>
      <c r="I438" s="230"/>
      <c r="J438" s="230"/>
      <c r="K438" s="230"/>
      <c r="L438" s="242"/>
      <c r="M438" s="230"/>
      <c r="N438" s="230"/>
      <c r="O438" s="257"/>
      <c r="P438" s="230"/>
      <c r="Q438" s="242"/>
      <c r="R438" s="230"/>
      <c r="S438" s="250"/>
      <c r="T438" s="250"/>
      <c r="U438" s="230"/>
      <c r="V438" s="256"/>
      <c r="W438" s="257"/>
      <c r="X438" s="230"/>
      <c r="Y438" s="230"/>
      <c r="Z438" s="230"/>
    </row>
    <row r="439" spans="1:26" ht="24.75" customHeight="1">
      <c r="A439" s="230"/>
      <c r="B439" s="230"/>
      <c r="C439" s="230"/>
      <c r="D439" s="230"/>
      <c r="E439" s="230"/>
      <c r="F439" s="230"/>
      <c r="G439" s="230"/>
      <c r="H439" s="230"/>
      <c r="I439" s="230"/>
      <c r="J439" s="230"/>
      <c r="K439" s="230"/>
      <c r="L439" s="242"/>
      <c r="M439" s="230"/>
      <c r="N439" s="230"/>
      <c r="O439" s="257"/>
      <c r="P439" s="230"/>
      <c r="Q439" s="242"/>
      <c r="R439" s="230"/>
      <c r="S439" s="250"/>
      <c r="T439" s="250"/>
      <c r="U439" s="230"/>
      <c r="V439" s="256"/>
      <c r="W439" s="257"/>
      <c r="X439" s="230"/>
      <c r="Y439" s="230"/>
      <c r="Z439" s="230"/>
    </row>
    <row r="440" spans="1:26" ht="24.75" customHeight="1">
      <c r="A440" s="230"/>
      <c r="B440" s="230"/>
      <c r="C440" s="230"/>
      <c r="D440" s="230"/>
      <c r="E440" s="230"/>
      <c r="F440" s="230"/>
      <c r="G440" s="230"/>
      <c r="H440" s="230"/>
      <c r="I440" s="230"/>
      <c r="J440" s="230"/>
      <c r="K440" s="230"/>
      <c r="L440" s="242"/>
      <c r="M440" s="230"/>
      <c r="N440" s="230"/>
      <c r="O440" s="257"/>
      <c r="P440" s="230"/>
      <c r="Q440" s="242"/>
      <c r="R440" s="230"/>
      <c r="S440" s="250"/>
      <c r="T440" s="250"/>
      <c r="U440" s="230"/>
      <c r="V440" s="256"/>
      <c r="W440" s="257"/>
      <c r="X440" s="230"/>
      <c r="Y440" s="230"/>
      <c r="Z440" s="230"/>
    </row>
    <row r="441" spans="1:26" ht="24.75" customHeight="1">
      <c r="A441" s="230"/>
      <c r="B441" s="230"/>
      <c r="C441" s="230"/>
      <c r="D441" s="230"/>
      <c r="E441" s="230"/>
      <c r="F441" s="230"/>
      <c r="G441" s="230"/>
      <c r="H441" s="230"/>
      <c r="I441" s="230"/>
      <c r="J441" s="230"/>
      <c r="K441" s="230"/>
      <c r="L441" s="242"/>
      <c r="M441" s="230"/>
      <c r="N441" s="230"/>
      <c r="O441" s="257"/>
      <c r="P441" s="230"/>
      <c r="Q441" s="242"/>
      <c r="R441" s="230"/>
      <c r="S441" s="250"/>
      <c r="T441" s="250"/>
      <c r="U441" s="230"/>
      <c r="V441" s="256"/>
      <c r="W441" s="257"/>
      <c r="X441" s="230"/>
      <c r="Y441" s="230"/>
      <c r="Z441" s="230"/>
    </row>
    <row r="442" spans="1:26" ht="24.75" customHeight="1">
      <c r="A442" s="230"/>
      <c r="B442" s="230"/>
      <c r="C442" s="230"/>
      <c r="D442" s="230"/>
      <c r="E442" s="230"/>
      <c r="F442" s="230"/>
      <c r="G442" s="230"/>
      <c r="H442" s="230"/>
      <c r="I442" s="230"/>
      <c r="J442" s="230"/>
      <c r="K442" s="230"/>
      <c r="L442" s="242"/>
      <c r="M442" s="230"/>
      <c r="N442" s="230"/>
      <c r="O442" s="257"/>
      <c r="P442" s="230"/>
      <c r="Q442" s="242"/>
      <c r="R442" s="230"/>
      <c r="S442" s="250"/>
      <c r="T442" s="250"/>
      <c r="U442" s="230"/>
      <c r="V442" s="256"/>
      <c r="W442" s="257"/>
      <c r="X442" s="230"/>
      <c r="Y442" s="230"/>
      <c r="Z442" s="230"/>
    </row>
    <row r="443" spans="1:26" ht="24.75" customHeight="1">
      <c r="A443" s="230"/>
      <c r="B443" s="230"/>
      <c r="C443" s="230"/>
      <c r="D443" s="230"/>
      <c r="E443" s="230"/>
      <c r="F443" s="230"/>
      <c r="G443" s="230"/>
      <c r="H443" s="230"/>
      <c r="I443" s="230"/>
      <c r="J443" s="230"/>
      <c r="K443" s="230"/>
      <c r="L443" s="242"/>
      <c r="M443" s="230"/>
      <c r="N443" s="230"/>
      <c r="O443" s="257"/>
      <c r="P443" s="230"/>
      <c r="Q443" s="242"/>
      <c r="R443" s="230"/>
      <c r="S443" s="250"/>
      <c r="T443" s="250"/>
      <c r="U443" s="230"/>
      <c r="V443" s="256"/>
      <c r="W443" s="257"/>
      <c r="X443" s="230"/>
      <c r="Y443" s="230"/>
      <c r="Z443" s="230"/>
    </row>
    <row r="444" spans="1:26" ht="24.75" customHeight="1">
      <c r="A444" s="230"/>
      <c r="B444" s="230"/>
      <c r="C444" s="230"/>
      <c r="D444" s="230"/>
      <c r="E444" s="230"/>
      <c r="F444" s="230"/>
      <c r="G444" s="230"/>
      <c r="H444" s="230"/>
      <c r="I444" s="230"/>
      <c r="J444" s="230"/>
      <c r="K444" s="230"/>
      <c r="L444" s="242"/>
      <c r="M444" s="230"/>
      <c r="N444" s="230"/>
      <c r="O444" s="257"/>
      <c r="P444" s="230"/>
      <c r="Q444" s="242"/>
      <c r="R444" s="230"/>
      <c r="S444" s="250"/>
      <c r="T444" s="250"/>
      <c r="U444" s="230"/>
      <c r="V444" s="256"/>
      <c r="W444" s="257"/>
      <c r="X444" s="230"/>
      <c r="Y444" s="230"/>
      <c r="Z444" s="230"/>
    </row>
    <row r="445" spans="1:26" ht="24.75" customHeight="1">
      <c r="A445" s="230"/>
      <c r="B445" s="230"/>
      <c r="C445" s="230"/>
      <c r="D445" s="230"/>
      <c r="E445" s="230"/>
      <c r="F445" s="230"/>
      <c r="G445" s="230"/>
      <c r="H445" s="230"/>
      <c r="I445" s="230"/>
      <c r="J445" s="230"/>
      <c r="K445" s="230"/>
      <c r="L445" s="242"/>
      <c r="M445" s="230"/>
      <c r="N445" s="230"/>
      <c r="O445" s="257"/>
      <c r="P445" s="230"/>
      <c r="Q445" s="242"/>
      <c r="R445" s="230"/>
      <c r="S445" s="250"/>
      <c r="T445" s="250"/>
      <c r="U445" s="230"/>
      <c r="V445" s="256"/>
      <c r="W445" s="257"/>
      <c r="X445" s="230"/>
      <c r="Y445" s="230"/>
      <c r="Z445" s="230"/>
    </row>
    <row r="446" spans="1:26" ht="24.75" customHeight="1">
      <c r="A446" s="230"/>
      <c r="B446" s="230"/>
      <c r="C446" s="230"/>
      <c r="D446" s="230"/>
      <c r="E446" s="230"/>
      <c r="F446" s="230"/>
      <c r="G446" s="230"/>
      <c r="H446" s="230"/>
      <c r="I446" s="230"/>
      <c r="J446" s="230"/>
      <c r="K446" s="230"/>
      <c r="L446" s="242"/>
      <c r="M446" s="230"/>
      <c r="N446" s="230"/>
      <c r="O446" s="257"/>
      <c r="P446" s="230"/>
      <c r="Q446" s="242"/>
      <c r="R446" s="230"/>
      <c r="S446" s="250"/>
      <c r="T446" s="250"/>
      <c r="U446" s="230"/>
      <c r="V446" s="256"/>
      <c r="W446" s="257"/>
      <c r="X446" s="230"/>
      <c r="Y446" s="230"/>
      <c r="Z446" s="230"/>
    </row>
    <row r="447" spans="1:26" ht="24.75" customHeight="1">
      <c r="A447" s="230"/>
      <c r="B447" s="230"/>
      <c r="C447" s="230"/>
      <c r="D447" s="230"/>
      <c r="E447" s="230"/>
      <c r="F447" s="230"/>
      <c r="G447" s="230"/>
      <c r="H447" s="230"/>
      <c r="I447" s="230"/>
      <c r="J447" s="230"/>
      <c r="K447" s="230"/>
      <c r="L447" s="242"/>
      <c r="M447" s="230"/>
      <c r="N447" s="230"/>
      <c r="O447" s="257"/>
      <c r="P447" s="230"/>
      <c r="Q447" s="242"/>
      <c r="R447" s="230"/>
      <c r="S447" s="250"/>
      <c r="T447" s="250"/>
      <c r="U447" s="230"/>
      <c r="V447" s="256"/>
      <c r="W447" s="257"/>
      <c r="X447" s="230"/>
      <c r="Y447" s="230"/>
      <c r="Z447" s="230"/>
    </row>
    <row r="448" spans="1:26" ht="24.75" customHeight="1">
      <c r="A448" s="230"/>
      <c r="B448" s="230"/>
      <c r="C448" s="230"/>
      <c r="D448" s="230"/>
      <c r="E448" s="230"/>
      <c r="F448" s="230"/>
      <c r="G448" s="230"/>
      <c r="H448" s="230"/>
      <c r="I448" s="230"/>
      <c r="J448" s="230"/>
      <c r="K448" s="230"/>
      <c r="L448" s="242"/>
      <c r="M448" s="230"/>
      <c r="N448" s="230"/>
      <c r="O448" s="257"/>
      <c r="P448" s="230"/>
      <c r="Q448" s="242"/>
      <c r="R448" s="230"/>
      <c r="S448" s="250"/>
      <c r="T448" s="250"/>
      <c r="U448" s="230"/>
      <c r="V448" s="256"/>
      <c r="W448" s="257"/>
      <c r="X448" s="230"/>
      <c r="Y448" s="230"/>
      <c r="Z448" s="230"/>
    </row>
    <row r="449" spans="1:26" ht="24.75" customHeight="1">
      <c r="A449" s="230"/>
      <c r="B449" s="230"/>
      <c r="C449" s="230"/>
      <c r="D449" s="230"/>
      <c r="E449" s="230"/>
      <c r="F449" s="230"/>
      <c r="G449" s="230"/>
      <c r="H449" s="230"/>
      <c r="I449" s="230"/>
      <c r="J449" s="230"/>
      <c r="K449" s="230"/>
      <c r="L449" s="242"/>
      <c r="M449" s="230"/>
      <c r="N449" s="230"/>
      <c r="O449" s="257"/>
      <c r="P449" s="230"/>
      <c r="Q449" s="242"/>
      <c r="R449" s="230"/>
      <c r="S449" s="250"/>
      <c r="T449" s="250"/>
      <c r="U449" s="230"/>
      <c r="V449" s="256"/>
      <c r="W449" s="257"/>
      <c r="X449" s="230"/>
      <c r="Y449" s="230"/>
      <c r="Z449" s="230"/>
    </row>
    <row r="450" spans="1:26" ht="24.75" customHeight="1">
      <c r="A450" s="230"/>
      <c r="B450" s="230"/>
      <c r="C450" s="230"/>
      <c r="D450" s="230"/>
      <c r="E450" s="230"/>
      <c r="F450" s="230"/>
      <c r="G450" s="230"/>
      <c r="H450" s="230"/>
      <c r="I450" s="230"/>
      <c r="J450" s="230"/>
      <c r="K450" s="230"/>
      <c r="L450" s="242"/>
      <c r="M450" s="230"/>
      <c r="N450" s="230"/>
      <c r="O450" s="257"/>
      <c r="P450" s="230"/>
      <c r="Q450" s="242"/>
      <c r="R450" s="230"/>
      <c r="S450" s="250"/>
      <c r="T450" s="250"/>
      <c r="U450" s="230"/>
      <c r="V450" s="256"/>
      <c r="W450" s="257"/>
      <c r="X450" s="230"/>
      <c r="Y450" s="230"/>
      <c r="Z450" s="230"/>
    </row>
    <row r="451" spans="1:26" ht="24.75" customHeight="1">
      <c r="A451" s="230"/>
      <c r="B451" s="230"/>
      <c r="C451" s="230"/>
      <c r="D451" s="230"/>
      <c r="E451" s="230"/>
      <c r="F451" s="230"/>
      <c r="G451" s="230"/>
      <c r="H451" s="230"/>
      <c r="I451" s="230"/>
      <c r="J451" s="230"/>
      <c r="K451" s="230"/>
      <c r="L451" s="242"/>
      <c r="M451" s="230"/>
      <c r="N451" s="230"/>
      <c r="O451" s="257"/>
      <c r="P451" s="230"/>
      <c r="Q451" s="242"/>
      <c r="R451" s="230"/>
      <c r="S451" s="250"/>
      <c r="T451" s="250"/>
      <c r="U451" s="230"/>
      <c r="V451" s="256"/>
      <c r="W451" s="257"/>
      <c r="X451" s="230"/>
      <c r="Y451" s="230"/>
      <c r="Z451" s="230"/>
    </row>
    <row r="452" spans="1:26" ht="24.75" customHeight="1">
      <c r="A452" s="230"/>
      <c r="B452" s="230"/>
      <c r="C452" s="230"/>
      <c r="D452" s="230"/>
      <c r="E452" s="230"/>
      <c r="F452" s="230"/>
      <c r="G452" s="230"/>
      <c r="H452" s="230"/>
      <c r="I452" s="230"/>
      <c r="J452" s="230"/>
      <c r="K452" s="230"/>
      <c r="L452" s="242"/>
      <c r="M452" s="230"/>
      <c r="N452" s="230"/>
      <c r="O452" s="257"/>
      <c r="P452" s="230"/>
      <c r="Q452" s="242"/>
      <c r="R452" s="230"/>
      <c r="S452" s="250"/>
      <c r="T452" s="250"/>
      <c r="U452" s="230"/>
      <c r="V452" s="256"/>
      <c r="W452" s="257"/>
      <c r="X452" s="230"/>
      <c r="Y452" s="230"/>
      <c r="Z452" s="230"/>
    </row>
    <row r="453" spans="1:26" ht="24.75" customHeight="1">
      <c r="A453" s="230"/>
      <c r="B453" s="230"/>
      <c r="C453" s="230"/>
      <c r="D453" s="230"/>
      <c r="E453" s="230"/>
      <c r="F453" s="230"/>
      <c r="G453" s="230"/>
      <c r="H453" s="230"/>
      <c r="I453" s="230"/>
      <c r="J453" s="230"/>
      <c r="K453" s="230"/>
      <c r="L453" s="242"/>
      <c r="M453" s="230"/>
      <c r="N453" s="230"/>
      <c r="O453" s="257"/>
      <c r="P453" s="230"/>
      <c r="Q453" s="242"/>
      <c r="R453" s="230"/>
      <c r="S453" s="250"/>
      <c r="T453" s="250"/>
      <c r="U453" s="230"/>
      <c r="V453" s="256"/>
      <c r="W453" s="257"/>
      <c r="X453" s="230"/>
      <c r="Y453" s="230"/>
      <c r="Z453" s="230"/>
    </row>
    <row r="454" spans="1:26" ht="24.75" customHeight="1">
      <c r="A454" s="230"/>
      <c r="B454" s="230"/>
      <c r="C454" s="230"/>
      <c r="D454" s="230"/>
      <c r="E454" s="230"/>
      <c r="F454" s="230"/>
      <c r="G454" s="230"/>
      <c r="H454" s="230"/>
      <c r="I454" s="230"/>
      <c r="J454" s="230"/>
      <c r="K454" s="230"/>
      <c r="L454" s="242"/>
      <c r="M454" s="230"/>
      <c r="N454" s="230"/>
      <c r="O454" s="257"/>
      <c r="P454" s="230"/>
      <c r="Q454" s="242"/>
      <c r="R454" s="230"/>
      <c r="S454" s="250"/>
      <c r="T454" s="250"/>
      <c r="U454" s="230"/>
      <c r="V454" s="256"/>
      <c r="W454" s="257"/>
      <c r="X454" s="230"/>
      <c r="Y454" s="230"/>
      <c r="Z454" s="230"/>
    </row>
    <row r="455" spans="1:26" ht="24.75" customHeight="1">
      <c r="A455" s="230"/>
      <c r="B455" s="230"/>
      <c r="C455" s="230"/>
      <c r="D455" s="230"/>
      <c r="E455" s="230"/>
      <c r="F455" s="230"/>
      <c r="G455" s="230"/>
      <c r="H455" s="230"/>
      <c r="I455" s="230"/>
      <c r="J455" s="230"/>
      <c r="K455" s="230"/>
      <c r="L455" s="242"/>
      <c r="M455" s="230"/>
      <c r="N455" s="230"/>
      <c r="O455" s="257"/>
      <c r="P455" s="230"/>
      <c r="Q455" s="242"/>
      <c r="R455" s="230"/>
      <c r="S455" s="250"/>
      <c r="T455" s="250"/>
      <c r="U455" s="230"/>
      <c r="V455" s="256"/>
      <c r="W455" s="257"/>
      <c r="X455" s="230"/>
      <c r="Y455" s="230"/>
      <c r="Z455" s="230"/>
    </row>
    <row r="456" spans="1:26" ht="24.75" customHeight="1">
      <c r="A456" s="230"/>
      <c r="B456" s="230"/>
      <c r="C456" s="230"/>
      <c r="D456" s="230"/>
      <c r="E456" s="230"/>
      <c r="F456" s="230"/>
      <c r="G456" s="230"/>
      <c r="H456" s="230"/>
      <c r="I456" s="230"/>
      <c r="J456" s="230"/>
      <c r="K456" s="230"/>
      <c r="L456" s="242"/>
      <c r="M456" s="230"/>
      <c r="N456" s="230"/>
      <c r="O456" s="257"/>
      <c r="P456" s="230"/>
      <c r="Q456" s="242"/>
      <c r="R456" s="230"/>
      <c r="S456" s="250"/>
      <c r="T456" s="250"/>
      <c r="U456" s="230"/>
      <c r="V456" s="256"/>
      <c r="W456" s="257"/>
      <c r="X456" s="230"/>
      <c r="Y456" s="230"/>
      <c r="Z456" s="230"/>
    </row>
    <row r="457" spans="1:26" ht="24.75" customHeight="1">
      <c r="A457" s="230"/>
      <c r="B457" s="230"/>
      <c r="C457" s="230"/>
      <c r="D457" s="230"/>
      <c r="E457" s="230"/>
      <c r="F457" s="230"/>
      <c r="G457" s="230"/>
      <c r="H457" s="230"/>
      <c r="I457" s="230"/>
      <c r="J457" s="230"/>
      <c r="K457" s="230"/>
      <c r="L457" s="242"/>
      <c r="M457" s="230"/>
      <c r="N457" s="230"/>
      <c r="O457" s="257"/>
      <c r="P457" s="230"/>
      <c r="Q457" s="242"/>
      <c r="R457" s="230"/>
      <c r="S457" s="250"/>
      <c r="T457" s="250"/>
      <c r="U457" s="230"/>
      <c r="V457" s="256"/>
      <c r="W457" s="257"/>
      <c r="X457" s="230"/>
      <c r="Y457" s="230"/>
      <c r="Z457" s="230"/>
    </row>
    <row r="458" spans="1:26" ht="24.75" customHeight="1">
      <c r="A458" s="230"/>
      <c r="B458" s="230"/>
      <c r="C458" s="230"/>
      <c r="D458" s="230"/>
      <c r="E458" s="230"/>
      <c r="F458" s="230"/>
      <c r="G458" s="230"/>
      <c r="H458" s="230"/>
      <c r="I458" s="230"/>
      <c r="J458" s="230"/>
      <c r="K458" s="230"/>
      <c r="L458" s="242"/>
      <c r="M458" s="230"/>
      <c r="N458" s="230"/>
      <c r="O458" s="257"/>
      <c r="P458" s="230"/>
      <c r="Q458" s="242"/>
      <c r="R458" s="230"/>
      <c r="S458" s="250"/>
      <c r="T458" s="250"/>
      <c r="U458" s="230"/>
      <c r="V458" s="256"/>
      <c r="W458" s="257"/>
      <c r="X458" s="230"/>
      <c r="Y458" s="230"/>
      <c r="Z458" s="230"/>
    </row>
    <row r="459" spans="1:26" ht="24.75" customHeight="1">
      <c r="A459" s="230"/>
      <c r="B459" s="230"/>
      <c r="C459" s="230"/>
      <c r="D459" s="230"/>
      <c r="E459" s="230"/>
      <c r="F459" s="230"/>
      <c r="G459" s="230"/>
      <c r="H459" s="230"/>
      <c r="I459" s="230"/>
      <c r="J459" s="230"/>
      <c r="K459" s="230"/>
      <c r="L459" s="242"/>
      <c r="M459" s="230"/>
      <c r="N459" s="230"/>
      <c r="O459" s="257"/>
      <c r="P459" s="230"/>
      <c r="Q459" s="242"/>
      <c r="R459" s="230"/>
      <c r="S459" s="250"/>
      <c r="T459" s="250"/>
      <c r="U459" s="230"/>
      <c r="V459" s="256"/>
      <c r="W459" s="257"/>
      <c r="X459" s="230"/>
      <c r="Y459" s="230"/>
      <c r="Z459" s="230"/>
    </row>
    <row r="460" spans="1:26" ht="24.75" customHeight="1">
      <c r="A460" s="230"/>
      <c r="B460" s="230"/>
      <c r="C460" s="230"/>
      <c r="D460" s="230"/>
      <c r="E460" s="230"/>
      <c r="F460" s="230"/>
      <c r="G460" s="230"/>
      <c r="H460" s="230"/>
      <c r="I460" s="230"/>
      <c r="J460" s="230"/>
      <c r="K460" s="230"/>
      <c r="L460" s="242"/>
      <c r="M460" s="230"/>
      <c r="N460" s="230"/>
      <c r="O460" s="257"/>
      <c r="P460" s="230"/>
      <c r="Q460" s="242"/>
      <c r="R460" s="230"/>
      <c r="S460" s="250"/>
      <c r="T460" s="250"/>
      <c r="U460" s="230"/>
      <c r="V460" s="256"/>
      <c r="W460" s="257"/>
      <c r="X460" s="230"/>
      <c r="Y460" s="230"/>
      <c r="Z460" s="230"/>
    </row>
    <row r="461" spans="1:26" ht="24.75" customHeight="1">
      <c r="A461" s="230"/>
      <c r="B461" s="230"/>
      <c r="C461" s="230"/>
      <c r="D461" s="230"/>
      <c r="E461" s="230"/>
      <c r="F461" s="230"/>
      <c r="G461" s="230"/>
      <c r="H461" s="230"/>
      <c r="I461" s="230"/>
      <c r="J461" s="230"/>
      <c r="K461" s="230"/>
      <c r="L461" s="242"/>
      <c r="M461" s="230"/>
      <c r="N461" s="230"/>
      <c r="O461" s="257"/>
      <c r="P461" s="230"/>
      <c r="Q461" s="242"/>
      <c r="R461" s="230"/>
      <c r="S461" s="250"/>
      <c r="T461" s="250"/>
      <c r="U461" s="230"/>
      <c r="V461" s="256"/>
      <c r="W461" s="257"/>
      <c r="X461" s="230"/>
      <c r="Y461" s="230"/>
      <c r="Z461" s="230"/>
    </row>
    <row r="462" spans="1:26" ht="24.75" customHeight="1">
      <c r="A462" s="230"/>
      <c r="B462" s="230"/>
      <c r="C462" s="230"/>
      <c r="D462" s="230"/>
      <c r="E462" s="230"/>
      <c r="F462" s="230"/>
      <c r="G462" s="230"/>
      <c r="H462" s="230"/>
      <c r="I462" s="230"/>
      <c r="J462" s="230"/>
      <c r="K462" s="230"/>
      <c r="L462" s="242"/>
      <c r="M462" s="230"/>
      <c r="N462" s="230"/>
      <c r="O462" s="257"/>
      <c r="P462" s="230"/>
      <c r="Q462" s="242"/>
      <c r="R462" s="230"/>
      <c r="S462" s="250"/>
      <c r="T462" s="250"/>
      <c r="U462" s="230"/>
      <c r="V462" s="256"/>
      <c r="W462" s="257"/>
      <c r="X462" s="230"/>
      <c r="Y462" s="230"/>
      <c r="Z462" s="230"/>
    </row>
    <row r="463" spans="1:26" ht="24.75" customHeight="1">
      <c r="A463" s="230"/>
      <c r="B463" s="230"/>
      <c r="C463" s="230"/>
      <c r="D463" s="230"/>
      <c r="E463" s="230"/>
      <c r="F463" s="230"/>
      <c r="G463" s="230"/>
      <c r="H463" s="230"/>
      <c r="I463" s="230"/>
      <c r="J463" s="230"/>
      <c r="K463" s="230"/>
      <c r="L463" s="242"/>
      <c r="M463" s="230"/>
      <c r="N463" s="230"/>
      <c r="O463" s="257"/>
      <c r="P463" s="230"/>
      <c r="Q463" s="242"/>
      <c r="R463" s="230"/>
      <c r="S463" s="250"/>
      <c r="T463" s="250"/>
      <c r="U463" s="230"/>
      <c r="V463" s="256"/>
      <c r="W463" s="257"/>
      <c r="X463" s="230"/>
      <c r="Y463" s="230"/>
      <c r="Z463" s="230"/>
    </row>
    <row r="464" spans="1:26" ht="24.75" customHeight="1">
      <c r="A464" s="230"/>
      <c r="B464" s="230"/>
      <c r="C464" s="230"/>
      <c r="D464" s="230"/>
      <c r="E464" s="230"/>
      <c r="F464" s="230"/>
      <c r="G464" s="230"/>
      <c r="H464" s="230"/>
      <c r="I464" s="230"/>
      <c r="J464" s="230"/>
      <c r="K464" s="230"/>
      <c r="L464" s="242"/>
      <c r="M464" s="230"/>
      <c r="N464" s="230"/>
      <c r="O464" s="257"/>
      <c r="P464" s="230"/>
      <c r="Q464" s="242"/>
      <c r="R464" s="230"/>
      <c r="S464" s="250"/>
      <c r="T464" s="250"/>
      <c r="U464" s="230"/>
      <c r="V464" s="256"/>
      <c r="W464" s="257"/>
      <c r="X464" s="230"/>
      <c r="Y464" s="230"/>
      <c r="Z464" s="230"/>
    </row>
    <row r="465" spans="1:26" ht="24.75" customHeight="1">
      <c r="A465" s="230"/>
      <c r="B465" s="230"/>
      <c r="C465" s="230"/>
      <c r="D465" s="230"/>
      <c r="E465" s="230"/>
      <c r="F465" s="230"/>
      <c r="G465" s="230"/>
      <c r="H465" s="230"/>
      <c r="I465" s="230"/>
      <c r="J465" s="230"/>
      <c r="K465" s="230"/>
      <c r="L465" s="242"/>
      <c r="M465" s="230"/>
      <c r="N465" s="230"/>
      <c r="O465" s="257"/>
      <c r="P465" s="230"/>
      <c r="Q465" s="242"/>
      <c r="R465" s="230"/>
      <c r="S465" s="250"/>
      <c r="T465" s="250"/>
      <c r="U465" s="230"/>
      <c r="V465" s="256"/>
      <c r="W465" s="257"/>
      <c r="X465" s="230"/>
      <c r="Y465" s="230"/>
      <c r="Z465" s="230"/>
    </row>
    <row r="466" spans="1:26" ht="24.75" customHeight="1">
      <c r="A466" s="230"/>
      <c r="B466" s="230"/>
      <c r="C466" s="230"/>
      <c r="D466" s="230"/>
      <c r="E466" s="230"/>
      <c r="F466" s="230"/>
      <c r="G466" s="230"/>
      <c r="H466" s="230"/>
      <c r="I466" s="230"/>
      <c r="J466" s="230"/>
      <c r="K466" s="230"/>
      <c r="L466" s="242"/>
      <c r="M466" s="230"/>
      <c r="N466" s="230"/>
      <c r="O466" s="257"/>
      <c r="P466" s="230"/>
      <c r="Q466" s="242"/>
      <c r="R466" s="230"/>
      <c r="S466" s="250"/>
      <c r="T466" s="250"/>
      <c r="U466" s="230"/>
      <c r="V466" s="256"/>
      <c r="W466" s="257"/>
      <c r="X466" s="230"/>
      <c r="Y466" s="230"/>
      <c r="Z466" s="230"/>
    </row>
    <row r="467" spans="1:26" ht="24.75" customHeight="1">
      <c r="A467" s="230"/>
      <c r="B467" s="230"/>
      <c r="C467" s="230"/>
      <c r="D467" s="230"/>
      <c r="E467" s="230"/>
      <c r="F467" s="230"/>
      <c r="G467" s="230"/>
      <c r="H467" s="230"/>
      <c r="I467" s="230"/>
      <c r="J467" s="230"/>
      <c r="K467" s="230"/>
      <c r="L467" s="242"/>
      <c r="M467" s="230"/>
      <c r="N467" s="230"/>
      <c r="O467" s="257"/>
      <c r="P467" s="230"/>
      <c r="Q467" s="242"/>
      <c r="R467" s="230"/>
      <c r="S467" s="250"/>
      <c r="T467" s="250"/>
      <c r="U467" s="230"/>
      <c r="V467" s="256"/>
      <c r="W467" s="257"/>
      <c r="X467" s="230"/>
      <c r="Y467" s="230"/>
      <c r="Z467" s="230"/>
    </row>
    <row r="468" spans="1:26" ht="24.75" customHeight="1">
      <c r="A468" s="230"/>
      <c r="B468" s="230"/>
      <c r="C468" s="230"/>
      <c r="D468" s="230"/>
      <c r="E468" s="230"/>
      <c r="F468" s="230"/>
      <c r="G468" s="230"/>
      <c r="H468" s="230"/>
      <c r="I468" s="230"/>
      <c r="J468" s="230"/>
      <c r="K468" s="230"/>
      <c r="L468" s="242"/>
      <c r="M468" s="230"/>
      <c r="N468" s="230"/>
      <c r="O468" s="257"/>
      <c r="P468" s="230"/>
      <c r="Q468" s="242"/>
      <c r="R468" s="230"/>
      <c r="S468" s="250"/>
      <c r="T468" s="250"/>
      <c r="U468" s="230"/>
      <c r="V468" s="256"/>
      <c r="W468" s="257"/>
      <c r="X468" s="230"/>
      <c r="Y468" s="230"/>
      <c r="Z468" s="230"/>
    </row>
    <row r="469" spans="1:26" ht="24.75" customHeight="1">
      <c r="A469" s="230"/>
      <c r="B469" s="230"/>
      <c r="C469" s="230"/>
      <c r="D469" s="230"/>
      <c r="E469" s="230"/>
      <c r="F469" s="230"/>
      <c r="G469" s="230"/>
      <c r="H469" s="230"/>
      <c r="I469" s="230"/>
      <c r="J469" s="230"/>
      <c r="K469" s="230"/>
      <c r="L469" s="242"/>
      <c r="M469" s="230"/>
      <c r="N469" s="230"/>
      <c r="O469" s="257"/>
      <c r="P469" s="230"/>
      <c r="Q469" s="242"/>
      <c r="R469" s="230"/>
      <c r="S469" s="250"/>
      <c r="T469" s="250"/>
      <c r="U469" s="230"/>
      <c r="V469" s="256"/>
      <c r="W469" s="257"/>
      <c r="X469" s="230"/>
      <c r="Y469" s="230"/>
      <c r="Z469" s="230"/>
    </row>
    <row r="470" spans="1:26" ht="24.75" customHeight="1">
      <c r="A470" s="230"/>
      <c r="B470" s="230"/>
      <c r="C470" s="230"/>
      <c r="D470" s="230"/>
      <c r="E470" s="230"/>
      <c r="F470" s="230"/>
      <c r="G470" s="230"/>
      <c r="H470" s="230"/>
      <c r="I470" s="230"/>
      <c r="J470" s="230"/>
      <c r="K470" s="230"/>
      <c r="L470" s="242"/>
      <c r="M470" s="230"/>
      <c r="N470" s="230"/>
      <c r="O470" s="257"/>
      <c r="P470" s="230"/>
      <c r="Q470" s="242"/>
      <c r="R470" s="230"/>
      <c r="S470" s="250"/>
      <c r="T470" s="250"/>
      <c r="U470" s="230"/>
      <c r="V470" s="256"/>
      <c r="W470" s="257"/>
      <c r="X470" s="230"/>
      <c r="Y470" s="230"/>
      <c r="Z470" s="230"/>
    </row>
    <row r="471" spans="1:26" ht="24.75" customHeight="1">
      <c r="A471" s="230"/>
      <c r="B471" s="230"/>
      <c r="C471" s="230"/>
      <c r="D471" s="230"/>
      <c r="E471" s="230"/>
      <c r="F471" s="230"/>
      <c r="G471" s="230"/>
      <c r="H471" s="230"/>
      <c r="I471" s="230"/>
      <c r="J471" s="230"/>
      <c r="K471" s="230"/>
      <c r="L471" s="242"/>
      <c r="M471" s="230"/>
      <c r="N471" s="230"/>
      <c r="O471" s="257"/>
      <c r="P471" s="230"/>
      <c r="Q471" s="242"/>
      <c r="R471" s="230"/>
      <c r="S471" s="250"/>
      <c r="T471" s="250"/>
      <c r="U471" s="230"/>
      <c r="V471" s="256"/>
      <c r="W471" s="257"/>
      <c r="X471" s="230"/>
      <c r="Y471" s="230"/>
      <c r="Z471" s="230"/>
    </row>
    <row r="472" spans="1:26" ht="24.75" customHeight="1">
      <c r="A472" s="230"/>
      <c r="B472" s="230"/>
      <c r="C472" s="230"/>
      <c r="D472" s="230"/>
      <c r="E472" s="230"/>
      <c r="F472" s="230"/>
      <c r="G472" s="230"/>
      <c r="H472" s="230"/>
      <c r="I472" s="230"/>
      <c r="J472" s="230"/>
      <c r="K472" s="230"/>
      <c r="L472" s="242"/>
      <c r="M472" s="230"/>
      <c r="N472" s="230"/>
      <c r="O472" s="257"/>
      <c r="P472" s="230"/>
      <c r="Q472" s="242"/>
      <c r="R472" s="230"/>
      <c r="S472" s="250"/>
      <c r="T472" s="250"/>
      <c r="U472" s="230"/>
      <c r="V472" s="256"/>
      <c r="W472" s="257"/>
      <c r="X472" s="230"/>
      <c r="Y472" s="230"/>
      <c r="Z472" s="230"/>
    </row>
    <row r="473" spans="1:26" ht="24.75" customHeight="1">
      <c r="A473" s="230"/>
      <c r="B473" s="230"/>
      <c r="C473" s="230"/>
      <c r="D473" s="230"/>
      <c r="E473" s="230"/>
      <c r="F473" s="230"/>
      <c r="G473" s="230"/>
      <c r="H473" s="230"/>
      <c r="I473" s="230"/>
      <c r="J473" s="230"/>
      <c r="K473" s="230"/>
      <c r="L473" s="242"/>
      <c r="M473" s="230"/>
      <c r="N473" s="230"/>
      <c r="O473" s="257"/>
      <c r="P473" s="230"/>
      <c r="Q473" s="242"/>
      <c r="R473" s="230"/>
      <c r="S473" s="250"/>
      <c r="T473" s="250"/>
      <c r="U473" s="230"/>
      <c r="V473" s="256"/>
      <c r="W473" s="257"/>
      <c r="X473" s="230"/>
      <c r="Y473" s="230"/>
      <c r="Z473" s="230"/>
    </row>
    <row r="474" spans="1:26" ht="24.75" customHeight="1">
      <c r="A474" s="230"/>
      <c r="B474" s="230"/>
      <c r="C474" s="230"/>
      <c r="D474" s="230"/>
      <c r="E474" s="230"/>
      <c r="F474" s="230"/>
      <c r="G474" s="230"/>
      <c r="H474" s="230"/>
      <c r="I474" s="230"/>
      <c r="J474" s="230"/>
      <c r="K474" s="230"/>
      <c r="L474" s="242"/>
      <c r="M474" s="230"/>
      <c r="N474" s="230"/>
      <c r="O474" s="257"/>
      <c r="P474" s="230"/>
      <c r="Q474" s="242"/>
      <c r="R474" s="230"/>
      <c r="S474" s="250"/>
      <c r="T474" s="250"/>
      <c r="U474" s="230"/>
      <c r="V474" s="256"/>
      <c r="W474" s="257"/>
      <c r="X474" s="230"/>
      <c r="Y474" s="230"/>
      <c r="Z474" s="230"/>
    </row>
    <row r="475" spans="1:26" ht="24.75" customHeight="1">
      <c r="A475" s="230"/>
      <c r="B475" s="230"/>
      <c r="C475" s="230"/>
      <c r="D475" s="230"/>
      <c r="E475" s="230"/>
      <c r="F475" s="230"/>
      <c r="G475" s="230"/>
      <c r="H475" s="230"/>
      <c r="I475" s="230"/>
      <c r="J475" s="230"/>
      <c r="K475" s="230"/>
      <c r="L475" s="242"/>
      <c r="M475" s="230"/>
      <c r="N475" s="230"/>
      <c r="O475" s="257"/>
      <c r="P475" s="230"/>
      <c r="Q475" s="242"/>
      <c r="R475" s="230"/>
      <c r="S475" s="250"/>
      <c r="T475" s="250"/>
      <c r="U475" s="230"/>
      <c r="V475" s="256"/>
      <c r="W475" s="257"/>
      <c r="X475" s="230"/>
      <c r="Y475" s="230"/>
      <c r="Z475" s="230"/>
    </row>
    <row r="476" spans="1:26" ht="24.75" customHeight="1">
      <c r="A476" s="230"/>
      <c r="B476" s="230"/>
      <c r="C476" s="230"/>
      <c r="D476" s="230"/>
      <c r="E476" s="230"/>
      <c r="F476" s="230"/>
      <c r="G476" s="230"/>
      <c r="H476" s="230"/>
      <c r="I476" s="230"/>
      <c r="J476" s="230"/>
      <c r="K476" s="230"/>
      <c r="L476" s="242"/>
      <c r="M476" s="230"/>
      <c r="N476" s="230"/>
      <c r="O476" s="257"/>
      <c r="P476" s="230"/>
      <c r="Q476" s="242"/>
      <c r="R476" s="230"/>
      <c r="S476" s="250"/>
      <c r="T476" s="250"/>
      <c r="U476" s="230"/>
      <c r="V476" s="256"/>
      <c r="W476" s="257"/>
      <c r="X476" s="230"/>
      <c r="Y476" s="230"/>
      <c r="Z476" s="230"/>
    </row>
    <row r="477" spans="1:26" ht="24.75" customHeight="1">
      <c r="A477" s="230"/>
      <c r="B477" s="230"/>
      <c r="C477" s="230"/>
      <c r="D477" s="230"/>
      <c r="E477" s="230"/>
      <c r="F477" s="230"/>
      <c r="G477" s="230"/>
      <c r="H477" s="230"/>
      <c r="I477" s="230"/>
      <c r="J477" s="230"/>
      <c r="K477" s="230"/>
      <c r="L477" s="242"/>
      <c r="M477" s="230"/>
      <c r="N477" s="230"/>
      <c r="O477" s="257"/>
      <c r="P477" s="230"/>
      <c r="Q477" s="242"/>
      <c r="R477" s="230"/>
      <c r="S477" s="250"/>
      <c r="T477" s="250"/>
      <c r="U477" s="230"/>
      <c r="V477" s="256"/>
      <c r="W477" s="257"/>
      <c r="X477" s="230"/>
      <c r="Y477" s="230"/>
      <c r="Z477" s="230"/>
    </row>
    <row r="478" spans="1:26" ht="24.75" customHeight="1">
      <c r="A478" s="230"/>
      <c r="B478" s="230"/>
      <c r="C478" s="230"/>
      <c r="D478" s="230"/>
      <c r="E478" s="230"/>
      <c r="F478" s="230"/>
      <c r="G478" s="230"/>
      <c r="H478" s="230"/>
      <c r="I478" s="230"/>
      <c r="J478" s="230"/>
      <c r="K478" s="230"/>
      <c r="L478" s="242"/>
      <c r="M478" s="230"/>
      <c r="N478" s="230"/>
      <c r="O478" s="257"/>
      <c r="P478" s="230"/>
      <c r="Q478" s="242"/>
      <c r="R478" s="230"/>
      <c r="S478" s="250"/>
      <c r="T478" s="250"/>
      <c r="U478" s="230"/>
      <c r="V478" s="256"/>
      <c r="W478" s="257"/>
      <c r="X478" s="230"/>
      <c r="Y478" s="230"/>
      <c r="Z478" s="230"/>
    </row>
    <row r="479" spans="1:26" ht="24.75" customHeight="1">
      <c r="A479" s="230"/>
      <c r="B479" s="230"/>
      <c r="C479" s="230"/>
      <c r="D479" s="230"/>
      <c r="E479" s="230"/>
      <c r="F479" s="230"/>
      <c r="G479" s="230"/>
      <c r="H479" s="230"/>
      <c r="I479" s="230"/>
      <c r="J479" s="230"/>
      <c r="K479" s="230"/>
      <c r="L479" s="242"/>
      <c r="M479" s="230"/>
      <c r="N479" s="230"/>
      <c r="O479" s="257"/>
      <c r="P479" s="230"/>
      <c r="Q479" s="242"/>
      <c r="R479" s="230"/>
      <c r="S479" s="250"/>
      <c r="T479" s="250"/>
      <c r="U479" s="230"/>
      <c r="V479" s="256"/>
      <c r="W479" s="257"/>
      <c r="X479" s="230"/>
      <c r="Y479" s="230"/>
      <c r="Z479" s="230"/>
    </row>
    <row r="480" spans="1:26" ht="24.75" customHeight="1">
      <c r="A480" s="230"/>
      <c r="B480" s="230"/>
      <c r="C480" s="230"/>
      <c r="D480" s="230"/>
      <c r="E480" s="230"/>
      <c r="F480" s="230"/>
      <c r="G480" s="230"/>
      <c r="H480" s="230"/>
      <c r="I480" s="230"/>
      <c r="J480" s="230"/>
      <c r="K480" s="230"/>
      <c r="L480" s="242"/>
      <c r="M480" s="230"/>
      <c r="N480" s="230"/>
      <c r="O480" s="257"/>
      <c r="P480" s="230"/>
      <c r="Q480" s="242"/>
      <c r="R480" s="230"/>
      <c r="S480" s="250"/>
      <c r="T480" s="250"/>
      <c r="U480" s="230"/>
      <c r="V480" s="256"/>
      <c r="W480" s="257"/>
      <c r="X480" s="230"/>
      <c r="Y480" s="230"/>
      <c r="Z480" s="230"/>
    </row>
    <row r="481" spans="1:26" ht="24.75" customHeight="1">
      <c r="A481" s="230"/>
      <c r="B481" s="230"/>
      <c r="C481" s="230"/>
      <c r="D481" s="230"/>
      <c r="E481" s="230"/>
      <c r="F481" s="230"/>
      <c r="G481" s="230"/>
      <c r="H481" s="230"/>
      <c r="I481" s="230"/>
      <c r="J481" s="230"/>
      <c r="K481" s="230"/>
      <c r="L481" s="242"/>
      <c r="M481" s="230"/>
      <c r="N481" s="230"/>
      <c r="O481" s="257"/>
      <c r="P481" s="230"/>
      <c r="Q481" s="242"/>
      <c r="R481" s="230"/>
      <c r="S481" s="250"/>
      <c r="T481" s="250"/>
      <c r="U481" s="230"/>
      <c r="V481" s="256"/>
      <c r="W481" s="257"/>
      <c r="X481" s="230"/>
      <c r="Y481" s="230"/>
      <c r="Z481" s="230"/>
    </row>
    <row r="482" spans="1:26" ht="24.75" customHeight="1">
      <c r="A482" s="230"/>
      <c r="B482" s="230"/>
      <c r="C482" s="230"/>
      <c r="D482" s="230"/>
      <c r="E482" s="230"/>
      <c r="F482" s="230"/>
      <c r="G482" s="230"/>
      <c r="H482" s="230"/>
      <c r="I482" s="230"/>
      <c r="J482" s="230"/>
      <c r="K482" s="230"/>
      <c r="L482" s="242"/>
      <c r="M482" s="230"/>
      <c r="N482" s="230"/>
      <c r="O482" s="257"/>
      <c r="P482" s="230"/>
      <c r="Q482" s="242"/>
      <c r="R482" s="230"/>
      <c r="S482" s="250"/>
      <c r="T482" s="250"/>
      <c r="U482" s="230"/>
      <c r="V482" s="256"/>
      <c r="W482" s="257"/>
      <c r="X482" s="230"/>
      <c r="Y482" s="230"/>
      <c r="Z482" s="230"/>
    </row>
    <row r="483" spans="1:26" ht="24.75" customHeight="1">
      <c r="A483" s="230"/>
      <c r="B483" s="230"/>
      <c r="C483" s="230"/>
      <c r="D483" s="230"/>
      <c r="E483" s="230"/>
      <c r="F483" s="230"/>
      <c r="G483" s="230"/>
      <c r="H483" s="230"/>
      <c r="I483" s="230"/>
      <c r="J483" s="230"/>
      <c r="K483" s="230"/>
      <c r="L483" s="242"/>
      <c r="M483" s="230"/>
      <c r="N483" s="230"/>
      <c r="O483" s="257"/>
      <c r="P483" s="230"/>
      <c r="Q483" s="242"/>
      <c r="R483" s="230"/>
      <c r="S483" s="250"/>
      <c r="T483" s="250"/>
      <c r="U483" s="230"/>
      <c r="V483" s="256"/>
      <c r="W483" s="257"/>
      <c r="X483" s="230"/>
      <c r="Y483" s="230"/>
      <c r="Z483" s="230"/>
    </row>
    <row r="484" spans="1:26" ht="24.75" customHeight="1">
      <c r="A484" s="230"/>
      <c r="B484" s="230"/>
      <c r="C484" s="230"/>
      <c r="D484" s="230"/>
      <c r="E484" s="230"/>
      <c r="F484" s="230"/>
      <c r="G484" s="230"/>
      <c r="H484" s="230"/>
      <c r="I484" s="230"/>
      <c r="J484" s="230"/>
      <c r="K484" s="230"/>
      <c r="L484" s="242"/>
      <c r="M484" s="230"/>
      <c r="N484" s="230"/>
      <c r="O484" s="257"/>
      <c r="P484" s="230"/>
      <c r="Q484" s="242"/>
      <c r="R484" s="230"/>
      <c r="S484" s="250"/>
      <c r="T484" s="250"/>
      <c r="U484" s="230"/>
      <c r="V484" s="256"/>
      <c r="W484" s="257"/>
      <c r="X484" s="230"/>
      <c r="Y484" s="230"/>
      <c r="Z484" s="230"/>
    </row>
    <row r="485" spans="1:26" ht="24.75" customHeight="1">
      <c r="A485" s="230"/>
      <c r="B485" s="230"/>
      <c r="C485" s="230"/>
      <c r="D485" s="230"/>
      <c r="E485" s="230"/>
      <c r="F485" s="230"/>
      <c r="G485" s="230"/>
      <c r="H485" s="230"/>
      <c r="I485" s="230"/>
      <c r="J485" s="230"/>
      <c r="K485" s="230"/>
      <c r="L485" s="242"/>
      <c r="M485" s="230"/>
      <c r="N485" s="230"/>
      <c r="O485" s="257"/>
      <c r="P485" s="230"/>
      <c r="Q485" s="242"/>
      <c r="R485" s="230"/>
      <c r="S485" s="250"/>
      <c r="T485" s="250"/>
      <c r="U485" s="230"/>
      <c r="V485" s="256"/>
      <c r="W485" s="257"/>
      <c r="X485" s="230"/>
      <c r="Y485" s="230"/>
      <c r="Z485" s="230"/>
    </row>
    <row r="486" spans="1:26" ht="24.75" customHeight="1">
      <c r="A486" s="230"/>
      <c r="B486" s="230"/>
      <c r="C486" s="230"/>
      <c r="D486" s="230"/>
      <c r="E486" s="230"/>
      <c r="F486" s="230"/>
      <c r="G486" s="230"/>
      <c r="H486" s="230"/>
      <c r="I486" s="230"/>
      <c r="J486" s="230"/>
      <c r="K486" s="230"/>
      <c r="L486" s="242"/>
      <c r="M486" s="230"/>
      <c r="N486" s="230"/>
      <c r="O486" s="257"/>
      <c r="P486" s="230"/>
      <c r="Q486" s="242"/>
      <c r="R486" s="230"/>
      <c r="S486" s="250"/>
      <c r="T486" s="250"/>
      <c r="U486" s="230"/>
      <c r="V486" s="256"/>
      <c r="W486" s="257"/>
      <c r="X486" s="230"/>
      <c r="Y486" s="230"/>
      <c r="Z486" s="230"/>
    </row>
    <row r="487" spans="1:26" ht="24.75" customHeight="1">
      <c r="A487" s="230"/>
      <c r="B487" s="230"/>
      <c r="C487" s="230"/>
      <c r="D487" s="230"/>
      <c r="E487" s="230"/>
      <c r="F487" s="230"/>
      <c r="G487" s="230"/>
      <c r="H487" s="230"/>
      <c r="I487" s="230"/>
      <c r="J487" s="230"/>
      <c r="K487" s="230"/>
      <c r="L487" s="242"/>
      <c r="M487" s="230"/>
      <c r="N487" s="230"/>
      <c r="O487" s="257"/>
      <c r="P487" s="230"/>
      <c r="Q487" s="242"/>
      <c r="R487" s="230"/>
      <c r="S487" s="250"/>
      <c r="T487" s="250"/>
      <c r="U487" s="230"/>
      <c r="V487" s="256"/>
      <c r="W487" s="257"/>
      <c r="X487" s="230"/>
      <c r="Y487" s="230"/>
      <c r="Z487" s="230"/>
    </row>
    <row r="488" spans="1:26" ht="24.75" customHeight="1">
      <c r="A488" s="230"/>
      <c r="B488" s="230"/>
      <c r="C488" s="230"/>
      <c r="D488" s="230"/>
      <c r="E488" s="230"/>
      <c r="F488" s="230"/>
      <c r="G488" s="230"/>
      <c r="H488" s="230"/>
      <c r="I488" s="230"/>
      <c r="J488" s="230"/>
      <c r="K488" s="230"/>
      <c r="L488" s="242"/>
      <c r="M488" s="230"/>
      <c r="N488" s="230"/>
      <c r="O488" s="257"/>
      <c r="P488" s="230"/>
      <c r="Q488" s="242"/>
      <c r="R488" s="230"/>
      <c r="S488" s="250"/>
      <c r="T488" s="250"/>
      <c r="U488" s="230"/>
      <c r="V488" s="256"/>
      <c r="W488" s="257"/>
      <c r="X488" s="230"/>
      <c r="Y488" s="230"/>
      <c r="Z488" s="230"/>
    </row>
    <row r="489" spans="1:26" ht="24.75" customHeight="1">
      <c r="A489" s="230"/>
      <c r="B489" s="230"/>
      <c r="C489" s="230"/>
      <c r="D489" s="230"/>
      <c r="E489" s="230"/>
      <c r="F489" s="230"/>
      <c r="G489" s="230"/>
      <c r="H489" s="230"/>
      <c r="I489" s="230"/>
      <c r="J489" s="230"/>
      <c r="K489" s="230"/>
      <c r="L489" s="242"/>
      <c r="M489" s="230"/>
      <c r="N489" s="230"/>
      <c r="O489" s="257"/>
      <c r="P489" s="230"/>
      <c r="Q489" s="242"/>
      <c r="R489" s="230"/>
      <c r="S489" s="250"/>
      <c r="T489" s="250"/>
      <c r="U489" s="230"/>
      <c r="V489" s="256"/>
      <c r="W489" s="257"/>
      <c r="X489" s="230"/>
      <c r="Y489" s="230"/>
      <c r="Z489" s="230"/>
    </row>
    <row r="490" spans="1:26" ht="24.75" customHeight="1">
      <c r="A490" s="230"/>
      <c r="B490" s="230"/>
      <c r="C490" s="230"/>
      <c r="D490" s="230"/>
      <c r="E490" s="230"/>
      <c r="F490" s="230"/>
      <c r="G490" s="230"/>
      <c r="H490" s="230"/>
      <c r="I490" s="230"/>
      <c r="J490" s="230"/>
      <c r="K490" s="230"/>
      <c r="L490" s="242"/>
      <c r="M490" s="230"/>
      <c r="N490" s="230"/>
      <c r="O490" s="257"/>
      <c r="P490" s="230"/>
      <c r="Q490" s="242"/>
      <c r="R490" s="230"/>
      <c r="S490" s="250"/>
      <c r="T490" s="250"/>
      <c r="U490" s="230"/>
      <c r="V490" s="256"/>
      <c r="W490" s="257"/>
      <c r="X490" s="230"/>
      <c r="Y490" s="230"/>
      <c r="Z490" s="230"/>
    </row>
    <row r="491" spans="1:26" ht="24.75" customHeight="1">
      <c r="A491" s="230"/>
      <c r="B491" s="230"/>
      <c r="C491" s="230"/>
      <c r="D491" s="230"/>
      <c r="E491" s="230"/>
      <c r="F491" s="230"/>
      <c r="G491" s="230"/>
      <c r="H491" s="230"/>
      <c r="I491" s="230"/>
      <c r="J491" s="230"/>
      <c r="K491" s="230"/>
      <c r="L491" s="242"/>
      <c r="M491" s="230"/>
      <c r="N491" s="230"/>
      <c r="O491" s="257"/>
      <c r="P491" s="230"/>
      <c r="Q491" s="242"/>
      <c r="R491" s="230"/>
      <c r="S491" s="250"/>
      <c r="T491" s="250"/>
      <c r="U491" s="230"/>
      <c r="V491" s="256"/>
      <c r="W491" s="257"/>
      <c r="X491" s="230"/>
      <c r="Y491" s="230"/>
      <c r="Z491" s="230"/>
    </row>
    <row r="492" spans="1:26" ht="24.75" customHeight="1">
      <c r="A492" s="230"/>
      <c r="B492" s="230"/>
      <c r="C492" s="230"/>
      <c r="D492" s="230"/>
      <c r="E492" s="230"/>
      <c r="F492" s="230"/>
      <c r="G492" s="230"/>
      <c r="H492" s="230"/>
      <c r="I492" s="230"/>
      <c r="J492" s="230"/>
      <c r="K492" s="230"/>
      <c r="L492" s="242"/>
      <c r="M492" s="230"/>
      <c r="N492" s="230"/>
      <c r="O492" s="257"/>
      <c r="P492" s="230"/>
      <c r="Q492" s="242"/>
      <c r="R492" s="230"/>
      <c r="S492" s="250"/>
      <c r="T492" s="250"/>
      <c r="U492" s="230"/>
      <c r="V492" s="256"/>
      <c r="W492" s="257"/>
      <c r="X492" s="230"/>
      <c r="Y492" s="230"/>
      <c r="Z492" s="230"/>
    </row>
    <row r="493" spans="1:26" ht="24.75" customHeight="1">
      <c r="A493" s="230"/>
      <c r="B493" s="230"/>
      <c r="C493" s="230"/>
      <c r="D493" s="230"/>
      <c r="E493" s="230"/>
      <c r="F493" s="230"/>
      <c r="G493" s="230"/>
      <c r="H493" s="230"/>
      <c r="I493" s="230"/>
      <c r="J493" s="230"/>
      <c r="K493" s="230"/>
      <c r="L493" s="242"/>
      <c r="M493" s="230"/>
      <c r="N493" s="230"/>
      <c r="O493" s="257"/>
      <c r="P493" s="230"/>
      <c r="Q493" s="242"/>
      <c r="R493" s="230"/>
      <c r="S493" s="250"/>
      <c r="T493" s="250"/>
      <c r="U493" s="230"/>
      <c r="V493" s="256"/>
      <c r="W493" s="257"/>
      <c r="X493" s="230"/>
      <c r="Y493" s="230"/>
      <c r="Z493" s="230"/>
    </row>
    <row r="494" spans="1:26" ht="24.75" customHeight="1">
      <c r="A494" s="230"/>
      <c r="B494" s="230"/>
      <c r="C494" s="230"/>
      <c r="D494" s="230"/>
      <c r="E494" s="230"/>
      <c r="F494" s="230"/>
      <c r="G494" s="230"/>
      <c r="H494" s="230"/>
      <c r="I494" s="230"/>
      <c r="J494" s="230"/>
      <c r="K494" s="230"/>
      <c r="L494" s="242"/>
      <c r="M494" s="230"/>
      <c r="N494" s="230"/>
      <c r="O494" s="257"/>
      <c r="P494" s="230"/>
      <c r="Q494" s="242"/>
      <c r="R494" s="230"/>
      <c r="S494" s="250"/>
      <c r="T494" s="250"/>
      <c r="U494" s="230"/>
      <c r="V494" s="256"/>
      <c r="W494" s="257"/>
      <c r="X494" s="230"/>
      <c r="Y494" s="230"/>
      <c r="Z494" s="230"/>
    </row>
    <row r="495" spans="1:26" ht="24.75" customHeight="1">
      <c r="A495" s="230"/>
      <c r="B495" s="230"/>
      <c r="C495" s="230"/>
      <c r="D495" s="230"/>
      <c r="E495" s="230"/>
      <c r="F495" s="230"/>
      <c r="G495" s="230"/>
      <c r="H495" s="230"/>
      <c r="I495" s="230"/>
      <c r="J495" s="230"/>
      <c r="K495" s="230"/>
      <c r="L495" s="242"/>
      <c r="M495" s="230"/>
      <c r="N495" s="230"/>
      <c r="O495" s="257"/>
      <c r="P495" s="230"/>
      <c r="Q495" s="242"/>
      <c r="R495" s="230"/>
      <c r="S495" s="250"/>
      <c r="T495" s="250"/>
      <c r="U495" s="230"/>
      <c r="V495" s="256"/>
      <c r="W495" s="257"/>
      <c r="X495" s="230"/>
      <c r="Y495" s="230"/>
      <c r="Z495" s="230"/>
    </row>
    <row r="496" spans="1:26" ht="24.75" customHeight="1">
      <c r="A496" s="230"/>
      <c r="B496" s="230"/>
      <c r="C496" s="230"/>
      <c r="D496" s="230"/>
      <c r="E496" s="230"/>
      <c r="F496" s="230"/>
      <c r="G496" s="230"/>
      <c r="H496" s="230"/>
      <c r="I496" s="230"/>
      <c r="J496" s="230"/>
      <c r="K496" s="230"/>
      <c r="L496" s="242"/>
      <c r="M496" s="230"/>
      <c r="N496" s="230"/>
      <c r="O496" s="257"/>
      <c r="P496" s="230"/>
      <c r="Q496" s="242"/>
      <c r="R496" s="230"/>
      <c r="S496" s="250"/>
      <c r="T496" s="250"/>
      <c r="U496" s="230"/>
      <c r="V496" s="256"/>
      <c r="W496" s="257"/>
      <c r="X496" s="230"/>
      <c r="Y496" s="230"/>
      <c r="Z496" s="230"/>
    </row>
    <row r="497" spans="1:26" ht="24.75" customHeight="1">
      <c r="A497" s="230"/>
      <c r="B497" s="230"/>
      <c r="C497" s="230"/>
      <c r="D497" s="230"/>
      <c r="E497" s="230"/>
      <c r="F497" s="230"/>
      <c r="G497" s="230"/>
      <c r="H497" s="230"/>
      <c r="I497" s="230"/>
      <c r="J497" s="230"/>
      <c r="K497" s="230"/>
      <c r="L497" s="242"/>
      <c r="M497" s="230"/>
      <c r="N497" s="230"/>
      <c r="O497" s="257"/>
      <c r="P497" s="230"/>
      <c r="Q497" s="242"/>
      <c r="R497" s="230"/>
      <c r="S497" s="250"/>
      <c r="T497" s="250"/>
      <c r="U497" s="230"/>
      <c r="V497" s="256"/>
      <c r="W497" s="257"/>
      <c r="X497" s="230"/>
      <c r="Y497" s="230"/>
      <c r="Z497" s="230"/>
    </row>
    <row r="498" spans="1:26" ht="24.75" customHeight="1">
      <c r="A498" s="230"/>
      <c r="B498" s="230"/>
      <c r="C498" s="230"/>
      <c r="D498" s="230"/>
      <c r="E498" s="230"/>
      <c r="F498" s="230"/>
      <c r="G498" s="230"/>
      <c r="H498" s="230"/>
      <c r="I498" s="230"/>
      <c r="J498" s="230"/>
      <c r="K498" s="230"/>
      <c r="L498" s="242"/>
      <c r="M498" s="230"/>
      <c r="N498" s="230"/>
      <c r="O498" s="257"/>
      <c r="P498" s="230"/>
      <c r="Q498" s="242"/>
      <c r="R498" s="230"/>
      <c r="S498" s="250"/>
      <c r="T498" s="250"/>
      <c r="U498" s="230"/>
      <c r="V498" s="256"/>
      <c r="W498" s="257"/>
      <c r="X498" s="230"/>
      <c r="Y498" s="230"/>
      <c r="Z498" s="230"/>
    </row>
    <row r="499" spans="1:26" ht="24.75" customHeight="1">
      <c r="A499" s="230"/>
      <c r="B499" s="230"/>
      <c r="C499" s="230"/>
      <c r="D499" s="230"/>
      <c r="E499" s="230"/>
      <c r="F499" s="230"/>
      <c r="G499" s="230"/>
      <c r="H499" s="230"/>
      <c r="I499" s="230"/>
      <c r="J499" s="230"/>
      <c r="K499" s="230"/>
      <c r="L499" s="242"/>
      <c r="M499" s="230"/>
      <c r="N499" s="230"/>
      <c r="O499" s="257"/>
      <c r="P499" s="230"/>
      <c r="Q499" s="242"/>
      <c r="R499" s="230"/>
      <c r="S499" s="250"/>
      <c r="T499" s="250"/>
      <c r="U499" s="230"/>
      <c r="V499" s="256"/>
      <c r="W499" s="257"/>
      <c r="X499" s="230"/>
      <c r="Y499" s="230"/>
      <c r="Z499" s="230"/>
    </row>
    <row r="500" spans="1:26" ht="24.75" customHeight="1">
      <c r="A500" s="230"/>
      <c r="B500" s="230"/>
      <c r="C500" s="230"/>
      <c r="D500" s="230"/>
      <c r="E500" s="230"/>
      <c r="F500" s="230"/>
      <c r="G500" s="230"/>
      <c r="H500" s="230"/>
      <c r="I500" s="230"/>
      <c r="J500" s="230"/>
      <c r="K500" s="230"/>
      <c r="L500" s="242"/>
      <c r="M500" s="230"/>
      <c r="N500" s="230"/>
      <c r="O500" s="257"/>
      <c r="P500" s="230"/>
      <c r="Q500" s="242"/>
      <c r="R500" s="230"/>
      <c r="S500" s="250"/>
      <c r="T500" s="250"/>
      <c r="U500" s="230"/>
      <c r="V500" s="256"/>
      <c r="W500" s="257"/>
      <c r="X500" s="230"/>
      <c r="Y500" s="230"/>
      <c r="Z500" s="230"/>
    </row>
    <row r="501" spans="1:26" ht="24.75" customHeight="1">
      <c r="A501" s="230"/>
      <c r="B501" s="230"/>
      <c r="C501" s="230"/>
      <c r="D501" s="230"/>
      <c r="E501" s="230"/>
      <c r="F501" s="230"/>
      <c r="G501" s="230"/>
      <c r="H501" s="230"/>
      <c r="I501" s="230"/>
      <c r="J501" s="230"/>
      <c r="K501" s="230"/>
      <c r="L501" s="242"/>
      <c r="M501" s="230"/>
      <c r="N501" s="230"/>
      <c r="O501" s="257"/>
      <c r="P501" s="230"/>
      <c r="Q501" s="242"/>
      <c r="R501" s="230"/>
      <c r="S501" s="250"/>
      <c r="T501" s="250"/>
      <c r="U501" s="230"/>
      <c r="V501" s="256"/>
      <c r="W501" s="257"/>
      <c r="X501" s="230"/>
      <c r="Y501" s="230"/>
      <c r="Z501" s="230"/>
    </row>
    <row r="502" spans="1:26" ht="24.75" customHeight="1">
      <c r="A502" s="230"/>
      <c r="B502" s="230"/>
      <c r="C502" s="230"/>
      <c r="D502" s="230"/>
      <c r="E502" s="230"/>
      <c r="F502" s="230"/>
      <c r="G502" s="230"/>
      <c r="H502" s="230"/>
      <c r="I502" s="230"/>
      <c r="J502" s="230"/>
      <c r="K502" s="230"/>
      <c r="L502" s="242"/>
      <c r="M502" s="230"/>
      <c r="N502" s="230"/>
      <c r="O502" s="257"/>
      <c r="P502" s="230"/>
      <c r="Q502" s="242"/>
      <c r="R502" s="230"/>
      <c r="S502" s="250"/>
      <c r="T502" s="250"/>
      <c r="U502" s="230"/>
      <c r="V502" s="256"/>
      <c r="W502" s="257"/>
      <c r="X502" s="230"/>
      <c r="Y502" s="230"/>
      <c r="Z502" s="230"/>
    </row>
    <row r="503" spans="1:26" ht="24.75" customHeight="1">
      <c r="A503" s="230"/>
      <c r="B503" s="230"/>
      <c r="C503" s="230"/>
      <c r="D503" s="230"/>
      <c r="E503" s="230"/>
      <c r="F503" s="230"/>
      <c r="G503" s="230"/>
      <c r="H503" s="230"/>
      <c r="I503" s="230"/>
      <c r="J503" s="230"/>
      <c r="K503" s="230"/>
      <c r="L503" s="242"/>
      <c r="M503" s="230"/>
      <c r="N503" s="230"/>
      <c r="O503" s="257"/>
      <c r="P503" s="230"/>
      <c r="Q503" s="242"/>
      <c r="R503" s="230"/>
      <c r="S503" s="250"/>
      <c r="T503" s="250"/>
      <c r="U503" s="230"/>
      <c r="V503" s="256"/>
      <c r="W503" s="257"/>
      <c r="X503" s="230"/>
      <c r="Y503" s="230"/>
      <c r="Z503" s="230"/>
    </row>
    <row r="504" spans="1:26" ht="24.75" customHeight="1">
      <c r="A504" s="230"/>
      <c r="B504" s="230"/>
      <c r="C504" s="230"/>
      <c r="D504" s="230"/>
      <c r="E504" s="230"/>
      <c r="F504" s="230"/>
      <c r="G504" s="230"/>
      <c r="H504" s="230"/>
      <c r="I504" s="230"/>
      <c r="J504" s="230"/>
      <c r="K504" s="230"/>
      <c r="L504" s="242"/>
      <c r="M504" s="230"/>
      <c r="N504" s="230"/>
      <c r="O504" s="257"/>
      <c r="P504" s="230"/>
      <c r="Q504" s="242"/>
      <c r="R504" s="230"/>
      <c r="S504" s="250"/>
      <c r="T504" s="250"/>
      <c r="U504" s="230"/>
      <c r="V504" s="256"/>
      <c r="W504" s="257"/>
      <c r="X504" s="230"/>
      <c r="Y504" s="230"/>
      <c r="Z504" s="230"/>
    </row>
    <row r="505" spans="1:26" ht="24.75" customHeight="1">
      <c r="A505" s="230"/>
      <c r="B505" s="230"/>
      <c r="C505" s="230"/>
      <c r="D505" s="230"/>
      <c r="E505" s="230"/>
      <c r="F505" s="230"/>
      <c r="G505" s="230"/>
      <c r="H505" s="230"/>
      <c r="I505" s="230"/>
      <c r="J505" s="230"/>
      <c r="K505" s="230"/>
      <c r="L505" s="242"/>
      <c r="M505" s="230"/>
      <c r="N505" s="230"/>
      <c r="O505" s="257"/>
      <c r="P505" s="230"/>
      <c r="Q505" s="242"/>
      <c r="R505" s="230"/>
      <c r="S505" s="250"/>
      <c r="T505" s="250"/>
      <c r="U505" s="230"/>
      <c r="V505" s="256"/>
      <c r="W505" s="257"/>
      <c r="X505" s="230"/>
      <c r="Y505" s="230"/>
      <c r="Z505" s="230"/>
    </row>
    <row r="506" spans="1:26" ht="24.75" customHeight="1">
      <c r="A506" s="230"/>
      <c r="B506" s="230"/>
      <c r="C506" s="230"/>
      <c r="D506" s="230"/>
      <c r="E506" s="230"/>
      <c r="F506" s="230"/>
      <c r="G506" s="230"/>
      <c r="H506" s="230"/>
      <c r="I506" s="230"/>
      <c r="J506" s="230"/>
      <c r="K506" s="230"/>
      <c r="L506" s="242"/>
      <c r="M506" s="230"/>
      <c r="N506" s="230"/>
      <c r="O506" s="257"/>
      <c r="P506" s="230"/>
      <c r="Q506" s="242"/>
      <c r="R506" s="230"/>
      <c r="S506" s="250"/>
      <c r="T506" s="250"/>
      <c r="U506" s="230"/>
      <c r="V506" s="256"/>
      <c r="W506" s="257"/>
      <c r="X506" s="230"/>
      <c r="Y506" s="230"/>
      <c r="Z506" s="230"/>
    </row>
    <row r="507" spans="1:26" ht="24.75" customHeight="1">
      <c r="A507" s="230"/>
      <c r="B507" s="230"/>
      <c r="C507" s="230"/>
      <c r="D507" s="230"/>
      <c r="E507" s="230"/>
      <c r="F507" s="230"/>
      <c r="G507" s="230"/>
      <c r="H507" s="230"/>
      <c r="I507" s="230"/>
      <c r="J507" s="230"/>
      <c r="K507" s="230"/>
      <c r="L507" s="242"/>
      <c r="M507" s="230"/>
      <c r="N507" s="230"/>
      <c r="O507" s="257"/>
      <c r="P507" s="230"/>
      <c r="Q507" s="242"/>
      <c r="R507" s="230"/>
      <c r="S507" s="250"/>
      <c r="T507" s="250"/>
      <c r="U507" s="230"/>
      <c r="V507" s="256"/>
      <c r="W507" s="257"/>
      <c r="X507" s="230"/>
      <c r="Y507" s="230"/>
      <c r="Z507" s="230"/>
    </row>
    <row r="508" spans="1:26" ht="24.75" customHeight="1">
      <c r="A508" s="230"/>
      <c r="B508" s="230"/>
      <c r="C508" s="230"/>
      <c r="D508" s="230"/>
      <c r="E508" s="230"/>
      <c r="F508" s="230"/>
      <c r="G508" s="230"/>
      <c r="H508" s="230"/>
      <c r="I508" s="230"/>
      <c r="J508" s="230"/>
      <c r="K508" s="230"/>
      <c r="L508" s="242"/>
      <c r="M508" s="230"/>
      <c r="N508" s="230"/>
      <c r="O508" s="257"/>
      <c r="P508" s="230"/>
      <c r="Q508" s="242"/>
      <c r="R508" s="230"/>
      <c r="S508" s="250"/>
      <c r="T508" s="250"/>
      <c r="U508" s="230"/>
      <c r="V508" s="256"/>
      <c r="W508" s="257"/>
      <c r="X508" s="230"/>
      <c r="Y508" s="230"/>
      <c r="Z508" s="230"/>
    </row>
    <row r="509" spans="1:26" ht="24.75" customHeight="1">
      <c r="A509" s="230"/>
      <c r="B509" s="230"/>
      <c r="C509" s="230"/>
      <c r="D509" s="230"/>
      <c r="E509" s="230"/>
      <c r="F509" s="230"/>
      <c r="G509" s="230"/>
      <c r="H509" s="230"/>
      <c r="I509" s="230"/>
      <c r="J509" s="230"/>
      <c r="K509" s="230"/>
      <c r="L509" s="242"/>
      <c r="M509" s="230"/>
      <c r="N509" s="230"/>
      <c r="O509" s="257"/>
      <c r="P509" s="230"/>
      <c r="Q509" s="242"/>
      <c r="R509" s="230"/>
      <c r="S509" s="250"/>
      <c r="T509" s="250"/>
      <c r="U509" s="230"/>
      <c r="V509" s="256"/>
      <c r="W509" s="257"/>
      <c r="X509" s="230"/>
      <c r="Y509" s="230"/>
      <c r="Z509" s="230"/>
    </row>
    <row r="510" spans="1:26" ht="24.75" customHeight="1">
      <c r="A510" s="230"/>
      <c r="B510" s="230"/>
      <c r="C510" s="230"/>
      <c r="D510" s="230"/>
      <c r="E510" s="230"/>
      <c r="F510" s="230"/>
      <c r="G510" s="230"/>
      <c r="H510" s="230"/>
      <c r="I510" s="230"/>
      <c r="J510" s="230"/>
      <c r="K510" s="230"/>
      <c r="L510" s="242"/>
      <c r="M510" s="230"/>
      <c r="N510" s="230"/>
      <c r="O510" s="257"/>
      <c r="P510" s="230"/>
      <c r="Q510" s="242"/>
      <c r="R510" s="230"/>
      <c r="S510" s="250"/>
      <c r="T510" s="250"/>
      <c r="U510" s="230"/>
      <c r="V510" s="256"/>
      <c r="W510" s="257"/>
      <c r="X510" s="230"/>
      <c r="Y510" s="230"/>
      <c r="Z510" s="230"/>
    </row>
    <row r="511" spans="1:26" ht="24.75" customHeight="1">
      <c r="A511" s="230"/>
      <c r="B511" s="230"/>
      <c r="C511" s="230"/>
      <c r="D511" s="230"/>
      <c r="E511" s="230"/>
      <c r="F511" s="230"/>
      <c r="G511" s="230"/>
      <c r="H511" s="230"/>
      <c r="I511" s="230"/>
      <c r="J511" s="230"/>
      <c r="K511" s="230"/>
      <c r="L511" s="242"/>
      <c r="M511" s="230"/>
      <c r="N511" s="230"/>
      <c r="O511" s="257"/>
      <c r="P511" s="230"/>
      <c r="Q511" s="242"/>
      <c r="R511" s="230"/>
      <c r="S511" s="250"/>
      <c r="T511" s="250"/>
      <c r="U511" s="230"/>
      <c r="V511" s="256"/>
      <c r="W511" s="257"/>
      <c r="X511" s="230"/>
      <c r="Y511" s="230"/>
      <c r="Z511" s="230"/>
    </row>
    <row r="512" spans="1:26" ht="24.75" customHeight="1">
      <c r="A512" s="230"/>
      <c r="B512" s="230"/>
      <c r="C512" s="230"/>
      <c r="D512" s="230"/>
      <c r="E512" s="230"/>
      <c r="F512" s="230"/>
      <c r="G512" s="230"/>
      <c r="H512" s="230"/>
      <c r="I512" s="230"/>
      <c r="J512" s="230"/>
      <c r="K512" s="230"/>
      <c r="L512" s="242"/>
      <c r="M512" s="230"/>
      <c r="N512" s="230"/>
      <c r="O512" s="257"/>
      <c r="P512" s="230"/>
      <c r="Q512" s="242"/>
      <c r="R512" s="230"/>
      <c r="S512" s="250"/>
      <c r="T512" s="250"/>
      <c r="U512" s="230"/>
      <c r="V512" s="256"/>
      <c r="W512" s="257"/>
      <c r="X512" s="230"/>
      <c r="Y512" s="230"/>
      <c r="Z512" s="230"/>
    </row>
    <row r="513" spans="1:26" ht="24.75" customHeight="1">
      <c r="A513" s="230"/>
      <c r="B513" s="230"/>
      <c r="C513" s="230"/>
      <c r="D513" s="230"/>
      <c r="E513" s="230"/>
      <c r="F513" s="230"/>
      <c r="G513" s="230"/>
      <c r="H513" s="230"/>
      <c r="I513" s="230"/>
      <c r="J513" s="230"/>
      <c r="K513" s="230"/>
      <c r="L513" s="242"/>
      <c r="M513" s="230"/>
      <c r="N513" s="230"/>
      <c r="O513" s="257"/>
      <c r="P513" s="230"/>
      <c r="Q513" s="242"/>
      <c r="R513" s="230"/>
      <c r="S513" s="250"/>
      <c r="T513" s="250"/>
      <c r="U513" s="230"/>
      <c r="V513" s="256"/>
      <c r="W513" s="257"/>
      <c r="X513" s="230"/>
      <c r="Y513" s="230"/>
      <c r="Z513" s="230"/>
    </row>
    <row r="514" spans="1:26" ht="24.75" customHeight="1">
      <c r="A514" s="230"/>
      <c r="B514" s="230"/>
      <c r="C514" s="230"/>
      <c r="D514" s="230"/>
      <c r="E514" s="230"/>
      <c r="F514" s="230"/>
      <c r="G514" s="230"/>
      <c r="H514" s="230"/>
      <c r="I514" s="230"/>
      <c r="J514" s="230"/>
      <c r="K514" s="230"/>
      <c r="L514" s="242"/>
      <c r="M514" s="230"/>
      <c r="N514" s="230"/>
      <c r="O514" s="257"/>
      <c r="P514" s="230"/>
      <c r="Q514" s="242"/>
      <c r="R514" s="230"/>
      <c r="S514" s="250"/>
      <c r="T514" s="250"/>
      <c r="U514" s="230"/>
      <c r="V514" s="256"/>
      <c r="W514" s="257"/>
      <c r="X514" s="230"/>
      <c r="Y514" s="230"/>
      <c r="Z514" s="230"/>
    </row>
    <row r="515" spans="1:26" ht="24.75" customHeight="1">
      <c r="A515" s="230"/>
      <c r="B515" s="230"/>
      <c r="C515" s="230"/>
      <c r="D515" s="230"/>
      <c r="E515" s="230"/>
      <c r="F515" s="230"/>
      <c r="G515" s="230"/>
      <c r="H515" s="230"/>
      <c r="I515" s="230"/>
      <c r="J515" s="230"/>
      <c r="K515" s="230"/>
      <c r="L515" s="242"/>
      <c r="M515" s="230"/>
      <c r="N515" s="230"/>
      <c r="O515" s="257"/>
      <c r="P515" s="230"/>
      <c r="Q515" s="242"/>
      <c r="R515" s="230"/>
      <c r="S515" s="250"/>
      <c r="T515" s="250"/>
      <c r="U515" s="230"/>
      <c r="V515" s="256"/>
      <c r="W515" s="257"/>
      <c r="X515" s="230"/>
      <c r="Y515" s="230"/>
      <c r="Z515" s="230"/>
    </row>
    <row r="516" spans="1:26" ht="24.75" customHeight="1">
      <c r="A516" s="230"/>
      <c r="B516" s="230"/>
      <c r="C516" s="230"/>
      <c r="D516" s="230"/>
      <c r="E516" s="230"/>
      <c r="F516" s="230"/>
      <c r="G516" s="230"/>
      <c r="H516" s="230"/>
      <c r="I516" s="230"/>
      <c r="J516" s="230"/>
      <c r="K516" s="230"/>
      <c r="L516" s="242"/>
      <c r="M516" s="230"/>
      <c r="N516" s="230"/>
      <c r="O516" s="257"/>
      <c r="P516" s="230"/>
      <c r="Q516" s="242"/>
      <c r="R516" s="230"/>
      <c r="S516" s="250"/>
      <c r="T516" s="250"/>
      <c r="U516" s="230"/>
      <c r="V516" s="256"/>
      <c r="W516" s="257"/>
      <c r="X516" s="230"/>
      <c r="Y516" s="230"/>
      <c r="Z516" s="230"/>
    </row>
    <row r="517" spans="1:26" ht="24.75" customHeight="1">
      <c r="A517" s="230"/>
      <c r="B517" s="230"/>
      <c r="C517" s="230"/>
      <c r="D517" s="230"/>
      <c r="E517" s="230"/>
      <c r="F517" s="230"/>
      <c r="G517" s="230"/>
      <c r="H517" s="230"/>
      <c r="I517" s="230"/>
      <c r="J517" s="230"/>
      <c r="K517" s="230"/>
      <c r="L517" s="242"/>
      <c r="M517" s="230"/>
      <c r="N517" s="230"/>
      <c r="O517" s="257"/>
      <c r="P517" s="230"/>
      <c r="Q517" s="242"/>
      <c r="R517" s="230"/>
      <c r="S517" s="250"/>
      <c r="T517" s="250"/>
      <c r="U517" s="230"/>
      <c r="V517" s="256"/>
      <c r="W517" s="257"/>
      <c r="X517" s="230"/>
      <c r="Y517" s="230"/>
      <c r="Z517" s="230"/>
    </row>
    <row r="518" spans="1:26" ht="24.75" customHeight="1">
      <c r="A518" s="230"/>
      <c r="B518" s="230"/>
      <c r="C518" s="230"/>
      <c r="D518" s="230"/>
      <c r="E518" s="230"/>
      <c r="F518" s="230"/>
      <c r="G518" s="230"/>
      <c r="H518" s="230"/>
      <c r="I518" s="230"/>
      <c r="J518" s="230"/>
      <c r="K518" s="230"/>
      <c r="L518" s="242"/>
      <c r="M518" s="230"/>
      <c r="N518" s="230"/>
      <c r="O518" s="257"/>
      <c r="P518" s="230"/>
      <c r="Q518" s="242"/>
      <c r="R518" s="230"/>
      <c r="S518" s="250"/>
      <c r="T518" s="250"/>
      <c r="U518" s="230"/>
      <c r="V518" s="256"/>
      <c r="W518" s="257"/>
      <c r="X518" s="230"/>
      <c r="Y518" s="230"/>
      <c r="Z518" s="230"/>
    </row>
    <row r="519" spans="1:26" ht="24.75" customHeight="1">
      <c r="A519" s="230"/>
      <c r="B519" s="230"/>
      <c r="C519" s="230"/>
      <c r="D519" s="230"/>
      <c r="E519" s="230"/>
      <c r="F519" s="230"/>
      <c r="G519" s="230"/>
      <c r="H519" s="230"/>
      <c r="I519" s="230"/>
      <c r="J519" s="230"/>
      <c r="K519" s="230"/>
      <c r="L519" s="242"/>
      <c r="M519" s="230"/>
      <c r="N519" s="230"/>
      <c r="O519" s="257"/>
      <c r="P519" s="230"/>
      <c r="Q519" s="242"/>
      <c r="R519" s="230"/>
      <c r="S519" s="250"/>
      <c r="T519" s="250"/>
      <c r="U519" s="230"/>
      <c r="V519" s="256"/>
      <c r="W519" s="257"/>
      <c r="X519" s="230"/>
      <c r="Y519" s="230"/>
      <c r="Z519" s="230"/>
    </row>
    <row r="520" spans="1:26" ht="24.75" customHeight="1">
      <c r="A520" s="230"/>
      <c r="B520" s="230"/>
      <c r="C520" s="230"/>
      <c r="D520" s="230"/>
      <c r="E520" s="230"/>
      <c r="F520" s="230"/>
      <c r="G520" s="230"/>
      <c r="H520" s="230"/>
      <c r="I520" s="230"/>
      <c r="J520" s="230"/>
      <c r="K520" s="230"/>
      <c r="L520" s="242"/>
      <c r="M520" s="230"/>
      <c r="N520" s="230"/>
      <c r="O520" s="257"/>
      <c r="P520" s="230"/>
      <c r="Q520" s="242"/>
      <c r="R520" s="230"/>
      <c r="S520" s="250"/>
      <c r="T520" s="250"/>
      <c r="U520" s="230"/>
      <c r="V520" s="256"/>
      <c r="W520" s="257"/>
      <c r="X520" s="230"/>
      <c r="Y520" s="230"/>
      <c r="Z520" s="230"/>
    </row>
    <row r="521" spans="1:26" ht="24.75" customHeight="1">
      <c r="A521" s="230"/>
      <c r="B521" s="230"/>
      <c r="C521" s="230"/>
      <c r="D521" s="230"/>
      <c r="E521" s="230"/>
      <c r="F521" s="230"/>
      <c r="G521" s="230"/>
      <c r="H521" s="230"/>
      <c r="I521" s="230"/>
      <c r="J521" s="230"/>
      <c r="K521" s="230"/>
      <c r="L521" s="242"/>
      <c r="M521" s="230"/>
      <c r="N521" s="230"/>
      <c r="O521" s="257"/>
      <c r="P521" s="230"/>
      <c r="Q521" s="242"/>
      <c r="R521" s="230"/>
      <c r="S521" s="250"/>
      <c r="T521" s="250"/>
      <c r="U521" s="230"/>
      <c r="V521" s="256"/>
      <c r="W521" s="257"/>
      <c r="X521" s="230"/>
      <c r="Y521" s="230"/>
      <c r="Z521" s="230"/>
    </row>
    <row r="522" spans="1:26" ht="24.75" customHeight="1">
      <c r="A522" s="230"/>
      <c r="B522" s="230"/>
      <c r="C522" s="230"/>
      <c r="D522" s="230"/>
      <c r="E522" s="230"/>
      <c r="F522" s="230"/>
      <c r="G522" s="230"/>
      <c r="H522" s="230"/>
      <c r="I522" s="230"/>
      <c r="J522" s="230"/>
      <c r="K522" s="230"/>
      <c r="L522" s="242"/>
      <c r="M522" s="230"/>
      <c r="N522" s="230"/>
      <c r="O522" s="257"/>
      <c r="P522" s="230"/>
      <c r="Q522" s="242"/>
      <c r="R522" s="230"/>
      <c r="S522" s="250"/>
      <c r="T522" s="250"/>
      <c r="U522" s="230"/>
      <c r="V522" s="256"/>
      <c r="W522" s="257"/>
      <c r="X522" s="230"/>
      <c r="Y522" s="230"/>
      <c r="Z522" s="230"/>
    </row>
    <row r="523" spans="1:26" ht="24.75" customHeight="1">
      <c r="A523" s="230"/>
      <c r="B523" s="230"/>
      <c r="C523" s="230"/>
      <c r="D523" s="230"/>
      <c r="E523" s="230"/>
      <c r="F523" s="230"/>
      <c r="G523" s="230"/>
      <c r="H523" s="230"/>
      <c r="I523" s="230"/>
      <c r="J523" s="230"/>
      <c r="K523" s="230"/>
      <c r="L523" s="242"/>
      <c r="M523" s="230"/>
      <c r="N523" s="230"/>
      <c r="O523" s="257"/>
      <c r="P523" s="230"/>
      <c r="Q523" s="242"/>
      <c r="R523" s="230"/>
      <c r="S523" s="250"/>
      <c r="T523" s="250"/>
      <c r="U523" s="230"/>
      <c r="V523" s="256"/>
      <c r="W523" s="257"/>
      <c r="X523" s="230"/>
      <c r="Y523" s="230"/>
      <c r="Z523" s="230"/>
    </row>
    <row r="524" spans="1:26" ht="24.75" customHeight="1">
      <c r="A524" s="230"/>
      <c r="B524" s="230"/>
      <c r="C524" s="230"/>
      <c r="D524" s="230"/>
      <c r="E524" s="230"/>
      <c r="F524" s="230"/>
      <c r="G524" s="230"/>
      <c r="H524" s="230"/>
      <c r="I524" s="230"/>
      <c r="J524" s="230"/>
      <c r="K524" s="230"/>
      <c r="L524" s="242"/>
      <c r="M524" s="230"/>
      <c r="N524" s="230"/>
      <c r="O524" s="257"/>
      <c r="P524" s="230"/>
      <c r="Q524" s="242"/>
      <c r="R524" s="230"/>
      <c r="S524" s="250"/>
      <c r="T524" s="250"/>
      <c r="U524" s="230"/>
      <c r="V524" s="256"/>
      <c r="W524" s="257"/>
      <c r="X524" s="230"/>
      <c r="Y524" s="230"/>
      <c r="Z524" s="230"/>
    </row>
    <row r="525" spans="1:26" ht="24.75" customHeight="1">
      <c r="A525" s="230"/>
      <c r="B525" s="230"/>
      <c r="C525" s="230"/>
      <c r="D525" s="230"/>
      <c r="E525" s="230"/>
      <c r="F525" s="230"/>
      <c r="G525" s="230"/>
      <c r="H525" s="230"/>
      <c r="I525" s="230"/>
      <c r="J525" s="230"/>
      <c r="K525" s="230"/>
      <c r="L525" s="242"/>
      <c r="M525" s="230"/>
      <c r="N525" s="230"/>
      <c r="O525" s="257"/>
      <c r="P525" s="230"/>
      <c r="Q525" s="242"/>
      <c r="R525" s="230"/>
      <c r="S525" s="250"/>
      <c r="T525" s="250"/>
      <c r="U525" s="230"/>
      <c r="V525" s="256"/>
      <c r="W525" s="257"/>
      <c r="X525" s="230"/>
      <c r="Y525" s="230"/>
      <c r="Z525" s="230"/>
    </row>
    <row r="526" spans="1:26" ht="24.75" customHeight="1">
      <c r="A526" s="230"/>
      <c r="B526" s="230"/>
      <c r="C526" s="230"/>
      <c r="D526" s="230"/>
      <c r="E526" s="230"/>
      <c r="F526" s="230"/>
      <c r="G526" s="230"/>
      <c r="H526" s="230"/>
      <c r="I526" s="230"/>
      <c r="J526" s="230"/>
      <c r="K526" s="230"/>
      <c r="L526" s="242"/>
      <c r="M526" s="230"/>
      <c r="N526" s="230"/>
      <c r="O526" s="257"/>
      <c r="P526" s="230"/>
      <c r="Q526" s="242"/>
      <c r="R526" s="230"/>
      <c r="S526" s="250"/>
      <c r="T526" s="250"/>
      <c r="U526" s="230"/>
      <c r="V526" s="256"/>
      <c r="W526" s="257"/>
      <c r="X526" s="230"/>
      <c r="Y526" s="230"/>
      <c r="Z526" s="230"/>
    </row>
    <row r="527" spans="1:26" ht="24.75" customHeight="1">
      <c r="A527" s="230"/>
      <c r="B527" s="230"/>
      <c r="C527" s="230"/>
      <c r="D527" s="230"/>
      <c r="E527" s="230"/>
      <c r="F527" s="230"/>
      <c r="G527" s="230"/>
      <c r="H527" s="230"/>
      <c r="I527" s="230"/>
      <c r="J527" s="230"/>
      <c r="K527" s="230"/>
      <c r="L527" s="242"/>
      <c r="M527" s="230"/>
      <c r="N527" s="230"/>
      <c r="O527" s="257"/>
      <c r="P527" s="230"/>
      <c r="Q527" s="242"/>
      <c r="R527" s="230"/>
      <c r="S527" s="250"/>
      <c r="T527" s="250"/>
      <c r="U527" s="230"/>
      <c r="V527" s="256"/>
      <c r="W527" s="257"/>
      <c r="X527" s="230"/>
      <c r="Y527" s="230"/>
      <c r="Z527" s="230"/>
    </row>
    <row r="528" spans="1:26" ht="24.75" customHeight="1">
      <c r="A528" s="230"/>
      <c r="B528" s="230"/>
      <c r="C528" s="230"/>
      <c r="D528" s="230"/>
      <c r="E528" s="230"/>
      <c r="F528" s="230"/>
      <c r="G528" s="230"/>
      <c r="H528" s="230"/>
      <c r="I528" s="230"/>
      <c r="J528" s="230"/>
      <c r="K528" s="230"/>
      <c r="L528" s="242"/>
      <c r="M528" s="230"/>
      <c r="N528" s="230"/>
      <c r="O528" s="257"/>
      <c r="P528" s="230"/>
      <c r="Q528" s="242"/>
      <c r="R528" s="230"/>
      <c r="S528" s="250"/>
      <c r="T528" s="250"/>
      <c r="U528" s="230"/>
      <c r="V528" s="256"/>
      <c r="W528" s="257"/>
      <c r="X528" s="230"/>
      <c r="Y528" s="230"/>
      <c r="Z528" s="230"/>
    </row>
    <row r="529" spans="1:26" ht="24.75" customHeight="1">
      <c r="A529" s="230"/>
      <c r="B529" s="230"/>
      <c r="C529" s="230"/>
      <c r="D529" s="230"/>
      <c r="E529" s="230"/>
      <c r="F529" s="230"/>
      <c r="G529" s="230"/>
      <c r="H529" s="230"/>
      <c r="I529" s="230"/>
      <c r="J529" s="230"/>
      <c r="K529" s="230"/>
      <c r="L529" s="242"/>
      <c r="M529" s="230"/>
      <c r="N529" s="230"/>
      <c r="O529" s="257"/>
      <c r="P529" s="230"/>
      <c r="Q529" s="242"/>
      <c r="R529" s="230"/>
      <c r="S529" s="250"/>
      <c r="T529" s="250"/>
      <c r="U529" s="230"/>
      <c r="V529" s="256"/>
      <c r="W529" s="257"/>
      <c r="X529" s="230"/>
      <c r="Y529" s="230"/>
      <c r="Z529" s="230"/>
    </row>
    <row r="530" spans="1:26" ht="24.75" customHeight="1">
      <c r="A530" s="230"/>
      <c r="B530" s="230"/>
      <c r="C530" s="230"/>
      <c r="D530" s="230"/>
      <c r="E530" s="230"/>
      <c r="F530" s="230"/>
      <c r="G530" s="230"/>
      <c r="H530" s="230"/>
      <c r="I530" s="230"/>
      <c r="J530" s="230"/>
      <c r="K530" s="230"/>
      <c r="L530" s="242"/>
      <c r="M530" s="230"/>
      <c r="N530" s="230"/>
      <c r="O530" s="257"/>
      <c r="P530" s="230"/>
      <c r="Q530" s="242"/>
      <c r="R530" s="230"/>
      <c r="S530" s="250"/>
      <c r="T530" s="250"/>
      <c r="U530" s="230"/>
      <c r="V530" s="256"/>
      <c r="W530" s="257"/>
      <c r="X530" s="230"/>
      <c r="Y530" s="230"/>
      <c r="Z530" s="230"/>
    </row>
    <row r="531" spans="1:26" ht="24.75" customHeight="1">
      <c r="A531" s="230"/>
      <c r="B531" s="230"/>
      <c r="C531" s="230"/>
      <c r="D531" s="230"/>
      <c r="E531" s="230"/>
      <c r="F531" s="230"/>
      <c r="G531" s="230"/>
      <c r="H531" s="230"/>
      <c r="I531" s="230"/>
      <c r="J531" s="230"/>
      <c r="K531" s="230"/>
      <c r="L531" s="242"/>
      <c r="M531" s="230"/>
      <c r="N531" s="230"/>
      <c r="O531" s="257"/>
      <c r="P531" s="230"/>
      <c r="Q531" s="242"/>
      <c r="R531" s="230"/>
      <c r="S531" s="250"/>
      <c r="T531" s="250"/>
      <c r="U531" s="230"/>
      <c r="V531" s="256"/>
      <c r="W531" s="257"/>
      <c r="X531" s="230"/>
      <c r="Y531" s="230"/>
      <c r="Z531" s="230"/>
    </row>
    <row r="532" spans="1:26" ht="24.75" customHeight="1">
      <c r="A532" s="230"/>
      <c r="B532" s="230"/>
      <c r="C532" s="230"/>
      <c r="D532" s="230"/>
      <c r="E532" s="230"/>
      <c r="F532" s="230"/>
      <c r="G532" s="230"/>
      <c r="H532" s="230"/>
      <c r="I532" s="230"/>
      <c r="J532" s="230"/>
      <c r="K532" s="230"/>
      <c r="L532" s="242"/>
      <c r="M532" s="230"/>
      <c r="N532" s="230"/>
      <c r="O532" s="257"/>
      <c r="P532" s="230"/>
      <c r="Q532" s="242"/>
      <c r="R532" s="230"/>
      <c r="S532" s="250"/>
      <c r="T532" s="250"/>
      <c r="U532" s="230"/>
      <c r="V532" s="256"/>
      <c r="W532" s="257"/>
      <c r="X532" s="230"/>
      <c r="Y532" s="230"/>
      <c r="Z532" s="230"/>
    </row>
    <row r="533" spans="1:26" ht="24.75" customHeight="1">
      <c r="A533" s="230"/>
      <c r="B533" s="230"/>
      <c r="C533" s="230"/>
      <c r="D533" s="230"/>
      <c r="E533" s="230"/>
      <c r="F533" s="230"/>
      <c r="G533" s="230"/>
      <c r="H533" s="230"/>
      <c r="I533" s="230"/>
      <c r="J533" s="230"/>
      <c r="K533" s="230"/>
      <c r="L533" s="242"/>
      <c r="M533" s="230"/>
      <c r="N533" s="230"/>
      <c r="O533" s="257"/>
      <c r="P533" s="230"/>
      <c r="Q533" s="242"/>
      <c r="R533" s="230"/>
      <c r="S533" s="250"/>
      <c r="T533" s="250"/>
      <c r="U533" s="230"/>
      <c r="V533" s="256"/>
      <c r="W533" s="257"/>
      <c r="X533" s="230"/>
      <c r="Y533" s="230"/>
      <c r="Z533" s="230"/>
    </row>
    <row r="534" spans="1:26" ht="24.75" customHeight="1">
      <c r="A534" s="230"/>
      <c r="B534" s="230"/>
      <c r="C534" s="230"/>
      <c r="D534" s="230"/>
      <c r="E534" s="230"/>
      <c r="F534" s="230"/>
      <c r="G534" s="230"/>
      <c r="H534" s="230"/>
      <c r="I534" s="230"/>
      <c r="J534" s="230"/>
      <c r="K534" s="230"/>
      <c r="L534" s="242"/>
      <c r="M534" s="230"/>
      <c r="N534" s="230"/>
      <c r="O534" s="257"/>
      <c r="P534" s="230"/>
      <c r="Q534" s="242"/>
      <c r="R534" s="230"/>
      <c r="S534" s="250"/>
      <c r="T534" s="250"/>
      <c r="U534" s="230"/>
      <c r="V534" s="256"/>
      <c r="W534" s="257"/>
      <c r="X534" s="230"/>
      <c r="Y534" s="230"/>
      <c r="Z534" s="230"/>
    </row>
    <row r="535" spans="1:26" ht="24.75" customHeight="1">
      <c r="A535" s="230"/>
      <c r="B535" s="230"/>
      <c r="C535" s="230"/>
      <c r="D535" s="230"/>
      <c r="E535" s="230"/>
      <c r="F535" s="230"/>
      <c r="G535" s="230"/>
      <c r="H535" s="230"/>
      <c r="I535" s="230"/>
      <c r="J535" s="230"/>
      <c r="K535" s="230"/>
      <c r="L535" s="242"/>
      <c r="M535" s="230"/>
      <c r="N535" s="230"/>
      <c r="O535" s="257"/>
      <c r="P535" s="230"/>
      <c r="Q535" s="242"/>
      <c r="R535" s="230"/>
      <c r="S535" s="250"/>
      <c r="T535" s="250"/>
      <c r="U535" s="230"/>
      <c r="V535" s="256"/>
      <c r="W535" s="257"/>
      <c r="X535" s="230"/>
      <c r="Y535" s="230"/>
      <c r="Z535" s="230"/>
    </row>
    <row r="536" spans="1:26" ht="24.75" customHeight="1">
      <c r="A536" s="230"/>
      <c r="B536" s="230"/>
      <c r="C536" s="230"/>
      <c r="D536" s="230"/>
      <c r="E536" s="230"/>
      <c r="F536" s="230"/>
      <c r="G536" s="230"/>
      <c r="H536" s="230"/>
      <c r="I536" s="230"/>
      <c r="J536" s="230"/>
      <c r="K536" s="230"/>
      <c r="L536" s="242"/>
      <c r="M536" s="230"/>
      <c r="N536" s="230"/>
      <c r="O536" s="257"/>
      <c r="P536" s="230"/>
      <c r="Q536" s="242"/>
      <c r="R536" s="230"/>
      <c r="S536" s="250"/>
      <c r="T536" s="250"/>
      <c r="U536" s="230"/>
      <c r="V536" s="256"/>
      <c r="W536" s="257"/>
      <c r="X536" s="230"/>
      <c r="Y536" s="230"/>
      <c r="Z536" s="230"/>
    </row>
    <row r="537" spans="1:26" ht="24.75" customHeight="1">
      <c r="A537" s="230"/>
      <c r="B537" s="230"/>
      <c r="C537" s="230"/>
      <c r="D537" s="230"/>
      <c r="E537" s="230"/>
      <c r="F537" s="230"/>
      <c r="G537" s="230"/>
      <c r="H537" s="230"/>
      <c r="I537" s="230"/>
      <c r="J537" s="230"/>
      <c r="K537" s="230"/>
      <c r="L537" s="242"/>
      <c r="M537" s="230"/>
      <c r="N537" s="230"/>
      <c r="O537" s="257"/>
      <c r="P537" s="230"/>
      <c r="Q537" s="242"/>
      <c r="R537" s="230"/>
      <c r="S537" s="250"/>
      <c r="T537" s="250"/>
      <c r="U537" s="230"/>
      <c r="V537" s="256"/>
      <c r="W537" s="257"/>
      <c r="X537" s="230"/>
      <c r="Y537" s="230"/>
      <c r="Z537" s="230"/>
    </row>
    <row r="538" spans="1:26" ht="24.75" customHeight="1">
      <c r="A538" s="230"/>
      <c r="B538" s="230"/>
      <c r="C538" s="230"/>
      <c r="D538" s="230"/>
      <c r="E538" s="230"/>
      <c r="F538" s="230"/>
      <c r="G538" s="230"/>
      <c r="H538" s="230"/>
      <c r="I538" s="230"/>
      <c r="J538" s="230"/>
      <c r="K538" s="230"/>
      <c r="L538" s="242"/>
      <c r="M538" s="230"/>
      <c r="N538" s="230"/>
      <c r="O538" s="257"/>
      <c r="P538" s="230"/>
      <c r="Q538" s="242"/>
      <c r="R538" s="230"/>
      <c r="S538" s="250"/>
      <c r="T538" s="250"/>
      <c r="U538" s="230"/>
      <c r="V538" s="256"/>
      <c r="W538" s="257"/>
      <c r="X538" s="230"/>
      <c r="Y538" s="230"/>
      <c r="Z538" s="230"/>
    </row>
    <row r="539" spans="1:26" ht="24.75" customHeight="1">
      <c r="A539" s="230"/>
      <c r="B539" s="230"/>
      <c r="C539" s="230"/>
      <c r="D539" s="230"/>
      <c r="E539" s="230"/>
      <c r="F539" s="230"/>
      <c r="G539" s="230"/>
      <c r="H539" s="230"/>
      <c r="I539" s="230"/>
      <c r="J539" s="230"/>
      <c r="K539" s="230"/>
      <c r="L539" s="242"/>
      <c r="M539" s="230"/>
      <c r="N539" s="230"/>
      <c r="O539" s="257"/>
      <c r="P539" s="230"/>
      <c r="Q539" s="242"/>
      <c r="R539" s="230"/>
      <c r="S539" s="250"/>
      <c r="T539" s="250"/>
      <c r="U539" s="230"/>
      <c r="V539" s="256"/>
      <c r="W539" s="257"/>
      <c r="X539" s="230"/>
      <c r="Y539" s="230"/>
      <c r="Z539" s="230"/>
    </row>
    <row r="540" spans="1:26" ht="24.75" customHeight="1">
      <c r="A540" s="230"/>
      <c r="B540" s="230"/>
      <c r="C540" s="230"/>
      <c r="D540" s="230"/>
      <c r="E540" s="230"/>
      <c r="F540" s="230"/>
      <c r="G540" s="230"/>
      <c r="H540" s="230"/>
      <c r="I540" s="230"/>
      <c r="J540" s="230"/>
      <c r="K540" s="230"/>
      <c r="L540" s="242"/>
      <c r="M540" s="230"/>
      <c r="N540" s="230"/>
      <c r="O540" s="257"/>
      <c r="P540" s="230"/>
      <c r="Q540" s="242"/>
      <c r="R540" s="230"/>
      <c r="S540" s="250"/>
      <c r="T540" s="250"/>
      <c r="U540" s="230"/>
      <c r="V540" s="256"/>
      <c r="W540" s="257"/>
      <c r="X540" s="230"/>
      <c r="Y540" s="230"/>
      <c r="Z540" s="230"/>
    </row>
    <row r="541" spans="1:26" ht="24.75" customHeight="1">
      <c r="A541" s="230"/>
      <c r="B541" s="230"/>
      <c r="C541" s="230"/>
      <c r="D541" s="230"/>
      <c r="E541" s="230"/>
      <c r="F541" s="230"/>
      <c r="G541" s="230"/>
      <c r="H541" s="230"/>
      <c r="I541" s="230"/>
      <c r="J541" s="230"/>
      <c r="K541" s="230"/>
      <c r="L541" s="242"/>
      <c r="M541" s="230"/>
      <c r="N541" s="230"/>
      <c r="O541" s="257"/>
      <c r="P541" s="230"/>
      <c r="Q541" s="242"/>
      <c r="R541" s="230"/>
      <c r="S541" s="250"/>
      <c r="T541" s="250"/>
      <c r="U541" s="230"/>
      <c r="V541" s="256"/>
      <c r="W541" s="257"/>
      <c r="X541" s="230"/>
      <c r="Y541" s="230"/>
      <c r="Z541" s="230"/>
    </row>
    <row r="542" spans="1:26" ht="24.75" customHeight="1">
      <c r="A542" s="230"/>
      <c r="B542" s="230"/>
      <c r="C542" s="230"/>
      <c r="D542" s="230"/>
      <c r="E542" s="230"/>
      <c r="F542" s="230"/>
      <c r="G542" s="230"/>
      <c r="H542" s="230"/>
      <c r="I542" s="230"/>
      <c r="J542" s="230"/>
      <c r="K542" s="230"/>
      <c r="L542" s="242"/>
      <c r="M542" s="230"/>
      <c r="N542" s="230"/>
      <c r="O542" s="257"/>
      <c r="P542" s="230"/>
      <c r="Q542" s="242"/>
      <c r="R542" s="230"/>
      <c r="S542" s="250"/>
      <c r="T542" s="250"/>
      <c r="U542" s="230"/>
      <c r="V542" s="256"/>
      <c r="W542" s="257"/>
      <c r="X542" s="230"/>
      <c r="Y542" s="230"/>
      <c r="Z542" s="230"/>
    </row>
    <row r="543" spans="1:26" ht="24.75" customHeight="1">
      <c r="A543" s="230"/>
      <c r="B543" s="230"/>
      <c r="C543" s="230"/>
      <c r="D543" s="230"/>
      <c r="E543" s="230"/>
      <c r="F543" s="230"/>
      <c r="G543" s="230"/>
      <c r="H543" s="230"/>
      <c r="I543" s="230"/>
      <c r="J543" s="230"/>
      <c r="K543" s="230"/>
      <c r="L543" s="242"/>
      <c r="M543" s="230"/>
      <c r="N543" s="230"/>
      <c r="O543" s="257"/>
      <c r="P543" s="230"/>
      <c r="Q543" s="242"/>
      <c r="R543" s="230"/>
      <c r="S543" s="250"/>
      <c r="T543" s="250"/>
      <c r="U543" s="230"/>
      <c r="V543" s="256"/>
      <c r="W543" s="257"/>
      <c r="X543" s="230"/>
      <c r="Y543" s="230"/>
      <c r="Z543" s="230"/>
    </row>
    <row r="544" spans="1:26" ht="24.75" customHeight="1">
      <c r="A544" s="230"/>
      <c r="B544" s="230"/>
      <c r="C544" s="230"/>
      <c r="D544" s="230"/>
      <c r="E544" s="230"/>
      <c r="F544" s="230"/>
      <c r="G544" s="230"/>
      <c r="H544" s="230"/>
      <c r="I544" s="230"/>
      <c r="J544" s="230"/>
      <c r="K544" s="230"/>
      <c r="L544" s="242"/>
      <c r="M544" s="230"/>
      <c r="N544" s="230"/>
      <c r="O544" s="257"/>
      <c r="P544" s="230"/>
      <c r="Q544" s="242"/>
      <c r="R544" s="230"/>
      <c r="S544" s="250"/>
      <c r="T544" s="250"/>
      <c r="U544" s="230"/>
      <c r="V544" s="256"/>
      <c r="W544" s="257"/>
      <c r="X544" s="230"/>
      <c r="Y544" s="230"/>
      <c r="Z544" s="230"/>
    </row>
    <row r="545" spans="1:26" ht="24.75" customHeight="1">
      <c r="A545" s="230"/>
      <c r="B545" s="230"/>
      <c r="C545" s="230"/>
      <c r="D545" s="230"/>
      <c r="E545" s="230"/>
      <c r="F545" s="230"/>
      <c r="G545" s="230"/>
      <c r="H545" s="230"/>
      <c r="I545" s="230"/>
      <c r="J545" s="230"/>
      <c r="K545" s="230"/>
      <c r="L545" s="242"/>
      <c r="M545" s="230"/>
      <c r="N545" s="230"/>
      <c r="O545" s="257"/>
      <c r="P545" s="230"/>
      <c r="Q545" s="242"/>
      <c r="R545" s="230"/>
      <c r="S545" s="250"/>
      <c r="T545" s="250"/>
      <c r="U545" s="230"/>
      <c r="V545" s="256"/>
      <c r="W545" s="257"/>
      <c r="X545" s="230"/>
      <c r="Y545" s="230"/>
      <c r="Z545" s="230"/>
    </row>
    <row r="546" spans="1:26" ht="24.75" customHeight="1">
      <c r="A546" s="230"/>
      <c r="B546" s="230"/>
      <c r="C546" s="230"/>
      <c r="D546" s="230"/>
      <c r="E546" s="230"/>
      <c r="F546" s="230"/>
      <c r="G546" s="230"/>
      <c r="H546" s="230"/>
      <c r="I546" s="230"/>
      <c r="J546" s="230"/>
      <c r="K546" s="230"/>
      <c r="L546" s="242"/>
      <c r="M546" s="230"/>
      <c r="N546" s="230"/>
      <c r="O546" s="257"/>
      <c r="P546" s="230"/>
      <c r="Q546" s="242"/>
      <c r="R546" s="230"/>
      <c r="S546" s="250"/>
      <c r="T546" s="250"/>
      <c r="U546" s="230"/>
      <c r="V546" s="256"/>
      <c r="W546" s="257"/>
      <c r="X546" s="230"/>
      <c r="Y546" s="230"/>
      <c r="Z546" s="230"/>
    </row>
    <row r="547" spans="1:26" ht="24.75" customHeight="1">
      <c r="A547" s="230"/>
      <c r="B547" s="230"/>
      <c r="C547" s="230"/>
      <c r="D547" s="230"/>
      <c r="E547" s="230"/>
      <c r="F547" s="230"/>
      <c r="G547" s="230"/>
      <c r="H547" s="230"/>
      <c r="I547" s="230"/>
      <c r="J547" s="230"/>
      <c r="K547" s="230"/>
      <c r="L547" s="242"/>
      <c r="M547" s="230"/>
      <c r="N547" s="230"/>
      <c r="O547" s="257"/>
      <c r="P547" s="230"/>
      <c r="Q547" s="242"/>
      <c r="R547" s="230"/>
      <c r="S547" s="250"/>
      <c r="T547" s="250"/>
      <c r="U547" s="230"/>
      <c r="V547" s="256"/>
      <c r="W547" s="257"/>
      <c r="X547" s="230"/>
      <c r="Y547" s="230"/>
      <c r="Z547" s="230"/>
    </row>
    <row r="548" spans="1:26" ht="24.75" customHeight="1">
      <c r="A548" s="230"/>
      <c r="B548" s="230"/>
      <c r="C548" s="230"/>
      <c r="D548" s="230"/>
      <c r="E548" s="230"/>
      <c r="F548" s="230"/>
      <c r="G548" s="230"/>
      <c r="H548" s="230"/>
      <c r="I548" s="230"/>
      <c r="J548" s="230"/>
      <c r="K548" s="230"/>
      <c r="L548" s="242"/>
      <c r="M548" s="230"/>
      <c r="N548" s="230"/>
      <c r="O548" s="257"/>
      <c r="P548" s="230"/>
      <c r="Q548" s="242"/>
      <c r="R548" s="230"/>
      <c r="S548" s="250"/>
      <c r="T548" s="250"/>
      <c r="U548" s="230"/>
      <c r="V548" s="256"/>
      <c r="W548" s="257"/>
      <c r="X548" s="230"/>
      <c r="Y548" s="230"/>
      <c r="Z548" s="230"/>
    </row>
    <row r="549" spans="1:26" ht="24.75" customHeight="1">
      <c r="A549" s="230"/>
      <c r="B549" s="230"/>
      <c r="C549" s="230"/>
      <c r="D549" s="230"/>
      <c r="E549" s="230"/>
      <c r="F549" s="230"/>
      <c r="G549" s="230"/>
      <c r="H549" s="230"/>
      <c r="I549" s="230"/>
      <c r="J549" s="230"/>
      <c r="K549" s="230"/>
      <c r="L549" s="242"/>
      <c r="M549" s="230"/>
      <c r="N549" s="230"/>
      <c r="O549" s="257"/>
      <c r="P549" s="230"/>
      <c r="Q549" s="242"/>
      <c r="R549" s="230"/>
      <c r="S549" s="250"/>
      <c r="T549" s="250"/>
      <c r="U549" s="230"/>
      <c r="V549" s="256"/>
      <c r="W549" s="257"/>
      <c r="X549" s="230"/>
      <c r="Y549" s="230"/>
      <c r="Z549" s="230"/>
    </row>
    <row r="550" spans="1:26" ht="24.75" customHeight="1">
      <c r="A550" s="230"/>
      <c r="B550" s="230"/>
      <c r="C550" s="230"/>
      <c r="D550" s="230"/>
      <c r="E550" s="230"/>
      <c r="F550" s="230"/>
      <c r="G550" s="230"/>
      <c r="H550" s="230"/>
      <c r="I550" s="230"/>
      <c r="J550" s="230"/>
      <c r="K550" s="230"/>
      <c r="L550" s="242"/>
      <c r="M550" s="230"/>
      <c r="N550" s="230"/>
      <c r="O550" s="257"/>
      <c r="P550" s="230"/>
      <c r="Q550" s="242"/>
      <c r="R550" s="230"/>
      <c r="S550" s="250"/>
      <c r="T550" s="250"/>
      <c r="U550" s="230"/>
      <c r="V550" s="256"/>
      <c r="W550" s="257"/>
      <c r="X550" s="230"/>
      <c r="Y550" s="230"/>
      <c r="Z550" s="230"/>
    </row>
    <row r="551" spans="1:26" ht="24.75" customHeight="1">
      <c r="A551" s="230"/>
      <c r="B551" s="230"/>
      <c r="C551" s="230"/>
      <c r="D551" s="230"/>
      <c r="E551" s="230"/>
      <c r="F551" s="230"/>
      <c r="G551" s="230"/>
      <c r="H551" s="230"/>
      <c r="I551" s="230"/>
      <c r="J551" s="230"/>
      <c r="K551" s="230"/>
      <c r="L551" s="242"/>
      <c r="M551" s="230"/>
      <c r="N551" s="230"/>
      <c r="O551" s="257"/>
      <c r="P551" s="230"/>
      <c r="Q551" s="242"/>
      <c r="R551" s="230"/>
      <c r="S551" s="250"/>
      <c r="T551" s="250"/>
      <c r="U551" s="230"/>
      <c r="V551" s="256"/>
      <c r="W551" s="257"/>
      <c r="X551" s="230"/>
      <c r="Y551" s="230"/>
      <c r="Z551" s="230"/>
    </row>
    <row r="552" spans="1:26" ht="24.75" customHeight="1">
      <c r="A552" s="230"/>
      <c r="B552" s="230"/>
      <c r="C552" s="230"/>
      <c r="D552" s="230"/>
      <c r="E552" s="230"/>
      <c r="F552" s="230"/>
      <c r="G552" s="230"/>
      <c r="H552" s="230"/>
      <c r="I552" s="230"/>
      <c r="J552" s="230"/>
      <c r="K552" s="230"/>
      <c r="L552" s="242"/>
      <c r="M552" s="230"/>
      <c r="N552" s="230"/>
      <c r="O552" s="257"/>
      <c r="P552" s="230"/>
      <c r="Q552" s="242"/>
      <c r="R552" s="230"/>
      <c r="S552" s="250"/>
      <c r="T552" s="250"/>
      <c r="U552" s="230"/>
      <c r="V552" s="256"/>
      <c r="W552" s="257"/>
      <c r="X552" s="230"/>
      <c r="Y552" s="230"/>
      <c r="Z552" s="230"/>
    </row>
    <row r="553" spans="1:26" ht="24.75" customHeight="1">
      <c r="A553" s="230"/>
      <c r="B553" s="230"/>
      <c r="C553" s="230"/>
      <c r="D553" s="230"/>
      <c r="E553" s="230"/>
      <c r="F553" s="230"/>
      <c r="G553" s="230"/>
      <c r="H553" s="230"/>
      <c r="I553" s="230"/>
      <c r="J553" s="230"/>
      <c r="K553" s="230"/>
      <c r="L553" s="242"/>
      <c r="M553" s="230"/>
      <c r="N553" s="230"/>
      <c r="O553" s="257"/>
      <c r="P553" s="230"/>
      <c r="Q553" s="242"/>
      <c r="R553" s="230"/>
      <c r="S553" s="250"/>
      <c r="T553" s="250"/>
      <c r="U553" s="230"/>
      <c r="V553" s="256"/>
      <c r="W553" s="257"/>
      <c r="X553" s="230"/>
      <c r="Y553" s="230"/>
      <c r="Z553" s="230"/>
    </row>
    <row r="554" spans="1:26" ht="24.75" customHeight="1">
      <c r="A554" s="230"/>
      <c r="B554" s="230"/>
      <c r="C554" s="230"/>
      <c r="D554" s="230"/>
      <c r="E554" s="230"/>
      <c r="F554" s="230"/>
      <c r="G554" s="230"/>
      <c r="H554" s="230"/>
      <c r="I554" s="230"/>
      <c r="J554" s="230"/>
      <c r="K554" s="230"/>
      <c r="L554" s="242"/>
      <c r="M554" s="230"/>
      <c r="N554" s="230"/>
      <c r="O554" s="257"/>
      <c r="P554" s="230"/>
      <c r="Q554" s="242"/>
      <c r="R554" s="230"/>
      <c r="S554" s="250"/>
      <c r="T554" s="250"/>
      <c r="U554" s="230"/>
      <c r="V554" s="256"/>
      <c r="W554" s="257"/>
      <c r="X554" s="230"/>
      <c r="Y554" s="230"/>
      <c r="Z554" s="230"/>
    </row>
    <row r="555" spans="1:26" ht="24.75" customHeight="1">
      <c r="A555" s="230"/>
      <c r="B555" s="230"/>
      <c r="C555" s="230"/>
      <c r="D555" s="230"/>
      <c r="E555" s="230"/>
      <c r="F555" s="230"/>
      <c r="G555" s="230"/>
      <c r="H555" s="230"/>
      <c r="I555" s="230"/>
      <c r="J555" s="230"/>
      <c r="K555" s="230"/>
      <c r="L555" s="242"/>
      <c r="M555" s="230"/>
      <c r="N555" s="230"/>
      <c r="O555" s="257"/>
      <c r="P555" s="230"/>
      <c r="Q555" s="242"/>
      <c r="R555" s="230"/>
      <c r="S555" s="250"/>
      <c r="T555" s="250"/>
      <c r="U555" s="230"/>
      <c r="V555" s="256"/>
      <c r="W555" s="257"/>
      <c r="X555" s="230"/>
      <c r="Y555" s="230"/>
      <c r="Z555" s="230"/>
    </row>
    <row r="556" spans="1:26" ht="24.75" customHeight="1">
      <c r="A556" s="230"/>
      <c r="B556" s="230"/>
      <c r="C556" s="230"/>
      <c r="D556" s="230"/>
      <c r="E556" s="230"/>
      <c r="F556" s="230"/>
      <c r="G556" s="230"/>
      <c r="H556" s="230"/>
      <c r="I556" s="230"/>
      <c r="J556" s="230"/>
      <c r="K556" s="230"/>
      <c r="L556" s="242"/>
      <c r="M556" s="230"/>
      <c r="N556" s="230"/>
      <c r="O556" s="257"/>
      <c r="P556" s="230"/>
      <c r="Q556" s="242"/>
      <c r="R556" s="230"/>
      <c r="S556" s="250"/>
      <c r="T556" s="250"/>
      <c r="U556" s="230"/>
      <c r="V556" s="256"/>
      <c r="W556" s="257"/>
      <c r="X556" s="230"/>
      <c r="Y556" s="230"/>
      <c r="Z556" s="230"/>
    </row>
    <row r="557" spans="1:26" ht="24.75" customHeight="1">
      <c r="A557" s="230"/>
      <c r="B557" s="230"/>
      <c r="C557" s="230"/>
      <c r="D557" s="230"/>
      <c r="E557" s="230"/>
      <c r="F557" s="230"/>
      <c r="G557" s="230"/>
      <c r="H557" s="230"/>
      <c r="I557" s="230"/>
      <c r="J557" s="230"/>
      <c r="K557" s="230"/>
      <c r="L557" s="242"/>
      <c r="M557" s="230"/>
      <c r="N557" s="230"/>
      <c r="O557" s="257"/>
      <c r="P557" s="230"/>
      <c r="Q557" s="242"/>
      <c r="R557" s="230"/>
      <c r="S557" s="250"/>
      <c r="T557" s="250"/>
      <c r="U557" s="230"/>
      <c r="V557" s="256"/>
      <c r="W557" s="257"/>
      <c r="X557" s="230"/>
      <c r="Y557" s="230"/>
      <c r="Z557" s="230"/>
    </row>
    <row r="558" spans="1:26" ht="24.75" customHeight="1">
      <c r="A558" s="230"/>
      <c r="B558" s="230"/>
      <c r="C558" s="230"/>
      <c r="D558" s="230"/>
      <c r="E558" s="230"/>
      <c r="F558" s="230"/>
      <c r="G558" s="230"/>
      <c r="H558" s="230"/>
      <c r="I558" s="230"/>
      <c r="J558" s="230"/>
      <c r="K558" s="230"/>
      <c r="L558" s="242"/>
      <c r="M558" s="230"/>
      <c r="N558" s="230"/>
      <c r="O558" s="257"/>
      <c r="P558" s="230"/>
      <c r="Q558" s="242"/>
      <c r="R558" s="230"/>
      <c r="S558" s="250"/>
      <c r="T558" s="250"/>
      <c r="U558" s="230"/>
      <c r="V558" s="256"/>
      <c r="W558" s="257"/>
      <c r="X558" s="230"/>
      <c r="Y558" s="230"/>
      <c r="Z558" s="230"/>
    </row>
    <row r="559" spans="1:26" ht="24.75" customHeight="1">
      <c r="A559" s="230"/>
      <c r="B559" s="230"/>
      <c r="C559" s="230"/>
      <c r="D559" s="230"/>
      <c r="E559" s="230"/>
      <c r="F559" s="230"/>
      <c r="G559" s="230"/>
      <c r="H559" s="230"/>
      <c r="I559" s="230"/>
      <c r="J559" s="230"/>
      <c r="K559" s="230"/>
      <c r="L559" s="242"/>
      <c r="M559" s="230"/>
      <c r="N559" s="230"/>
      <c r="O559" s="257"/>
      <c r="P559" s="230"/>
      <c r="Q559" s="242"/>
      <c r="R559" s="230"/>
      <c r="S559" s="250"/>
      <c r="T559" s="250"/>
      <c r="U559" s="230"/>
      <c r="V559" s="256"/>
      <c r="W559" s="257"/>
      <c r="X559" s="230"/>
      <c r="Y559" s="230"/>
      <c r="Z559" s="230"/>
    </row>
    <row r="560" spans="1:26" ht="24.75" customHeight="1">
      <c r="A560" s="230"/>
      <c r="B560" s="230"/>
      <c r="C560" s="230"/>
      <c r="D560" s="230"/>
      <c r="E560" s="230"/>
      <c r="F560" s="230"/>
      <c r="G560" s="230"/>
      <c r="H560" s="230"/>
      <c r="I560" s="230"/>
      <c r="J560" s="230"/>
      <c r="K560" s="230"/>
      <c r="L560" s="242"/>
      <c r="M560" s="230"/>
      <c r="N560" s="230"/>
      <c r="O560" s="257"/>
      <c r="P560" s="230"/>
      <c r="Q560" s="242"/>
      <c r="R560" s="230"/>
      <c r="S560" s="250"/>
      <c r="T560" s="250"/>
      <c r="U560" s="230"/>
      <c r="V560" s="256"/>
      <c r="W560" s="257"/>
      <c r="X560" s="230"/>
      <c r="Y560" s="230"/>
      <c r="Z560" s="230"/>
    </row>
    <row r="561" spans="1:26" ht="24.75" customHeight="1">
      <c r="A561" s="230"/>
      <c r="B561" s="230"/>
      <c r="C561" s="230"/>
      <c r="D561" s="230"/>
      <c r="E561" s="230"/>
      <c r="F561" s="230"/>
      <c r="G561" s="230"/>
      <c r="H561" s="230"/>
      <c r="I561" s="230"/>
      <c r="J561" s="230"/>
      <c r="K561" s="230"/>
      <c r="L561" s="242"/>
      <c r="M561" s="230"/>
      <c r="N561" s="230"/>
      <c r="O561" s="257"/>
      <c r="P561" s="230"/>
      <c r="Q561" s="242"/>
      <c r="R561" s="230"/>
      <c r="S561" s="250"/>
      <c r="T561" s="250"/>
      <c r="U561" s="230"/>
      <c r="V561" s="256"/>
      <c r="W561" s="257"/>
      <c r="X561" s="230"/>
      <c r="Y561" s="230"/>
      <c r="Z561" s="230"/>
    </row>
    <row r="562" spans="1:26" ht="24.75" customHeight="1">
      <c r="A562" s="230"/>
      <c r="B562" s="230"/>
      <c r="C562" s="230"/>
      <c r="D562" s="230"/>
      <c r="E562" s="230"/>
      <c r="F562" s="230"/>
      <c r="G562" s="230"/>
      <c r="H562" s="230"/>
      <c r="I562" s="230"/>
      <c r="J562" s="230"/>
      <c r="K562" s="230"/>
      <c r="L562" s="242"/>
      <c r="M562" s="230"/>
      <c r="N562" s="230"/>
      <c r="O562" s="257"/>
      <c r="P562" s="230"/>
      <c r="Q562" s="242"/>
      <c r="R562" s="230"/>
      <c r="S562" s="250"/>
      <c r="T562" s="250"/>
      <c r="U562" s="230"/>
      <c r="V562" s="256"/>
      <c r="W562" s="257"/>
      <c r="X562" s="230"/>
      <c r="Y562" s="230"/>
      <c r="Z562" s="230"/>
    </row>
    <row r="563" spans="1:26" ht="24.75" customHeight="1">
      <c r="A563" s="230"/>
      <c r="B563" s="230"/>
      <c r="C563" s="230"/>
      <c r="D563" s="230"/>
      <c r="E563" s="230"/>
      <c r="F563" s="230"/>
      <c r="G563" s="230"/>
      <c r="H563" s="230"/>
      <c r="I563" s="230"/>
      <c r="J563" s="230"/>
      <c r="K563" s="230"/>
      <c r="L563" s="242"/>
      <c r="M563" s="230"/>
      <c r="N563" s="230"/>
      <c r="O563" s="257"/>
      <c r="P563" s="230"/>
      <c r="Q563" s="242"/>
      <c r="R563" s="230"/>
      <c r="S563" s="250"/>
      <c r="T563" s="250"/>
      <c r="U563" s="230"/>
      <c r="V563" s="256"/>
      <c r="W563" s="257"/>
      <c r="X563" s="230"/>
      <c r="Y563" s="230"/>
      <c r="Z563" s="230"/>
    </row>
    <row r="564" spans="1:26" ht="24.75" customHeight="1">
      <c r="A564" s="230"/>
      <c r="B564" s="230"/>
      <c r="C564" s="230"/>
      <c r="D564" s="230"/>
      <c r="E564" s="230"/>
      <c r="F564" s="230"/>
      <c r="G564" s="230"/>
      <c r="H564" s="230"/>
      <c r="I564" s="230"/>
      <c r="J564" s="230"/>
      <c r="K564" s="230"/>
      <c r="L564" s="242"/>
      <c r="M564" s="230"/>
      <c r="N564" s="230"/>
      <c r="O564" s="257"/>
      <c r="P564" s="230"/>
      <c r="Q564" s="242"/>
      <c r="R564" s="230"/>
      <c r="S564" s="250"/>
      <c r="T564" s="250"/>
      <c r="U564" s="230"/>
      <c r="V564" s="256"/>
      <c r="W564" s="257"/>
      <c r="X564" s="230"/>
      <c r="Y564" s="230"/>
      <c r="Z564" s="230"/>
    </row>
    <row r="565" spans="1:26" ht="24.75" customHeight="1">
      <c r="A565" s="230"/>
      <c r="B565" s="230"/>
      <c r="C565" s="230"/>
      <c r="D565" s="230"/>
      <c r="E565" s="230"/>
      <c r="F565" s="230"/>
      <c r="G565" s="230"/>
      <c r="H565" s="230"/>
      <c r="I565" s="230"/>
      <c r="J565" s="230"/>
      <c r="K565" s="230"/>
      <c r="L565" s="242"/>
      <c r="M565" s="230"/>
      <c r="N565" s="230"/>
      <c r="O565" s="257"/>
      <c r="P565" s="230"/>
      <c r="Q565" s="242"/>
      <c r="R565" s="230"/>
      <c r="S565" s="250"/>
      <c r="T565" s="250"/>
      <c r="U565" s="230"/>
      <c r="V565" s="256"/>
      <c r="W565" s="257"/>
      <c r="X565" s="230"/>
      <c r="Y565" s="230"/>
      <c r="Z565" s="230"/>
    </row>
    <row r="566" spans="1:26" ht="24.75" customHeight="1">
      <c r="A566" s="230"/>
      <c r="B566" s="230"/>
      <c r="C566" s="230"/>
      <c r="D566" s="230"/>
      <c r="E566" s="230"/>
      <c r="F566" s="230"/>
      <c r="G566" s="230"/>
      <c r="H566" s="230"/>
      <c r="I566" s="230"/>
      <c r="J566" s="230"/>
      <c r="K566" s="230"/>
      <c r="L566" s="242"/>
      <c r="M566" s="230"/>
      <c r="N566" s="230"/>
      <c r="O566" s="257"/>
      <c r="P566" s="230"/>
      <c r="Q566" s="242"/>
      <c r="R566" s="230"/>
      <c r="S566" s="250"/>
      <c r="T566" s="250"/>
      <c r="U566" s="230"/>
      <c r="V566" s="256"/>
      <c r="W566" s="257"/>
      <c r="X566" s="230"/>
      <c r="Y566" s="230"/>
      <c r="Z566" s="230"/>
    </row>
    <row r="567" spans="1:26" ht="24.75" customHeight="1">
      <c r="A567" s="230"/>
      <c r="B567" s="230"/>
      <c r="C567" s="230"/>
      <c r="D567" s="230"/>
      <c r="E567" s="230"/>
      <c r="F567" s="230"/>
      <c r="G567" s="230"/>
      <c r="H567" s="230"/>
      <c r="I567" s="230"/>
      <c r="J567" s="230"/>
      <c r="K567" s="230"/>
      <c r="L567" s="242"/>
      <c r="M567" s="230"/>
      <c r="N567" s="230"/>
      <c r="O567" s="257"/>
      <c r="P567" s="230"/>
      <c r="Q567" s="242"/>
      <c r="R567" s="230"/>
      <c r="S567" s="250"/>
      <c r="T567" s="250"/>
      <c r="U567" s="230"/>
      <c r="V567" s="256"/>
      <c r="W567" s="257"/>
      <c r="X567" s="230"/>
      <c r="Y567" s="230"/>
      <c r="Z567" s="230"/>
    </row>
    <row r="568" spans="1:26" ht="24.75" customHeight="1">
      <c r="A568" s="230"/>
      <c r="B568" s="230"/>
      <c r="C568" s="230"/>
      <c r="D568" s="230"/>
      <c r="E568" s="230"/>
      <c r="F568" s="230"/>
      <c r="G568" s="230"/>
      <c r="H568" s="230"/>
      <c r="I568" s="230"/>
      <c r="J568" s="230"/>
      <c r="K568" s="230"/>
      <c r="L568" s="242"/>
      <c r="M568" s="230"/>
      <c r="N568" s="230"/>
      <c r="O568" s="257"/>
      <c r="P568" s="230"/>
      <c r="Q568" s="242"/>
      <c r="R568" s="230"/>
      <c r="S568" s="250"/>
      <c r="T568" s="250"/>
      <c r="U568" s="230"/>
      <c r="V568" s="256"/>
      <c r="W568" s="257"/>
      <c r="X568" s="230"/>
      <c r="Y568" s="230"/>
      <c r="Z568" s="230"/>
    </row>
    <row r="569" spans="1:26" ht="24.75" customHeight="1">
      <c r="A569" s="230"/>
      <c r="B569" s="230"/>
      <c r="C569" s="230"/>
      <c r="D569" s="230"/>
      <c r="E569" s="230"/>
      <c r="F569" s="230"/>
      <c r="G569" s="230"/>
      <c r="H569" s="230"/>
      <c r="I569" s="230"/>
      <c r="J569" s="230"/>
      <c r="K569" s="230"/>
      <c r="L569" s="242"/>
      <c r="M569" s="230"/>
      <c r="N569" s="230"/>
      <c r="O569" s="257"/>
      <c r="P569" s="230"/>
      <c r="Q569" s="242"/>
      <c r="R569" s="230"/>
      <c r="S569" s="250"/>
      <c r="T569" s="250"/>
      <c r="U569" s="230"/>
      <c r="V569" s="256"/>
      <c r="W569" s="257"/>
      <c r="X569" s="230"/>
      <c r="Y569" s="230"/>
      <c r="Z569" s="230"/>
    </row>
    <row r="570" spans="1:26" ht="24.75" customHeight="1">
      <c r="A570" s="230"/>
      <c r="B570" s="230"/>
      <c r="C570" s="230"/>
      <c r="D570" s="230"/>
      <c r="E570" s="230"/>
      <c r="F570" s="230"/>
      <c r="G570" s="230"/>
      <c r="H570" s="230"/>
      <c r="I570" s="230"/>
      <c r="J570" s="230"/>
      <c r="K570" s="230"/>
      <c r="L570" s="242"/>
      <c r="M570" s="230"/>
      <c r="N570" s="230"/>
      <c r="O570" s="257"/>
      <c r="P570" s="230"/>
      <c r="Q570" s="242"/>
      <c r="R570" s="230"/>
      <c r="S570" s="250"/>
      <c r="T570" s="250"/>
      <c r="U570" s="230"/>
      <c r="V570" s="256"/>
      <c r="W570" s="257"/>
      <c r="X570" s="230"/>
      <c r="Y570" s="230"/>
      <c r="Z570" s="230"/>
    </row>
    <row r="571" spans="1:26" ht="24.75" customHeight="1">
      <c r="A571" s="230"/>
      <c r="B571" s="230"/>
      <c r="C571" s="230"/>
      <c r="D571" s="230"/>
      <c r="E571" s="230"/>
      <c r="F571" s="230"/>
      <c r="G571" s="230"/>
      <c r="H571" s="230"/>
      <c r="I571" s="230"/>
      <c r="J571" s="230"/>
      <c r="K571" s="230"/>
      <c r="L571" s="242"/>
      <c r="M571" s="230"/>
      <c r="N571" s="230"/>
      <c r="O571" s="257"/>
      <c r="P571" s="230"/>
      <c r="Q571" s="242"/>
      <c r="R571" s="230"/>
      <c r="S571" s="250"/>
      <c r="T571" s="250"/>
      <c r="U571" s="230"/>
      <c r="V571" s="256"/>
      <c r="W571" s="257"/>
      <c r="X571" s="230"/>
      <c r="Y571" s="230"/>
      <c r="Z571" s="230"/>
    </row>
    <row r="572" spans="1:26" ht="24.75" customHeight="1">
      <c r="A572" s="230"/>
      <c r="B572" s="230"/>
      <c r="C572" s="230"/>
      <c r="D572" s="230"/>
      <c r="E572" s="230"/>
      <c r="F572" s="230"/>
      <c r="G572" s="230"/>
      <c r="H572" s="230"/>
      <c r="I572" s="230"/>
      <c r="J572" s="230"/>
      <c r="K572" s="230"/>
      <c r="L572" s="242"/>
      <c r="M572" s="230"/>
      <c r="N572" s="230"/>
      <c r="O572" s="257"/>
      <c r="P572" s="230"/>
      <c r="Q572" s="242"/>
      <c r="R572" s="230"/>
      <c r="S572" s="250"/>
      <c r="T572" s="250"/>
      <c r="U572" s="230"/>
      <c r="V572" s="256"/>
      <c r="W572" s="257"/>
      <c r="X572" s="230"/>
      <c r="Y572" s="230"/>
      <c r="Z572" s="230"/>
    </row>
    <row r="573" spans="1:26" ht="24.75" customHeight="1">
      <c r="A573" s="230"/>
      <c r="B573" s="230"/>
      <c r="C573" s="230"/>
      <c r="D573" s="230"/>
      <c r="E573" s="230"/>
      <c r="F573" s="230"/>
      <c r="G573" s="230"/>
      <c r="H573" s="230"/>
      <c r="I573" s="230"/>
      <c r="J573" s="230"/>
      <c r="K573" s="230"/>
      <c r="L573" s="242"/>
      <c r="M573" s="230"/>
      <c r="N573" s="230"/>
      <c r="O573" s="257"/>
      <c r="P573" s="230"/>
      <c r="Q573" s="242"/>
      <c r="R573" s="230"/>
      <c r="S573" s="250"/>
      <c r="T573" s="250"/>
      <c r="U573" s="230"/>
      <c r="V573" s="256"/>
      <c r="W573" s="257"/>
      <c r="X573" s="230"/>
      <c r="Y573" s="230"/>
      <c r="Z573" s="230"/>
    </row>
    <row r="574" spans="1:26" ht="24.75" customHeight="1">
      <c r="A574" s="230"/>
      <c r="B574" s="230"/>
      <c r="C574" s="230"/>
      <c r="D574" s="230"/>
      <c r="E574" s="230"/>
      <c r="F574" s="230"/>
      <c r="G574" s="230"/>
      <c r="H574" s="230"/>
      <c r="I574" s="230"/>
      <c r="J574" s="230"/>
      <c r="K574" s="230"/>
      <c r="L574" s="242"/>
      <c r="M574" s="230"/>
      <c r="N574" s="230"/>
      <c r="O574" s="257"/>
      <c r="P574" s="230"/>
      <c r="Q574" s="242"/>
      <c r="R574" s="230"/>
      <c r="S574" s="250"/>
      <c r="T574" s="250"/>
      <c r="U574" s="230"/>
      <c r="V574" s="256"/>
      <c r="W574" s="257"/>
      <c r="X574" s="230"/>
      <c r="Y574" s="230"/>
      <c r="Z574" s="230"/>
    </row>
    <row r="575" spans="1:26" ht="24.75" customHeight="1">
      <c r="A575" s="230"/>
      <c r="B575" s="230"/>
      <c r="C575" s="230"/>
      <c r="D575" s="230"/>
      <c r="E575" s="230"/>
      <c r="F575" s="230"/>
      <c r="G575" s="230"/>
      <c r="H575" s="230"/>
      <c r="I575" s="230"/>
      <c r="J575" s="230"/>
      <c r="K575" s="230"/>
      <c r="L575" s="242"/>
      <c r="M575" s="230"/>
      <c r="N575" s="230"/>
      <c r="O575" s="257"/>
      <c r="P575" s="230"/>
      <c r="Q575" s="242"/>
      <c r="R575" s="230"/>
      <c r="S575" s="250"/>
      <c r="T575" s="250"/>
      <c r="U575" s="230"/>
      <c r="V575" s="256"/>
      <c r="W575" s="257"/>
      <c r="X575" s="230"/>
      <c r="Y575" s="230"/>
      <c r="Z575" s="230"/>
    </row>
    <row r="576" spans="1:26" ht="24.75" customHeight="1">
      <c r="A576" s="230"/>
      <c r="B576" s="230"/>
      <c r="C576" s="230"/>
      <c r="D576" s="230"/>
      <c r="E576" s="230"/>
      <c r="F576" s="230"/>
      <c r="G576" s="230"/>
      <c r="H576" s="230"/>
      <c r="I576" s="230"/>
      <c r="J576" s="230"/>
      <c r="K576" s="230"/>
      <c r="L576" s="242"/>
      <c r="M576" s="230"/>
      <c r="N576" s="230"/>
      <c r="O576" s="257"/>
      <c r="P576" s="230"/>
      <c r="Q576" s="242"/>
      <c r="R576" s="230"/>
      <c r="S576" s="250"/>
      <c r="T576" s="250"/>
      <c r="U576" s="230"/>
      <c r="V576" s="256"/>
      <c r="W576" s="257"/>
      <c r="X576" s="230"/>
      <c r="Y576" s="230"/>
      <c r="Z576" s="230"/>
    </row>
    <row r="577" spans="1:26" ht="24.75" customHeight="1">
      <c r="A577" s="230"/>
      <c r="B577" s="230"/>
      <c r="C577" s="230"/>
      <c r="D577" s="230"/>
      <c r="E577" s="230"/>
      <c r="F577" s="230"/>
      <c r="G577" s="230"/>
      <c r="H577" s="230"/>
      <c r="I577" s="230"/>
      <c r="J577" s="230"/>
      <c r="K577" s="230"/>
      <c r="L577" s="242"/>
      <c r="M577" s="230"/>
      <c r="N577" s="230"/>
      <c r="O577" s="257"/>
      <c r="P577" s="230"/>
      <c r="Q577" s="242"/>
      <c r="R577" s="230"/>
      <c r="S577" s="250"/>
      <c r="T577" s="250"/>
      <c r="U577" s="230"/>
      <c r="V577" s="256"/>
      <c r="W577" s="257"/>
      <c r="X577" s="230"/>
      <c r="Y577" s="230"/>
      <c r="Z577" s="230"/>
    </row>
    <row r="578" spans="1:26" ht="24.75" customHeight="1">
      <c r="A578" s="230"/>
      <c r="B578" s="230"/>
      <c r="C578" s="230"/>
      <c r="D578" s="230"/>
      <c r="E578" s="230"/>
      <c r="F578" s="230"/>
      <c r="G578" s="230"/>
      <c r="H578" s="230"/>
      <c r="I578" s="230"/>
      <c r="J578" s="230"/>
      <c r="K578" s="230"/>
      <c r="L578" s="242"/>
      <c r="M578" s="230"/>
      <c r="N578" s="230"/>
      <c r="O578" s="257"/>
      <c r="P578" s="230"/>
      <c r="Q578" s="242"/>
      <c r="R578" s="230"/>
      <c r="S578" s="250"/>
      <c r="T578" s="250"/>
      <c r="U578" s="230"/>
      <c r="V578" s="256"/>
      <c r="W578" s="257"/>
      <c r="X578" s="230"/>
      <c r="Y578" s="230"/>
      <c r="Z578" s="230"/>
    </row>
    <row r="579" spans="1:26" ht="24.75" customHeight="1">
      <c r="A579" s="230"/>
      <c r="B579" s="230"/>
      <c r="C579" s="230"/>
      <c r="D579" s="230"/>
      <c r="E579" s="230"/>
      <c r="F579" s="230"/>
      <c r="G579" s="230"/>
      <c r="H579" s="230"/>
      <c r="I579" s="230"/>
      <c r="J579" s="230"/>
      <c r="K579" s="230"/>
      <c r="L579" s="242"/>
      <c r="M579" s="230"/>
      <c r="N579" s="230"/>
      <c r="O579" s="257"/>
      <c r="P579" s="230"/>
      <c r="Q579" s="242"/>
      <c r="R579" s="230"/>
      <c r="S579" s="250"/>
      <c r="T579" s="250"/>
      <c r="U579" s="230"/>
      <c r="V579" s="256"/>
      <c r="W579" s="257"/>
      <c r="X579" s="230"/>
      <c r="Y579" s="230"/>
      <c r="Z579" s="230"/>
    </row>
    <row r="580" spans="1:26" ht="24.75" customHeight="1">
      <c r="A580" s="230"/>
      <c r="B580" s="230"/>
      <c r="C580" s="230"/>
      <c r="D580" s="230"/>
      <c r="E580" s="230"/>
      <c r="F580" s="230"/>
      <c r="G580" s="230"/>
      <c r="H580" s="230"/>
      <c r="I580" s="230"/>
      <c r="J580" s="230"/>
      <c r="K580" s="230"/>
      <c r="L580" s="242"/>
      <c r="M580" s="230"/>
      <c r="N580" s="230"/>
      <c r="O580" s="257"/>
      <c r="P580" s="230"/>
      <c r="Q580" s="242"/>
      <c r="R580" s="230"/>
      <c r="S580" s="250"/>
      <c r="T580" s="250"/>
      <c r="U580" s="230"/>
      <c r="V580" s="256"/>
      <c r="W580" s="257"/>
      <c r="X580" s="230"/>
      <c r="Y580" s="230"/>
      <c r="Z580" s="230"/>
    </row>
    <row r="581" spans="1:26" ht="24.75" customHeight="1">
      <c r="A581" s="230"/>
      <c r="B581" s="230"/>
      <c r="C581" s="230"/>
      <c r="D581" s="230"/>
      <c r="E581" s="230"/>
      <c r="F581" s="230"/>
      <c r="G581" s="230"/>
      <c r="H581" s="230"/>
      <c r="I581" s="230"/>
      <c r="J581" s="230"/>
      <c r="K581" s="230"/>
      <c r="L581" s="242"/>
      <c r="M581" s="230"/>
      <c r="N581" s="230"/>
      <c r="O581" s="257"/>
      <c r="P581" s="230"/>
      <c r="Q581" s="242"/>
      <c r="R581" s="230"/>
      <c r="S581" s="250"/>
      <c r="T581" s="250"/>
      <c r="U581" s="230"/>
      <c r="V581" s="256"/>
      <c r="W581" s="257"/>
      <c r="X581" s="230"/>
      <c r="Y581" s="230"/>
      <c r="Z581" s="230"/>
    </row>
    <row r="582" spans="1:26" ht="24.75" customHeight="1">
      <c r="A582" s="230"/>
      <c r="B582" s="230"/>
      <c r="C582" s="230"/>
      <c r="D582" s="230"/>
      <c r="E582" s="230"/>
      <c r="F582" s="230"/>
      <c r="G582" s="230"/>
      <c r="H582" s="230"/>
      <c r="I582" s="230"/>
      <c r="J582" s="230"/>
      <c r="K582" s="230"/>
      <c r="L582" s="242"/>
      <c r="M582" s="230"/>
      <c r="N582" s="230"/>
      <c r="O582" s="257"/>
      <c r="P582" s="230"/>
      <c r="Q582" s="242"/>
      <c r="R582" s="230"/>
      <c r="S582" s="250"/>
      <c r="T582" s="250"/>
      <c r="U582" s="230"/>
      <c r="V582" s="256"/>
      <c r="W582" s="257"/>
      <c r="X582" s="230"/>
      <c r="Y582" s="230"/>
      <c r="Z582" s="230"/>
    </row>
    <row r="583" spans="1:26" ht="24.75" customHeight="1">
      <c r="A583" s="230"/>
      <c r="B583" s="230"/>
      <c r="C583" s="230"/>
      <c r="D583" s="230"/>
      <c r="E583" s="230"/>
      <c r="F583" s="230"/>
      <c r="G583" s="230"/>
      <c r="H583" s="230"/>
      <c r="I583" s="230"/>
      <c r="J583" s="230"/>
      <c r="K583" s="230"/>
      <c r="L583" s="242"/>
      <c r="M583" s="230"/>
      <c r="N583" s="230"/>
      <c r="O583" s="257"/>
      <c r="P583" s="230"/>
      <c r="Q583" s="242"/>
      <c r="R583" s="230"/>
      <c r="S583" s="250"/>
      <c r="T583" s="250"/>
      <c r="U583" s="230"/>
      <c r="V583" s="256"/>
      <c r="W583" s="257"/>
      <c r="X583" s="230"/>
      <c r="Y583" s="230"/>
      <c r="Z583" s="230"/>
    </row>
    <row r="584" spans="1:26" ht="24.75" customHeight="1">
      <c r="A584" s="230"/>
      <c r="B584" s="230"/>
      <c r="C584" s="230"/>
      <c r="D584" s="230"/>
      <c r="E584" s="230"/>
      <c r="F584" s="230"/>
      <c r="G584" s="230"/>
      <c r="H584" s="230"/>
      <c r="I584" s="230"/>
      <c r="J584" s="230"/>
      <c r="K584" s="230"/>
      <c r="L584" s="242"/>
      <c r="M584" s="230"/>
      <c r="N584" s="230"/>
      <c r="O584" s="257"/>
      <c r="P584" s="230"/>
      <c r="Q584" s="242"/>
      <c r="R584" s="230"/>
      <c r="S584" s="250"/>
      <c r="T584" s="250"/>
      <c r="U584" s="230"/>
      <c r="V584" s="256"/>
      <c r="W584" s="257"/>
      <c r="X584" s="230"/>
      <c r="Y584" s="230"/>
      <c r="Z584" s="230"/>
    </row>
    <row r="585" spans="1:26" ht="24.75" customHeight="1">
      <c r="A585" s="230"/>
      <c r="B585" s="230"/>
      <c r="C585" s="230"/>
      <c r="D585" s="230"/>
      <c r="E585" s="230"/>
      <c r="F585" s="230"/>
      <c r="G585" s="230"/>
      <c r="H585" s="230"/>
      <c r="I585" s="230"/>
      <c r="J585" s="230"/>
      <c r="K585" s="230"/>
      <c r="L585" s="242"/>
      <c r="M585" s="230"/>
      <c r="N585" s="230"/>
      <c r="O585" s="257"/>
      <c r="P585" s="230"/>
      <c r="Q585" s="242"/>
      <c r="R585" s="230"/>
      <c r="S585" s="250"/>
      <c r="T585" s="250"/>
      <c r="U585" s="230"/>
      <c r="V585" s="256"/>
      <c r="W585" s="257"/>
      <c r="X585" s="230"/>
      <c r="Y585" s="230"/>
      <c r="Z585" s="230"/>
    </row>
    <row r="586" spans="1:26" ht="24.75" customHeight="1">
      <c r="A586" s="230"/>
      <c r="B586" s="230"/>
      <c r="C586" s="230"/>
      <c r="D586" s="230"/>
      <c r="E586" s="230"/>
      <c r="F586" s="230"/>
      <c r="G586" s="230"/>
      <c r="H586" s="230"/>
      <c r="I586" s="230"/>
      <c r="J586" s="230"/>
      <c r="K586" s="230"/>
      <c r="L586" s="242"/>
      <c r="M586" s="230"/>
      <c r="N586" s="230"/>
      <c r="O586" s="257"/>
      <c r="P586" s="230"/>
      <c r="Q586" s="242"/>
      <c r="R586" s="230"/>
      <c r="S586" s="250"/>
      <c r="T586" s="250"/>
      <c r="U586" s="230"/>
      <c r="V586" s="256"/>
      <c r="W586" s="257"/>
      <c r="X586" s="230"/>
      <c r="Y586" s="230"/>
      <c r="Z586" s="230"/>
    </row>
    <row r="587" spans="1:26" ht="24.75" customHeight="1">
      <c r="A587" s="230"/>
      <c r="B587" s="230"/>
      <c r="C587" s="230"/>
      <c r="D587" s="230"/>
      <c r="E587" s="230"/>
      <c r="F587" s="230"/>
      <c r="G587" s="230"/>
      <c r="H587" s="230"/>
      <c r="I587" s="230"/>
      <c r="J587" s="230"/>
      <c r="K587" s="230"/>
      <c r="L587" s="242"/>
      <c r="M587" s="230"/>
      <c r="N587" s="230"/>
      <c r="O587" s="257"/>
      <c r="P587" s="230"/>
      <c r="Q587" s="242"/>
      <c r="R587" s="230"/>
      <c r="S587" s="250"/>
      <c r="T587" s="250"/>
      <c r="U587" s="230"/>
      <c r="V587" s="256"/>
      <c r="W587" s="257"/>
      <c r="X587" s="230"/>
      <c r="Y587" s="230"/>
      <c r="Z587" s="230"/>
    </row>
    <row r="588" spans="1:26" ht="24.75" customHeight="1">
      <c r="A588" s="230"/>
      <c r="B588" s="230"/>
      <c r="C588" s="230"/>
      <c r="D588" s="230"/>
      <c r="E588" s="230"/>
      <c r="F588" s="230"/>
      <c r="G588" s="230"/>
      <c r="H588" s="230"/>
      <c r="I588" s="230"/>
      <c r="J588" s="230"/>
      <c r="K588" s="230"/>
      <c r="L588" s="242"/>
      <c r="M588" s="230"/>
      <c r="N588" s="230"/>
      <c r="O588" s="257"/>
      <c r="P588" s="230"/>
      <c r="Q588" s="242"/>
      <c r="R588" s="230"/>
      <c r="S588" s="250"/>
      <c r="T588" s="250"/>
      <c r="U588" s="230"/>
      <c r="V588" s="256"/>
      <c r="W588" s="257"/>
      <c r="X588" s="230"/>
      <c r="Y588" s="230"/>
      <c r="Z588" s="230"/>
    </row>
    <row r="589" spans="1:26" ht="24.75" customHeight="1">
      <c r="A589" s="230"/>
      <c r="B589" s="230"/>
      <c r="C589" s="230"/>
      <c r="D589" s="230"/>
      <c r="E589" s="230"/>
      <c r="F589" s="230"/>
      <c r="G589" s="230"/>
      <c r="H589" s="230"/>
      <c r="I589" s="230"/>
      <c r="J589" s="230"/>
      <c r="K589" s="230"/>
      <c r="L589" s="242"/>
      <c r="M589" s="230"/>
      <c r="N589" s="230"/>
      <c r="O589" s="257"/>
      <c r="P589" s="230"/>
      <c r="Q589" s="242"/>
      <c r="R589" s="230"/>
      <c r="S589" s="250"/>
      <c r="T589" s="250"/>
      <c r="U589" s="230"/>
      <c r="V589" s="256"/>
      <c r="W589" s="257"/>
      <c r="X589" s="230"/>
      <c r="Y589" s="230"/>
      <c r="Z589" s="230"/>
    </row>
    <row r="590" spans="1:26" ht="24.75" customHeight="1">
      <c r="A590" s="230"/>
      <c r="B590" s="230"/>
      <c r="C590" s="230"/>
      <c r="D590" s="230"/>
      <c r="E590" s="230"/>
      <c r="F590" s="230"/>
      <c r="G590" s="230"/>
      <c r="H590" s="230"/>
      <c r="I590" s="230"/>
      <c r="J590" s="230"/>
      <c r="K590" s="230"/>
      <c r="L590" s="242"/>
      <c r="M590" s="230"/>
      <c r="N590" s="230"/>
      <c r="O590" s="257"/>
      <c r="P590" s="230"/>
      <c r="Q590" s="242"/>
      <c r="R590" s="230"/>
      <c r="S590" s="250"/>
      <c r="T590" s="250"/>
      <c r="U590" s="230"/>
      <c r="V590" s="256"/>
      <c r="W590" s="257"/>
      <c r="X590" s="230"/>
      <c r="Y590" s="230"/>
      <c r="Z590" s="230"/>
    </row>
    <row r="591" spans="1:26" ht="24.75" customHeight="1">
      <c r="A591" s="230"/>
      <c r="B591" s="230"/>
      <c r="C591" s="230"/>
      <c r="D591" s="230"/>
      <c r="E591" s="230"/>
      <c r="F591" s="230"/>
      <c r="G591" s="230"/>
      <c r="H591" s="230"/>
      <c r="I591" s="230"/>
      <c r="J591" s="230"/>
      <c r="K591" s="230"/>
      <c r="L591" s="242"/>
      <c r="M591" s="230"/>
      <c r="N591" s="230"/>
      <c r="O591" s="257"/>
      <c r="P591" s="230"/>
      <c r="Q591" s="242"/>
      <c r="R591" s="230"/>
      <c r="S591" s="250"/>
      <c r="T591" s="250"/>
      <c r="U591" s="230"/>
      <c r="V591" s="256"/>
      <c r="W591" s="257"/>
      <c r="X591" s="230"/>
      <c r="Y591" s="230"/>
      <c r="Z591" s="230"/>
    </row>
    <row r="592" spans="1:26" ht="24.75" customHeight="1">
      <c r="A592" s="230"/>
      <c r="B592" s="230"/>
      <c r="C592" s="230"/>
      <c r="D592" s="230"/>
      <c r="E592" s="230"/>
      <c r="F592" s="230"/>
      <c r="G592" s="230"/>
      <c r="H592" s="230"/>
      <c r="I592" s="230"/>
      <c r="J592" s="230"/>
      <c r="K592" s="230"/>
      <c r="L592" s="242"/>
      <c r="M592" s="230"/>
      <c r="N592" s="230"/>
      <c r="O592" s="257"/>
      <c r="P592" s="230"/>
      <c r="Q592" s="242"/>
      <c r="R592" s="230"/>
      <c r="S592" s="250"/>
      <c r="T592" s="250"/>
      <c r="U592" s="230"/>
      <c r="V592" s="256"/>
      <c r="W592" s="257"/>
      <c r="X592" s="230"/>
      <c r="Y592" s="230"/>
      <c r="Z592" s="230"/>
    </row>
    <row r="593" spans="1:26" ht="24.75" customHeight="1">
      <c r="A593" s="230"/>
      <c r="B593" s="230"/>
      <c r="C593" s="230"/>
      <c r="D593" s="230"/>
      <c r="E593" s="230"/>
      <c r="F593" s="230"/>
      <c r="G593" s="230"/>
      <c r="H593" s="230"/>
      <c r="I593" s="230"/>
      <c r="J593" s="230"/>
      <c r="K593" s="230"/>
      <c r="L593" s="242"/>
      <c r="M593" s="230"/>
      <c r="N593" s="230"/>
      <c r="O593" s="257"/>
      <c r="P593" s="230"/>
      <c r="Q593" s="242"/>
      <c r="R593" s="230"/>
      <c r="S593" s="250"/>
      <c r="T593" s="250"/>
      <c r="U593" s="230"/>
      <c r="V593" s="256"/>
      <c r="W593" s="257"/>
      <c r="X593" s="230"/>
      <c r="Y593" s="230"/>
      <c r="Z593" s="230"/>
    </row>
    <row r="594" spans="1:26" ht="24.75" customHeight="1">
      <c r="A594" s="230"/>
      <c r="B594" s="230"/>
      <c r="C594" s="230"/>
      <c r="D594" s="230"/>
      <c r="E594" s="230"/>
      <c r="F594" s="230"/>
      <c r="G594" s="230"/>
      <c r="H594" s="230"/>
      <c r="I594" s="230"/>
      <c r="J594" s="230"/>
      <c r="K594" s="230"/>
      <c r="L594" s="242"/>
      <c r="M594" s="230"/>
      <c r="N594" s="230"/>
      <c r="O594" s="257"/>
      <c r="P594" s="230"/>
      <c r="Q594" s="242"/>
      <c r="R594" s="230"/>
      <c r="S594" s="250"/>
      <c r="T594" s="250"/>
      <c r="U594" s="230"/>
      <c r="V594" s="256"/>
      <c r="W594" s="257"/>
      <c r="X594" s="230"/>
      <c r="Y594" s="230"/>
      <c r="Z594" s="230"/>
    </row>
    <row r="595" spans="1:26" ht="24.75" customHeight="1">
      <c r="A595" s="230"/>
      <c r="B595" s="230"/>
      <c r="C595" s="230"/>
      <c r="D595" s="230"/>
      <c r="E595" s="230"/>
      <c r="F595" s="230"/>
      <c r="G595" s="230"/>
      <c r="H595" s="230"/>
      <c r="I595" s="230"/>
      <c r="J595" s="230"/>
      <c r="K595" s="230"/>
      <c r="L595" s="242"/>
      <c r="M595" s="230"/>
      <c r="N595" s="230"/>
      <c r="O595" s="257"/>
      <c r="P595" s="230"/>
      <c r="Q595" s="242"/>
      <c r="R595" s="230"/>
      <c r="S595" s="250"/>
      <c r="T595" s="250"/>
      <c r="U595" s="230"/>
      <c r="V595" s="256"/>
      <c r="W595" s="257"/>
      <c r="X595" s="230"/>
      <c r="Y595" s="230"/>
      <c r="Z595" s="230"/>
    </row>
    <row r="596" spans="1:26" ht="24.75" customHeight="1">
      <c r="A596" s="230"/>
      <c r="B596" s="230"/>
      <c r="C596" s="230"/>
      <c r="D596" s="230"/>
      <c r="E596" s="230"/>
      <c r="F596" s="230"/>
      <c r="G596" s="230"/>
      <c r="H596" s="230"/>
      <c r="I596" s="230"/>
      <c r="J596" s="230"/>
      <c r="K596" s="230"/>
      <c r="L596" s="242"/>
      <c r="M596" s="230"/>
      <c r="N596" s="230"/>
      <c r="O596" s="257"/>
      <c r="P596" s="230"/>
      <c r="Q596" s="242"/>
      <c r="R596" s="230"/>
      <c r="S596" s="250"/>
      <c r="T596" s="250"/>
      <c r="U596" s="230"/>
      <c r="V596" s="256"/>
      <c r="W596" s="257"/>
      <c r="X596" s="230"/>
      <c r="Y596" s="230"/>
      <c r="Z596" s="230"/>
    </row>
    <row r="597" spans="1:26" ht="24.75" customHeight="1">
      <c r="A597" s="230"/>
      <c r="B597" s="230"/>
      <c r="C597" s="230"/>
      <c r="D597" s="230"/>
      <c r="E597" s="230"/>
      <c r="F597" s="230"/>
      <c r="G597" s="230"/>
      <c r="H597" s="230"/>
      <c r="I597" s="230"/>
      <c r="J597" s="230"/>
      <c r="K597" s="230"/>
      <c r="L597" s="242"/>
      <c r="M597" s="230"/>
      <c r="N597" s="230"/>
      <c r="O597" s="257"/>
      <c r="P597" s="230"/>
      <c r="Q597" s="242"/>
      <c r="R597" s="230"/>
      <c r="S597" s="250"/>
      <c r="T597" s="250"/>
      <c r="U597" s="230"/>
      <c r="V597" s="256"/>
      <c r="W597" s="257"/>
      <c r="X597" s="230"/>
      <c r="Y597" s="230"/>
      <c r="Z597" s="230"/>
    </row>
    <row r="598" spans="1:26" ht="24.75" customHeight="1">
      <c r="A598" s="230"/>
      <c r="B598" s="230"/>
      <c r="C598" s="230"/>
      <c r="D598" s="230"/>
      <c r="E598" s="230"/>
      <c r="F598" s="230"/>
      <c r="G598" s="230"/>
      <c r="H598" s="230"/>
      <c r="I598" s="230"/>
      <c r="J598" s="230"/>
      <c r="K598" s="230"/>
      <c r="L598" s="242"/>
      <c r="M598" s="230"/>
      <c r="N598" s="230"/>
      <c r="O598" s="257"/>
      <c r="P598" s="230"/>
      <c r="Q598" s="242"/>
      <c r="R598" s="230"/>
      <c r="S598" s="250"/>
      <c r="T598" s="250"/>
      <c r="U598" s="230"/>
      <c r="V598" s="256"/>
      <c r="W598" s="257"/>
      <c r="X598" s="230"/>
      <c r="Y598" s="230"/>
      <c r="Z598" s="230"/>
    </row>
    <row r="599" spans="1:26" ht="24.75" customHeight="1">
      <c r="A599" s="230"/>
      <c r="B599" s="230"/>
      <c r="C599" s="230"/>
      <c r="D599" s="230"/>
      <c r="E599" s="230"/>
      <c r="F599" s="230"/>
      <c r="G599" s="230"/>
      <c r="H599" s="230"/>
      <c r="I599" s="230"/>
      <c r="J599" s="230"/>
      <c r="K599" s="230"/>
      <c r="L599" s="242"/>
      <c r="M599" s="230"/>
      <c r="N599" s="230"/>
      <c r="O599" s="257"/>
      <c r="P599" s="230"/>
      <c r="Q599" s="242"/>
      <c r="R599" s="230"/>
      <c r="S599" s="250"/>
      <c r="T599" s="250"/>
      <c r="U599" s="230"/>
      <c r="V599" s="256"/>
      <c r="W599" s="257"/>
      <c r="X599" s="230"/>
      <c r="Y599" s="230"/>
      <c r="Z599" s="230"/>
    </row>
    <row r="600" spans="1:26" ht="24.75" customHeight="1">
      <c r="A600" s="230"/>
      <c r="B600" s="230"/>
      <c r="C600" s="230"/>
      <c r="D600" s="230"/>
      <c r="E600" s="230"/>
      <c r="F600" s="230"/>
      <c r="G600" s="230"/>
      <c r="H600" s="230"/>
      <c r="I600" s="230"/>
      <c r="J600" s="230"/>
      <c r="K600" s="230"/>
      <c r="L600" s="242"/>
      <c r="M600" s="230"/>
      <c r="N600" s="230"/>
      <c r="O600" s="257"/>
      <c r="P600" s="230"/>
      <c r="Q600" s="242"/>
      <c r="R600" s="230"/>
      <c r="S600" s="250"/>
      <c r="T600" s="250"/>
      <c r="U600" s="230"/>
      <c r="V600" s="256"/>
      <c r="W600" s="257"/>
      <c r="X600" s="230"/>
      <c r="Y600" s="230"/>
      <c r="Z600" s="230"/>
    </row>
    <row r="601" spans="1:26" ht="24.75" customHeight="1">
      <c r="A601" s="230"/>
      <c r="B601" s="230"/>
      <c r="C601" s="230"/>
      <c r="D601" s="230"/>
      <c r="E601" s="230"/>
      <c r="F601" s="230"/>
      <c r="G601" s="230"/>
      <c r="H601" s="230"/>
      <c r="I601" s="230"/>
      <c r="J601" s="230"/>
      <c r="K601" s="230"/>
      <c r="L601" s="242"/>
      <c r="M601" s="230"/>
      <c r="N601" s="230"/>
      <c r="O601" s="257"/>
      <c r="P601" s="230"/>
      <c r="Q601" s="242"/>
      <c r="R601" s="230"/>
      <c r="S601" s="250"/>
      <c r="T601" s="250"/>
      <c r="U601" s="230"/>
      <c r="V601" s="256"/>
      <c r="W601" s="257"/>
      <c r="X601" s="230"/>
      <c r="Y601" s="230"/>
      <c r="Z601" s="230"/>
    </row>
    <row r="602" spans="1:26" ht="24.75" customHeight="1">
      <c r="A602" s="230"/>
      <c r="B602" s="230"/>
      <c r="C602" s="230"/>
      <c r="D602" s="230"/>
      <c r="E602" s="230"/>
      <c r="F602" s="230"/>
      <c r="G602" s="230"/>
      <c r="H602" s="230"/>
      <c r="I602" s="230"/>
      <c r="J602" s="230"/>
      <c r="K602" s="230"/>
      <c r="L602" s="242"/>
      <c r="M602" s="230"/>
      <c r="N602" s="230"/>
      <c r="O602" s="257"/>
      <c r="P602" s="230"/>
      <c r="Q602" s="242"/>
      <c r="R602" s="230"/>
      <c r="S602" s="250"/>
      <c r="T602" s="250"/>
      <c r="U602" s="230"/>
      <c r="V602" s="256"/>
      <c r="W602" s="257"/>
      <c r="X602" s="230"/>
      <c r="Y602" s="230"/>
      <c r="Z602" s="230"/>
    </row>
    <row r="603" spans="1:26" ht="24.75" customHeight="1">
      <c r="A603" s="230"/>
      <c r="B603" s="230"/>
      <c r="C603" s="230"/>
      <c r="D603" s="230"/>
      <c r="E603" s="230"/>
      <c r="F603" s="230"/>
      <c r="G603" s="230"/>
      <c r="H603" s="230"/>
      <c r="I603" s="230"/>
      <c r="J603" s="230"/>
      <c r="K603" s="230"/>
      <c r="L603" s="242"/>
      <c r="M603" s="230"/>
      <c r="N603" s="230"/>
      <c r="O603" s="257"/>
      <c r="P603" s="230"/>
      <c r="Q603" s="242"/>
      <c r="R603" s="230"/>
      <c r="S603" s="250"/>
      <c r="T603" s="250"/>
      <c r="U603" s="230"/>
      <c r="V603" s="256"/>
      <c r="W603" s="257"/>
      <c r="X603" s="230"/>
      <c r="Y603" s="230"/>
      <c r="Z603" s="230"/>
    </row>
    <row r="604" spans="1:26" ht="24.75" customHeight="1">
      <c r="A604" s="230"/>
      <c r="B604" s="230"/>
      <c r="C604" s="230"/>
      <c r="D604" s="230"/>
      <c r="E604" s="230"/>
      <c r="F604" s="230"/>
      <c r="G604" s="230"/>
      <c r="H604" s="230"/>
      <c r="I604" s="230"/>
      <c r="J604" s="230"/>
      <c r="K604" s="230"/>
      <c r="L604" s="242"/>
      <c r="M604" s="230"/>
      <c r="N604" s="230"/>
      <c r="O604" s="257"/>
      <c r="P604" s="230"/>
      <c r="Q604" s="242"/>
      <c r="R604" s="230"/>
      <c r="S604" s="250"/>
      <c r="T604" s="250"/>
      <c r="U604" s="230"/>
      <c r="V604" s="256"/>
      <c r="W604" s="257"/>
      <c r="X604" s="230"/>
      <c r="Y604" s="230"/>
      <c r="Z604" s="230"/>
    </row>
    <row r="605" spans="1:26" ht="24.75" customHeight="1">
      <c r="A605" s="230"/>
      <c r="B605" s="230"/>
      <c r="C605" s="230"/>
      <c r="D605" s="230"/>
      <c r="E605" s="230"/>
      <c r="F605" s="230"/>
      <c r="G605" s="230"/>
      <c r="H605" s="230"/>
      <c r="I605" s="230"/>
      <c r="J605" s="230"/>
      <c r="K605" s="230"/>
      <c r="L605" s="242"/>
      <c r="M605" s="230"/>
      <c r="N605" s="230"/>
      <c r="O605" s="257"/>
      <c r="P605" s="230"/>
      <c r="Q605" s="242"/>
      <c r="R605" s="230"/>
      <c r="S605" s="250"/>
      <c r="T605" s="250"/>
      <c r="U605" s="230"/>
      <c r="V605" s="256"/>
      <c r="W605" s="257"/>
      <c r="X605" s="230"/>
      <c r="Y605" s="230"/>
      <c r="Z605" s="230"/>
    </row>
    <row r="606" spans="1:26" ht="24.75" customHeight="1">
      <c r="A606" s="230"/>
      <c r="B606" s="230"/>
      <c r="C606" s="230"/>
      <c r="D606" s="230"/>
      <c r="E606" s="230"/>
      <c r="F606" s="230"/>
      <c r="G606" s="230"/>
      <c r="H606" s="230"/>
      <c r="I606" s="230"/>
      <c r="J606" s="230"/>
      <c r="K606" s="230"/>
      <c r="L606" s="242"/>
      <c r="M606" s="230"/>
      <c r="N606" s="230"/>
      <c r="O606" s="257"/>
      <c r="P606" s="230"/>
      <c r="Q606" s="242"/>
      <c r="R606" s="230"/>
      <c r="S606" s="250"/>
      <c r="T606" s="250"/>
      <c r="U606" s="230"/>
      <c r="V606" s="256"/>
      <c r="W606" s="257"/>
      <c r="X606" s="230"/>
      <c r="Y606" s="230"/>
      <c r="Z606" s="230"/>
    </row>
    <row r="607" spans="1:26" ht="24.75" customHeight="1">
      <c r="A607" s="230"/>
      <c r="B607" s="230"/>
      <c r="C607" s="230"/>
      <c r="D607" s="230"/>
      <c r="E607" s="230"/>
      <c r="F607" s="230"/>
      <c r="G607" s="230"/>
      <c r="H607" s="230"/>
      <c r="I607" s="230"/>
      <c r="J607" s="230"/>
      <c r="K607" s="230"/>
      <c r="L607" s="242"/>
      <c r="M607" s="230"/>
      <c r="N607" s="230"/>
      <c r="O607" s="257"/>
      <c r="P607" s="230"/>
      <c r="Q607" s="242"/>
      <c r="R607" s="230"/>
      <c r="S607" s="250"/>
      <c r="T607" s="250"/>
      <c r="U607" s="230"/>
      <c r="V607" s="256"/>
      <c r="W607" s="257"/>
      <c r="X607" s="230"/>
      <c r="Y607" s="230"/>
      <c r="Z607" s="230"/>
    </row>
    <row r="608" spans="1:26" ht="24.75" customHeight="1">
      <c r="A608" s="230"/>
      <c r="B608" s="230"/>
      <c r="C608" s="230"/>
      <c r="D608" s="230"/>
      <c r="E608" s="230"/>
      <c r="F608" s="230"/>
      <c r="G608" s="230"/>
      <c r="H608" s="230"/>
      <c r="I608" s="230"/>
      <c r="J608" s="230"/>
      <c r="K608" s="230"/>
      <c r="L608" s="242"/>
      <c r="M608" s="230"/>
      <c r="N608" s="230"/>
      <c r="O608" s="257"/>
      <c r="P608" s="230"/>
      <c r="Q608" s="242"/>
      <c r="R608" s="230"/>
      <c r="S608" s="250"/>
      <c r="T608" s="250"/>
      <c r="U608" s="230"/>
      <c r="V608" s="256"/>
      <c r="W608" s="257"/>
      <c r="X608" s="230"/>
      <c r="Y608" s="230"/>
      <c r="Z608" s="230"/>
    </row>
    <row r="609" spans="1:26" ht="24.75" customHeight="1">
      <c r="A609" s="230"/>
      <c r="B609" s="230"/>
      <c r="C609" s="230"/>
      <c r="D609" s="230"/>
      <c r="E609" s="230"/>
      <c r="F609" s="230"/>
      <c r="G609" s="230"/>
      <c r="H609" s="230"/>
      <c r="I609" s="230"/>
      <c r="J609" s="230"/>
      <c r="K609" s="230"/>
      <c r="L609" s="242"/>
      <c r="M609" s="230"/>
      <c r="N609" s="230"/>
      <c r="O609" s="257"/>
      <c r="P609" s="230"/>
      <c r="Q609" s="242"/>
      <c r="R609" s="230"/>
      <c r="S609" s="250"/>
      <c r="T609" s="250"/>
      <c r="U609" s="230"/>
      <c r="V609" s="256"/>
      <c r="W609" s="257"/>
      <c r="X609" s="230"/>
      <c r="Y609" s="230"/>
      <c r="Z609" s="230"/>
    </row>
    <row r="610" spans="1:26" ht="24.75" customHeight="1">
      <c r="A610" s="230"/>
      <c r="B610" s="230"/>
      <c r="C610" s="230"/>
      <c r="D610" s="230"/>
      <c r="E610" s="230"/>
      <c r="F610" s="230"/>
      <c r="G610" s="230"/>
      <c r="H610" s="230"/>
      <c r="I610" s="230"/>
      <c r="J610" s="230"/>
      <c r="K610" s="230"/>
      <c r="L610" s="242"/>
      <c r="M610" s="230"/>
      <c r="N610" s="230"/>
      <c r="O610" s="257"/>
      <c r="P610" s="230"/>
      <c r="Q610" s="242"/>
      <c r="R610" s="230"/>
      <c r="S610" s="250"/>
      <c r="T610" s="250"/>
      <c r="U610" s="230"/>
      <c r="V610" s="256"/>
      <c r="W610" s="257"/>
      <c r="X610" s="230"/>
      <c r="Y610" s="230"/>
      <c r="Z610" s="230"/>
    </row>
    <row r="611" spans="1:26" ht="24.75" customHeight="1">
      <c r="A611" s="230"/>
      <c r="B611" s="230"/>
      <c r="C611" s="230"/>
      <c r="D611" s="230"/>
      <c r="E611" s="230"/>
      <c r="F611" s="230"/>
      <c r="G611" s="230"/>
      <c r="H611" s="230"/>
      <c r="I611" s="230"/>
      <c r="J611" s="230"/>
      <c r="K611" s="230"/>
      <c r="L611" s="242"/>
      <c r="M611" s="230"/>
      <c r="N611" s="230"/>
      <c r="O611" s="257"/>
      <c r="P611" s="230"/>
      <c r="Q611" s="242"/>
      <c r="R611" s="230"/>
      <c r="S611" s="250"/>
      <c r="T611" s="250"/>
      <c r="U611" s="230"/>
      <c r="V611" s="256"/>
      <c r="W611" s="257"/>
      <c r="X611" s="230"/>
      <c r="Y611" s="230"/>
      <c r="Z611" s="230"/>
    </row>
    <row r="612" spans="1:26" ht="24.75" customHeight="1">
      <c r="A612" s="230"/>
      <c r="B612" s="230"/>
      <c r="C612" s="230"/>
      <c r="D612" s="230"/>
      <c r="E612" s="230"/>
      <c r="F612" s="230"/>
      <c r="G612" s="230"/>
      <c r="H612" s="230"/>
      <c r="I612" s="230"/>
      <c r="J612" s="230"/>
      <c r="K612" s="230"/>
      <c r="L612" s="242"/>
      <c r="M612" s="230"/>
      <c r="N612" s="230"/>
      <c r="O612" s="257"/>
      <c r="P612" s="230"/>
      <c r="Q612" s="242"/>
      <c r="R612" s="230"/>
      <c r="S612" s="250"/>
      <c r="T612" s="250"/>
      <c r="U612" s="230"/>
      <c r="V612" s="256"/>
      <c r="W612" s="257"/>
      <c r="X612" s="230"/>
      <c r="Y612" s="230"/>
      <c r="Z612" s="230"/>
    </row>
    <row r="613" spans="1:26" ht="24.75" customHeight="1">
      <c r="A613" s="230"/>
      <c r="B613" s="230"/>
      <c r="C613" s="230"/>
      <c r="D613" s="230"/>
      <c r="E613" s="230"/>
      <c r="F613" s="230"/>
      <c r="G613" s="230"/>
      <c r="H613" s="230"/>
      <c r="I613" s="230"/>
      <c r="J613" s="230"/>
      <c r="K613" s="230"/>
      <c r="L613" s="242"/>
      <c r="M613" s="230"/>
      <c r="N613" s="230"/>
      <c r="O613" s="257"/>
      <c r="P613" s="230"/>
      <c r="Q613" s="242"/>
      <c r="R613" s="230"/>
      <c r="S613" s="250"/>
      <c r="T613" s="250"/>
      <c r="U613" s="230"/>
      <c r="V613" s="256"/>
      <c r="W613" s="257"/>
      <c r="X613" s="230"/>
      <c r="Y613" s="230"/>
      <c r="Z613" s="230"/>
    </row>
    <row r="614" spans="1:26" ht="24.75" customHeight="1">
      <c r="A614" s="230"/>
      <c r="B614" s="230"/>
      <c r="C614" s="230"/>
      <c r="D614" s="230"/>
      <c r="E614" s="230"/>
      <c r="F614" s="230"/>
      <c r="G614" s="230"/>
      <c r="H614" s="230"/>
      <c r="I614" s="230"/>
      <c r="J614" s="230"/>
      <c r="K614" s="230"/>
      <c r="L614" s="242"/>
      <c r="M614" s="230"/>
      <c r="N614" s="230"/>
      <c r="O614" s="257"/>
      <c r="P614" s="230"/>
      <c r="Q614" s="242"/>
      <c r="R614" s="230"/>
      <c r="S614" s="250"/>
      <c r="T614" s="250"/>
      <c r="U614" s="230"/>
      <c r="V614" s="256"/>
      <c r="W614" s="257"/>
      <c r="X614" s="230"/>
      <c r="Y614" s="230"/>
      <c r="Z614" s="230"/>
    </row>
    <row r="615" spans="1:26" ht="24.75" customHeight="1">
      <c r="A615" s="230"/>
      <c r="B615" s="230"/>
      <c r="C615" s="230"/>
      <c r="D615" s="230"/>
      <c r="E615" s="230"/>
      <c r="F615" s="230"/>
      <c r="G615" s="230"/>
      <c r="H615" s="230"/>
      <c r="I615" s="230"/>
      <c r="J615" s="230"/>
      <c r="K615" s="230"/>
      <c r="L615" s="242"/>
      <c r="M615" s="230"/>
      <c r="N615" s="230"/>
      <c r="O615" s="257"/>
      <c r="P615" s="230"/>
      <c r="Q615" s="242"/>
      <c r="R615" s="230"/>
      <c r="S615" s="250"/>
      <c r="T615" s="250"/>
      <c r="U615" s="230"/>
      <c r="V615" s="256"/>
      <c r="W615" s="257"/>
      <c r="X615" s="230"/>
      <c r="Y615" s="230"/>
      <c r="Z615" s="230"/>
    </row>
    <row r="616" spans="1:26" ht="24.75" customHeight="1">
      <c r="A616" s="230"/>
      <c r="B616" s="230"/>
      <c r="C616" s="230"/>
      <c r="D616" s="230"/>
      <c r="E616" s="230"/>
      <c r="F616" s="230"/>
      <c r="G616" s="230"/>
      <c r="H616" s="230"/>
      <c r="I616" s="230"/>
      <c r="J616" s="230"/>
      <c r="K616" s="230"/>
      <c r="L616" s="242"/>
      <c r="M616" s="230"/>
      <c r="N616" s="230"/>
      <c r="O616" s="257"/>
      <c r="P616" s="230"/>
      <c r="Q616" s="242"/>
      <c r="R616" s="230"/>
      <c r="S616" s="250"/>
      <c r="T616" s="250"/>
      <c r="U616" s="230"/>
      <c r="V616" s="256"/>
      <c r="W616" s="257"/>
      <c r="X616" s="230"/>
      <c r="Y616" s="230"/>
      <c r="Z616" s="230"/>
    </row>
    <row r="617" spans="1:26" ht="24.75" customHeight="1">
      <c r="A617" s="230"/>
      <c r="B617" s="230"/>
      <c r="C617" s="230"/>
      <c r="D617" s="230"/>
      <c r="E617" s="230"/>
      <c r="F617" s="230"/>
      <c r="G617" s="230"/>
      <c r="H617" s="230"/>
      <c r="I617" s="230"/>
      <c r="J617" s="230"/>
      <c r="K617" s="230"/>
      <c r="L617" s="242"/>
      <c r="M617" s="230"/>
      <c r="N617" s="230"/>
      <c r="O617" s="257"/>
      <c r="P617" s="230"/>
      <c r="Q617" s="242"/>
      <c r="R617" s="230"/>
      <c r="S617" s="250"/>
      <c r="T617" s="250"/>
      <c r="U617" s="230"/>
      <c r="V617" s="256"/>
      <c r="W617" s="257"/>
      <c r="X617" s="230"/>
      <c r="Y617" s="230"/>
      <c r="Z617" s="230"/>
    </row>
    <row r="618" spans="1:26" ht="24.75" customHeight="1">
      <c r="A618" s="230"/>
      <c r="B618" s="230"/>
      <c r="C618" s="230"/>
      <c r="D618" s="230"/>
      <c r="E618" s="230"/>
      <c r="F618" s="230"/>
      <c r="G618" s="230"/>
      <c r="H618" s="230"/>
      <c r="I618" s="230"/>
      <c r="J618" s="230"/>
      <c r="K618" s="230"/>
      <c r="L618" s="242"/>
      <c r="M618" s="230"/>
      <c r="N618" s="230"/>
      <c r="O618" s="257"/>
      <c r="P618" s="230"/>
      <c r="Q618" s="242"/>
      <c r="R618" s="230"/>
      <c r="S618" s="250"/>
      <c r="T618" s="250"/>
      <c r="U618" s="230"/>
      <c r="V618" s="256"/>
      <c r="W618" s="257"/>
      <c r="X618" s="230"/>
      <c r="Y618" s="230"/>
      <c r="Z618" s="230"/>
    </row>
    <row r="619" spans="1:26" ht="24.75" customHeight="1">
      <c r="A619" s="230"/>
      <c r="B619" s="230"/>
      <c r="C619" s="230"/>
      <c r="D619" s="230"/>
      <c r="E619" s="230"/>
      <c r="F619" s="230"/>
      <c r="G619" s="230"/>
      <c r="H619" s="230"/>
      <c r="I619" s="230"/>
      <c r="J619" s="230"/>
      <c r="K619" s="230"/>
      <c r="L619" s="242"/>
      <c r="M619" s="230"/>
      <c r="N619" s="230"/>
      <c r="O619" s="257"/>
      <c r="P619" s="230"/>
      <c r="Q619" s="242"/>
      <c r="R619" s="230"/>
      <c r="S619" s="250"/>
      <c r="T619" s="250"/>
      <c r="U619" s="230"/>
      <c r="V619" s="256"/>
      <c r="W619" s="257"/>
      <c r="X619" s="230"/>
      <c r="Y619" s="230"/>
      <c r="Z619" s="230"/>
    </row>
    <row r="620" spans="1:26" ht="24.75" customHeight="1">
      <c r="A620" s="230"/>
      <c r="B620" s="230"/>
      <c r="C620" s="230"/>
      <c r="D620" s="230"/>
      <c r="E620" s="230"/>
      <c r="F620" s="230"/>
      <c r="G620" s="230"/>
      <c r="H620" s="230"/>
      <c r="I620" s="230"/>
      <c r="J620" s="230"/>
      <c r="K620" s="230"/>
      <c r="L620" s="242"/>
      <c r="M620" s="230"/>
      <c r="N620" s="230"/>
      <c r="O620" s="257"/>
      <c r="P620" s="230"/>
      <c r="Q620" s="242"/>
      <c r="R620" s="230"/>
      <c r="S620" s="250"/>
      <c r="T620" s="250"/>
      <c r="U620" s="230"/>
      <c r="V620" s="256"/>
      <c r="W620" s="257"/>
      <c r="X620" s="230"/>
      <c r="Y620" s="230"/>
      <c r="Z620" s="230"/>
    </row>
    <row r="621" spans="1:26" ht="24.75" customHeight="1">
      <c r="A621" s="230"/>
      <c r="B621" s="230"/>
      <c r="C621" s="230"/>
      <c r="D621" s="230"/>
      <c r="E621" s="230"/>
      <c r="F621" s="230"/>
      <c r="G621" s="230"/>
      <c r="H621" s="230"/>
      <c r="I621" s="230"/>
      <c r="J621" s="230"/>
      <c r="K621" s="230"/>
      <c r="L621" s="242"/>
      <c r="M621" s="230"/>
      <c r="N621" s="230"/>
      <c r="O621" s="257"/>
      <c r="P621" s="230"/>
      <c r="Q621" s="242"/>
      <c r="R621" s="230"/>
      <c r="S621" s="250"/>
      <c r="T621" s="250"/>
      <c r="U621" s="230"/>
      <c r="V621" s="256"/>
      <c r="W621" s="257"/>
      <c r="X621" s="230"/>
      <c r="Y621" s="230"/>
      <c r="Z621" s="230"/>
    </row>
    <row r="622" spans="1:26" ht="24.75" customHeight="1">
      <c r="A622" s="230"/>
      <c r="B622" s="230"/>
      <c r="C622" s="230"/>
      <c r="D622" s="230"/>
      <c r="E622" s="230"/>
      <c r="F622" s="230"/>
      <c r="G622" s="230"/>
      <c r="H622" s="230"/>
      <c r="I622" s="230"/>
      <c r="J622" s="230"/>
      <c r="K622" s="230"/>
      <c r="L622" s="242"/>
      <c r="M622" s="230"/>
      <c r="N622" s="230"/>
      <c r="O622" s="257"/>
      <c r="P622" s="230"/>
      <c r="Q622" s="242"/>
      <c r="R622" s="230"/>
      <c r="S622" s="250"/>
      <c r="T622" s="250"/>
      <c r="U622" s="230"/>
      <c r="V622" s="256"/>
      <c r="W622" s="257"/>
      <c r="X622" s="230"/>
      <c r="Y622" s="230"/>
      <c r="Z622" s="230"/>
    </row>
    <row r="623" spans="1:26" ht="24.75" customHeight="1">
      <c r="A623" s="230"/>
      <c r="B623" s="230"/>
      <c r="C623" s="230"/>
      <c r="D623" s="230"/>
      <c r="E623" s="230"/>
      <c r="F623" s="230"/>
      <c r="G623" s="230"/>
      <c r="H623" s="230"/>
      <c r="I623" s="230"/>
      <c r="J623" s="230"/>
      <c r="K623" s="230"/>
      <c r="L623" s="242"/>
      <c r="M623" s="230"/>
      <c r="N623" s="230"/>
      <c r="O623" s="257"/>
      <c r="P623" s="230"/>
      <c r="Q623" s="242"/>
      <c r="R623" s="230"/>
      <c r="S623" s="250"/>
      <c r="T623" s="250"/>
      <c r="U623" s="230"/>
      <c r="V623" s="256"/>
      <c r="W623" s="257"/>
      <c r="X623" s="230"/>
      <c r="Y623" s="230"/>
      <c r="Z623" s="230"/>
    </row>
    <row r="624" spans="1:26" ht="24.75" customHeight="1">
      <c r="A624" s="230"/>
      <c r="B624" s="230"/>
      <c r="C624" s="230"/>
      <c r="D624" s="230"/>
      <c r="E624" s="230"/>
      <c r="F624" s="230"/>
      <c r="G624" s="230"/>
      <c r="H624" s="230"/>
      <c r="I624" s="230"/>
      <c r="J624" s="230"/>
      <c r="K624" s="230"/>
      <c r="L624" s="242"/>
      <c r="M624" s="230"/>
      <c r="N624" s="230"/>
      <c r="O624" s="257"/>
      <c r="P624" s="230"/>
      <c r="Q624" s="242"/>
      <c r="R624" s="230"/>
      <c r="S624" s="250"/>
      <c r="T624" s="250"/>
      <c r="U624" s="230"/>
      <c r="V624" s="256"/>
      <c r="W624" s="257"/>
      <c r="X624" s="230"/>
      <c r="Y624" s="230"/>
      <c r="Z624" s="230"/>
    </row>
    <row r="625" spans="1:26" ht="24.75" customHeight="1">
      <c r="A625" s="230"/>
      <c r="B625" s="230"/>
      <c r="C625" s="230"/>
      <c r="D625" s="230"/>
      <c r="E625" s="230"/>
      <c r="F625" s="230"/>
      <c r="G625" s="230"/>
      <c r="H625" s="230"/>
      <c r="I625" s="230"/>
      <c r="J625" s="230"/>
      <c r="K625" s="230"/>
      <c r="L625" s="242"/>
      <c r="M625" s="230"/>
      <c r="N625" s="230"/>
      <c r="O625" s="257"/>
      <c r="P625" s="230"/>
      <c r="Q625" s="242"/>
      <c r="R625" s="230"/>
      <c r="S625" s="250"/>
      <c r="T625" s="250"/>
      <c r="U625" s="230"/>
      <c r="V625" s="256"/>
      <c r="W625" s="257"/>
      <c r="X625" s="230"/>
      <c r="Y625" s="230"/>
      <c r="Z625" s="230"/>
    </row>
    <row r="626" spans="1:26" ht="24.75" customHeight="1">
      <c r="A626" s="230"/>
      <c r="B626" s="230"/>
      <c r="C626" s="230"/>
      <c r="D626" s="230"/>
      <c r="E626" s="230"/>
      <c r="F626" s="230"/>
      <c r="G626" s="230"/>
      <c r="H626" s="230"/>
      <c r="I626" s="230"/>
      <c r="J626" s="230"/>
      <c r="K626" s="230"/>
      <c r="L626" s="242"/>
      <c r="M626" s="230"/>
      <c r="N626" s="230"/>
      <c r="O626" s="257"/>
      <c r="P626" s="230"/>
      <c r="Q626" s="242"/>
      <c r="R626" s="230"/>
      <c r="S626" s="250"/>
      <c r="T626" s="250"/>
      <c r="U626" s="230"/>
      <c r="V626" s="256"/>
      <c r="W626" s="257"/>
      <c r="X626" s="230"/>
      <c r="Y626" s="230"/>
      <c r="Z626" s="230"/>
    </row>
    <row r="627" spans="1:26" ht="24.75" customHeight="1">
      <c r="A627" s="230"/>
      <c r="B627" s="230"/>
      <c r="C627" s="230"/>
      <c r="D627" s="230"/>
      <c r="E627" s="230"/>
      <c r="F627" s="230"/>
      <c r="G627" s="230"/>
      <c r="H627" s="230"/>
      <c r="I627" s="230"/>
      <c r="J627" s="230"/>
      <c r="K627" s="230"/>
      <c r="L627" s="242"/>
      <c r="M627" s="230"/>
      <c r="N627" s="230"/>
      <c r="O627" s="257"/>
      <c r="P627" s="230"/>
      <c r="Q627" s="242"/>
      <c r="R627" s="230"/>
      <c r="S627" s="250"/>
      <c r="T627" s="250"/>
      <c r="U627" s="230"/>
      <c r="V627" s="256"/>
      <c r="W627" s="257"/>
      <c r="X627" s="230"/>
      <c r="Y627" s="230"/>
      <c r="Z627" s="230"/>
    </row>
    <row r="628" spans="1:26" ht="24.75" customHeight="1">
      <c r="A628" s="230"/>
      <c r="B628" s="230"/>
      <c r="C628" s="230"/>
      <c r="D628" s="230"/>
      <c r="E628" s="230"/>
      <c r="F628" s="230"/>
      <c r="G628" s="230"/>
      <c r="H628" s="230"/>
      <c r="I628" s="230"/>
      <c r="J628" s="230"/>
      <c r="K628" s="230"/>
      <c r="L628" s="242"/>
      <c r="M628" s="230"/>
      <c r="N628" s="230"/>
      <c r="O628" s="257"/>
      <c r="P628" s="230"/>
      <c r="Q628" s="242"/>
      <c r="R628" s="230"/>
      <c r="S628" s="250"/>
      <c r="T628" s="250"/>
      <c r="U628" s="230"/>
      <c r="V628" s="256"/>
      <c r="W628" s="257"/>
      <c r="X628" s="230"/>
      <c r="Y628" s="230"/>
      <c r="Z628" s="230"/>
    </row>
    <row r="629" spans="1:26" ht="24.75" customHeight="1">
      <c r="A629" s="230"/>
      <c r="B629" s="230"/>
      <c r="C629" s="230"/>
      <c r="D629" s="230"/>
      <c r="E629" s="230"/>
      <c r="F629" s="230"/>
      <c r="G629" s="230"/>
      <c r="H629" s="230"/>
      <c r="I629" s="230"/>
      <c r="J629" s="230"/>
      <c r="K629" s="230"/>
      <c r="L629" s="242"/>
      <c r="M629" s="230"/>
      <c r="N629" s="230"/>
      <c r="O629" s="257"/>
      <c r="P629" s="230"/>
      <c r="Q629" s="242"/>
      <c r="R629" s="230"/>
      <c r="S629" s="250"/>
      <c r="T629" s="250"/>
      <c r="U629" s="230"/>
      <c r="V629" s="256"/>
      <c r="W629" s="257"/>
      <c r="X629" s="230"/>
      <c r="Y629" s="230"/>
      <c r="Z629" s="230"/>
    </row>
    <row r="630" spans="1:26" ht="24.75" customHeight="1">
      <c r="A630" s="230"/>
      <c r="B630" s="230"/>
      <c r="C630" s="230"/>
      <c r="D630" s="230"/>
      <c r="E630" s="230"/>
      <c r="F630" s="230"/>
      <c r="G630" s="230"/>
      <c r="H630" s="230"/>
      <c r="I630" s="230"/>
      <c r="J630" s="230"/>
      <c r="K630" s="230"/>
      <c r="L630" s="242"/>
      <c r="M630" s="230"/>
      <c r="N630" s="230"/>
      <c r="O630" s="257"/>
      <c r="P630" s="230"/>
      <c r="Q630" s="242"/>
      <c r="R630" s="230"/>
      <c r="S630" s="250"/>
      <c r="T630" s="250"/>
      <c r="U630" s="230"/>
      <c r="V630" s="256"/>
      <c r="W630" s="257"/>
      <c r="X630" s="230"/>
      <c r="Y630" s="230"/>
      <c r="Z630" s="230"/>
    </row>
    <row r="631" spans="1:26" ht="24.75" customHeight="1">
      <c r="A631" s="230"/>
      <c r="B631" s="230"/>
      <c r="C631" s="230"/>
      <c r="D631" s="230"/>
      <c r="E631" s="230"/>
      <c r="F631" s="230"/>
      <c r="G631" s="230"/>
      <c r="H631" s="230"/>
      <c r="I631" s="230"/>
      <c r="J631" s="230"/>
      <c r="K631" s="230"/>
      <c r="L631" s="242"/>
      <c r="M631" s="230"/>
      <c r="N631" s="230"/>
      <c r="O631" s="257"/>
      <c r="P631" s="230"/>
      <c r="Q631" s="242"/>
      <c r="R631" s="230"/>
      <c r="S631" s="250"/>
      <c r="T631" s="250"/>
      <c r="U631" s="230"/>
      <c r="V631" s="256"/>
      <c r="W631" s="257"/>
      <c r="X631" s="230"/>
      <c r="Y631" s="230"/>
      <c r="Z631" s="230"/>
    </row>
    <row r="632" spans="1:26" ht="24.75" customHeight="1">
      <c r="A632" s="230"/>
      <c r="B632" s="230"/>
      <c r="C632" s="230"/>
      <c r="D632" s="230"/>
      <c r="E632" s="230"/>
      <c r="F632" s="230"/>
      <c r="G632" s="230"/>
      <c r="H632" s="230"/>
      <c r="I632" s="230"/>
      <c r="J632" s="230"/>
      <c r="K632" s="230"/>
      <c r="L632" s="242"/>
      <c r="M632" s="230"/>
      <c r="N632" s="230"/>
      <c r="O632" s="257"/>
      <c r="P632" s="230"/>
      <c r="Q632" s="242"/>
      <c r="R632" s="230"/>
      <c r="S632" s="250"/>
      <c r="T632" s="250"/>
      <c r="U632" s="230"/>
      <c r="V632" s="256"/>
      <c r="W632" s="257"/>
      <c r="X632" s="230"/>
      <c r="Y632" s="230"/>
      <c r="Z632" s="230"/>
    </row>
    <row r="633" spans="1:26" ht="24.75" customHeight="1">
      <c r="A633" s="230"/>
      <c r="B633" s="230"/>
      <c r="C633" s="230"/>
      <c r="D633" s="230"/>
      <c r="E633" s="230"/>
      <c r="F633" s="230"/>
      <c r="G633" s="230"/>
      <c r="H633" s="230"/>
      <c r="I633" s="230"/>
      <c r="J633" s="230"/>
      <c r="K633" s="230"/>
      <c r="L633" s="242"/>
      <c r="M633" s="230"/>
      <c r="N633" s="230"/>
      <c r="O633" s="257"/>
      <c r="P633" s="230"/>
      <c r="Q633" s="242"/>
      <c r="R633" s="230"/>
      <c r="S633" s="250"/>
      <c r="T633" s="250"/>
      <c r="U633" s="230"/>
      <c r="V633" s="256"/>
      <c r="W633" s="257"/>
      <c r="X633" s="230"/>
      <c r="Y633" s="230"/>
      <c r="Z633" s="230"/>
    </row>
    <row r="634" spans="1:26" ht="24.75" customHeight="1">
      <c r="A634" s="230"/>
      <c r="B634" s="230"/>
      <c r="C634" s="230"/>
      <c r="D634" s="230"/>
      <c r="E634" s="230"/>
      <c r="F634" s="230"/>
      <c r="G634" s="230"/>
      <c r="H634" s="230"/>
      <c r="I634" s="230"/>
      <c r="J634" s="230"/>
      <c r="K634" s="230"/>
      <c r="L634" s="242"/>
      <c r="M634" s="230"/>
      <c r="N634" s="230"/>
      <c r="O634" s="257"/>
      <c r="P634" s="230"/>
      <c r="Q634" s="242"/>
      <c r="R634" s="230"/>
      <c r="S634" s="250"/>
      <c r="T634" s="250"/>
      <c r="U634" s="230"/>
      <c r="V634" s="256"/>
      <c r="W634" s="257"/>
      <c r="X634" s="230"/>
      <c r="Y634" s="230"/>
      <c r="Z634" s="230"/>
    </row>
    <row r="635" spans="1:26" ht="24.75" customHeight="1">
      <c r="A635" s="230"/>
      <c r="B635" s="230"/>
      <c r="C635" s="230"/>
      <c r="D635" s="230"/>
      <c r="E635" s="230"/>
      <c r="F635" s="230"/>
      <c r="G635" s="230"/>
      <c r="H635" s="230"/>
      <c r="I635" s="230"/>
      <c r="J635" s="230"/>
      <c r="K635" s="230"/>
      <c r="L635" s="242"/>
      <c r="M635" s="230"/>
      <c r="N635" s="230"/>
      <c r="O635" s="257"/>
      <c r="P635" s="230"/>
      <c r="Q635" s="242"/>
      <c r="R635" s="230"/>
      <c r="S635" s="250"/>
      <c r="T635" s="250"/>
      <c r="U635" s="230"/>
      <c r="V635" s="256"/>
      <c r="W635" s="257"/>
      <c r="X635" s="230"/>
      <c r="Y635" s="230"/>
      <c r="Z635" s="230"/>
    </row>
    <row r="636" spans="1:26" ht="24.75" customHeight="1">
      <c r="A636" s="230"/>
      <c r="B636" s="230"/>
      <c r="C636" s="230"/>
      <c r="D636" s="230"/>
      <c r="E636" s="230"/>
      <c r="F636" s="230"/>
      <c r="G636" s="230"/>
      <c r="H636" s="230"/>
      <c r="I636" s="230"/>
      <c r="J636" s="230"/>
      <c r="K636" s="230"/>
      <c r="L636" s="242"/>
      <c r="M636" s="230"/>
      <c r="N636" s="230"/>
      <c r="O636" s="257"/>
      <c r="P636" s="230"/>
      <c r="Q636" s="242"/>
      <c r="R636" s="230"/>
      <c r="S636" s="250"/>
      <c r="T636" s="250"/>
      <c r="U636" s="230"/>
      <c r="V636" s="256"/>
      <c r="W636" s="257"/>
      <c r="X636" s="230"/>
      <c r="Y636" s="230"/>
      <c r="Z636" s="230"/>
    </row>
    <row r="637" spans="1:26" ht="24.75" customHeight="1">
      <c r="A637" s="230"/>
      <c r="B637" s="230"/>
      <c r="C637" s="230"/>
      <c r="D637" s="230"/>
      <c r="E637" s="230"/>
      <c r="F637" s="230"/>
      <c r="G637" s="230"/>
      <c r="H637" s="230"/>
      <c r="I637" s="230"/>
      <c r="J637" s="230"/>
      <c r="K637" s="230"/>
      <c r="L637" s="242"/>
      <c r="M637" s="230"/>
      <c r="N637" s="230"/>
      <c r="O637" s="257"/>
      <c r="P637" s="230"/>
      <c r="Q637" s="242"/>
      <c r="R637" s="230"/>
      <c r="S637" s="250"/>
      <c r="T637" s="250"/>
      <c r="U637" s="230"/>
      <c r="V637" s="256"/>
      <c r="W637" s="257"/>
      <c r="X637" s="230"/>
      <c r="Y637" s="230"/>
      <c r="Z637" s="230"/>
    </row>
    <row r="638" spans="1:26" ht="24.75" customHeight="1">
      <c r="A638" s="230"/>
      <c r="B638" s="230"/>
      <c r="C638" s="230"/>
      <c r="D638" s="230"/>
      <c r="E638" s="230"/>
      <c r="F638" s="230"/>
      <c r="G638" s="230"/>
      <c r="H638" s="230"/>
      <c r="I638" s="230"/>
      <c r="J638" s="230"/>
      <c r="K638" s="230"/>
      <c r="L638" s="242"/>
      <c r="M638" s="230"/>
      <c r="N638" s="230"/>
      <c r="O638" s="257"/>
      <c r="P638" s="230"/>
      <c r="Q638" s="242"/>
      <c r="R638" s="230"/>
      <c r="S638" s="250"/>
      <c r="T638" s="250"/>
      <c r="U638" s="230"/>
      <c r="V638" s="256"/>
      <c r="W638" s="257"/>
      <c r="X638" s="230"/>
      <c r="Y638" s="230"/>
      <c r="Z638" s="230"/>
    </row>
    <row r="639" spans="1:26" ht="24.75" customHeight="1">
      <c r="A639" s="230"/>
      <c r="B639" s="230"/>
      <c r="C639" s="230"/>
      <c r="D639" s="230"/>
      <c r="E639" s="230"/>
      <c r="F639" s="230"/>
      <c r="G639" s="230"/>
      <c r="H639" s="230"/>
      <c r="I639" s="230"/>
      <c r="J639" s="230"/>
      <c r="K639" s="230"/>
      <c r="L639" s="242"/>
      <c r="M639" s="230"/>
      <c r="N639" s="230"/>
      <c r="O639" s="257"/>
      <c r="P639" s="230"/>
      <c r="Q639" s="242"/>
      <c r="R639" s="230"/>
      <c r="S639" s="250"/>
      <c r="T639" s="250"/>
      <c r="U639" s="230"/>
      <c r="V639" s="256"/>
      <c r="W639" s="257"/>
      <c r="X639" s="230"/>
      <c r="Y639" s="230"/>
      <c r="Z639" s="230"/>
    </row>
    <row r="640" spans="1:26" ht="24.75" customHeight="1">
      <c r="A640" s="230"/>
      <c r="B640" s="230"/>
      <c r="C640" s="230"/>
      <c r="D640" s="230"/>
      <c r="E640" s="230"/>
      <c r="F640" s="230"/>
      <c r="G640" s="230"/>
      <c r="H640" s="230"/>
      <c r="I640" s="230"/>
      <c r="J640" s="230"/>
      <c r="K640" s="230"/>
      <c r="L640" s="242"/>
      <c r="M640" s="230"/>
      <c r="N640" s="230"/>
      <c r="O640" s="257"/>
      <c r="P640" s="230"/>
      <c r="Q640" s="242"/>
      <c r="R640" s="230"/>
      <c r="S640" s="250"/>
      <c r="T640" s="250"/>
      <c r="U640" s="230"/>
      <c r="V640" s="256"/>
      <c r="W640" s="257"/>
      <c r="X640" s="230"/>
      <c r="Y640" s="230"/>
      <c r="Z640" s="230"/>
    </row>
    <row r="641" spans="1:26" ht="24.75" customHeight="1">
      <c r="A641" s="230"/>
      <c r="B641" s="230"/>
      <c r="C641" s="230"/>
      <c r="D641" s="230"/>
      <c r="E641" s="230"/>
      <c r="F641" s="230"/>
      <c r="G641" s="230"/>
      <c r="H641" s="230"/>
      <c r="I641" s="230"/>
      <c r="J641" s="230"/>
      <c r="K641" s="230"/>
      <c r="L641" s="242"/>
      <c r="M641" s="230"/>
      <c r="N641" s="230"/>
      <c r="O641" s="257"/>
      <c r="P641" s="230"/>
      <c r="Q641" s="242"/>
      <c r="R641" s="230"/>
      <c r="S641" s="250"/>
      <c r="T641" s="250"/>
      <c r="U641" s="230"/>
      <c r="V641" s="256"/>
      <c r="W641" s="257"/>
      <c r="X641" s="230"/>
      <c r="Y641" s="230"/>
      <c r="Z641" s="230"/>
    </row>
    <row r="642" spans="1:26" ht="24.75" customHeight="1">
      <c r="A642" s="230"/>
      <c r="B642" s="230"/>
      <c r="C642" s="230"/>
      <c r="D642" s="230"/>
      <c r="E642" s="230"/>
      <c r="F642" s="230"/>
      <c r="G642" s="230"/>
      <c r="H642" s="230"/>
      <c r="I642" s="230"/>
      <c r="J642" s="230"/>
      <c r="K642" s="230"/>
      <c r="L642" s="242"/>
      <c r="M642" s="230"/>
      <c r="N642" s="230"/>
      <c r="O642" s="257"/>
      <c r="P642" s="230"/>
      <c r="Q642" s="242"/>
      <c r="R642" s="230"/>
      <c r="S642" s="250"/>
      <c r="T642" s="250"/>
      <c r="U642" s="230"/>
      <c r="V642" s="256"/>
      <c r="W642" s="257"/>
      <c r="X642" s="230"/>
      <c r="Y642" s="230"/>
      <c r="Z642" s="230"/>
    </row>
    <row r="643" spans="1:26" ht="24.75" customHeight="1">
      <c r="A643" s="230"/>
      <c r="B643" s="230"/>
      <c r="C643" s="230"/>
      <c r="D643" s="230"/>
      <c r="E643" s="230"/>
      <c r="F643" s="230"/>
      <c r="G643" s="230"/>
      <c r="H643" s="230"/>
      <c r="I643" s="230"/>
      <c r="J643" s="230"/>
      <c r="K643" s="230"/>
      <c r="L643" s="242"/>
      <c r="M643" s="230"/>
      <c r="N643" s="230"/>
      <c r="O643" s="257"/>
      <c r="P643" s="230"/>
      <c r="Q643" s="242"/>
      <c r="R643" s="230"/>
      <c r="S643" s="250"/>
      <c r="T643" s="250"/>
      <c r="U643" s="230"/>
      <c r="V643" s="256"/>
      <c r="W643" s="257"/>
      <c r="X643" s="230"/>
      <c r="Y643" s="230"/>
      <c r="Z643" s="230"/>
    </row>
    <row r="644" spans="1:26" ht="24.75" customHeight="1">
      <c r="A644" s="230"/>
      <c r="B644" s="230"/>
      <c r="C644" s="230"/>
      <c r="D644" s="230"/>
      <c r="E644" s="230"/>
      <c r="F644" s="230"/>
      <c r="G644" s="230"/>
      <c r="H644" s="230"/>
      <c r="I644" s="230"/>
      <c r="J644" s="230"/>
      <c r="K644" s="230"/>
      <c r="L644" s="242"/>
      <c r="M644" s="230"/>
      <c r="N644" s="230"/>
      <c r="O644" s="257"/>
      <c r="P644" s="230"/>
      <c r="Q644" s="242"/>
      <c r="R644" s="230"/>
      <c r="S644" s="250"/>
      <c r="T644" s="250"/>
      <c r="U644" s="230"/>
      <c r="V644" s="256"/>
      <c r="W644" s="257"/>
      <c r="X644" s="230"/>
      <c r="Y644" s="230"/>
      <c r="Z644" s="230"/>
    </row>
    <row r="645" spans="1:26" ht="24.75" customHeight="1">
      <c r="A645" s="230"/>
      <c r="B645" s="230"/>
      <c r="C645" s="230"/>
      <c r="D645" s="230"/>
      <c r="E645" s="230"/>
      <c r="F645" s="230"/>
      <c r="G645" s="230"/>
      <c r="H645" s="230"/>
      <c r="I645" s="230"/>
      <c r="J645" s="230"/>
      <c r="K645" s="230"/>
      <c r="L645" s="242"/>
      <c r="M645" s="230"/>
      <c r="N645" s="230"/>
      <c r="O645" s="257"/>
      <c r="P645" s="230"/>
      <c r="Q645" s="242"/>
      <c r="R645" s="230"/>
      <c r="S645" s="250"/>
      <c r="T645" s="250"/>
      <c r="U645" s="230"/>
      <c r="V645" s="256"/>
      <c r="W645" s="257"/>
      <c r="X645" s="230"/>
      <c r="Y645" s="230"/>
      <c r="Z645" s="230"/>
    </row>
    <row r="646" spans="1:26" ht="24.75" customHeight="1">
      <c r="A646" s="230"/>
      <c r="B646" s="230"/>
      <c r="C646" s="230"/>
      <c r="D646" s="230"/>
      <c r="E646" s="230"/>
      <c r="F646" s="230"/>
      <c r="G646" s="230"/>
      <c r="H646" s="230"/>
      <c r="I646" s="230"/>
      <c r="J646" s="230"/>
      <c r="K646" s="230"/>
      <c r="L646" s="242"/>
      <c r="M646" s="230"/>
      <c r="N646" s="230"/>
      <c r="O646" s="257"/>
      <c r="P646" s="230"/>
      <c r="Q646" s="242"/>
      <c r="R646" s="230"/>
      <c r="S646" s="250"/>
      <c r="T646" s="250"/>
      <c r="U646" s="230"/>
      <c r="V646" s="256"/>
      <c r="W646" s="257"/>
      <c r="X646" s="230"/>
      <c r="Y646" s="230"/>
      <c r="Z646" s="230"/>
    </row>
    <row r="647" spans="1:26" ht="24.75" customHeight="1">
      <c r="A647" s="230"/>
      <c r="B647" s="230"/>
      <c r="C647" s="230"/>
      <c r="D647" s="230"/>
      <c r="E647" s="230"/>
      <c r="F647" s="230"/>
      <c r="G647" s="230"/>
      <c r="H647" s="230"/>
      <c r="I647" s="230"/>
      <c r="J647" s="230"/>
      <c r="K647" s="230"/>
      <c r="L647" s="242"/>
      <c r="M647" s="230"/>
      <c r="N647" s="230"/>
      <c r="O647" s="257"/>
      <c r="P647" s="230"/>
      <c r="Q647" s="242"/>
      <c r="R647" s="230"/>
      <c r="S647" s="250"/>
      <c r="T647" s="250"/>
      <c r="U647" s="230"/>
      <c r="V647" s="256"/>
      <c r="W647" s="257"/>
      <c r="X647" s="230"/>
      <c r="Y647" s="230"/>
      <c r="Z647" s="230"/>
    </row>
    <row r="648" spans="1:26" ht="24.75" customHeight="1">
      <c r="A648" s="230"/>
      <c r="B648" s="230"/>
      <c r="C648" s="230"/>
      <c r="D648" s="230"/>
      <c r="E648" s="230"/>
      <c r="F648" s="230"/>
      <c r="G648" s="230"/>
      <c r="H648" s="230"/>
      <c r="I648" s="230"/>
      <c r="J648" s="230"/>
      <c r="K648" s="230"/>
      <c r="L648" s="242"/>
      <c r="M648" s="230"/>
      <c r="N648" s="230"/>
      <c r="O648" s="257"/>
      <c r="P648" s="230"/>
      <c r="Q648" s="242"/>
      <c r="R648" s="230"/>
      <c r="S648" s="250"/>
      <c r="T648" s="250"/>
      <c r="U648" s="230"/>
      <c r="V648" s="256"/>
      <c r="W648" s="257"/>
      <c r="X648" s="230"/>
      <c r="Y648" s="230"/>
      <c r="Z648" s="230"/>
    </row>
    <row r="649" spans="1:26" ht="24.75" customHeight="1">
      <c r="A649" s="230"/>
      <c r="B649" s="230"/>
      <c r="C649" s="230"/>
      <c r="D649" s="230"/>
      <c r="E649" s="230"/>
      <c r="F649" s="230"/>
      <c r="G649" s="230"/>
      <c r="H649" s="230"/>
      <c r="I649" s="230"/>
      <c r="J649" s="230"/>
      <c r="K649" s="230"/>
      <c r="L649" s="242"/>
      <c r="M649" s="230"/>
      <c r="N649" s="230"/>
      <c r="O649" s="257"/>
      <c r="P649" s="230"/>
      <c r="Q649" s="242"/>
      <c r="R649" s="230"/>
      <c r="S649" s="250"/>
      <c r="T649" s="250"/>
      <c r="U649" s="230"/>
      <c r="V649" s="256"/>
      <c r="W649" s="257"/>
      <c r="X649" s="230"/>
      <c r="Y649" s="230"/>
      <c r="Z649" s="230"/>
    </row>
    <row r="650" spans="1:26" ht="24.75" customHeight="1">
      <c r="A650" s="230"/>
      <c r="B650" s="230"/>
      <c r="C650" s="230"/>
      <c r="D650" s="230"/>
      <c r="E650" s="230"/>
      <c r="F650" s="230"/>
      <c r="G650" s="230"/>
      <c r="H650" s="230"/>
      <c r="I650" s="230"/>
      <c r="J650" s="230"/>
      <c r="K650" s="230"/>
      <c r="L650" s="242"/>
      <c r="M650" s="230"/>
      <c r="N650" s="230"/>
      <c r="O650" s="257"/>
      <c r="P650" s="230"/>
      <c r="Q650" s="242"/>
      <c r="R650" s="230"/>
      <c r="S650" s="250"/>
      <c r="T650" s="250"/>
      <c r="U650" s="230"/>
      <c r="V650" s="256"/>
      <c r="W650" s="257"/>
      <c r="X650" s="230"/>
      <c r="Y650" s="230"/>
      <c r="Z650" s="230"/>
    </row>
    <row r="651" spans="1:26" ht="24.75" customHeight="1">
      <c r="A651" s="230"/>
      <c r="B651" s="230"/>
      <c r="C651" s="230"/>
      <c r="D651" s="230"/>
      <c r="E651" s="230"/>
      <c r="F651" s="230"/>
      <c r="G651" s="230"/>
      <c r="H651" s="230"/>
      <c r="I651" s="230"/>
      <c r="J651" s="230"/>
      <c r="K651" s="230"/>
      <c r="L651" s="242"/>
      <c r="M651" s="230"/>
      <c r="N651" s="230"/>
      <c r="O651" s="257"/>
      <c r="P651" s="230"/>
      <c r="Q651" s="242"/>
      <c r="R651" s="230"/>
      <c r="S651" s="250"/>
      <c r="T651" s="250"/>
      <c r="U651" s="230"/>
      <c r="V651" s="256"/>
      <c r="W651" s="257"/>
      <c r="X651" s="230"/>
      <c r="Y651" s="230"/>
      <c r="Z651" s="230"/>
    </row>
    <row r="652" spans="1:26" ht="24.75" customHeight="1">
      <c r="A652" s="230"/>
      <c r="B652" s="230"/>
      <c r="C652" s="230"/>
      <c r="D652" s="230"/>
      <c r="E652" s="230"/>
      <c r="F652" s="230"/>
      <c r="G652" s="230"/>
      <c r="H652" s="230"/>
      <c r="I652" s="230"/>
      <c r="J652" s="230"/>
      <c r="K652" s="230"/>
      <c r="L652" s="242"/>
      <c r="M652" s="230"/>
      <c r="N652" s="230"/>
      <c r="O652" s="257"/>
      <c r="P652" s="230"/>
      <c r="Q652" s="242"/>
      <c r="R652" s="230"/>
      <c r="S652" s="250"/>
      <c r="T652" s="250"/>
      <c r="U652" s="230"/>
      <c r="V652" s="256"/>
      <c r="W652" s="257"/>
      <c r="X652" s="230"/>
      <c r="Y652" s="230"/>
      <c r="Z652" s="230"/>
    </row>
    <row r="653" spans="1:26" ht="24.75" customHeight="1">
      <c r="A653" s="230"/>
      <c r="B653" s="230"/>
      <c r="C653" s="230"/>
      <c r="D653" s="230"/>
      <c r="E653" s="230"/>
      <c r="F653" s="230"/>
      <c r="G653" s="230"/>
      <c r="H653" s="230"/>
      <c r="I653" s="230"/>
      <c r="J653" s="230"/>
      <c r="K653" s="230"/>
      <c r="L653" s="242"/>
      <c r="M653" s="230"/>
      <c r="N653" s="230"/>
      <c r="O653" s="257"/>
      <c r="P653" s="230"/>
      <c r="Q653" s="242"/>
      <c r="R653" s="230"/>
      <c r="S653" s="250"/>
      <c r="T653" s="250"/>
      <c r="U653" s="230"/>
      <c r="V653" s="256"/>
      <c r="W653" s="257"/>
      <c r="X653" s="230"/>
      <c r="Y653" s="230"/>
      <c r="Z653" s="230"/>
    </row>
    <row r="654" spans="1:26" ht="24.75" customHeight="1">
      <c r="A654" s="230"/>
      <c r="B654" s="230"/>
      <c r="C654" s="230"/>
      <c r="D654" s="230"/>
      <c r="E654" s="230"/>
      <c r="F654" s="230"/>
      <c r="G654" s="230"/>
      <c r="H654" s="230"/>
      <c r="I654" s="230"/>
      <c r="J654" s="230"/>
      <c r="K654" s="230"/>
      <c r="L654" s="242"/>
      <c r="M654" s="230"/>
      <c r="N654" s="230"/>
      <c r="O654" s="257"/>
      <c r="P654" s="230"/>
      <c r="Q654" s="242"/>
      <c r="R654" s="230"/>
      <c r="S654" s="250"/>
      <c r="T654" s="250"/>
      <c r="U654" s="230"/>
      <c r="V654" s="256"/>
      <c r="W654" s="257"/>
      <c r="X654" s="230"/>
      <c r="Y654" s="230"/>
      <c r="Z654" s="230"/>
    </row>
    <row r="655" spans="1:26" ht="24.75" customHeight="1">
      <c r="A655" s="230"/>
      <c r="B655" s="230"/>
      <c r="C655" s="230"/>
      <c r="D655" s="230"/>
      <c r="E655" s="230"/>
      <c r="F655" s="230"/>
      <c r="G655" s="230"/>
      <c r="H655" s="230"/>
      <c r="I655" s="230"/>
      <c r="J655" s="230"/>
      <c r="K655" s="230"/>
      <c r="L655" s="242"/>
      <c r="M655" s="230"/>
      <c r="N655" s="230"/>
      <c r="O655" s="257"/>
      <c r="P655" s="230"/>
      <c r="Q655" s="242"/>
      <c r="R655" s="230"/>
      <c r="S655" s="250"/>
      <c r="T655" s="250"/>
      <c r="U655" s="230"/>
      <c r="V655" s="256"/>
      <c r="W655" s="257"/>
      <c r="X655" s="230"/>
      <c r="Y655" s="230"/>
      <c r="Z655" s="230"/>
    </row>
    <row r="656" spans="1:26" ht="24.75" customHeight="1">
      <c r="A656" s="230"/>
      <c r="B656" s="230"/>
      <c r="C656" s="230"/>
      <c r="D656" s="230"/>
      <c r="E656" s="230"/>
      <c r="F656" s="230"/>
      <c r="G656" s="230"/>
      <c r="H656" s="230"/>
      <c r="I656" s="230"/>
      <c r="J656" s="230"/>
      <c r="K656" s="230"/>
      <c r="L656" s="242"/>
      <c r="M656" s="230"/>
      <c r="N656" s="230"/>
      <c r="O656" s="257"/>
      <c r="P656" s="230"/>
      <c r="Q656" s="242"/>
      <c r="R656" s="230"/>
      <c r="S656" s="250"/>
      <c r="T656" s="250"/>
      <c r="U656" s="230"/>
      <c r="V656" s="256"/>
      <c r="W656" s="257"/>
      <c r="X656" s="230"/>
      <c r="Y656" s="230"/>
      <c r="Z656" s="230"/>
    </row>
    <row r="657" spans="1:26" ht="24.75" customHeight="1">
      <c r="A657" s="230"/>
      <c r="B657" s="230"/>
      <c r="C657" s="230"/>
      <c r="D657" s="230"/>
      <c r="E657" s="230"/>
      <c r="F657" s="230"/>
      <c r="G657" s="230"/>
      <c r="H657" s="230"/>
      <c r="I657" s="230"/>
      <c r="J657" s="230"/>
      <c r="K657" s="230"/>
      <c r="L657" s="242"/>
      <c r="M657" s="230"/>
      <c r="N657" s="230"/>
      <c r="O657" s="257"/>
      <c r="P657" s="230"/>
      <c r="Q657" s="242"/>
      <c r="R657" s="230"/>
      <c r="S657" s="250"/>
      <c r="T657" s="250"/>
      <c r="U657" s="230"/>
      <c r="V657" s="256"/>
      <c r="W657" s="257"/>
      <c r="X657" s="230"/>
      <c r="Y657" s="230"/>
      <c r="Z657" s="230"/>
    </row>
    <row r="658" spans="1:26" ht="24.75" customHeight="1">
      <c r="A658" s="230"/>
      <c r="B658" s="230"/>
      <c r="C658" s="230"/>
      <c r="D658" s="230"/>
      <c r="E658" s="230"/>
      <c r="F658" s="230"/>
      <c r="G658" s="230"/>
      <c r="H658" s="230"/>
      <c r="I658" s="230"/>
      <c r="J658" s="230"/>
      <c r="K658" s="230"/>
      <c r="L658" s="242"/>
      <c r="M658" s="230"/>
      <c r="N658" s="230"/>
      <c r="O658" s="257"/>
      <c r="P658" s="230"/>
      <c r="Q658" s="242"/>
      <c r="R658" s="230"/>
      <c r="S658" s="250"/>
      <c r="T658" s="250"/>
      <c r="U658" s="230"/>
      <c r="V658" s="256"/>
      <c r="W658" s="257"/>
      <c r="X658" s="230"/>
      <c r="Y658" s="230"/>
      <c r="Z658" s="230"/>
    </row>
    <row r="659" spans="1:26" ht="24.75" customHeight="1">
      <c r="A659" s="230"/>
      <c r="B659" s="230"/>
      <c r="C659" s="230"/>
      <c r="D659" s="230"/>
      <c r="E659" s="230"/>
      <c r="F659" s="230"/>
      <c r="G659" s="230"/>
      <c r="H659" s="230"/>
      <c r="I659" s="230"/>
      <c r="J659" s="230"/>
      <c r="K659" s="230"/>
      <c r="L659" s="242"/>
      <c r="M659" s="230"/>
      <c r="N659" s="230"/>
      <c r="O659" s="257"/>
      <c r="P659" s="230"/>
      <c r="Q659" s="242"/>
      <c r="R659" s="230"/>
      <c r="S659" s="250"/>
      <c r="T659" s="250"/>
      <c r="U659" s="230"/>
      <c r="V659" s="256"/>
      <c r="W659" s="257"/>
      <c r="X659" s="230"/>
      <c r="Y659" s="230"/>
      <c r="Z659" s="230"/>
    </row>
    <row r="660" spans="1:26" ht="24.75" customHeight="1">
      <c r="A660" s="230"/>
      <c r="B660" s="230"/>
      <c r="C660" s="230"/>
      <c r="D660" s="230"/>
      <c r="E660" s="230"/>
      <c r="F660" s="230"/>
      <c r="G660" s="230"/>
      <c r="H660" s="230"/>
      <c r="I660" s="230"/>
      <c r="J660" s="230"/>
      <c r="K660" s="230"/>
      <c r="L660" s="242"/>
      <c r="M660" s="230"/>
      <c r="N660" s="230"/>
      <c r="O660" s="257"/>
      <c r="P660" s="230"/>
      <c r="Q660" s="242"/>
      <c r="R660" s="230"/>
      <c r="S660" s="250"/>
      <c r="T660" s="250"/>
      <c r="U660" s="230"/>
      <c r="V660" s="256"/>
      <c r="W660" s="257"/>
      <c r="X660" s="230"/>
      <c r="Y660" s="230"/>
      <c r="Z660" s="230"/>
    </row>
    <row r="661" spans="1:26" ht="24.75" customHeight="1">
      <c r="A661" s="230"/>
      <c r="B661" s="230"/>
      <c r="C661" s="230"/>
      <c r="D661" s="230"/>
      <c r="E661" s="230"/>
      <c r="F661" s="230"/>
      <c r="G661" s="230"/>
      <c r="H661" s="230"/>
      <c r="I661" s="230"/>
      <c r="J661" s="230"/>
      <c r="K661" s="230"/>
      <c r="L661" s="242"/>
      <c r="M661" s="230"/>
      <c r="N661" s="230"/>
      <c r="O661" s="257"/>
      <c r="P661" s="230"/>
      <c r="Q661" s="242"/>
      <c r="R661" s="230"/>
      <c r="S661" s="250"/>
      <c r="T661" s="250"/>
      <c r="U661" s="230"/>
      <c r="V661" s="256"/>
      <c r="W661" s="257"/>
      <c r="X661" s="230"/>
      <c r="Y661" s="230"/>
      <c r="Z661" s="230"/>
    </row>
    <row r="662" spans="1:26" ht="24.75" customHeight="1">
      <c r="A662" s="230"/>
      <c r="B662" s="230"/>
      <c r="C662" s="230"/>
      <c r="D662" s="230"/>
      <c r="E662" s="230"/>
      <c r="F662" s="230"/>
      <c r="G662" s="230"/>
      <c r="H662" s="230"/>
      <c r="I662" s="230"/>
      <c r="J662" s="230"/>
      <c r="K662" s="230"/>
      <c r="L662" s="242"/>
      <c r="M662" s="230"/>
      <c r="N662" s="230"/>
      <c r="O662" s="257"/>
      <c r="P662" s="230"/>
      <c r="Q662" s="242"/>
      <c r="R662" s="230"/>
      <c r="S662" s="250"/>
      <c r="T662" s="250"/>
      <c r="U662" s="230"/>
      <c r="V662" s="256"/>
      <c r="W662" s="257"/>
      <c r="X662" s="230"/>
      <c r="Y662" s="230"/>
      <c r="Z662" s="230"/>
    </row>
    <row r="663" spans="1:26" ht="24.75" customHeight="1">
      <c r="A663" s="230"/>
      <c r="B663" s="230"/>
      <c r="C663" s="230"/>
      <c r="D663" s="230"/>
      <c r="E663" s="230"/>
      <c r="F663" s="230"/>
      <c r="G663" s="230"/>
      <c r="H663" s="230"/>
      <c r="I663" s="230"/>
      <c r="J663" s="230"/>
      <c r="K663" s="230"/>
      <c r="L663" s="242"/>
      <c r="M663" s="230"/>
      <c r="N663" s="230"/>
      <c r="O663" s="257"/>
      <c r="P663" s="230"/>
      <c r="Q663" s="242"/>
      <c r="R663" s="230"/>
      <c r="S663" s="250"/>
      <c r="T663" s="250"/>
      <c r="U663" s="230"/>
      <c r="V663" s="256"/>
      <c r="W663" s="257"/>
      <c r="X663" s="230"/>
      <c r="Y663" s="230"/>
      <c r="Z663" s="230"/>
    </row>
    <row r="664" spans="1:26" ht="24.75" customHeight="1">
      <c r="A664" s="230"/>
      <c r="B664" s="230"/>
      <c r="C664" s="230"/>
      <c r="D664" s="230"/>
      <c r="E664" s="230"/>
      <c r="F664" s="230"/>
      <c r="G664" s="230"/>
      <c r="H664" s="230"/>
      <c r="I664" s="230"/>
      <c r="J664" s="230"/>
      <c r="K664" s="230"/>
      <c r="L664" s="242"/>
      <c r="M664" s="230"/>
      <c r="N664" s="230"/>
      <c r="O664" s="257"/>
      <c r="P664" s="230"/>
      <c r="Q664" s="242"/>
      <c r="R664" s="230"/>
      <c r="S664" s="250"/>
      <c r="T664" s="250"/>
      <c r="U664" s="230"/>
      <c r="V664" s="256"/>
      <c r="W664" s="257"/>
      <c r="X664" s="230"/>
      <c r="Y664" s="230"/>
      <c r="Z664" s="230"/>
    </row>
    <row r="665" spans="1:26" ht="24.75" customHeight="1">
      <c r="A665" s="230"/>
      <c r="B665" s="230"/>
      <c r="C665" s="230"/>
      <c r="D665" s="230"/>
      <c r="E665" s="230"/>
      <c r="F665" s="230"/>
      <c r="G665" s="230"/>
      <c r="H665" s="230"/>
      <c r="I665" s="230"/>
      <c r="J665" s="230"/>
      <c r="K665" s="230"/>
      <c r="L665" s="242"/>
      <c r="M665" s="230"/>
      <c r="N665" s="230"/>
      <c r="O665" s="257"/>
      <c r="P665" s="230"/>
      <c r="Q665" s="242"/>
      <c r="R665" s="230"/>
      <c r="S665" s="250"/>
      <c r="T665" s="250"/>
      <c r="U665" s="230"/>
      <c r="V665" s="256"/>
      <c r="W665" s="257"/>
      <c r="X665" s="230"/>
      <c r="Y665" s="230"/>
      <c r="Z665" s="230"/>
    </row>
    <row r="666" spans="1:26" ht="24.75" customHeight="1">
      <c r="A666" s="230"/>
      <c r="B666" s="230"/>
      <c r="C666" s="230"/>
      <c r="D666" s="230"/>
      <c r="E666" s="230"/>
      <c r="F666" s="230"/>
      <c r="G666" s="230"/>
      <c r="H666" s="230"/>
      <c r="I666" s="230"/>
      <c r="J666" s="230"/>
      <c r="K666" s="230"/>
      <c r="L666" s="242"/>
      <c r="M666" s="230"/>
      <c r="N666" s="230"/>
      <c r="O666" s="257"/>
      <c r="P666" s="230"/>
      <c r="Q666" s="242"/>
      <c r="R666" s="230"/>
      <c r="S666" s="250"/>
      <c r="T666" s="250"/>
      <c r="U666" s="230"/>
      <c r="V666" s="256"/>
      <c r="W666" s="257"/>
      <c r="X666" s="230"/>
      <c r="Y666" s="230"/>
      <c r="Z666" s="230"/>
    </row>
    <row r="667" spans="1:26" ht="24.75" customHeight="1">
      <c r="A667" s="230"/>
      <c r="B667" s="230"/>
      <c r="C667" s="230"/>
      <c r="D667" s="230"/>
      <c r="E667" s="230"/>
      <c r="F667" s="230"/>
      <c r="G667" s="230"/>
      <c r="H667" s="230"/>
      <c r="I667" s="230"/>
      <c r="J667" s="230"/>
      <c r="K667" s="230"/>
      <c r="L667" s="242"/>
      <c r="M667" s="230"/>
      <c r="N667" s="230"/>
      <c r="O667" s="257"/>
      <c r="P667" s="230"/>
      <c r="Q667" s="242"/>
      <c r="R667" s="230"/>
      <c r="S667" s="250"/>
      <c r="T667" s="250"/>
      <c r="U667" s="230"/>
      <c r="V667" s="256"/>
      <c r="W667" s="257"/>
      <c r="X667" s="230"/>
      <c r="Y667" s="230"/>
      <c r="Z667" s="230"/>
    </row>
    <row r="668" spans="1:26" ht="24.75" customHeight="1">
      <c r="A668" s="230"/>
      <c r="B668" s="230"/>
      <c r="C668" s="230"/>
      <c r="D668" s="230"/>
      <c r="E668" s="230"/>
      <c r="F668" s="230"/>
      <c r="G668" s="230"/>
      <c r="H668" s="230"/>
      <c r="I668" s="230"/>
      <c r="J668" s="230"/>
      <c r="K668" s="230"/>
      <c r="L668" s="242"/>
      <c r="M668" s="230"/>
      <c r="N668" s="230"/>
      <c r="O668" s="257"/>
      <c r="P668" s="230"/>
      <c r="Q668" s="242"/>
      <c r="R668" s="230"/>
      <c r="S668" s="250"/>
      <c r="T668" s="250"/>
      <c r="U668" s="230"/>
      <c r="V668" s="256"/>
      <c r="W668" s="257"/>
      <c r="X668" s="230"/>
      <c r="Y668" s="230"/>
      <c r="Z668" s="230"/>
    </row>
    <row r="669" spans="1:26" ht="24.75" customHeight="1">
      <c r="A669" s="230"/>
      <c r="B669" s="230"/>
      <c r="C669" s="230"/>
      <c r="D669" s="230"/>
      <c r="E669" s="230"/>
      <c r="F669" s="230"/>
      <c r="G669" s="230"/>
      <c r="H669" s="230"/>
      <c r="I669" s="230"/>
      <c r="J669" s="230"/>
      <c r="K669" s="230"/>
      <c r="L669" s="242"/>
      <c r="M669" s="230"/>
      <c r="N669" s="230"/>
      <c r="O669" s="257"/>
      <c r="P669" s="230"/>
      <c r="Q669" s="242"/>
      <c r="R669" s="230"/>
      <c r="S669" s="250"/>
      <c r="T669" s="250"/>
      <c r="U669" s="230"/>
      <c r="V669" s="256"/>
      <c r="W669" s="257"/>
      <c r="X669" s="230"/>
      <c r="Y669" s="230"/>
      <c r="Z669" s="230"/>
    </row>
    <row r="670" spans="1:26" ht="24.75" customHeight="1">
      <c r="A670" s="230"/>
      <c r="B670" s="230"/>
      <c r="C670" s="230"/>
      <c r="D670" s="230"/>
      <c r="E670" s="230"/>
      <c r="F670" s="230"/>
      <c r="G670" s="230"/>
      <c r="H670" s="230"/>
      <c r="I670" s="230"/>
      <c r="J670" s="230"/>
      <c r="K670" s="230"/>
      <c r="L670" s="242"/>
      <c r="M670" s="230"/>
      <c r="N670" s="230"/>
      <c r="O670" s="257"/>
      <c r="P670" s="230"/>
      <c r="Q670" s="242"/>
      <c r="R670" s="230"/>
      <c r="S670" s="250"/>
      <c r="T670" s="250"/>
      <c r="U670" s="230"/>
      <c r="V670" s="256"/>
      <c r="W670" s="257"/>
      <c r="X670" s="230"/>
      <c r="Y670" s="230"/>
      <c r="Z670" s="230"/>
    </row>
    <row r="671" spans="1:26" ht="24.75" customHeight="1">
      <c r="A671" s="230"/>
      <c r="B671" s="230"/>
      <c r="C671" s="230"/>
      <c r="D671" s="230"/>
      <c r="E671" s="230"/>
      <c r="F671" s="230"/>
      <c r="G671" s="230"/>
      <c r="H671" s="230"/>
      <c r="I671" s="230"/>
      <c r="J671" s="230"/>
      <c r="K671" s="230"/>
      <c r="L671" s="242"/>
      <c r="M671" s="230"/>
      <c r="N671" s="230"/>
      <c r="O671" s="257"/>
      <c r="P671" s="230"/>
      <c r="Q671" s="242"/>
      <c r="R671" s="230"/>
      <c r="S671" s="250"/>
      <c r="T671" s="250"/>
      <c r="U671" s="230"/>
      <c r="V671" s="256"/>
      <c r="W671" s="257"/>
      <c r="X671" s="230"/>
      <c r="Y671" s="230"/>
      <c r="Z671" s="230"/>
    </row>
    <row r="672" spans="1:26" ht="24.75" customHeight="1">
      <c r="A672" s="230"/>
      <c r="B672" s="230"/>
      <c r="C672" s="230"/>
      <c r="D672" s="230"/>
      <c r="E672" s="230"/>
      <c r="F672" s="230"/>
      <c r="G672" s="230"/>
      <c r="H672" s="230"/>
      <c r="I672" s="230"/>
      <c r="J672" s="230"/>
      <c r="K672" s="230"/>
      <c r="L672" s="242"/>
      <c r="M672" s="230"/>
      <c r="N672" s="230"/>
      <c r="O672" s="257"/>
      <c r="P672" s="230"/>
      <c r="Q672" s="242"/>
      <c r="R672" s="230"/>
      <c r="S672" s="250"/>
      <c r="T672" s="250"/>
      <c r="U672" s="230"/>
      <c r="V672" s="256"/>
      <c r="W672" s="257"/>
      <c r="X672" s="230"/>
      <c r="Y672" s="230"/>
      <c r="Z672" s="230"/>
    </row>
    <row r="673" spans="1:26" ht="24.75" customHeight="1">
      <c r="A673" s="230"/>
      <c r="B673" s="230"/>
      <c r="C673" s="230"/>
      <c r="D673" s="230"/>
      <c r="E673" s="230"/>
      <c r="F673" s="230"/>
      <c r="G673" s="230"/>
      <c r="H673" s="230"/>
      <c r="I673" s="230"/>
      <c r="J673" s="230"/>
      <c r="K673" s="230"/>
      <c r="L673" s="242"/>
      <c r="M673" s="230"/>
      <c r="N673" s="230"/>
      <c r="O673" s="257"/>
      <c r="P673" s="230"/>
      <c r="Q673" s="242"/>
      <c r="R673" s="230"/>
      <c r="S673" s="250"/>
      <c r="T673" s="250"/>
      <c r="U673" s="230"/>
      <c r="V673" s="256"/>
      <c r="W673" s="257"/>
      <c r="X673" s="230"/>
      <c r="Y673" s="230"/>
      <c r="Z673" s="230"/>
    </row>
    <row r="674" spans="1:26" ht="24.75" customHeight="1">
      <c r="A674" s="230"/>
      <c r="B674" s="230"/>
      <c r="C674" s="230"/>
      <c r="D674" s="230"/>
      <c r="E674" s="230"/>
      <c r="F674" s="230"/>
      <c r="G674" s="230"/>
      <c r="H674" s="230"/>
      <c r="I674" s="230"/>
      <c r="J674" s="230"/>
      <c r="K674" s="230"/>
      <c r="L674" s="242"/>
      <c r="M674" s="230"/>
      <c r="N674" s="230"/>
      <c r="O674" s="257"/>
      <c r="P674" s="230"/>
      <c r="Q674" s="242"/>
      <c r="R674" s="230"/>
      <c r="S674" s="250"/>
      <c r="T674" s="250"/>
      <c r="U674" s="230"/>
      <c r="V674" s="256"/>
      <c r="W674" s="257"/>
      <c r="X674" s="230"/>
      <c r="Y674" s="230"/>
      <c r="Z674" s="230"/>
    </row>
    <row r="675" spans="1:26" ht="24.75" customHeight="1">
      <c r="A675" s="230"/>
      <c r="B675" s="230"/>
      <c r="C675" s="230"/>
      <c r="D675" s="230"/>
      <c r="E675" s="230"/>
      <c r="F675" s="230"/>
      <c r="G675" s="230"/>
      <c r="H675" s="230"/>
      <c r="I675" s="230"/>
      <c r="J675" s="230"/>
      <c r="K675" s="230"/>
      <c r="L675" s="242"/>
      <c r="M675" s="230"/>
      <c r="N675" s="230"/>
      <c r="O675" s="257"/>
      <c r="P675" s="230"/>
      <c r="Q675" s="242"/>
      <c r="R675" s="230"/>
      <c r="S675" s="250"/>
      <c r="T675" s="250"/>
      <c r="U675" s="230"/>
      <c r="V675" s="256"/>
      <c r="W675" s="257"/>
      <c r="X675" s="230"/>
      <c r="Y675" s="230"/>
      <c r="Z675" s="230"/>
    </row>
    <row r="676" spans="1:26" ht="24.75" customHeight="1">
      <c r="A676" s="230"/>
      <c r="B676" s="230"/>
      <c r="C676" s="230"/>
      <c r="D676" s="230"/>
      <c r="E676" s="230"/>
      <c r="F676" s="230"/>
      <c r="G676" s="230"/>
      <c r="H676" s="230"/>
      <c r="I676" s="230"/>
      <c r="J676" s="230"/>
      <c r="K676" s="230"/>
      <c r="L676" s="242"/>
      <c r="M676" s="230"/>
      <c r="N676" s="230"/>
      <c r="O676" s="257"/>
      <c r="P676" s="230"/>
      <c r="Q676" s="242"/>
      <c r="R676" s="230"/>
      <c r="S676" s="250"/>
      <c r="T676" s="250"/>
      <c r="U676" s="230"/>
      <c r="V676" s="256"/>
      <c r="W676" s="257"/>
      <c r="X676" s="230"/>
      <c r="Y676" s="230"/>
      <c r="Z676" s="230"/>
    </row>
    <row r="677" spans="1:26" ht="24.75" customHeight="1">
      <c r="A677" s="230"/>
      <c r="B677" s="230"/>
      <c r="C677" s="230"/>
      <c r="D677" s="230"/>
      <c r="E677" s="230"/>
      <c r="F677" s="230"/>
      <c r="G677" s="230"/>
      <c r="H677" s="230"/>
      <c r="I677" s="230"/>
      <c r="J677" s="230"/>
      <c r="K677" s="230"/>
      <c r="L677" s="242"/>
      <c r="M677" s="230"/>
      <c r="N677" s="230"/>
      <c r="O677" s="257"/>
      <c r="P677" s="230"/>
      <c r="Q677" s="242"/>
      <c r="R677" s="230"/>
      <c r="S677" s="250"/>
      <c r="T677" s="250"/>
      <c r="U677" s="230"/>
      <c r="V677" s="256"/>
      <c r="W677" s="257"/>
      <c r="X677" s="230"/>
      <c r="Y677" s="230"/>
      <c r="Z677" s="230"/>
    </row>
    <row r="678" spans="1:26" ht="24.75" customHeight="1">
      <c r="A678" s="230"/>
      <c r="B678" s="230"/>
      <c r="C678" s="230"/>
      <c r="D678" s="230"/>
      <c r="E678" s="230"/>
      <c r="F678" s="230"/>
      <c r="G678" s="230"/>
      <c r="H678" s="230"/>
      <c r="I678" s="230"/>
      <c r="J678" s="230"/>
      <c r="K678" s="230"/>
      <c r="L678" s="242"/>
      <c r="M678" s="230"/>
      <c r="N678" s="230"/>
      <c r="O678" s="257"/>
      <c r="P678" s="230"/>
      <c r="Q678" s="242"/>
      <c r="R678" s="230"/>
      <c r="S678" s="250"/>
      <c r="T678" s="250"/>
      <c r="U678" s="230"/>
      <c r="V678" s="256"/>
      <c r="W678" s="257"/>
      <c r="X678" s="230"/>
      <c r="Y678" s="230"/>
      <c r="Z678" s="230"/>
    </row>
    <row r="679" spans="1:26" ht="24.75" customHeight="1">
      <c r="A679" s="230"/>
      <c r="B679" s="230"/>
      <c r="C679" s="230"/>
      <c r="D679" s="230"/>
      <c r="E679" s="230"/>
      <c r="F679" s="230"/>
      <c r="G679" s="230"/>
      <c r="H679" s="230"/>
      <c r="I679" s="230"/>
      <c r="J679" s="230"/>
      <c r="K679" s="230"/>
      <c r="L679" s="242"/>
      <c r="M679" s="230"/>
      <c r="N679" s="230"/>
      <c r="O679" s="257"/>
      <c r="P679" s="230"/>
      <c r="Q679" s="242"/>
      <c r="R679" s="230"/>
      <c r="S679" s="250"/>
      <c r="T679" s="250"/>
      <c r="U679" s="230"/>
      <c r="V679" s="256"/>
      <c r="W679" s="257"/>
      <c r="X679" s="230"/>
      <c r="Y679" s="230"/>
      <c r="Z679" s="230"/>
    </row>
    <row r="680" spans="1:26" ht="24.75" customHeight="1">
      <c r="A680" s="230"/>
      <c r="B680" s="230"/>
      <c r="C680" s="230"/>
      <c r="D680" s="230"/>
      <c r="E680" s="230"/>
      <c r="F680" s="230"/>
      <c r="G680" s="230"/>
      <c r="H680" s="230"/>
      <c r="I680" s="230"/>
      <c r="J680" s="230"/>
      <c r="K680" s="230"/>
      <c r="L680" s="242"/>
      <c r="M680" s="230"/>
      <c r="N680" s="230"/>
      <c r="O680" s="257"/>
      <c r="P680" s="230"/>
      <c r="Q680" s="242"/>
      <c r="R680" s="230"/>
      <c r="S680" s="250"/>
      <c r="T680" s="250"/>
      <c r="U680" s="230"/>
      <c r="V680" s="256"/>
      <c r="W680" s="257"/>
      <c r="X680" s="230"/>
      <c r="Y680" s="230"/>
      <c r="Z680" s="230"/>
    </row>
    <row r="681" spans="1:26" ht="24.75" customHeight="1">
      <c r="A681" s="230"/>
      <c r="B681" s="230"/>
      <c r="C681" s="230"/>
      <c r="D681" s="230"/>
      <c r="E681" s="230"/>
      <c r="F681" s="230"/>
      <c r="G681" s="230"/>
      <c r="H681" s="230"/>
      <c r="I681" s="230"/>
      <c r="J681" s="230"/>
      <c r="K681" s="230"/>
      <c r="L681" s="242"/>
      <c r="M681" s="230"/>
      <c r="N681" s="230"/>
      <c r="O681" s="257"/>
      <c r="P681" s="230"/>
      <c r="Q681" s="242"/>
      <c r="R681" s="230"/>
      <c r="S681" s="250"/>
      <c r="T681" s="250"/>
      <c r="U681" s="230"/>
      <c r="V681" s="256"/>
      <c r="W681" s="257"/>
      <c r="X681" s="230"/>
      <c r="Y681" s="230"/>
      <c r="Z681" s="230"/>
    </row>
    <row r="682" spans="1:26" ht="24.75" customHeight="1">
      <c r="A682" s="230"/>
      <c r="B682" s="230"/>
      <c r="C682" s="230"/>
      <c r="D682" s="230"/>
      <c r="E682" s="230"/>
      <c r="F682" s="230"/>
      <c r="G682" s="230"/>
      <c r="H682" s="230"/>
      <c r="I682" s="230"/>
      <c r="J682" s="230"/>
      <c r="K682" s="230"/>
      <c r="L682" s="242"/>
      <c r="M682" s="230"/>
      <c r="N682" s="230"/>
      <c r="O682" s="257"/>
      <c r="P682" s="230"/>
      <c r="Q682" s="242"/>
      <c r="R682" s="230"/>
      <c r="S682" s="250"/>
      <c r="T682" s="250"/>
      <c r="U682" s="230"/>
      <c r="V682" s="256"/>
      <c r="W682" s="257"/>
      <c r="X682" s="230"/>
      <c r="Y682" s="230"/>
      <c r="Z682" s="230"/>
    </row>
    <row r="683" spans="1:26" ht="24.75" customHeight="1">
      <c r="A683" s="230"/>
      <c r="B683" s="230"/>
      <c r="C683" s="230"/>
      <c r="D683" s="230"/>
      <c r="E683" s="230"/>
      <c r="F683" s="230"/>
      <c r="G683" s="230"/>
      <c r="H683" s="230"/>
      <c r="I683" s="230"/>
      <c r="J683" s="230"/>
      <c r="K683" s="230"/>
      <c r="L683" s="242"/>
      <c r="M683" s="230"/>
      <c r="N683" s="230"/>
      <c r="O683" s="257"/>
      <c r="P683" s="230"/>
      <c r="Q683" s="242"/>
      <c r="R683" s="230"/>
      <c r="S683" s="250"/>
      <c r="T683" s="250"/>
      <c r="U683" s="230"/>
      <c r="V683" s="256"/>
      <c r="W683" s="257"/>
      <c r="X683" s="230"/>
      <c r="Y683" s="230"/>
      <c r="Z683" s="230"/>
    </row>
    <row r="684" spans="1:26" ht="24.75" customHeight="1">
      <c r="A684" s="230"/>
      <c r="B684" s="230"/>
      <c r="C684" s="230"/>
      <c r="D684" s="230"/>
      <c r="E684" s="230"/>
      <c r="F684" s="230"/>
      <c r="G684" s="230"/>
      <c r="H684" s="230"/>
      <c r="I684" s="230"/>
      <c r="J684" s="230"/>
      <c r="K684" s="230"/>
      <c r="L684" s="242"/>
      <c r="M684" s="230"/>
      <c r="N684" s="230"/>
      <c r="O684" s="257"/>
      <c r="P684" s="230"/>
      <c r="Q684" s="242"/>
      <c r="R684" s="230"/>
      <c r="S684" s="250"/>
      <c r="T684" s="250"/>
      <c r="U684" s="230"/>
      <c r="V684" s="256"/>
      <c r="W684" s="257"/>
      <c r="X684" s="230"/>
      <c r="Y684" s="230"/>
      <c r="Z684" s="230"/>
    </row>
    <row r="685" spans="1:26" ht="24.75" customHeight="1">
      <c r="A685" s="230"/>
      <c r="B685" s="230"/>
      <c r="C685" s="230"/>
      <c r="D685" s="230"/>
      <c r="E685" s="230"/>
      <c r="F685" s="230"/>
      <c r="G685" s="230"/>
      <c r="H685" s="230"/>
      <c r="I685" s="230"/>
      <c r="J685" s="230"/>
      <c r="K685" s="230"/>
      <c r="L685" s="242"/>
      <c r="M685" s="230"/>
      <c r="N685" s="230"/>
      <c r="O685" s="257"/>
      <c r="P685" s="230"/>
      <c r="Q685" s="242"/>
      <c r="R685" s="230"/>
      <c r="S685" s="250"/>
      <c r="T685" s="250"/>
      <c r="U685" s="230"/>
      <c r="V685" s="256"/>
      <c r="W685" s="257"/>
      <c r="X685" s="230"/>
      <c r="Y685" s="230"/>
      <c r="Z685" s="230"/>
    </row>
    <row r="686" spans="1:26" ht="24.75" customHeight="1">
      <c r="A686" s="230"/>
      <c r="B686" s="230"/>
      <c r="C686" s="230"/>
      <c r="D686" s="230"/>
      <c r="E686" s="230"/>
      <c r="F686" s="230"/>
      <c r="G686" s="230"/>
      <c r="H686" s="230"/>
      <c r="I686" s="230"/>
      <c r="J686" s="230"/>
      <c r="K686" s="230"/>
      <c r="L686" s="242"/>
      <c r="M686" s="230"/>
      <c r="N686" s="230"/>
      <c r="O686" s="257"/>
      <c r="P686" s="230"/>
      <c r="Q686" s="242"/>
      <c r="R686" s="230"/>
      <c r="S686" s="250"/>
      <c r="T686" s="250"/>
      <c r="U686" s="230"/>
      <c r="V686" s="256"/>
      <c r="W686" s="257"/>
      <c r="X686" s="230"/>
      <c r="Y686" s="230"/>
      <c r="Z686" s="230"/>
    </row>
    <row r="687" spans="1:26" ht="24.75" customHeight="1">
      <c r="A687" s="230"/>
      <c r="B687" s="230"/>
      <c r="C687" s="230"/>
      <c r="D687" s="230"/>
      <c r="E687" s="230"/>
      <c r="F687" s="230"/>
      <c r="G687" s="230"/>
      <c r="H687" s="230"/>
      <c r="I687" s="230"/>
      <c r="J687" s="230"/>
      <c r="K687" s="230"/>
      <c r="L687" s="242"/>
      <c r="M687" s="230"/>
      <c r="N687" s="230"/>
      <c r="O687" s="257"/>
      <c r="P687" s="230"/>
      <c r="Q687" s="242"/>
      <c r="R687" s="230"/>
      <c r="S687" s="250"/>
      <c r="T687" s="250"/>
      <c r="U687" s="230"/>
      <c r="V687" s="256"/>
      <c r="W687" s="257"/>
      <c r="X687" s="230"/>
      <c r="Y687" s="230"/>
      <c r="Z687" s="230"/>
    </row>
    <row r="688" spans="1:26" ht="24.75" customHeight="1">
      <c r="A688" s="230"/>
      <c r="B688" s="230"/>
      <c r="C688" s="230"/>
      <c r="D688" s="230"/>
      <c r="E688" s="230"/>
      <c r="F688" s="230"/>
      <c r="G688" s="230"/>
      <c r="H688" s="230"/>
      <c r="I688" s="230"/>
      <c r="J688" s="230"/>
      <c r="K688" s="230"/>
      <c r="L688" s="242"/>
      <c r="M688" s="230"/>
      <c r="N688" s="230"/>
      <c r="O688" s="257"/>
      <c r="P688" s="230"/>
      <c r="Q688" s="242"/>
      <c r="R688" s="230"/>
      <c r="S688" s="250"/>
      <c r="T688" s="250"/>
      <c r="U688" s="230"/>
      <c r="V688" s="256"/>
      <c r="W688" s="257"/>
      <c r="X688" s="230"/>
      <c r="Y688" s="230"/>
      <c r="Z688" s="230"/>
    </row>
    <row r="689" spans="1:26" ht="24.75" customHeight="1">
      <c r="A689" s="230"/>
      <c r="B689" s="230"/>
      <c r="C689" s="230"/>
      <c r="D689" s="230"/>
      <c r="E689" s="230"/>
      <c r="F689" s="230"/>
      <c r="G689" s="230"/>
      <c r="H689" s="230"/>
      <c r="I689" s="230"/>
      <c r="J689" s="230"/>
      <c r="K689" s="230"/>
      <c r="L689" s="242"/>
      <c r="M689" s="230"/>
      <c r="N689" s="230"/>
      <c r="O689" s="257"/>
      <c r="P689" s="230"/>
      <c r="Q689" s="242"/>
      <c r="R689" s="230"/>
      <c r="S689" s="250"/>
      <c r="T689" s="250"/>
      <c r="U689" s="230"/>
      <c r="V689" s="256"/>
      <c r="W689" s="257"/>
      <c r="X689" s="230"/>
      <c r="Y689" s="230"/>
      <c r="Z689" s="230"/>
    </row>
    <row r="690" spans="1:26" ht="24.75" customHeight="1">
      <c r="A690" s="230"/>
      <c r="B690" s="230"/>
      <c r="C690" s="230"/>
      <c r="D690" s="230"/>
      <c r="E690" s="230"/>
      <c r="F690" s="230"/>
      <c r="G690" s="230"/>
      <c r="H690" s="230"/>
      <c r="I690" s="230"/>
      <c r="J690" s="230"/>
      <c r="K690" s="230"/>
      <c r="L690" s="242"/>
      <c r="M690" s="230"/>
      <c r="N690" s="230"/>
      <c r="O690" s="257"/>
      <c r="P690" s="230"/>
      <c r="Q690" s="242"/>
      <c r="R690" s="230"/>
      <c r="S690" s="250"/>
      <c r="T690" s="250"/>
      <c r="U690" s="230"/>
      <c r="V690" s="256"/>
      <c r="W690" s="257"/>
      <c r="X690" s="230"/>
      <c r="Y690" s="230"/>
      <c r="Z690" s="230"/>
    </row>
    <row r="691" spans="1:26" ht="24.75" customHeight="1">
      <c r="A691" s="230"/>
      <c r="B691" s="230"/>
      <c r="C691" s="230"/>
      <c r="D691" s="230"/>
      <c r="E691" s="230"/>
      <c r="F691" s="230"/>
      <c r="G691" s="230"/>
      <c r="H691" s="230"/>
      <c r="I691" s="230"/>
      <c r="J691" s="230"/>
      <c r="K691" s="230"/>
      <c r="L691" s="242"/>
      <c r="M691" s="230"/>
      <c r="N691" s="230"/>
      <c r="O691" s="257"/>
      <c r="P691" s="230"/>
      <c r="Q691" s="242"/>
      <c r="R691" s="230"/>
      <c r="S691" s="250"/>
      <c r="T691" s="250"/>
      <c r="U691" s="230"/>
      <c r="V691" s="256"/>
      <c r="W691" s="257"/>
      <c r="X691" s="230"/>
      <c r="Y691" s="230"/>
      <c r="Z691" s="230"/>
    </row>
    <row r="692" spans="1:26" ht="24.75" customHeight="1">
      <c r="A692" s="230"/>
      <c r="B692" s="230"/>
      <c r="C692" s="230"/>
      <c r="D692" s="230"/>
      <c r="E692" s="230"/>
      <c r="F692" s="230"/>
      <c r="G692" s="230"/>
      <c r="H692" s="230"/>
      <c r="I692" s="230"/>
      <c r="J692" s="230"/>
      <c r="K692" s="230"/>
      <c r="L692" s="242"/>
      <c r="M692" s="230"/>
      <c r="N692" s="230"/>
      <c r="O692" s="257"/>
      <c r="P692" s="230"/>
      <c r="Q692" s="242"/>
      <c r="R692" s="230"/>
      <c r="S692" s="250"/>
      <c r="T692" s="250"/>
      <c r="U692" s="230"/>
      <c r="V692" s="256"/>
      <c r="W692" s="257"/>
      <c r="X692" s="230"/>
      <c r="Y692" s="230"/>
      <c r="Z692" s="230"/>
    </row>
    <row r="693" spans="1:26" ht="24.75" customHeight="1">
      <c r="A693" s="230"/>
      <c r="B693" s="230"/>
      <c r="C693" s="230"/>
      <c r="D693" s="230"/>
      <c r="E693" s="230"/>
      <c r="F693" s="230"/>
      <c r="G693" s="230"/>
      <c r="H693" s="230"/>
      <c r="I693" s="230"/>
      <c r="J693" s="230"/>
      <c r="K693" s="230"/>
      <c r="L693" s="242"/>
      <c r="M693" s="230"/>
      <c r="N693" s="230"/>
      <c r="O693" s="257"/>
      <c r="P693" s="230"/>
      <c r="Q693" s="242"/>
      <c r="R693" s="230"/>
      <c r="S693" s="250"/>
      <c r="T693" s="250"/>
      <c r="U693" s="230"/>
      <c r="V693" s="256"/>
      <c r="W693" s="257"/>
      <c r="X693" s="230"/>
      <c r="Y693" s="230"/>
      <c r="Z693" s="230"/>
    </row>
    <row r="694" spans="1:26" ht="24.75" customHeight="1">
      <c r="A694" s="230"/>
      <c r="B694" s="230"/>
      <c r="C694" s="230"/>
      <c r="D694" s="230"/>
      <c r="E694" s="230"/>
      <c r="F694" s="230"/>
      <c r="G694" s="230"/>
      <c r="H694" s="230"/>
      <c r="I694" s="230"/>
      <c r="J694" s="230"/>
      <c r="K694" s="230"/>
      <c r="L694" s="242"/>
      <c r="M694" s="230"/>
      <c r="N694" s="230"/>
      <c r="O694" s="257"/>
      <c r="P694" s="230"/>
      <c r="Q694" s="242"/>
      <c r="R694" s="230"/>
      <c r="S694" s="250"/>
      <c r="T694" s="250"/>
      <c r="U694" s="230"/>
      <c r="V694" s="256"/>
      <c r="W694" s="257"/>
      <c r="X694" s="230"/>
      <c r="Y694" s="230"/>
      <c r="Z694" s="230"/>
    </row>
    <row r="695" spans="1:26" ht="24.75" customHeight="1">
      <c r="A695" s="230"/>
      <c r="B695" s="230"/>
      <c r="C695" s="230"/>
      <c r="D695" s="230"/>
      <c r="E695" s="230"/>
      <c r="F695" s="230"/>
      <c r="G695" s="230"/>
      <c r="H695" s="230"/>
      <c r="I695" s="230"/>
      <c r="J695" s="230"/>
      <c r="K695" s="230"/>
      <c r="L695" s="242"/>
      <c r="M695" s="230"/>
      <c r="N695" s="230"/>
      <c r="O695" s="257"/>
      <c r="P695" s="230"/>
      <c r="Q695" s="242"/>
      <c r="R695" s="230"/>
      <c r="S695" s="250"/>
      <c r="T695" s="250"/>
      <c r="U695" s="230"/>
      <c r="V695" s="256"/>
      <c r="W695" s="257"/>
      <c r="X695" s="230"/>
      <c r="Y695" s="230"/>
      <c r="Z695" s="230"/>
    </row>
    <row r="696" spans="1:26" ht="24.75" customHeight="1">
      <c r="A696" s="230"/>
      <c r="B696" s="230"/>
      <c r="C696" s="230"/>
      <c r="D696" s="230"/>
      <c r="E696" s="230"/>
      <c r="F696" s="230"/>
      <c r="G696" s="230"/>
      <c r="H696" s="230"/>
      <c r="I696" s="230"/>
      <c r="J696" s="230"/>
      <c r="K696" s="230"/>
      <c r="L696" s="242"/>
      <c r="M696" s="230"/>
      <c r="N696" s="230"/>
      <c r="O696" s="257"/>
      <c r="P696" s="230"/>
      <c r="Q696" s="242"/>
      <c r="R696" s="230"/>
      <c r="S696" s="250"/>
      <c r="T696" s="250"/>
      <c r="U696" s="230"/>
      <c r="V696" s="256"/>
      <c r="W696" s="257"/>
      <c r="X696" s="230"/>
      <c r="Y696" s="230"/>
      <c r="Z696" s="230"/>
    </row>
    <row r="697" spans="1:26" ht="24.75" customHeight="1">
      <c r="A697" s="230"/>
      <c r="B697" s="230"/>
      <c r="C697" s="230"/>
      <c r="D697" s="230"/>
      <c r="E697" s="230"/>
      <c r="F697" s="230"/>
      <c r="G697" s="230"/>
      <c r="H697" s="230"/>
      <c r="I697" s="230"/>
      <c r="J697" s="230"/>
      <c r="K697" s="230"/>
      <c r="L697" s="242"/>
      <c r="M697" s="230"/>
      <c r="N697" s="230"/>
      <c r="O697" s="257"/>
      <c r="P697" s="230"/>
      <c r="Q697" s="242"/>
      <c r="R697" s="230"/>
      <c r="S697" s="250"/>
      <c r="T697" s="250"/>
      <c r="U697" s="230"/>
      <c r="V697" s="256"/>
      <c r="W697" s="257"/>
      <c r="X697" s="230"/>
      <c r="Y697" s="230"/>
      <c r="Z697" s="230"/>
    </row>
    <row r="698" spans="1:26" ht="24.75" customHeight="1">
      <c r="A698" s="230"/>
      <c r="B698" s="230"/>
      <c r="C698" s="230"/>
      <c r="D698" s="230"/>
      <c r="E698" s="230"/>
      <c r="F698" s="230"/>
      <c r="G698" s="230"/>
      <c r="H698" s="230"/>
      <c r="I698" s="230"/>
      <c r="J698" s="230"/>
      <c r="K698" s="230"/>
      <c r="L698" s="242"/>
      <c r="M698" s="230"/>
      <c r="N698" s="230"/>
      <c r="O698" s="257"/>
      <c r="P698" s="230"/>
      <c r="Q698" s="242"/>
      <c r="R698" s="230"/>
      <c r="S698" s="250"/>
      <c r="T698" s="250"/>
      <c r="U698" s="230"/>
      <c r="V698" s="256"/>
      <c r="W698" s="257"/>
      <c r="X698" s="230"/>
      <c r="Y698" s="230"/>
      <c r="Z698" s="230"/>
    </row>
    <row r="699" spans="1:26" ht="24.75" customHeight="1">
      <c r="A699" s="230"/>
      <c r="B699" s="230"/>
      <c r="C699" s="230"/>
      <c r="D699" s="230"/>
      <c r="E699" s="230"/>
      <c r="F699" s="230"/>
      <c r="G699" s="230"/>
      <c r="H699" s="230"/>
      <c r="I699" s="230"/>
      <c r="J699" s="230"/>
      <c r="K699" s="230"/>
      <c r="L699" s="242"/>
      <c r="M699" s="230"/>
      <c r="N699" s="230"/>
      <c r="O699" s="257"/>
      <c r="P699" s="230"/>
      <c r="Q699" s="242"/>
      <c r="R699" s="230"/>
      <c r="S699" s="250"/>
      <c r="T699" s="250"/>
      <c r="U699" s="230"/>
      <c r="V699" s="256"/>
      <c r="W699" s="257"/>
      <c r="X699" s="230"/>
      <c r="Y699" s="230"/>
      <c r="Z699" s="230"/>
    </row>
    <row r="700" spans="1:26" ht="24.75" customHeight="1">
      <c r="A700" s="230"/>
      <c r="B700" s="230"/>
      <c r="C700" s="230"/>
      <c r="D700" s="230"/>
      <c r="E700" s="230"/>
      <c r="F700" s="230"/>
      <c r="G700" s="230"/>
      <c r="H700" s="230"/>
      <c r="I700" s="230"/>
      <c r="J700" s="230"/>
      <c r="K700" s="230"/>
      <c r="L700" s="242"/>
      <c r="M700" s="230"/>
      <c r="N700" s="230"/>
      <c r="O700" s="257"/>
      <c r="P700" s="230"/>
      <c r="Q700" s="242"/>
      <c r="R700" s="230"/>
      <c r="S700" s="250"/>
      <c r="T700" s="250"/>
      <c r="U700" s="230"/>
      <c r="V700" s="256"/>
      <c r="W700" s="257"/>
      <c r="X700" s="230"/>
      <c r="Y700" s="230"/>
      <c r="Z700" s="230"/>
    </row>
    <row r="701" spans="1:26" ht="24.75" customHeight="1">
      <c r="A701" s="230"/>
      <c r="B701" s="230"/>
      <c r="C701" s="230"/>
      <c r="D701" s="230"/>
      <c r="E701" s="230"/>
      <c r="F701" s="230"/>
      <c r="G701" s="230"/>
      <c r="H701" s="230"/>
      <c r="I701" s="230"/>
      <c r="J701" s="230"/>
      <c r="K701" s="230"/>
      <c r="L701" s="242"/>
      <c r="M701" s="230"/>
      <c r="N701" s="230"/>
      <c r="O701" s="257"/>
      <c r="P701" s="230"/>
      <c r="Q701" s="242"/>
      <c r="R701" s="230"/>
      <c r="S701" s="250"/>
      <c r="T701" s="250"/>
      <c r="U701" s="230"/>
      <c r="V701" s="256"/>
      <c r="W701" s="257"/>
      <c r="X701" s="230"/>
      <c r="Y701" s="230"/>
      <c r="Z701" s="230"/>
    </row>
    <row r="702" spans="1:26" ht="24.75" customHeight="1">
      <c r="A702" s="230"/>
      <c r="B702" s="230"/>
      <c r="C702" s="230"/>
      <c r="D702" s="230"/>
      <c r="E702" s="230"/>
      <c r="F702" s="230"/>
      <c r="G702" s="230"/>
      <c r="H702" s="230"/>
      <c r="I702" s="230"/>
      <c r="J702" s="230"/>
      <c r="K702" s="230"/>
      <c r="L702" s="242"/>
      <c r="M702" s="230"/>
      <c r="N702" s="230"/>
      <c r="O702" s="257"/>
      <c r="P702" s="230"/>
      <c r="Q702" s="242"/>
      <c r="R702" s="230"/>
      <c r="S702" s="250"/>
      <c r="T702" s="250"/>
      <c r="U702" s="230"/>
      <c r="V702" s="256"/>
      <c r="W702" s="257"/>
      <c r="X702" s="230"/>
      <c r="Y702" s="230"/>
      <c r="Z702" s="230"/>
    </row>
    <row r="703" spans="1:26" ht="24.75" customHeight="1">
      <c r="A703" s="230"/>
      <c r="B703" s="230"/>
      <c r="C703" s="230"/>
      <c r="D703" s="230"/>
      <c r="E703" s="230"/>
      <c r="F703" s="230"/>
      <c r="G703" s="230"/>
      <c r="H703" s="230"/>
      <c r="I703" s="230"/>
      <c r="J703" s="230"/>
      <c r="K703" s="230"/>
      <c r="L703" s="242"/>
      <c r="M703" s="230"/>
      <c r="N703" s="230"/>
      <c r="O703" s="257"/>
      <c r="P703" s="230"/>
      <c r="Q703" s="242"/>
      <c r="R703" s="230"/>
      <c r="S703" s="250"/>
      <c r="T703" s="250"/>
      <c r="U703" s="230"/>
      <c r="V703" s="256"/>
      <c r="W703" s="257"/>
      <c r="X703" s="230"/>
      <c r="Y703" s="230"/>
      <c r="Z703" s="230"/>
    </row>
    <row r="704" spans="1:26" ht="24.75" customHeight="1">
      <c r="A704" s="230"/>
      <c r="B704" s="230"/>
      <c r="C704" s="230"/>
      <c r="D704" s="230"/>
      <c r="E704" s="230"/>
      <c r="F704" s="230"/>
      <c r="G704" s="230"/>
      <c r="H704" s="230"/>
      <c r="I704" s="230"/>
      <c r="J704" s="230"/>
      <c r="K704" s="230"/>
      <c r="L704" s="242"/>
      <c r="M704" s="230"/>
      <c r="N704" s="230"/>
      <c r="O704" s="257"/>
      <c r="P704" s="230"/>
      <c r="Q704" s="242"/>
      <c r="R704" s="230"/>
      <c r="S704" s="250"/>
      <c r="T704" s="250"/>
      <c r="U704" s="230"/>
      <c r="V704" s="256"/>
      <c r="W704" s="257"/>
      <c r="X704" s="230"/>
      <c r="Y704" s="230"/>
      <c r="Z704" s="230"/>
    </row>
    <row r="705" spans="1:26" ht="24.75" customHeight="1">
      <c r="A705" s="230"/>
      <c r="B705" s="230"/>
      <c r="C705" s="230"/>
      <c r="D705" s="230"/>
      <c r="E705" s="230"/>
      <c r="F705" s="230"/>
      <c r="G705" s="230"/>
      <c r="H705" s="230"/>
      <c r="I705" s="230"/>
      <c r="J705" s="230"/>
      <c r="K705" s="230"/>
      <c r="L705" s="242"/>
      <c r="M705" s="230"/>
      <c r="N705" s="230"/>
      <c r="O705" s="257"/>
      <c r="P705" s="230"/>
      <c r="Q705" s="242"/>
      <c r="R705" s="230"/>
      <c r="S705" s="250"/>
      <c r="T705" s="250"/>
      <c r="U705" s="230"/>
      <c r="V705" s="256"/>
      <c r="W705" s="257"/>
      <c r="X705" s="230"/>
      <c r="Y705" s="230"/>
      <c r="Z705" s="230"/>
    </row>
    <row r="706" spans="1:26" ht="24.75" customHeight="1">
      <c r="A706" s="230"/>
      <c r="B706" s="230"/>
      <c r="C706" s="230"/>
      <c r="D706" s="230"/>
      <c r="E706" s="230"/>
      <c r="F706" s="230"/>
      <c r="G706" s="230"/>
      <c r="H706" s="230"/>
      <c r="I706" s="230"/>
      <c r="J706" s="230"/>
      <c r="K706" s="230"/>
      <c r="L706" s="242"/>
      <c r="M706" s="230"/>
      <c r="N706" s="230"/>
      <c r="O706" s="257"/>
      <c r="P706" s="230"/>
      <c r="Q706" s="242"/>
      <c r="R706" s="230"/>
      <c r="S706" s="250"/>
      <c r="T706" s="250"/>
      <c r="U706" s="230"/>
      <c r="V706" s="256"/>
      <c r="W706" s="257"/>
      <c r="X706" s="230"/>
      <c r="Y706" s="230"/>
      <c r="Z706" s="230"/>
    </row>
    <row r="707" spans="1:26" ht="24.75" customHeight="1">
      <c r="A707" s="230"/>
      <c r="B707" s="230"/>
      <c r="C707" s="230"/>
      <c r="D707" s="230"/>
      <c r="E707" s="230"/>
      <c r="F707" s="230"/>
      <c r="G707" s="230"/>
      <c r="H707" s="230"/>
      <c r="I707" s="230"/>
      <c r="J707" s="230"/>
      <c r="K707" s="230"/>
      <c r="L707" s="242"/>
      <c r="M707" s="230"/>
      <c r="N707" s="230"/>
      <c r="O707" s="257"/>
      <c r="P707" s="230"/>
      <c r="Q707" s="242"/>
      <c r="R707" s="230"/>
      <c r="S707" s="250"/>
      <c r="T707" s="250"/>
      <c r="U707" s="230"/>
      <c r="V707" s="256"/>
      <c r="W707" s="257"/>
      <c r="X707" s="230"/>
      <c r="Y707" s="230"/>
      <c r="Z707" s="230"/>
    </row>
    <row r="708" spans="1:26" ht="24.75" customHeight="1">
      <c r="A708" s="230"/>
      <c r="B708" s="230"/>
      <c r="C708" s="230"/>
      <c r="D708" s="230"/>
      <c r="E708" s="230"/>
      <c r="F708" s="230"/>
      <c r="G708" s="230"/>
      <c r="H708" s="230"/>
      <c r="I708" s="230"/>
      <c r="J708" s="230"/>
      <c r="K708" s="230"/>
      <c r="L708" s="242"/>
      <c r="M708" s="230"/>
      <c r="N708" s="230"/>
      <c r="O708" s="257"/>
      <c r="P708" s="230"/>
      <c r="Q708" s="242"/>
      <c r="R708" s="230"/>
      <c r="S708" s="250"/>
      <c r="T708" s="250"/>
      <c r="U708" s="230"/>
      <c r="V708" s="256"/>
      <c r="W708" s="257"/>
      <c r="X708" s="230"/>
      <c r="Y708" s="230"/>
      <c r="Z708" s="230"/>
    </row>
    <row r="709" spans="1:26" ht="24.75" customHeight="1">
      <c r="A709" s="230"/>
      <c r="B709" s="230"/>
      <c r="C709" s="230"/>
      <c r="D709" s="230"/>
      <c r="E709" s="230"/>
      <c r="F709" s="230"/>
      <c r="G709" s="230"/>
      <c r="H709" s="230"/>
      <c r="I709" s="230"/>
      <c r="J709" s="230"/>
      <c r="K709" s="230"/>
      <c r="L709" s="242"/>
      <c r="M709" s="230"/>
      <c r="N709" s="230"/>
      <c r="O709" s="257"/>
      <c r="P709" s="230"/>
      <c r="Q709" s="242"/>
      <c r="R709" s="230"/>
      <c r="S709" s="250"/>
      <c r="T709" s="250"/>
      <c r="U709" s="230"/>
      <c r="V709" s="256"/>
      <c r="W709" s="257"/>
      <c r="X709" s="230"/>
      <c r="Y709" s="230"/>
      <c r="Z709" s="230"/>
    </row>
    <row r="710" spans="1:26" ht="24.75" customHeight="1">
      <c r="A710" s="230"/>
      <c r="B710" s="230"/>
      <c r="C710" s="230"/>
      <c r="D710" s="230"/>
      <c r="E710" s="230"/>
      <c r="F710" s="230"/>
      <c r="G710" s="230"/>
      <c r="H710" s="230"/>
      <c r="I710" s="230"/>
      <c r="J710" s="230"/>
      <c r="K710" s="230"/>
      <c r="L710" s="242"/>
      <c r="M710" s="230"/>
      <c r="N710" s="230"/>
      <c r="O710" s="257"/>
      <c r="P710" s="230"/>
      <c r="Q710" s="242"/>
      <c r="R710" s="230"/>
      <c r="S710" s="250"/>
      <c r="T710" s="250"/>
      <c r="U710" s="230"/>
      <c r="V710" s="256"/>
      <c r="W710" s="257"/>
      <c r="X710" s="230"/>
      <c r="Y710" s="230"/>
      <c r="Z710" s="230"/>
    </row>
    <row r="711" spans="1:26" ht="24.75" customHeight="1">
      <c r="A711" s="230"/>
      <c r="B711" s="230"/>
      <c r="C711" s="230"/>
      <c r="D711" s="230"/>
      <c r="E711" s="230"/>
      <c r="F711" s="230"/>
      <c r="G711" s="230"/>
      <c r="H711" s="230"/>
      <c r="I711" s="230"/>
      <c r="J711" s="230"/>
      <c r="K711" s="230"/>
      <c r="L711" s="242"/>
      <c r="M711" s="230"/>
      <c r="N711" s="230"/>
      <c r="O711" s="257"/>
      <c r="P711" s="230"/>
      <c r="Q711" s="242"/>
      <c r="R711" s="230"/>
      <c r="S711" s="250"/>
      <c r="T711" s="250"/>
      <c r="U711" s="230"/>
      <c r="V711" s="256"/>
      <c r="W711" s="257"/>
      <c r="X711" s="230"/>
      <c r="Y711" s="230"/>
      <c r="Z711" s="230"/>
    </row>
    <row r="712" spans="1:26" ht="24.75" customHeight="1">
      <c r="A712" s="230"/>
      <c r="B712" s="230"/>
      <c r="C712" s="230"/>
      <c r="D712" s="230"/>
      <c r="E712" s="230"/>
      <c r="F712" s="230"/>
      <c r="G712" s="230"/>
      <c r="H712" s="230"/>
      <c r="I712" s="230"/>
      <c r="J712" s="230"/>
      <c r="K712" s="230"/>
      <c r="L712" s="242"/>
      <c r="M712" s="230"/>
      <c r="N712" s="230"/>
      <c r="O712" s="257"/>
      <c r="P712" s="230"/>
      <c r="Q712" s="242"/>
      <c r="R712" s="230"/>
      <c r="S712" s="250"/>
      <c r="T712" s="250"/>
      <c r="U712" s="230"/>
      <c r="V712" s="256"/>
      <c r="W712" s="257"/>
      <c r="X712" s="230"/>
      <c r="Y712" s="230"/>
      <c r="Z712" s="230"/>
    </row>
    <row r="713" spans="1:26" ht="24.75" customHeight="1">
      <c r="A713" s="230"/>
      <c r="B713" s="230"/>
      <c r="C713" s="230"/>
      <c r="D713" s="230"/>
      <c r="E713" s="230"/>
      <c r="F713" s="230"/>
      <c r="G713" s="230"/>
      <c r="H713" s="230"/>
      <c r="I713" s="230"/>
      <c r="J713" s="230"/>
      <c r="K713" s="230"/>
      <c r="L713" s="242"/>
      <c r="M713" s="230"/>
      <c r="N713" s="230"/>
      <c r="O713" s="257"/>
      <c r="P713" s="230"/>
      <c r="Q713" s="242"/>
      <c r="R713" s="230"/>
      <c r="S713" s="250"/>
      <c r="T713" s="250"/>
      <c r="U713" s="230"/>
      <c r="V713" s="256"/>
      <c r="W713" s="257"/>
      <c r="X713" s="230"/>
      <c r="Y713" s="230"/>
      <c r="Z713" s="230"/>
    </row>
    <row r="714" spans="1:26" ht="24.75" customHeight="1">
      <c r="A714" s="230"/>
      <c r="B714" s="230"/>
      <c r="C714" s="230"/>
      <c r="D714" s="230"/>
      <c r="E714" s="230"/>
      <c r="F714" s="230"/>
      <c r="G714" s="230"/>
      <c r="H714" s="230"/>
      <c r="I714" s="230"/>
      <c r="J714" s="230"/>
      <c r="K714" s="230"/>
      <c r="L714" s="242"/>
      <c r="M714" s="230"/>
      <c r="N714" s="230"/>
      <c r="O714" s="257"/>
      <c r="P714" s="230"/>
      <c r="Q714" s="242"/>
      <c r="R714" s="230"/>
      <c r="S714" s="250"/>
      <c r="T714" s="250"/>
      <c r="U714" s="230"/>
      <c r="V714" s="256"/>
      <c r="W714" s="257"/>
      <c r="X714" s="230"/>
      <c r="Y714" s="230"/>
      <c r="Z714" s="230"/>
    </row>
    <row r="715" spans="1:26" ht="24.75" customHeight="1">
      <c r="A715" s="230"/>
      <c r="B715" s="230"/>
      <c r="C715" s="230"/>
      <c r="D715" s="230"/>
      <c r="E715" s="230"/>
      <c r="F715" s="230"/>
      <c r="G715" s="230"/>
      <c r="H715" s="230"/>
      <c r="I715" s="230"/>
      <c r="J715" s="230"/>
      <c r="K715" s="230"/>
      <c r="L715" s="242"/>
      <c r="M715" s="230"/>
      <c r="N715" s="230"/>
      <c r="O715" s="257"/>
      <c r="P715" s="230"/>
      <c r="Q715" s="242"/>
      <c r="R715" s="230"/>
      <c r="S715" s="250"/>
      <c r="T715" s="250"/>
      <c r="U715" s="230"/>
      <c r="V715" s="256"/>
      <c r="W715" s="257"/>
      <c r="X715" s="230"/>
      <c r="Y715" s="230"/>
      <c r="Z715" s="230"/>
    </row>
    <row r="716" spans="1:26" ht="24.75" customHeight="1">
      <c r="A716" s="230"/>
      <c r="B716" s="230"/>
      <c r="C716" s="230"/>
      <c r="D716" s="230"/>
      <c r="E716" s="230"/>
      <c r="F716" s="230"/>
      <c r="G716" s="230"/>
      <c r="H716" s="230"/>
      <c r="I716" s="230"/>
      <c r="J716" s="230"/>
      <c r="K716" s="230"/>
      <c r="L716" s="242"/>
      <c r="M716" s="230"/>
      <c r="N716" s="230"/>
      <c r="O716" s="257"/>
      <c r="P716" s="230"/>
      <c r="Q716" s="242"/>
      <c r="R716" s="230"/>
      <c r="S716" s="250"/>
      <c r="T716" s="250"/>
      <c r="U716" s="230"/>
      <c r="V716" s="256"/>
      <c r="W716" s="257"/>
      <c r="X716" s="230"/>
      <c r="Y716" s="230"/>
      <c r="Z716" s="230"/>
    </row>
    <row r="717" spans="1:26" ht="24.75" customHeight="1">
      <c r="A717" s="230"/>
      <c r="B717" s="230"/>
      <c r="C717" s="230"/>
      <c r="D717" s="230"/>
      <c r="E717" s="230"/>
      <c r="F717" s="230"/>
      <c r="G717" s="230"/>
      <c r="H717" s="230"/>
      <c r="I717" s="230"/>
      <c r="J717" s="230"/>
      <c r="K717" s="230"/>
      <c r="L717" s="242"/>
      <c r="M717" s="230"/>
      <c r="N717" s="230"/>
      <c r="O717" s="257"/>
      <c r="P717" s="230"/>
      <c r="Q717" s="242"/>
      <c r="R717" s="230"/>
      <c r="S717" s="250"/>
      <c r="T717" s="250"/>
      <c r="U717" s="230"/>
      <c r="V717" s="256"/>
      <c r="W717" s="257"/>
      <c r="X717" s="230"/>
      <c r="Y717" s="230"/>
      <c r="Z717" s="230"/>
    </row>
    <row r="718" spans="1:26" ht="24.75" customHeight="1">
      <c r="A718" s="230"/>
      <c r="B718" s="230"/>
      <c r="C718" s="230"/>
      <c r="D718" s="230"/>
      <c r="E718" s="230"/>
      <c r="F718" s="230"/>
      <c r="G718" s="230"/>
      <c r="H718" s="230"/>
      <c r="I718" s="230"/>
      <c r="J718" s="230"/>
      <c r="K718" s="230"/>
      <c r="L718" s="242"/>
      <c r="M718" s="230"/>
      <c r="N718" s="230"/>
      <c r="O718" s="257"/>
      <c r="P718" s="230"/>
      <c r="Q718" s="242"/>
      <c r="R718" s="230"/>
      <c r="S718" s="250"/>
      <c r="T718" s="250"/>
      <c r="U718" s="230"/>
      <c r="V718" s="256"/>
      <c r="W718" s="257"/>
      <c r="X718" s="230"/>
      <c r="Y718" s="230"/>
      <c r="Z718" s="230"/>
    </row>
    <row r="719" spans="1:26" ht="24.75" customHeight="1">
      <c r="A719" s="230"/>
      <c r="B719" s="230"/>
      <c r="C719" s="230"/>
      <c r="D719" s="230"/>
      <c r="E719" s="230"/>
      <c r="F719" s="230"/>
      <c r="G719" s="230"/>
      <c r="H719" s="230"/>
      <c r="I719" s="230"/>
      <c r="J719" s="230"/>
      <c r="K719" s="230"/>
      <c r="L719" s="242"/>
      <c r="M719" s="230"/>
      <c r="N719" s="230"/>
      <c r="O719" s="257"/>
      <c r="P719" s="230"/>
      <c r="Q719" s="242"/>
      <c r="R719" s="230"/>
      <c r="S719" s="250"/>
      <c r="T719" s="250"/>
      <c r="U719" s="230"/>
      <c r="V719" s="256"/>
      <c r="W719" s="257"/>
      <c r="X719" s="230"/>
      <c r="Y719" s="230"/>
      <c r="Z719" s="230"/>
    </row>
    <row r="720" spans="1:26" ht="24.75" customHeight="1">
      <c r="A720" s="230"/>
      <c r="B720" s="230"/>
      <c r="C720" s="230"/>
      <c r="D720" s="230"/>
      <c r="E720" s="230"/>
      <c r="F720" s="230"/>
      <c r="G720" s="230"/>
      <c r="H720" s="230"/>
      <c r="I720" s="230"/>
      <c r="J720" s="230"/>
      <c r="K720" s="230"/>
      <c r="L720" s="242"/>
      <c r="M720" s="230"/>
      <c r="N720" s="230"/>
      <c r="O720" s="257"/>
      <c r="P720" s="230"/>
      <c r="Q720" s="242"/>
      <c r="R720" s="230"/>
      <c r="S720" s="250"/>
      <c r="T720" s="250"/>
      <c r="U720" s="230"/>
      <c r="V720" s="256"/>
      <c r="W720" s="257"/>
      <c r="X720" s="230"/>
      <c r="Y720" s="230"/>
      <c r="Z720" s="230"/>
    </row>
    <row r="721" spans="1:26" ht="24.75" customHeight="1">
      <c r="A721" s="230"/>
      <c r="B721" s="230"/>
      <c r="C721" s="230"/>
      <c r="D721" s="230"/>
      <c r="E721" s="230"/>
      <c r="F721" s="230"/>
      <c r="G721" s="230"/>
      <c r="H721" s="230"/>
      <c r="I721" s="230"/>
      <c r="J721" s="230"/>
      <c r="K721" s="230"/>
      <c r="L721" s="242"/>
      <c r="M721" s="230"/>
      <c r="N721" s="230"/>
      <c r="O721" s="257"/>
      <c r="P721" s="230"/>
      <c r="Q721" s="242"/>
      <c r="R721" s="230"/>
      <c r="S721" s="250"/>
      <c r="T721" s="250"/>
      <c r="U721" s="230"/>
      <c r="V721" s="256"/>
      <c r="W721" s="257"/>
      <c r="X721" s="230"/>
      <c r="Y721" s="230"/>
      <c r="Z721" s="230"/>
    </row>
    <row r="722" spans="1:26" ht="24.75" customHeight="1">
      <c r="A722" s="230"/>
      <c r="B722" s="230"/>
      <c r="C722" s="230"/>
      <c r="D722" s="230"/>
      <c r="E722" s="230"/>
      <c r="F722" s="230"/>
      <c r="G722" s="230"/>
      <c r="H722" s="230"/>
      <c r="I722" s="230"/>
      <c r="J722" s="230"/>
      <c r="K722" s="230"/>
      <c r="L722" s="242"/>
      <c r="M722" s="230"/>
      <c r="N722" s="230"/>
      <c r="O722" s="257"/>
      <c r="P722" s="230"/>
      <c r="Q722" s="242"/>
      <c r="R722" s="230"/>
      <c r="S722" s="250"/>
      <c r="T722" s="250"/>
      <c r="U722" s="230"/>
      <c r="V722" s="256"/>
      <c r="W722" s="257"/>
      <c r="X722" s="230"/>
      <c r="Y722" s="230"/>
      <c r="Z722" s="230"/>
    </row>
    <row r="723" spans="1:26" ht="24.75" customHeight="1">
      <c r="A723" s="230"/>
      <c r="B723" s="230"/>
      <c r="C723" s="230"/>
      <c r="D723" s="230"/>
      <c r="E723" s="230"/>
      <c r="F723" s="230"/>
      <c r="G723" s="230"/>
      <c r="H723" s="230"/>
      <c r="I723" s="230"/>
      <c r="J723" s="230"/>
      <c r="K723" s="230"/>
      <c r="L723" s="242"/>
      <c r="M723" s="230"/>
      <c r="N723" s="230"/>
      <c r="O723" s="257"/>
      <c r="P723" s="230"/>
      <c r="Q723" s="242"/>
      <c r="R723" s="230"/>
      <c r="S723" s="250"/>
      <c r="T723" s="250"/>
      <c r="U723" s="230"/>
      <c r="V723" s="256"/>
      <c r="W723" s="257"/>
      <c r="X723" s="230"/>
      <c r="Y723" s="230"/>
      <c r="Z723" s="230"/>
    </row>
    <row r="724" spans="1:26" ht="24.75" customHeight="1">
      <c r="A724" s="230"/>
      <c r="B724" s="230"/>
      <c r="C724" s="230"/>
      <c r="D724" s="230"/>
      <c r="E724" s="230"/>
      <c r="F724" s="230"/>
      <c r="G724" s="230"/>
      <c r="H724" s="230"/>
      <c r="I724" s="230"/>
      <c r="J724" s="230"/>
      <c r="K724" s="230"/>
      <c r="L724" s="242"/>
      <c r="M724" s="230"/>
      <c r="N724" s="230"/>
      <c r="O724" s="257"/>
      <c r="P724" s="230"/>
      <c r="Q724" s="242"/>
      <c r="R724" s="230"/>
      <c r="S724" s="250"/>
      <c r="T724" s="250"/>
      <c r="U724" s="230"/>
      <c r="V724" s="256"/>
      <c r="W724" s="257"/>
      <c r="X724" s="230"/>
      <c r="Y724" s="230"/>
      <c r="Z724" s="230"/>
    </row>
    <row r="725" spans="1:26" ht="24.75" customHeight="1">
      <c r="A725" s="230"/>
      <c r="B725" s="230"/>
      <c r="C725" s="230"/>
      <c r="D725" s="230"/>
      <c r="E725" s="230"/>
      <c r="F725" s="230"/>
      <c r="G725" s="230"/>
      <c r="H725" s="230"/>
      <c r="I725" s="230"/>
      <c r="J725" s="230"/>
      <c r="K725" s="230"/>
      <c r="L725" s="242"/>
      <c r="M725" s="230"/>
      <c r="N725" s="230"/>
      <c r="O725" s="257"/>
      <c r="P725" s="230"/>
      <c r="Q725" s="242"/>
      <c r="R725" s="230"/>
      <c r="S725" s="250"/>
      <c r="T725" s="250"/>
      <c r="U725" s="230"/>
      <c r="V725" s="256"/>
      <c r="W725" s="257"/>
      <c r="X725" s="230"/>
      <c r="Y725" s="230"/>
      <c r="Z725" s="230"/>
    </row>
    <row r="726" spans="1:26" ht="24.75" customHeight="1">
      <c r="A726" s="230"/>
      <c r="B726" s="230"/>
      <c r="C726" s="230"/>
      <c r="D726" s="230"/>
      <c r="E726" s="230"/>
      <c r="F726" s="230"/>
      <c r="G726" s="230"/>
      <c r="H726" s="230"/>
      <c r="I726" s="230"/>
      <c r="J726" s="230"/>
      <c r="K726" s="230"/>
      <c r="L726" s="242"/>
      <c r="M726" s="230"/>
      <c r="N726" s="230"/>
      <c r="O726" s="257"/>
      <c r="P726" s="230"/>
      <c r="Q726" s="242"/>
      <c r="R726" s="230"/>
      <c r="S726" s="250"/>
      <c r="T726" s="250"/>
      <c r="U726" s="230"/>
      <c r="V726" s="256"/>
      <c r="W726" s="257"/>
      <c r="X726" s="230"/>
      <c r="Y726" s="230"/>
      <c r="Z726" s="230"/>
    </row>
    <row r="727" spans="1:26" ht="24.75" customHeight="1">
      <c r="A727" s="230"/>
      <c r="B727" s="230"/>
      <c r="C727" s="230"/>
      <c r="D727" s="230"/>
      <c r="E727" s="230"/>
      <c r="F727" s="230"/>
      <c r="G727" s="230"/>
      <c r="H727" s="230"/>
      <c r="I727" s="230"/>
      <c r="J727" s="230"/>
      <c r="K727" s="230"/>
      <c r="L727" s="242"/>
      <c r="M727" s="230"/>
      <c r="N727" s="230"/>
      <c r="O727" s="257"/>
      <c r="P727" s="230"/>
      <c r="Q727" s="242"/>
      <c r="R727" s="230"/>
      <c r="S727" s="250"/>
      <c r="T727" s="250"/>
      <c r="U727" s="230"/>
      <c r="V727" s="256"/>
      <c r="W727" s="257"/>
      <c r="X727" s="230"/>
      <c r="Y727" s="230"/>
      <c r="Z727" s="230"/>
    </row>
    <row r="728" spans="1:26" ht="24.75" customHeight="1">
      <c r="A728" s="230"/>
      <c r="B728" s="230"/>
      <c r="C728" s="230"/>
      <c r="D728" s="230"/>
      <c r="E728" s="230"/>
      <c r="F728" s="230"/>
      <c r="G728" s="230"/>
      <c r="H728" s="230"/>
      <c r="I728" s="230"/>
      <c r="J728" s="230"/>
      <c r="K728" s="230"/>
      <c r="L728" s="242"/>
      <c r="M728" s="230"/>
      <c r="N728" s="230"/>
      <c r="O728" s="257"/>
      <c r="P728" s="230"/>
      <c r="Q728" s="242"/>
      <c r="R728" s="230"/>
      <c r="S728" s="250"/>
      <c r="T728" s="250"/>
      <c r="U728" s="230"/>
      <c r="V728" s="256"/>
      <c r="W728" s="257"/>
      <c r="X728" s="230"/>
      <c r="Y728" s="230"/>
      <c r="Z728" s="230"/>
    </row>
    <row r="729" spans="1:26" ht="24.75" customHeight="1">
      <c r="A729" s="230"/>
      <c r="B729" s="230"/>
      <c r="C729" s="230"/>
      <c r="D729" s="230"/>
      <c r="E729" s="230"/>
      <c r="F729" s="230"/>
      <c r="G729" s="230"/>
      <c r="H729" s="230"/>
      <c r="I729" s="230"/>
      <c r="J729" s="230"/>
      <c r="K729" s="230"/>
      <c r="L729" s="242"/>
      <c r="M729" s="230"/>
      <c r="N729" s="230"/>
      <c r="O729" s="257"/>
      <c r="P729" s="230"/>
      <c r="Q729" s="242"/>
      <c r="R729" s="230"/>
      <c r="S729" s="250"/>
      <c r="T729" s="250"/>
      <c r="U729" s="230"/>
      <c r="V729" s="256"/>
      <c r="W729" s="257"/>
      <c r="X729" s="230"/>
      <c r="Y729" s="230"/>
      <c r="Z729" s="230"/>
    </row>
    <row r="730" spans="1:26" ht="24.75" customHeight="1">
      <c r="A730" s="230"/>
      <c r="B730" s="230"/>
      <c r="C730" s="230"/>
      <c r="D730" s="230"/>
      <c r="E730" s="230"/>
      <c r="F730" s="230"/>
      <c r="G730" s="230"/>
      <c r="H730" s="230"/>
      <c r="I730" s="230"/>
      <c r="J730" s="230"/>
      <c r="K730" s="230"/>
      <c r="L730" s="242"/>
      <c r="M730" s="230"/>
      <c r="N730" s="230"/>
      <c r="O730" s="257"/>
      <c r="P730" s="230"/>
      <c r="Q730" s="242"/>
      <c r="R730" s="230"/>
      <c r="S730" s="250"/>
      <c r="T730" s="250"/>
      <c r="U730" s="230"/>
      <c r="V730" s="256"/>
      <c r="W730" s="257"/>
      <c r="X730" s="230"/>
      <c r="Y730" s="230"/>
      <c r="Z730" s="230"/>
    </row>
    <row r="731" spans="1:26" ht="24.75" customHeight="1">
      <c r="A731" s="230"/>
      <c r="B731" s="230"/>
      <c r="C731" s="230"/>
      <c r="D731" s="230"/>
      <c r="E731" s="230"/>
      <c r="F731" s="230"/>
      <c r="G731" s="230"/>
      <c r="H731" s="230"/>
      <c r="I731" s="230"/>
      <c r="J731" s="230"/>
      <c r="K731" s="230"/>
      <c r="L731" s="242"/>
      <c r="M731" s="230"/>
      <c r="N731" s="230"/>
      <c r="O731" s="257"/>
      <c r="P731" s="230"/>
      <c r="Q731" s="242"/>
      <c r="R731" s="230"/>
      <c r="S731" s="250"/>
      <c r="T731" s="250"/>
      <c r="U731" s="230"/>
      <c r="V731" s="256"/>
      <c r="W731" s="257"/>
      <c r="X731" s="230"/>
      <c r="Y731" s="230"/>
      <c r="Z731" s="230"/>
    </row>
    <row r="732" spans="1:26" ht="24.75" customHeight="1">
      <c r="A732" s="230"/>
      <c r="B732" s="230"/>
      <c r="C732" s="230"/>
      <c r="D732" s="230"/>
      <c r="E732" s="230"/>
      <c r="F732" s="230"/>
      <c r="G732" s="230"/>
      <c r="H732" s="230"/>
      <c r="I732" s="230"/>
      <c r="J732" s="230"/>
      <c r="K732" s="230"/>
      <c r="L732" s="242"/>
      <c r="M732" s="230"/>
      <c r="N732" s="230"/>
      <c r="O732" s="257"/>
      <c r="P732" s="230"/>
      <c r="Q732" s="242"/>
      <c r="R732" s="230"/>
      <c r="S732" s="250"/>
      <c r="T732" s="250"/>
      <c r="U732" s="230"/>
      <c r="V732" s="256"/>
      <c r="W732" s="257"/>
      <c r="X732" s="230"/>
      <c r="Y732" s="230"/>
      <c r="Z732" s="230"/>
    </row>
    <row r="733" spans="1:26" ht="24.75" customHeight="1">
      <c r="A733" s="230"/>
      <c r="B733" s="230"/>
      <c r="C733" s="230"/>
      <c r="D733" s="230"/>
      <c r="E733" s="230"/>
      <c r="F733" s="230"/>
      <c r="G733" s="230"/>
      <c r="H733" s="230"/>
      <c r="I733" s="230"/>
      <c r="J733" s="230"/>
      <c r="K733" s="230"/>
      <c r="L733" s="242"/>
      <c r="M733" s="230"/>
      <c r="N733" s="230"/>
      <c r="O733" s="257"/>
      <c r="P733" s="230"/>
      <c r="Q733" s="242"/>
      <c r="R733" s="230"/>
      <c r="S733" s="250"/>
      <c r="T733" s="250"/>
      <c r="U733" s="230"/>
      <c r="V733" s="256"/>
      <c r="W733" s="257"/>
      <c r="X733" s="230"/>
      <c r="Y733" s="230"/>
      <c r="Z733" s="230"/>
    </row>
    <row r="734" spans="1:26" ht="24.75" customHeight="1">
      <c r="A734" s="230"/>
      <c r="B734" s="230"/>
      <c r="C734" s="230"/>
      <c r="D734" s="230"/>
      <c r="E734" s="230"/>
      <c r="F734" s="230"/>
      <c r="G734" s="230"/>
      <c r="H734" s="230"/>
      <c r="I734" s="230"/>
      <c r="J734" s="230"/>
      <c r="K734" s="230"/>
      <c r="L734" s="242"/>
      <c r="M734" s="230"/>
      <c r="N734" s="230"/>
      <c r="O734" s="257"/>
      <c r="P734" s="230"/>
      <c r="Q734" s="242"/>
      <c r="R734" s="230"/>
      <c r="S734" s="250"/>
      <c r="T734" s="250"/>
      <c r="U734" s="230"/>
      <c r="V734" s="256"/>
      <c r="W734" s="257"/>
      <c r="X734" s="230"/>
      <c r="Y734" s="230"/>
      <c r="Z734" s="230"/>
    </row>
    <row r="735" spans="1:26" ht="24.75" customHeight="1">
      <c r="A735" s="230"/>
      <c r="B735" s="230"/>
      <c r="C735" s="230"/>
      <c r="D735" s="230"/>
      <c r="E735" s="230"/>
      <c r="F735" s="230"/>
      <c r="G735" s="230"/>
      <c r="H735" s="230"/>
      <c r="I735" s="230"/>
      <c r="J735" s="230"/>
      <c r="K735" s="230"/>
      <c r="L735" s="242"/>
      <c r="M735" s="230"/>
      <c r="N735" s="230"/>
      <c r="O735" s="257"/>
      <c r="P735" s="230"/>
      <c r="Q735" s="242"/>
      <c r="R735" s="230"/>
      <c r="S735" s="250"/>
      <c r="T735" s="250"/>
      <c r="U735" s="230"/>
      <c r="V735" s="256"/>
      <c r="W735" s="257"/>
      <c r="X735" s="230"/>
      <c r="Y735" s="230"/>
      <c r="Z735" s="230"/>
    </row>
    <row r="736" spans="1:26" ht="24.75" customHeight="1">
      <c r="A736" s="230"/>
      <c r="B736" s="230"/>
      <c r="C736" s="230"/>
      <c r="D736" s="230"/>
      <c r="E736" s="230"/>
      <c r="F736" s="230"/>
      <c r="G736" s="230"/>
      <c r="H736" s="230"/>
      <c r="I736" s="230"/>
      <c r="J736" s="230"/>
      <c r="K736" s="230"/>
      <c r="L736" s="242"/>
      <c r="M736" s="230"/>
      <c r="N736" s="230"/>
      <c r="O736" s="257"/>
      <c r="P736" s="230"/>
      <c r="Q736" s="242"/>
      <c r="R736" s="230"/>
      <c r="S736" s="250"/>
      <c r="T736" s="250"/>
      <c r="U736" s="230"/>
      <c r="V736" s="256"/>
      <c r="W736" s="257"/>
      <c r="X736" s="230"/>
      <c r="Y736" s="230"/>
      <c r="Z736" s="230"/>
    </row>
    <row r="737" spans="1:26" ht="24.75" customHeight="1">
      <c r="A737" s="230"/>
      <c r="B737" s="230"/>
      <c r="C737" s="230"/>
      <c r="D737" s="230"/>
      <c r="E737" s="230"/>
      <c r="F737" s="230"/>
      <c r="G737" s="230"/>
      <c r="H737" s="230"/>
      <c r="I737" s="230"/>
      <c r="J737" s="230"/>
      <c r="K737" s="230"/>
      <c r="L737" s="242"/>
      <c r="M737" s="230"/>
      <c r="N737" s="230"/>
      <c r="O737" s="257"/>
      <c r="P737" s="230"/>
      <c r="Q737" s="242"/>
      <c r="R737" s="230"/>
      <c r="S737" s="250"/>
      <c r="T737" s="250"/>
      <c r="U737" s="230"/>
      <c r="V737" s="256"/>
      <c r="W737" s="257"/>
      <c r="X737" s="230"/>
      <c r="Y737" s="230"/>
      <c r="Z737" s="230"/>
    </row>
    <row r="738" spans="1:26" ht="24.75" customHeight="1">
      <c r="A738" s="230"/>
      <c r="B738" s="230"/>
      <c r="C738" s="230"/>
      <c r="D738" s="230"/>
      <c r="E738" s="230"/>
      <c r="F738" s="230"/>
      <c r="G738" s="230"/>
      <c r="H738" s="230"/>
      <c r="I738" s="230"/>
      <c r="J738" s="230"/>
      <c r="K738" s="230"/>
      <c r="L738" s="242"/>
      <c r="M738" s="230"/>
      <c r="N738" s="230"/>
      <c r="O738" s="257"/>
      <c r="P738" s="230"/>
      <c r="Q738" s="242"/>
      <c r="R738" s="230"/>
      <c r="S738" s="250"/>
      <c r="T738" s="250"/>
      <c r="U738" s="230"/>
      <c r="V738" s="256"/>
      <c r="W738" s="257"/>
      <c r="X738" s="230"/>
      <c r="Y738" s="230"/>
      <c r="Z738" s="230"/>
    </row>
    <row r="739" spans="1:26" ht="24.75" customHeight="1">
      <c r="A739" s="230"/>
      <c r="B739" s="230"/>
      <c r="C739" s="230"/>
      <c r="D739" s="230"/>
      <c r="E739" s="230"/>
      <c r="F739" s="230"/>
      <c r="G739" s="230"/>
      <c r="H739" s="230"/>
      <c r="I739" s="230"/>
      <c r="J739" s="230"/>
      <c r="K739" s="230"/>
      <c r="L739" s="242"/>
      <c r="M739" s="230"/>
      <c r="N739" s="230"/>
      <c r="O739" s="257"/>
      <c r="P739" s="230"/>
      <c r="Q739" s="242"/>
      <c r="R739" s="230"/>
      <c r="S739" s="250"/>
      <c r="T739" s="250"/>
      <c r="U739" s="230"/>
      <c r="V739" s="256"/>
      <c r="W739" s="257"/>
      <c r="X739" s="230"/>
      <c r="Y739" s="230"/>
      <c r="Z739" s="230"/>
    </row>
    <row r="740" spans="1:26" ht="24.75" customHeight="1">
      <c r="A740" s="230"/>
      <c r="B740" s="230"/>
      <c r="C740" s="230"/>
      <c r="D740" s="230"/>
      <c r="E740" s="230"/>
      <c r="F740" s="230"/>
      <c r="G740" s="230"/>
      <c r="H740" s="230"/>
      <c r="I740" s="230"/>
      <c r="J740" s="230"/>
      <c r="K740" s="230"/>
      <c r="L740" s="242"/>
      <c r="M740" s="230"/>
      <c r="N740" s="230"/>
      <c r="O740" s="257"/>
      <c r="P740" s="230"/>
      <c r="Q740" s="242"/>
      <c r="R740" s="230"/>
      <c r="S740" s="250"/>
      <c r="T740" s="250"/>
      <c r="U740" s="230"/>
      <c r="V740" s="256"/>
      <c r="W740" s="257"/>
      <c r="X740" s="230"/>
      <c r="Y740" s="230"/>
      <c r="Z740" s="230"/>
    </row>
    <row r="741" spans="1:26" ht="24.75" customHeight="1">
      <c r="A741" s="230"/>
      <c r="B741" s="230"/>
      <c r="C741" s="230"/>
      <c r="D741" s="230"/>
      <c r="E741" s="230"/>
      <c r="F741" s="230"/>
      <c r="G741" s="230"/>
      <c r="H741" s="230"/>
      <c r="I741" s="230"/>
      <c r="J741" s="230"/>
      <c r="K741" s="230"/>
      <c r="L741" s="242"/>
      <c r="M741" s="230"/>
      <c r="N741" s="230"/>
      <c r="O741" s="257"/>
      <c r="P741" s="230"/>
      <c r="Q741" s="242"/>
      <c r="R741" s="230"/>
      <c r="S741" s="250"/>
      <c r="T741" s="250"/>
      <c r="U741" s="230"/>
      <c r="V741" s="256"/>
      <c r="W741" s="257"/>
      <c r="X741" s="230"/>
      <c r="Y741" s="230"/>
      <c r="Z741" s="230"/>
    </row>
    <row r="742" spans="1:26" ht="24.75" customHeight="1">
      <c r="A742" s="230"/>
      <c r="B742" s="230"/>
      <c r="C742" s="230"/>
      <c r="D742" s="230"/>
      <c r="E742" s="230"/>
      <c r="F742" s="230"/>
      <c r="G742" s="230"/>
      <c r="H742" s="230"/>
      <c r="I742" s="230"/>
      <c r="J742" s="230"/>
      <c r="K742" s="230"/>
      <c r="L742" s="242"/>
      <c r="M742" s="230"/>
      <c r="N742" s="230"/>
      <c r="O742" s="257"/>
      <c r="P742" s="230"/>
      <c r="Q742" s="242"/>
      <c r="R742" s="230"/>
      <c r="S742" s="250"/>
      <c r="T742" s="250"/>
      <c r="U742" s="230"/>
      <c r="V742" s="256"/>
      <c r="W742" s="257"/>
      <c r="X742" s="230"/>
      <c r="Y742" s="230"/>
      <c r="Z742" s="230"/>
    </row>
    <row r="743" spans="1:26" ht="24.75" customHeight="1">
      <c r="A743" s="230"/>
      <c r="B743" s="230"/>
      <c r="C743" s="230"/>
      <c r="D743" s="230"/>
      <c r="E743" s="230"/>
      <c r="F743" s="230"/>
      <c r="G743" s="230"/>
      <c r="H743" s="230"/>
      <c r="I743" s="230"/>
      <c r="J743" s="230"/>
      <c r="K743" s="230"/>
      <c r="L743" s="242"/>
      <c r="M743" s="230"/>
      <c r="N743" s="230"/>
      <c r="O743" s="257"/>
      <c r="P743" s="230"/>
      <c r="Q743" s="242"/>
      <c r="R743" s="230"/>
      <c r="S743" s="250"/>
      <c r="T743" s="250"/>
      <c r="U743" s="230"/>
      <c r="V743" s="256"/>
      <c r="W743" s="257"/>
      <c r="X743" s="230"/>
      <c r="Y743" s="230"/>
      <c r="Z743" s="230"/>
    </row>
    <row r="744" spans="1:26" ht="24.75" customHeight="1">
      <c r="A744" s="230"/>
      <c r="B744" s="230"/>
      <c r="C744" s="230"/>
      <c r="D744" s="230"/>
      <c r="E744" s="230"/>
      <c r="F744" s="230"/>
      <c r="G744" s="230"/>
      <c r="H744" s="230"/>
      <c r="I744" s="230"/>
      <c r="J744" s="230"/>
      <c r="K744" s="230"/>
      <c r="L744" s="242"/>
      <c r="M744" s="230"/>
      <c r="N744" s="230"/>
      <c r="O744" s="257"/>
      <c r="P744" s="230"/>
      <c r="Q744" s="242"/>
      <c r="R744" s="230"/>
      <c r="S744" s="250"/>
      <c r="T744" s="250"/>
      <c r="U744" s="230"/>
      <c r="V744" s="256"/>
      <c r="W744" s="257"/>
      <c r="X744" s="230"/>
      <c r="Y744" s="230"/>
      <c r="Z744" s="230"/>
    </row>
    <row r="745" spans="1:26" ht="24.75" customHeight="1">
      <c r="A745" s="230"/>
      <c r="B745" s="230"/>
      <c r="C745" s="230"/>
      <c r="D745" s="230"/>
      <c r="E745" s="230"/>
      <c r="F745" s="230"/>
      <c r="G745" s="230"/>
      <c r="H745" s="230"/>
      <c r="I745" s="230"/>
      <c r="J745" s="230"/>
      <c r="K745" s="230"/>
      <c r="L745" s="242"/>
      <c r="M745" s="230"/>
      <c r="N745" s="230"/>
      <c r="O745" s="257"/>
      <c r="P745" s="230"/>
      <c r="Q745" s="242"/>
      <c r="R745" s="230"/>
      <c r="S745" s="250"/>
      <c r="T745" s="250"/>
      <c r="U745" s="230"/>
      <c r="V745" s="256"/>
      <c r="W745" s="257"/>
      <c r="X745" s="230"/>
      <c r="Y745" s="230"/>
      <c r="Z745" s="230"/>
    </row>
    <row r="746" spans="1:26" ht="24.75" customHeight="1">
      <c r="A746" s="230"/>
      <c r="B746" s="230"/>
      <c r="C746" s="230"/>
      <c r="D746" s="230"/>
      <c r="E746" s="230"/>
      <c r="F746" s="230"/>
      <c r="G746" s="230"/>
      <c r="H746" s="230"/>
      <c r="I746" s="230"/>
      <c r="J746" s="230"/>
      <c r="K746" s="230"/>
      <c r="L746" s="242"/>
      <c r="M746" s="230"/>
      <c r="N746" s="230"/>
      <c r="O746" s="257"/>
      <c r="P746" s="230"/>
      <c r="Q746" s="242"/>
      <c r="R746" s="230"/>
      <c r="S746" s="250"/>
      <c r="T746" s="250"/>
      <c r="U746" s="230"/>
      <c r="V746" s="256"/>
      <c r="W746" s="257"/>
      <c r="X746" s="230"/>
      <c r="Y746" s="230"/>
      <c r="Z746" s="230"/>
    </row>
    <row r="747" spans="1:26" ht="24.75" customHeight="1">
      <c r="A747" s="230"/>
      <c r="B747" s="230"/>
      <c r="C747" s="230"/>
      <c r="D747" s="230"/>
      <c r="E747" s="230"/>
      <c r="F747" s="230"/>
      <c r="G747" s="230"/>
      <c r="H747" s="230"/>
      <c r="I747" s="230"/>
      <c r="J747" s="230"/>
      <c r="K747" s="230"/>
      <c r="L747" s="242"/>
      <c r="M747" s="230"/>
      <c r="N747" s="230"/>
      <c r="O747" s="257"/>
      <c r="P747" s="230"/>
      <c r="Q747" s="242"/>
      <c r="R747" s="230"/>
      <c r="S747" s="250"/>
      <c r="T747" s="250"/>
      <c r="U747" s="230"/>
      <c r="V747" s="256"/>
      <c r="W747" s="257"/>
      <c r="X747" s="230"/>
      <c r="Y747" s="230"/>
      <c r="Z747" s="230"/>
    </row>
    <row r="748" spans="1:26" ht="24.75" customHeight="1">
      <c r="A748" s="230"/>
      <c r="B748" s="230"/>
      <c r="C748" s="230"/>
      <c r="D748" s="230"/>
      <c r="E748" s="230"/>
      <c r="F748" s="230"/>
      <c r="G748" s="230"/>
      <c r="H748" s="230"/>
      <c r="I748" s="230"/>
      <c r="J748" s="230"/>
      <c r="K748" s="230"/>
      <c r="L748" s="242"/>
      <c r="M748" s="230"/>
      <c r="N748" s="230"/>
      <c r="O748" s="257"/>
      <c r="P748" s="230"/>
      <c r="Q748" s="242"/>
      <c r="R748" s="230"/>
      <c r="S748" s="250"/>
      <c r="T748" s="250"/>
      <c r="U748" s="230"/>
      <c r="V748" s="256"/>
      <c r="W748" s="257"/>
      <c r="X748" s="230"/>
      <c r="Y748" s="230"/>
      <c r="Z748" s="230"/>
    </row>
    <row r="749" spans="1:26" ht="24.75" customHeight="1">
      <c r="A749" s="230"/>
      <c r="B749" s="230"/>
      <c r="C749" s="230"/>
      <c r="D749" s="230"/>
      <c r="E749" s="230"/>
      <c r="F749" s="230"/>
      <c r="G749" s="230"/>
      <c r="H749" s="230"/>
      <c r="I749" s="230"/>
      <c r="J749" s="230"/>
      <c r="K749" s="230"/>
      <c r="L749" s="242"/>
      <c r="M749" s="230"/>
      <c r="N749" s="230"/>
      <c r="O749" s="257"/>
      <c r="P749" s="230"/>
      <c r="Q749" s="242"/>
      <c r="R749" s="230"/>
      <c r="S749" s="250"/>
      <c r="T749" s="250"/>
      <c r="U749" s="230"/>
      <c r="V749" s="256"/>
      <c r="W749" s="257"/>
      <c r="X749" s="230"/>
      <c r="Y749" s="230"/>
      <c r="Z749" s="230"/>
    </row>
    <row r="750" spans="1:26" ht="24.75" customHeight="1">
      <c r="A750" s="230"/>
      <c r="B750" s="230"/>
      <c r="C750" s="230"/>
      <c r="D750" s="230"/>
      <c r="E750" s="230"/>
      <c r="F750" s="230"/>
      <c r="G750" s="230"/>
      <c r="H750" s="230"/>
      <c r="I750" s="230"/>
      <c r="J750" s="230"/>
      <c r="K750" s="230"/>
      <c r="L750" s="242"/>
      <c r="M750" s="230"/>
      <c r="N750" s="230"/>
      <c r="O750" s="257"/>
      <c r="P750" s="230"/>
      <c r="Q750" s="242"/>
      <c r="R750" s="230"/>
      <c r="S750" s="250"/>
      <c r="T750" s="250"/>
      <c r="U750" s="230"/>
      <c r="V750" s="256"/>
      <c r="W750" s="257"/>
      <c r="X750" s="230"/>
      <c r="Y750" s="230"/>
      <c r="Z750" s="230"/>
    </row>
    <row r="751" spans="1:26" ht="24.75" customHeight="1">
      <c r="A751" s="230"/>
      <c r="B751" s="230"/>
      <c r="C751" s="230"/>
      <c r="D751" s="230"/>
      <c r="E751" s="230"/>
      <c r="F751" s="230"/>
      <c r="G751" s="230"/>
      <c r="H751" s="230"/>
      <c r="I751" s="230"/>
      <c r="J751" s="230"/>
      <c r="K751" s="230"/>
      <c r="L751" s="242"/>
      <c r="M751" s="230"/>
      <c r="N751" s="230"/>
      <c r="O751" s="257"/>
      <c r="P751" s="230"/>
      <c r="Q751" s="242"/>
      <c r="R751" s="230"/>
      <c r="S751" s="250"/>
      <c r="T751" s="250"/>
      <c r="U751" s="230"/>
      <c r="V751" s="256"/>
      <c r="W751" s="257"/>
      <c r="X751" s="230"/>
      <c r="Y751" s="230"/>
      <c r="Z751" s="230"/>
    </row>
    <row r="752" spans="1:26" ht="24.75" customHeight="1">
      <c r="A752" s="230"/>
      <c r="B752" s="230"/>
      <c r="C752" s="230"/>
      <c r="D752" s="230"/>
      <c r="E752" s="230"/>
      <c r="F752" s="230"/>
      <c r="G752" s="230"/>
      <c r="H752" s="230"/>
      <c r="I752" s="230"/>
      <c r="J752" s="230"/>
      <c r="K752" s="230"/>
      <c r="L752" s="242"/>
      <c r="M752" s="230"/>
      <c r="N752" s="230"/>
      <c r="O752" s="257"/>
      <c r="P752" s="230"/>
      <c r="Q752" s="242"/>
      <c r="R752" s="230"/>
      <c r="S752" s="250"/>
      <c r="T752" s="250"/>
      <c r="U752" s="230"/>
      <c r="V752" s="256"/>
      <c r="W752" s="257"/>
      <c r="X752" s="230"/>
      <c r="Y752" s="230"/>
      <c r="Z752" s="230"/>
    </row>
    <row r="753" spans="1:26" ht="24.75" customHeight="1">
      <c r="A753" s="230"/>
      <c r="B753" s="230"/>
      <c r="C753" s="230"/>
      <c r="D753" s="230"/>
      <c r="E753" s="230"/>
      <c r="F753" s="230"/>
      <c r="G753" s="230"/>
      <c r="H753" s="230"/>
      <c r="I753" s="230"/>
      <c r="J753" s="230"/>
      <c r="K753" s="230"/>
      <c r="L753" s="242"/>
      <c r="M753" s="230"/>
      <c r="N753" s="230"/>
      <c r="O753" s="257"/>
      <c r="P753" s="230"/>
      <c r="Q753" s="242"/>
      <c r="R753" s="230"/>
      <c r="S753" s="250"/>
      <c r="T753" s="250"/>
      <c r="U753" s="230"/>
      <c r="V753" s="256"/>
      <c r="W753" s="257"/>
      <c r="X753" s="230"/>
      <c r="Y753" s="230"/>
      <c r="Z753" s="230"/>
    </row>
    <row r="754" spans="1:26" ht="24.75" customHeight="1">
      <c r="A754" s="230"/>
      <c r="B754" s="230"/>
      <c r="C754" s="230"/>
      <c r="D754" s="230"/>
      <c r="E754" s="230"/>
      <c r="F754" s="230"/>
      <c r="G754" s="230"/>
      <c r="H754" s="230"/>
      <c r="I754" s="230"/>
      <c r="J754" s="230"/>
      <c r="K754" s="230"/>
      <c r="L754" s="242"/>
      <c r="M754" s="230"/>
      <c r="N754" s="230"/>
      <c r="O754" s="257"/>
      <c r="P754" s="230"/>
      <c r="Q754" s="242"/>
      <c r="R754" s="230"/>
      <c r="S754" s="250"/>
      <c r="T754" s="250"/>
      <c r="U754" s="230"/>
      <c r="V754" s="256"/>
      <c r="W754" s="257"/>
      <c r="X754" s="230"/>
      <c r="Y754" s="230"/>
      <c r="Z754" s="230"/>
    </row>
    <row r="755" spans="1:26" ht="24.75" customHeight="1">
      <c r="A755" s="230"/>
      <c r="B755" s="230"/>
      <c r="C755" s="230"/>
      <c r="D755" s="230"/>
      <c r="E755" s="230"/>
      <c r="F755" s="230"/>
      <c r="G755" s="230"/>
      <c r="H755" s="230"/>
      <c r="I755" s="230"/>
      <c r="J755" s="230"/>
      <c r="K755" s="230"/>
      <c r="L755" s="242"/>
      <c r="M755" s="230"/>
      <c r="N755" s="230"/>
      <c r="O755" s="257"/>
      <c r="P755" s="230"/>
      <c r="Q755" s="242"/>
      <c r="R755" s="230"/>
      <c r="S755" s="250"/>
      <c r="T755" s="250"/>
      <c r="U755" s="230"/>
      <c r="V755" s="256"/>
      <c r="W755" s="257"/>
      <c r="X755" s="230"/>
      <c r="Y755" s="230"/>
      <c r="Z755" s="230"/>
    </row>
    <row r="756" spans="1:26" ht="24.75" customHeight="1">
      <c r="A756" s="230"/>
      <c r="B756" s="230"/>
      <c r="C756" s="230"/>
      <c r="D756" s="230"/>
      <c r="E756" s="230"/>
      <c r="F756" s="230"/>
      <c r="G756" s="230"/>
      <c r="H756" s="230"/>
      <c r="I756" s="230"/>
      <c r="J756" s="230"/>
      <c r="K756" s="230"/>
      <c r="L756" s="242"/>
      <c r="M756" s="230"/>
      <c r="N756" s="230"/>
      <c r="O756" s="257"/>
      <c r="P756" s="230"/>
      <c r="Q756" s="242"/>
      <c r="R756" s="230"/>
      <c r="S756" s="250"/>
      <c r="T756" s="250"/>
      <c r="U756" s="230"/>
      <c r="V756" s="256"/>
      <c r="W756" s="257"/>
      <c r="X756" s="230"/>
      <c r="Y756" s="230"/>
      <c r="Z756" s="230"/>
    </row>
    <row r="757" spans="1:26" ht="24.75" customHeight="1">
      <c r="A757" s="230"/>
      <c r="B757" s="230"/>
      <c r="C757" s="230"/>
      <c r="D757" s="230"/>
      <c r="E757" s="230"/>
      <c r="F757" s="230"/>
      <c r="G757" s="230"/>
      <c r="H757" s="230"/>
      <c r="I757" s="230"/>
      <c r="J757" s="230"/>
      <c r="K757" s="230"/>
      <c r="L757" s="242"/>
      <c r="M757" s="230"/>
      <c r="N757" s="230"/>
      <c r="O757" s="257"/>
      <c r="P757" s="230"/>
      <c r="Q757" s="242"/>
      <c r="R757" s="230"/>
      <c r="S757" s="250"/>
      <c r="T757" s="250"/>
      <c r="U757" s="230"/>
      <c r="V757" s="256"/>
      <c r="W757" s="257"/>
      <c r="X757" s="230"/>
      <c r="Y757" s="230"/>
      <c r="Z757" s="230"/>
    </row>
    <row r="758" spans="1:26" ht="24.75" customHeight="1">
      <c r="A758" s="230"/>
      <c r="B758" s="230"/>
      <c r="C758" s="230"/>
      <c r="D758" s="230"/>
      <c r="E758" s="230"/>
      <c r="F758" s="230"/>
      <c r="G758" s="230"/>
      <c r="H758" s="230"/>
      <c r="I758" s="230"/>
      <c r="J758" s="230"/>
      <c r="K758" s="230"/>
      <c r="L758" s="242"/>
      <c r="M758" s="230"/>
      <c r="N758" s="230"/>
      <c r="O758" s="257"/>
      <c r="P758" s="230"/>
      <c r="Q758" s="242"/>
      <c r="R758" s="230"/>
      <c r="S758" s="250"/>
      <c r="T758" s="250"/>
      <c r="U758" s="230"/>
      <c r="V758" s="256"/>
      <c r="W758" s="257"/>
      <c r="X758" s="230"/>
      <c r="Y758" s="230"/>
      <c r="Z758" s="230"/>
    </row>
    <row r="759" spans="1:26" ht="24.75" customHeight="1">
      <c r="A759" s="230"/>
      <c r="B759" s="230"/>
      <c r="C759" s="230"/>
      <c r="D759" s="230"/>
      <c r="E759" s="230"/>
      <c r="F759" s="230"/>
      <c r="G759" s="230"/>
      <c r="H759" s="230"/>
      <c r="I759" s="230"/>
      <c r="J759" s="230"/>
      <c r="K759" s="230"/>
      <c r="L759" s="242"/>
      <c r="M759" s="230"/>
      <c r="N759" s="230"/>
      <c r="O759" s="257"/>
      <c r="P759" s="230"/>
      <c r="Q759" s="242"/>
      <c r="R759" s="230"/>
      <c r="S759" s="250"/>
      <c r="T759" s="250"/>
      <c r="U759" s="230"/>
      <c r="V759" s="256"/>
      <c r="W759" s="257"/>
      <c r="X759" s="230"/>
      <c r="Y759" s="230"/>
      <c r="Z759" s="230"/>
    </row>
    <row r="760" spans="1:26" ht="24.75" customHeight="1">
      <c r="A760" s="230"/>
      <c r="B760" s="230"/>
      <c r="C760" s="230"/>
      <c r="D760" s="230"/>
      <c r="E760" s="230"/>
      <c r="F760" s="230"/>
      <c r="G760" s="230"/>
      <c r="H760" s="230"/>
      <c r="I760" s="230"/>
      <c r="J760" s="230"/>
      <c r="K760" s="230"/>
      <c r="L760" s="242"/>
      <c r="M760" s="230"/>
      <c r="N760" s="230"/>
      <c r="O760" s="257"/>
      <c r="P760" s="230"/>
      <c r="Q760" s="242"/>
      <c r="R760" s="230"/>
      <c r="S760" s="250"/>
      <c r="T760" s="250"/>
      <c r="U760" s="230"/>
      <c r="V760" s="256"/>
      <c r="W760" s="257"/>
      <c r="X760" s="230"/>
      <c r="Y760" s="230"/>
      <c r="Z760" s="230"/>
    </row>
    <row r="761" spans="1:26" ht="24.75" customHeight="1">
      <c r="A761" s="230"/>
      <c r="B761" s="230"/>
      <c r="C761" s="230"/>
      <c r="D761" s="230"/>
      <c r="E761" s="230"/>
      <c r="F761" s="230"/>
      <c r="G761" s="230"/>
      <c r="H761" s="230"/>
      <c r="I761" s="230"/>
      <c r="J761" s="230"/>
      <c r="K761" s="230"/>
      <c r="L761" s="242"/>
      <c r="M761" s="230"/>
      <c r="N761" s="230"/>
      <c r="O761" s="257"/>
      <c r="P761" s="230"/>
      <c r="Q761" s="242"/>
      <c r="R761" s="230"/>
      <c r="S761" s="250"/>
      <c r="T761" s="250"/>
      <c r="U761" s="230"/>
      <c r="V761" s="256"/>
      <c r="W761" s="257"/>
      <c r="X761" s="230"/>
      <c r="Y761" s="230"/>
      <c r="Z761" s="230"/>
    </row>
    <row r="762" spans="1:26" ht="24.75" customHeight="1">
      <c r="A762" s="230"/>
      <c r="B762" s="230"/>
      <c r="C762" s="230"/>
      <c r="D762" s="230"/>
      <c r="E762" s="230"/>
      <c r="F762" s="230"/>
      <c r="G762" s="230"/>
      <c r="H762" s="230"/>
      <c r="I762" s="230"/>
      <c r="J762" s="230"/>
      <c r="K762" s="230"/>
      <c r="L762" s="242"/>
      <c r="M762" s="230"/>
      <c r="N762" s="230"/>
      <c r="O762" s="257"/>
      <c r="P762" s="230"/>
      <c r="Q762" s="242"/>
      <c r="R762" s="230"/>
      <c r="S762" s="250"/>
      <c r="T762" s="250"/>
      <c r="U762" s="230"/>
      <c r="V762" s="256"/>
      <c r="W762" s="257"/>
      <c r="X762" s="230"/>
      <c r="Y762" s="230"/>
      <c r="Z762" s="230"/>
    </row>
    <row r="763" spans="1:26" ht="24.75" customHeight="1">
      <c r="A763" s="230"/>
      <c r="B763" s="230"/>
      <c r="C763" s="230"/>
      <c r="D763" s="230"/>
      <c r="E763" s="230"/>
      <c r="F763" s="230"/>
      <c r="G763" s="230"/>
      <c r="H763" s="230"/>
      <c r="I763" s="230"/>
      <c r="J763" s="230"/>
      <c r="K763" s="230"/>
      <c r="L763" s="242"/>
      <c r="M763" s="230"/>
      <c r="N763" s="230"/>
      <c r="O763" s="257"/>
      <c r="P763" s="230"/>
      <c r="Q763" s="242"/>
      <c r="R763" s="230"/>
      <c r="S763" s="250"/>
      <c r="T763" s="250"/>
      <c r="U763" s="230"/>
      <c r="V763" s="256"/>
      <c r="W763" s="257"/>
      <c r="X763" s="230"/>
      <c r="Y763" s="230"/>
      <c r="Z763" s="230"/>
    </row>
    <row r="764" spans="1:26" ht="24.75" customHeight="1">
      <c r="A764" s="230"/>
      <c r="B764" s="230"/>
      <c r="C764" s="230"/>
      <c r="D764" s="230"/>
      <c r="E764" s="230"/>
      <c r="F764" s="230"/>
      <c r="G764" s="230"/>
      <c r="H764" s="230"/>
      <c r="I764" s="230"/>
      <c r="J764" s="230"/>
      <c r="K764" s="230"/>
      <c r="L764" s="242"/>
      <c r="M764" s="230"/>
      <c r="N764" s="230"/>
      <c r="O764" s="257"/>
      <c r="P764" s="230"/>
      <c r="Q764" s="242"/>
      <c r="R764" s="230"/>
      <c r="S764" s="250"/>
      <c r="T764" s="250"/>
      <c r="U764" s="230"/>
      <c r="V764" s="256"/>
      <c r="W764" s="257"/>
      <c r="X764" s="230"/>
      <c r="Y764" s="230"/>
      <c r="Z764" s="230"/>
    </row>
    <row r="765" spans="1:26" ht="24.75" customHeight="1">
      <c r="A765" s="230"/>
      <c r="B765" s="230"/>
      <c r="C765" s="230"/>
      <c r="D765" s="230"/>
      <c r="E765" s="230"/>
      <c r="F765" s="230"/>
      <c r="G765" s="230"/>
      <c r="H765" s="230"/>
      <c r="I765" s="230"/>
      <c r="J765" s="230"/>
      <c r="K765" s="230"/>
      <c r="L765" s="242"/>
      <c r="M765" s="230"/>
      <c r="N765" s="230"/>
      <c r="O765" s="257"/>
      <c r="P765" s="230"/>
      <c r="Q765" s="242"/>
      <c r="R765" s="230"/>
      <c r="S765" s="250"/>
      <c r="T765" s="250"/>
      <c r="U765" s="230"/>
      <c r="V765" s="256"/>
      <c r="W765" s="257"/>
      <c r="X765" s="230"/>
      <c r="Y765" s="230"/>
      <c r="Z765" s="230"/>
    </row>
    <row r="766" spans="1:26" ht="24.75" customHeight="1">
      <c r="A766" s="230"/>
      <c r="B766" s="230"/>
      <c r="C766" s="230"/>
      <c r="D766" s="230"/>
      <c r="E766" s="230"/>
      <c r="F766" s="230"/>
      <c r="G766" s="230"/>
      <c r="H766" s="230"/>
      <c r="I766" s="230"/>
      <c r="J766" s="230"/>
      <c r="K766" s="230"/>
      <c r="L766" s="242"/>
      <c r="M766" s="230"/>
      <c r="N766" s="230"/>
      <c r="O766" s="257"/>
      <c r="P766" s="230"/>
      <c r="Q766" s="242"/>
      <c r="R766" s="230"/>
      <c r="S766" s="250"/>
      <c r="T766" s="250"/>
      <c r="U766" s="230"/>
      <c r="V766" s="256"/>
      <c r="W766" s="257"/>
      <c r="X766" s="230"/>
      <c r="Y766" s="230"/>
      <c r="Z766" s="230"/>
    </row>
    <row r="767" spans="1:26" ht="24.75" customHeight="1">
      <c r="A767" s="230"/>
      <c r="B767" s="230"/>
      <c r="C767" s="230"/>
      <c r="D767" s="230"/>
      <c r="E767" s="230"/>
      <c r="F767" s="230"/>
      <c r="G767" s="230"/>
      <c r="H767" s="230"/>
      <c r="I767" s="230"/>
      <c r="J767" s="230"/>
      <c r="K767" s="230"/>
      <c r="L767" s="242"/>
      <c r="M767" s="230"/>
      <c r="N767" s="230"/>
      <c r="O767" s="257"/>
      <c r="P767" s="230"/>
      <c r="Q767" s="242"/>
      <c r="R767" s="230"/>
      <c r="S767" s="250"/>
      <c r="T767" s="250"/>
      <c r="U767" s="230"/>
      <c r="V767" s="256"/>
      <c r="W767" s="257"/>
      <c r="X767" s="230"/>
      <c r="Y767" s="230"/>
      <c r="Z767" s="230"/>
    </row>
    <row r="768" spans="1:26" ht="24.75" customHeight="1">
      <c r="A768" s="230"/>
      <c r="B768" s="230"/>
      <c r="C768" s="230"/>
      <c r="D768" s="230"/>
      <c r="E768" s="230"/>
      <c r="F768" s="230"/>
      <c r="G768" s="230"/>
      <c r="H768" s="230"/>
      <c r="I768" s="230"/>
      <c r="J768" s="230"/>
      <c r="K768" s="230"/>
      <c r="L768" s="242"/>
      <c r="M768" s="230"/>
      <c r="N768" s="230"/>
      <c r="O768" s="257"/>
      <c r="P768" s="230"/>
      <c r="Q768" s="242"/>
      <c r="R768" s="230"/>
      <c r="S768" s="250"/>
      <c r="T768" s="250"/>
      <c r="U768" s="230"/>
      <c r="V768" s="256"/>
      <c r="W768" s="257"/>
      <c r="X768" s="230"/>
      <c r="Y768" s="230"/>
      <c r="Z768" s="230"/>
    </row>
    <row r="769" spans="1:26" ht="24.75" customHeight="1">
      <c r="A769" s="230"/>
      <c r="B769" s="230"/>
      <c r="C769" s="230"/>
      <c r="D769" s="230"/>
      <c r="E769" s="230"/>
      <c r="F769" s="230"/>
      <c r="G769" s="230"/>
      <c r="H769" s="230"/>
      <c r="I769" s="230"/>
      <c r="J769" s="230"/>
      <c r="K769" s="230"/>
      <c r="L769" s="242"/>
      <c r="M769" s="230"/>
      <c r="N769" s="230"/>
      <c r="O769" s="257"/>
      <c r="P769" s="230"/>
      <c r="Q769" s="242"/>
      <c r="R769" s="230"/>
      <c r="S769" s="250"/>
      <c r="T769" s="250"/>
      <c r="U769" s="230"/>
      <c r="V769" s="256"/>
      <c r="W769" s="257"/>
      <c r="X769" s="230"/>
      <c r="Y769" s="230"/>
      <c r="Z769" s="230"/>
    </row>
    <row r="770" spans="1:26" ht="24.75" customHeight="1">
      <c r="A770" s="230"/>
      <c r="B770" s="230"/>
      <c r="C770" s="230"/>
      <c r="D770" s="230"/>
      <c r="E770" s="230"/>
      <c r="F770" s="230"/>
      <c r="G770" s="230"/>
      <c r="H770" s="230"/>
      <c r="I770" s="230"/>
      <c r="J770" s="230"/>
      <c r="K770" s="230"/>
      <c r="L770" s="242"/>
      <c r="M770" s="230"/>
      <c r="N770" s="230"/>
      <c r="O770" s="257"/>
      <c r="P770" s="230"/>
      <c r="Q770" s="242"/>
      <c r="R770" s="230"/>
      <c r="S770" s="250"/>
      <c r="T770" s="250"/>
      <c r="U770" s="230"/>
      <c r="V770" s="256"/>
      <c r="W770" s="257"/>
      <c r="X770" s="230"/>
      <c r="Y770" s="230"/>
      <c r="Z770" s="230"/>
    </row>
    <row r="771" spans="1:26" ht="24.75" customHeight="1">
      <c r="A771" s="230"/>
      <c r="B771" s="230"/>
      <c r="C771" s="230"/>
      <c r="D771" s="230"/>
      <c r="E771" s="230"/>
      <c r="F771" s="230"/>
      <c r="G771" s="230"/>
      <c r="H771" s="230"/>
      <c r="I771" s="230"/>
      <c r="J771" s="230"/>
      <c r="K771" s="230"/>
      <c r="L771" s="242"/>
      <c r="M771" s="230"/>
      <c r="N771" s="230"/>
      <c r="O771" s="257"/>
      <c r="P771" s="230"/>
      <c r="Q771" s="242"/>
      <c r="R771" s="230"/>
      <c r="S771" s="250"/>
      <c r="T771" s="250"/>
      <c r="U771" s="230"/>
      <c r="V771" s="256"/>
      <c r="W771" s="257"/>
      <c r="X771" s="230"/>
      <c r="Y771" s="230"/>
      <c r="Z771" s="230"/>
    </row>
    <row r="772" spans="1:26" ht="24.75" customHeight="1">
      <c r="A772" s="230"/>
      <c r="B772" s="230"/>
      <c r="C772" s="230"/>
      <c r="D772" s="230"/>
      <c r="E772" s="230"/>
      <c r="F772" s="230"/>
      <c r="G772" s="230"/>
      <c r="H772" s="230"/>
      <c r="I772" s="230"/>
      <c r="J772" s="230"/>
      <c r="K772" s="230"/>
      <c r="L772" s="242"/>
      <c r="M772" s="230"/>
      <c r="N772" s="230"/>
      <c r="O772" s="257"/>
      <c r="P772" s="230"/>
      <c r="Q772" s="242"/>
      <c r="R772" s="230"/>
      <c r="S772" s="250"/>
      <c r="T772" s="250"/>
      <c r="U772" s="230"/>
      <c r="V772" s="256"/>
      <c r="W772" s="257"/>
      <c r="X772" s="230"/>
      <c r="Y772" s="230"/>
      <c r="Z772" s="230"/>
    </row>
    <row r="773" spans="1:26" ht="24.75" customHeight="1">
      <c r="A773" s="230"/>
      <c r="B773" s="230"/>
      <c r="C773" s="230"/>
      <c r="D773" s="230"/>
      <c r="E773" s="230"/>
      <c r="F773" s="230"/>
      <c r="G773" s="230"/>
      <c r="H773" s="230"/>
      <c r="I773" s="230"/>
      <c r="J773" s="230"/>
      <c r="K773" s="230"/>
      <c r="L773" s="242"/>
      <c r="M773" s="230"/>
      <c r="N773" s="230"/>
      <c r="O773" s="257"/>
      <c r="P773" s="230"/>
      <c r="Q773" s="242"/>
      <c r="R773" s="230"/>
      <c r="S773" s="250"/>
      <c r="T773" s="250"/>
      <c r="U773" s="230"/>
      <c r="V773" s="256"/>
      <c r="W773" s="257"/>
      <c r="X773" s="230"/>
      <c r="Y773" s="230"/>
      <c r="Z773" s="230"/>
    </row>
    <row r="774" spans="1:26" ht="24.75" customHeight="1">
      <c r="A774" s="230"/>
      <c r="B774" s="230"/>
      <c r="C774" s="230"/>
      <c r="D774" s="230"/>
      <c r="E774" s="230"/>
      <c r="F774" s="230"/>
      <c r="G774" s="230"/>
      <c r="H774" s="230"/>
      <c r="I774" s="230"/>
      <c r="J774" s="230"/>
      <c r="K774" s="230"/>
      <c r="L774" s="242"/>
      <c r="M774" s="230"/>
      <c r="N774" s="230"/>
      <c r="O774" s="257"/>
      <c r="P774" s="230"/>
      <c r="Q774" s="242"/>
      <c r="R774" s="230"/>
      <c r="S774" s="250"/>
      <c r="T774" s="250"/>
      <c r="U774" s="230"/>
      <c r="V774" s="256"/>
      <c r="W774" s="257"/>
      <c r="X774" s="230"/>
      <c r="Y774" s="230"/>
      <c r="Z774" s="230"/>
    </row>
    <row r="775" spans="1:26" ht="24.75" customHeight="1">
      <c r="A775" s="230"/>
      <c r="B775" s="230"/>
      <c r="C775" s="230"/>
      <c r="D775" s="230"/>
      <c r="E775" s="230"/>
      <c r="F775" s="230"/>
      <c r="G775" s="230"/>
      <c r="H775" s="230"/>
      <c r="I775" s="230"/>
      <c r="J775" s="230"/>
      <c r="K775" s="230"/>
      <c r="L775" s="242"/>
      <c r="M775" s="230"/>
      <c r="N775" s="230"/>
      <c r="O775" s="257"/>
      <c r="P775" s="230"/>
      <c r="Q775" s="242"/>
      <c r="R775" s="230"/>
      <c r="S775" s="250"/>
      <c r="T775" s="250"/>
      <c r="U775" s="230"/>
      <c r="V775" s="256"/>
      <c r="W775" s="257"/>
      <c r="X775" s="230"/>
      <c r="Y775" s="230"/>
      <c r="Z775" s="230"/>
    </row>
    <row r="776" spans="1:26" ht="24.75" customHeight="1">
      <c r="A776" s="230"/>
      <c r="B776" s="230"/>
      <c r="C776" s="230"/>
      <c r="D776" s="230"/>
      <c r="E776" s="230"/>
      <c r="F776" s="230"/>
      <c r="G776" s="230"/>
      <c r="H776" s="230"/>
      <c r="I776" s="230"/>
      <c r="J776" s="230"/>
      <c r="K776" s="230"/>
      <c r="L776" s="242"/>
      <c r="M776" s="230"/>
      <c r="N776" s="230"/>
      <c r="O776" s="257"/>
      <c r="P776" s="230"/>
      <c r="Q776" s="242"/>
      <c r="R776" s="230"/>
      <c r="S776" s="250"/>
      <c r="T776" s="250"/>
      <c r="U776" s="230"/>
      <c r="V776" s="256"/>
      <c r="W776" s="257"/>
      <c r="X776" s="230"/>
      <c r="Y776" s="230"/>
      <c r="Z776" s="230"/>
    </row>
    <row r="777" spans="1:26" ht="24.75" customHeight="1">
      <c r="A777" s="230"/>
      <c r="B777" s="230"/>
      <c r="C777" s="230"/>
      <c r="D777" s="230"/>
      <c r="E777" s="230"/>
      <c r="F777" s="230"/>
      <c r="G777" s="230"/>
      <c r="H777" s="230"/>
      <c r="I777" s="230"/>
      <c r="J777" s="230"/>
      <c r="K777" s="230"/>
      <c r="L777" s="242"/>
      <c r="M777" s="230"/>
      <c r="N777" s="230"/>
      <c r="O777" s="257"/>
      <c r="P777" s="230"/>
      <c r="Q777" s="242"/>
      <c r="R777" s="230"/>
      <c r="S777" s="250"/>
      <c r="T777" s="250"/>
      <c r="U777" s="230"/>
      <c r="V777" s="256"/>
      <c r="W777" s="257"/>
      <c r="X777" s="230"/>
      <c r="Y777" s="230"/>
      <c r="Z777" s="230"/>
    </row>
    <row r="778" spans="1:26" ht="24.75" customHeight="1">
      <c r="A778" s="230"/>
      <c r="B778" s="230"/>
      <c r="C778" s="230"/>
      <c r="D778" s="230"/>
      <c r="E778" s="230"/>
      <c r="F778" s="230"/>
      <c r="G778" s="230"/>
      <c r="H778" s="230"/>
      <c r="I778" s="230"/>
      <c r="J778" s="230"/>
      <c r="K778" s="230"/>
      <c r="L778" s="242"/>
      <c r="M778" s="230"/>
      <c r="N778" s="230"/>
      <c r="O778" s="257"/>
      <c r="P778" s="230"/>
      <c r="Q778" s="242"/>
      <c r="R778" s="230"/>
      <c r="S778" s="250"/>
      <c r="T778" s="250"/>
      <c r="U778" s="230"/>
      <c r="V778" s="256"/>
      <c r="W778" s="257"/>
      <c r="X778" s="230"/>
      <c r="Y778" s="230"/>
      <c r="Z778" s="230"/>
    </row>
    <row r="779" spans="1:26" ht="24.75" customHeight="1">
      <c r="A779" s="230"/>
      <c r="B779" s="230"/>
      <c r="C779" s="230"/>
      <c r="D779" s="230"/>
      <c r="E779" s="230"/>
      <c r="F779" s="230"/>
      <c r="G779" s="230"/>
      <c r="H779" s="230"/>
      <c r="I779" s="230"/>
      <c r="J779" s="230"/>
      <c r="K779" s="230"/>
      <c r="L779" s="242"/>
      <c r="M779" s="230"/>
      <c r="N779" s="230"/>
      <c r="O779" s="257"/>
      <c r="P779" s="230"/>
      <c r="Q779" s="242"/>
      <c r="R779" s="230"/>
      <c r="S779" s="250"/>
      <c r="T779" s="250"/>
      <c r="U779" s="230"/>
      <c r="V779" s="256"/>
      <c r="W779" s="257"/>
      <c r="X779" s="230"/>
      <c r="Y779" s="230"/>
      <c r="Z779" s="230"/>
    </row>
    <row r="780" spans="1:26" ht="24.75" customHeight="1">
      <c r="A780" s="230"/>
      <c r="B780" s="230"/>
      <c r="C780" s="230"/>
      <c r="D780" s="230"/>
      <c r="E780" s="230"/>
      <c r="F780" s="230"/>
      <c r="G780" s="230"/>
      <c r="H780" s="230"/>
      <c r="I780" s="230"/>
      <c r="J780" s="230"/>
      <c r="K780" s="230"/>
      <c r="L780" s="242"/>
      <c r="M780" s="230"/>
      <c r="N780" s="230"/>
      <c r="O780" s="257"/>
      <c r="P780" s="230"/>
      <c r="Q780" s="242"/>
      <c r="R780" s="230"/>
      <c r="S780" s="250"/>
      <c r="T780" s="250"/>
      <c r="U780" s="230"/>
      <c r="V780" s="256"/>
      <c r="W780" s="257"/>
      <c r="X780" s="230"/>
      <c r="Y780" s="230"/>
      <c r="Z780" s="230"/>
    </row>
    <row r="781" spans="1:26" ht="24.75" customHeight="1">
      <c r="A781" s="230"/>
      <c r="B781" s="230"/>
      <c r="C781" s="230"/>
      <c r="D781" s="230"/>
      <c r="E781" s="230"/>
      <c r="F781" s="230"/>
      <c r="G781" s="230"/>
      <c r="H781" s="230"/>
      <c r="I781" s="230"/>
      <c r="J781" s="230"/>
      <c r="K781" s="230"/>
      <c r="L781" s="242"/>
      <c r="M781" s="230"/>
      <c r="N781" s="230"/>
      <c r="O781" s="257"/>
      <c r="P781" s="230"/>
      <c r="Q781" s="242"/>
      <c r="R781" s="230"/>
      <c r="S781" s="250"/>
      <c r="T781" s="250"/>
      <c r="U781" s="230"/>
      <c r="V781" s="256"/>
      <c r="W781" s="257"/>
      <c r="X781" s="230"/>
      <c r="Y781" s="230"/>
      <c r="Z781" s="230"/>
    </row>
    <row r="782" spans="1:26" ht="24.75" customHeight="1">
      <c r="A782" s="230"/>
      <c r="B782" s="230"/>
      <c r="C782" s="230"/>
      <c r="D782" s="230"/>
      <c r="E782" s="230"/>
      <c r="F782" s="230"/>
      <c r="G782" s="230"/>
      <c r="H782" s="230"/>
      <c r="I782" s="230"/>
      <c r="J782" s="230"/>
      <c r="K782" s="230"/>
      <c r="L782" s="242"/>
      <c r="M782" s="230"/>
      <c r="N782" s="230"/>
      <c r="O782" s="257"/>
      <c r="P782" s="230"/>
      <c r="Q782" s="242"/>
      <c r="R782" s="230"/>
      <c r="S782" s="250"/>
      <c r="T782" s="250"/>
      <c r="U782" s="230"/>
      <c r="V782" s="256"/>
      <c r="W782" s="257"/>
      <c r="X782" s="230"/>
      <c r="Y782" s="230"/>
      <c r="Z782" s="230"/>
    </row>
    <row r="783" spans="1:26" ht="24.75" customHeight="1">
      <c r="A783" s="230"/>
      <c r="B783" s="230"/>
      <c r="C783" s="230"/>
      <c r="D783" s="230"/>
      <c r="E783" s="230"/>
      <c r="F783" s="230"/>
      <c r="G783" s="230"/>
      <c r="H783" s="230"/>
      <c r="I783" s="230"/>
      <c r="J783" s="230"/>
      <c r="K783" s="230"/>
      <c r="L783" s="242"/>
      <c r="M783" s="230"/>
      <c r="N783" s="230"/>
      <c r="O783" s="257"/>
      <c r="P783" s="230"/>
      <c r="Q783" s="242"/>
      <c r="R783" s="230"/>
      <c r="S783" s="250"/>
      <c r="T783" s="250"/>
      <c r="U783" s="230"/>
      <c r="V783" s="256"/>
      <c r="W783" s="257"/>
      <c r="X783" s="230"/>
      <c r="Y783" s="230"/>
      <c r="Z783" s="230"/>
    </row>
    <row r="784" spans="1:26" ht="24.75" customHeight="1">
      <c r="A784" s="230"/>
      <c r="B784" s="230"/>
      <c r="C784" s="230"/>
      <c r="D784" s="230"/>
      <c r="E784" s="230"/>
      <c r="F784" s="230"/>
      <c r="G784" s="230"/>
      <c r="H784" s="230"/>
      <c r="I784" s="230"/>
      <c r="J784" s="230"/>
      <c r="K784" s="230"/>
      <c r="L784" s="242"/>
      <c r="M784" s="230"/>
      <c r="N784" s="230"/>
      <c r="O784" s="257"/>
      <c r="P784" s="230"/>
      <c r="Q784" s="242"/>
      <c r="R784" s="230"/>
      <c r="S784" s="250"/>
      <c r="T784" s="250"/>
      <c r="U784" s="230"/>
      <c r="V784" s="256"/>
      <c r="W784" s="257"/>
      <c r="X784" s="230"/>
      <c r="Y784" s="230"/>
      <c r="Z784" s="230"/>
    </row>
    <row r="785" spans="1:26" ht="24.75" customHeight="1">
      <c r="A785" s="230"/>
      <c r="B785" s="230"/>
      <c r="C785" s="230"/>
      <c r="D785" s="230"/>
      <c r="E785" s="230"/>
      <c r="F785" s="230"/>
      <c r="G785" s="230"/>
      <c r="H785" s="230"/>
      <c r="I785" s="230"/>
      <c r="J785" s="230"/>
      <c r="K785" s="230"/>
      <c r="L785" s="242"/>
      <c r="M785" s="230"/>
      <c r="N785" s="230"/>
      <c r="O785" s="257"/>
      <c r="P785" s="230"/>
      <c r="Q785" s="242"/>
      <c r="R785" s="230"/>
      <c r="S785" s="250"/>
      <c r="T785" s="250"/>
      <c r="U785" s="230"/>
      <c r="V785" s="256"/>
      <c r="W785" s="257"/>
      <c r="X785" s="230"/>
      <c r="Y785" s="230"/>
      <c r="Z785" s="230"/>
    </row>
    <row r="786" spans="1:26" ht="24.75" customHeight="1">
      <c r="A786" s="230"/>
      <c r="B786" s="230"/>
      <c r="C786" s="230"/>
      <c r="D786" s="230"/>
      <c r="E786" s="230"/>
      <c r="F786" s="230"/>
      <c r="G786" s="230"/>
      <c r="H786" s="230"/>
      <c r="I786" s="230"/>
      <c r="J786" s="230"/>
      <c r="K786" s="230"/>
      <c r="L786" s="242"/>
      <c r="M786" s="230"/>
      <c r="N786" s="230"/>
      <c r="O786" s="257"/>
      <c r="P786" s="230"/>
      <c r="Q786" s="242"/>
      <c r="R786" s="230"/>
      <c r="S786" s="250"/>
      <c r="T786" s="250"/>
      <c r="U786" s="230"/>
      <c r="V786" s="256"/>
      <c r="W786" s="257"/>
      <c r="X786" s="230"/>
      <c r="Y786" s="230"/>
      <c r="Z786" s="230"/>
    </row>
    <row r="787" spans="1:26" ht="24.75" customHeight="1">
      <c r="A787" s="230"/>
      <c r="B787" s="230"/>
      <c r="C787" s="230"/>
      <c r="D787" s="230"/>
      <c r="E787" s="230"/>
      <c r="F787" s="230"/>
      <c r="G787" s="230"/>
      <c r="H787" s="230"/>
      <c r="I787" s="230"/>
      <c r="J787" s="230"/>
      <c r="K787" s="230"/>
      <c r="L787" s="242"/>
      <c r="M787" s="230"/>
      <c r="N787" s="230"/>
      <c r="O787" s="257"/>
      <c r="P787" s="230"/>
      <c r="Q787" s="242"/>
      <c r="R787" s="230"/>
      <c r="S787" s="250"/>
      <c r="T787" s="250"/>
      <c r="U787" s="230"/>
      <c r="V787" s="256"/>
      <c r="W787" s="257"/>
      <c r="X787" s="230"/>
      <c r="Y787" s="230"/>
      <c r="Z787" s="230"/>
    </row>
    <row r="788" spans="1:26" ht="24.75" customHeight="1">
      <c r="A788" s="230"/>
      <c r="B788" s="230"/>
      <c r="C788" s="230"/>
      <c r="D788" s="230"/>
      <c r="E788" s="230"/>
      <c r="F788" s="230"/>
      <c r="G788" s="230"/>
      <c r="H788" s="230"/>
      <c r="I788" s="230"/>
      <c r="J788" s="230"/>
      <c r="K788" s="230"/>
      <c r="L788" s="242"/>
      <c r="M788" s="230"/>
      <c r="N788" s="230"/>
      <c r="O788" s="257"/>
      <c r="P788" s="230"/>
      <c r="Q788" s="242"/>
      <c r="R788" s="230"/>
      <c r="S788" s="250"/>
      <c r="T788" s="250"/>
      <c r="U788" s="230"/>
      <c r="V788" s="256"/>
      <c r="W788" s="257"/>
      <c r="X788" s="230"/>
      <c r="Y788" s="230"/>
      <c r="Z788" s="230"/>
    </row>
    <row r="789" spans="1:26" ht="24.75" customHeight="1">
      <c r="A789" s="230"/>
      <c r="B789" s="230"/>
      <c r="C789" s="230"/>
      <c r="D789" s="230"/>
      <c r="E789" s="230"/>
      <c r="F789" s="230"/>
      <c r="G789" s="230"/>
      <c r="H789" s="230"/>
      <c r="I789" s="230"/>
      <c r="J789" s="230"/>
      <c r="K789" s="230"/>
      <c r="L789" s="242"/>
      <c r="M789" s="230"/>
      <c r="N789" s="230"/>
      <c r="O789" s="257"/>
      <c r="P789" s="230"/>
      <c r="Q789" s="242"/>
      <c r="R789" s="230"/>
      <c r="S789" s="250"/>
      <c r="T789" s="250"/>
      <c r="U789" s="230"/>
      <c r="V789" s="256"/>
      <c r="W789" s="257"/>
      <c r="X789" s="230"/>
      <c r="Y789" s="230"/>
      <c r="Z789" s="230"/>
    </row>
    <row r="790" spans="1:26" ht="24.75" customHeight="1">
      <c r="A790" s="230"/>
      <c r="B790" s="230"/>
      <c r="C790" s="230"/>
      <c r="D790" s="230"/>
      <c r="E790" s="230"/>
      <c r="F790" s="230"/>
      <c r="G790" s="230"/>
      <c r="H790" s="230"/>
      <c r="I790" s="230"/>
      <c r="J790" s="230"/>
      <c r="K790" s="230"/>
      <c r="L790" s="242"/>
      <c r="M790" s="230"/>
      <c r="N790" s="230"/>
      <c r="O790" s="257"/>
      <c r="P790" s="230"/>
      <c r="Q790" s="242"/>
      <c r="R790" s="230"/>
      <c r="S790" s="250"/>
      <c r="T790" s="250"/>
      <c r="U790" s="230"/>
      <c r="V790" s="256"/>
      <c r="W790" s="257"/>
      <c r="X790" s="230"/>
      <c r="Y790" s="230"/>
      <c r="Z790" s="230"/>
    </row>
    <row r="791" spans="1:26" ht="24.75" customHeight="1">
      <c r="A791" s="230"/>
      <c r="B791" s="230"/>
      <c r="C791" s="230"/>
      <c r="D791" s="230"/>
      <c r="E791" s="230"/>
      <c r="F791" s="230"/>
      <c r="G791" s="230"/>
      <c r="H791" s="230"/>
      <c r="I791" s="230"/>
      <c r="J791" s="230"/>
      <c r="K791" s="230"/>
      <c r="L791" s="242"/>
      <c r="M791" s="230"/>
      <c r="N791" s="230"/>
      <c r="O791" s="257"/>
      <c r="P791" s="230"/>
      <c r="Q791" s="242"/>
      <c r="R791" s="230"/>
      <c r="S791" s="250"/>
      <c r="T791" s="250"/>
      <c r="U791" s="230"/>
      <c r="V791" s="256"/>
      <c r="W791" s="257"/>
      <c r="X791" s="230"/>
      <c r="Y791" s="230"/>
      <c r="Z791" s="230"/>
    </row>
    <row r="792" spans="1:26" ht="24.75" customHeight="1">
      <c r="A792" s="230"/>
      <c r="B792" s="230"/>
      <c r="C792" s="230"/>
      <c r="D792" s="230"/>
      <c r="E792" s="230"/>
      <c r="F792" s="230"/>
      <c r="G792" s="230"/>
      <c r="H792" s="230"/>
      <c r="I792" s="230"/>
      <c r="J792" s="230"/>
      <c r="K792" s="230"/>
      <c r="L792" s="242"/>
      <c r="M792" s="230"/>
      <c r="N792" s="230"/>
      <c r="O792" s="257"/>
      <c r="P792" s="230"/>
      <c r="Q792" s="242"/>
      <c r="R792" s="230"/>
      <c r="S792" s="250"/>
      <c r="T792" s="250"/>
      <c r="U792" s="230"/>
      <c r="V792" s="256"/>
      <c r="W792" s="257"/>
      <c r="X792" s="230"/>
      <c r="Y792" s="230"/>
      <c r="Z792" s="230"/>
    </row>
    <row r="793" spans="1:26" ht="24.75" customHeight="1">
      <c r="A793" s="230"/>
      <c r="B793" s="230"/>
      <c r="C793" s="230"/>
      <c r="D793" s="230"/>
      <c r="E793" s="230"/>
      <c r="F793" s="230"/>
      <c r="G793" s="230"/>
      <c r="H793" s="230"/>
      <c r="I793" s="230"/>
      <c r="J793" s="230"/>
      <c r="K793" s="230"/>
      <c r="L793" s="242"/>
      <c r="M793" s="230"/>
      <c r="N793" s="230"/>
      <c r="O793" s="257"/>
      <c r="P793" s="230"/>
      <c r="Q793" s="242"/>
      <c r="R793" s="230"/>
      <c r="S793" s="250"/>
      <c r="T793" s="250"/>
      <c r="U793" s="230"/>
      <c r="V793" s="256"/>
      <c r="W793" s="257"/>
      <c r="X793" s="230"/>
      <c r="Y793" s="230"/>
      <c r="Z793" s="230"/>
    </row>
    <row r="794" spans="1:26" ht="24.75" customHeight="1">
      <c r="A794" s="230"/>
      <c r="B794" s="230"/>
      <c r="C794" s="230"/>
      <c r="D794" s="230"/>
      <c r="E794" s="230"/>
      <c r="F794" s="230"/>
      <c r="G794" s="230"/>
      <c r="H794" s="230"/>
      <c r="I794" s="230"/>
      <c r="J794" s="230"/>
      <c r="K794" s="230"/>
      <c r="L794" s="242"/>
      <c r="M794" s="230"/>
      <c r="N794" s="230"/>
      <c r="O794" s="257"/>
      <c r="P794" s="230"/>
      <c r="Q794" s="242"/>
      <c r="R794" s="230"/>
      <c r="S794" s="250"/>
      <c r="T794" s="250"/>
      <c r="U794" s="230"/>
      <c r="V794" s="256"/>
      <c r="W794" s="257"/>
      <c r="X794" s="230"/>
      <c r="Y794" s="230"/>
      <c r="Z794" s="230"/>
    </row>
    <row r="795" spans="1:26" ht="24.75" customHeight="1">
      <c r="A795" s="230"/>
      <c r="B795" s="230"/>
      <c r="C795" s="230"/>
      <c r="D795" s="230"/>
      <c r="E795" s="230"/>
      <c r="F795" s="230"/>
      <c r="G795" s="230"/>
      <c r="H795" s="230"/>
      <c r="I795" s="230"/>
      <c r="J795" s="230"/>
      <c r="K795" s="230"/>
      <c r="L795" s="242"/>
      <c r="M795" s="230"/>
      <c r="N795" s="230"/>
      <c r="O795" s="257"/>
      <c r="P795" s="230"/>
      <c r="Q795" s="242"/>
      <c r="R795" s="230"/>
      <c r="S795" s="250"/>
      <c r="T795" s="250"/>
      <c r="U795" s="230"/>
      <c r="V795" s="256"/>
      <c r="W795" s="257"/>
      <c r="X795" s="230"/>
      <c r="Y795" s="230"/>
      <c r="Z795" s="230"/>
    </row>
    <row r="796" spans="1:26" ht="24.75" customHeight="1">
      <c r="A796" s="230"/>
      <c r="B796" s="230"/>
      <c r="C796" s="230"/>
      <c r="D796" s="230"/>
      <c r="E796" s="230"/>
      <c r="F796" s="230"/>
      <c r="G796" s="230"/>
      <c r="H796" s="230"/>
      <c r="I796" s="230"/>
      <c r="J796" s="230"/>
      <c r="K796" s="230"/>
      <c r="L796" s="242"/>
      <c r="M796" s="230"/>
      <c r="N796" s="230"/>
      <c r="O796" s="257"/>
      <c r="P796" s="230"/>
      <c r="Q796" s="242"/>
      <c r="R796" s="230"/>
      <c r="S796" s="250"/>
      <c r="T796" s="250"/>
      <c r="U796" s="230"/>
      <c r="V796" s="256"/>
      <c r="W796" s="257"/>
      <c r="X796" s="230"/>
      <c r="Y796" s="230"/>
      <c r="Z796" s="230"/>
    </row>
    <row r="797" spans="1:26" ht="24.75" customHeight="1">
      <c r="A797" s="230"/>
      <c r="B797" s="230"/>
      <c r="C797" s="230"/>
      <c r="D797" s="230"/>
      <c r="E797" s="230"/>
      <c r="F797" s="230"/>
      <c r="G797" s="230"/>
      <c r="H797" s="230"/>
      <c r="I797" s="230"/>
      <c r="J797" s="230"/>
      <c r="K797" s="230"/>
      <c r="L797" s="242"/>
      <c r="M797" s="230"/>
      <c r="N797" s="230"/>
      <c r="O797" s="257"/>
      <c r="P797" s="230"/>
      <c r="Q797" s="242"/>
      <c r="R797" s="230"/>
      <c r="S797" s="250"/>
      <c r="T797" s="250"/>
      <c r="U797" s="230"/>
      <c r="V797" s="256"/>
      <c r="W797" s="257"/>
      <c r="X797" s="230"/>
      <c r="Y797" s="230"/>
      <c r="Z797" s="230"/>
    </row>
    <row r="798" spans="1:26" ht="24.75" customHeight="1">
      <c r="A798" s="230"/>
      <c r="B798" s="230"/>
      <c r="C798" s="230"/>
      <c r="D798" s="230"/>
      <c r="E798" s="230"/>
      <c r="F798" s="230"/>
      <c r="G798" s="230"/>
      <c r="H798" s="230"/>
      <c r="I798" s="230"/>
      <c r="J798" s="230"/>
      <c r="K798" s="230"/>
      <c r="L798" s="242"/>
      <c r="M798" s="230"/>
      <c r="N798" s="230"/>
      <c r="O798" s="257"/>
      <c r="P798" s="230"/>
      <c r="Q798" s="242"/>
      <c r="R798" s="230"/>
      <c r="S798" s="250"/>
      <c r="T798" s="250"/>
      <c r="U798" s="230"/>
      <c r="V798" s="256"/>
      <c r="W798" s="257"/>
      <c r="X798" s="230"/>
      <c r="Y798" s="230"/>
      <c r="Z798" s="230"/>
    </row>
    <row r="799" spans="1:26" ht="24.75" customHeight="1">
      <c r="A799" s="230"/>
      <c r="B799" s="230"/>
      <c r="C799" s="230"/>
      <c r="D799" s="230"/>
      <c r="E799" s="230"/>
      <c r="F799" s="230"/>
      <c r="G799" s="230"/>
      <c r="H799" s="230"/>
      <c r="I799" s="230"/>
      <c r="J799" s="230"/>
      <c r="K799" s="230"/>
      <c r="L799" s="242"/>
      <c r="M799" s="230"/>
      <c r="N799" s="230"/>
      <c r="O799" s="257"/>
      <c r="P799" s="230"/>
      <c r="Q799" s="242"/>
      <c r="R799" s="230"/>
      <c r="S799" s="250"/>
      <c r="T799" s="250"/>
      <c r="U799" s="230"/>
      <c r="V799" s="256"/>
      <c r="W799" s="257"/>
      <c r="X799" s="230"/>
      <c r="Y799" s="230"/>
      <c r="Z799" s="230"/>
    </row>
    <row r="800" spans="1:26" ht="24.75" customHeight="1">
      <c r="A800" s="230"/>
      <c r="B800" s="230"/>
      <c r="C800" s="230"/>
      <c r="D800" s="230"/>
      <c r="E800" s="230"/>
      <c r="F800" s="230"/>
      <c r="G800" s="230"/>
      <c r="H800" s="230"/>
      <c r="I800" s="230"/>
      <c r="J800" s="230"/>
      <c r="K800" s="230"/>
      <c r="L800" s="242"/>
      <c r="M800" s="230"/>
      <c r="N800" s="230"/>
      <c r="O800" s="257"/>
      <c r="P800" s="230"/>
      <c r="Q800" s="242"/>
      <c r="R800" s="230"/>
      <c r="S800" s="250"/>
      <c r="T800" s="250"/>
      <c r="U800" s="230"/>
      <c r="V800" s="256"/>
      <c r="W800" s="257"/>
      <c r="X800" s="230"/>
      <c r="Y800" s="230"/>
      <c r="Z800" s="230"/>
    </row>
    <row r="801" spans="1:26" ht="24.75" customHeight="1">
      <c r="A801" s="230"/>
      <c r="B801" s="230"/>
      <c r="C801" s="230"/>
      <c r="D801" s="230"/>
      <c r="E801" s="230"/>
      <c r="F801" s="230"/>
      <c r="G801" s="230"/>
      <c r="H801" s="230"/>
      <c r="I801" s="230"/>
      <c r="J801" s="230"/>
      <c r="K801" s="230"/>
      <c r="L801" s="242"/>
      <c r="M801" s="230"/>
      <c r="N801" s="230"/>
      <c r="O801" s="257"/>
      <c r="P801" s="230"/>
      <c r="Q801" s="242"/>
      <c r="R801" s="230"/>
      <c r="S801" s="250"/>
      <c r="T801" s="250"/>
      <c r="U801" s="230"/>
      <c r="V801" s="256"/>
      <c r="W801" s="257"/>
      <c r="X801" s="230"/>
      <c r="Y801" s="230"/>
      <c r="Z801" s="230"/>
    </row>
    <row r="802" spans="1:26" ht="24.75" customHeight="1">
      <c r="A802" s="230"/>
      <c r="B802" s="230"/>
      <c r="C802" s="230"/>
      <c r="D802" s="230"/>
      <c r="E802" s="230"/>
      <c r="F802" s="230"/>
      <c r="G802" s="230"/>
      <c r="H802" s="230"/>
      <c r="I802" s="230"/>
      <c r="J802" s="230"/>
      <c r="K802" s="230"/>
      <c r="L802" s="242"/>
      <c r="M802" s="230"/>
      <c r="N802" s="230"/>
      <c r="O802" s="257"/>
      <c r="P802" s="230"/>
      <c r="Q802" s="242"/>
      <c r="R802" s="230"/>
      <c r="S802" s="250"/>
      <c r="T802" s="250"/>
      <c r="U802" s="230"/>
      <c r="V802" s="256"/>
      <c r="W802" s="257"/>
      <c r="X802" s="230"/>
      <c r="Y802" s="230"/>
      <c r="Z802" s="230"/>
    </row>
    <row r="803" spans="1:26" ht="24.75" customHeight="1">
      <c r="A803" s="230"/>
      <c r="B803" s="230"/>
      <c r="C803" s="230"/>
      <c r="D803" s="230"/>
      <c r="E803" s="230"/>
      <c r="F803" s="230"/>
      <c r="G803" s="230"/>
      <c r="H803" s="230"/>
      <c r="I803" s="230"/>
      <c r="J803" s="230"/>
      <c r="K803" s="230"/>
      <c r="L803" s="242"/>
      <c r="M803" s="230"/>
      <c r="N803" s="230"/>
      <c r="O803" s="257"/>
      <c r="P803" s="230"/>
      <c r="Q803" s="242"/>
      <c r="R803" s="230"/>
      <c r="S803" s="250"/>
      <c r="T803" s="250"/>
      <c r="U803" s="230"/>
      <c r="V803" s="256"/>
      <c r="W803" s="257"/>
      <c r="X803" s="230"/>
      <c r="Y803" s="230"/>
      <c r="Z803" s="230"/>
    </row>
    <row r="804" spans="1:26" ht="24.75" customHeight="1">
      <c r="A804" s="230"/>
      <c r="B804" s="230"/>
      <c r="C804" s="230"/>
      <c r="D804" s="230"/>
      <c r="E804" s="230"/>
      <c r="F804" s="230"/>
      <c r="G804" s="230"/>
      <c r="H804" s="230"/>
      <c r="I804" s="230"/>
      <c r="J804" s="230"/>
      <c r="K804" s="230"/>
      <c r="L804" s="242"/>
      <c r="M804" s="230"/>
      <c r="N804" s="230"/>
      <c r="O804" s="257"/>
      <c r="P804" s="230"/>
      <c r="Q804" s="242"/>
      <c r="R804" s="230"/>
      <c r="S804" s="250"/>
      <c r="T804" s="250"/>
      <c r="U804" s="230"/>
      <c r="V804" s="256"/>
      <c r="W804" s="257"/>
      <c r="X804" s="230"/>
      <c r="Y804" s="230"/>
      <c r="Z804" s="230"/>
    </row>
    <row r="805" spans="1:26" ht="24.75" customHeight="1">
      <c r="A805" s="230"/>
      <c r="B805" s="230"/>
      <c r="C805" s="230"/>
      <c r="D805" s="230"/>
      <c r="E805" s="230"/>
      <c r="F805" s="230"/>
      <c r="G805" s="230"/>
      <c r="H805" s="230"/>
      <c r="I805" s="230"/>
      <c r="J805" s="230"/>
      <c r="K805" s="230"/>
      <c r="L805" s="242"/>
      <c r="M805" s="230"/>
      <c r="N805" s="230"/>
      <c r="O805" s="257"/>
      <c r="P805" s="230"/>
      <c r="Q805" s="242"/>
      <c r="R805" s="230"/>
      <c r="S805" s="250"/>
      <c r="T805" s="250"/>
      <c r="U805" s="230"/>
      <c r="V805" s="256"/>
      <c r="W805" s="257"/>
      <c r="X805" s="230"/>
      <c r="Y805" s="230"/>
      <c r="Z805" s="230"/>
    </row>
    <row r="806" spans="1:26" ht="24.75" customHeight="1">
      <c r="A806" s="230"/>
      <c r="B806" s="230"/>
      <c r="C806" s="230"/>
      <c r="D806" s="230"/>
      <c r="E806" s="230"/>
      <c r="F806" s="230"/>
      <c r="G806" s="230"/>
      <c r="H806" s="230"/>
      <c r="I806" s="230"/>
      <c r="J806" s="230"/>
      <c r="K806" s="230"/>
      <c r="L806" s="242"/>
      <c r="M806" s="230"/>
      <c r="N806" s="230"/>
      <c r="O806" s="257"/>
      <c r="P806" s="230"/>
      <c r="Q806" s="242"/>
      <c r="R806" s="230"/>
      <c r="S806" s="250"/>
      <c r="T806" s="250"/>
      <c r="U806" s="230"/>
      <c r="V806" s="256"/>
      <c r="W806" s="257"/>
      <c r="X806" s="230"/>
      <c r="Y806" s="230"/>
      <c r="Z806" s="230"/>
    </row>
    <row r="807" spans="1:26" ht="24.75" customHeight="1">
      <c r="A807" s="230"/>
      <c r="B807" s="230"/>
      <c r="C807" s="230"/>
      <c r="D807" s="230"/>
      <c r="E807" s="230"/>
      <c r="F807" s="230"/>
      <c r="G807" s="230"/>
      <c r="H807" s="230"/>
      <c r="I807" s="230"/>
      <c r="J807" s="230"/>
      <c r="K807" s="230"/>
      <c r="L807" s="242"/>
      <c r="M807" s="230"/>
      <c r="N807" s="230"/>
      <c r="O807" s="257"/>
      <c r="P807" s="230"/>
      <c r="Q807" s="242"/>
      <c r="R807" s="230"/>
      <c r="S807" s="250"/>
      <c r="T807" s="250"/>
      <c r="U807" s="230"/>
      <c r="V807" s="256"/>
      <c r="W807" s="257"/>
      <c r="X807" s="230"/>
      <c r="Y807" s="230"/>
      <c r="Z807" s="230"/>
    </row>
    <row r="808" spans="1:26" ht="24.75" customHeight="1">
      <c r="A808" s="230"/>
      <c r="B808" s="230"/>
      <c r="C808" s="230"/>
      <c r="D808" s="230"/>
      <c r="E808" s="230"/>
      <c r="F808" s="230"/>
      <c r="G808" s="230"/>
      <c r="H808" s="230"/>
      <c r="I808" s="230"/>
      <c r="J808" s="230"/>
      <c r="K808" s="230"/>
      <c r="L808" s="242"/>
      <c r="M808" s="230"/>
      <c r="N808" s="230"/>
      <c r="O808" s="257"/>
      <c r="P808" s="230"/>
      <c r="Q808" s="242"/>
      <c r="R808" s="230"/>
      <c r="S808" s="250"/>
      <c r="T808" s="250"/>
      <c r="U808" s="230"/>
      <c r="V808" s="256"/>
      <c r="W808" s="257"/>
      <c r="X808" s="230"/>
      <c r="Y808" s="230"/>
      <c r="Z808" s="230"/>
    </row>
    <row r="809" spans="1:26" ht="24.75" customHeight="1">
      <c r="A809" s="230"/>
      <c r="B809" s="230"/>
      <c r="C809" s="230"/>
      <c r="D809" s="230"/>
      <c r="E809" s="230"/>
      <c r="F809" s="230"/>
      <c r="G809" s="230"/>
      <c r="H809" s="230"/>
      <c r="I809" s="230"/>
      <c r="J809" s="230"/>
      <c r="K809" s="230"/>
      <c r="L809" s="242"/>
      <c r="M809" s="230"/>
      <c r="N809" s="230"/>
      <c r="O809" s="257"/>
      <c r="P809" s="230"/>
      <c r="Q809" s="242"/>
      <c r="R809" s="230"/>
      <c r="S809" s="250"/>
      <c r="T809" s="250"/>
      <c r="U809" s="230"/>
      <c r="V809" s="256"/>
      <c r="W809" s="257"/>
      <c r="X809" s="230"/>
      <c r="Y809" s="230"/>
      <c r="Z809" s="230"/>
    </row>
    <row r="810" spans="1:26" ht="24.75" customHeight="1">
      <c r="A810" s="230"/>
      <c r="B810" s="230"/>
      <c r="C810" s="230"/>
      <c r="D810" s="230"/>
      <c r="E810" s="230"/>
      <c r="F810" s="230"/>
      <c r="G810" s="230"/>
      <c r="H810" s="230"/>
      <c r="I810" s="230"/>
      <c r="J810" s="230"/>
      <c r="K810" s="230"/>
      <c r="L810" s="242"/>
      <c r="M810" s="230"/>
      <c r="N810" s="230"/>
      <c r="O810" s="257"/>
      <c r="P810" s="230"/>
      <c r="Q810" s="242"/>
      <c r="R810" s="230"/>
      <c r="S810" s="250"/>
      <c r="T810" s="250"/>
      <c r="U810" s="230"/>
      <c r="V810" s="256"/>
      <c r="W810" s="257"/>
      <c r="X810" s="230"/>
      <c r="Y810" s="230"/>
      <c r="Z810" s="230"/>
    </row>
    <row r="811" spans="1:26" ht="24.75" customHeight="1">
      <c r="A811" s="230"/>
      <c r="B811" s="230"/>
      <c r="C811" s="230"/>
      <c r="D811" s="230"/>
      <c r="E811" s="230"/>
      <c r="F811" s="230"/>
      <c r="G811" s="230"/>
      <c r="H811" s="230"/>
      <c r="I811" s="230"/>
      <c r="J811" s="230"/>
      <c r="K811" s="230"/>
      <c r="L811" s="242"/>
      <c r="M811" s="230"/>
      <c r="N811" s="230"/>
      <c r="O811" s="257"/>
      <c r="P811" s="230"/>
      <c r="Q811" s="242"/>
      <c r="R811" s="230"/>
      <c r="S811" s="250"/>
      <c r="T811" s="250"/>
      <c r="U811" s="230"/>
      <c r="V811" s="256"/>
      <c r="W811" s="257"/>
      <c r="X811" s="230"/>
      <c r="Y811" s="230"/>
      <c r="Z811" s="230"/>
    </row>
    <row r="812" spans="1:26" ht="24.75" customHeight="1">
      <c r="A812" s="230"/>
      <c r="B812" s="230"/>
      <c r="C812" s="230"/>
      <c r="D812" s="230"/>
      <c r="E812" s="230"/>
      <c r="F812" s="230"/>
      <c r="G812" s="230"/>
      <c r="H812" s="230"/>
      <c r="I812" s="230"/>
      <c r="J812" s="230"/>
      <c r="K812" s="230"/>
      <c r="L812" s="242"/>
      <c r="M812" s="230"/>
      <c r="N812" s="230"/>
      <c r="O812" s="257"/>
      <c r="P812" s="230"/>
      <c r="Q812" s="242"/>
      <c r="R812" s="230"/>
      <c r="S812" s="250"/>
      <c r="T812" s="250"/>
      <c r="U812" s="230"/>
      <c r="V812" s="256"/>
      <c r="W812" s="257"/>
      <c r="X812" s="230"/>
      <c r="Y812" s="230"/>
      <c r="Z812" s="230"/>
    </row>
    <row r="813" spans="1:26" ht="24.75" customHeight="1">
      <c r="A813" s="230"/>
      <c r="B813" s="230"/>
      <c r="C813" s="230"/>
      <c r="D813" s="230"/>
      <c r="E813" s="230"/>
      <c r="F813" s="230"/>
      <c r="G813" s="230"/>
      <c r="H813" s="230"/>
      <c r="I813" s="230"/>
      <c r="J813" s="230"/>
      <c r="K813" s="230"/>
      <c r="L813" s="242"/>
      <c r="M813" s="230"/>
      <c r="N813" s="230"/>
      <c r="O813" s="257"/>
      <c r="P813" s="230"/>
      <c r="Q813" s="242"/>
      <c r="R813" s="230"/>
      <c r="S813" s="250"/>
      <c r="T813" s="250"/>
      <c r="U813" s="230"/>
      <c r="V813" s="256"/>
      <c r="W813" s="257"/>
      <c r="X813" s="230"/>
      <c r="Y813" s="230"/>
      <c r="Z813" s="230"/>
    </row>
    <row r="814" spans="1:26" ht="24.75" customHeight="1">
      <c r="A814" s="230"/>
      <c r="B814" s="230"/>
      <c r="C814" s="230"/>
      <c r="D814" s="230"/>
      <c r="E814" s="230"/>
      <c r="F814" s="230"/>
      <c r="G814" s="230"/>
      <c r="H814" s="230"/>
      <c r="I814" s="230"/>
      <c r="J814" s="230"/>
      <c r="K814" s="230"/>
      <c r="L814" s="242"/>
      <c r="M814" s="230"/>
      <c r="N814" s="230"/>
      <c r="O814" s="257"/>
      <c r="P814" s="230"/>
      <c r="Q814" s="242"/>
      <c r="R814" s="230"/>
      <c r="S814" s="250"/>
      <c r="T814" s="250"/>
      <c r="U814" s="230"/>
      <c r="V814" s="256"/>
      <c r="W814" s="257"/>
      <c r="X814" s="230"/>
      <c r="Y814" s="230"/>
      <c r="Z814" s="230"/>
    </row>
    <row r="815" spans="1:26" ht="24.75" customHeight="1">
      <c r="A815" s="230"/>
      <c r="B815" s="230"/>
      <c r="C815" s="230"/>
      <c r="D815" s="230"/>
      <c r="E815" s="230"/>
      <c r="F815" s="230"/>
      <c r="G815" s="230"/>
      <c r="H815" s="230"/>
      <c r="I815" s="230"/>
      <c r="J815" s="230"/>
      <c r="K815" s="230"/>
      <c r="L815" s="242"/>
      <c r="M815" s="230"/>
      <c r="N815" s="230"/>
      <c r="O815" s="257"/>
      <c r="P815" s="230"/>
      <c r="Q815" s="242"/>
      <c r="R815" s="230"/>
      <c r="S815" s="250"/>
      <c r="T815" s="250"/>
      <c r="U815" s="230"/>
      <c r="V815" s="256"/>
      <c r="W815" s="257"/>
      <c r="X815" s="230"/>
      <c r="Y815" s="230"/>
      <c r="Z815" s="230"/>
    </row>
    <row r="816" spans="1:26" ht="24.75" customHeight="1">
      <c r="A816" s="230"/>
      <c r="B816" s="230"/>
      <c r="C816" s="230"/>
      <c r="D816" s="230"/>
      <c r="E816" s="230"/>
      <c r="F816" s="230"/>
      <c r="G816" s="230"/>
      <c r="H816" s="230"/>
      <c r="I816" s="230"/>
      <c r="J816" s="230"/>
      <c r="K816" s="230"/>
      <c r="L816" s="242"/>
      <c r="M816" s="230"/>
      <c r="N816" s="230"/>
      <c r="O816" s="257"/>
      <c r="P816" s="230"/>
      <c r="Q816" s="242"/>
      <c r="R816" s="230"/>
      <c r="S816" s="250"/>
      <c r="T816" s="250"/>
      <c r="U816" s="230"/>
      <c r="V816" s="256"/>
      <c r="W816" s="257"/>
      <c r="X816" s="230"/>
      <c r="Y816" s="230"/>
      <c r="Z816" s="230"/>
    </row>
    <row r="817" spans="1:26" ht="24.75" customHeight="1">
      <c r="A817" s="230"/>
      <c r="B817" s="230"/>
      <c r="C817" s="230"/>
      <c r="D817" s="230"/>
      <c r="E817" s="230"/>
      <c r="F817" s="230"/>
      <c r="G817" s="230"/>
      <c r="H817" s="230"/>
      <c r="I817" s="230"/>
      <c r="J817" s="230"/>
      <c r="K817" s="230"/>
      <c r="L817" s="242"/>
      <c r="M817" s="230"/>
      <c r="N817" s="230"/>
      <c r="O817" s="257"/>
      <c r="P817" s="230"/>
      <c r="Q817" s="242"/>
      <c r="R817" s="230"/>
      <c r="S817" s="250"/>
      <c r="T817" s="250"/>
      <c r="U817" s="230"/>
      <c r="V817" s="256"/>
      <c r="W817" s="257"/>
      <c r="X817" s="230"/>
      <c r="Y817" s="230"/>
      <c r="Z817" s="230"/>
    </row>
    <row r="818" spans="1:26" ht="24.75" customHeight="1">
      <c r="A818" s="230"/>
      <c r="B818" s="230"/>
      <c r="C818" s="230"/>
      <c r="D818" s="230"/>
      <c r="E818" s="230"/>
      <c r="F818" s="230"/>
      <c r="G818" s="230"/>
      <c r="H818" s="230"/>
      <c r="I818" s="230"/>
      <c r="J818" s="230"/>
      <c r="K818" s="230"/>
      <c r="L818" s="242"/>
      <c r="M818" s="230"/>
      <c r="N818" s="230"/>
      <c r="O818" s="257"/>
      <c r="P818" s="230"/>
      <c r="Q818" s="242"/>
      <c r="R818" s="230"/>
      <c r="S818" s="250"/>
      <c r="T818" s="250"/>
      <c r="U818" s="230"/>
      <c r="V818" s="256"/>
      <c r="W818" s="257"/>
      <c r="X818" s="230"/>
      <c r="Y818" s="230"/>
      <c r="Z818" s="230"/>
    </row>
    <row r="819" spans="1:26" ht="24.75" customHeight="1">
      <c r="A819" s="230"/>
      <c r="B819" s="230"/>
      <c r="C819" s="230"/>
      <c r="D819" s="230"/>
      <c r="E819" s="230"/>
      <c r="F819" s="230"/>
      <c r="G819" s="230"/>
      <c r="H819" s="230"/>
      <c r="I819" s="230"/>
      <c r="J819" s="230"/>
      <c r="K819" s="230"/>
      <c r="L819" s="242"/>
      <c r="M819" s="230"/>
      <c r="N819" s="230"/>
      <c r="O819" s="257"/>
      <c r="P819" s="230"/>
      <c r="Q819" s="242"/>
      <c r="R819" s="230"/>
      <c r="S819" s="250"/>
      <c r="T819" s="250"/>
      <c r="U819" s="230"/>
      <c r="V819" s="256"/>
      <c r="W819" s="257"/>
      <c r="X819" s="230"/>
      <c r="Y819" s="230"/>
      <c r="Z819" s="230"/>
    </row>
    <row r="820" spans="1:26" ht="24.75" customHeight="1">
      <c r="A820" s="230"/>
      <c r="B820" s="230"/>
      <c r="C820" s="230"/>
      <c r="D820" s="230"/>
      <c r="E820" s="230"/>
      <c r="F820" s="230"/>
      <c r="G820" s="230"/>
      <c r="H820" s="230"/>
      <c r="I820" s="230"/>
      <c r="J820" s="230"/>
      <c r="K820" s="230"/>
      <c r="L820" s="242"/>
      <c r="M820" s="230"/>
      <c r="N820" s="230"/>
      <c r="O820" s="257"/>
      <c r="P820" s="230"/>
      <c r="Q820" s="242"/>
      <c r="R820" s="230"/>
      <c r="S820" s="250"/>
      <c r="T820" s="250"/>
      <c r="U820" s="230"/>
      <c r="V820" s="256"/>
      <c r="W820" s="257"/>
      <c r="X820" s="230"/>
      <c r="Y820" s="230"/>
      <c r="Z820" s="230"/>
    </row>
    <row r="821" spans="1:26" ht="24.75" customHeight="1">
      <c r="A821" s="230"/>
      <c r="B821" s="230"/>
      <c r="C821" s="230"/>
      <c r="D821" s="230"/>
      <c r="E821" s="230"/>
      <c r="F821" s="230"/>
      <c r="G821" s="230"/>
      <c r="H821" s="230"/>
      <c r="I821" s="230"/>
      <c r="J821" s="230"/>
      <c r="K821" s="230"/>
      <c r="L821" s="242"/>
      <c r="M821" s="230"/>
      <c r="N821" s="230"/>
      <c r="O821" s="257"/>
      <c r="P821" s="230"/>
      <c r="Q821" s="242"/>
      <c r="R821" s="230"/>
      <c r="S821" s="250"/>
      <c r="T821" s="250"/>
      <c r="U821" s="230"/>
      <c r="V821" s="256"/>
      <c r="W821" s="257"/>
      <c r="X821" s="230"/>
      <c r="Y821" s="230"/>
      <c r="Z821" s="230"/>
    </row>
    <row r="822" spans="1:26" ht="24.75" customHeight="1">
      <c r="A822" s="230"/>
      <c r="B822" s="230"/>
      <c r="C822" s="230"/>
      <c r="D822" s="230"/>
      <c r="E822" s="230"/>
      <c r="F822" s="230"/>
      <c r="G822" s="230"/>
      <c r="H822" s="230"/>
      <c r="I822" s="230"/>
      <c r="J822" s="230"/>
      <c r="K822" s="230"/>
      <c r="L822" s="242"/>
      <c r="M822" s="230"/>
      <c r="N822" s="230"/>
      <c r="O822" s="257"/>
      <c r="P822" s="230"/>
      <c r="Q822" s="242"/>
      <c r="R822" s="230"/>
      <c r="S822" s="250"/>
      <c r="T822" s="250"/>
      <c r="U822" s="230"/>
      <c r="V822" s="256"/>
      <c r="W822" s="257"/>
      <c r="X822" s="230"/>
      <c r="Y822" s="230"/>
      <c r="Z822" s="230"/>
    </row>
    <row r="823" spans="1:26" ht="24.75" customHeight="1">
      <c r="A823" s="230"/>
      <c r="B823" s="230"/>
      <c r="C823" s="230"/>
      <c r="D823" s="230"/>
      <c r="E823" s="230"/>
      <c r="F823" s="230"/>
      <c r="G823" s="230"/>
      <c r="H823" s="230"/>
      <c r="I823" s="230"/>
      <c r="J823" s="230"/>
      <c r="K823" s="230"/>
      <c r="L823" s="242"/>
      <c r="M823" s="230"/>
      <c r="N823" s="230"/>
      <c r="O823" s="257"/>
      <c r="P823" s="230"/>
      <c r="Q823" s="242"/>
      <c r="R823" s="230"/>
      <c r="S823" s="250"/>
      <c r="T823" s="250"/>
      <c r="U823" s="230"/>
      <c r="V823" s="256"/>
      <c r="W823" s="257"/>
      <c r="X823" s="230"/>
      <c r="Y823" s="230"/>
      <c r="Z823" s="230"/>
    </row>
    <row r="824" spans="1:26" ht="24.75" customHeight="1">
      <c r="A824" s="230"/>
      <c r="B824" s="230"/>
      <c r="C824" s="230"/>
      <c r="D824" s="230"/>
      <c r="E824" s="230"/>
      <c r="F824" s="230"/>
      <c r="G824" s="230"/>
      <c r="H824" s="230"/>
      <c r="I824" s="230"/>
      <c r="J824" s="230"/>
      <c r="K824" s="230"/>
      <c r="L824" s="242"/>
      <c r="M824" s="230"/>
      <c r="N824" s="230"/>
      <c r="O824" s="257"/>
      <c r="P824" s="230"/>
      <c r="Q824" s="242"/>
      <c r="R824" s="230"/>
      <c r="S824" s="250"/>
      <c r="T824" s="250"/>
      <c r="U824" s="230"/>
      <c r="V824" s="256"/>
      <c r="W824" s="257"/>
      <c r="X824" s="230"/>
      <c r="Y824" s="230"/>
      <c r="Z824" s="230"/>
    </row>
    <row r="825" spans="1:26" ht="24.75" customHeight="1">
      <c r="A825" s="230"/>
      <c r="B825" s="230"/>
      <c r="C825" s="230"/>
      <c r="D825" s="230"/>
      <c r="E825" s="230"/>
      <c r="F825" s="230"/>
      <c r="G825" s="230"/>
      <c r="H825" s="230"/>
      <c r="I825" s="230"/>
      <c r="J825" s="230"/>
      <c r="K825" s="230"/>
      <c r="L825" s="242"/>
      <c r="M825" s="230"/>
      <c r="N825" s="230"/>
      <c r="O825" s="257"/>
      <c r="P825" s="230"/>
      <c r="Q825" s="242"/>
      <c r="R825" s="230"/>
      <c r="S825" s="250"/>
      <c r="T825" s="250"/>
      <c r="U825" s="230"/>
      <c r="V825" s="256"/>
      <c r="W825" s="257"/>
      <c r="X825" s="230"/>
      <c r="Y825" s="230"/>
      <c r="Z825" s="230"/>
    </row>
    <row r="826" spans="1:26" ht="24.75" customHeight="1">
      <c r="A826" s="230"/>
      <c r="B826" s="230"/>
      <c r="C826" s="230"/>
      <c r="D826" s="230"/>
      <c r="E826" s="230"/>
      <c r="F826" s="230"/>
      <c r="G826" s="230"/>
      <c r="H826" s="230"/>
      <c r="I826" s="230"/>
      <c r="J826" s="230"/>
      <c r="K826" s="230"/>
      <c r="L826" s="242"/>
      <c r="M826" s="230"/>
      <c r="N826" s="230"/>
      <c r="O826" s="257"/>
      <c r="P826" s="230"/>
      <c r="Q826" s="242"/>
      <c r="R826" s="230"/>
      <c r="S826" s="250"/>
      <c r="T826" s="250"/>
      <c r="U826" s="230"/>
      <c r="V826" s="256"/>
      <c r="W826" s="257"/>
      <c r="X826" s="230"/>
      <c r="Y826" s="230"/>
      <c r="Z826" s="230"/>
    </row>
    <row r="827" spans="1:26" ht="24.75" customHeight="1">
      <c r="A827" s="230"/>
      <c r="B827" s="230"/>
      <c r="C827" s="230"/>
      <c r="D827" s="230"/>
      <c r="E827" s="230"/>
      <c r="F827" s="230"/>
      <c r="G827" s="230"/>
      <c r="H827" s="230"/>
      <c r="I827" s="230"/>
      <c r="J827" s="230"/>
      <c r="K827" s="230"/>
      <c r="L827" s="242"/>
      <c r="M827" s="230"/>
      <c r="N827" s="230"/>
      <c r="O827" s="257"/>
      <c r="P827" s="230"/>
      <c r="Q827" s="242"/>
      <c r="R827" s="230"/>
      <c r="S827" s="250"/>
      <c r="T827" s="250"/>
      <c r="U827" s="230"/>
      <c r="V827" s="256"/>
      <c r="W827" s="257"/>
      <c r="X827" s="230"/>
      <c r="Y827" s="230"/>
      <c r="Z827" s="230"/>
    </row>
    <row r="828" spans="1:26" ht="24.75" customHeight="1">
      <c r="A828" s="230"/>
      <c r="B828" s="230"/>
      <c r="C828" s="230"/>
      <c r="D828" s="230"/>
      <c r="E828" s="230"/>
      <c r="F828" s="230"/>
      <c r="G828" s="230"/>
      <c r="H828" s="230"/>
      <c r="I828" s="230"/>
      <c r="J828" s="230"/>
      <c r="K828" s="230"/>
      <c r="L828" s="242"/>
      <c r="M828" s="230"/>
      <c r="N828" s="230"/>
      <c r="O828" s="257"/>
      <c r="P828" s="230"/>
      <c r="Q828" s="242"/>
      <c r="R828" s="230"/>
      <c r="S828" s="250"/>
      <c r="T828" s="250"/>
      <c r="U828" s="230"/>
      <c r="V828" s="256"/>
      <c r="W828" s="257"/>
      <c r="X828" s="230"/>
      <c r="Y828" s="230"/>
      <c r="Z828" s="230"/>
    </row>
    <row r="829" spans="1:26" ht="24.75" customHeight="1">
      <c r="A829" s="230"/>
      <c r="B829" s="230"/>
      <c r="C829" s="230"/>
      <c r="D829" s="230"/>
      <c r="E829" s="230"/>
      <c r="F829" s="230"/>
      <c r="G829" s="230"/>
      <c r="H829" s="230"/>
      <c r="I829" s="230"/>
      <c r="J829" s="230"/>
      <c r="K829" s="230"/>
      <c r="L829" s="242"/>
      <c r="M829" s="230"/>
      <c r="N829" s="230"/>
      <c r="O829" s="257"/>
      <c r="P829" s="230"/>
      <c r="Q829" s="242"/>
      <c r="R829" s="230"/>
      <c r="S829" s="250"/>
      <c r="T829" s="250"/>
      <c r="U829" s="230"/>
      <c r="V829" s="256"/>
      <c r="W829" s="257"/>
      <c r="X829" s="230"/>
      <c r="Y829" s="230"/>
      <c r="Z829" s="230"/>
    </row>
    <row r="830" spans="1:26" ht="24.75" customHeight="1">
      <c r="A830" s="230"/>
      <c r="B830" s="230"/>
      <c r="C830" s="230"/>
      <c r="D830" s="230"/>
      <c r="E830" s="230"/>
      <c r="F830" s="230"/>
      <c r="G830" s="230"/>
      <c r="H830" s="230"/>
      <c r="I830" s="230"/>
      <c r="J830" s="230"/>
      <c r="K830" s="230"/>
      <c r="L830" s="242"/>
      <c r="M830" s="230"/>
      <c r="N830" s="230"/>
      <c r="O830" s="257"/>
      <c r="P830" s="230"/>
      <c r="Q830" s="242"/>
      <c r="R830" s="230"/>
      <c r="S830" s="250"/>
      <c r="T830" s="250"/>
      <c r="U830" s="230"/>
      <c r="V830" s="256"/>
      <c r="W830" s="257"/>
      <c r="X830" s="230"/>
      <c r="Y830" s="230"/>
      <c r="Z830" s="230"/>
    </row>
    <row r="831" spans="1:26" ht="24.75" customHeight="1">
      <c r="A831" s="230"/>
      <c r="B831" s="230"/>
      <c r="C831" s="230"/>
      <c r="D831" s="230"/>
      <c r="E831" s="230"/>
      <c r="F831" s="230"/>
      <c r="G831" s="230"/>
      <c r="H831" s="230"/>
      <c r="I831" s="230"/>
      <c r="J831" s="230"/>
      <c r="K831" s="230"/>
      <c r="L831" s="242"/>
      <c r="M831" s="230"/>
      <c r="N831" s="230"/>
      <c r="O831" s="257"/>
      <c r="P831" s="230"/>
      <c r="Q831" s="242"/>
      <c r="R831" s="230"/>
      <c r="S831" s="250"/>
      <c r="T831" s="250"/>
      <c r="U831" s="230"/>
      <c r="V831" s="256"/>
      <c r="W831" s="257"/>
      <c r="X831" s="230"/>
      <c r="Y831" s="230"/>
      <c r="Z831" s="230"/>
    </row>
    <row r="832" spans="1:26" ht="24.75" customHeight="1">
      <c r="A832" s="230"/>
      <c r="B832" s="230"/>
      <c r="C832" s="230"/>
      <c r="D832" s="230"/>
      <c r="E832" s="230"/>
      <c r="F832" s="230"/>
      <c r="G832" s="230"/>
      <c r="H832" s="230"/>
      <c r="I832" s="230"/>
      <c r="J832" s="230"/>
      <c r="K832" s="230"/>
      <c r="L832" s="242"/>
      <c r="M832" s="230"/>
      <c r="N832" s="230"/>
      <c r="O832" s="257"/>
      <c r="P832" s="230"/>
      <c r="Q832" s="242"/>
      <c r="R832" s="230"/>
      <c r="S832" s="250"/>
      <c r="T832" s="250"/>
      <c r="U832" s="230"/>
      <c r="V832" s="256"/>
      <c r="W832" s="257"/>
      <c r="X832" s="230"/>
      <c r="Y832" s="230"/>
      <c r="Z832" s="230"/>
    </row>
    <row r="833" spans="1:26" ht="24.75" customHeight="1">
      <c r="A833" s="230"/>
      <c r="B833" s="230"/>
      <c r="C833" s="230"/>
      <c r="D833" s="230"/>
      <c r="E833" s="230"/>
      <c r="F833" s="230"/>
      <c r="G833" s="230"/>
      <c r="H833" s="230"/>
      <c r="I833" s="230"/>
      <c r="J833" s="230"/>
      <c r="K833" s="230"/>
      <c r="L833" s="242"/>
      <c r="M833" s="230"/>
      <c r="N833" s="230"/>
      <c r="O833" s="257"/>
      <c r="P833" s="230"/>
      <c r="Q833" s="242"/>
      <c r="R833" s="230"/>
      <c r="S833" s="250"/>
      <c r="T833" s="250"/>
      <c r="U833" s="230"/>
      <c r="V833" s="256"/>
      <c r="W833" s="257"/>
      <c r="X833" s="230"/>
      <c r="Y833" s="230"/>
      <c r="Z833" s="230"/>
    </row>
    <row r="834" spans="1:26" ht="24.75" customHeight="1">
      <c r="A834" s="230"/>
      <c r="B834" s="230"/>
      <c r="C834" s="230"/>
      <c r="D834" s="230"/>
      <c r="E834" s="230"/>
      <c r="F834" s="230"/>
      <c r="G834" s="230"/>
      <c r="H834" s="230"/>
      <c r="I834" s="230"/>
      <c r="J834" s="230"/>
      <c r="K834" s="230"/>
      <c r="L834" s="242"/>
      <c r="M834" s="230"/>
      <c r="N834" s="230"/>
      <c r="O834" s="257"/>
      <c r="P834" s="230"/>
      <c r="Q834" s="242"/>
      <c r="R834" s="230"/>
      <c r="S834" s="250"/>
      <c r="T834" s="250"/>
      <c r="U834" s="230"/>
      <c r="V834" s="256"/>
      <c r="W834" s="257"/>
      <c r="X834" s="230"/>
      <c r="Y834" s="230"/>
      <c r="Z834" s="230"/>
    </row>
    <row r="835" spans="1:26" ht="24.75" customHeight="1">
      <c r="A835" s="230"/>
      <c r="B835" s="230"/>
      <c r="C835" s="230"/>
      <c r="D835" s="230"/>
      <c r="E835" s="230"/>
      <c r="F835" s="230"/>
      <c r="G835" s="230"/>
      <c r="H835" s="230"/>
      <c r="I835" s="230"/>
      <c r="J835" s="230"/>
      <c r="K835" s="230"/>
      <c r="L835" s="242"/>
      <c r="M835" s="230"/>
      <c r="N835" s="230"/>
      <c r="O835" s="257"/>
      <c r="P835" s="230"/>
      <c r="Q835" s="242"/>
      <c r="R835" s="230"/>
      <c r="S835" s="250"/>
      <c r="T835" s="250"/>
      <c r="U835" s="230"/>
      <c r="V835" s="256"/>
      <c r="W835" s="257"/>
      <c r="X835" s="230"/>
      <c r="Y835" s="230"/>
      <c r="Z835" s="230"/>
    </row>
    <row r="836" spans="1:26" ht="24.75" customHeight="1">
      <c r="A836" s="230"/>
      <c r="B836" s="230"/>
      <c r="C836" s="230"/>
      <c r="D836" s="230"/>
      <c r="E836" s="230"/>
      <c r="F836" s="230"/>
      <c r="G836" s="230"/>
      <c r="H836" s="230"/>
      <c r="I836" s="230"/>
      <c r="J836" s="230"/>
      <c r="K836" s="230"/>
      <c r="L836" s="242"/>
      <c r="M836" s="230"/>
      <c r="N836" s="230"/>
      <c r="O836" s="257"/>
      <c r="P836" s="230"/>
      <c r="Q836" s="242"/>
      <c r="R836" s="230"/>
      <c r="S836" s="250"/>
      <c r="T836" s="250"/>
      <c r="U836" s="230"/>
      <c r="V836" s="256"/>
      <c r="W836" s="257"/>
      <c r="X836" s="230"/>
      <c r="Y836" s="230"/>
      <c r="Z836" s="230"/>
    </row>
    <row r="837" spans="1:26" ht="24.75" customHeight="1">
      <c r="A837" s="230"/>
      <c r="B837" s="230"/>
      <c r="C837" s="230"/>
      <c r="D837" s="230"/>
      <c r="E837" s="230"/>
      <c r="F837" s="230"/>
      <c r="G837" s="230"/>
      <c r="H837" s="230"/>
      <c r="I837" s="230"/>
      <c r="J837" s="230"/>
      <c r="K837" s="230"/>
      <c r="L837" s="242"/>
      <c r="M837" s="230"/>
      <c r="N837" s="230"/>
      <c r="O837" s="257"/>
      <c r="P837" s="230"/>
      <c r="Q837" s="242"/>
      <c r="R837" s="230"/>
      <c r="S837" s="250"/>
      <c r="T837" s="250"/>
      <c r="U837" s="230"/>
      <c r="V837" s="256"/>
      <c r="W837" s="257"/>
      <c r="X837" s="230"/>
      <c r="Y837" s="230"/>
      <c r="Z837" s="230"/>
    </row>
    <row r="838" spans="1:26" ht="24.75" customHeight="1">
      <c r="A838" s="230"/>
      <c r="B838" s="230"/>
      <c r="C838" s="230"/>
      <c r="D838" s="230"/>
      <c r="E838" s="230"/>
      <c r="F838" s="230"/>
      <c r="G838" s="230"/>
      <c r="H838" s="230"/>
      <c r="I838" s="230"/>
      <c r="J838" s="230"/>
      <c r="K838" s="230"/>
      <c r="L838" s="242"/>
      <c r="M838" s="230"/>
      <c r="N838" s="230"/>
      <c r="O838" s="257"/>
      <c r="P838" s="230"/>
      <c r="Q838" s="242"/>
      <c r="R838" s="230"/>
      <c r="S838" s="250"/>
      <c r="T838" s="250"/>
      <c r="U838" s="230"/>
      <c r="V838" s="256"/>
      <c r="W838" s="257"/>
      <c r="X838" s="230"/>
      <c r="Y838" s="230"/>
      <c r="Z838" s="230"/>
    </row>
    <row r="839" spans="1:26" ht="24.75" customHeight="1">
      <c r="A839" s="230"/>
      <c r="B839" s="230"/>
      <c r="C839" s="230"/>
      <c r="D839" s="230"/>
      <c r="E839" s="230"/>
      <c r="F839" s="230"/>
      <c r="G839" s="230"/>
      <c r="H839" s="230"/>
      <c r="I839" s="230"/>
      <c r="J839" s="230"/>
      <c r="K839" s="230"/>
      <c r="L839" s="242"/>
      <c r="M839" s="230"/>
      <c r="N839" s="230"/>
      <c r="O839" s="257"/>
      <c r="P839" s="230"/>
      <c r="Q839" s="242"/>
      <c r="R839" s="230"/>
      <c r="S839" s="250"/>
      <c r="T839" s="250"/>
      <c r="U839" s="230"/>
      <c r="V839" s="256"/>
      <c r="W839" s="257"/>
      <c r="X839" s="230"/>
      <c r="Y839" s="230"/>
      <c r="Z839" s="230"/>
    </row>
    <row r="840" spans="1:26" ht="24.75" customHeight="1">
      <c r="A840" s="230"/>
      <c r="B840" s="230"/>
      <c r="C840" s="230"/>
      <c r="D840" s="230"/>
      <c r="E840" s="230"/>
      <c r="F840" s="230"/>
      <c r="G840" s="230"/>
      <c r="H840" s="230"/>
      <c r="I840" s="230"/>
      <c r="J840" s="230"/>
      <c r="K840" s="230"/>
      <c r="L840" s="242"/>
      <c r="M840" s="230"/>
      <c r="N840" s="230"/>
      <c r="O840" s="257"/>
      <c r="P840" s="230"/>
      <c r="Q840" s="242"/>
      <c r="R840" s="230"/>
      <c r="S840" s="250"/>
      <c r="T840" s="250"/>
      <c r="U840" s="230"/>
      <c r="V840" s="256"/>
      <c r="W840" s="257"/>
      <c r="X840" s="230"/>
      <c r="Y840" s="230"/>
      <c r="Z840" s="230"/>
    </row>
    <row r="841" spans="1:26" ht="24.75" customHeight="1">
      <c r="A841" s="230"/>
      <c r="B841" s="230"/>
      <c r="C841" s="230"/>
      <c r="D841" s="230"/>
      <c r="E841" s="230"/>
      <c r="F841" s="230"/>
      <c r="G841" s="230"/>
      <c r="H841" s="230"/>
      <c r="I841" s="230"/>
      <c r="J841" s="230"/>
      <c r="K841" s="230"/>
      <c r="L841" s="242"/>
      <c r="M841" s="230"/>
      <c r="N841" s="230"/>
      <c r="O841" s="257"/>
      <c r="P841" s="230"/>
      <c r="Q841" s="242"/>
      <c r="R841" s="230"/>
      <c r="S841" s="250"/>
      <c r="T841" s="250"/>
      <c r="U841" s="230"/>
      <c r="V841" s="256"/>
      <c r="W841" s="257"/>
      <c r="X841" s="230"/>
      <c r="Y841" s="230"/>
      <c r="Z841" s="230"/>
    </row>
    <row r="842" spans="1:26" ht="24.75" customHeight="1">
      <c r="A842" s="230"/>
      <c r="B842" s="230"/>
      <c r="C842" s="230"/>
      <c r="D842" s="230"/>
      <c r="E842" s="230"/>
      <c r="F842" s="230"/>
      <c r="G842" s="230"/>
      <c r="H842" s="230"/>
      <c r="I842" s="230"/>
      <c r="J842" s="230"/>
      <c r="K842" s="230"/>
      <c r="L842" s="242"/>
      <c r="M842" s="230"/>
      <c r="N842" s="230"/>
      <c r="O842" s="257"/>
      <c r="P842" s="230"/>
      <c r="Q842" s="242"/>
      <c r="R842" s="230"/>
      <c r="S842" s="250"/>
      <c r="T842" s="250"/>
      <c r="U842" s="230"/>
      <c r="V842" s="256"/>
      <c r="W842" s="257"/>
      <c r="X842" s="230"/>
      <c r="Y842" s="230"/>
      <c r="Z842" s="230"/>
    </row>
    <row r="843" spans="1:26" ht="24.75" customHeight="1">
      <c r="A843" s="230"/>
      <c r="B843" s="230"/>
      <c r="C843" s="230"/>
      <c r="D843" s="230"/>
      <c r="E843" s="230"/>
      <c r="F843" s="230"/>
      <c r="G843" s="230"/>
      <c r="H843" s="230"/>
      <c r="I843" s="230"/>
      <c r="J843" s="230"/>
      <c r="K843" s="230"/>
      <c r="L843" s="242"/>
      <c r="M843" s="230"/>
      <c r="N843" s="230"/>
      <c r="O843" s="257"/>
      <c r="P843" s="230"/>
      <c r="Q843" s="242"/>
      <c r="R843" s="230"/>
      <c r="S843" s="250"/>
      <c r="T843" s="250"/>
      <c r="U843" s="230"/>
      <c r="V843" s="256"/>
      <c r="W843" s="257"/>
      <c r="X843" s="230"/>
      <c r="Y843" s="230"/>
      <c r="Z843" s="230"/>
    </row>
    <row r="844" spans="1:26" ht="24.75" customHeight="1">
      <c r="A844" s="230"/>
      <c r="B844" s="230"/>
      <c r="C844" s="230"/>
      <c r="D844" s="230"/>
      <c r="E844" s="230"/>
      <c r="F844" s="230"/>
      <c r="G844" s="230"/>
      <c r="H844" s="230"/>
      <c r="I844" s="230"/>
      <c r="J844" s="230"/>
      <c r="K844" s="230"/>
      <c r="L844" s="242"/>
      <c r="M844" s="230"/>
      <c r="N844" s="230"/>
      <c r="O844" s="257"/>
      <c r="P844" s="230"/>
      <c r="Q844" s="242"/>
      <c r="R844" s="230"/>
      <c r="S844" s="250"/>
      <c r="T844" s="250"/>
      <c r="U844" s="230"/>
      <c r="V844" s="256"/>
      <c r="W844" s="257"/>
      <c r="X844" s="230"/>
      <c r="Y844" s="230"/>
      <c r="Z844" s="230"/>
    </row>
    <row r="845" spans="1:26" ht="24.75" customHeight="1">
      <c r="A845" s="230"/>
      <c r="B845" s="230"/>
      <c r="C845" s="230"/>
      <c r="D845" s="230"/>
      <c r="E845" s="230"/>
      <c r="F845" s="230"/>
      <c r="G845" s="230"/>
      <c r="H845" s="230"/>
      <c r="I845" s="230"/>
      <c r="J845" s="230"/>
      <c r="K845" s="230"/>
      <c r="L845" s="242"/>
      <c r="M845" s="230"/>
      <c r="N845" s="230"/>
      <c r="O845" s="257"/>
      <c r="P845" s="230"/>
      <c r="Q845" s="242"/>
      <c r="R845" s="230"/>
      <c r="S845" s="250"/>
      <c r="T845" s="250"/>
      <c r="U845" s="230"/>
      <c r="V845" s="256"/>
      <c r="W845" s="257"/>
      <c r="X845" s="230"/>
      <c r="Y845" s="230"/>
      <c r="Z845" s="230"/>
    </row>
    <row r="846" spans="1:26" ht="24.75" customHeight="1">
      <c r="A846" s="230"/>
      <c r="B846" s="230"/>
      <c r="C846" s="230"/>
      <c r="D846" s="230"/>
      <c r="E846" s="230"/>
      <c r="F846" s="230"/>
      <c r="G846" s="230"/>
      <c r="H846" s="230"/>
      <c r="I846" s="230"/>
      <c r="J846" s="230"/>
      <c r="K846" s="230"/>
      <c r="L846" s="242"/>
      <c r="M846" s="230"/>
      <c r="N846" s="230"/>
      <c r="O846" s="257"/>
      <c r="P846" s="230"/>
      <c r="Q846" s="242"/>
      <c r="R846" s="230"/>
      <c r="S846" s="250"/>
      <c r="T846" s="250"/>
      <c r="U846" s="230"/>
      <c r="V846" s="256"/>
      <c r="W846" s="257"/>
      <c r="X846" s="230"/>
      <c r="Y846" s="230"/>
      <c r="Z846" s="230"/>
    </row>
    <row r="847" spans="1:26" ht="24.75" customHeight="1">
      <c r="A847" s="230"/>
      <c r="B847" s="230"/>
      <c r="C847" s="230"/>
      <c r="D847" s="230"/>
      <c r="E847" s="230"/>
      <c r="F847" s="230"/>
      <c r="G847" s="230"/>
      <c r="H847" s="230"/>
      <c r="I847" s="230"/>
      <c r="J847" s="230"/>
      <c r="K847" s="230"/>
      <c r="L847" s="242"/>
      <c r="M847" s="230"/>
      <c r="N847" s="230"/>
      <c r="O847" s="257"/>
      <c r="P847" s="230"/>
      <c r="Q847" s="242"/>
      <c r="R847" s="230"/>
      <c r="S847" s="250"/>
      <c r="T847" s="250"/>
      <c r="U847" s="230"/>
      <c r="V847" s="256"/>
      <c r="W847" s="257"/>
      <c r="X847" s="230"/>
      <c r="Y847" s="230"/>
      <c r="Z847" s="230"/>
    </row>
    <row r="848" spans="1:26" ht="24.75" customHeight="1">
      <c r="A848" s="230"/>
      <c r="B848" s="230"/>
      <c r="C848" s="230"/>
      <c r="D848" s="230"/>
      <c r="E848" s="230"/>
      <c r="F848" s="230"/>
      <c r="G848" s="230"/>
      <c r="H848" s="230"/>
      <c r="I848" s="230"/>
      <c r="J848" s="230"/>
      <c r="K848" s="230"/>
      <c r="L848" s="242"/>
      <c r="M848" s="230"/>
      <c r="N848" s="230"/>
      <c r="O848" s="257"/>
      <c r="P848" s="230"/>
      <c r="Q848" s="242"/>
      <c r="R848" s="230"/>
      <c r="S848" s="250"/>
      <c r="T848" s="250"/>
      <c r="U848" s="230"/>
      <c r="V848" s="256"/>
      <c r="W848" s="257"/>
      <c r="X848" s="230"/>
      <c r="Y848" s="230"/>
      <c r="Z848" s="230"/>
    </row>
    <row r="849" spans="1:26" ht="24.75" customHeight="1">
      <c r="A849" s="230"/>
      <c r="B849" s="230"/>
      <c r="C849" s="230"/>
      <c r="D849" s="230"/>
      <c r="E849" s="230"/>
      <c r="F849" s="230"/>
      <c r="G849" s="230"/>
      <c r="H849" s="230"/>
      <c r="I849" s="230"/>
      <c r="J849" s="230"/>
      <c r="K849" s="230"/>
      <c r="L849" s="242"/>
      <c r="M849" s="230"/>
      <c r="N849" s="230"/>
      <c r="O849" s="257"/>
      <c r="P849" s="230"/>
      <c r="Q849" s="242"/>
      <c r="R849" s="230"/>
      <c r="S849" s="250"/>
      <c r="T849" s="250"/>
      <c r="U849" s="230"/>
      <c r="V849" s="256"/>
      <c r="W849" s="257"/>
      <c r="X849" s="230"/>
      <c r="Y849" s="230"/>
      <c r="Z849" s="230"/>
    </row>
    <row r="850" spans="1:26" ht="24.75" customHeight="1">
      <c r="A850" s="230"/>
      <c r="B850" s="230"/>
      <c r="C850" s="230"/>
      <c r="D850" s="230"/>
      <c r="E850" s="230"/>
      <c r="F850" s="230"/>
      <c r="G850" s="230"/>
      <c r="H850" s="230"/>
      <c r="I850" s="230"/>
      <c r="J850" s="230"/>
      <c r="K850" s="230"/>
      <c r="L850" s="242"/>
      <c r="M850" s="230"/>
      <c r="N850" s="230"/>
      <c r="O850" s="257"/>
      <c r="P850" s="230"/>
      <c r="Q850" s="242"/>
      <c r="R850" s="230"/>
      <c r="S850" s="250"/>
      <c r="T850" s="250"/>
      <c r="U850" s="230"/>
      <c r="V850" s="256"/>
      <c r="W850" s="257"/>
      <c r="X850" s="230"/>
      <c r="Y850" s="230"/>
      <c r="Z850" s="230"/>
    </row>
    <row r="851" spans="1:26" ht="24.75" customHeight="1">
      <c r="A851" s="230"/>
      <c r="B851" s="230"/>
      <c r="C851" s="230"/>
      <c r="D851" s="230"/>
      <c r="E851" s="230"/>
      <c r="F851" s="230"/>
      <c r="G851" s="230"/>
      <c r="H851" s="230"/>
      <c r="I851" s="230"/>
      <c r="J851" s="230"/>
      <c r="K851" s="230"/>
      <c r="L851" s="242"/>
      <c r="M851" s="230"/>
      <c r="N851" s="230"/>
      <c r="O851" s="257"/>
      <c r="P851" s="230"/>
      <c r="Q851" s="242"/>
      <c r="R851" s="230"/>
      <c r="S851" s="250"/>
      <c r="T851" s="250"/>
      <c r="U851" s="230"/>
      <c r="V851" s="256"/>
      <c r="W851" s="257"/>
      <c r="X851" s="230"/>
      <c r="Y851" s="230"/>
      <c r="Z851" s="230"/>
    </row>
    <row r="852" spans="1:26" ht="24.75" customHeight="1">
      <c r="A852" s="230"/>
      <c r="B852" s="230"/>
      <c r="C852" s="230"/>
      <c r="D852" s="230"/>
      <c r="E852" s="230"/>
      <c r="F852" s="230"/>
      <c r="G852" s="230"/>
      <c r="H852" s="230"/>
      <c r="I852" s="230"/>
      <c r="J852" s="230"/>
      <c r="K852" s="230"/>
      <c r="L852" s="242"/>
      <c r="M852" s="230"/>
      <c r="N852" s="230"/>
      <c r="O852" s="257"/>
      <c r="P852" s="230"/>
      <c r="Q852" s="242"/>
      <c r="R852" s="230"/>
      <c r="S852" s="250"/>
      <c r="T852" s="250"/>
      <c r="U852" s="230"/>
      <c r="V852" s="256"/>
      <c r="W852" s="257"/>
      <c r="X852" s="230"/>
      <c r="Y852" s="230"/>
      <c r="Z852" s="230"/>
    </row>
    <row r="853" spans="1:26" ht="24.75" customHeight="1">
      <c r="A853" s="230"/>
      <c r="B853" s="230"/>
      <c r="C853" s="230"/>
      <c r="D853" s="230"/>
      <c r="E853" s="230"/>
      <c r="F853" s="230"/>
      <c r="G853" s="230"/>
      <c r="H853" s="230"/>
      <c r="I853" s="230"/>
      <c r="J853" s="230"/>
      <c r="K853" s="230"/>
      <c r="L853" s="242"/>
      <c r="M853" s="230"/>
      <c r="N853" s="230"/>
      <c r="O853" s="257"/>
      <c r="P853" s="230"/>
      <c r="Q853" s="242"/>
      <c r="R853" s="230"/>
      <c r="S853" s="250"/>
      <c r="T853" s="250"/>
      <c r="U853" s="230"/>
      <c r="V853" s="256"/>
      <c r="W853" s="257"/>
      <c r="X853" s="230"/>
      <c r="Y853" s="230"/>
      <c r="Z853" s="230"/>
    </row>
    <row r="854" spans="1:26" ht="24.75" customHeight="1">
      <c r="A854" s="230"/>
      <c r="B854" s="230"/>
      <c r="C854" s="230"/>
      <c r="D854" s="230"/>
      <c r="E854" s="230"/>
      <c r="F854" s="230"/>
      <c r="G854" s="230"/>
      <c r="H854" s="230"/>
      <c r="I854" s="230"/>
      <c r="J854" s="230"/>
      <c r="K854" s="230"/>
      <c r="L854" s="242"/>
      <c r="M854" s="230"/>
      <c r="N854" s="230"/>
      <c r="O854" s="257"/>
      <c r="P854" s="230"/>
      <c r="Q854" s="242"/>
      <c r="R854" s="230"/>
      <c r="S854" s="250"/>
      <c r="T854" s="250"/>
      <c r="U854" s="230"/>
      <c r="V854" s="256"/>
      <c r="W854" s="257"/>
      <c r="X854" s="230"/>
      <c r="Y854" s="230"/>
      <c r="Z854" s="230"/>
    </row>
    <row r="855" spans="1:26" ht="24.75" customHeight="1">
      <c r="A855" s="230"/>
      <c r="B855" s="230"/>
      <c r="C855" s="230"/>
      <c r="D855" s="230"/>
      <c r="E855" s="230"/>
      <c r="F855" s="230"/>
      <c r="G855" s="230"/>
      <c r="H855" s="230"/>
      <c r="I855" s="230"/>
      <c r="J855" s="230"/>
      <c r="K855" s="230"/>
      <c r="L855" s="242"/>
      <c r="M855" s="230"/>
      <c r="N855" s="230"/>
      <c r="O855" s="257"/>
      <c r="P855" s="230"/>
      <c r="Q855" s="242"/>
      <c r="R855" s="230"/>
      <c r="S855" s="250"/>
      <c r="T855" s="250"/>
      <c r="U855" s="230"/>
      <c r="V855" s="256"/>
      <c r="W855" s="257"/>
      <c r="X855" s="230"/>
      <c r="Y855" s="230"/>
      <c r="Z855" s="230"/>
    </row>
    <row r="856" spans="1:26" ht="24.75" customHeight="1">
      <c r="A856" s="230"/>
      <c r="B856" s="230"/>
      <c r="C856" s="230"/>
      <c r="D856" s="230"/>
      <c r="E856" s="230"/>
      <c r="F856" s="230"/>
      <c r="G856" s="230"/>
      <c r="H856" s="230"/>
      <c r="I856" s="230"/>
      <c r="J856" s="230"/>
      <c r="K856" s="230"/>
      <c r="L856" s="242"/>
      <c r="M856" s="230"/>
      <c r="N856" s="230"/>
      <c r="O856" s="257"/>
      <c r="P856" s="230"/>
      <c r="Q856" s="242"/>
      <c r="R856" s="230"/>
      <c r="S856" s="250"/>
      <c r="T856" s="250"/>
      <c r="U856" s="230"/>
      <c r="V856" s="256"/>
      <c r="W856" s="257"/>
      <c r="X856" s="230"/>
      <c r="Y856" s="230"/>
      <c r="Z856" s="230"/>
    </row>
    <row r="857" spans="1:26" ht="24.75" customHeight="1">
      <c r="A857" s="230"/>
      <c r="B857" s="230"/>
      <c r="C857" s="230"/>
      <c r="D857" s="230"/>
      <c r="E857" s="230"/>
      <c r="F857" s="230"/>
      <c r="G857" s="230"/>
      <c r="H857" s="230"/>
      <c r="I857" s="230"/>
      <c r="J857" s="230"/>
      <c r="K857" s="230"/>
      <c r="L857" s="242"/>
      <c r="M857" s="230"/>
      <c r="N857" s="230"/>
      <c r="O857" s="257"/>
      <c r="P857" s="230"/>
      <c r="Q857" s="242"/>
      <c r="R857" s="230"/>
      <c r="S857" s="250"/>
      <c r="T857" s="250"/>
      <c r="U857" s="230"/>
      <c r="V857" s="256"/>
      <c r="W857" s="257"/>
      <c r="X857" s="230"/>
      <c r="Y857" s="230"/>
      <c r="Z857" s="230"/>
    </row>
    <row r="858" spans="1:26" ht="24.75" customHeight="1">
      <c r="A858" s="230"/>
      <c r="B858" s="230"/>
      <c r="C858" s="230"/>
      <c r="D858" s="230"/>
      <c r="E858" s="230"/>
      <c r="F858" s="230"/>
      <c r="G858" s="230"/>
      <c r="H858" s="230"/>
      <c r="I858" s="230"/>
      <c r="J858" s="230"/>
      <c r="K858" s="230"/>
      <c r="L858" s="242"/>
      <c r="M858" s="230"/>
      <c r="N858" s="230"/>
      <c r="O858" s="257"/>
      <c r="P858" s="230"/>
      <c r="Q858" s="242"/>
      <c r="R858" s="230"/>
      <c r="S858" s="250"/>
      <c r="T858" s="250"/>
      <c r="U858" s="230"/>
      <c r="V858" s="256"/>
      <c r="W858" s="257"/>
      <c r="X858" s="230"/>
      <c r="Y858" s="230"/>
      <c r="Z858" s="230"/>
    </row>
    <row r="859" spans="1:26" ht="24.75" customHeight="1">
      <c r="A859" s="230"/>
      <c r="B859" s="230"/>
      <c r="C859" s="230"/>
      <c r="D859" s="230"/>
      <c r="E859" s="230"/>
      <c r="F859" s="230"/>
      <c r="G859" s="230"/>
      <c r="H859" s="230"/>
      <c r="I859" s="230"/>
      <c r="J859" s="230"/>
      <c r="K859" s="230"/>
      <c r="L859" s="242"/>
      <c r="M859" s="230"/>
      <c r="N859" s="230"/>
      <c r="O859" s="257"/>
      <c r="P859" s="230"/>
      <c r="Q859" s="242"/>
      <c r="R859" s="230"/>
      <c r="S859" s="250"/>
      <c r="T859" s="250"/>
      <c r="U859" s="230"/>
      <c r="V859" s="256"/>
      <c r="W859" s="257"/>
      <c r="X859" s="230"/>
      <c r="Y859" s="230"/>
      <c r="Z859" s="230"/>
    </row>
    <row r="860" spans="1:26" ht="24.75" customHeight="1">
      <c r="A860" s="230"/>
      <c r="B860" s="230"/>
      <c r="C860" s="230"/>
      <c r="D860" s="230"/>
      <c r="E860" s="230"/>
      <c r="F860" s="230"/>
      <c r="G860" s="230"/>
      <c r="H860" s="230"/>
      <c r="I860" s="230"/>
      <c r="J860" s="230"/>
      <c r="K860" s="230"/>
      <c r="L860" s="242"/>
      <c r="M860" s="230"/>
      <c r="N860" s="230"/>
      <c r="O860" s="257"/>
      <c r="P860" s="230"/>
      <c r="Q860" s="242"/>
      <c r="R860" s="230"/>
      <c r="S860" s="250"/>
      <c r="T860" s="250"/>
      <c r="U860" s="230"/>
      <c r="V860" s="256"/>
      <c r="W860" s="257"/>
      <c r="X860" s="230"/>
      <c r="Y860" s="230"/>
      <c r="Z860" s="230"/>
    </row>
    <row r="861" spans="1:26" ht="24.75" customHeight="1">
      <c r="A861" s="230"/>
      <c r="B861" s="230"/>
      <c r="C861" s="230"/>
      <c r="D861" s="230"/>
      <c r="E861" s="230"/>
      <c r="F861" s="230"/>
      <c r="G861" s="230"/>
      <c r="H861" s="230"/>
      <c r="I861" s="230"/>
      <c r="J861" s="230"/>
      <c r="K861" s="230"/>
      <c r="L861" s="242"/>
      <c r="M861" s="230"/>
      <c r="N861" s="230"/>
      <c r="O861" s="257"/>
      <c r="P861" s="230"/>
      <c r="Q861" s="242"/>
      <c r="R861" s="230"/>
      <c r="S861" s="250"/>
      <c r="T861" s="250"/>
      <c r="U861" s="230"/>
      <c r="V861" s="256"/>
      <c r="W861" s="257"/>
      <c r="X861" s="230"/>
      <c r="Y861" s="230"/>
      <c r="Z861" s="230"/>
    </row>
    <row r="862" spans="1:26" ht="24.75" customHeight="1">
      <c r="A862" s="230"/>
      <c r="B862" s="230"/>
      <c r="C862" s="230"/>
      <c r="D862" s="230"/>
      <c r="E862" s="230"/>
      <c r="F862" s="230"/>
      <c r="G862" s="230"/>
      <c r="H862" s="230"/>
      <c r="I862" s="230"/>
      <c r="J862" s="230"/>
      <c r="K862" s="230"/>
      <c r="L862" s="242"/>
      <c r="M862" s="230"/>
      <c r="N862" s="230"/>
      <c r="O862" s="257"/>
      <c r="P862" s="230"/>
      <c r="Q862" s="242"/>
      <c r="R862" s="230"/>
      <c r="S862" s="250"/>
      <c r="T862" s="250"/>
      <c r="U862" s="230"/>
      <c r="V862" s="256"/>
      <c r="W862" s="257"/>
      <c r="X862" s="230"/>
      <c r="Y862" s="230"/>
      <c r="Z862" s="230"/>
    </row>
    <row r="863" spans="1:26" ht="24.75" customHeight="1">
      <c r="A863" s="230"/>
      <c r="B863" s="230"/>
      <c r="C863" s="230"/>
      <c r="D863" s="230"/>
      <c r="E863" s="230"/>
      <c r="F863" s="230"/>
      <c r="G863" s="230"/>
      <c r="H863" s="230"/>
      <c r="I863" s="230"/>
      <c r="J863" s="230"/>
      <c r="K863" s="230"/>
      <c r="L863" s="242"/>
      <c r="M863" s="230"/>
      <c r="N863" s="230"/>
      <c r="O863" s="257"/>
      <c r="P863" s="230"/>
      <c r="Q863" s="242"/>
      <c r="R863" s="230"/>
      <c r="S863" s="250"/>
      <c r="T863" s="250"/>
      <c r="U863" s="230"/>
      <c r="V863" s="256"/>
      <c r="W863" s="257"/>
      <c r="X863" s="230"/>
      <c r="Y863" s="230"/>
      <c r="Z863" s="230"/>
    </row>
    <row r="864" spans="1:26" ht="24.75" customHeight="1">
      <c r="A864" s="230"/>
      <c r="B864" s="230"/>
      <c r="C864" s="230"/>
      <c r="D864" s="230"/>
      <c r="E864" s="230"/>
      <c r="F864" s="230"/>
      <c r="G864" s="230"/>
      <c r="H864" s="230"/>
      <c r="I864" s="230"/>
      <c r="J864" s="230"/>
      <c r="K864" s="230"/>
      <c r="L864" s="242"/>
      <c r="M864" s="230"/>
      <c r="N864" s="230"/>
      <c r="O864" s="257"/>
      <c r="P864" s="230"/>
      <c r="Q864" s="242"/>
      <c r="R864" s="230"/>
      <c r="S864" s="250"/>
      <c r="T864" s="250"/>
      <c r="U864" s="230"/>
      <c r="V864" s="256"/>
      <c r="W864" s="257"/>
      <c r="X864" s="230"/>
      <c r="Y864" s="230"/>
      <c r="Z864" s="230"/>
    </row>
    <row r="865" spans="1:26" ht="24.75" customHeight="1">
      <c r="A865" s="230"/>
      <c r="B865" s="230"/>
      <c r="C865" s="230"/>
      <c r="D865" s="230"/>
      <c r="E865" s="230"/>
      <c r="F865" s="230"/>
      <c r="G865" s="230"/>
      <c r="H865" s="230"/>
      <c r="I865" s="230"/>
      <c r="J865" s="230"/>
      <c r="K865" s="230"/>
      <c r="L865" s="242"/>
      <c r="M865" s="230"/>
      <c r="N865" s="230"/>
      <c r="O865" s="257"/>
      <c r="P865" s="230"/>
      <c r="Q865" s="242"/>
      <c r="R865" s="230"/>
      <c r="S865" s="250"/>
      <c r="T865" s="250"/>
      <c r="U865" s="230"/>
      <c r="V865" s="256"/>
      <c r="W865" s="257"/>
      <c r="X865" s="230"/>
      <c r="Y865" s="230"/>
      <c r="Z865" s="230"/>
    </row>
    <row r="866" spans="1:26" ht="24.75" customHeight="1">
      <c r="A866" s="230"/>
      <c r="B866" s="230"/>
      <c r="C866" s="230"/>
      <c r="D866" s="230"/>
      <c r="E866" s="230"/>
      <c r="F866" s="230"/>
      <c r="G866" s="230"/>
      <c r="H866" s="230"/>
      <c r="I866" s="230"/>
      <c r="J866" s="230"/>
      <c r="K866" s="230"/>
      <c r="L866" s="242"/>
      <c r="M866" s="230"/>
      <c r="N866" s="230"/>
      <c r="O866" s="257"/>
      <c r="P866" s="230"/>
      <c r="Q866" s="242"/>
      <c r="R866" s="230"/>
      <c r="S866" s="250"/>
      <c r="T866" s="250"/>
      <c r="U866" s="230"/>
      <c r="V866" s="256"/>
      <c r="W866" s="257"/>
      <c r="X866" s="230"/>
      <c r="Y866" s="230"/>
      <c r="Z866" s="230"/>
    </row>
    <row r="867" spans="1:26" ht="24.75" customHeight="1">
      <c r="A867" s="230"/>
      <c r="B867" s="230"/>
      <c r="C867" s="230"/>
      <c r="D867" s="230"/>
      <c r="E867" s="230"/>
      <c r="F867" s="230"/>
      <c r="G867" s="230"/>
      <c r="H867" s="230"/>
      <c r="I867" s="230"/>
      <c r="J867" s="230"/>
      <c r="K867" s="230"/>
      <c r="L867" s="242"/>
      <c r="M867" s="230"/>
      <c r="N867" s="230"/>
      <c r="O867" s="257"/>
      <c r="P867" s="230"/>
      <c r="Q867" s="242"/>
      <c r="R867" s="230"/>
      <c r="S867" s="250"/>
      <c r="T867" s="250"/>
      <c r="U867" s="230"/>
      <c r="V867" s="256"/>
      <c r="W867" s="257"/>
      <c r="X867" s="230"/>
      <c r="Y867" s="230"/>
      <c r="Z867" s="230"/>
    </row>
    <row r="868" spans="1:26" ht="24.75" customHeight="1">
      <c r="A868" s="230"/>
      <c r="B868" s="230"/>
      <c r="C868" s="230"/>
      <c r="D868" s="230"/>
      <c r="E868" s="230"/>
      <c r="F868" s="230"/>
      <c r="G868" s="230"/>
      <c r="H868" s="230"/>
      <c r="I868" s="230"/>
      <c r="J868" s="230"/>
      <c r="K868" s="230"/>
      <c r="L868" s="242"/>
      <c r="M868" s="230"/>
      <c r="N868" s="230"/>
      <c r="O868" s="257"/>
      <c r="P868" s="230"/>
      <c r="Q868" s="242"/>
      <c r="R868" s="230"/>
      <c r="S868" s="250"/>
      <c r="T868" s="250"/>
      <c r="U868" s="230"/>
      <c r="V868" s="256"/>
      <c r="W868" s="257"/>
      <c r="X868" s="230"/>
      <c r="Y868" s="230"/>
      <c r="Z868" s="230"/>
    </row>
    <row r="869" spans="1:26" ht="24.75" customHeight="1">
      <c r="A869" s="230"/>
      <c r="B869" s="230"/>
      <c r="C869" s="230"/>
      <c r="D869" s="230"/>
      <c r="E869" s="230"/>
      <c r="F869" s="230"/>
      <c r="G869" s="230"/>
      <c r="H869" s="230"/>
      <c r="I869" s="230"/>
      <c r="J869" s="230"/>
      <c r="K869" s="230"/>
      <c r="L869" s="242"/>
      <c r="M869" s="230"/>
      <c r="N869" s="230"/>
      <c r="O869" s="257"/>
      <c r="P869" s="230"/>
      <c r="Q869" s="242"/>
      <c r="R869" s="230"/>
      <c r="S869" s="250"/>
      <c r="T869" s="250"/>
      <c r="U869" s="230"/>
      <c r="V869" s="256"/>
      <c r="W869" s="257"/>
      <c r="X869" s="230"/>
      <c r="Y869" s="230"/>
      <c r="Z869" s="230"/>
    </row>
    <row r="870" spans="1:26" ht="24.75" customHeight="1">
      <c r="A870" s="230"/>
      <c r="B870" s="230"/>
      <c r="C870" s="230"/>
      <c r="D870" s="230"/>
      <c r="E870" s="230"/>
      <c r="F870" s="230"/>
      <c r="G870" s="230"/>
      <c r="H870" s="230"/>
      <c r="I870" s="230"/>
      <c r="J870" s="230"/>
      <c r="K870" s="230"/>
      <c r="L870" s="242"/>
      <c r="M870" s="230"/>
      <c r="N870" s="230"/>
      <c r="O870" s="257"/>
      <c r="P870" s="230"/>
      <c r="Q870" s="242"/>
      <c r="R870" s="230"/>
      <c r="S870" s="250"/>
      <c r="T870" s="250"/>
      <c r="U870" s="230"/>
      <c r="V870" s="256"/>
      <c r="W870" s="257"/>
      <c r="X870" s="230"/>
      <c r="Y870" s="230"/>
      <c r="Z870" s="230"/>
    </row>
    <row r="871" spans="1:26" ht="24.75" customHeight="1">
      <c r="A871" s="230"/>
      <c r="B871" s="230"/>
      <c r="C871" s="230"/>
      <c r="D871" s="230"/>
      <c r="E871" s="230"/>
      <c r="F871" s="230"/>
      <c r="G871" s="230"/>
      <c r="H871" s="230"/>
      <c r="I871" s="230"/>
      <c r="J871" s="230"/>
      <c r="K871" s="230"/>
      <c r="L871" s="242"/>
      <c r="M871" s="230"/>
      <c r="N871" s="230"/>
      <c r="O871" s="257"/>
      <c r="P871" s="230"/>
      <c r="Q871" s="242"/>
      <c r="R871" s="230"/>
      <c r="S871" s="250"/>
      <c r="T871" s="250"/>
      <c r="U871" s="230"/>
      <c r="V871" s="256"/>
      <c r="W871" s="257"/>
      <c r="X871" s="230"/>
      <c r="Y871" s="230"/>
      <c r="Z871" s="230"/>
    </row>
    <row r="872" spans="1:26" ht="24.75" customHeight="1">
      <c r="A872" s="230"/>
      <c r="B872" s="230"/>
      <c r="C872" s="230"/>
      <c r="D872" s="230"/>
      <c r="E872" s="230"/>
      <c r="F872" s="230"/>
      <c r="G872" s="230"/>
      <c r="H872" s="230"/>
      <c r="I872" s="230"/>
      <c r="J872" s="230"/>
      <c r="K872" s="230"/>
      <c r="L872" s="242"/>
      <c r="M872" s="230"/>
      <c r="N872" s="230"/>
      <c r="O872" s="257"/>
      <c r="P872" s="230"/>
      <c r="Q872" s="242"/>
      <c r="R872" s="230"/>
      <c r="S872" s="250"/>
      <c r="T872" s="250"/>
      <c r="U872" s="230"/>
      <c r="V872" s="256"/>
      <c r="W872" s="257"/>
      <c r="X872" s="230"/>
      <c r="Y872" s="230"/>
      <c r="Z872" s="230"/>
    </row>
    <row r="873" spans="1:26" ht="24.75" customHeight="1">
      <c r="A873" s="230"/>
      <c r="B873" s="230"/>
      <c r="C873" s="230"/>
      <c r="D873" s="230"/>
      <c r="E873" s="230"/>
      <c r="F873" s="230"/>
      <c r="G873" s="230"/>
      <c r="H873" s="230"/>
      <c r="I873" s="230"/>
      <c r="J873" s="230"/>
      <c r="K873" s="230"/>
      <c r="L873" s="242"/>
      <c r="M873" s="230"/>
      <c r="N873" s="230"/>
      <c r="O873" s="257"/>
      <c r="P873" s="230"/>
      <c r="Q873" s="242"/>
      <c r="R873" s="230"/>
      <c r="S873" s="250"/>
      <c r="T873" s="250"/>
      <c r="U873" s="230"/>
      <c r="V873" s="256"/>
      <c r="W873" s="257"/>
      <c r="X873" s="230"/>
      <c r="Y873" s="230"/>
      <c r="Z873" s="230"/>
    </row>
    <row r="874" spans="1:26" ht="24.75" customHeight="1">
      <c r="A874" s="230"/>
      <c r="B874" s="230"/>
      <c r="C874" s="230"/>
      <c r="D874" s="230"/>
      <c r="E874" s="230"/>
      <c r="F874" s="230"/>
      <c r="G874" s="230"/>
      <c r="H874" s="230"/>
      <c r="I874" s="230"/>
      <c r="J874" s="230"/>
      <c r="K874" s="230"/>
      <c r="L874" s="242"/>
      <c r="M874" s="230"/>
      <c r="N874" s="230"/>
      <c r="O874" s="257"/>
      <c r="P874" s="230"/>
      <c r="Q874" s="242"/>
      <c r="R874" s="230"/>
      <c r="S874" s="250"/>
      <c r="T874" s="250"/>
      <c r="U874" s="230"/>
      <c r="V874" s="256"/>
      <c r="W874" s="257"/>
      <c r="X874" s="230"/>
      <c r="Y874" s="230"/>
      <c r="Z874" s="230"/>
    </row>
    <row r="875" spans="1:26" ht="24.75" customHeight="1">
      <c r="A875" s="230"/>
      <c r="B875" s="230"/>
      <c r="C875" s="230"/>
      <c r="D875" s="230"/>
      <c r="E875" s="230"/>
      <c r="F875" s="230"/>
      <c r="G875" s="230"/>
      <c r="H875" s="230"/>
      <c r="I875" s="230"/>
      <c r="J875" s="230"/>
      <c r="K875" s="230"/>
      <c r="L875" s="242"/>
      <c r="M875" s="230"/>
      <c r="N875" s="230"/>
      <c r="O875" s="257"/>
      <c r="P875" s="230"/>
      <c r="Q875" s="242"/>
      <c r="R875" s="230"/>
      <c r="S875" s="250"/>
      <c r="T875" s="250"/>
      <c r="U875" s="230"/>
      <c r="V875" s="256"/>
      <c r="W875" s="257"/>
      <c r="X875" s="230"/>
      <c r="Y875" s="230"/>
      <c r="Z875" s="230"/>
    </row>
    <row r="876" spans="1:26" ht="24.75" customHeight="1">
      <c r="A876" s="230"/>
      <c r="B876" s="230"/>
      <c r="C876" s="230"/>
      <c r="D876" s="230"/>
      <c r="E876" s="230"/>
      <c r="F876" s="230"/>
      <c r="G876" s="230"/>
      <c r="H876" s="230"/>
      <c r="I876" s="230"/>
      <c r="J876" s="230"/>
      <c r="K876" s="230"/>
      <c r="L876" s="242"/>
      <c r="M876" s="230"/>
      <c r="N876" s="230"/>
      <c r="O876" s="257"/>
      <c r="P876" s="230"/>
      <c r="Q876" s="242"/>
      <c r="R876" s="230"/>
      <c r="S876" s="250"/>
      <c r="T876" s="250"/>
      <c r="U876" s="230"/>
      <c r="V876" s="256"/>
      <c r="W876" s="257"/>
      <c r="X876" s="230"/>
      <c r="Y876" s="230"/>
      <c r="Z876" s="230"/>
    </row>
    <row r="877" spans="1:26" ht="24.75" customHeight="1">
      <c r="A877" s="230"/>
      <c r="B877" s="230"/>
      <c r="C877" s="230"/>
      <c r="D877" s="230"/>
      <c r="E877" s="230"/>
      <c r="F877" s="230"/>
      <c r="G877" s="230"/>
      <c r="H877" s="230"/>
      <c r="I877" s="230"/>
      <c r="J877" s="230"/>
      <c r="K877" s="230"/>
      <c r="L877" s="242"/>
      <c r="M877" s="230"/>
      <c r="N877" s="230"/>
      <c r="O877" s="257"/>
      <c r="P877" s="230"/>
      <c r="Q877" s="242"/>
      <c r="R877" s="230"/>
      <c r="S877" s="250"/>
      <c r="T877" s="250"/>
      <c r="U877" s="230"/>
      <c r="V877" s="256"/>
      <c r="W877" s="257"/>
      <c r="X877" s="230"/>
      <c r="Y877" s="230"/>
      <c r="Z877" s="230"/>
    </row>
    <row r="878" spans="1:26" ht="24.75" customHeight="1">
      <c r="A878" s="230"/>
      <c r="B878" s="230"/>
      <c r="C878" s="230"/>
      <c r="D878" s="230"/>
      <c r="E878" s="230"/>
      <c r="F878" s="230"/>
      <c r="G878" s="230"/>
      <c r="H878" s="230"/>
      <c r="I878" s="230"/>
      <c r="J878" s="230"/>
      <c r="K878" s="230"/>
      <c r="L878" s="242"/>
      <c r="M878" s="230"/>
      <c r="N878" s="230"/>
      <c r="O878" s="257"/>
      <c r="P878" s="230"/>
      <c r="Q878" s="242"/>
      <c r="R878" s="230"/>
      <c r="S878" s="250"/>
      <c r="T878" s="250"/>
      <c r="U878" s="230"/>
      <c r="V878" s="256"/>
      <c r="W878" s="257"/>
      <c r="X878" s="230"/>
      <c r="Y878" s="230"/>
      <c r="Z878" s="230"/>
    </row>
    <row r="879" spans="1:26" ht="24.75" customHeight="1">
      <c r="A879" s="230"/>
      <c r="B879" s="230"/>
      <c r="C879" s="230"/>
      <c r="D879" s="230"/>
      <c r="E879" s="230"/>
      <c r="F879" s="230"/>
      <c r="G879" s="230"/>
      <c r="H879" s="230"/>
      <c r="I879" s="230"/>
      <c r="J879" s="230"/>
      <c r="K879" s="230"/>
      <c r="L879" s="242"/>
      <c r="M879" s="230"/>
      <c r="N879" s="230"/>
      <c r="O879" s="257"/>
      <c r="P879" s="230"/>
      <c r="Q879" s="242"/>
      <c r="R879" s="230"/>
      <c r="S879" s="250"/>
      <c r="T879" s="250"/>
      <c r="U879" s="230"/>
      <c r="V879" s="256"/>
      <c r="W879" s="257"/>
      <c r="X879" s="230"/>
      <c r="Y879" s="230"/>
      <c r="Z879" s="230"/>
    </row>
    <row r="880" spans="1:26" ht="24.75" customHeight="1">
      <c r="A880" s="230"/>
      <c r="B880" s="230"/>
      <c r="C880" s="230"/>
      <c r="D880" s="230"/>
      <c r="E880" s="230"/>
      <c r="F880" s="230"/>
      <c r="G880" s="230"/>
      <c r="H880" s="230"/>
      <c r="I880" s="230"/>
      <c r="J880" s="230"/>
      <c r="K880" s="230"/>
      <c r="L880" s="242"/>
      <c r="M880" s="230"/>
      <c r="N880" s="230"/>
      <c r="O880" s="257"/>
      <c r="P880" s="230"/>
      <c r="Q880" s="242"/>
      <c r="R880" s="230"/>
      <c r="S880" s="250"/>
      <c r="T880" s="250"/>
      <c r="U880" s="230"/>
      <c r="V880" s="256"/>
      <c r="W880" s="257"/>
      <c r="X880" s="230"/>
      <c r="Y880" s="230"/>
      <c r="Z880" s="230"/>
    </row>
    <row r="881" spans="1:26" ht="24.75" customHeight="1">
      <c r="A881" s="230"/>
      <c r="B881" s="230"/>
      <c r="C881" s="230"/>
      <c r="D881" s="230"/>
      <c r="E881" s="230"/>
      <c r="F881" s="230"/>
      <c r="G881" s="230"/>
      <c r="H881" s="230"/>
      <c r="I881" s="230"/>
      <c r="J881" s="230"/>
      <c r="K881" s="230"/>
      <c r="L881" s="242"/>
      <c r="M881" s="230"/>
      <c r="N881" s="230"/>
      <c r="O881" s="257"/>
      <c r="P881" s="230"/>
      <c r="Q881" s="242"/>
      <c r="R881" s="230"/>
      <c r="S881" s="250"/>
      <c r="T881" s="250"/>
      <c r="U881" s="230"/>
      <c r="V881" s="256"/>
      <c r="W881" s="257"/>
      <c r="X881" s="230"/>
      <c r="Y881" s="230"/>
      <c r="Z881" s="230"/>
    </row>
    <row r="882" spans="1:26" ht="24.75" customHeight="1">
      <c r="A882" s="230"/>
      <c r="B882" s="230"/>
      <c r="C882" s="230"/>
      <c r="D882" s="230"/>
      <c r="E882" s="230"/>
      <c r="F882" s="230"/>
      <c r="G882" s="230"/>
      <c r="H882" s="230"/>
      <c r="I882" s="230"/>
      <c r="J882" s="230"/>
      <c r="K882" s="230"/>
      <c r="L882" s="242"/>
      <c r="M882" s="230"/>
      <c r="N882" s="230"/>
      <c r="O882" s="257"/>
      <c r="P882" s="230"/>
      <c r="Q882" s="242"/>
      <c r="R882" s="230"/>
      <c r="S882" s="250"/>
      <c r="T882" s="250"/>
      <c r="U882" s="230"/>
      <c r="V882" s="256"/>
      <c r="W882" s="257"/>
      <c r="X882" s="230"/>
      <c r="Y882" s="230"/>
      <c r="Z882" s="230"/>
    </row>
    <row r="883" spans="1:26" ht="24.75" customHeight="1">
      <c r="A883" s="230"/>
      <c r="B883" s="230"/>
      <c r="C883" s="230"/>
      <c r="D883" s="230"/>
      <c r="E883" s="230"/>
      <c r="F883" s="230"/>
      <c r="G883" s="230"/>
      <c r="H883" s="230"/>
      <c r="I883" s="230"/>
      <c r="J883" s="230"/>
      <c r="K883" s="230"/>
      <c r="L883" s="242"/>
      <c r="M883" s="230"/>
      <c r="N883" s="230"/>
      <c r="O883" s="257"/>
      <c r="P883" s="230"/>
      <c r="Q883" s="242"/>
      <c r="R883" s="230"/>
      <c r="S883" s="250"/>
      <c r="T883" s="250"/>
      <c r="U883" s="230"/>
      <c r="V883" s="256"/>
      <c r="W883" s="257"/>
      <c r="X883" s="230"/>
      <c r="Y883" s="230"/>
      <c r="Z883" s="230"/>
    </row>
    <row r="884" spans="1:26" ht="24.75" customHeight="1">
      <c r="A884" s="230"/>
      <c r="B884" s="230"/>
      <c r="C884" s="230"/>
      <c r="D884" s="230"/>
      <c r="E884" s="230"/>
      <c r="F884" s="230"/>
      <c r="G884" s="230"/>
      <c r="H884" s="230"/>
      <c r="I884" s="230"/>
      <c r="J884" s="230"/>
      <c r="K884" s="230"/>
      <c r="L884" s="242"/>
      <c r="M884" s="230"/>
      <c r="N884" s="230"/>
      <c r="O884" s="257"/>
      <c r="P884" s="230"/>
      <c r="Q884" s="242"/>
      <c r="R884" s="230"/>
      <c r="S884" s="250"/>
      <c r="T884" s="250"/>
      <c r="U884" s="230"/>
      <c r="V884" s="256"/>
      <c r="W884" s="257"/>
      <c r="X884" s="230"/>
      <c r="Y884" s="230"/>
      <c r="Z884" s="230"/>
    </row>
    <row r="885" spans="1:26" ht="24.75" customHeight="1">
      <c r="A885" s="230"/>
      <c r="B885" s="230"/>
      <c r="C885" s="230"/>
      <c r="D885" s="230"/>
      <c r="E885" s="230"/>
      <c r="F885" s="230"/>
      <c r="G885" s="230"/>
      <c r="H885" s="230"/>
      <c r="I885" s="230"/>
      <c r="J885" s="230"/>
      <c r="K885" s="230"/>
      <c r="L885" s="242"/>
      <c r="M885" s="230"/>
      <c r="N885" s="230"/>
      <c r="O885" s="257"/>
      <c r="P885" s="230"/>
      <c r="Q885" s="242"/>
      <c r="R885" s="230"/>
      <c r="S885" s="250"/>
      <c r="T885" s="250"/>
      <c r="U885" s="230"/>
      <c r="V885" s="256"/>
      <c r="W885" s="257"/>
      <c r="X885" s="230"/>
      <c r="Y885" s="230"/>
      <c r="Z885" s="230"/>
    </row>
    <row r="886" spans="1:26" ht="24.75" customHeight="1">
      <c r="A886" s="230"/>
      <c r="B886" s="230"/>
      <c r="C886" s="230"/>
      <c r="D886" s="230"/>
      <c r="E886" s="230"/>
      <c r="F886" s="230"/>
      <c r="G886" s="230"/>
      <c r="H886" s="230"/>
      <c r="I886" s="230"/>
      <c r="J886" s="230"/>
      <c r="K886" s="230"/>
      <c r="L886" s="242"/>
      <c r="M886" s="230"/>
      <c r="N886" s="230"/>
      <c r="O886" s="257"/>
      <c r="P886" s="230"/>
      <c r="Q886" s="242"/>
      <c r="R886" s="230"/>
      <c r="S886" s="250"/>
      <c r="T886" s="250"/>
      <c r="U886" s="230"/>
      <c r="V886" s="256"/>
      <c r="W886" s="257"/>
      <c r="X886" s="230"/>
      <c r="Y886" s="230"/>
      <c r="Z886" s="230"/>
    </row>
    <row r="887" spans="1:26" ht="24.75" customHeight="1">
      <c r="A887" s="230"/>
      <c r="B887" s="230"/>
      <c r="C887" s="230"/>
      <c r="D887" s="230"/>
      <c r="E887" s="230"/>
      <c r="F887" s="230"/>
      <c r="G887" s="230"/>
      <c r="H887" s="230"/>
      <c r="I887" s="230"/>
      <c r="J887" s="230"/>
      <c r="K887" s="230"/>
      <c r="L887" s="242"/>
      <c r="M887" s="230"/>
      <c r="N887" s="230"/>
      <c r="O887" s="257"/>
      <c r="P887" s="230"/>
      <c r="Q887" s="242"/>
      <c r="R887" s="230"/>
      <c r="S887" s="250"/>
      <c r="T887" s="250"/>
      <c r="U887" s="230"/>
      <c r="V887" s="256"/>
      <c r="W887" s="257"/>
      <c r="X887" s="230"/>
      <c r="Y887" s="230"/>
      <c r="Z887" s="230"/>
    </row>
    <row r="888" spans="1:26" ht="24.75" customHeight="1">
      <c r="A888" s="230"/>
      <c r="B888" s="230"/>
      <c r="C888" s="230"/>
      <c r="D888" s="230"/>
      <c r="E888" s="230"/>
      <c r="F888" s="230"/>
      <c r="G888" s="230"/>
      <c r="H888" s="230"/>
      <c r="I888" s="230"/>
      <c r="J888" s="230"/>
      <c r="K888" s="230"/>
      <c r="L888" s="242"/>
      <c r="M888" s="230"/>
      <c r="N888" s="230"/>
      <c r="O888" s="257"/>
      <c r="P888" s="230"/>
      <c r="Q888" s="242"/>
      <c r="R888" s="230"/>
      <c r="S888" s="250"/>
      <c r="T888" s="250"/>
      <c r="U888" s="230"/>
      <c r="V888" s="256"/>
      <c r="W888" s="257"/>
      <c r="X888" s="230"/>
      <c r="Y888" s="230"/>
      <c r="Z888" s="230"/>
    </row>
    <row r="889" spans="1:26" ht="24.75" customHeight="1">
      <c r="A889" s="230"/>
      <c r="B889" s="230"/>
      <c r="C889" s="230"/>
      <c r="D889" s="230"/>
      <c r="E889" s="230"/>
      <c r="F889" s="230"/>
      <c r="G889" s="230"/>
      <c r="H889" s="230"/>
      <c r="I889" s="230"/>
      <c r="J889" s="230"/>
      <c r="K889" s="230"/>
      <c r="L889" s="242"/>
      <c r="M889" s="230"/>
      <c r="N889" s="230"/>
      <c r="O889" s="257"/>
      <c r="P889" s="230"/>
      <c r="Q889" s="242"/>
      <c r="R889" s="230"/>
      <c r="S889" s="250"/>
      <c r="T889" s="250"/>
      <c r="U889" s="230"/>
      <c r="V889" s="256"/>
      <c r="W889" s="257"/>
      <c r="X889" s="230"/>
      <c r="Y889" s="230"/>
      <c r="Z889" s="230"/>
    </row>
    <row r="890" spans="1:26" ht="24.75" customHeight="1">
      <c r="A890" s="230"/>
      <c r="B890" s="230"/>
      <c r="C890" s="230"/>
      <c r="D890" s="230"/>
      <c r="E890" s="230"/>
      <c r="F890" s="230"/>
      <c r="G890" s="230"/>
      <c r="H890" s="230"/>
      <c r="I890" s="230"/>
      <c r="J890" s="230"/>
      <c r="K890" s="230"/>
      <c r="L890" s="242"/>
      <c r="M890" s="230"/>
      <c r="N890" s="230"/>
      <c r="O890" s="257"/>
      <c r="P890" s="230"/>
      <c r="Q890" s="242"/>
      <c r="R890" s="230"/>
      <c r="S890" s="250"/>
      <c r="T890" s="250"/>
      <c r="U890" s="230"/>
      <c r="V890" s="256"/>
      <c r="W890" s="257"/>
      <c r="X890" s="230"/>
      <c r="Y890" s="230"/>
      <c r="Z890" s="230"/>
    </row>
    <row r="891" spans="1:26" ht="24.75" customHeight="1">
      <c r="A891" s="230"/>
      <c r="B891" s="230"/>
      <c r="C891" s="230"/>
      <c r="D891" s="230"/>
      <c r="E891" s="230"/>
      <c r="F891" s="230"/>
      <c r="G891" s="230"/>
      <c r="H891" s="230"/>
      <c r="I891" s="230"/>
      <c r="J891" s="230"/>
      <c r="K891" s="230"/>
      <c r="L891" s="242"/>
      <c r="M891" s="230"/>
      <c r="N891" s="230"/>
      <c r="O891" s="257"/>
      <c r="P891" s="230"/>
      <c r="Q891" s="242"/>
      <c r="R891" s="230"/>
      <c r="S891" s="250"/>
      <c r="T891" s="250"/>
      <c r="U891" s="230"/>
      <c r="V891" s="256"/>
      <c r="W891" s="257"/>
      <c r="X891" s="230"/>
      <c r="Y891" s="230"/>
      <c r="Z891" s="230"/>
    </row>
    <row r="892" spans="1:26" ht="24.75" customHeight="1">
      <c r="A892" s="230"/>
      <c r="B892" s="230"/>
      <c r="C892" s="230"/>
      <c r="D892" s="230"/>
      <c r="E892" s="230"/>
      <c r="F892" s="230"/>
      <c r="G892" s="230"/>
      <c r="H892" s="230"/>
      <c r="I892" s="230"/>
      <c r="J892" s="230"/>
      <c r="K892" s="230"/>
      <c r="L892" s="242"/>
      <c r="M892" s="230"/>
      <c r="N892" s="230"/>
      <c r="O892" s="257"/>
      <c r="P892" s="230"/>
      <c r="Q892" s="242"/>
      <c r="R892" s="230"/>
      <c r="S892" s="250"/>
      <c r="T892" s="250"/>
      <c r="U892" s="230"/>
      <c r="V892" s="256"/>
      <c r="W892" s="257"/>
      <c r="X892" s="230"/>
      <c r="Y892" s="230"/>
      <c r="Z892" s="230"/>
    </row>
    <row r="893" spans="1:26" ht="24.75" customHeight="1">
      <c r="A893" s="230"/>
      <c r="B893" s="230"/>
      <c r="C893" s="230"/>
      <c r="D893" s="230"/>
      <c r="E893" s="230"/>
      <c r="F893" s="230"/>
      <c r="G893" s="230"/>
      <c r="H893" s="230"/>
      <c r="I893" s="230"/>
      <c r="J893" s="230"/>
      <c r="K893" s="230"/>
      <c r="L893" s="242"/>
      <c r="M893" s="230"/>
      <c r="N893" s="230"/>
      <c r="O893" s="257"/>
      <c r="P893" s="230"/>
      <c r="Q893" s="242"/>
      <c r="R893" s="230"/>
      <c r="S893" s="250"/>
      <c r="T893" s="250"/>
      <c r="U893" s="230"/>
      <c r="V893" s="256"/>
      <c r="W893" s="257"/>
      <c r="X893" s="230"/>
      <c r="Y893" s="230"/>
      <c r="Z893" s="230"/>
    </row>
    <row r="894" spans="1:26" ht="24.75" customHeight="1">
      <c r="A894" s="230"/>
      <c r="B894" s="230"/>
      <c r="C894" s="230"/>
      <c r="D894" s="230"/>
      <c r="E894" s="230"/>
      <c r="F894" s="230"/>
      <c r="G894" s="230"/>
      <c r="H894" s="230"/>
      <c r="I894" s="230"/>
      <c r="J894" s="230"/>
      <c r="K894" s="230"/>
      <c r="L894" s="242"/>
      <c r="M894" s="230"/>
      <c r="N894" s="230"/>
      <c r="O894" s="257"/>
      <c r="P894" s="230"/>
      <c r="Q894" s="242"/>
      <c r="R894" s="230"/>
      <c r="S894" s="250"/>
      <c r="T894" s="250"/>
      <c r="U894" s="230"/>
      <c r="V894" s="256"/>
      <c r="W894" s="257"/>
      <c r="X894" s="230"/>
      <c r="Y894" s="230"/>
      <c r="Z894" s="230"/>
    </row>
    <row r="895" spans="1:26" ht="24.75" customHeight="1">
      <c r="A895" s="230"/>
      <c r="B895" s="230"/>
      <c r="C895" s="230"/>
      <c r="D895" s="230"/>
      <c r="E895" s="230"/>
      <c r="F895" s="230"/>
      <c r="G895" s="230"/>
      <c r="H895" s="230"/>
      <c r="I895" s="230"/>
      <c r="J895" s="230"/>
      <c r="K895" s="230"/>
      <c r="L895" s="242"/>
      <c r="M895" s="230"/>
      <c r="N895" s="230"/>
      <c r="O895" s="257"/>
      <c r="P895" s="230"/>
      <c r="Q895" s="242"/>
      <c r="R895" s="230"/>
      <c r="S895" s="250"/>
      <c r="T895" s="250"/>
      <c r="U895" s="230"/>
      <c r="V895" s="256"/>
      <c r="W895" s="257"/>
      <c r="X895" s="230"/>
      <c r="Y895" s="230"/>
      <c r="Z895" s="230"/>
    </row>
    <row r="896" spans="1:26" ht="24.75" customHeight="1">
      <c r="A896" s="230"/>
      <c r="B896" s="230"/>
      <c r="C896" s="230"/>
      <c r="D896" s="230"/>
      <c r="E896" s="230"/>
      <c r="F896" s="230"/>
      <c r="G896" s="230"/>
      <c r="H896" s="230"/>
      <c r="I896" s="230"/>
      <c r="J896" s="230"/>
      <c r="K896" s="230"/>
      <c r="L896" s="242"/>
      <c r="M896" s="230"/>
      <c r="N896" s="230"/>
      <c r="O896" s="257"/>
      <c r="P896" s="230"/>
      <c r="Q896" s="242"/>
      <c r="R896" s="230"/>
      <c r="S896" s="250"/>
      <c r="T896" s="250"/>
      <c r="U896" s="230"/>
      <c r="V896" s="256"/>
      <c r="W896" s="257"/>
      <c r="X896" s="230"/>
      <c r="Y896" s="230"/>
      <c r="Z896" s="230"/>
    </row>
    <row r="897" spans="1:26" ht="24.75" customHeight="1">
      <c r="A897" s="230"/>
      <c r="B897" s="230"/>
      <c r="C897" s="230"/>
      <c r="D897" s="230"/>
      <c r="E897" s="230"/>
      <c r="F897" s="230"/>
      <c r="G897" s="230"/>
      <c r="H897" s="230"/>
      <c r="I897" s="230"/>
      <c r="J897" s="230"/>
      <c r="K897" s="230"/>
      <c r="L897" s="242"/>
      <c r="M897" s="230"/>
      <c r="N897" s="230"/>
      <c r="O897" s="257"/>
      <c r="P897" s="230"/>
      <c r="Q897" s="242"/>
      <c r="R897" s="230"/>
      <c r="S897" s="250"/>
      <c r="T897" s="250"/>
      <c r="U897" s="230"/>
      <c r="V897" s="256"/>
      <c r="W897" s="257"/>
      <c r="X897" s="230"/>
      <c r="Y897" s="230"/>
      <c r="Z897" s="230"/>
    </row>
    <row r="898" spans="1:26" ht="24.75" customHeight="1">
      <c r="A898" s="230"/>
      <c r="B898" s="230"/>
      <c r="C898" s="230"/>
      <c r="D898" s="230"/>
      <c r="E898" s="230"/>
      <c r="F898" s="230"/>
      <c r="G898" s="230"/>
      <c r="H898" s="230"/>
      <c r="I898" s="230"/>
      <c r="J898" s="230"/>
      <c r="K898" s="230"/>
      <c r="L898" s="242"/>
      <c r="M898" s="230"/>
      <c r="N898" s="230"/>
      <c r="O898" s="257"/>
      <c r="P898" s="230"/>
      <c r="Q898" s="242"/>
      <c r="R898" s="230"/>
      <c r="S898" s="250"/>
      <c r="T898" s="250"/>
      <c r="U898" s="230"/>
      <c r="V898" s="256"/>
      <c r="W898" s="257"/>
      <c r="X898" s="230"/>
      <c r="Y898" s="230"/>
      <c r="Z898" s="230"/>
    </row>
    <row r="899" spans="1:26" ht="24.75" customHeight="1">
      <c r="A899" s="230"/>
      <c r="B899" s="230"/>
      <c r="C899" s="230"/>
      <c r="D899" s="230"/>
      <c r="E899" s="230"/>
      <c r="F899" s="230"/>
      <c r="G899" s="230"/>
      <c r="H899" s="230"/>
      <c r="I899" s="230"/>
      <c r="J899" s="230"/>
      <c r="K899" s="230"/>
      <c r="L899" s="242"/>
      <c r="M899" s="230"/>
      <c r="N899" s="230"/>
      <c r="O899" s="257"/>
      <c r="P899" s="230"/>
      <c r="Q899" s="242"/>
      <c r="R899" s="230"/>
      <c r="S899" s="250"/>
      <c r="T899" s="250"/>
      <c r="U899" s="230"/>
      <c r="V899" s="256"/>
      <c r="W899" s="257"/>
      <c r="X899" s="230"/>
      <c r="Y899" s="230"/>
      <c r="Z899" s="230"/>
    </row>
    <row r="900" spans="1:26" ht="24.75" customHeight="1">
      <c r="A900" s="230"/>
      <c r="B900" s="230"/>
      <c r="C900" s="230"/>
      <c r="D900" s="230"/>
      <c r="E900" s="230"/>
      <c r="F900" s="230"/>
      <c r="G900" s="230"/>
      <c r="H900" s="230"/>
      <c r="I900" s="230"/>
      <c r="J900" s="230"/>
      <c r="K900" s="230"/>
      <c r="L900" s="242"/>
      <c r="M900" s="230"/>
      <c r="N900" s="230"/>
      <c r="O900" s="257"/>
      <c r="P900" s="230"/>
      <c r="Q900" s="242"/>
      <c r="R900" s="230"/>
      <c r="S900" s="250"/>
      <c r="T900" s="250"/>
      <c r="U900" s="230"/>
      <c r="V900" s="256"/>
      <c r="W900" s="257"/>
      <c r="X900" s="230"/>
      <c r="Y900" s="230"/>
      <c r="Z900" s="230"/>
    </row>
    <row r="901" spans="1:26" ht="24.75" customHeight="1">
      <c r="A901" s="230"/>
      <c r="B901" s="230"/>
      <c r="C901" s="230"/>
      <c r="D901" s="230"/>
      <c r="E901" s="230"/>
      <c r="F901" s="230"/>
      <c r="G901" s="230"/>
      <c r="H901" s="230"/>
      <c r="I901" s="230"/>
      <c r="J901" s="230"/>
      <c r="K901" s="230"/>
      <c r="L901" s="242"/>
      <c r="M901" s="230"/>
      <c r="N901" s="230"/>
      <c r="O901" s="257"/>
      <c r="P901" s="230"/>
      <c r="Q901" s="242"/>
      <c r="R901" s="230"/>
      <c r="S901" s="250"/>
      <c r="T901" s="250"/>
      <c r="U901" s="230"/>
      <c r="V901" s="256"/>
      <c r="W901" s="257"/>
      <c r="X901" s="230"/>
      <c r="Y901" s="230"/>
      <c r="Z901" s="230"/>
    </row>
    <row r="902" spans="1:26" ht="24.75" customHeight="1">
      <c r="A902" s="230"/>
      <c r="B902" s="230"/>
      <c r="C902" s="230"/>
      <c r="D902" s="230"/>
      <c r="E902" s="230"/>
      <c r="F902" s="230"/>
      <c r="G902" s="230"/>
      <c r="H902" s="230"/>
      <c r="I902" s="230"/>
      <c r="J902" s="230"/>
      <c r="K902" s="230"/>
      <c r="L902" s="242"/>
      <c r="M902" s="230"/>
      <c r="N902" s="230"/>
      <c r="O902" s="257"/>
      <c r="P902" s="230"/>
      <c r="Q902" s="242"/>
      <c r="R902" s="230"/>
      <c r="S902" s="250"/>
      <c r="T902" s="250"/>
      <c r="U902" s="230"/>
      <c r="V902" s="256"/>
      <c r="W902" s="257"/>
      <c r="X902" s="230"/>
      <c r="Y902" s="230"/>
      <c r="Z902" s="230"/>
    </row>
    <row r="903" spans="1:26" ht="24.75" customHeight="1">
      <c r="A903" s="230"/>
      <c r="B903" s="230"/>
      <c r="C903" s="230"/>
      <c r="D903" s="230"/>
      <c r="E903" s="230"/>
      <c r="F903" s="230"/>
      <c r="G903" s="230"/>
      <c r="H903" s="230"/>
      <c r="I903" s="230"/>
      <c r="J903" s="230"/>
      <c r="K903" s="230"/>
      <c r="L903" s="242"/>
      <c r="M903" s="230"/>
      <c r="N903" s="230"/>
      <c r="O903" s="257"/>
      <c r="P903" s="230"/>
      <c r="Q903" s="242"/>
      <c r="R903" s="230"/>
      <c r="S903" s="250"/>
      <c r="T903" s="250"/>
      <c r="U903" s="230"/>
      <c r="V903" s="256"/>
      <c r="W903" s="257"/>
      <c r="X903" s="230"/>
      <c r="Y903" s="230"/>
      <c r="Z903" s="230"/>
    </row>
    <row r="904" spans="1:26" ht="24.75" customHeight="1">
      <c r="A904" s="230"/>
      <c r="B904" s="230"/>
      <c r="C904" s="230"/>
      <c r="D904" s="230"/>
      <c r="E904" s="230"/>
      <c r="F904" s="230"/>
      <c r="G904" s="230"/>
      <c r="H904" s="230"/>
      <c r="I904" s="230"/>
      <c r="J904" s="230"/>
      <c r="K904" s="230"/>
      <c r="L904" s="242"/>
      <c r="M904" s="230"/>
      <c r="N904" s="230"/>
      <c r="O904" s="257"/>
      <c r="P904" s="230"/>
      <c r="Q904" s="242"/>
      <c r="R904" s="230"/>
      <c r="S904" s="250"/>
      <c r="T904" s="250"/>
      <c r="U904" s="230"/>
      <c r="V904" s="256"/>
      <c r="W904" s="257"/>
      <c r="X904" s="230"/>
      <c r="Y904" s="230"/>
      <c r="Z904" s="230"/>
    </row>
    <row r="905" spans="1:26" ht="24.75" customHeight="1">
      <c r="A905" s="230"/>
      <c r="B905" s="230"/>
      <c r="C905" s="230"/>
      <c r="D905" s="230"/>
      <c r="E905" s="230"/>
      <c r="F905" s="230"/>
      <c r="G905" s="230"/>
      <c r="H905" s="230"/>
      <c r="I905" s="230"/>
      <c r="J905" s="230"/>
      <c r="K905" s="230"/>
      <c r="L905" s="242"/>
      <c r="M905" s="230"/>
      <c r="N905" s="230"/>
      <c r="O905" s="257"/>
      <c r="P905" s="230"/>
      <c r="Q905" s="242"/>
      <c r="R905" s="230"/>
      <c r="S905" s="250"/>
      <c r="T905" s="250"/>
      <c r="U905" s="230"/>
      <c r="V905" s="256"/>
      <c r="W905" s="257"/>
      <c r="X905" s="230"/>
      <c r="Y905" s="230"/>
      <c r="Z905" s="230"/>
    </row>
    <row r="906" spans="1:26" ht="24.75" customHeight="1">
      <c r="A906" s="230"/>
      <c r="B906" s="230"/>
      <c r="C906" s="230"/>
      <c r="D906" s="230"/>
      <c r="E906" s="230"/>
      <c r="F906" s="230"/>
      <c r="G906" s="230"/>
      <c r="H906" s="230"/>
      <c r="I906" s="230"/>
      <c r="J906" s="230"/>
      <c r="K906" s="230"/>
      <c r="L906" s="242"/>
      <c r="M906" s="230"/>
      <c r="N906" s="230"/>
      <c r="O906" s="257"/>
      <c r="P906" s="230"/>
      <c r="Q906" s="242"/>
      <c r="R906" s="230"/>
      <c r="S906" s="250"/>
      <c r="T906" s="250"/>
      <c r="U906" s="230"/>
      <c r="V906" s="256"/>
      <c r="W906" s="257"/>
      <c r="X906" s="230"/>
      <c r="Y906" s="230"/>
      <c r="Z906" s="230"/>
    </row>
    <row r="907" spans="1:26" ht="24.75" customHeight="1">
      <c r="A907" s="230"/>
      <c r="B907" s="230"/>
      <c r="C907" s="230"/>
      <c r="D907" s="230"/>
      <c r="E907" s="230"/>
      <c r="F907" s="230"/>
      <c r="G907" s="230"/>
      <c r="H907" s="230"/>
      <c r="I907" s="230"/>
      <c r="J907" s="230"/>
      <c r="K907" s="230"/>
      <c r="L907" s="242"/>
      <c r="M907" s="230"/>
      <c r="N907" s="230"/>
      <c r="O907" s="257"/>
      <c r="P907" s="230"/>
      <c r="Q907" s="242"/>
      <c r="R907" s="230"/>
      <c r="S907" s="250"/>
      <c r="T907" s="250"/>
      <c r="U907" s="230"/>
      <c r="V907" s="256"/>
      <c r="W907" s="257"/>
      <c r="X907" s="230"/>
      <c r="Y907" s="230"/>
      <c r="Z907" s="230"/>
    </row>
    <row r="908" spans="1:26" ht="24.75" customHeight="1">
      <c r="A908" s="230"/>
      <c r="B908" s="230"/>
      <c r="C908" s="230"/>
      <c r="D908" s="230"/>
      <c r="E908" s="230"/>
      <c r="F908" s="230"/>
      <c r="G908" s="230"/>
      <c r="H908" s="230"/>
      <c r="I908" s="230"/>
      <c r="J908" s="230"/>
      <c r="K908" s="230"/>
      <c r="L908" s="242"/>
      <c r="M908" s="230"/>
      <c r="N908" s="230"/>
      <c r="O908" s="257"/>
      <c r="P908" s="230"/>
      <c r="Q908" s="242"/>
      <c r="R908" s="230"/>
      <c r="S908" s="250"/>
      <c r="T908" s="250"/>
      <c r="U908" s="230"/>
      <c r="V908" s="256"/>
      <c r="W908" s="257"/>
      <c r="X908" s="230"/>
      <c r="Y908" s="230"/>
      <c r="Z908" s="230"/>
    </row>
    <row r="909" spans="1:26" ht="24.75" customHeight="1">
      <c r="A909" s="230"/>
      <c r="B909" s="230"/>
      <c r="C909" s="230"/>
      <c r="D909" s="230"/>
      <c r="E909" s="230"/>
      <c r="F909" s="230"/>
      <c r="G909" s="230"/>
      <c r="H909" s="230"/>
      <c r="I909" s="230"/>
      <c r="J909" s="230"/>
      <c r="K909" s="230"/>
      <c r="L909" s="242"/>
      <c r="M909" s="230"/>
      <c r="N909" s="230"/>
      <c r="O909" s="257"/>
      <c r="P909" s="230"/>
      <c r="Q909" s="242"/>
      <c r="R909" s="230"/>
      <c r="S909" s="250"/>
      <c r="T909" s="250"/>
      <c r="U909" s="230"/>
      <c r="V909" s="256"/>
      <c r="W909" s="257"/>
      <c r="X909" s="230"/>
      <c r="Y909" s="230"/>
      <c r="Z909" s="230"/>
    </row>
    <row r="910" spans="1:26" ht="24.75" customHeight="1">
      <c r="A910" s="230"/>
      <c r="B910" s="230"/>
      <c r="C910" s="230"/>
      <c r="D910" s="230"/>
      <c r="E910" s="230"/>
      <c r="F910" s="230"/>
      <c r="G910" s="230"/>
      <c r="H910" s="230"/>
      <c r="I910" s="230"/>
      <c r="J910" s="230"/>
      <c r="K910" s="230"/>
      <c r="L910" s="242"/>
      <c r="M910" s="230"/>
      <c r="N910" s="230"/>
      <c r="O910" s="257"/>
      <c r="P910" s="230"/>
      <c r="Q910" s="242"/>
      <c r="R910" s="230"/>
      <c r="S910" s="250"/>
      <c r="T910" s="250"/>
      <c r="U910" s="230"/>
      <c r="V910" s="256"/>
      <c r="W910" s="257"/>
      <c r="X910" s="230"/>
      <c r="Y910" s="230"/>
      <c r="Z910" s="230"/>
    </row>
    <row r="911" spans="1:26" ht="24.75" customHeight="1">
      <c r="A911" s="230"/>
      <c r="B911" s="230"/>
      <c r="C911" s="230"/>
      <c r="D911" s="230"/>
      <c r="E911" s="230"/>
      <c r="F911" s="230"/>
      <c r="G911" s="230"/>
      <c r="H911" s="230"/>
      <c r="I911" s="230"/>
      <c r="J911" s="230"/>
      <c r="K911" s="230"/>
      <c r="L911" s="242"/>
      <c r="M911" s="230"/>
      <c r="N911" s="230"/>
      <c r="O911" s="257"/>
      <c r="P911" s="230"/>
      <c r="Q911" s="242"/>
      <c r="R911" s="230"/>
      <c r="S911" s="250"/>
      <c r="T911" s="250"/>
      <c r="U911" s="230"/>
      <c r="V911" s="256"/>
      <c r="W911" s="257"/>
      <c r="X911" s="230"/>
      <c r="Y911" s="230"/>
      <c r="Z911" s="230"/>
    </row>
    <row r="912" spans="1:26" ht="24.75" customHeight="1">
      <c r="A912" s="230"/>
      <c r="B912" s="230"/>
      <c r="C912" s="230"/>
      <c r="D912" s="230"/>
      <c r="E912" s="230"/>
      <c r="F912" s="230"/>
      <c r="G912" s="230"/>
      <c r="H912" s="230"/>
      <c r="I912" s="230"/>
      <c r="J912" s="230"/>
      <c r="K912" s="230"/>
      <c r="L912" s="242"/>
      <c r="M912" s="230"/>
      <c r="N912" s="230"/>
      <c r="O912" s="257"/>
      <c r="P912" s="230"/>
      <c r="Q912" s="242"/>
      <c r="R912" s="230"/>
      <c r="S912" s="250"/>
      <c r="T912" s="250"/>
      <c r="U912" s="230"/>
      <c r="V912" s="256"/>
      <c r="W912" s="257"/>
      <c r="X912" s="230"/>
      <c r="Y912" s="230"/>
      <c r="Z912" s="230"/>
    </row>
    <row r="913" spans="1:26" ht="24.75" customHeight="1">
      <c r="A913" s="230"/>
      <c r="B913" s="230"/>
      <c r="C913" s="230"/>
      <c r="D913" s="230"/>
      <c r="E913" s="230"/>
      <c r="F913" s="230"/>
      <c r="G913" s="230"/>
      <c r="H913" s="230"/>
      <c r="I913" s="230"/>
      <c r="J913" s="230"/>
      <c r="K913" s="230"/>
      <c r="L913" s="242"/>
      <c r="M913" s="230"/>
      <c r="N913" s="230"/>
      <c r="O913" s="257"/>
      <c r="P913" s="230"/>
      <c r="Q913" s="242"/>
      <c r="R913" s="230"/>
      <c r="S913" s="250"/>
      <c r="T913" s="250"/>
      <c r="U913" s="230"/>
      <c r="V913" s="256"/>
      <c r="W913" s="257"/>
      <c r="X913" s="230"/>
      <c r="Y913" s="230"/>
      <c r="Z913" s="230"/>
    </row>
    <row r="914" spans="1:26" ht="24.75" customHeight="1">
      <c r="A914" s="230"/>
      <c r="B914" s="230"/>
      <c r="C914" s="230"/>
      <c r="D914" s="230"/>
      <c r="E914" s="230"/>
      <c r="F914" s="230"/>
      <c r="G914" s="230"/>
      <c r="H914" s="230"/>
      <c r="I914" s="230"/>
      <c r="J914" s="230"/>
      <c r="K914" s="230"/>
      <c r="L914" s="242"/>
      <c r="M914" s="230"/>
      <c r="N914" s="230"/>
      <c r="O914" s="257"/>
      <c r="P914" s="230"/>
      <c r="Q914" s="242"/>
      <c r="R914" s="230"/>
      <c r="S914" s="250"/>
      <c r="T914" s="250"/>
      <c r="U914" s="230"/>
      <c r="V914" s="256"/>
      <c r="W914" s="257"/>
      <c r="X914" s="230"/>
      <c r="Y914" s="230"/>
      <c r="Z914" s="230"/>
    </row>
    <row r="915" spans="1:26" ht="24.75" customHeight="1">
      <c r="A915" s="230"/>
      <c r="B915" s="230"/>
      <c r="C915" s="230"/>
      <c r="D915" s="230"/>
      <c r="E915" s="230"/>
      <c r="F915" s="230"/>
      <c r="G915" s="230"/>
      <c r="H915" s="230"/>
      <c r="I915" s="230"/>
      <c r="J915" s="230"/>
      <c r="K915" s="230"/>
      <c r="L915" s="242"/>
      <c r="M915" s="230"/>
      <c r="N915" s="230"/>
      <c r="O915" s="257"/>
      <c r="P915" s="230"/>
      <c r="Q915" s="242"/>
      <c r="R915" s="230"/>
      <c r="S915" s="250"/>
      <c r="T915" s="250"/>
      <c r="U915" s="230"/>
      <c r="V915" s="256"/>
      <c r="W915" s="257"/>
      <c r="X915" s="230"/>
      <c r="Y915" s="230"/>
      <c r="Z915" s="230"/>
    </row>
    <row r="916" spans="1:26" ht="24.75" customHeight="1">
      <c r="A916" s="230"/>
      <c r="B916" s="230"/>
      <c r="C916" s="230"/>
      <c r="D916" s="230"/>
      <c r="E916" s="230"/>
      <c r="F916" s="230"/>
      <c r="G916" s="230"/>
      <c r="H916" s="230"/>
      <c r="I916" s="230"/>
      <c r="J916" s="230"/>
      <c r="K916" s="230"/>
      <c r="L916" s="242"/>
      <c r="M916" s="230"/>
      <c r="N916" s="230"/>
      <c r="O916" s="257"/>
      <c r="P916" s="230"/>
      <c r="Q916" s="242"/>
      <c r="R916" s="230"/>
      <c r="S916" s="250"/>
      <c r="T916" s="250"/>
      <c r="U916" s="230"/>
      <c r="V916" s="256"/>
      <c r="W916" s="257"/>
      <c r="X916" s="230"/>
      <c r="Y916" s="230"/>
      <c r="Z916" s="230"/>
    </row>
    <row r="917" spans="1:26" ht="24.75" customHeight="1">
      <c r="A917" s="230"/>
      <c r="B917" s="230"/>
      <c r="C917" s="230"/>
      <c r="D917" s="230"/>
      <c r="E917" s="230"/>
      <c r="F917" s="230"/>
      <c r="G917" s="230"/>
      <c r="H917" s="230"/>
      <c r="I917" s="230"/>
      <c r="J917" s="230"/>
      <c r="K917" s="230"/>
      <c r="L917" s="242"/>
      <c r="M917" s="230"/>
      <c r="N917" s="230"/>
      <c r="O917" s="257"/>
      <c r="P917" s="230"/>
      <c r="Q917" s="242"/>
      <c r="R917" s="230"/>
      <c r="S917" s="250"/>
      <c r="T917" s="250"/>
      <c r="U917" s="230"/>
      <c r="V917" s="256"/>
      <c r="W917" s="257"/>
      <c r="X917" s="230"/>
      <c r="Y917" s="230"/>
      <c r="Z917" s="230"/>
    </row>
    <row r="918" spans="1:26" ht="24.75" customHeight="1">
      <c r="A918" s="230"/>
      <c r="B918" s="230"/>
      <c r="C918" s="230"/>
      <c r="D918" s="230"/>
      <c r="E918" s="230"/>
      <c r="F918" s="230"/>
      <c r="G918" s="230"/>
      <c r="H918" s="230"/>
      <c r="I918" s="230"/>
      <c r="J918" s="230"/>
      <c r="K918" s="230"/>
      <c r="L918" s="242"/>
      <c r="M918" s="230"/>
      <c r="N918" s="230"/>
      <c r="O918" s="257"/>
      <c r="P918" s="230"/>
      <c r="Q918" s="242"/>
      <c r="R918" s="230"/>
      <c r="S918" s="250"/>
      <c r="T918" s="250"/>
      <c r="U918" s="230"/>
      <c r="V918" s="256"/>
      <c r="W918" s="257"/>
      <c r="X918" s="230"/>
      <c r="Y918" s="230"/>
      <c r="Z918" s="230"/>
    </row>
    <row r="919" spans="1:26" ht="24.75" customHeight="1">
      <c r="A919" s="230"/>
      <c r="B919" s="230"/>
      <c r="C919" s="230"/>
      <c r="D919" s="230"/>
      <c r="E919" s="230"/>
      <c r="F919" s="230"/>
      <c r="G919" s="230"/>
      <c r="H919" s="230"/>
      <c r="I919" s="230"/>
      <c r="J919" s="230"/>
      <c r="K919" s="230"/>
      <c r="L919" s="242"/>
      <c r="M919" s="230"/>
      <c r="N919" s="230"/>
      <c r="O919" s="257"/>
      <c r="P919" s="230"/>
      <c r="Q919" s="242"/>
      <c r="R919" s="230"/>
      <c r="S919" s="250"/>
      <c r="T919" s="250"/>
      <c r="U919" s="230"/>
      <c r="V919" s="256"/>
      <c r="W919" s="257"/>
      <c r="X919" s="230"/>
      <c r="Y919" s="230"/>
      <c r="Z919" s="230"/>
    </row>
    <row r="920" spans="1:26" ht="24.75" customHeight="1">
      <c r="A920" s="230"/>
      <c r="B920" s="230"/>
      <c r="C920" s="230"/>
      <c r="D920" s="230"/>
      <c r="E920" s="230"/>
      <c r="F920" s="230"/>
      <c r="G920" s="230"/>
      <c r="H920" s="230"/>
      <c r="I920" s="230"/>
      <c r="J920" s="230"/>
      <c r="K920" s="230"/>
      <c r="L920" s="242"/>
      <c r="M920" s="230"/>
      <c r="N920" s="230"/>
      <c r="O920" s="257"/>
      <c r="P920" s="230"/>
      <c r="Q920" s="242"/>
      <c r="R920" s="230"/>
      <c r="S920" s="250"/>
      <c r="T920" s="250"/>
      <c r="U920" s="230"/>
      <c r="V920" s="256"/>
      <c r="W920" s="257"/>
      <c r="X920" s="230"/>
      <c r="Y920" s="230"/>
      <c r="Z920" s="230"/>
    </row>
    <row r="921" spans="1:26" ht="24.75" customHeight="1">
      <c r="A921" s="230"/>
      <c r="B921" s="230"/>
      <c r="C921" s="230"/>
      <c r="D921" s="230"/>
      <c r="E921" s="230"/>
      <c r="F921" s="230"/>
      <c r="G921" s="230"/>
      <c r="H921" s="230"/>
      <c r="I921" s="230"/>
      <c r="J921" s="230"/>
      <c r="K921" s="230"/>
      <c r="L921" s="242"/>
      <c r="M921" s="230"/>
      <c r="N921" s="230"/>
      <c r="O921" s="257"/>
      <c r="P921" s="230"/>
      <c r="Q921" s="242"/>
      <c r="R921" s="230"/>
      <c r="S921" s="250"/>
      <c r="T921" s="250"/>
      <c r="U921" s="230"/>
      <c r="V921" s="256"/>
      <c r="W921" s="257"/>
      <c r="X921" s="230"/>
      <c r="Y921" s="230"/>
      <c r="Z921" s="230"/>
    </row>
    <row r="922" spans="1:26" ht="24.75" customHeight="1">
      <c r="A922" s="230"/>
      <c r="B922" s="230"/>
      <c r="C922" s="230"/>
      <c r="D922" s="230"/>
      <c r="E922" s="230"/>
      <c r="F922" s="230"/>
      <c r="G922" s="230"/>
      <c r="H922" s="230"/>
      <c r="I922" s="230"/>
      <c r="J922" s="230"/>
      <c r="K922" s="230"/>
      <c r="L922" s="242"/>
      <c r="M922" s="230"/>
      <c r="N922" s="230"/>
      <c r="O922" s="257"/>
      <c r="P922" s="230"/>
      <c r="Q922" s="242"/>
      <c r="R922" s="230"/>
      <c r="S922" s="250"/>
      <c r="T922" s="250"/>
      <c r="U922" s="230"/>
      <c r="V922" s="256"/>
      <c r="W922" s="257"/>
      <c r="X922" s="230"/>
      <c r="Y922" s="230"/>
      <c r="Z922" s="230"/>
    </row>
    <row r="923" spans="1:26" ht="24.75" customHeight="1">
      <c r="A923" s="230"/>
      <c r="B923" s="230"/>
      <c r="C923" s="230"/>
      <c r="D923" s="230"/>
      <c r="E923" s="230"/>
      <c r="F923" s="230"/>
      <c r="G923" s="230"/>
      <c r="H923" s="230"/>
      <c r="I923" s="230"/>
      <c r="J923" s="230"/>
      <c r="K923" s="230"/>
      <c r="L923" s="242"/>
      <c r="M923" s="230"/>
      <c r="N923" s="230"/>
      <c r="O923" s="257"/>
      <c r="P923" s="230"/>
      <c r="Q923" s="242"/>
      <c r="R923" s="230"/>
      <c r="S923" s="250"/>
      <c r="T923" s="250"/>
      <c r="U923" s="230"/>
      <c r="V923" s="256"/>
      <c r="W923" s="257"/>
      <c r="X923" s="230"/>
      <c r="Y923" s="230"/>
      <c r="Z923" s="230"/>
    </row>
    <row r="924" spans="1:26" ht="24.75" customHeight="1">
      <c r="A924" s="230"/>
      <c r="B924" s="230"/>
      <c r="C924" s="230"/>
      <c r="D924" s="230"/>
      <c r="E924" s="230"/>
      <c r="F924" s="230"/>
      <c r="G924" s="230"/>
      <c r="H924" s="230"/>
      <c r="I924" s="230"/>
      <c r="J924" s="230"/>
      <c r="K924" s="230"/>
      <c r="L924" s="242"/>
      <c r="M924" s="230"/>
      <c r="N924" s="230"/>
      <c r="O924" s="257"/>
      <c r="P924" s="230"/>
      <c r="Q924" s="242"/>
      <c r="R924" s="230"/>
      <c r="S924" s="250"/>
      <c r="T924" s="250"/>
      <c r="U924" s="230"/>
      <c r="V924" s="256"/>
      <c r="W924" s="257"/>
      <c r="X924" s="230"/>
      <c r="Y924" s="230"/>
      <c r="Z924" s="230"/>
    </row>
    <row r="925" spans="1:26" ht="24.75" customHeight="1">
      <c r="A925" s="230"/>
      <c r="B925" s="230"/>
      <c r="C925" s="230"/>
      <c r="D925" s="230"/>
      <c r="E925" s="230"/>
      <c r="F925" s="230"/>
      <c r="G925" s="230"/>
      <c r="H925" s="230"/>
      <c r="I925" s="230"/>
      <c r="J925" s="230"/>
      <c r="K925" s="230"/>
      <c r="L925" s="242"/>
      <c r="M925" s="230"/>
      <c r="N925" s="230"/>
      <c r="O925" s="257"/>
      <c r="P925" s="230"/>
      <c r="Q925" s="242"/>
      <c r="R925" s="230"/>
      <c r="S925" s="250"/>
      <c r="T925" s="250"/>
      <c r="U925" s="230"/>
      <c r="V925" s="256"/>
      <c r="W925" s="257"/>
      <c r="X925" s="230"/>
      <c r="Y925" s="230"/>
      <c r="Z925" s="230"/>
    </row>
    <row r="926" spans="1:26" ht="24.75" customHeight="1">
      <c r="A926" s="230"/>
      <c r="B926" s="230"/>
      <c r="C926" s="230"/>
      <c r="D926" s="230"/>
      <c r="E926" s="230"/>
      <c r="F926" s="230"/>
      <c r="G926" s="230"/>
      <c r="H926" s="230"/>
      <c r="I926" s="230"/>
      <c r="J926" s="230"/>
      <c r="K926" s="230"/>
      <c r="L926" s="242"/>
      <c r="M926" s="230"/>
      <c r="N926" s="230"/>
      <c r="O926" s="257"/>
      <c r="P926" s="230"/>
      <c r="Q926" s="242"/>
      <c r="R926" s="230"/>
      <c r="S926" s="250"/>
      <c r="T926" s="250"/>
      <c r="U926" s="230"/>
      <c r="V926" s="256"/>
      <c r="W926" s="257"/>
      <c r="X926" s="230"/>
      <c r="Y926" s="230"/>
      <c r="Z926" s="230"/>
    </row>
    <row r="927" spans="1:26" ht="24.75" customHeight="1">
      <c r="A927" s="230"/>
      <c r="B927" s="230"/>
      <c r="C927" s="230"/>
      <c r="D927" s="230"/>
      <c r="E927" s="230"/>
      <c r="F927" s="230"/>
      <c r="G927" s="230"/>
      <c r="H927" s="230"/>
      <c r="I927" s="230"/>
      <c r="J927" s="230"/>
      <c r="K927" s="230"/>
      <c r="L927" s="242"/>
      <c r="M927" s="230"/>
      <c r="N927" s="230"/>
      <c r="O927" s="257"/>
      <c r="P927" s="230"/>
      <c r="Q927" s="242"/>
      <c r="R927" s="230"/>
      <c r="S927" s="250"/>
      <c r="T927" s="250"/>
      <c r="U927" s="230"/>
      <c r="V927" s="256"/>
      <c r="W927" s="257"/>
      <c r="X927" s="230"/>
      <c r="Y927" s="230"/>
      <c r="Z927" s="230"/>
    </row>
    <row r="928" spans="1:26" ht="24.75" customHeight="1">
      <c r="A928" s="230"/>
      <c r="B928" s="230"/>
      <c r="C928" s="230"/>
      <c r="D928" s="230"/>
      <c r="E928" s="230"/>
      <c r="F928" s="230"/>
      <c r="G928" s="230"/>
      <c r="H928" s="230"/>
      <c r="I928" s="230"/>
      <c r="J928" s="230"/>
      <c r="K928" s="230"/>
      <c r="L928" s="242"/>
      <c r="M928" s="230"/>
      <c r="N928" s="230"/>
      <c r="O928" s="257"/>
      <c r="P928" s="230"/>
      <c r="Q928" s="242"/>
      <c r="R928" s="230"/>
      <c r="S928" s="250"/>
      <c r="T928" s="250"/>
      <c r="U928" s="230"/>
      <c r="V928" s="256"/>
      <c r="W928" s="257"/>
      <c r="X928" s="230"/>
      <c r="Y928" s="230"/>
      <c r="Z928" s="230"/>
    </row>
    <row r="929" spans="1:26" ht="24.75" customHeight="1">
      <c r="A929" s="230"/>
      <c r="B929" s="230"/>
      <c r="C929" s="230"/>
      <c r="D929" s="230"/>
      <c r="E929" s="230"/>
      <c r="F929" s="230"/>
      <c r="G929" s="230"/>
      <c r="H929" s="230"/>
      <c r="I929" s="230"/>
      <c r="J929" s="230"/>
      <c r="K929" s="230"/>
      <c r="L929" s="242"/>
      <c r="M929" s="230"/>
      <c r="N929" s="230"/>
      <c r="O929" s="257"/>
      <c r="P929" s="230"/>
      <c r="Q929" s="242"/>
      <c r="R929" s="230"/>
      <c r="S929" s="250"/>
      <c r="T929" s="250"/>
      <c r="U929" s="230"/>
      <c r="V929" s="256"/>
      <c r="W929" s="257"/>
      <c r="X929" s="230"/>
      <c r="Y929" s="230"/>
      <c r="Z929" s="230"/>
    </row>
    <row r="930" spans="1:26" ht="24.75" customHeight="1">
      <c r="A930" s="230"/>
      <c r="B930" s="230"/>
      <c r="C930" s="230"/>
      <c r="D930" s="230"/>
      <c r="E930" s="230"/>
      <c r="F930" s="230"/>
      <c r="G930" s="230"/>
      <c r="H930" s="230"/>
      <c r="I930" s="230"/>
      <c r="J930" s="230"/>
      <c r="K930" s="230"/>
      <c r="L930" s="242"/>
      <c r="M930" s="230"/>
      <c r="N930" s="230"/>
      <c r="O930" s="257"/>
      <c r="P930" s="230"/>
      <c r="Q930" s="242"/>
      <c r="R930" s="230"/>
      <c r="S930" s="250"/>
      <c r="T930" s="250"/>
      <c r="U930" s="230"/>
      <c r="V930" s="256"/>
      <c r="W930" s="257"/>
      <c r="X930" s="230"/>
      <c r="Y930" s="230"/>
      <c r="Z930" s="230"/>
    </row>
    <row r="931" spans="1:26" ht="24.75" customHeight="1">
      <c r="A931" s="230"/>
      <c r="B931" s="230"/>
      <c r="C931" s="230"/>
      <c r="D931" s="230"/>
      <c r="E931" s="230"/>
      <c r="F931" s="230"/>
      <c r="G931" s="230"/>
      <c r="H931" s="230"/>
      <c r="I931" s="230"/>
      <c r="J931" s="230"/>
      <c r="K931" s="230"/>
      <c r="L931" s="242"/>
      <c r="M931" s="230"/>
      <c r="N931" s="230"/>
      <c r="O931" s="257"/>
      <c r="P931" s="230"/>
      <c r="Q931" s="242"/>
      <c r="R931" s="230"/>
      <c r="S931" s="250"/>
      <c r="T931" s="250"/>
      <c r="U931" s="230"/>
      <c r="V931" s="256"/>
      <c r="W931" s="257"/>
      <c r="X931" s="230"/>
      <c r="Y931" s="230"/>
      <c r="Z931" s="230"/>
    </row>
    <row r="932" spans="1:26" ht="24.75" customHeight="1">
      <c r="A932" s="230"/>
      <c r="B932" s="230"/>
      <c r="C932" s="230"/>
      <c r="D932" s="230"/>
      <c r="E932" s="230"/>
      <c r="F932" s="230"/>
      <c r="G932" s="230"/>
      <c r="H932" s="230"/>
      <c r="I932" s="230"/>
      <c r="J932" s="230"/>
      <c r="K932" s="230"/>
      <c r="L932" s="242"/>
      <c r="M932" s="230"/>
      <c r="N932" s="230"/>
      <c r="O932" s="257"/>
      <c r="P932" s="230"/>
      <c r="Q932" s="242"/>
      <c r="R932" s="230"/>
      <c r="S932" s="250"/>
      <c r="T932" s="250"/>
      <c r="U932" s="230"/>
      <c r="V932" s="256"/>
      <c r="W932" s="257"/>
      <c r="X932" s="230"/>
      <c r="Y932" s="230"/>
      <c r="Z932" s="230"/>
    </row>
    <row r="933" spans="1:26" ht="24.75" customHeight="1">
      <c r="A933" s="230"/>
      <c r="B933" s="230"/>
      <c r="C933" s="230"/>
      <c r="D933" s="230"/>
      <c r="E933" s="230"/>
      <c r="F933" s="230"/>
      <c r="G933" s="230"/>
      <c r="H933" s="230"/>
      <c r="I933" s="230"/>
      <c r="J933" s="230"/>
      <c r="K933" s="230"/>
      <c r="L933" s="242"/>
      <c r="M933" s="230"/>
      <c r="N933" s="230"/>
      <c r="O933" s="257"/>
      <c r="P933" s="230"/>
      <c r="Q933" s="242"/>
      <c r="R933" s="230"/>
      <c r="S933" s="250"/>
      <c r="T933" s="250"/>
      <c r="U933" s="230"/>
      <c r="V933" s="256"/>
      <c r="W933" s="257"/>
      <c r="X933" s="230"/>
      <c r="Y933" s="230"/>
      <c r="Z933" s="230"/>
    </row>
    <row r="934" spans="1:26" ht="24.75" customHeight="1">
      <c r="A934" s="230"/>
      <c r="B934" s="230"/>
      <c r="C934" s="230"/>
      <c r="D934" s="230"/>
      <c r="E934" s="230"/>
      <c r="F934" s="230"/>
      <c r="G934" s="230"/>
      <c r="H934" s="230"/>
      <c r="I934" s="230"/>
      <c r="J934" s="230"/>
      <c r="K934" s="230"/>
      <c r="L934" s="242"/>
      <c r="M934" s="230"/>
      <c r="N934" s="230"/>
      <c r="O934" s="257"/>
      <c r="P934" s="230"/>
      <c r="Q934" s="242"/>
      <c r="R934" s="230"/>
      <c r="S934" s="250"/>
      <c r="T934" s="250"/>
      <c r="U934" s="230"/>
      <c r="V934" s="256"/>
      <c r="W934" s="257"/>
      <c r="X934" s="230"/>
      <c r="Y934" s="230"/>
      <c r="Z934" s="230"/>
    </row>
    <row r="935" spans="1:26" ht="24.75" customHeight="1">
      <c r="A935" s="230"/>
      <c r="B935" s="230"/>
      <c r="C935" s="230"/>
      <c r="D935" s="230"/>
      <c r="E935" s="230"/>
      <c r="F935" s="230"/>
      <c r="G935" s="230"/>
      <c r="H935" s="230"/>
      <c r="I935" s="230"/>
      <c r="J935" s="230"/>
      <c r="K935" s="230"/>
      <c r="L935" s="242"/>
      <c r="M935" s="230"/>
      <c r="N935" s="230"/>
      <c r="O935" s="257"/>
      <c r="P935" s="230"/>
      <c r="Q935" s="242"/>
      <c r="R935" s="230"/>
      <c r="S935" s="250"/>
      <c r="T935" s="250"/>
      <c r="U935" s="230"/>
      <c r="V935" s="256"/>
      <c r="W935" s="257"/>
      <c r="X935" s="230"/>
      <c r="Y935" s="230"/>
      <c r="Z935" s="230"/>
    </row>
    <row r="936" spans="1:26" ht="24.75" customHeight="1">
      <c r="A936" s="230"/>
      <c r="B936" s="230"/>
      <c r="C936" s="230"/>
      <c r="D936" s="230"/>
      <c r="E936" s="230"/>
      <c r="F936" s="230"/>
      <c r="G936" s="230"/>
      <c r="H936" s="230"/>
      <c r="I936" s="230"/>
      <c r="J936" s="230"/>
      <c r="K936" s="230"/>
      <c r="L936" s="242"/>
      <c r="M936" s="230"/>
      <c r="N936" s="230"/>
      <c r="O936" s="257"/>
      <c r="P936" s="230"/>
      <c r="Q936" s="242"/>
      <c r="R936" s="230"/>
      <c r="S936" s="250"/>
      <c r="T936" s="250"/>
      <c r="U936" s="230"/>
      <c r="V936" s="256"/>
      <c r="W936" s="257"/>
      <c r="X936" s="230"/>
      <c r="Y936" s="230"/>
      <c r="Z936" s="230"/>
    </row>
    <row r="937" spans="1:26" ht="24.75" customHeight="1">
      <c r="A937" s="230"/>
      <c r="B937" s="230"/>
      <c r="C937" s="230"/>
      <c r="D937" s="230"/>
      <c r="E937" s="230"/>
      <c r="F937" s="230"/>
      <c r="G937" s="230"/>
      <c r="H937" s="230"/>
      <c r="I937" s="230"/>
      <c r="J937" s="230"/>
      <c r="K937" s="230"/>
      <c r="L937" s="242"/>
      <c r="M937" s="230"/>
      <c r="N937" s="230"/>
      <c r="O937" s="257"/>
      <c r="P937" s="230"/>
      <c r="Q937" s="242"/>
      <c r="R937" s="230"/>
      <c r="S937" s="250"/>
      <c r="T937" s="250"/>
      <c r="U937" s="230"/>
      <c r="V937" s="256"/>
      <c r="W937" s="257"/>
      <c r="X937" s="230"/>
      <c r="Y937" s="230"/>
      <c r="Z937" s="230"/>
    </row>
    <row r="938" spans="1:26" ht="24.75" customHeight="1">
      <c r="A938" s="230"/>
      <c r="B938" s="230"/>
      <c r="C938" s="230"/>
      <c r="D938" s="230"/>
      <c r="E938" s="230"/>
      <c r="F938" s="230"/>
      <c r="G938" s="230"/>
      <c r="H938" s="230"/>
      <c r="I938" s="230"/>
      <c r="J938" s="230"/>
      <c r="K938" s="230"/>
      <c r="L938" s="242"/>
      <c r="M938" s="230"/>
      <c r="N938" s="230"/>
      <c r="O938" s="257"/>
      <c r="P938" s="230"/>
      <c r="Q938" s="242"/>
      <c r="R938" s="230"/>
      <c r="S938" s="250"/>
      <c r="T938" s="250"/>
      <c r="U938" s="230"/>
      <c r="V938" s="256"/>
      <c r="W938" s="257"/>
      <c r="X938" s="230"/>
      <c r="Y938" s="230"/>
      <c r="Z938" s="230"/>
    </row>
    <row r="939" spans="1:26" ht="24.75" customHeight="1">
      <c r="A939" s="230"/>
      <c r="B939" s="230"/>
      <c r="C939" s="230"/>
      <c r="D939" s="230"/>
      <c r="E939" s="230"/>
      <c r="F939" s="230"/>
      <c r="G939" s="230"/>
      <c r="H939" s="230"/>
      <c r="I939" s="230"/>
      <c r="J939" s="230"/>
      <c r="K939" s="230"/>
      <c r="L939" s="242"/>
      <c r="M939" s="230"/>
      <c r="N939" s="230"/>
      <c r="O939" s="257"/>
      <c r="P939" s="230"/>
      <c r="Q939" s="242"/>
      <c r="R939" s="230"/>
      <c r="S939" s="250"/>
      <c r="T939" s="250"/>
      <c r="U939" s="230"/>
      <c r="V939" s="256"/>
      <c r="W939" s="257"/>
      <c r="X939" s="230"/>
      <c r="Y939" s="230"/>
      <c r="Z939" s="230"/>
    </row>
    <row r="940" spans="1:26" ht="24.75" customHeight="1">
      <c r="A940" s="230"/>
      <c r="B940" s="230"/>
      <c r="C940" s="230"/>
      <c r="D940" s="230"/>
      <c r="E940" s="230"/>
      <c r="F940" s="230"/>
      <c r="G940" s="230"/>
      <c r="H940" s="230"/>
      <c r="I940" s="230"/>
      <c r="J940" s="230"/>
      <c r="K940" s="230"/>
      <c r="L940" s="242"/>
      <c r="M940" s="230"/>
      <c r="N940" s="230"/>
      <c r="O940" s="257"/>
      <c r="P940" s="230"/>
      <c r="Q940" s="242"/>
      <c r="R940" s="230"/>
      <c r="S940" s="250"/>
      <c r="T940" s="250"/>
      <c r="U940" s="230"/>
      <c r="V940" s="256"/>
      <c r="W940" s="257"/>
      <c r="X940" s="230"/>
      <c r="Y940" s="230"/>
      <c r="Z940" s="230"/>
    </row>
    <row r="941" spans="1:26" ht="24.75" customHeight="1">
      <c r="A941" s="230"/>
      <c r="B941" s="230"/>
      <c r="C941" s="230"/>
      <c r="D941" s="230"/>
      <c r="E941" s="230"/>
      <c r="F941" s="230"/>
      <c r="G941" s="230"/>
      <c r="H941" s="230"/>
      <c r="I941" s="230"/>
      <c r="J941" s="230"/>
      <c r="K941" s="230"/>
      <c r="L941" s="242"/>
      <c r="M941" s="230"/>
      <c r="N941" s="230"/>
      <c r="O941" s="257"/>
      <c r="P941" s="230"/>
      <c r="Q941" s="242"/>
      <c r="R941" s="230"/>
      <c r="S941" s="250"/>
      <c r="T941" s="250"/>
      <c r="U941" s="230"/>
      <c r="V941" s="256"/>
      <c r="W941" s="257"/>
      <c r="X941" s="230"/>
      <c r="Y941" s="230"/>
      <c r="Z941" s="230"/>
    </row>
    <row r="942" spans="1:26" ht="24.75" customHeight="1">
      <c r="A942" s="230"/>
      <c r="B942" s="230"/>
      <c r="C942" s="230"/>
      <c r="D942" s="230"/>
      <c r="E942" s="230"/>
      <c r="F942" s="230"/>
      <c r="G942" s="230"/>
      <c r="H942" s="230"/>
      <c r="I942" s="230"/>
      <c r="J942" s="230"/>
      <c r="K942" s="230"/>
      <c r="L942" s="242"/>
      <c r="M942" s="230"/>
      <c r="N942" s="230"/>
      <c r="O942" s="257"/>
      <c r="P942" s="230"/>
      <c r="Q942" s="242"/>
      <c r="R942" s="230"/>
      <c r="S942" s="250"/>
      <c r="T942" s="250"/>
      <c r="U942" s="230"/>
      <c r="V942" s="256"/>
      <c r="W942" s="257"/>
      <c r="X942" s="230"/>
      <c r="Y942" s="230"/>
      <c r="Z942" s="230"/>
    </row>
    <row r="943" spans="1:26" ht="24.75" customHeight="1">
      <c r="A943" s="230"/>
      <c r="B943" s="230"/>
      <c r="C943" s="230"/>
      <c r="D943" s="230"/>
      <c r="E943" s="230"/>
      <c r="F943" s="230"/>
      <c r="G943" s="230"/>
      <c r="H943" s="230"/>
      <c r="I943" s="230"/>
      <c r="J943" s="230"/>
      <c r="K943" s="230"/>
      <c r="L943" s="242"/>
      <c r="M943" s="230"/>
      <c r="N943" s="230"/>
      <c r="O943" s="257"/>
      <c r="P943" s="230"/>
      <c r="Q943" s="242"/>
      <c r="R943" s="230"/>
      <c r="S943" s="250"/>
      <c r="T943" s="250"/>
      <c r="U943" s="230"/>
      <c r="V943" s="256"/>
      <c r="W943" s="257"/>
      <c r="X943" s="230"/>
      <c r="Y943" s="230"/>
      <c r="Z943" s="230"/>
    </row>
    <row r="944" spans="1:26" ht="24.75" customHeight="1">
      <c r="A944" s="230"/>
      <c r="B944" s="230"/>
      <c r="C944" s="230"/>
      <c r="D944" s="230"/>
      <c r="E944" s="230"/>
      <c r="F944" s="230"/>
      <c r="G944" s="230"/>
      <c r="H944" s="230"/>
      <c r="I944" s="230"/>
      <c r="J944" s="230"/>
      <c r="K944" s="230"/>
      <c r="L944" s="242"/>
      <c r="M944" s="230"/>
      <c r="N944" s="230"/>
      <c r="O944" s="257"/>
      <c r="P944" s="230"/>
      <c r="Q944" s="242"/>
      <c r="R944" s="230"/>
      <c r="S944" s="250"/>
      <c r="T944" s="250"/>
      <c r="U944" s="230"/>
      <c r="V944" s="256"/>
      <c r="W944" s="257"/>
      <c r="X944" s="230"/>
      <c r="Y944" s="230"/>
      <c r="Z944" s="230"/>
    </row>
    <row r="945" spans="1:26" ht="24.75" customHeight="1">
      <c r="A945" s="230"/>
      <c r="B945" s="230"/>
      <c r="C945" s="230"/>
      <c r="D945" s="230"/>
      <c r="E945" s="230"/>
      <c r="F945" s="230"/>
      <c r="G945" s="230"/>
      <c r="H945" s="230"/>
      <c r="I945" s="230"/>
      <c r="J945" s="230"/>
      <c r="K945" s="230"/>
      <c r="L945" s="242"/>
      <c r="M945" s="230"/>
      <c r="N945" s="230"/>
      <c r="O945" s="257"/>
      <c r="P945" s="230"/>
      <c r="Q945" s="242"/>
      <c r="R945" s="230"/>
      <c r="S945" s="250"/>
      <c r="T945" s="250"/>
      <c r="U945" s="230"/>
      <c r="V945" s="256"/>
      <c r="W945" s="257"/>
      <c r="X945" s="230"/>
      <c r="Y945" s="230"/>
      <c r="Z945" s="230"/>
    </row>
    <row r="946" spans="1:26" ht="24.75" customHeight="1">
      <c r="A946" s="230"/>
      <c r="B946" s="230"/>
      <c r="C946" s="230"/>
      <c r="D946" s="230"/>
      <c r="E946" s="230"/>
      <c r="F946" s="230"/>
      <c r="G946" s="230"/>
      <c r="H946" s="230"/>
      <c r="I946" s="230"/>
      <c r="J946" s="230"/>
      <c r="K946" s="230"/>
      <c r="L946" s="242"/>
      <c r="M946" s="230"/>
      <c r="N946" s="230"/>
      <c r="O946" s="257"/>
      <c r="P946" s="230"/>
      <c r="Q946" s="242"/>
      <c r="R946" s="230"/>
      <c r="S946" s="250"/>
      <c r="T946" s="250"/>
      <c r="U946" s="230"/>
      <c r="V946" s="256"/>
      <c r="W946" s="257"/>
      <c r="X946" s="230"/>
      <c r="Y946" s="230"/>
      <c r="Z946" s="230"/>
    </row>
    <row r="947" spans="1:26" ht="24.75" customHeight="1">
      <c r="A947" s="230"/>
      <c r="B947" s="230"/>
      <c r="C947" s="230"/>
      <c r="D947" s="230"/>
      <c r="E947" s="230"/>
      <c r="F947" s="230"/>
      <c r="G947" s="230"/>
      <c r="H947" s="230"/>
      <c r="I947" s="230"/>
      <c r="J947" s="230"/>
      <c r="K947" s="230"/>
      <c r="L947" s="242"/>
      <c r="M947" s="230"/>
      <c r="N947" s="230"/>
      <c r="O947" s="257"/>
      <c r="P947" s="230"/>
      <c r="Q947" s="242"/>
      <c r="R947" s="230"/>
      <c r="S947" s="250"/>
      <c r="T947" s="250"/>
      <c r="U947" s="230"/>
      <c r="V947" s="256"/>
      <c r="W947" s="257"/>
      <c r="X947" s="230"/>
      <c r="Y947" s="230"/>
      <c r="Z947" s="230"/>
    </row>
    <row r="948" spans="1:26" ht="24.75" customHeight="1">
      <c r="A948" s="230"/>
      <c r="B948" s="230"/>
      <c r="C948" s="230"/>
      <c r="D948" s="230"/>
      <c r="E948" s="230"/>
      <c r="F948" s="230"/>
      <c r="G948" s="230"/>
      <c r="H948" s="230"/>
      <c r="I948" s="230"/>
      <c r="J948" s="230"/>
      <c r="K948" s="230"/>
      <c r="L948" s="242"/>
      <c r="M948" s="230"/>
      <c r="N948" s="230"/>
      <c r="O948" s="257"/>
      <c r="P948" s="230"/>
      <c r="Q948" s="242"/>
      <c r="R948" s="230"/>
      <c r="S948" s="250"/>
      <c r="T948" s="250"/>
      <c r="U948" s="230"/>
      <c r="V948" s="256"/>
      <c r="W948" s="257"/>
      <c r="X948" s="230"/>
      <c r="Y948" s="230"/>
      <c r="Z948" s="230"/>
    </row>
    <row r="949" spans="1:26" ht="24.75" customHeight="1">
      <c r="A949" s="230"/>
      <c r="B949" s="230"/>
      <c r="C949" s="230"/>
      <c r="D949" s="230"/>
      <c r="E949" s="230"/>
      <c r="F949" s="230"/>
      <c r="G949" s="230"/>
      <c r="H949" s="230"/>
      <c r="I949" s="230"/>
      <c r="J949" s="230"/>
      <c r="K949" s="230"/>
      <c r="L949" s="242"/>
      <c r="M949" s="230"/>
      <c r="N949" s="230"/>
      <c r="O949" s="257"/>
      <c r="P949" s="230"/>
      <c r="Q949" s="242"/>
      <c r="R949" s="230"/>
      <c r="S949" s="250"/>
      <c r="T949" s="250"/>
      <c r="U949" s="230"/>
      <c r="V949" s="256"/>
      <c r="W949" s="257"/>
      <c r="X949" s="230"/>
      <c r="Y949" s="230"/>
      <c r="Z949" s="230"/>
    </row>
    <row r="950" spans="1:26" ht="24.75" customHeight="1">
      <c r="A950" s="230"/>
      <c r="B950" s="230"/>
      <c r="C950" s="230"/>
      <c r="D950" s="230"/>
      <c r="E950" s="230"/>
      <c r="F950" s="230"/>
      <c r="G950" s="230"/>
      <c r="H950" s="230"/>
      <c r="I950" s="230"/>
      <c r="J950" s="230"/>
      <c r="K950" s="230"/>
      <c r="L950" s="242"/>
      <c r="M950" s="230"/>
      <c r="N950" s="230"/>
      <c r="O950" s="257"/>
      <c r="P950" s="230"/>
      <c r="Q950" s="242"/>
      <c r="R950" s="230"/>
      <c r="S950" s="250"/>
      <c r="T950" s="250"/>
      <c r="U950" s="230"/>
      <c r="V950" s="256"/>
      <c r="W950" s="257"/>
      <c r="X950" s="230"/>
      <c r="Y950" s="230"/>
      <c r="Z950" s="230"/>
    </row>
    <row r="951" spans="1:26" ht="24.75" customHeight="1">
      <c r="A951" s="230"/>
      <c r="B951" s="230"/>
      <c r="C951" s="230"/>
      <c r="D951" s="230"/>
      <c r="E951" s="230"/>
      <c r="F951" s="230"/>
      <c r="G951" s="230"/>
      <c r="H951" s="230"/>
      <c r="I951" s="230"/>
      <c r="J951" s="230"/>
      <c r="K951" s="230"/>
      <c r="L951" s="242"/>
      <c r="M951" s="230"/>
      <c r="N951" s="230"/>
      <c r="O951" s="257"/>
      <c r="P951" s="230"/>
      <c r="Q951" s="242"/>
      <c r="R951" s="230"/>
      <c r="S951" s="250"/>
      <c r="T951" s="250"/>
      <c r="U951" s="230"/>
      <c r="V951" s="256"/>
      <c r="W951" s="257"/>
      <c r="X951" s="230"/>
      <c r="Y951" s="230"/>
      <c r="Z951" s="230"/>
    </row>
    <row r="952" spans="1:26" ht="24.75" customHeight="1">
      <c r="A952" s="230"/>
      <c r="B952" s="230"/>
      <c r="C952" s="230"/>
      <c r="D952" s="230"/>
      <c r="E952" s="230"/>
      <c r="F952" s="230"/>
      <c r="G952" s="230"/>
      <c r="H952" s="230"/>
      <c r="I952" s="230"/>
      <c r="J952" s="230"/>
      <c r="K952" s="230"/>
      <c r="L952" s="242"/>
      <c r="M952" s="230"/>
      <c r="N952" s="230"/>
      <c r="O952" s="257"/>
      <c r="P952" s="230"/>
      <c r="Q952" s="242"/>
      <c r="R952" s="230"/>
      <c r="S952" s="250"/>
      <c r="T952" s="250"/>
      <c r="U952" s="230"/>
      <c r="V952" s="256"/>
      <c r="W952" s="257"/>
      <c r="X952" s="230"/>
      <c r="Y952" s="230"/>
      <c r="Z952" s="230"/>
    </row>
    <row r="953" spans="1:26" ht="24.75" customHeight="1">
      <c r="A953" s="230"/>
      <c r="B953" s="230"/>
      <c r="C953" s="230"/>
      <c r="D953" s="230"/>
      <c r="E953" s="230"/>
      <c r="F953" s="230"/>
      <c r="G953" s="230"/>
      <c r="H953" s="230"/>
      <c r="I953" s="230"/>
      <c r="J953" s="230"/>
      <c r="K953" s="230"/>
      <c r="L953" s="242"/>
      <c r="M953" s="230"/>
      <c r="N953" s="230"/>
      <c r="O953" s="257"/>
      <c r="P953" s="230"/>
      <c r="Q953" s="242"/>
      <c r="R953" s="230"/>
      <c r="S953" s="250"/>
      <c r="T953" s="250"/>
      <c r="U953" s="230"/>
      <c r="V953" s="256"/>
      <c r="W953" s="257"/>
      <c r="X953" s="230"/>
      <c r="Y953" s="230"/>
      <c r="Z953" s="230"/>
    </row>
    <row r="954" spans="1:26" ht="24.75" customHeight="1">
      <c r="A954" s="230"/>
      <c r="B954" s="230"/>
      <c r="C954" s="230"/>
      <c r="D954" s="230"/>
      <c r="E954" s="230"/>
      <c r="F954" s="230"/>
      <c r="G954" s="230"/>
      <c r="H954" s="230"/>
      <c r="I954" s="230"/>
      <c r="J954" s="230"/>
      <c r="K954" s="230"/>
      <c r="L954" s="242"/>
      <c r="M954" s="230"/>
      <c r="N954" s="230"/>
      <c r="O954" s="257"/>
      <c r="P954" s="230"/>
      <c r="Q954" s="242"/>
      <c r="R954" s="230"/>
      <c r="S954" s="250"/>
      <c r="T954" s="250"/>
      <c r="U954" s="230"/>
      <c r="V954" s="256"/>
      <c r="W954" s="257"/>
      <c r="X954" s="230"/>
      <c r="Y954" s="230"/>
      <c r="Z954" s="230"/>
    </row>
    <row r="955" spans="1:26" ht="24.75" customHeight="1">
      <c r="A955" s="230"/>
      <c r="B955" s="230"/>
      <c r="C955" s="230"/>
      <c r="D955" s="230"/>
      <c r="E955" s="230"/>
      <c r="F955" s="230"/>
      <c r="G955" s="230"/>
      <c r="H955" s="230"/>
      <c r="I955" s="230"/>
      <c r="J955" s="230"/>
      <c r="K955" s="230"/>
      <c r="L955" s="242"/>
      <c r="M955" s="230"/>
      <c r="N955" s="230"/>
      <c r="O955" s="257"/>
      <c r="P955" s="230"/>
      <c r="Q955" s="242"/>
      <c r="R955" s="230"/>
      <c r="S955" s="250"/>
      <c r="T955" s="250"/>
      <c r="U955" s="230"/>
      <c r="V955" s="256"/>
      <c r="W955" s="257"/>
      <c r="X955" s="230"/>
      <c r="Y955" s="230"/>
      <c r="Z955" s="230"/>
    </row>
    <row r="956" spans="1:26" ht="24.75" customHeight="1">
      <c r="A956" s="230"/>
      <c r="B956" s="230"/>
      <c r="C956" s="230"/>
      <c r="D956" s="230"/>
      <c r="E956" s="230"/>
      <c r="F956" s="230"/>
      <c r="G956" s="230"/>
      <c r="H956" s="230"/>
      <c r="I956" s="230"/>
      <c r="J956" s="230"/>
      <c r="K956" s="230"/>
      <c r="L956" s="242"/>
      <c r="M956" s="230"/>
      <c r="N956" s="230"/>
      <c r="O956" s="257"/>
      <c r="P956" s="230"/>
      <c r="Q956" s="242"/>
      <c r="R956" s="230"/>
      <c r="S956" s="250"/>
      <c r="T956" s="250"/>
      <c r="U956" s="230"/>
      <c r="V956" s="256"/>
      <c r="W956" s="257"/>
      <c r="X956" s="230"/>
      <c r="Y956" s="230"/>
      <c r="Z956" s="230"/>
    </row>
    <row r="957" spans="1:26" ht="24.75" customHeight="1">
      <c r="A957" s="230"/>
      <c r="B957" s="230"/>
      <c r="C957" s="230"/>
      <c r="D957" s="230"/>
      <c r="E957" s="230"/>
      <c r="F957" s="230"/>
      <c r="G957" s="230"/>
      <c r="H957" s="230"/>
      <c r="I957" s="230"/>
      <c r="J957" s="230"/>
      <c r="K957" s="230"/>
      <c r="L957" s="242"/>
      <c r="M957" s="230"/>
      <c r="N957" s="230"/>
      <c r="O957" s="257"/>
      <c r="P957" s="230"/>
      <c r="Q957" s="242"/>
      <c r="R957" s="230"/>
      <c r="S957" s="250"/>
      <c r="T957" s="250"/>
      <c r="U957" s="230"/>
      <c r="V957" s="256"/>
      <c r="W957" s="257"/>
      <c r="X957" s="230"/>
      <c r="Y957" s="230"/>
      <c r="Z957" s="230"/>
    </row>
    <row r="958" spans="1:26" ht="24.75" customHeight="1">
      <c r="A958" s="230"/>
      <c r="B958" s="230"/>
      <c r="C958" s="230"/>
      <c r="D958" s="230"/>
      <c r="E958" s="230"/>
      <c r="F958" s="230"/>
      <c r="G958" s="230"/>
      <c r="H958" s="230"/>
      <c r="I958" s="230"/>
      <c r="J958" s="230"/>
      <c r="K958" s="230"/>
      <c r="L958" s="242"/>
      <c r="M958" s="230"/>
      <c r="N958" s="230"/>
      <c r="O958" s="257"/>
      <c r="P958" s="230"/>
      <c r="Q958" s="242"/>
      <c r="R958" s="230"/>
      <c r="S958" s="250"/>
      <c r="T958" s="250"/>
      <c r="U958" s="230"/>
      <c r="V958" s="256"/>
      <c r="W958" s="257"/>
      <c r="X958" s="230"/>
      <c r="Y958" s="230"/>
      <c r="Z958" s="230"/>
    </row>
    <row r="959" spans="1:26" ht="24.75" customHeight="1">
      <c r="A959" s="230"/>
      <c r="B959" s="230"/>
      <c r="C959" s="230"/>
      <c r="D959" s="230"/>
      <c r="E959" s="230"/>
      <c r="F959" s="230"/>
      <c r="G959" s="230"/>
      <c r="H959" s="230"/>
      <c r="I959" s="230"/>
      <c r="J959" s="230"/>
      <c r="K959" s="230"/>
      <c r="L959" s="242"/>
      <c r="M959" s="230"/>
      <c r="N959" s="230"/>
      <c r="O959" s="257"/>
      <c r="P959" s="230"/>
      <c r="Q959" s="242"/>
      <c r="R959" s="230"/>
      <c r="S959" s="250"/>
      <c r="T959" s="250"/>
      <c r="U959" s="230"/>
      <c r="V959" s="256"/>
      <c r="W959" s="257"/>
      <c r="X959" s="230"/>
      <c r="Y959" s="230"/>
      <c r="Z959" s="230"/>
    </row>
    <row r="960" spans="1:26" ht="24.75" customHeight="1">
      <c r="A960" s="230"/>
      <c r="B960" s="230"/>
      <c r="C960" s="230"/>
      <c r="D960" s="230"/>
      <c r="E960" s="230"/>
      <c r="F960" s="230"/>
      <c r="G960" s="230"/>
      <c r="H960" s="230"/>
      <c r="I960" s="230"/>
      <c r="J960" s="230"/>
      <c r="K960" s="230"/>
      <c r="L960" s="242"/>
      <c r="M960" s="230"/>
      <c r="N960" s="230"/>
      <c r="O960" s="257"/>
      <c r="P960" s="230"/>
      <c r="Q960" s="242"/>
      <c r="R960" s="230"/>
      <c r="S960" s="250"/>
      <c r="T960" s="250"/>
      <c r="U960" s="230"/>
      <c r="V960" s="256"/>
      <c r="W960" s="257"/>
      <c r="X960" s="230"/>
      <c r="Y960" s="230"/>
      <c r="Z960" s="230"/>
    </row>
    <row r="961" spans="1:26" ht="24.75" customHeight="1">
      <c r="A961" s="230"/>
      <c r="B961" s="230"/>
      <c r="C961" s="230"/>
      <c r="D961" s="230"/>
      <c r="E961" s="230"/>
      <c r="F961" s="230"/>
      <c r="G961" s="230"/>
      <c r="H961" s="230"/>
      <c r="I961" s="230"/>
      <c r="J961" s="230"/>
      <c r="K961" s="230"/>
      <c r="L961" s="242"/>
      <c r="M961" s="230"/>
      <c r="N961" s="230"/>
      <c r="O961" s="257"/>
      <c r="P961" s="230"/>
      <c r="Q961" s="242"/>
      <c r="R961" s="230"/>
      <c r="S961" s="250"/>
      <c r="T961" s="250"/>
      <c r="U961" s="230"/>
      <c r="V961" s="256"/>
      <c r="W961" s="257"/>
      <c r="X961" s="230"/>
      <c r="Y961" s="230"/>
      <c r="Z961" s="230"/>
    </row>
    <row r="962" spans="1:26" ht="24.75" customHeight="1">
      <c r="A962" s="230"/>
      <c r="B962" s="230"/>
      <c r="C962" s="230"/>
      <c r="D962" s="230"/>
      <c r="E962" s="230"/>
      <c r="F962" s="230"/>
      <c r="G962" s="230"/>
      <c r="H962" s="230"/>
      <c r="I962" s="230"/>
      <c r="J962" s="230"/>
      <c r="K962" s="230"/>
      <c r="L962" s="242"/>
      <c r="M962" s="230"/>
      <c r="N962" s="230"/>
      <c r="O962" s="257"/>
      <c r="P962" s="230"/>
      <c r="Q962" s="242"/>
      <c r="R962" s="230"/>
      <c r="S962" s="250"/>
      <c r="T962" s="250"/>
      <c r="U962" s="230"/>
      <c r="V962" s="256"/>
      <c r="W962" s="257"/>
      <c r="X962" s="230"/>
      <c r="Y962" s="230"/>
      <c r="Z962" s="230"/>
    </row>
    <row r="963" spans="1:26" ht="24.75" customHeight="1">
      <c r="A963" s="230"/>
      <c r="B963" s="230"/>
      <c r="C963" s="230"/>
      <c r="D963" s="230"/>
      <c r="E963" s="230"/>
      <c r="F963" s="230"/>
      <c r="G963" s="230"/>
      <c r="H963" s="230"/>
      <c r="I963" s="230"/>
      <c r="J963" s="230"/>
      <c r="K963" s="230"/>
      <c r="L963" s="242"/>
      <c r="M963" s="230"/>
      <c r="N963" s="230"/>
      <c r="O963" s="257"/>
      <c r="P963" s="230"/>
      <c r="Q963" s="242"/>
      <c r="R963" s="230"/>
      <c r="S963" s="250"/>
      <c r="T963" s="250"/>
      <c r="U963" s="230"/>
      <c r="V963" s="256"/>
      <c r="W963" s="257"/>
      <c r="X963" s="230"/>
      <c r="Y963" s="230"/>
      <c r="Z963" s="230"/>
    </row>
    <row r="964" spans="1:26" ht="24.75" customHeight="1">
      <c r="A964" s="230"/>
      <c r="B964" s="230"/>
      <c r="C964" s="230"/>
      <c r="D964" s="230"/>
      <c r="E964" s="230"/>
      <c r="F964" s="230"/>
      <c r="G964" s="230"/>
      <c r="H964" s="230"/>
      <c r="I964" s="230"/>
      <c r="J964" s="230"/>
      <c r="K964" s="230"/>
      <c r="L964" s="242"/>
      <c r="M964" s="230"/>
      <c r="N964" s="230"/>
      <c r="O964" s="257"/>
      <c r="P964" s="230"/>
      <c r="Q964" s="242"/>
      <c r="R964" s="230"/>
      <c r="S964" s="250"/>
      <c r="T964" s="250"/>
      <c r="U964" s="230"/>
      <c r="V964" s="256"/>
      <c r="W964" s="257"/>
      <c r="X964" s="230"/>
      <c r="Y964" s="230"/>
      <c r="Z964" s="230"/>
    </row>
    <row r="965" spans="1:26" ht="24.75" customHeight="1">
      <c r="A965" s="230"/>
      <c r="B965" s="230"/>
      <c r="C965" s="230"/>
      <c r="D965" s="230"/>
      <c r="E965" s="230"/>
      <c r="F965" s="230"/>
      <c r="G965" s="230"/>
      <c r="H965" s="230"/>
      <c r="I965" s="230"/>
      <c r="J965" s="230"/>
      <c r="K965" s="230"/>
      <c r="L965" s="242"/>
      <c r="M965" s="230"/>
      <c r="N965" s="230"/>
      <c r="O965" s="257"/>
      <c r="P965" s="230"/>
      <c r="Q965" s="242"/>
      <c r="R965" s="230"/>
      <c r="S965" s="250"/>
      <c r="T965" s="250"/>
      <c r="U965" s="230"/>
      <c r="V965" s="256"/>
      <c r="W965" s="257"/>
      <c r="X965" s="230"/>
      <c r="Y965" s="230"/>
      <c r="Z965" s="230"/>
    </row>
    <row r="966" spans="1:26" ht="24.75" customHeight="1">
      <c r="A966" s="230"/>
      <c r="B966" s="230"/>
      <c r="C966" s="230"/>
      <c r="D966" s="230"/>
      <c r="E966" s="230"/>
      <c r="F966" s="230"/>
      <c r="G966" s="230"/>
      <c r="H966" s="230"/>
      <c r="I966" s="230"/>
      <c r="J966" s="230"/>
      <c r="K966" s="230"/>
      <c r="L966" s="242"/>
      <c r="M966" s="230"/>
      <c r="N966" s="230"/>
      <c r="O966" s="257"/>
      <c r="P966" s="230"/>
      <c r="Q966" s="242"/>
      <c r="R966" s="230"/>
      <c r="S966" s="250"/>
      <c r="T966" s="250"/>
      <c r="U966" s="230"/>
      <c r="V966" s="256"/>
      <c r="W966" s="257"/>
      <c r="X966" s="230"/>
      <c r="Y966" s="230"/>
      <c r="Z966" s="230"/>
    </row>
    <row r="967" spans="1:26" ht="24.75" customHeight="1">
      <c r="A967" s="230"/>
      <c r="B967" s="230"/>
      <c r="C967" s="230"/>
      <c r="D967" s="230"/>
      <c r="E967" s="230"/>
      <c r="F967" s="230"/>
      <c r="G967" s="230"/>
      <c r="H967" s="230"/>
      <c r="I967" s="230"/>
      <c r="J967" s="230"/>
      <c r="K967" s="230"/>
      <c r="L967" s="242"/>
      <c r="M967" s="230"/>
      <c r="N967" s="230"/>
      <c r="O967" s="257"/>
      <c r="P967" s="230"/>
      <c r="Q967" s="242"/>
      <c r="R967" s="230"/>
      <c r="S967" s="250"/>
      <c r="T967" s="250"/>
      <c r="U967" s="230"/>
      <c r="V967" s="256"/>
      <c r="W967" s="257"/>
      <c r="X967" s="230"/>
      <c r="Y967" s="230"/>
      <c r="Z967" s="230"/>
    </row>
    <row r="968" spans="1:26" ht="24.75" customHeight="1">
      <c r="A968" s="230"/>
      <c r="B968" s="230"/>
      <c r="C968" s="230"/>
      <c r="D968" s="230"/>
      <c r="E968" s="230"/>
      <c r="F968" s="230"/>
      <c r="G968" s="230"/>
      <c r="H968" s="230"/>
      <c r="I968" s="230"/>
      <c r="J968" s="230"/>
      <c r="K968" s="230"/>
      <c r="L968" s="242"/>
      <c r="M968" s="230"/>
      <c r="N968" s="230"/>
      <c r="O968" s="257"/>
      <c r="P968" s="230"/>
      <c r="Q968" s="242"/>
      <c r="R968" s="230"/>
      <c r="S968" s="250"/>
      <c r="T968" s="250"/>
      <c r="U968" s="230"/>
      <c r="V968" s="256"/>
      <c r="W968" s="257"/>
      <c r="X968" s="230"/>
      <c r="Y968" s="230"/>
      <c r="Z968" s="230"/>
    </row>
    <row r="969" spans="1:26" ht="24.75" customHeight="1">
      <c r="A969" s="230"/>
      <c r="B969" s="230"/>
      <c r="C969" s="230"/>
      <c r="D969" s="230"/>
      <c r="E969" s="230"/>
      <c r="F969" s="230"/>
      <c r="G969" s="230"/>
      <c r="H969" s="230"/>
      <c r="I969" s="230"/>
      <c r="J969" s="230"/>
      <c r="K969" s="230"/>
      <c r="L969" s="242"/>
      <c r="M969" s="230"/>
      <c r="N969" s="230"/>
      <c r="O969" s="257"/>
      <c r="P969" s="230"/>
      <c r="Q969" s="242"/>
      <c r="R969" s="230"/>
      <c r="S969" s="250"/>
      <c r="T969" s="250"/>
      <c r="U969" s="230"/>
      <c r="V969" s="256"/>
      <c r="W969" s="257"/>
      <c r="X969" s="230"/>
      <c r="Y969" s="230"/>
      <c r="Z969" s="230"/>
    </row>
    <row r="970" spans="1:26" ht="24.75" customHeight="1">
      <c r="A970" s="230"/>
      <c r="B970" s="230"/>
      <c r="C970" s="230"/>
      <c r="D970" s="230"/>
      <c r="E970" s="230"/>
      <c r="F970" s="230"/>
      <c r="G970" s="230"/>
      <c r="H970" s="230"/>
      <c r="I970" s="230"/>
      <c r="J970" s="230"/>
      <c r="K970" s="230"/>
      <c r="L970" s="242"/>
      <c r="M970" s="230"/>
      <c r="N970" s="230"/>
      <c r="O970" s="257"/>
      <c r="P970" s="230"/>
      <c r="Q970" s="242"/>
      <c r="R970" s="230"/>
      <c r="S970" s="250"/>
      <c r="T970" s="250"/>
      <c r="U970" s="230"/>
      <c r="V970" s="256"/>
      <c r="W970" s="257"/>
      <c r="X970" s="230"/>
      <c r="Y970" s="230"/>
      <c r="Z970" s="230"/>
    </row>
    <row r="971" spans="1:26" ht="24.75" customHeight="1">
      <c r="A971" s="230"/>
      <c r="B971" s="230"/>
      <c r="C971" s="230"/>
      <c r="D971" s="230"/>
      <c r="E971" s="230"/>
      <c r="F971" s="230"/>
      <c r="G971" s="230"/>
      <c r="H971" s="230"/>
      <c r="I971" s="230"/>
      <c r="J971" s="230"/>
      <c r="K971" s="230"/>
      <c r="L971" s="242"/>
      <c r="M971" s="230"/>
      <c r="N971" s="230"/>
      <c r="O971" s="257"/>
      <c r="P971" s="230"/>
      <c r="Q971" s="242"/>
      <c r="R971" s="230"/>
      <c r="S971" s="250"/>
      <c r="T971" s="250"/>
      <c r="U971" s="230"/>
      <c r="V971" s="256"/>
      <c r="W971" s="257"/>
      <c r="X971" s="230"/>
      <c r="Y971" s="230"/>
      <c r="Z971" s="230"/>
    </row>
    <row r="972" spans="1:26" ht="24.75" customHeight="1">
      <c r="A972" s="230"/>
      <c r="B972" s="230"/>
      <c r="C972" s="230"/>
      <c r="D972" s="230"/>
      <c r="E972" s="230"/>
      <c r="F972" s="230"/>
      <c r="G972" s="230"/>
      <c r="H972" s="230"/>
      <c r="I972" s="230"/>
      <c r="J972" s="230"/>
      <c r="K972" s="230"/>
      <c r="L972" s="242"/>
      <c r="M972" s="230"/>
      <c r="N972" s="230"/>
      <c r="O972" s="257"/>
      <c r="P972" s="230"/>
      <c r="Q972" s="242"/>
      <c r="R972" s="230"/>
      <c r="S972" s="250"/>
      <c r="T972" s="250"/>
      <c r="U972" s="230"/>
      <c r="V972" s="256"/>
      <c r="W972" s="257"/>
      <c r="X972" s="230"/>
      <c r="Y972" s="230"/>
      <c r="Z972" s="230"/>
    </row>
    <row r="973" spans="1:26" ht="24.75" customHeight="1">
      <c r="A973" s="230"/>
      <c r="B973" s="230"/>
      <c r="C973" s="230"/>
      <c r="D973" s="230"/>
      <c r="E973" s="230"/>
      <c r="F973" s="230"/>
      <c r="G973" s="230"/>
      <c r="H973" s="230"/>
      <c r="I973" s="230"/>
      <c r="J973" s="230"/>
      <c r="K973" s="230"/>
      <c r="L973" s="242"/>
      <c r="M973" s="230"/>
      <c r="N973" s="230"/>
      <c r="O973" s="257"/>
      <c r="P973" s="230"/>
      <c r="Q973" s="242"/>
      <c r="R973" s="230"/>
      <c r="S973" s="250"/>
      <c r="T973" s="250"/>
      <c r="U973" s="230"/>
      <c r="V973" s="256"/>
      <c r="W973" s="257"/>
      <c r="X973" s="230"/>
      <c r="Y973" s="230"/>
      <c r="Z973" s="230"/>
    </row>
    <row r="974" spans="1:26" ht="24.75" customHeight="1">
      <c r="A974" s="230"/>
      <c r="B974" s="230"/>
      <c r="C974" s="230"/>
      <c r="D974" s="230"/>
      <c r="E974" s="230"/>
      <c r="F974" s="230"/>
      <c r="G974" s="230"/>
      <c r="H974" s="230"/>
      <c r="I974" s="230"/>
      <c r="J974" s="230"/>
      <c r="K974" s="230"/>
      <c r="L974" s="242"/>
      <c r="M974" s="230"/>
      <c r="N974" s="230"/>
      <c r="O974" s="257"/>
      <c r="P974" s="230"/>
      <c r="Q974" s="242"/>
      <c r="R974" s="230"/>
      <c r="S974" s="250"/>
      <c r="T974" s="250"/>
      <c r="U974" s="230"/>
      <c r="V974" s="256"/>
      <c r="W974" s="257"/>
      <c r="X974" s="230"/>
      <c r="Y974" s="230"/>
      <c r="Z974" s="230"/>
    </row>
    <row r="975" spans="1:26" ht="24.75" customHeight="1">
      <c r="A975" s="230"/>
      <c r="B975" s="230"/>
      <c r="C975" s="230"/>
      <c r="D975" s="230"/>
      <c r="E975" s="230"/>
      <c r="F975" s="230"/>
      <c r="G975" s="230"/>
      <c r="H975" s="230"/>
      <c r="I975" s="230"/>
      <c r="J975" s="230"/>
      <c r="K975" s="230"/>
      <c r="L975" s="242"/>
      <c r="M975" s="230"/>
      <c r="N975" s="230"/>
      <c r="O975" s="257"/>
      <c r="P975" s="230"/>
      <c r="Q975" s="242"/>
      <c r="R975" s="230"/>
      <c r="S975" s="250"/>
      <c r="T975" s="250"/>
      <c r="U975" s="230"/>
      <c r="V975" s="256"/>
      <c r="W975" s="257"/>
      <c r="X975" s="230"/>
      <c r="Y975" s="230"/>
      <c r="Z975" s="230"/>
    </row>
    <row r="976" spans="1:26" ht="24.75" customHeight="1">
      <c r="A976" s="230"/>
      <c r="B976" s="230"/>
      <c r="C976" s="230"/>
      <c r="D976" s="230"/>
      <c r="E976" s="230"/>
      <c r="F976" s="230"/>
      <c r="G976" s="230"/>
      <c r="H976" s="230"/>
      <c r="I976" s="230"/>
      <c r="J976" s="230"/>
      <c r="K976" s="230"/>
      <c r="L976" s="242"/>
      <c r="M976" s="230"/>
      <c r="N976" s="230"/>
      <c r="O976" s="257"/>
      <c r="P976" s="230"/>
      <c r="Q976" s="242"/>
      <c r="R976" s="230"/>
      <c r="S976" s="250"/>
      <c r="T976" s="250"/>
      <c r="U976" s="230"/>
      <c r="V976" s="256"/>
      <c r="W976" s="257"/>
      <c r="X976" s="230"/>
      <c r="Y976" s="230"/>
      <c r="Z976" s="230"/>
    </row>
    <row r="977" spans="1:26" ht="24.75" customHeight="1">
      <c r="A977" s="230"/>
      <c r="B977" s="230"/>
      <c r="C977" s="230"/>
      <c r="D977" s="230"/>
      <c r="E977" s="230"/>
      <c r="F977" s="230"/>
      <c r="G977" s="230"/>
      <c r="H977" s="230"/>
      <c r="I977" s="230"/>
      <c r="J977" s="230"/>
      <c r="K977" s="230"/>
      <c r="L977" s="242"/>
      <c r="M977" s="230"/>
      <c r="N977" s="230"/>
      <c r="O977" s="257"/>
      <c r="P977" s="230"/>
      <c r="Q977" s="242"/>
      <c r="R977" s="230"/>
      <c r="S977" s="250"/>
      <c r="T977" s="250"/>
      <c r="U977" s="230"/>
      <c r="V977" s="256"/>
      <c r="W977" s="257"/>
      <c r="X977" s="230"/>
      <c r="Y977" s="230"/>
      <c r="Z977" s="230"/>
    </row>
    <row r="978" spans="1:26" ht="24.75" customHeight="1">
      <c r="A978" s="230"/>
      <c r="B978" s="230"/>
      <c r="C978" s="230"/>
      <c r="D978" s="230"/>
      <c r="E978" s="230"/>
      <c r="F978" s="230"/>
      <c r="G978" s="230"/>
      <c r="H978" s="230"/>
      <c r="I978" s="230"/>
      <c r="J978" s="230"/>
      <c r="K978" s="230"/>
      <c r="L978" s="242"/>
      <c r="M978" s="230"/>
      <c r="N978" s="230"/>
      <c r="O978" s="257"/>
      <c r="P978" s="230"/>
      <c r="Q978" s="242"/>
      <c r="R978" s="230"/>
      <c r="S978" s="250"/>
      <c r="T978" s="250"/>
      <c r="U978" s="230"/>
      <c r="V978" s="256"/>
      <c r="W978" s="257"/>
      <c r="X978" s="230"/>
      <c r="Y978" s="230"/>
      <c r="Z978" s="230"/>
    </row>
    <row r="979" spans="1:26" ht="24.75" customHeight="1">
      <c r="A979" s="230"/>
      <c r="B979" s="230"/>
      <c r="C979" s="230"/>
      <c r="D979" s="230"/>
      <c r="E979" s="230"/>
      <c r="F979" s="230"/>
      <c r="G979" s="230"/>
      <c r="H979" s="230"/>
      <c r="I979" s="230"/>
      <c r="J979" s="230"/>
      <c r="K979" s="230"/>
      <c r="L979" s="242"/>
      <c r="M979" s="230"/>
      <c r="N979" s="230"/>
      <c r="O979" s="257"/>
      <c r="P979" s="230"/>
      <c r="Q979" s="242"/>
      <c r="R979" s="230"/>
      <c r="S979" s="250"/>
      <c r="T979" s="250"/>
      <c r="U979" s="230"/>
      <c r="V979" s="256"/>
      <c r="W979" s="257"/>
      <c r="X979" s="230"/>
      <c r="Y979" s="230"/>
      <c r="Z979" s="230"/>
    </row>
    <row r="980" spans="1:26" ht="24.75" customHeight="1">
      <c r="A980" s="230"/>
      <c r="B980" s="230"/>
      <c r="C980" s="230"/>
      <c r="D980" s="230"/>
      <c r="E980" s="230"/>
      <c r="F980" s="230"/>
      <c r="G980" s="230"/>
      <c r="H980" s="230"/>
      <c r="I980" s="230"/>
      <c r="J980" s="230"/>
      <c r="K980" s="230"/>
      <c r="L980" s="242"/>
      <c r="M980" s="230"/>
      <c r="N980" s="230"/>
      <c r="O980" s="257"/>
      <c r="P980" s="230"/>
      <c r="Q980" s="242"/>
      <c r="R980" s="230"/>
      <c r="S980" s="250"/>
      <c r="T980" s="250"/>
      <c r="U980" s="230"/>
      <c r="V980" s="256"/>
      <c r="W980" s="257"/>
      <c r="X980" s="230"/>
      <c r="Y980" s="230"/>
      <c r="Z980" s="230"/>
    </row>
    <row r="981" spans="1:26" ht="24.75" customHeight="1">
      <c r="A981" s="230"/>
      <c r="B981" s="230"/>
      <c r="C981" s="230"/>
      <c r="D981" s="230"/>
      <c r="E981" s="230"/>
      <c r="F981" s="230"/>
      <c r="G981" s="230"/>
      <c r="H981" s="230"/>
      <c r="I981" s="230"/>
      <c r="J981" s="230"/>
      <c r="K981" s="230"/>
      <c r="L981" s="242"/>
      <c r="M981" s="230"/>
      <c r="N981" s="230"/>
      <c r="O981" s="257"/>
      <c r="P981" s="230"/>
      <c r="Q981" s="242"/>
      <c r="R981" s="230"/>
      <c r="S981" s="250"/>
      <c r="T981" s="250"/>
      <c r="U981" s="230"/>
      <c r="V981" s="256"/>
      <c r="W981" s="257"/>
      <c r="X981" s="230"/>
      <c r="Y981" s="230"/>
      <c r="Z981" s="230"/>
    </row>
    <row r="982" spans="1:26" ht="24.75" customHeight="1">
      <c r="A982" s="230"/>
      <c r="B982" s="230"/>
      <c r="C982" s="230"/>
      <c r="D982" s="230"/>
      <c r="E982" s="230"/>
      <c r="F982" s="230"/>
      <c r="G982" s="230"/>
      <c r="H982" s="230"/>
      <c r="I982" s="230"/>
      <c r="J982" s="230"/>
      <c r="K982" s="230"/>
      <c r="L982" s="242"/>
      <c r="M982" s="230"/>
      <c r="N982" s="230"/>
      <c r="O982" s="257"/>
      <c r="P982" s="230"/>
      <c r="Q982" s="242"/>
      <c r="R982" s="230"/>
      <c r="S982" s="250"/>
      <c r="T982" s="250"/>
      <c r="U982" s="230"/>
      <c r="V982" s="256"/>
      <c r="W982" s="257"/>
      <c r="X982" s="230"/>
      <c r="Y982" s="230"/>
      <c r="Z982" s="230"/>
    </row>
    <row r="983" spans="1:26" ht="24.75" customHeight="1">
      <c r="A983" s="230"/>
      <c r="B983" s="230"/>
      <c r="C983" s="230"/>
      <c r="D983" s="230"/>
      <c r="E983" s="230"/>
      <c r="F983" s="230"/>
      <c r="G983" s="230"/>
      <c r="H983" s="230"/>
      <c r="I983" s="230"/>
      <c r="J983" s="230"/>
      <c r="K983" s="230"/>
      <c r="L983" s="242"/>
      <c r="M983" s="230"/>
      <c r="N983" s="230"/>
      <c r="O983" s="257"/>
      <c r="P983" s="230"/>
      <c r="Q983" s="242"/>
      <c r="R983" s="230"/>
      <c r="S983" s="250"/>
      <c r="T983" s="250"/>
      <c r="U983" s="230"/>
      <c r="V983" s="256"/>
      <c r="W983" s="257"/>
      <c r="X983" s="230"/>
      <c r="Y983" s="230"/>
      <c r="Z983" s="230"/>
    </row>
    <row r="984" spans="1:26" ht="24.75" customHeight="1">
      <c r="A984" s="230"/>
      <c r="B984" s="230"/>
      <c r="C984" s="230"/>
      <c r="D984" s="230"/>
      <c r="E984" s="230"/>
      <c r="F984" s="230"/>
      <c r="G984" s="230"/>
      <c r="H984" s="230"/>
      <c r="I984" s="230"/>
      <c r="J984" s="230"/>
      <c r="K984" s="230"/>
      <c r="L984" s="242"/>
      <c r="M984" s="230"/>
      <c r="N984" s="230"/>
      <c r="O984" s="257"/>
      <c r="P984" s="230"/>
      <c r="Q984" s="242"/>
      <c r="R984" s="230"/>
      <c r="S984" s="250"/>
      <c r="T984" s="250"/>
      <c r="U984" s="230"/>
      <c r="V984" s="256"/>
      <c r="W984" s="257"/>
      <c r="X984" s="230"/>
      <c r="Y984" s="230"/>
      <c r="Z984" s="230"/>
    </row>
    <row r="985" spans="1:26" ht="24.75" customHeight="1">
      <c r="A985" s="230"/>
      <c r="B985" s="230"/>
      <c r="C985" s="230"/>
      <c r="D985" s="230"/>
      <c r="E985" s="230"/>
      <c r="F985" s="230"/>
      <c r="G985" s="230"/>
      <c r="H985" s="230"/>
      <c r="I985" s="230"/>
      <c r="J985" s="230"/>
      <c r="K985" s="230"/>
      <c r="L985" s="242"/>
      <c r="M985" s="230"/>
      <c r="N985" s="230"/>
      <c r="O985" s="257"/>
      <c r="P985" s="230"/>
      <c r="Q985" s="242"/>
      <c r="R985" s="230"/>
      <c r="S985" s="250"/>
      <c r="T985" s="250"/>
      <c r="U985" s="230"/>
      <c r="V985" s="256"/>
      <c r="W985" s="257"/>
      <c r="X985" s="230"/>
      <c r="Y985" s="230"/>
      <c r="Z985" s="230"/>
    </row>
    <row r="986" spans="1:26" ht="24.75" customHeight="1">
      <c r="A986" s="230"/>
      <c r="B986" s="230"/>
      <c r="C986" s="230"/>
      <c r="D986" s="230"/>
      <c r="E986" s="230"/>
      <c r="F986" s="230"/>
      <c r="G986" s="230"/>
      <c r="H986" s="230"/>
      <c r="I986" s="230"/>
      <c r="J986" s="230"/>
      <c r="K986" s="230"/>
      <c r="L986" s="242"/>
      <c r="M986" s="230"/>
      <c r="N986" s="230"/>
      <c r="O986" s="257"/>
      <c r="P986" s="230"/>
      <c r="Q986" s="242"/>
      <c r="R986" s="230"/>
      <c r="S986" s="250"/>
      <c r="T986" s="250"/>
      <c r="U986" s="230"/>
      <c r="V986" s="256"/>
      <c r="W986" s="257"/>
      <c r="X986" s="230"/>
      <c r="Y986" s="230"/>
      <c r="Z986" s="230"/>
    </row>
    <row r="987" spans="1:26" ht="24.75" customHeight="1">
      <c r="A987" s="230"/>
      <c r="B987" s="230"/>
      <c r="C987" s="230"/>
      <c r="D987" s="230"/>
      <c r="E987" s="230"/>
      <c r="F987" s="230"/>
      <c r="G987" s="230"/>
      <c r="H987" s="230"/>
      <c r="I987" s="230"/>
      <c r="J987" s="230"/>
      <c r="K987" s="230"/>
      <c r="L987" s="242"/>
      <c r="M987" s="230"/>
      <c r="N987" s="230"/>
      <c r="O987" s="257"/>
      <c r="P987" s="230"/>
      <c r="Q987" s="242"/>
      <c r="R987" s="230"/>
      <c r="S987" s="250"/>
      <c r="T987" s="250"/>
      <c r="U987" s="230"/>
      <c r="V987" s="256"/>
      <c r="W987" s="257"/>
      <c r="X987" s="230"/>
      <c r="Y987" s="230"/>
      <c r="Z987" s="230"/>
    </row>
    <row r="988" spans="1:26" ht="24.75" customHeight="1">
      <c r="A988" s="230"/>
      <c r="B988" s="230"/>
      <c r="C988" s="230"/>
      <c r="D988" s="230"/>
      <c r="E988" s="230"/>
      <c r="F988" s="230"/>
      <c r="G988" s="230"/>
      <c r="H988" s="230"/>
      <c r="I988" s="230"/>
      <c r="J988" s="230"/>
      <c r="K988" s="230"/>
      <c r="L988" s="242"/>
      <c r="M988" s="230"/>
      <c r="N988" s="230"/>
      <c r="O988" s="257"/>
      <c r="P988" s="230"/>
      <c r="Q988" s="242"/>
      <c r="R988" s="230"/>
      <c r="S988" s="250"/>
      <c r="T988" s="250"/>
      <c r="U988" s="230"/>
      <c r="V988" s="256"/>
      <c r="W988" s="257"/>
      <c r="X988" s="230"/>
      <c r="Y988" s="230"/>
      <c r="Z988" s="230"/>
    </row>
    <row r="989" spans="1:26" ht="24.75" customHeight="1">
      <c r="A989" s="230"/>
      <c r="B989" s="230"/>
      <c r="C989" s="230"/>
      <c r="D989" s="230"/>
      <c r="E989" s="230"/>
      <c r="F989" s="230"/>
      <c r="G989" s="230"/>
      <c r="H989" s="230"/>
      <c r="I989" s="230"/>
      <c r="J989" s="230"/>
      <c r="K989" s="230"/>
      <c r="L989" s="242"/>
      <c r="M989" s="230"/>
      <c r="N989" s="230"/>
      <c r="O989" s="257"/>
      <c r="P989" s="230"/>
      <c r="Q989" s="242"/>
      <c r="R989" s="230"/>
      <c r="S989" s="250"/>
      <c r="T989" s="250"/>
      <c r="U989" s="230"/>
      <c r="V989" s="256"/>
      <c r="W989" s="257"/>
      <c r="X989" s="230"/>
      <c r="Y989" s="230"/>
      <c r="Z989" s="230"/>
    </row>
    <row r="990" spans="1:26" ht="24.75" customHeight="1">
      <c r="A990" s="230"/>
      <c r="B990" s="230"/>
      <c r="C990" s="230"/>
      <c r="D990" s="230"/>
      <c r="E990" s="230"/>
      <c r="F990" s="230"/>
      <c r="G990" s="230"/>
      <c r="H990" s="230"/>
      <c r="I990" s="230"/>
      <c r="J990" s="230"/>
      <c r="K990" s="230"/>
      <c r="L990" s="242"/>
      <c r="M990" s="230"/>
      <c r="N990" s="230"/>
      <c r="O990" s="257"/>
      <c r="P990" s="230"/>
      <c r="Q990" s="242"/>
      <c r="R990" s="230"/>
      <c r="S990" s="250"/>
      <c r="T990" s="250"/>
      <c r="U990" s="230"/>
      <c r="V990" s="256"/>
      <c r="W990" s="257"/>
      <c r="X990" s="230"/>
      <c r="Y990" s="230"/>
      <c r="Z990" s="230"/>
    </row>
    <row r="991" spans="1:26" ht="24.75" customHeight="1">
      <c r="A991" s="230"/>
      <c r="B991" s="230"/>
      <c r="C991" s="230"/>
      <c r="D991" s="230"/>
      <c r="E991" s="230"/>
      <c r="F991" s="230"/>
      <c r="G991" s="230"/>
      <c r="H991" s="230"/>
      <c r="I991" s="230"/>
      <c r="J991" s="230"/>
      <c r="K991" s="230"/>
      <c r="L991" s="242"/>
      <c r="M991" s="230"/>
      <c r="N991" s="230"/>
      <c r="O991" s="257"/>
      <c r="P991" s="230"/>
      <c r="Q991" s="242"/>
      <c r="R991" s="230"/>
      <c r="S991" s="250"/>
      <c r="T991" s="250"/>
      <c r="U991" s="230"/>
      <c r="V991" s="256"/>
      <c r="W991" s="257"/>
      <c r="X991" s="230"/>
      <c r="Y991" s="230"/>
      <c r="Z991" s="230"/>
    </row>
    <row r="992" spans="1:26" ht="24.75" customHeight="1">
      <c r="A992" s="230"/>
      <c r="B992" s="230"/>
      <c r="C992" s="230"/>
      <c r="D992" s="230"/>
      <c r="E992" s="230"/>
      <c r="F992" s="230"/>
      <c r="G992" s="230"/>
      <c r="H992" s="230"/>
      <c r="I992" s="230"/>
      <c r="J992" s="230"/>
      <c r="K992" s="230"/>
      <c r="L992" s="242"/>
      <c r="M992" s="230"/>
      <c r="N992" s="230"/>
      <c r="O992" s="257"/>
      <c r="P992" s="230"/>
      <c r="Q992" s="242"/>
      <c r="R992" s="230"/>
      <c r="S992" s="250"/>
      <c r="T992" s="250"/>
      <c r="U992" s="230"/>
      <c r="V992" s="256"/>
      <c r="W992" s="257"/>
      <c r="X992" s="230"/>
      <c r="Y992" s="230"/>
      <c r="Z992" s="230"/>
    </row>
    <row r="993" spans="1:26" ht="24.75" customHeight="1">
      <c r="A993" s="230"/>
      <c r="B993" s="230"/>
      <c r="C993" s="230"/>
      <c r="D993" s="230"/>
      <c r="E993" s="230"/>
      <c r="F993" s="230"/>
      <c r="G993" s="230"/>
      <c r="H993" s="230"/>
      <c r="I993" s="230"/>
      <c r="J993" s="230"/>
      <c r="K993" s="230"/>
      <c r="L993" s="242"/>
      <c r="M993" s="230"/>
      <c r="N993" s="230"/>
      <c r="O993" s="257"/>
      <c r="P993" s="230"/>
      <c r="Q993" s="242"/>
      <c r="R993" s="230"/>
      <c r="S993" s="250"/>
      <c r="T993" s="250"/>
      <c r="U993" s="230"/>
      <c r="V993" s="256"/>
      <c r="W993" s="257"/>
      <c r="X993" s="230"/>
      <c r="Y993" s="230"/>
      <c r="Z993" s="230"/>
    </row>
    <row r="994" spans="1:26" ht="24.75" customHeight="1">
      <c r="A994" s="230"/>
      <c r="B994" s="230"/>
      <c r="C994" s="230"/>
      <c r="D994" s="230"/>
      <c r="E994" s="230"/>
      <c r="F994" s="230"/>
      <c r="G994" s="230"/>
      <c r="H994" s="230"/>
      <c r="I994" s="230"/>
      <c r="J994" s="230"/>
      <c r="K994" s="230"/>
      <c r="L994" s="242"/>
      <c r="M994" s="230"/>
      <c r="N994" s="230"/>
      <c r="O994" s="257"/>
      <c r="P994" s="230"/>
      <c r="Q994" s="242"/>
      <c r="R994" s="230"/>
      <c r="S994" s="250"/>
      <c r="T994" s="250"/>
      <c r="U994" s="230"/>
      <c r="V994" s="256"/>
      <c r="W994" s="257"/>
      <c r="X994" s="230"/>
      <c r="Y994" s="230"/>
      <c r="Z994" s="230"/>
    </row>
    <row r="995" spans="1:26" ht="24.75" customHeight="1">
      <c r="A995" s="230"/>
      <c r="B995" s="230"/>
      <c r="C995" s="230"/>
      <c r="D995" s="230"/>
      <c r="E995" s="230"/>
      <c r="F995" s="230"/>
      <c r="G995" s="230"/>
      <c r="H995" s="230"/>
      <c r="I995" s="230"/>
      <c r="J995" s="230"/>
      <c r="K995" s="230"/>
      <c r="L995" s="242"/>
      <c r="M995" s="230"/>
      <c r="N995" s="230"/>
      <c r="O995" s="257"/>
      <c r="P995" s="230"/>
      <c r="Q995" s="242"/>
      <c r="R995" s="230"/>
      <c r="S995" s="250"/>
      <c r="T995" s="250"/>
      <c r="U995" s="230"/>
      <c r="V995" s="256"/>
      <c r="W995" s="257"/>
      <c r="X995" s="230"/>
      <c r="Y995" s="230"/>
      <c r="Z995" s="230"/>
    </row>
    <row r="996" spans="1:26" ht="24.75" customHeight="1">
      <c r="A996" s="230"/>
      <c r="B996" s="230"/>
      <c r="C996" s="230"/>
      <c r="D996" s="230"/>
      <c r="E996" s="230"/>
      <c r="F996" s="230"/>
      <c r="G996" s="230"/>
      <c r="H996" s="230"/>
      <c r="I996" s="230"/>
      <c r="J996" s="230"/>
      <c r="K996" s="230"/>
      <c r="L996" s="242"/>
      <c r="M996" s="230"/>
      <c r="N996" s="230"/>
      <c r="O996" s="257"/>
      <c r="P996" s="230"/>
      <c r="Q996" s="242"/>
      <c r="R996" s="230"/>
      <c r="S996" s="250"/>
      <c r="T996" s="250"/>
      <c r="U996" s="230"/>
      <c r="V996" s="256"/>
      <c r="W996" s="257"/>
      <c r="X996" s="230"/>
      <c r="Y996" s="230"/>
      <c r="Z996" s="230"/>
    </row>
    <row r="997" spans="1:26" ht="24.75" customHeight="1">
      <c r="A997" s="230"/>
      <c r="B997" s="230"/>
      <c r="C997" s="230"/>
      <c r="D997" s="230"/>
      <c r="E997" s="230"/>
      <c r="F997" s="230"/>
      <c r="G997" s="230"/>
      <c r="H997" s="230"/>
      <c r="I997" s="230"/>
      <c r="J997" s="230"/>
      <c r="K997" s="230"/>
      <c r="L997" s="242"/>
      <c r="M997" s="230"/>
      <c r="N997" s="230"/>
      <c r="O997" s="257"/>
      <c r="P997" s="230"/>
      <c r="Q997" s="242"/>
      <c r="R997" s="230"/>
      <c r="S997" s="250"/>
      <c r="T997" s="250"/>
      <c r="U997" s="230"/>
      <c r="V997" s="256"/>
      <c r="W997" s="257"/>
      <c r="X997" s="230"/>
      <c r="Y997" s="230"/>
      <c r="Z997" s="230"/>
    </row>
    <row r="998" spans="1:26" ht="24.75" customHeight="1">
      <c r="A998" s="230"/>
      <c r="B998" s="230"/>
      <c r="C998" s="230"/>
      <c r="D998" s="230"/>
      <c r="E998" s="230"/>
      <c r="F998" s="230"/>
      <c r="G998" s="230"/>
      <c r="H998" s="230"/>
      <c r="I998" s="230"/>
      <c r="J998" s="230"/>
      <c r="K998" s="230"/>
      <c r="L998" s="242"/>
      <c r="M998" s="230"/>
      <c r="N998" s="230"/>
      <c r="O998" s="257"/>
      <c r="P998" s="230"/>
      <c r="Q998" s="242"/>
      <c r="R998" s="230"/>
      <c r="S998" s="250"/>
      <c r="T998" s="250"/>
      <c r="U998" s="230"/>
      <c r="V998" s="256"/>
      <c r="W998" s="257"/>
      <c r="X998" s="230"/>
      <c r="Y998" s="230"/>
      <c r="Z998" s="230"/>
    </row>
    <row r="999" spans="1:26" ht="24.75" customHeight="1">
      <c r="A999" s="230"/>
      <c r="B999" s="230"/>
      <c r="C999" s="230"/>
      <c r="D999" s="230"/>
      <c r="E999" s="230"/>
      <c r="F999" s="230"/>
      <c r="G999" s="230"/>
      <c r="H999" s="230"/>
      <c r="I999" s="230"/>
      <c r="J999" s="230"/>
      <c r="K999" s="230"/>
      <c r="L999" s="242"/>
      <c r="M999" s="230"/>
      <c r="N999" s="230"/>
      <c r="O999" s="257"/>
      <c r="P999" s="230"/>
      <c r="Q999" s="242"/>
      <c r="R999" s="230"/>
      <c r="S999" s="250"/>
      <c r="T999" s="250"/>
      <c r="U999" s="230"/>
      <c r="V999" s="256"/>
      <c r="W999" s="257"/>
      <c r="X999" s="230"/>
      <c r="Y999" s="230"/>
      <c r="Z999" s="230"/>
    </row>
    <row r="1000" spans="1:26" ht="24.75" customHeight="1">
      <c r="A1000" s="230"/>
      <c r="B1000" s="230"/>
      <c r="C1000" s="230"/>
      <c r="D1000" s="230"/>
      <c r="E1000" s="230"/>
      <c r="F1000" s="230"/>
      <c r="G1000" s="230"/>
      <c r="H1000" s="230"/>
      <c r="I1000" s="230"/>
      <c r="J1000" s="230"/>
      <c r="K1000" s="230"/>
      <c r="L1000" s="242"/>
      <c r="M1000" s="230"/>
      <c r="N1000" s="230"/>
      <c r="O1000" s="257"/>
      <c r="P1000" s="230"/>
      <c r="Q1000" s="242"/>
      <c r="R1000" s="230"/>
      <c r="S1000" s="250"/>
      <c r="T1000" s="250"/>
      <c r="U1000" s="230"/>
      <c r="V1000" s="256"/>
      <c r="W1000" s="257"/>
      <c r="X1000" s="230"/>
      <c r="Y1000" s="230"/>
      <c r="Z1000" s="230"/>
    </row>
  </sheetData>
  <mergeCells count="17">
    <mergeCell ref="O26:O28"/>
    <mergeCell ref="P26:P28"/>
    <mergeCell ref="A30:Z30"/>
    <mergeCell ref="O23:O25"/>
    <mergeCell ref="O21:O22"/>
    <mergeCell ref="P21:P22"/>
    <mergeCell ref="P23:P25"/>
    <mergeCell ref="O16:O17"/>
    <mergeCell ref="P16:P17"/>
    <mergeCell ref="C14:Q15"/>
    <mergeCell ref="P18:P20"/>
    <mergeCell ref="O18:O20"/>
    <mergeCell ref="C1:Q1"/>
    <mergeCell ref="A2:Z2"/>
    <mergeCell ref="O5:O7"/>
    <mergeCell ref="S1:T1"/>
    <mergeCell ref="P5:P7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baseColWidth="10" defaultColWidth="11.28515625" defaultRowHeight="15" customHeight="1" x14ac:dyDescent="0"/>
  <cols>
    <col min="1" max="1" width="4.7109375" customWidth="1"/>
    <col min="2" max="2" width="9.28515625" customWidth="1"/>
    <col min="3" max="3" width="7.28515625" customWidth="1"/>
    <col min="4" max="5" width="8" customWidth="1"/>
    <col min="6" max="6" width="6.5703125" customWidth="1"/>
    <col min="7" max="7" width="16.5703125" customWidth="1"/>
    <col min="8" max="8" width="11" customWidth="1"/>
    <col min="9" max="9" width="17" customWidth="1"/>
    <col min="10" max="10" width="14" customWidth="1"/>
    <col min="11" max="11" width="16" customWidth="1"/>
    <col min="12" max="12" width="8" customWidth="1"/>
    <col min="13" max="13" width="11.140625" customWidth="1"/>
    <col min="14" max="14" width="8" customWidth="1"/>
    <col min="15" max="15" width="13.5703125" customWidth="1"/>
    <col min="16" max="16" width="9.85546875" customWidth="1"/>
    <col min="17" max="17" width="37" customWidth="1"/>
    <col min="18" max="21" width="7" hidden="1" customWidth="1"/>
    <col min="22" max="26" width="7" customWidth="1"/>
  </cols>
  <sheetData>
    <row r="1" spans="1:26" ht="16.5" customHeight="1">
      <c r="A1" s="436" t="s">
        <v>4816</v>
      </c>
      <c r="B1" s="437"/>
      <c r="C1" s="437"/>
      <c r="D1" s="437"/>
      <c r="E1" s="437"/>
      <c r="F1" s="437"/>
      <c r="G1" s="437"/>
      <c r="H1" s="437"/>
      <c r="I1" s="437"/>
      <c r="J1" s="437"/>
      <c r="K1" s="437"/>
      <c r="L1" s="437"/>
      <c r="M1" s="437"/>
      <c r="N1" s="437"/>
      <c r="O1" s="437"/>
      <c r="P1" s="437"/>
      <c r="Q1" s="437"/>
      <c r="R1" s="437"/>
      <c r="S1" s="437"/>
      <c r="T1" s="437"/>
      <c r="U1" s="437"/>
      <c r="V1" s="259"/>
      <c r="W1" s="259"/>
      <c r="X1" s="259"/>
      <c r="Y1" s="259"/>
      <c r="Z1" s="259"/>
    </row>
    <row r="2" spans="1:26" ht="46.5" customHeight="1">
      <c r="A2" s="232" t="s">
        <v>7</v>
      </c>
      <c r="B2" s="232" t="s">
        <v>4572</v>
      </c>
      <c r="C2" s="232" t="s">
        <v>9</v>
      </c>
      <c r="D2" s="232" t="s">
        <v>11</v>
      </c>
      <c r="E2" s="261" t="s">
        <v>13</v>
      </c>
      <c r="F2" s="261" t="s">
        <v>4573</v>
      </c>
      <c r="G2" s="235" t="s">
        <v>4574</v>
      </c>
      <c r="H2" s="236" t="s">
        <v>19</v>
      </c>
      <c r="I2" s="236" t="s">
        <v>4575</v>
      </c>
      <c r="J2" s="236" t="s">
        <v>4576</v>
      </c>
      <c r="K2" s="236"/>
      <c r="L2" s="232" t="s">
        <v>1</v>
      </c>
      <c r="M2" s="234" t="s">
        <v>24</v>
      </c>
      <c r="N2" s="232" t="s">
        <v>34</v>
      </c>
      <c r="O2" s="232" t="s">
        <v>4577</v>
      </c>
      <c r="P2" s="232" t="s">
        <v>4578</v>
      </c>
      <c r="Q2" s="232" t="s">
        <v>44</v>
      </c>
      <c r="R2" s="263"/>
      <c r="S2" s="266" t="s">
        <v>4579</v>
      </c>
      <c r="T2" s="266" t="s">
        <v>4580</v>
      </c>
      <c r="U2" s="268"/>
      <c r="V2" s="263"/>
      <c r="W2" s="263"/>
      <c r="X2" s="263"/>
      <c r="Y2" s="263"/>
      <c r="Z2" s="263"/>
    </row>
    <row r="3" spans="1:26" ht="24.75" customHeight="1">
      <c r="A3" s="238" t="s">
        <v>54</v>
      </c>
      <c r="B3" s="238" t="s">
        <v>4581</v>
      </c>
      <c r="C3" s="238" t="s">
        <v>4581</v>
      </c>
      <c r="D3" s="269">
        <v>42930</v>
      </c>
      <c r="E3" s="269">
        <v>42926</v>
      </c>
      <c r="F3" s="269">
        <v>42930</v>
      </c>
      <c r="G3" s="238" t="s">
        <v>4834</v>
      </c>
      <c r="H3" s="238" t="s">
        <v>4836</v>
      </c>
      <c r="I3" s="270" t="s">
        <v>61</v>
      </c>
      <c r="J3" s="238" t="s">
        <v>51</v>
      </c>
      <c r="K3" s="238"/>
      <c r="L3" s="238"/>
      <c r="M3" s="238" t="s">
        <v>4841</v>
      </c>
      <c r="N3" s="238"/>
      <c r="O3" s="238"/>
      <c r="P3" s="238"/>
      <c r="Q3" s="238"/>
      <c r="R3" s="238"/>
      <c r="S3" s="238"/>
      <c r="T3" s="238"/>
      <c r="U3" s="238"/>
      <c r="V3" s="238"/>
      <c r="W3" s="238"/>
      <c r="X3" s="238"/>
      <c r="Y3" s="238"/>
      <c r="Z3" s="238"/>
    </row>
    <row r="4" spans="1:26" ht="24.75" customHeight="1">
      <c r="A4" s="238" t="s">
        <v>54</v>
      </c>
      <c r="B4" s="238" t="s">
        <v>4581</v>
      </c>
      <c r="C4" s="238" t="s">
        <v>4581</v>
      </c>
      <c r="D4" s="269">
        <v>42930</v>
      </c>
      <c r="E4" s="269">
        <v>42926</v>
      </c>
      <c r="F4" s="269">
        <v>42930</v>
      </c>
      <c r="G4" s="238" t="s">
        <v>4842</v>
      </c>
      <c r="H4" s="238" t="s">
        <v>4843</v>
      </c>
      <c r="I4" s="270" t="s">
        <v>61</v>
      </c>
      <c r="J4" s="238" t="s">
        <v>51</v>
      </c>
      <c r="K4" s="238"/>
      <c r="L4" s="238"/>
      <c r="M4" s="238" t="s">
        <v>4844</v>
      </c>
      <c r="N4" s="238"/>
      <c r="O4" s="238"/>
      <c r="P4" s="238"/>
      <c r="Q4" s="238"/>
      <c r="R4" s="238"/>
      <c r="S4" s="238"/>
      <c r="T4" s="238"/>
      <c r="U4" s="238"/>
      <c r="V4" s="238"/>
      <c r="W4" s="238"/>
      <c r="X4" s="238"/>
      <c r="Y4" s="238"/>
      <c r="Z4" s="238"/>
    </row>
    <row r="5" spans="1:26" ht="24.75" customHeight="1">
      <c r="A5" s="238" t="s">
        <v>54</v>
      </c>
      <c r="B5" s="238" t="s">
        <v>4581</v>
      </c>
      <c r="C5" s="238" t="s">
        <v>4581</v>
      </c>
      <c r="D5" s="269">
        <v>42930</v>
      </c>
      <c r="E5" s="269">
        <v>42926</v>
      </c>
      <c r="F5" s="269">
        <v>42930</v>
      </c>
      <c r="G5" s="238" t="s">
        <v>4845</v>
      </c>
      <c r="H5" s="238" t="s">
        <v>4846</v>
      </c>
      <c r="I5" s="270" t="s">
        <v>61</v>
      </c>
      <c r="J5" s="238" t="s">
        <v>51</v>
      </c>
      <c r="K5" s="238"/>
      <c r="L5" s="238"/>
      <c r="M5" s="238" t="s">
        <v>4847</v>
      </c>
      <c r="N5" s="238"/>
      <c r="O5" s="238"/>
      <c r="P5" s="238"/>
      <c r="Q5" s="238"/>
      <c r="R5" s="238"/>
      <c r="S5" s="238"/>
      <c r="T5" s="238"/>
      <c r="U5" s="238"/>
      <c r="V5" s="238"/>
      <c r="W5" s="238"/>
      <c r="X5" s="238"/>
      <c r="Y5" s="238"/>
      <c r="Z5" s="238"/>
    </row>
    <row r="6" spans="1:26" ht="24.75" customHeight="1">
      <c r="A6" s="238" t="s">
        <v>54</v>
      </c>
      <c r="B6" s="238" t="s">
        <v>4581</v>
      </c>
      <c r="C6" s="238" t="s">
        <v>4581</v>
      </c>
      <c r="D6" s="269">
        <v>42930</v>
      </c>
      <c r="E6" s="269">
        <v>42926</v>
      </c>
      <c r="F6" s="269">
        <v>42930</v>
      </c>
      <c r="G6" s="238" t="s">
        <v>4848</v>
      </c>
      <c r="H6" s="238" t="s">
        <v>4849</v>
      </c>
      <c r="I6" s="270" t="s">
        <v>61</v>
      </c>
      <c r="J6" s="238" t="s">
        <v>62</v>
      </c>
      <c r="K6" s="238"/>
      <c r="L6" s="238"/>
      <c r="M6" s="238" t="s">
        <v>4850</v>
      </c>
      <c r="N6" s="238"/>
      <c r="O6" s="238"/>
      <c r="P6" s="238"/>
      <c r="Q6" s="238"/>
      <c r="R6" s="238"/>
      <c r="S6" s="238"/>
      <c r="T6" s="238"/>
      <c r="U6" s="238"/>
      <c r="V6" s="238"/>
      <c r="W6" s="238"/>
      <c r="X6" s="238"/>
      <c r="Y6" s="238"/>
      <c r="Z6" s="238"/>
    </row>
    <row r="7" spans="1:26" ht="24.75" customHeight="1">
      <c r="A7" s="238" t="s">
        <v>54</v>
      </c>
      <c r="B7" s="238" t="s">
        <v>4581</v>
      </c>
      <c r="C7" s="238" t="s">
        <v>4581</v>
      </c>
      <c r="D7" s="269">
        <v>42930</v>
      </c>
      <c r="E7" s="269">
        <v>42926</v>
      </c>
      <c r="F7" s="269">
        <v>42930</v>
      </c>
      <c r="G7" s="238" t="s">
        <v>4851</v>
      </c>
      <c r="H7" s="238" t="s">
        <v>4852</v>
      </c>
      <c r="I7" s="270" t="s">
        <v>61</v>
      </c>
      <c r="J7" s="238" t="s">
        <v>51</v>
      </c>
      <c r="K7" s="238"/>
      <c r="L7" s="238"/>
      <c r="M7" s="238" t="s">
        <v>4854</v>
      </c>
      <c r="N7" s="238"/>
      <c r="O7" s="238"/>
      <c r="P7" s="238"/>
      <c r="Q7" s="238"/>
      <c r="R7" s="238"/>
      <c r="S7" s="238"/>
      <c r="T7" s="238"/>
      <c r="U7" s="238"/>
      <c r="V7" s="238"/>
      <c r="W7" s="238"/>
      <c r="X7" s="238"/>
      <c r="Y7" s="238"/>
      <c r="Z7" s="238"/>
    </row>
    <row r="8" spans="1:26" ht="24.75" customHeight="1">
      <c r="A8" s="238" t="s">
        <v>54</v>
      </c>
      <c r="B8" s="238" t="s">
        <v>4581</v>
      </c>
      <c r="C8" s="238" t="s">
        <v>4581</v>
      </c>
      <c r="D8" s="269">
        <v>42930</v>
      </c>
      <c r="E8" s="269">
        <v>42926</v>
      </c>
      <c r="F8" s="269">
        <v>42930</v>
      </c>
      <c r="G8" s="238" t="s">
        <v>4857</v>
      </c>
      <c r="H8" s="238" t="s">
        <v>4858</v>
      </c>
      <c r="I8" s="270" t="s">
        <v>61</v>
      </c>
      <c r="J8" s="238" t="s">
        <v>62</v>
      </c>
      <c r="K8" s="238"/>
      <c r="L8" s="238"/>
      <c r="M8" s="238" t="s">
        <v>4860</v>
      </c>
      <c r="N8" s="238"/>
      <c r="O8" s="238"/>
      <c r="P8" s="238"/>
      <c r="Q8" s="238"/>
      <c r="R8" s="238"/>
      <c r="S8" s="238"/>
      <c r="T8" s="238"/>
      <c r="U8" s="238"/>
      <c r="V8" s="238"/>
      <c r="W8" s="238"/>
      <c r="X8" s="238"/>
      <c r="Y8" s="238"/>
      <c r="Z8" s="238"/>
    </row>
    <row r="9" spans="1:26" ht="24.75" customHeight="1">
      <c r="A9" s="238" t="s">
        <v>54</v>
      </c>
      <c r="B9" s="238" t="s">
        <v>4581</v>
      </c>
      <c r="C9" s="238" t="s">
        <v>4581</v>
      </c>
      <c r="D9" s="269">
        <v>42930</v>
      </c>
      <c r="E9" s="269">
        <v>42926</v>
      </c>
      <c r="F9" s="269">
        <v>42930</v>
      </c>
      <c r="G9" s="238" t="s">
        <v>4861</v>
      </c>
      <c r="H9" s="238" t="s">
        <v>4862</v>
      </c>
      <c r="I9" s="270" t="s">
        <v>61</v>
      </c>
      <c r="J9" s="238" t="s">
        <v>51</v>
      </c>
      <c r="K9" s="238"/>
      <c r="L9" s="238"/>
      <c r="M9" s="238" t="s">
        <v>4863</v>
      </c>
      <c r="N9" s="238"/>
      <c r="O9" s="238"/>
      <c r="P9" s="238"/>
      <c r="Q9" s="238"/>
      <c r="R9" s="238"/>
      <c r="S9" s="238"/>
      <c r="T9" s="238"/>
      <c r="U9" s="238"/>
      <c r="V9" s="238"/>
      <c r="W9" s="238"/>
      <c r="X9" s="238"/>
      <c r="Y9" s="238"/>
      <c r="Z9" s="238"/>
    </row>
    <row r="10" spans="1:26" ht="24.75" customHeight="1">
      <c r="A10" s="238" t="s">
        <v>54</v>
      </c>
      <c r="B10" s="238" t="s">
        <v>4581</v>
      </c>
      <c r="C10" s="238" t="s">
        <v>4581</v>
      </c>
      <c r="D10" s="269">
        <v>42930</v>
      </c>
      <c r="E10" s="269">
        <v>42926</v>
      </c>
      <c r="F10" s="269">
        <v>42930</v>
      </c>
      <c r="G10" s="238" t="s">
        <v>4864</v>
      </c>
      <c r="H10" s="238" t="s">
        <v>4865</v>
      </c>
      <c r="I10" s="270" t="s">
        <v>61</v>
      </c>
      <c r="J10" s="238" t="s">
        <v>51</v>
      </c>
      <c r="K10" s="238"/>
      <c r="L10" s="238"/>
      <c r="M10" s="238" t="s">
        <v>4866</v>
      </c>
      <c r="N10" s="238"/>
      <c r="O10" s="238"/>
      <c r="P10" s="238"/>
      <c r="Q10" s="238"/>
      <c r="R10" s="238"/>
      <c r="S10" s="238"/>
      <c r="T10" s="238"/>
      <c r="U10" s="238"/>
      <c r="V10" s="238"/>
      <c r="W10" s="238"/>
      <c r="X10" s="238"/>
      <c r="Y10" s="238"/>
      <c r="Z10" s="238"/>
    </row>
    <row r="11" spans="1:26" ht="24.75" customHeight="1">
      <c r="A11" s="238" t="s">
        <v>54</v>
      </c>
      <c r="B11" s="238" t="s">
        <v>4581</v>
      </c>
      <c r="C11" s="238" t="s">
        <v>4581</v>
      </c>
      <c r="D11" s="269">
        <v>42930</v>
      </c>
      <c r="E11" s="269">
        <v>42926</v>
      </c>
      <c r="F11" s="269">
        <v>42930</v>
      </c>
      <c r="G11" s="238" t="s">
        <v>4867</v>
      </c>
      <c r="H11" s="238" t="s">
        <v>4868</v>
      </c>
      <c r="I11" s="270" t="s">
        <v>61</v>
      </c>
      <c r="J11" s="238" t="s">
        <v>51</v>
      </c>
      <c r="K11" s="238"/>
      <c r="L11" s="238"/>
      <c r="M11" s="238" t="s">
        <v>4869</v>
      </c>
      <c r="N11" s="238"/>
      <c r="O11" s="238"/>
      <c r="P11" s="238"/>
      <c r="Q11" s="238"/>
      <c r="R11" s="238"/>
      <c r="S11" s="238"/>
      <c r="T11" s="238"/>
      <c r="U11" s="238"/>
      <c r="V11" s="238"/>
      <c r="W11" s="238"/>
      <c r="X11" s="238"/>
      <c r="Y11" s="238"/>
      <c r="Z11" s="238"/>
    </row>
    <row r="12" spans="1:26" ht="24.75" customHeight="1">
      <c r="A12" s="238" t="s">
        <v>54</v>
      </c>
      <c r="B12" s="238" t="s">
        <v>4581</v>
      </c>
      <c r="C12" s="238" t="s">
        <v>4581</v>
      </c>
      <c r="D12" s="269">
        <v>42930</v>
      </c>
      <c r="E12" s="269">
        <v>42926</v>
      </c>
      <c r="F12" s="269">
        <v>42930</v>
      </c>
      <c r="G12" s="238" t="s">
        <v>4870</v>
      </c>
      <c r="H12" s="238" t="s">
        <v>4871</v>
      </c>
      <c r="I12" s="270" t="s">
        <v>61</v>
      </c>
      <c r="J12" s="238" t="s">
        <v>51</v>
      </c>
      <c r="K12" s="238"/>
      <c r="L12" s="238"/>
      <c r="M12" s="238" t="s">
        <v>4872</v>
      </c>
      <c r="N12" s="238"/>
      <c r="O12" s="238"/>
      <c r="P12" s="238"/>
      <c r="Q12" s="238"/>
      <c r="R12" s="238"/>
      <c r="S12" s="238"/>
      <c r="T12" s="238"/>
      <c r="U12" s="238"/>
      <c r="V12" s="238"/>
      <c r="W12" s="238"/>
      <c r="X12" s="238"/>
      <c r="Y12" s="238"/>
      <c r="Z12" s="238"/>
    </row>
    <row r="13" spans="1:26" ht="24.75" customHeight="1">
      <c r="A13" s="238" t="s">
        <v>54</v>
      </c>
      <c r="B13" s="238" t="s">
        <v>4581</v>
      </c>
      <c r="C13" s="238" t="s">
        <v>4581</v>
      </c>
      <c r="D13" s="269">
        <v>42933</v>
      </c>
      <c r="E13" s="269">
        <v>42927</v>
      </c>
      <c r="F13" s="269">
        <v>42933</v>
      </c>
      <c r="G13" s="238" t="s">
        <v>4873</v>
      </c>
      <c r="H13" s="238" t="s">
        <v>4874</v>
      </c>
      <c r="I13" s="270" t="s">
        <v>61</v>
      </c>
      <c r="J13" s="238" t="s">
        <v>51</v>
      </c>
      <c r="K13" s="238"/>
      <c r="L13" s="238"/>
      <c r="M13" s="238" t="s">
        <v>4875</v>
      </c>
      <c r="N13" s="238"/>
      <c r="O13" s="238"/>
      <c r="P13" s="238"/>
      <c r="Q13" s="238"/>
      <c r="R13" s="238"/>
      <c r="S13" s="238"/>
      <c r="T13" s="238"/>
      <c r="U13" s="238"/>
      <c r="V13" s="238"/>
      <c r="W13" s="238"/>
      <c r="X13" s="238"/>
      <c r="Y13" s="238"/>
      <c r="Z13" s="238"/>
    </row>
    <row r="14" spans="1:26" ht="24.75" customHeight="1">
      <c r="A14" s="238" t="s">
        <v>54</v>
      </c>
      <c r="B14" s="238" t="s">
        <v>4581</v>
      </c>
      <c r="C14" s="238" t="s">
        <v>4581</v>
      </c>
      <c r="D14" s="269">
        <v>42933</v>
      </c>
      <c r="E14" s="269">
        <v>42927</v>
      </c>
      <c r="F14" s="269">
        <v>42933</v>
      </c>
      <c r="G14" s="238" t="s">
        <v>4876</v>
      </c>
      <c r="H14" s="238" t="s">
        <v>4877</v>
      </c>
      <c r="I14" s="270" t="s">
        <v>61</v>
      </c>
      <c r="J14" s="238" t="s">
        <v>51</v>
      </c>
      <c r="K14" s="238"/>
      <c r="L14" s="238"/>
      <c r="M14" s="238" t="s">
        <v>4879</v>
      </c>
      <c r="N14" s="238"/>
      <c r="O14" s="238"/>
      <c r="P14" s="238"/>
      <c r="Q14" s="238"/>
      <c r="R14" s="238"/>
      <c r="S14" s="238"/>
      <c r="T14" s="238"/>
      <c r="U14" s="238"/>
      <c r="V14" s="238"/>
      <c r="W14" s="238"/>
      <c r="X14" s="238"/>
      <c r="Y14" s="238"/>
      <c r="Z14" s="238"/>
    </row>
    <row r="15" spans="1:26" ht="24.75" customHeight="1">
      <c r="A15" s="238" t="s">
        <v>54</v>
      </c>
      <c r="B15" s="238" t="s">
        <v>4581</v>
      </c>
      <c r="C15" s="238" t="s">
        <v>4581</v>
      </c>
      <c r="D15" s="269">
        <v>42933</v>
      </c>
      <c r="E15" s="269">
        <v>42927</v>
      </c>
      <c r="F15" s="269">
        <v>42933</v>
      </c>
      <c r="G15" s="238" t="s">
        <v>4880</v>
      </c>
      <c r="H15" s="238" t="s">
        <v>4881</v>
      </c>
      <c r="I15" s="270" t="s">
        <v>61</v>
      </c>
      <c r="J15" s="238" t="s">
        <v>62</v>
      </c>
      <c r="K15" s="238"/>
      <c r="L15" s="238"/>
      <c r="M15" s="238" t="s">
        <v>4882</v>
      </c>
      <c r="N15" s="238"/>
      <c r="O15" s="238"/>
      <c r="P15" s="238"/>
      <c r="Q15" s="238"/>
      <c r="R15" s="238"/>
      <c r="S15" s="238"/>
      <c r="T15" s="238"/>
      <c r="U15" s="238"/>
      <c r="V15" s="238"/>
      <c r="W15" s="238"/>
      <c r="X15" s="238"/>
      <c r="Y15" s="238"/>
      <c r="Z15" s="238"/>
    </row>
    <row r="16" spans="1:26" ht="24.75" customHeight="1">
      <c r="A16" s="238" t="s">
        <v>54</v>
      </c>
      <c r="B16" s="238" t="s">
        <v>4581</v>
      </c>
      <c r="C16" s="238" t="s">
        <v>4581</v>
      </c>
      <c r="D16" s="269">
        <v>42933</v>
      </c>
      <c r="E16" s="269">
        <v>42927</v>
      </c>
      <c r="F16" s="269">
        <v>42933</v>
      </c>
      <c r="G16" s="238" t="s">
        <v>4883</v>
      </c>
      <c r="H16" s="238" t="s">
        <v>4884</v>
      </c>
      <c r="I16" s="270" t="s">
        <v>61</v>
      </c>
      <c r="J16" s="238" t="s">
        <v>51</v>
      </c>
      <c r="K16" s="238"/>
      <c r="L16" s="238"/>
      <c r="M16" s="238" t="s">
        <v>4885</v>
      </c>
      <c r="N16" s="238"/>
      <c r="O16" s="238"/>
      <c r="P16" s="238"/>
      <c r="Q16" s="238"/>
      <c r="R16" s="238"/>
      <c r="S16" s="238"/>
      <c r="T16" s="238"/>
      <c r="U16" s="238"/>
      <c r="V16" s="238"/>
      <c r="W16" s="238"/>
      <c r="X16" s="238"/>
      <c r="Y16" s="238"/>
      <c r="Z16" s="238"/>
    </row>
    <row r="17" spans="1:26" ht="24.75" customHeight="1">
      <c r="A17" s="238" t="s">
        <v>54</v>
      </c>
      <c r="B17" s="238" t="s">
        <v>4581</v>
      </c>
      <c r="C17" s="238" t="s">
        <v>4581</v>
      </c>
      <c r="D17" s="269">
        <v>42933</v>
      </c>
      <c r="E17" s="269">
        <v>42927</v>
      </c>
      <c r="F17" s="269">
        <v>42933</v>
      </c>
      <c r="G17" s="238" t="s">
        <v>4886</v>
      </c>
      <c r="H17" s="238" t="s">
        <v>4887</v>
      </c>
      <c r="I17" s="270" t="s">
        <v>61</v>
      </c>
      <c r="J17" s="238" t="s">
        <v>51</v>
      </c>
      <c r="K17" s="238"/>
      <c r="L17" s="238"/>
      <c r="M17" s="238" t="s">
        <v>4888</v>
      </c>
      <c r="N17" s="238"/>
      <c r="O17" s="238"/>
      <c r="P17" s="238"/>
      <c r="Q17" s="238"/>
      <c r="R17" s="238"/>
      <c r="S17" s="238"/>
      <c r="T17" s="238"/>
      <c r="U17" s="238"/>
      <c r="V17" s="238"/>
      <c r="W17" s="238"/>
      <c r="X17" s="238"/>
      <c r="Y17" s="238"/>
      <c r="Z17" s="238"/>
    </row>
    <row r="18" spans="1:26" ht="24.75" customHeight="1">
      <c r="A18" s="238" t="s">
        <v>54</v>
      </c>
      <c r="B18" s="238" t="s">
        <v>4581</v>
      </c>
      <c r="C18" s="238" t="s">
        <v>4581</v>
      </c>
      <c r="D18" s="269">
        <v>42933</v>
      </c>
      <c r="E18" s="269">
        <v>42927</v>
      </c>
      <c r="F18" s="269">
        <v>42933</v>
      </c>
      <c r="G18" s="238" t="s">
        <v>4889</v>
      </c>
      <c r="H18" s="238" t="s">
        <v>4890</v>
      </c>
      <c r="I18" s="270" t="s">
        <v>61</v>
      </c>
      <c r="J18" s="238" t="s">
        <v>51</v>
      </c>
      <c r="K18" s="238"/>
      <c r="L18" s="238"/>
      <c r="M18" s="238" t="s">
        <v>4891</v>
      </c>
      <c r="N18" s="238"/>
      <c r="O18" s="238"/>
      <c r="P18" s="238"/>
      <c r="Q18" s="238"/>
      <c r="R18" s="238"/>
      <c r="S18" s="238"/>
      <c r="T18" s="238"/>
      <c r="U18" s="238"/>
      <c r="V18" s="238"/>
      <c r="W18" s="238"/>
      <c r="X18" s="238"/>
      <c r="Y18" s="238"/>
      <c r="Z18" s="238"/>
    </row>
    <row r="19" spans="1:26" ht="24.75" customHeight="1">
      <c r="A19" s="238" t="s">
        <v>54</v>
      </c>
      <c r="B19" s="238" t="s">
        <v>4581</v>
      </c>
      <c r="C19" s="238" t="s">
        <v>4581</v>
      </c>
      <c r="D19" s="269">
        <v>42933</v>
      </c>
      <c r="E19" s="269">
        <v>42927</v>
      </c>
      <c r="F19" s="269">
        <v>42933</v>
      </c>
      <c r="G19" s="238" t="s">
        <v>4892</v>
      </c>
      <c r="H19" s="238" t="s">
        <v>4893</v>
      </c>
      <c r="I19" s="270" t="s">
        <v>61</v>
      </c>
      <c r="J19" s="238" t="s">
        <v>62</v>
      </c>
      <c r="K19" s="238"/>
      <c r="L19" s="238"/>
      <c r="M19" s="238" t="s">
        <v>4896</v>
      </c>
      <c r="N19" s="238"/>
      <c r="O19" s="238"/>
      <c r="P19" s="238"/>
      <c r="Q19" s="238"/>
      <c r="R19" s="238"/>
      <c r="S19" s="238"/>
      <c r="T19" s="238"/>
      <c r="U19" s="238"/>
      <c r="V19" s="238"/>
      <c r="W19" s="238"/>
      <c r="X19" s="238"/>
      <c r="Y19" s="238"/>
      <c r="Z19" s="238"/>
    </row>
    <row r="20" spans="1:26" ht="24.75" customHeight="1">
      <c r="A20" s="238" t="s">
        <v>54</v>
      </c>
      <c r="B20" s="238" t="s">
        <v>4581</v>
      </c>
      <c r="C20" s="238" t="s">
        <v>4581</v>
      </c>
      <c r="D20" s="269">
        <v>42933</v>
      </c>
      <c r="E20" s="269">
        <v>42927</v>
      </c>
      <c r="F20" s="269">
        <v>42933</v>
      </c>
      <c r="G20" s="238" t="s">
        <v>4901</v>
      </c>
      <c r="H20" s="238" t="s">
        <v>4902</v>
      </c>
      <c r="I20" s="270" t="s">
        <v>61</v>
      </c>
      <c r="J20" s="238" t="s">
        <v>51</v>
      </c>
      <c r="K20" s="238"/>
      <c r="L20" s="238"/>
      <c r="M20" s="238" t="s">
        <v>4903</v>
      </c>
      <c r="N20" s="238"/>
      <c r="O20" s="238"/>
      <c r="P20" s="238"/>
      <c r="Q20" s="238"/>
      <c r="R20" s="238"/>
      <c r="S20" s="238"/>
      <c r="T20" s="238"/>
      <c r="U20" s="238"/>
      <c r="V20" s="238"/>
      <c r="W20" s="238"/>
      <c r="X20" s="238"/>
      <c r="Y20" s="238"/>
      <c r="Z20" s="238"/>
    </row>
    <row r="21" spans="1:26" ht="24.75" customHeight="1">
      <c r="A21" s="238" t="s">
        <v>54</v>
      </c>
      <c r="B21" s="238" t="s">
        <v>4581</v>
      </c>
      <c r="C21" s="238" t="s">
        <v>4581</v>
      </c>
      <c r="D21" s="269">
        <v>42933</v>
      </c>
      <c r="E21" s="269">
        <v>42927</v>
      </c>
      <c r="F21" s="269">
        <v>42933</v>
      </c>
      <c r="G21" s="238" t="s">
        <v>4905</v>
      </c>
      <c r="H21" s="238" t="s">
        <v>4906</v>
      </c>
      <c r="I21" s="270" t="s">
        <v>61</v>
      </c>
      <c r="J21" s="238" t="s">
        <v>62</v>
      </c>
      <c r="K21" s="238"/>
      <c r="L21" s="238"/>
      <c r="M21" s="238" t="s">
        <v>4907</v>
      </c>
      <c r="N21" s="238"/>
      <c r="O21" s="238"/>
      <c r="P21" s="238"/>
      <c r="Q21" s="238"/>
      <c r="R21" s="238"/>
      <c r="S21" s="238"/>
      <c r="T21" s="238"/>
      <c r="U21" s="238"/>
      <c r="V21" s="238"/>
      <c r="W21" s="238"/>
      <c r="X21" s="238"/>
      <c r="Y21" s="238"/>
      <c r="Z21" s="238"/>
    </row>
    <row r="22" spans="1:26" ht="24.75" customHeight="1">
      <c r="A22" s="238" t="s">
        <v>54</v>
      </c>
      <c r="B22" s="238" t="s">
        <v>4581</v>
      </c>
      <c r="C22" s="238" t="s">
        <v>4581</v>
      </c>
      <c r="D22" s="269">
        <v>42933</v>
      </c>
      <c r="E22" s="269">
        <v>42927</v>
      </c>
      <c r="F22" s="269">
        <v>42933</v>
      </c>
      <c r="G22" s="238" t="s">
        <v>4908</v>
      </c>
      <c r="H22" s="238" t="s">
        <v>4909</v>
      </c>
      <c r="I22" s="270" t="s">
        <v>61</v>
      </c>
      <c r="J22" s="238" t="s">
        <v>51</v>
      </c>
      <c r="K22" s="238"/>
      <c r="L22" s="238"/>
      <c r="M22" s="238" t="s">
        <v>4910</v>
      </c>
      <c r="N22" s="238"/>
      <c r="O22" s="238"/>
      <c r="P22" s="238"/>
      <c r="Q22" s="238"/>
      <c r="R22" s="238"/>
      <c r="S22" s="238"/>
      <c r="T22" s="238"/>
      <c r="U22" s="238"/>
      <c r="V22" s="238"/>
      <c r="W22" s="238"/>
      <c r="X22" s="238"/>
      <c r="Y22" s="238"/>
      <c r="Z22" s="238"/>
    </row>
    <row r="23" spans="1:26" ht="24.75" customHeight="1">
      <c r="A23" s="238" t="s">
        <v>54</v>
      </c>
      <c r="B23" s="238" t="s">
        <v>4581</v>
      </c>
      <c r="C23" s="238" t="s">
        <v>4581</v>
      </c>
      <c r="D23" s="269">
        <v>42933</v>
      </c>
      <c r="E23" s="269">
        <v>42927</v>
      </c>
      <c r="F23" s="269">
        <v>42933</v>
      </c>
      <c r="G23" s="238" t="s">
        <v>4911</v>
      </c>
      <c r="H23" s="238" t="s">
        <v>4912</v>
      </c>
      <c r="I23" s="270" t="s">
        <v>61</v>
      </c>
      <c r="J23" s="238" t="s">
        <v>51</v>
      </c>
      <c r="K23" s="238"/>
      <c r="L23" s="238"/>
      <c r="M23" s="238" t="s">
        <v>4913</v>
      </c>
      <c r="N23" s="238"/>
      <c r="O23" s="238"/>
      <c r="P23" s="238"/>
      <c r="Q23" s="238"/>
      <c r="R23" s="238"/>
      <c r="S23" s="238"/>
      <c r="T23" s="238"/>
      <c r="U23" s="238"/>
      <c r="V23" s="238"/>
      <c r="W23" s="238"/>
      <c r="X23" s="238"/>
      <c r="Y23" s="238"/>
      <c r="Z23" s="238"/>
    </row>
    <row r="24" spans="1:26" ht="24.75" customHeight="1">
      <c r="A24" s="238" t="s">
        <v>54</v>
      </c>
      <c r="B24" s="238" t="s">
        <v>4581</v>
      </c>
      <c r="C24" s="238" t="s">
        <v>4581</v>
      </c>
      <c r="D24" s="269">
        <v>42933</v>
      </c>
      <c r="E24" s="269">
        <v>42927</v>
      </c>
      <c r="F24" s="269">
        <v>42933</v>
      </c>
      <c r="G24" s="238" t="s">
        <v>4914</v>
      </c>
      <c r="H24" s="238" t="s">
        <v>4915</v>
      </c>
      <c r="I24" s="270" t="s">
        <v>61</v>
      </c>
      <c r="J24" s="238" t="s">
        <v>51</v>
      </c>
      <c r="K24" s="238"/>
      <c r="L24" s="238"/>
      <c r="M24" s="238" t="s">
        <v>4916</v>
      </c>
      <c r="N24" s="238"/>
      <c r="O24" s="238"/>
      <c r="P24" s="238"/>
      <c r="Q24" s="238"/>
      <c r="R24" s="238"/>
      <c r="S24" s="238"/>
      <c r="T24" s="238"/>
      <c r="U24" s="238"/>
      <c r="V24" s="238"/>
      <c r="W24" s="238"/>
      <c r="X24" s="238"/>
      <c r="Y24" s="238"/>
      <c r="Z24" s="238"/>
    </row>
    <row r="25" spans="1:26" ht="24.75" customHeight="1">
      <c r="A25" s="238" t="s">
        <v>54</v>
      </c>
      <c r="B25" s="238" t="s">
        <v>4581</v>
      </c>
      <c r="C25" s="238" t="s">
        <v>4581</v>
      </c>
      <c r="D25" s="269">
        <v>42933</v>
      </c>
      <c r="E25" s="269">
        <v>42927</v>
      </c>
      <c r="F25" s="269">
        <v>42933</v>
      </c>
      <c r="G25" s="238" t="s">
        <v>4917</v>
      </c>
      <c r="H25" s="238" t="s">
        <v>4918</v>
      </c>
      <c r="I25" s="270" t="s">
        <v>61</v>
      </c>
      <c r="J25" s="238" t="s">
        <v>51</v>
      </c>
      <c r="K25" s="238"/>
      <c r="L25" s="238"/>
      <c r="M25" s="238" t="s">
        <v>4919</v>
      </c>
      <c r="N25" s="238"/>
      <c r="O25" s="238"/>
      <c r="P25" s="238"/>
      <c r="Q25" s="238"/>
      <c r="R25" s="238"/>
      <c r="S25" s="238"/>
      <c r="T25" s="238"/>
      <c r="U25" s="238"/>
      <c r="V25" s="238"/>
      <c r="W25" s="238"/>
      <c r="X25" s="238"/>
      <c r="Y25" s="238"/>
      <c r="Z25" s="238"/>
    </row>
    <row r="26" spans="1:26" ht="24.75" customHeight="1">
      <c r="A26" s="238" t="s">
        <v>54</v>
      </c>
      <c r="B26" s="238" t="s">
        <v>4581</v>
      </c>
      <c r="C26" s="238" t="s">
        <v>4581</v>
      </c>
      <c r="D26" s="269">
        <v>42933</v>
      </c>
      <c r="E26" s="269">
        <v>42927</v>
      </c>
      <c r="F26" s="269">
        <v>42933</v>
      </c>
      <c r="G26" s="238" t="s">
        <v>4920</v>
      </c>
      <c r="H26" s="238" t="s">
        <v>4921</v>
      </c>
      <c r="I26" s="270" t="s">
        <v>61</v>
      </c>
      <c r="J26" s="238" t="s">
        <v>62</v>
      </c>
      <c r="K26" s="238"/>
      <c r="L26" s="238"/>
      <c r="M26" s="238" t="s">
        <v>4922</v>
      </c>
      <c r="N26" s="238"/>
      <c r="O26" s="238"/>
      <c r="P26" s="238"/>
      <c r="Q26" s="238"/>
      <c r="R26" s="238"/>
      <c r="S26" s="238"/>
      <c r="T26" s="238"/>
      <c r="U26" s="238"/>
      <c r="V26" s="238"/>
      <c r="W26" s="238"/>
      <c r="X26" s="238"/>
      <c r="Y26" s="238"/>
      <c r="Z26" s="238"/>
    </row>
    <row r="27" spans="1:26" ht="24.75" customHeight="1">
      <c r="A27" s="238" t="s">
        <v>54</v>
      </c>
      <c r="B27" s="238" t="s">
        <v>4581</v>
      </c>
      <c r="C27" s="238" t="s">
        <v>4581</v>
      </c>
      <c r="D27" s="269">
        <v>42933</v>
      </c>
      <c r="E27" s="269">
        <v>42927</v>
      </c>
      <c r="F27" s="269">
        <v>42933</v>
      </c>
      <c r="G27" s="238" t="s">
        <v>4923</v>
      </c>
      <c r="H27" s="238" t="s">
        <v>4924</v>
      </c>
      <c r="I27" s="270" t="s">
        <v>61</v>
      </c>
      <c r="J27" s="238" t="s">
        <v>62</v>
      </c>
      <c r="K27" s="238"/>
      <c r="L27" s="238"/>
      <c r="M27" s="238" t="s">
        <v>4925</v>
      </c>
      <c r="N27" s="238"/>
      <c r="O27" s="238"/>
      <c r="P27" s="238"/>
      <c r="Q27" s="238"/>
      <c r="R27" s="238"/>
      <c r="S27" s="238"/>
      <c r="T27" s="238"/>
      <c r="U27" s="238"/>
      <c r="V27" s="238"/>
      <c r="W27" s="238"/>
      <c r="X27" s="238"/>
      <c r="Y27" s="238"/>
      <c r="Z27" s="238"/>
    </row>
    <row r="28" spans="1:26" ht="24.75" customHeight="1">
      <c r="A28" s="238" t="s">
        <v>54</v>
      </c>
      <c r="B28" s="238" t="s">
        <v>4581</v>
      </c>
      <c r="C28" s="238" t="s">
        <v>4581</v>
      </c>
      <c r="D28" s="269">
        <v>42933</v>
      </c>
      <c r="E28" s="269">
        <v>42927</v>
      </c>
      <c r="F28" s="269">
        <v>42933</v>
      </c>
      <c r="G28" s="238" t="s">
        <v>4926</v>
      </c>
      <c r="H28" s="238" t="s">
        <v>4927</v>
      </c>
      <c r="I28" s="270" t="s">
        <v>61</v>
      </c>
      <c r="J28" s="238" t="s">
        <v>51</v>
      </c>
      <c r="K28" s="238"/>
      <c r="L28" s="238"/>
      <c r="M28" s="238" t="s">
        <v>4928</v>
      </c>
      <c r="N28" s="238"/>
      <c r="O28" s="238"/>
      <c r="P28" s="238"/>
      <c r="Q28" s="238"/>
      <c r="R28" s="238"/>
      <c r="S28" s="238"/>
      <c r="T28" s="238"/>
      <c r="U28" s="238"/>
      <c r="V28" s="238"/>
      <c r="W28" s="238"/>
      <c r="X28" s="238"/>
      <c r="Y28" s="238"/>
      <c r="Z28" s="238"/>
    </row>
    <row r="29" spans="1:26" ht="24.75" customHeight="1">
      <c r="A29" s="238" t="s">
        <v>54</v>
      </c>
      <c r="B29" s="238" t="s">
        <v>4581</v>
      </c>
      <c r="C29" s="238" t="s">
        <v>4581</v>
      </c>
      <c r="D29" s="269">
        <v>42933</v>
      </c>
      <c r="E29" s="269">
        <v>42927</v>
      </c>
      <c r="F29" s="269">
        <v>42933</v>
      </c>
      <c r="G29" s="238" t="s">
        <v>4929</v>
      </c>
      <c r="H29" s="238" t="s">
        <v>4930</v>
      </c>
      <c r="I29" s="270" t="s">
        <v>61</v>
      </c>
      <c r="J29" s="238" t="s">
        <v>62</v>
      </c>
      <c r="K29" s="238"/>
      <c r="L29" s="238"/>
      <c r="M29" s="238" t="s">
        <v>4931</v>
      </c>
      <c r="N29" s="238"/>
      <c r="O29" s="238"/>
      <c r="P29" s="238"/>
      <c r="Q29" s="238"/>
      <c r="R29" s="238"/>
      <c r="S29" s="238"/>
      <c r="T29" s="238"/>
      <c r="U29" s="238"/>
      <c r="V29" s="238"/>
      <c r="W29" s="238"/>
      <c r="X29" s="238"/>
      <c r="Y29" s="238"/>
      <c r="Z29" s="238"/>
    </row>
    <row r="30" spans="1:26" ht="24.75" customHeight="1">
      <c r="A30" s="238" t="s">
        <v>54</v>
      </c>
      <c r="B30" s="238" t="s">
        <v>4581</v>
      </c>
      <c r="C30" s="238" t="s">
        <v>4581</v>
      </c>
      <c r="D30" s="269">
        <v>42933</v>
      </c>
      <c r="E30" s="269">
        <v>42927</v>
      </c>
      <c r="F30" s="269">
        <v>42933</v>
      </c>
      <c r="G30" s="238" t="s">
        <v>4932</v>
      </c>
      <c r="H30" s="238" t="s">
        <v>4933</v>
      </c>
      <c r="I30" s="270" t="s">
        <v>61</v>
      </c>
      <c r="J30" s="238" t="s">
        <v>62</v>
      </c>
      <c r="K30" s="238"/>
      <c r="L30" s="238"/>
      <c r="M30" s="238" t="s">
        <v>4934</v>
      </c>
      <c r="N30" s="238"/>
      <c r="O30" s="238"/>
      <c r="P30" s="238"/>
      <c r="Q30" s="238"/>
      <c r="R30" s="238"/>
      <c r="S30" s="238"/>
      <c r="T30" s="238"/>
      <c r="U30" s="238"/>
      <c r="V30" s="238"/>
      <c r="W30" s="238"/>
      <c r="X30" s="238"/>
      <c r="Y30" s="238"/>
      <c r="Z30" s="238"/>
    </row>
    <row r="31" spans="1:26" ht="24.75" customHeight="1">
      <c r="A31" s="238" t="s">
        <v>54</v>
      </c>
      <c r="B31" s="274" t="s">
        <v>4581</v>
      </c>
      <c r="C31" s="274" t="s">
        <v>4581</v>
      </c>
      <c r="D31" s="275">
        <v>42933</v>
      </c>
      <c r="E31" s="275">
        <v>42927</v>
      </c>
      <c r="F31" s="275">
        <v>42933</v>
      </c>
      <c r="G31" s="274" t="s">
        <v>4942</v>
      </c>
      <c r="H31" s="274" t="s">
        <v>4943</v>
      </c>
      <c r="I31" s="276" t="s">
        <v>61</v>
      </c>
      <c r="J31" s="274" t="s">
        <v>51</v>
      </c>
      <c r="K31" s="274"/>
      <c r="L31" s="274"/>
      <c r="M31" s="274" t="s">
        <v>4948</v>
      </c>
      <c r="N31" s="238"/>
      <c r="O31" s="238"/>
      <c r="P31" s="238"/>
      <c r="Q31" s="238"/>
      <c r="R31" s="238"/>
      <c r="S31" s="238"/>
      <c r="T31" s="238"/>
      <c r="U31" s="238"/>
      <c r="V31" s="238"/>
      <c r="W31" s="238"/>
      <c r="X31" s="238"/>
      <c r="Y31" s="238"/>
      <c r="Z31" s="238"/>
    </row>
    <row r="32" spans="1:26" ht="24.75" customHeight="1">
      <c r="A32" s="277" t="s">
        <v>54</v>
      </c>
      <c r="B32" s="238" t="s">
        <v>4581</v>
      </c>
      <c r="C32" s="238" t="s">
        <v>4581</v>
      </c>
      <c r="D32" s="269">
        <v>42975</v>
      </c>
      <c r="E32" s="269">
        <v>42969</v>
      </c>
      <c r="F32" s="269">
        <v>42975</v>
      </c>
      <c r="G32" s="238" t="s">
        <v>4952</v>
      </c>
      <c r="H32" s="238" t="s">
        <v>4953</v>
      </c>
      <c r="I32" s="270" t="s">
        <v>61</v>
      </c>
      <c r="J32" s="238" t="s">
        <v>62</v>
      </c>
      <c r="K32" s="238"/>
      <c r="L32" s="238"/>
      <c r="M32" s="238" t="s">
        <v>4954</v>
      </c>
      <c r="N32" s="278"/>
      <c r="O32" s="238"/>
      <c r="P32" s="238"/>
      <c r="Q32" s="238"/>
      <c r="R32" s="238"/>
      <c r="S32" s="238"/>
      <c r="T32" s="238"/>
      <c r="U32" s="238"/>
      <c r="V32" s="238"/>
      <c r="W32" s="238"/>
      <c r="X32" s="238"/>
      <c r="Y32" s="238"/>
      <c r="Z32" s="238"/>
    </row>
    <row r="33" spans="1:26" ht="24.75" customHeight="1">
      <c r="A33" s="277" t="s">
        <v>54</v>
      </c>
      <c r="B33" s="238" t="s">
        <v>4581</v>
      </c>
      <c r="C33" s="238" t="s">
        <v>4581</v>
      </c>
      <c r="D33" s="269">
        <v>42975</v>
      </c>
      <c r="E33" s="269">
        <v>42969</v>
      </c>
      <c r="F33" s="269">
        <v>42975</v>
      </c>
      <c r="G33" s="238" t="s">
        <v>4958</v>
      </c>
      <c r="H33" s="238" t="s">
        <v>4959</v>
      </c>
      <c r="I33" s="270" t="s">
        <v>61</v>
      </c>
      <c r="J33" s="238" t="s">
        <v>51</v>
      </c>
      <c r="K33" s="238"/>
      <c r="L33" s="238"/>
      <c r="M33" s="238" t="s">
        <v>4962</v>
      </c>
      <c r="N33" s="278"/>
      <c r="O33" s="238"/>
      <c r="P33" s="238"/>
      <c r="Q33" s="238"/>
      <c r="R33" s="238"/>
      <c r="S33" s="238"/>
      <c r="T33" s="238"/>
      <c r="U33" s="238"/>
      <c r="V33" s="238"/>
      <c r="W33" s="238"/>
      <c r="X33" s="238"/>
      <c r="Y33" s="238"/>
      <c r="Z33" s="238"/>
    </row>
    <row r="34" spans="1:26" ht="24.75" customHeight="1">
      <c r="A34" s="277" t="s">
        <v>54</v>
      </c>
      <c r="B34" s="238" t="s">
        <v>4581</v>
      </c>
      <c r="C34" s="238" t="s">
        <v>4581</v>
      </c>
      <c r="D34" s="269">
        <v>42975</v>
      </c>
      <c r="E34" s="269">
        <v>42969</v>
      </c>
      <c r="F34" s="269">
        <v>42975</v>
      </c>
      <c r="G34" s="238" t="s">
        <v>4965</v>
      </c>
      <c r="H34" s="238" t="s">
        <v>4966</v>
      </c>
      <c r="I34" s="270" t="s">
        <v>61</v>
      </c>
      <c r="J34" s="238" t="s">
        <v>51</v>
      </c>
      <c r="K34" s="238"/>
      <c r="L34" s="238"/>
      <c r="M34" s="238" t="s">
        <v>4967</v>
      </c>
      <c r="N34" s="278"/>
      <c r="O34" s="238"/>
      <c r="P34" s="238"/>
      <c r="Q34" s="238"/>
      <c r="R34" s="238"/>
      <c r="S34" s="238"/>
      <c r="T34" s="238"/>
      <c r="U34" s="238"/>
      <c r="V34" s="238"/>
      <c r="W34" s="238"/>
      <c r="X34" s="238"/>
      <c r="Y34" s="238"/>
      <c r="Z34" s="238"/>
    </row>
    <row r="35" spans="1:26" ht="24.75" customHeight="1">
      <c r="A35" s="277" t="s">
        <v>54</v>
      </c>
      <c r="B35" s="238" t="s">
        <v>4581</v>
      </c>
      <c r="C35" s="238" t="s">
        <v>4581</v>
      </c>
      <c r="D35" s="269">
        <v>42975</v>
      </c>
      <c r="E35" s="269">
        <v>42969</v>
      </c>
      <c r="F35" s="269">
        <v>42975</v>
      </c>
      <c r="G35" s="238" t="s">
        <v>4968</v>
      </c>
      <c r="H35" s="238" t="s">
        <v>4969</v>
      </c>
      <c r="I35" s="270" t="s">
        <v>61</v>
      </c>
      <c r="J35" s="238" t="s">
        <v>51</v>
      </c>
      <c r="K35" s="238"/>
      <c r="L35" s="238"/>
      <c r="M35" s="238" t="s">
        <v>4970</v>
      </c>
      <c r="N35" s="278"/>
      <c r="O35" s="238"/>
      <c r="P35" s="238"/>
      <c r="Q35" s="238"/>
      <c r="R35" s="238"/>
      <c r="S35" s="238"/>
      <c r="T35" s="238"/>
      <c r="U35" s="238"/>
      <c r="V35" s="238"/>
      <c r="W35" s="238"/>
      <c r="X35" s="238"/>
      <c r="Y35" s="238"/>
      <c r="Z35" s="238"/>
    </row>
    <row r="36" spans="1:26" ht="24.75" customHeight="1">
      <c r="A36" s="277" t="s">
        <v>54</v>
      </c>
      <c r="B36" s="238" t="s">
        <v>4581</v>
      </c>
      <c r="C36" s="238" t="s">
        <v>4581</v>
      </c>
      <c r="D36" s="269">
        <v>42975</v>
      </c>
      <c r="E36" s="269">
        <v>42969</v>
      </c>
      <c r="F36" s="269">
        <v>42975</v>
      </c>
      <c r="G36" s="238" t="s">
        <v>4974</v>
      </c>
      <c r="H36" s="238" t="s">
        <v>4975</v>
      </c>
      <c r="I36" s="270" t="s">
        <v>61</v>
      </c>
      <c r="J36" s="238" t="s">
        <v>51</v>
      </c>
      <c r="K36" s="238"/>
      <c r="L36" s="238"/>
      <c r="M36" s="238" t="s">
        <v>4977</v>
      </c>
      <c r="N36" s="278"/>
      <c r="O36" s="238"/>
      <c r="P36" s="238"/>
      <c r="Q36" s="238"/>
      <c r="R36" s="238"/>
      <c r="S36" s="238"/>
      <c r="T36" s="238"/>
      <c r="U36" s="238"/>
      <c r="V36" s="238"/>
      <c r="W36" s="238"/>
      <c r="X36" s="238"/>
      <c r="Y36" s="238"/>
      <c r="Z36" s="238"/>
    </row>
    <row r="37" spans="1:26" ht="24.75" customHeight="1">
      <c r="A37" s="277" t="s">
        <v>54</v>
      </c>
      <c r="B37" s="238" t="s">
        <v>4581</v>
      </c>
      <c r="C37" s="238" t="s">
        <v>4581</v>
      </c>
      <c r="D37" s="269">
        <v>42975</v>
      </c>
      <c r="E37" s="269">
        <v>42969</v>
      </c>
      <c r="F37" s="269">
        <v>42975</v>
      </c>
      <c r="G37" s="238" t="s">
        <v>4979</v>
      </c>
      <c r="H37" s="238" t="s">
        <v>4981</v>
      </c>
      <c r="I37" s="270" t="s">
        <v>61</v>
      </c>
      <c r="J37" s="238" t="s">
        <v>51</v>
      </c>
      <c r="K37" s="238"/>
      <c r="L37" s="238"/>
      <c r="M37" s="238" t="s">
        <v>4983</v>
      </c>
      <c r="N37" s="278"/>
      <c r="O37" s="238"/>
      <c r="P37" s="238"/>
      <c r="Q37" s="238"/>
      <c r="R37" s="238"/>
      <c r="S37" s="238"/>
      <c r="T37" s="238"/>
      <c r="U37" s="238"/>
      <c r="V37" s="238"/>
      <c r="W37" s="238"/>
      <c r="X37" s="238"/>
      <c r="Y37" s="238"/>
      <c r="Z37" s="238"/>
    </row>
    <row r="38" spans="1:26" ht="24.75" customHeight="1">
      <c r="A38" s="277" t="s">
        <v>54</v>
      </c>
      <c r="B38" s="238" t="s">
        <v>4581</v>
      </c>
      <c r="C38" s="238" t="s">
        <v>4581</v>
      </c>
      <c r="D38" s="269">
        <v>42975</v>
      </c>
      <c r="E38" s="269">
        <v>42969</v>
      </c>
      <c r="F38" s="269">
        <v>42975</v>
      </c>
      <c r="G38" s="238" t="s">
        <v>4986</v>
      </c>
      <c r="H38" s="238" t="s">
        <v>4987</v>
      </c>
      <c r="I38" s="270" t="s">
        <v>61</v>
      </c>
      <c r="J38" s="238" t="s">
        <v>51</v>
      </c>
      <c r="K38" s="238"/>
      <c r="L38" s="238"/>
      <c r="M38" s="238" t="s">
        <v>4988</v>
      </c>
      <c r="N38" s="278"/>
      <c r="O38" s="238"/>
      <c r="P38" s="238"/>
      <c r="Q38" s="238"/>
      <c r="R38" s="238"/>
      <c r="S38" s="238"/>
      <c r="T38" s="238"/>
      <c r="U38" s="238"/>
      <c r="V38" s="238"/>
      <c r="W38" s="238"/>
      <c r="X38" s="238"/>
      <c r="Y38" s="238"/>
      <c r="Z38" s="238"/>
    </row>
    <row r="39" spans="1:26" ht="24.75" customHeight="1">
      <c r="A39" s="277" t="s">
        <v>54</v>
      </c>
      <c r="B39" s="238" t="s">
        <v>4581</v>
      </c>
      <c r="C39" s="238" t="s">
        <v>4581</v>
      </c>
      <c r="D39" s="269">
        <v>42975</v>
      </c>
      <c r="E39" s="269">
        <v>42969</v>
      </c>
      <c r="F39" s="269">
        <v>42975</v>
      </c>
      <c r="G39" s="238" t="s">
        <v>4989</v>
      </c>
      <c r="H39" s="238" t="s">
        <v>4990</v>
      </c>
      <c r="I39" s="270" t="s">
        <v>61</v>
      </c>
      <c r="J39" s="238" t="s">
        <v>62</v>
      </c>
      <c r="K39" s="238"/>
      <c r="L39" s="238"/>
      <c r="M39" s="238" t="s">
        <v>4991</v>
      </c>
      <c r="N39" s="278"/>
      <c r="O39" s="238"/>
      <c r="P39" s="238"/>
      <c r="Q39" s="238"/>
      <c r="R39" s="238"/>
      <c r="S39" s="238"/>
      <c r="T39" s="238"/>
      <c r="U39" s="238"/>
      <c r="V39" s="238"/>
      <c r="W39" s="238"/>
      <c r="X39" s="238"/>
      <c r="Y39" s="238"/>
      <c r="Z39" s="238"/>
    </row>
    <row r="40" spans="1:26" ht="24.75" customHeight="1">
      <c r="A40" s="277" t="s">
        <v>54</v>
      </c>
      <c r="B40" s="238" t="s">
        <v>4581</v>
      </c>
      <c r="C40" s="238" t="s">
        <v>4581</v>
      </c>
      <c r="D40" s="269">
        <v>42975</v>
      </c>
      <c r="E40" s="269">
        <v>42969</v>
      </c>
      <c r="F40" s="269">
        <v>42975</v>
      </c>
      <c r="G40" s="238" t="s">
        <v>4992</v>
      </c>
      <c r="H40" s="238" t="s">
        <v>4993</v>
      </c>
      <c r="I40" s="270" t="s">
        <v>61</v>
      </c>
      <c r="J40" s="238" t="s">
        <v>62</v>
      </c>
      <c r="K40" s="238"/>
      <c r="L40" s="238"/>
      <c r="M40" s="238" t="s">
        <v>4994</v>
      </c>
      <c r="N40" s="278"/>
      <c r="O40" s="238"/>
      <c r="P40" s="238"/>
      <c r="Q40" s="238"/>
      <c r="R40" s="238"/>
      <c r="S40" s="238"/>
      <c r="T40" s="238"/>
      <c r="U40" s="238"/>
      <c r="V40" s="238"/>
      <c r="W40" s="238"/>
      <c r="X40" s="238"/>
      <c r="Y40" s="238"/>
      <c r="Z40" s="238"/>
    </row>
    <row r="41" spans="1:26" ht="24.75" customHeight="1">
      <c r="A41" s="277" t="s">
        <v>54</v>
      </c>
      <c r="B41" s="238" t="s">
        <v>4581</v>
      </c>
      <c r="C41" s="238" t="s">
        <v>4581</v>
      </c>
      <c r="D41" s="269">
        <v>42975</v>
      </c>
      <c r="E41" s="269">
        <v>42969</v>
      </c>
      <c r="F41" s="269">
        <v>42975</v>
      </c>
      <c r="G41" s="238" t="s">
        <v>4995</v>
      </c>
      <c r="H41" s="238" t="s">
        <v>4996</v>
      </c>
      <c r="I41" s="270" t="s">
        <v>61</v>
      </c>
      <c r="J41" s="238" t="s">
        <v>62</v>
      </c>
      <c r="K41" s="238"/>
      <c r="L41" s="238"/>
      <c r="M41" s="238" t="s">
        <v>4997</v>
      </c>
      <c r="N41" s="278"/>
      <c r="O41" s="238"/>
      <c r="P41" s="238"/>
      <c r="Q41" s="238"/>
      <c r="R41" s="238"/>
      <c r="S41" s="238"/>
      <c r="T41" s="238"/>
      <c r="U41" s="238"/>
      <c r="V41" s="238"/>
      <c r="W41" s="238"/>
      <c r="X41" s="238"/>
      <c r="Y41" s="238"/>
      <c r="Z41" s="238"/>
    </row>
    <row r="42" spans="1:26" ht="24.75" customHeight="1">
      <c r="A42" s="277" t="s">
        <v>54</v>
      </c>
      <c r="B42" s="238" t="s">
        <v>4581</v>
      </c>
      <c r="C42" s="238" t="s">
        <v>4581</v>
      </c>
      <c r="D42" s="269">
        <v>42975</v>
      </c>
      <c r="E42" s="269">
        <v>42969</v>
      </c>
      <c r="F42" s="269">
        <v>42975</v>
      </c>
      <c r="G42" s="238" t="s">
        <v>4999</v>
      </c>
      <c r="H42" s="238" t="s">
        <v>5000</v>
      </c>
      <c r="I42" s="270" t="s">
        <v>61</v>
      </c>
      <c r="J42" s="238" t="s">
        <v>51</v>
      </c>
      <c r="K42" s="238"/>
      <c r="L42" s="238"/>
      <c r="M42" s="238" t="s">
        <v>5001</v>
      </c>
      <c r="N42" s="278"/>
      <c r="O42" s="238"/>
      <c r="P42" s="238"/>
      <c r="Q42" s="238"/>
      <c r="R42" s="238"/>
      <c r="S42" s="238"/>
      <c r="T42" s="238"/>
      <c r="U42" s="238"/>
      <c r="V42" s="238"/>
      <c r="W42" s="238"/>
      <c r="X42" s="238"/>
      <c r="Y42" s="238"/>
      <c r="Z42" s="238"/>
    </row>
    <row r="43" spans="1:26" ht="24.75" customHeight="1">
      <c r="A43" s="277" t="s">
        <v>54</v>
      </c>
      <c r="B43" s="238" t="s">
        <v>4581</v>
      </c>
      <c r="C43" s="238" t="s">
        <v>4581</v>
      </c>
      <c r="D43" s="269">
        <v>42975</v>
      </c>
      <c r="E43" s="269">
        <v>42969</v>
      </c>
      <c r="F43" s="269">
        <v>42975</v>
      </c>
      <c r="G43" s="238" t="s">
        <v>5005</v>
      </c>
      <c r="H43" s="238" t="s">
        <v>5007</v>
      </c>
      <c r="I43" s="270" t="s">
        <v>61</v>
      </c>
      <c r="J43" s="238" t="s">
        <v>51</v>
      </c>
      <c r="K43" s="238"/>
      <c r="L43" s="238"/>
      <c r="M43" s="238" t="s">
        <v>5008</v>
      </c>
      <c r="N43" s="278"/>
      <c r="O43" s="238"/>
      <c r="P43" s="238"/>
      <c r="Q43" s="238"/>
      <c r="R43" s="238"/>
      <c r="S43" s="238"/>
      <c r="T43" s="238"/>
      <c r="U43" s="238"/>
      <c r="V43" s="238"/>
      <c r="W43" s="238"/>
      <c r="X43" s="238"/>
      <c r="Y43" s="238"/>
      <c r="Z43" s="238"/>
    </row>
    <row r="44" spans="1:26" ht="24.75" customHeight="1">
      <c r="A44" s="277" t="s">
        <v>54</v>
      </c>
      <c r="B44" s="238" t="s">
        <v>4581</v>
      </c>
      <c r="C44" s="238" t="s">
        <v>4581</v>
      </c>
      <c r="D44" s="269">
        <v>42975</v>
      </c>
      <c r="E44" s="269">
        <v>42969</v>
      </c>
      <c r="F44" s="269">
        <v>42975</v>
      </c>
      <c r="G44" s="238" t="s">
        <v>5009</v>
      </c>
      <c r="H44" s="238" t="s">
        <v>5010</v>
      </c>
      <c r="I44" s="270" t="s">
        <v>61</v>
      </c>
      <c r="J44" s="238" t="s">
        <v>51</v>
      </c>
      <c r="K44" s="238"/>
      <c r="L44" s="238"/>
      <c r="M44" s="238" t="s">
        <v>5011</v>
      </c>
      <c r="N44" s="278"/>
      <c r="O44" s="238"/>
      <c r="P44" s="238"/>
      <c r="Q44" s="238"/>
      <c r="R44" s="238"/>
      <c r="S44" s="238"/>
      <c r="T44" s="238"/>
      <c r="U44" s="238"/>
      <c r="V44" s="238"/>
      <c r="W44" s="238"/>
      <c r="X44" s="238"/>
      <c r="Y44" s="238"/>
      <c r="Z44" s="238"/>
    </row>
    <row r="45" spans="1:26" ht="24.75" customHeight="1">
      <c r="A45" s="277" t="s">
        <v>54</v>
      </c>
      <c r="B45" s="238" t="s">
        <v>4581</v>
      </c>
      <c r="C45" s="238" t="s">
        <v>4581</v>
      </c>
      <c r="D45" s="269">
        <v>42975</v>
      </c>
      <c r="E45" s="269">
        <v>42969</v>
      </c>
      <c r="F45" s="269">
        <v>42975</v>
      </c>
      <c r="G45" s="238" t="s">
        <v>5012</v>
      </c>
      <c r="H45" s="238" t="s">
        <v>5013</v>
      </c>
      <c r="I45" s="270" t="s">
        <v>61</v>
      </c>
      <c r="J45" s="238" t="s">
        <v>51</v>
      </c>
      <c r="K45" s="238"/>
      <c r="L45" s="238"/>
      <c r="M45" s="238" t="s">
        <v>5014</v>
      </c>
      <c r="N45" s="278"/>
      <c r="O45" s="238"/>
      <c r="P45" s="238"/>
      <c r="Q45" s="238"/>
      <c r="R45" s="238"/>
      <c r="S45" s="238"/>
      <c r="T45" s="238"/>
      <c r="U45" s="238"/>
      <c r="V45" s="238"/>
      <c r="W45" s="238"/>
      <c r="X45" s="238"/>
      <c r="Y45" s="238"/>
      <c r="Z45" s="238"/>
    </row>
    <row r="46" spans="1:26" ht="24.75" customHeight="1">
      <c r="A46" s="277" t="s">
        <v>54</v>
      </c>
      <c r="B46" s="238" t="s">
        <v>4581</v>
      </c>
      <c r="C46" s="238" t="s">
        <v>4581</v>
      </c>
      <c r="D46" s="269">
        <v>42975</v>
      </c>
      <c r="E46" s="269">
        <v>42969</v>
      </c>
      <c r="F46" s="269">
        <v>42975</v>
      </c>
      <c r="G46" s="238" t="s">
        <v>5015</v>
      </c>
      <c r="H46" s="238" t="s">
        <v>5017</v>
      </c>
      <c r="I46" s="270" t="s">
        <v>61</v>
      </c>
      <c r="J46" s="238" t="s">
        <v>62</v>
      </c>
      <c r="K46" s="238"/>
      <c r="L46" s="238"/>
      <c r="M46" s="238" t="s">
        <v>5019</v>
      </c>
      <c r="N46" s="278"/>
      <c r="O46" s="238"/>
      <c r="P46" s="238"/>
      <c r="Q46" s="238"/>
      <c r="R46" s="238"/>
      <c r="S46" s="238"/>
      <c r="T46" s="238"/>
      <c r="U46" s="238"/>
      <c r="V46" s="238"/>
      <c r="W46" s="238"/>
      <c r="X46" s="238"/>
      <c r="Y46" s="238"/>
      <c r="Z46" s="238"/>
    </row>
    <row r="47" spans="1:26" ht="24.75" customHeight="1">
      <c r="A47" s="277" t="s">
        <v>54</v>
      </c>
      <c r="B47" s="238" t="s">
        <v>4581</v>
      </c>
      <c r="C47" s="238" t="s">
        <v>4581</v>
      </c>
      <c r="D47" s="269">
        <v>42975</v>
      </c>
      <c r="E47" s="269">
        <v>42969</v>
      </c>
      <c r="F47" s="269">
        <v>42975</v>
      </c>
      <c r="G47" s="238" t="s">
        <v>5021</v>
      </c>
      <c r="H47" s="238" t="s">
        <v>5022</v>
      </c>
      <c r="I47" s="270" t="s">
        <v>61</v>
      </c>
      <c r="J47" s="238" t="s">
        <v>62</v>
      </c>
      <c r="K47" s="238"/>
      <c r="L47" s="238"/>
      <c r="M47" s="238" t="s">
        <v>5024</v>
      </c>
      <c r="N47" s="278"/>
      <c r="O47" s="238"/>
      <c r="P47" s="238"/>
      <c r="Q47" s="238"/>
      <c r="R47" s="238"/>
      <c r="S47" s="238"/>
      <c r="T47" s="238"/>
      <c r="U47" s="238"/>
      <c r="V47" s="238"/>
      <c r="W47" s="238"/>
      <c r="X47" s="238"/>
      <c r="Y47" s="238"/>
      <c r="Z47" s="238"/>
    </row>
    <row r="48" spans="1:26" ht="24.75" customHeight="1">
      <c r="A48" s="277" t="s">
        <v>54</v>
      </c>
      <c r="B48" s="238" t="s">
        <v>4581</v>
      </c>
      <c r="C48" s="238" t="s">
        <v>4581</v>
      </c>
      <c r="D48" s="269">
        <v>42975</v>
      </c>
      <c r="E48" s="269">
        <v>42969</v>
      </c>
      <c r="F48" s="269">
        <v>42975</v>
      </c>
      <c r="G48" s="238" t="s">
        <v>5029</v>
      </c>
      <c r="H48" s="238" t="s">
        <v>5030</v>
      </c>
      <c r="I48" s="270" t="s">
        <v>61</v>
      </c>
      <c r="J48" s="238" t="s">
        <v>51</v>
      </c>
      <c r="K48" s="238"/>
      <c r="L48" s="238"/>
      <c r="M48" s="238" t="s">
        <v>5032</v>
      </c>
      <c r="N48" s="278"/>
      <c r="O48" s="238"/>
      <c r="P48" s="238"/>
      <c r="Q48" s="238"/>
      <c r="R48" s="238"/>
      <c r="S48" s="238"/>
      <c r="T48" s="238"/>
      <c r="U48" s="238"/>
      <c r="V48" s="238"/>
      <c r="W48" s="238"/>
      <c r="X48" s="238"/>
      <c r="Y48" s="238"/>
      <c r="Z48" s="238"/>
    </row>
    <row r="49" spans="1:26" ht="24.75" customHeight="1">
      <c r="A49" s="238" t="s">
        <v>54</v>
      </c>
      <c r="B49" s="279" t="s">
        <v>4581</v>
      </c>
      <c r="C49" s="279" t="s">
        <v>4581</v>
      </c>
      <c r="D49" s="280">
        <v>42976</v>
      </c>
      <c r="E49" s="280">
        <v>42970</v>
      </c>
      <c r="F49" s="280">
        <v>42976</v>
      </c>
      <c r="G49" s="279" t="s">
        <v>5044</v>
      </c>
      <c r="H49" s="279" t="s">
        <v>5045</v>
      </c>
      <c r="I49" s="281" t="s">
        <v>61</v>
      </c>
      <c r="J49" s="279" t="s">
        <v>51</v>
      </c>
      <c r="K49" s="279"/>
      <c r="L49" s="279"/>
      <c r="M49" s="279" t="s">
        <v>5046</v>
      </c>
      <c r="N49" s="238"/>
      <c r="O49" s="238"/>
      <c r="P49" s="238"/>
      <c r="Q49" s="238"/>
      <c r="R49" s="238"/>
      <c r="S49" s="238"/>
      <c r="T49" s="238"/>
      <c r="U49" s="238"/>
      <c r="V49" s="238"/>
      <c r="W49" s="238"/>
      <c r="X49" s="238"/>
      <c r="Y49" s="238"/>
      <c r="Z49" s="238"/>
    </row>
    <row r="50" spans="1:26" ht="24.75" customHeight="1">
      <c r="A50" s="238" t="s">
        <v>54</v>
      </c>
      <c r="B50" s="238" t="s">
        <v>4581</v>
      </c>
      <c r="C50" s="238" t="s">
        <v>4581</v>
      </c>
      <c r="D50" s="280">
        <v>42976</v>
      </c>
      <c r="E50" s="269">
        <v>42970</v>
      </c>
      <c r="F50" s="269">
        <v>42976</v>
      </c>
      <c r="G50" s="238" t="s">
        <v>5047</v>
      </c>
      <c r="H50" s="238" t="s">
        <v>5048</v>
      </c>
      <c r="I50" s="270" t="s">
        <v>61</v>
      </c>
      <c r="J50" s="238" t="s">
        <v>51</v>
      </c>
      <c r="K50" s="238"/>
      <c r="L50" s="238"/>
      <c r="M50" s="238" t="s">
        <v>5049</v>
      </c>
      <c r="N50" s="238"/>
      <c r="O50" s="238"/>
      <c r="P50" s="238"/>
      <c r="Q50" s="238"/>
      <c r="R50" s="238"/>
      <c r="S50" s="238"/>
      <c r="T50" s="238"/>
      <c r="U50" s="238"/>
      <c r="V50" s="238"/>
      <c r="W50" s="238"/>
      <c r="X50" s="238"/>
      <c r="Y50" s="238"/>
      <c r="Z50" s="238"/>
    </row>
    <row r="51" spans="1:26" ht="24.75" customHeight="1">
      <c r="A51" s="238" t="s">
        <v>54</v>
      </c>
      <c r="B51" s="238" t="s">
        <v>4581</v>
      </c>
      <c r="C51" s="238" t="s">
        <v>4581</v>
      </c>
      <c r="D51" s="280">
        <v>42976</v>
      </c>
      <c r="E51" s="269">
        <v>42970</v>
      </c>
      <c r="F51" s="269">
        <v>42976</v>
      </c>
      <c r="G51" s="238" t="s">
        <v>5050</v>
      </c>
      <c r="H51" s="238" t="s">
        <v>5051</v>
      </c>
      <c r="I51" s="270" t="s">
        <v>61</v>
      </c>
      <c r="J51" s="238" t="s">
        <v>51</v>
      </c>
      <c r="K51" s="238"/>
      <c r="L51" s="238"/>
      <c r="M51" s="238" t="s">
        <v>5052</v>
      </c>
      <c r="N51" s="238"/>
      <c r="O51" s="238"/>
      <c r="P51" s="238"/>
      <c r="Q51" s="238"/>
      <c r="R51" s="238"/>
      <c r="S51" s="238"/>
      <c r="T51" s="238"/>
      <c r="U51" s="238"/>
      <c r="V51" s="238"/>
      <c r="W51" s="238"/>
      <c r="X51" s="238"/>
      <c r="Y51" s="238"/>
      <c r="Z51" s="238"/>
    </row>
    <row r="52" spans="1:26" ht="24.75" customHeight="1">
      <c r="A52" s="238" t="s">
        <v>54</v>
      </c>
      <c r="B52" s="238" t="s">
        <v>4581</v>
      </c>
      <c r="C52" s="238" t="s">
        <v>4581</v>
      </c>
      <c r="D52" s="280">
        <v>42976</v>
      </c>
      <c r="E52" s="269">
        <v>42970</v>
      </c>
      <c r="F52" s="269">
        <v>42976</v>
      </c>
      <c r="G52" s="238" t="s">
        <v>5053</v>
      </c>
      <c r="H52" s="238" t="s">
        <v>5054</v>
      </c>
      <c r="I52" s="270" t="s">
        <v>61</v>
      </c>
      <c r="J52" s="238" t="s">
        <v>51</v>
      </c>
      <c r="K52" s="238"/>
      <c r="L52" s="238"/>
      <c r="M52" s="238" t="s">
        <v>5055</v>
      </c>
      <c r="N52" s="238"/>
      <c r="O52" s="238"/>
      <c r="P52" s="238"/>
      <c r="Q52" s="238"/>
      <c r="R52" s="238"/>
      <c r="S52" s="238"/>
      <c r="T52" s="238"/>
      <c r="U52" s="238"/>
      <c r="V52" s="238"/>
      <c r="W52" s="238"/>
      <c r="X52" s="238"/>
      <c r="Y52" s="238"/>
      <c r="Z52" s="238"/>
    </row>
    <row r="53" spans="1:26" ht="24.75" customHeight="1">
      <c r="A53" s="274" t="s">
        <v>54</v>
      </c>
      <c r="B53" s="274" t="s">
        <v>4581</v>
      </c>
      <c r="C53" s="274" t="s">
        <v>4581</v>
      </c>
      <c r="D53" s="283">
        <v>42976</v>
      </c>
      <c r="E53" s="275">
        <v>42970</v>
      </c>
      <c r="F53" s="275">
        <v>42976</v>
      </c>
      <c r="G53" s="274" t="s">
        <v>5065</v>
      </c>
      <c r="H53" s="274" t="s">
        <v>5066</v>
      </c>
      <c r="I53" s="276" t="s">
        <v>61</v>
      </c>
      <c r="J53" s="274" t="s">
        <v>62</v>
      </c>
      <c r="K53" s="274"/>
      <c r="L53" s="274"/>
      <c r="M53" s="274" t="s">
        <v>5067</v>
      </c>
      <c r="N53" s="238"/>
      <c r="O53" s="238"/>
      <c r="P53" s="238"/>
      <c r="Q53" s="238"/>
      <c r="R53" s="238"/>
      <c r="S53" s="238"/>
      <c r="T53" s="238"/>
      <c r="U53" s="238"/>
      <c r="V53" s="238"/>
      <c r="W53" s="238"/>
      <c r="X53" s="238"/>
      <c r="Y53" s="238"/>
      <c r="Z53" s="238"/>
    </row>
    <row r="54" spans="1:26" ht="24.75" customHeight="1">
      <c r="A54" s="238" t="s">
        <v>54</v>
      </c>
      <c r="B54" s="238" t="s">
        <v>4581</v>
      </c>
      <c r="C54" s="238" t="s">
        <v>4581</v>
      </c>
      <c r="D54" s="269">
        <v>42977</v>
      </c>
      <c r="E54" s="269">
        <v>42971</v>
      </c>
      <c r="F54" s="269">
        <v>42977</v>
      </c>
      <c r="G54" s="238" t="s">
        <v>5072</v>
      </c>
      <c r="H54" s="238" t="s">
        <v>5073</v>
      </c>
      <c r="I54" s="270" t="s">
        <v>61</v>
      </c>
      <c r="J54" s="238" t="s">
        <v>62</v>
      </c>
      <c r="K54" s="238"/>
      <c r="L54" s="238"/>
      <c r="M54" s="238" t="s">
        <v>5074</v>
      </c>
      <c r="N54" s="278"/>
      <c r="O54" s="238"/>
      <c r="P54" s="238"/>
      <c r="Q54" s="238"/>
      <c r="R54" s="238"/>
      <c r="S54" s="238"/>
      <c r="T54" s="238"/>
      <c r="U54" s="238"/>
      <c r="V54" s="238"/>
      <c r="W54" s="238"/>
      <c r="X54" s="238"/>
      <c r="Y54" s="238"/>
      <c r="Z54" s="238"/>
    </row>
    <row r="55" spans="1:26" ht="24.75" customHeight="1">
      <c r="A55" s="238" t="s">
        <v>54</v>
      </c>
      <c r="B55" s="238" t="s">
        <v>4581</v>
      </c>
      <c r="C55" s="238" t="s">
        <v>4581</v>
      </c>
      <c r="D55" s="269">
        <v>42977</v>
      </c>
      <c r="E55" s="269">
        <v>42971</v>
      </c>
      <c r="F55" s="269">
        <v>42977</v>
      </c>
      <c r="G55" s="238" t="s">
        <v>5079</v>
      </c>
      <c r="H55" s="238" t="s">
        <v>5080</v>
      </c>
      <c r="I55" s="270" t="s">
        <v>61</v>
      </c>
      <c r="J55" s="238" t="s">
        <v>51</v>
      </c>
      <c r="K55" s="238"/>
      <c r="L55" s="238"/>
      <c r="M55" s="238" t="s">
        <v>5082</v>
      </c>
      <c r="N55" s="278"/>
      <c r="O55" s="238"/>
      <c r="P55" s="238"/>
      <c r="Q55" s="238"/>
      <c r="R55" s="238"/>
      <c r="S55" s="238"/>
      <c r="T55" s="238"/>
      <c r="U55" s="238"/>
      <c r="V55" s="238"/>
      <c r="W55" s="238"/>
      <c r="X55" s="238"/>
      <c r="Y55" s="238"/>
      <c r="Z55" s="238"/>
    </row>
    <row r="56" spans="1:26" ht="24.75" customHeight="1">
      <c r="A56" s="238" t="s">
        <v>54</v>
      </c>
      <c r="B56" s="238" t="s">
        <v>4581</v>
      </c>
      <c r="C56" s="238" t="s">
        <v>4581</v>
      </c>
      <c r="D56" s="269">
        <v>42977</v>
      </c>
      <c r="E56" s="269">
        <v>42971</v>
      </c>
      <c r="F56" s="269">
        <v>42977</v>
      </c>
      <c r="G56" s="238" t="s">
        <v>5086</v>
      </c>
      <c r="H56" s="238" t="s">
        <v>5087</v>
      </c>
      <c r="I56" s="270" t="s">
        <v>61</v>
      </c>
      <c r="J56" s="238" t="s">
        <v>51</v>
      </c>
      <c r="K56" s="238"/>
      <c r="L56" s="238"/>
      <c r="M56" s="238" t="s">
        <v>5088</v>
      </c>
      <c r="N56" s="278"/>
      <c r="O56" s="238"/>
      <c r="P56" s="238"/>
      <c r="Q56" s="238"/>
      <c r="R56" s="238"/>
      <c r="S56" s="238"/>
      <c r="T56" s="238"/>
      <c r="U56" s="238"/>
      <c r="V56" s="238"/>
      <c r="W56" s="238"/>
      <c r="X56" s="238"/>
      <c r="Y56" s="238"/>
      <c r="Z56" s="238"/>
    </row>
    <row r="57" spans="1:26" ht="24.75" customHeight="1">
      <c r="A57" s="238" t="s">
        <v>54</v>
      </c>
      <c r="B57" s="238" t="s">
        <v>4581</v>
      </c>
      <c r="C57" s="238" t="s">
        <v>4581</v>
      </c>
      <c r="D57" s="269">
        <v>42977</v>
      </c>
      <c r="E57" s="269">
        <v>42971</v>
      </c>
      <c r="F57" s="269">
        <v>42977</v>
      </c>
      <c r="G57" s="238" t="s">
        <v>5093</v>
      </c>
      <c r="H57" s="238" t="s">
        <v>5094</v>
      </c>
      <c r="I57" s="270" t="s">
        <v>61</v>
      </c>
      <c r="J57" s="238" t="s">
        <v>62</v>
      </c>
      <c r="K57" s="238"/>
      <c r="L57" s="238"/>
      <c r="M57" s="238" t="s">
        <v>5095</v>
      </c>
      <c r="N57" s="278"/>
      <c r="O57" s="238"/>
      <c r="P57" s="238"/>
      <c r="Q57" s="238"/>
      <c r="R57" s="238"/>
      <c r="S57" s="238"/>
      <c r="T57" s="238"/>
      <c r="U57" s="238"/>
      <c r="V57" s="238"/>
      <c r="W57" s="238"/>
      <c r="X57" s="238"/>
      <c r="Y57" s="238"/>
      <c r="Z57" s="238"/>
    </row>
    <row r="58" spans="1:26" ht="24.75" customHeight="1">
      <c r="A58" s="238" t="s">
        <v>54</v>
      </c>
      <c r="B58" s="238" t="s">
        <v>4581</v>
      </c>
      <c r="C58" s="238" t="s">
        <v>4581</v>
      </c>
      <c r="D58" s="269">
        <v>42977</v>
      </c>
      <c r="E58" s="269">
        <v>42971</v>
      </c>
      <c r="F58" s="269">
        <v>42977</v>
      </c>
      <c r="G58" s="238" t="s">
        <v>5099</v>
      </c>
      <c r="H58" s="238" t="s">
        <v>5100</v>
      </c>
      <c r="I58" s="270" t="s">
        <v>61</v>
      </c>
      <c r="J58" s="238" t="s">
        <v>62</v>
      </c>
      <c r="K58" s="238"/>
      <c r="L58" s="238"/>
      <c r="M58" s="238" t="s">
        <v>5101</v>
      </c>
      <c r="N58" s="278"/>
      <c r="O58" s="238"/>
      <c r="P58" s="238"/>
      <c r="Q58" s="238"/>
      <c r="R58" s="238"/>
      <c r="S58" s="238"/>
      <c r="T58" s="238"/>
      <c r="U58" s="238"/>
      <c r="V58" s="238"/>
      <c r="W58" s="238"/>
      <c r="X58" s="238"/>
      <c r="Y58" s="238"/>
      <c r="Z58" s="238"/>
    </row>
    <row r="59" spans="1:26" ht="24.75" customHeight="1">
      <c r="A59" s="238" t="s">
        <v>54</v>
      </c>
      <c r="B59" s="238" t="s">
        <v>4581</v>
      </c>
      <c r="C59" s="238" t="s">
        <v>4581</v>
      </c>
      <c r="D59" s="269">
        <v>42977</v>
      </c>
      <c r="E59" s="269">
        <v>42971</v>
      </c>
      <c r="F59" s="269">
        <v>42977</v>
      </c>
      <c r="G59" s="238" t="s">
        <v>5103</v>
      </c>
      <c r="H59" s="238" t="s">
        <v>5104</v>
      </c>
      <c r="I59" s="270" t="s">
        <v>61</v>
      </c>
      <c r="J59" s="238" t="s">
        <v>62</v>
      </c>
      <c r="K59" s="238"/>
      <c r="L59" s="238"/>
      <c r="M59" s="238" t="s">
        <v>5107</v>
      </c>
      <c r="N59" s="278"/>
      <c r="O59" s="238"/>
      <c r="P59" s="238"/>
      <c r="Q59" s="238"/>
      <c r="R59" s="238"/>
      <c r="S59" s="238"/>
      <c r="T59" s="238"/>
      <c r="U59" s="238"/>
      <c r="V59" s="238"/>
      <c r="W59" s="238"/>
      <c r="X59" s="238"/>
      <c r="Y59" s="238"/>
      <c r="Z59" s="238"/>
    </row>
    <row r="60" spans="1:26" ht="24.75" customHeight="1">
      <c r="A60" s="238" t="s">
        <v>54</v>
      </c>
      <c r="B60" s="238" t="s">
        <v>4581</v>
      </c>
      <c r="C60" s="238" t="s">
        <v>4581</v>
      </c>
      <c r="D60" s="269">
        <v>42978</v>
      </c>
      <c r="E60" s="269">
        <v>42972</v>
      </c>
      <c r="F60" s="269">
        <v>42978</v>
      </c>
      <c r="G60" s="238" t="s">
        <v>5109</v>
      </c>
      <c r="H60" s="238" t="s">
        <v>5110</v>
      </c>
      <c r="I60" s="270" t="s">
        <v>61</v>
      </c>
      <c r="J60" s="238" t="s">
        <v>51</v>
      </c>
      <c r="K60" s="238"/>
      <c r="L60" s="238"/>
      <c r="M60" s="238" t="s">
        <v>5111</v>
      </c>
      <c r="N60" s="278"/>
      <c r="O60" s="238"/>
      <c r="P60" s="238"/>
      <c r="Q60" s="238"/>
      <c r="R60" s="238"/>
      <c r="S60" s="238"/>
      <c r="T60" s="238"/>
      <c r="U60" s="238"/>
      <c r="V60" s="238"/>
      <c r="W60" s="238"/>
      <c r="X60" s="238"/>
      <c r="Y60" s="238"/>
      <c r="Z60" s="238"/>
    </row>
    <row r="61" spans="1:26" ht="24.75" customHeight="1">
      <c r="A61" s="238" t="s">
        <v>54</v>
      </c>
      <c r="B61" s="238" t="s">
        <v>4581</v>
      </c>
      <c r="C61" s="238" t="s">
        <v>4581</v>
      </c>
      <c r="D61" s="269">
        <v>42978</v>
      </c>
      <c r="E61" s="269">
        <v>42972</v>
      </c>
      <c r="F61" s="269">
        <v>42978</v>
      </c>
      <c r="G61" s="238" t="s">
        <v>5115</v>
      </c>
      <c r="H61" s="238" t="s">
        <v>5116</v>
      </c>
      <c r="I61" s="270" t="s">
        <v>61</v>
      </c>
      <c r="J61" s="238" t="s">
        <v>51</v>
      </c>
      <c r="K61" s="238"/>
      <c r="L61" s="238"/>
      <c r="M61" s="238" t="s">
        <v>5117</v>
      </c>
      <c r="N61" s="278"/>
      <c r="O61" s="238"/>
      <c r="P61" s="238"/>
      <c r="Q61" s="238"/>
      <c r="R61" s="238"/>
      <c r="S61" s="238"/>
      <c r="T61" s="238"/>
      <c r="U61" s="238"/>
      <c r="V61" s="238"/>
      <c r="W61" s="238"/>
      <c r="X61" s="238"/>
      <c r="Y61" s="238"/>
      <c r="Z61" s="238"/>
    </row>
    <row r="62" spans="1:26" ht="24.75" customHeight="1">
      <c r="A62" s="238" t="s">
        <v>54</v>
      </c>
      <c r="B62" s="238" t="s">
        <v>4581</v>
      </c>
      <c r="C62" s="238" t="s">
        <v>4581</v>
      </c>
      <c r="D62" s="269">
        <v>42978</v>
      </c>
      <c r="E62" s="269">
        <v>42972</v>
      </c>
      <c r="F62" s="269">
        <v>42978</v>
      </c>
      <c r="G62" s="238" t="s">
        <v>5121</v>
      </c>
      <c r="H62" s="238" t="s">
        <v>5122</v>
      </c>
      <c r="I62" s="270" t="s">
        <v>61</v>
      </c>
      <c r="J62" s="238" t="s">
        <v>51</v>
      </c>
      <c r="K62" s="238"/>
      <c r="L62" s="238"/>
      <c r="M62" s="238" t="s">
        <v>5123</v>
      </c>
      <c r="N62" s="278"/>
      <c r="O62" s="238"/>
      <c r="P62" s="238"/>
      <c r="Q62" s="238"/>
      <c r="R62" s="238"/>
      <c r="S62" s="238"/>
      <c r="T62" s="238"/>
      <c r="U62" s="238"/>
      <c r="V62" s="238"/>
      <c r="W62" s="238"/>
      <c r="X62" s="238"/>
      <c r="Y62" s="238"/>
      <c r="Z62" s="238"/>
    </row>
    <row r="63" spans="1:26" ht="24.75" customHeight="1">
      <c r="A63" s="238" t="s">
        <v>54</v>
      </c>
      <c r="B63" s="238" t="s">
        <v>4581</v>
      </c>
      <c r="C63" s="238" t="s">
        <v>4581</v>
      </c>
      <c r="D63" s="269">
        <v>42978</v>
      </c>
      <c r="E63" s="269">
        <v>42972</v>
      </c>
      <c r="F63" s="269">
        <v>42978</v>
      </c>
      <c r="G63" s="238" t="s">
        <v>5127</v>
      </c>
      <c r="H63" s="238" t="s">
        <v>5128</v>
      </c>
      <c r="I63" s="270" t="s">
        <v>61</v>
      </c>
      <c r="J63" s="238" t="s">
        <v>51</v>
      </c>
      <c r="K63" s="238"/>
      <c r="L63" s="238"/>
      <c r="M63" s="238" t="s">
        <v>5129</v>
      </c>
      <c r="N63" s="278"/>
      <c r="O63" s="238"/>
      <c r="P63" s="238"/>
      <c r="Q63" s="238"/>
      <c r="R63" s="238"/>
      <c r="S63" s="238"/>
      <c r="T63" s="238"/>
      <c r="U63" s="238"/>
      <c r="V63" s="238"/>
      <c r="W63" s="238"/>
      <c r="X63" s="238"/>
      <c r="Y63" s="238"/>
      <c r="Z63" s="238"/>
    </row>
    <row r="64" spans="1:26" ht="24.75" customHeight="1">
      <c r="A64" s="238" t="s">
        <v>54</v>
      </c>
      <c r="B64" s="238" t="s">
        <v>4581</v>
      </c>
      <c r="C64" s="238" t="s">
        <v>4581</v>
      </c>
      <c r="D64" s="269">
        <v>42978</v>
      </c>
      <c r="E64" s="269">
        <v>42972</v>
      </c>
      <c r="F64" s="269">
        <v>42978</v>
      </c>
      <c r="G64" s="238" t="s">
        <v>5130</v>
      </c>
      <c r="H64" s="238" t="s">
        <v>5131</v>
      </c>
      <c r="I64" s="270" t="s">
        <v>61</v>
      </c>
      <c r="J64" s="238" t="s">
        <v>51</v>
      </c>
      <c r="K64" s="238"/>
      <c r="L64" s="238"/>
      <c r="M64" s="238" t="s">
        <v>5134</v>
      </c>
      <c r="N64" s="278"/>
      <c r="O64" s="238"/>
      <c r="P64" s="238"/>
      <c r="Q64" s="238"/>
      <c r="R64" s="238"/>
      <c r="S64" s="238"/>
      <c r="T64" s="238"/>
      <c r="U64" s="238"/>
      <c r="V64" s="238"/>
      <c r="W64" s="238"/>
      <c r="X64" s="238"/>
      <c r="Y64" s="238"/>
      <c r="Z64" s="238"/>
    </row>
    <row r="65" spans="1:26" ht="24.75" customHeight="1">
      <c r="A65" s="238" t="s">
        <v>54</v>
      </c>
      <c r="B65" s="238" t="s">
        <v>4581</v>
      </c>
      <c r="C65" s="238" t="s">
        <v>4581</v>
      </c>
      <c r="D65" s="269">
        <v>42978</v>
      </c>
      <c r="E65" s="269">
        <v>42972</v>
      </c>
      <c r="F65" s="269">
        <v>42978</v>
      </c>
      <c r="G65" s="238" t="s">
        <v>5137</v>
      </c>
      <c r="H65" s="238" t="s">
        <v>5138</v>
      </c>
      <c r="I65" s="270" t="s">
        <v>61</v>
      </c>
      <c r="J65" s="238" t="s">
        <v>51</v>
      </c>
      <c r="K65" s="238"/>
      <c r="L65" s="238"/>
      <c r="M65" s="238" t="s">
        <v>5139</v>
      </c>
      <c r="N65" s="278"/>
      <c r="O65" s="238"/>
      <c r="P65" s="238"/>
      <c r="Q65" s="238"/>
      <c r="R65" s="238"/>
      <c r="S65" s="238"/>
      <c r="T65" s="238"/>
      <c r="U65" s="238"/>
      <c r="V65" s="238"/>
      <c r="W65" s="238"/>
      <c r="X65" s="238"/>
      <c r="Y65" s="238"/>
      <c r="Z65" s="238"/>
    </row>
    <row r="66" spans="1:26" ht="24.75" customHeight="1">
      <c r="A66" s="238" t="s">
        <v>54</v>
      </c>
      <c r="B66" s="238" t="s">
        <v>4581</v>
      </c>
      <c r="C66" s="238" t="s">
        <v>4581</v>
      </c>
      <c r="D66" s="269">
        <v>42978</v>
      </c>
      <c r="E66" s="269">
        <v>42972</v>
      </c>
      <c r="F66" s="269">
        <v>42978</v>
      </c>
      <c r="G66" s="238" t="s">
        <v>5140</v>
      </c>
      <c r="H66" s="238" t="s">
        <v>5141</v>
      </c>
      <c r="I66" s="270" t="s">
        <v>61</v>
      </c>
      <c r="J66" s="238" t="s">
        <v>51</v>
      </c>
      <c r="K66" s="238"/>
      <c r="L66" s="238"/>
      <c r="M66" s="238" t="s">
        <v>5142</v>
      </c>
      <c r="N66" s="278"/>
      <c r="O66" s="238"/>
      <c r="P66" s="238"/>
      <c r="Q66" s="238"/>
      <c r="R66" s="238"/>
      <c r="S66" s="238"/>
      <c r="T66" s="238"/>
      <c r="U66" s="238"/>
      <c r="V66" s="238"/>
      <c r="W66" s="238"/>
      <c r="X66" s="238"/>
      <c r="Y66" s="238"/>
      <c r="Z66" s="238"/>
    </row>
    <row r="67" spans="1:26" ht="24.75" customHeight="1">
      <c r="A67" s="238" t="s">
        <v>54</v>
      </c>
      <c r="B67" s="238" t="s">
        <v>4581</v>
      </c>
      <c r="C67" s="238" t="s">
        <v>4581</v>
      </c>
      <c r="D67" s="269">
        <v>42978</v>
      </c>
      <c r="E67" s="269">
        <v>42972</v>
      </c>
      <c r="F67" s="269">
        <v>42978</v>
      </c>
      <c r="G67" s="238" t="s">
        <v>5143</v>
      </c>
      <c r="H67" s="238" t="s">
        <v>5144</v>
      </c>
      <c r="I67" s="270" t="s">
        <v>61</v>
      </c>
      <c r="J67" s="238" t="s">
        <v>51</v>
      </c>
      <c r="K67" s="238"/>
      <c r="L67" s="238"/>
      <c r="M67" s="238" t="s">
        <v>5145</v>
      </c>
      <c r="N67" s="278"/>
      <c r="O67" s="238"/>
      <c r="P67" s="238"/>
      <c r="Q67" s="238"/>
      <c r="R67" s="238"/>
      <c r="S67" s="238"/>
      <c r="T67" s="238"/>
      <c r="U67" s="238"/>
      <c r="V67" s="238"/>
      <c r="W67" s="238"/>
      <c r="X67" s="238"/>
      <c r="Y67" s="238"/>
      <c r="Z67" s="238"/>
    </row>
    <row r="68" spans="1:26" ht="24.75" customHeight="1">
      <c r="A68" s="238" t="s">
        <v>54</v>
      </c>
      <c r="B68" s="238" t="s">
        <v>4581</v>
      </c>
      <c r="C68" s="238" t="s">
        <v>4581</v>
      </c>
      <c r="D68" s="269">
        <v>42978</v>
      </c>
      <c r="E68" s="269">
        <v>42972</v>
      </c>
      <c r="F68" s="269">
        <v>42978</v>
      </c>
      <c r="G68" s="238" t="s">
        <v>5146</v>
      </c>
      <c r="H68" s="238" t="s">
        <v>5147</v>
      </c>
      <c r="I68" s="270" t="s">
        <v>61</v>
      </c>
      <c r="J68" s="238" t="s">
        <v>51</v>
      </c>
      <c r="K68" s="238"/>
      <c r="L68" s="238"/>
      <c r="M68" s="238" t="s">
        <v>5148</v>
      </c>
      <c r="N68" s="278"/>
      <c r="O68" s="238"/>
      <c r="P68" s="238"/>
      <c r="Q68" s="238"/>
      <c r="R68" s="238"/>
      <c r="S68" s="238"/>
      <c r="T68" s="238"/>
      <c r="U68" s="238"/>
      <c r="V68" s="238"/>
      <c r="W68" s="238"/>
      <c r="X68" s="238"/>
      <c r="Y68" s="238"/>
      <c r="Z68" s="238"/>
    </row>
    <row r="69" spans="1:26" ht="24.75" customHeight="1">
      <c r="A69" s="238" t="s">
        <v>54</v>
      </c>
      <c r="B69" s="238" t="s">
        <v>4581</v>
      </c>
      <c r="C69" s="238" t="s">
        <v>4581</v>
      </c>
      <c r="D69" s="269">
        <v>42978</v>
      </c>
      <c r="E69" s="269">
        <v>42972</v>
      </c>
      <c r="F69" s="269">
        <v>42978</v>
      </c>
      <c r="G69" s="238" t="s">
        <v>5149</v>
      </c>
      <c r="H69" s="238" t="s">
        <v>5150</v>
      </c>
      <c r="I69" s="270" t="s">
        <v>61</v>
      </c>
      <c r="J69" s="238" t="s">
        <v>51</v>
      </c>
      <c r="K69" s="238"/>
      <c r="L69" s="238"/>
      <c r="M69" s="238" t="s">
        <v>5151</v>
      </c>
      <c r="N69" s="278"/>
      <c r="O69" s="238"/>
      <c r="P69" s="238"/>
      <c r="Q69" s="238"/>
      <c r="R69" s="238"/>
      <c r="S69" s="238"/>
      <c r="T69" s="238"/>
      <c r="U69" s="238"/>
      <c r="V69" s="238"/>
      <c r="W69" s="238"/>
      <c r="X69" s="238"/>
      <c r="Y69" s="238"/>
      <c r="Z69" s="238"/>
    </row>
    <row r="70" spans="1:26" ht="24.75" customHeight="1">
      <c r="A70" s="279"/>
      <c r="B70" s="279"/>
      <c r="C70" s="279"/>
      <c r="D70" s="279"/>
      <c r="E70" s="280"/>
      <c r="F70" s="280"/>
      <c r="G70" s="279"/>
      <c r="H70" s="279"/>
      <c r="I70" s="284"/>
      <c r="J70" s="279"/>
      <c r="K70" s="279"/>
      <c r="L70" s="279"/>
      <c r="M70" s="279"/>
      <c r="N70" s="250"/>
      <c r="O70" s="251"/>
      <c r="P70" s="238"/>
      <c r="Q70" s="250"/>
      <c r="R70" s="263"/>
      <c r="U70" s="263"/>
      <c r="V70" s="263"/>
      <c r="W70" s="263"/>
      <c r="X70" s="263"/>
      <c r="Y70" s="263"/>
      <c r="Z70" s="263"/>
    </row>
    <row r="71" spans="1:26" ht="24.75" customHeight="1">
      <c r="A71" s="238"/>
      <c r="B71" s="238"/>
      <c r="C71" s="238"/>
      <c r="D71" s="238"/>
      <c r="E71" s="269"/>
      <c r="F71" s="269"/>
      <c r="G71" s="238"/>
      <c r="H71" s="238"/>
      <c r="I71" s="274"/>
      <c r="J71" s="238"/>
      <c r="K71" s="238"/>
      <c r="L71" s="238"/>
      <c r="M71" s="238"/>
      <c r="N71" s="250"/>
      <c r="O71" s="251"/>
      <c r="P71" s="238"/>
      <c r="Q71" s="250"/>
      <c r="R71" s="263"/>
      <c r="U71" s="263"/>
      <c r="V71" s="263"/>
      <c r="W71" s="263"/>
      <c r="X71" s="263"/>
      <c r="Y71" s="263"/>
      <c r="Z71" s="263"/>
    </row>
    <row r="72" spans="1:26" ht="24.75" customHeight="1">
      <c r="A72" s="238"/>
      <c r="B72" s="238"/>
      <c r="C72" s="238"/>
      <c r="D72" s="238"/>
      <c r="E72" s="238"/>
      <c r="F72" s="238"/>
      <c r="G72" s="238"/>
      <c r="H72" s="238"/>
      <c r="I72" s="238"/>
      <c r="J72" s="238"/>
      <c r="K72" s="238"/>
      <c r="L72" s="238"/>
      <c r="M72" s="238"/>
      <c r="N72" s="238"/>
      <c r="O72" s="238"/>
      <c r="P72" s="238"/>
      <c r="Q72" s="238"/>
      <c r="R72" s="238"/>
      <c r="S72" s="238"/>
      <c r="T72" s="238"/>
      <c r="U72" s="238"/>
      <c r="V72" s="238"/>
      <c r="W72" s="238"/>
      <c r="X72" s="238"/>
      <c r="Y72" s="238"/>
      <c r="Z72" s="238"/>
    </row>
    <row r="73" spans="1:26" ht="24.75" customHeight="1">
      <c r="A73" s="238"/>
      <c r="B73" s="238"/>
      <c r="C73" s="238"/>
      <c r="D73" s="238"/>
      <c r="E73" s="238"/>
      <c r="F73" s="238"/>
      <c r="G73" s="238"/>
      <c r="H73" s="238"/>
      <c r="I73" s="238"/>
      <c r="J73" s="238"/>
      <c r="K73" s="238"/>
      <c r="L73" s="238"/>
      <c r="M73" s="238"/>
      <c r="N73" s="238"/>
      <c r="O73" s="238"/>
      <c r="P73" s="238"/>
      <c r="Q73" s="238"/>
      <c r="R73" s="238"/>
      <c r="S73" s="238"/>
      <c r="T73" s="238"/>
      <c r="U73" s="238"/>
      <c r="V73" s="238"/>
      <c r="W73" s="238"/>
      <c r="X73" s="238"/>
      <c r="Y73" s="238"/>
      <c r="Z73" s="238"/>
    </row>
    <row r="74" spans="1:26" ht="16.5" customHeight="1">
      <c r="A74" s="238"/>
      <c r="B74" s="238"/>
      <c r="C74" s="238"/>
      <c r="D74" s="238"/>
      <c r="E74" s="238"/>
      <c r="F74" s="238"/>
      <c r="G74" s="238"/>
      <c r="H74" s="238"/>
      <c r="I74" s="238"/>
      <c r="J74" s="238"/>
      <c r="K74" s="238"/>
      <c r="L74" s="238"/>
      <c r="M74" s="238"/>
      <c r="N74" s="238"/>
      <c r="O74" s="238"/>
      <c r="P74" s="238"/>
      <c r="Q74" s="238"/>
      <c r="R74" s="238"/>
      <c r="S74" s="238"/>
      <c r="T74" s="238"/>
      <c r="U74" s="238"/>
      <c r="V74" s="238"/>
      <c r="W74" s="238"/>
      <c r="X74" s="238"/>
      <c r="Y74" s="238"/>
      <c r="Z74" s="238"/>
    </row>
    <row r="75" spans="1:26" ht="16.5" customHeight="1">
      <c r="A75" s="238"/>
      <c r="B75" s="238"/>
      <c r="C75" s="238"/>
      <c r="D75" s="238"/>
      <c r="E75" s="238"/>
      <c r="F75" s="238"/>
      <c r="G75" s="238"/>
      <c r="H75" s="238"/>
      <c r="I75" s="238"/>
      <c r="J75" s="238"/>
      <c r="K75" s="238"/>
      <c r="L75" s="238"/>
      <c r="M75" s="238"/>
      <c r="N75" s="238"/>
      <c r="O75" s="238"/>
      <c r="P75" s="238"/>
      <c r="Q75" s="238"/>
      <c r="R75" s="238"/>
      <c r="S75" s="238"/>
      <c r="T75" s="238"/>
      <c r="U75" s="238"/>
      <c r="V75" s="238"/>
      <c r="W75" s="238"/>
      <c r="X75" s="238"/>
      <c r="Y75" s="238"/>
      <c r="Z75" s="238"/>
    </row>
    <row r="76" spans="1:26" ht="16.5" customHeight="1">
      <c r="A76" s="238"/>
      <c r="B76" s="238"/>
      <c r="C76" s="238"/>
      <c r="D76" s="238"/>
      <c r="E76" s="238"/>
      <c r="F76" s="238"/>
      <c r="G76" s="238"/>
      <c r="H76" s="238"/>
      <c r="I76" s="238"/>
      <c r="J76" s="238"/>
      <c r="K76" s="238"/>
      <c r="L76" s="238"/>
      <c r="M76" s="238"/>
      <c r="N76" s="238"/>
      <c r="O76" s="238"/>
      <c r="P76" s="238"/>
      <c r="Q76" s="238"/>
      <c r="R76" s="238"/>
      <c r="S76" s="238"/>
      <c r="T76" s="238"/>
      <c r="U76" s="238"/>
      <c r="V76" s="238"/>
      <c r="W76" s="238"/>
      <c r="X76" s="238"/>
      <c r="Y76" s="238"/>
      <c r="Z76" s="238"/>
    </row>
    <row r="77" spans="1:26" ht="16.5" customHeight="1">
      <c r="A77" s="238"/>
      <c r="B77" s="238"/>
      <c r="C77" s="238"/>
      <c r="D77" s="238"/>
      <c r="E77" s="238"/>
      <c r="F77" s="238"/>
      <c r="G77" s="238"/>
      <c r="H77" s="238"/>
      <c r="I77" s="238"/>
      <c r="J77" s="238"/>
      <c r="K77" s="238"/>
      <c r="L77" s="238"/>
      <c r="M77" s="238"/>
      <c r="N77" s="238"/>
      <c r="O77" s="238"/>
      <c r="P77" s="238"/>
      <c r="Q77" s="238"/>
      <c r="R77" s="238"/>
      <c r="S77" s="238"/>
      <c r="T77" s="238"/>
      <c r="U77" s="238"/>
      <c r="V77" s="238"/>
      <c r="W77" s="238"/>
      <c r="X77" s="238"/>
      <c r="Y77" s="238"/>
      <c r="Z77" s="238"/>
    </row>
    <row r="78" spans="1:26" ht="16.5" customHeight="1">
      <c r="A78" s="238"/>
      <c r="B78" s="238"/>
      <c r="C78" s="238"/>
      <c r="D78" s="238"/>
      <c r="E78" s="238"/>
      <c r="F78" s="238"/>
      <c r="G78" s="238"/>
      <c r="H78" s="238"/>
      <c r="I78" s="238"/>
      <c r="J78" s="238"/>
      <c r="K78" s="238"/>
      <c r="L78" s="238"/>
      <c r="M78" s="238"/>
      <c r="N78" s="238"/>
      <c r="O78" s="238"/>
      <c r="P78" s="238"/>
      <c r="Q78" s="238"/>
      <c r="R78" s="238"/>
      <c r="S78" s="238"/>
      <c r="T78" s="238"/>
      <c r="U78" s="238"/>
      <c r="V78" s="238"/>
      <c r="W78" s="238"/>
      <c r="X78" s="238"/>
      <c r="Y78" s="238"/>
      <c r="Z78" s="238"/>
    </row>
    <row r="79" spans="1:26" ht="16.5" customHeight="1">
      <c r="A79" s="238"/>
      <c r="B79" s="238"/>
      <c r="C79" s="238"/>
      <c r="D79" s="238"/>
      <c r="E79" s="238"/>
      <c r="F79" s="238"/>
      <c r="G79" s="238"/>
      <c r="H79" s="238"/>
      <c r="I79" s="238"/>
      <c r="J79" s="238"/>
      <c r="K79" s="238"/>
      <c r="L79" s="238"/>
      <c r="M79" s="238"/>
      <c r="N79" s="238"/>
      <c r="O79" s="238"/>
      <c r="P79" s="238"/>
      <c r="Q79" s="238"/>
      <c r="R79" s="238"/>
      <c r="S79" s="238"/>
      <c r="T79" s="238"/>
      <c r="U79" s="238"/>
      <c r="V79" s="238"/>
      <c r="W79" s="238"/>
      <c r="X79" s="238"/>
      <c r="Y79" s="238"/>
      <c r="Z79" s="238"/>
    </row>
    <row r="80" spans="1:26" ht="16.5" customHeight="1">
      <c r="A80" s="238"/>
      <c r="B80" s="238"/>
      <c r="C80" s="238"/>
      <c r="D80" s="238"/>
      <c r="E80" s="238"/>
      <c r="F80" s="238"/>
      <c r="G80" s="238"/>
      <c r="H80" s="238"/>
      <c r="I80" s="238"/>
      <c r="J80" s="238"/>
      <c r="K80" s="238"/>
      <c r="L80" s="238"/>
      <c r="M80" s="238"/>
      <c r="N80" s="238"/>
      <c r="O80" s="238"/>
      <c r="P80" s="238"/>
      <c r="Q80" s="238"/>
      <c r="R80" s="238"/>
      <c r="S80" s="238"/>
      <c r="T80" s="238"/>
      <c r="U80" s="238"/>
      <c r="V80" s="238"/>
      <c r="W80" s="238"/>
      <c r="X80" s="238"/>
      <c r="Y80" s="238"/>
      <c r="Z80" s="238"/>
    </row>
    <row r="81" spans="1:26" ht="16.5" customHeight="1">
      <c r="A81" s="238"/>
      <c r="B81" s="238"/>
      <c r="C81" s="238"/>
      <c r="D81" s="238"/>
      <c r="E81" s="238"/>
      <c r="F81" s="238"/>
      <c r="G81" s="238"/>
      <c r="H81" s="238"/>
      <c r="I81" s="238"/>
      <c r="J81" s="238"/>
      <c r="K81" s="238"/>
      <c r="L81" s="238"/>
      <c r="M81" s="238"/>
      <c r="N81" s="238"/>
      <c r="O81" s="238"/>
      <c r="P81" s="238"/>
      <c r="Q81" s="238"/>
      <c r="R81" s="238"/>
      <c r="S81" s="238"/>
      <c r="T81" s="238"/>
      <c r="U81" s="238"/>
      <c r="V81" s="238"/>
      <c r="W81" s="238"/>
      <c r="X81" s="238"/>
      <c r="Y81" s="238"/>
      <c r="Z81" s="238"/>
    </row>
    <row r="82" spans="1:26" ht="16.5" customHeight="1">
      <c r="A82" s="238"/>
      <c r="B82" s="238"/>
      <c r="C82" s="238"/>
      <c r="D82" s="238"/>
      <c r="E82" s="238"/>
      <c r="F82" s="238"/>
      <c r="G82" s="238"/>
      <c r="H82" s="238"/>
      <c r="I82" s="238"/>
      <c r="J82" s="238"/>
      <c r="K82" s="238"/>
      <c r="L82" s="238"/>
      <c r="M82" s="238"/>
      <c r="N82" s="238"/>
      <c r="O82" s="238"/>
      <c r="P82" s="238"/>
      <c r="Q82" s="238"/>
      <c r="R82" s="238"/>
      <c r="S82" s="238"/>
      <c r="T82" s="238"/>
      <c r="U82" s="238"/>
      <c r="V82" s="238"/>
      <c r="W82" s="238"/>
      <c r="X82" s="238"/>
      <c r="Y82" s="238"/>
      <c r="Z82" s="238"/>
    </row>
    <row r="83" spans="1:26" ht="16.5" customHeight="1">
      <c r="A83" s="238"/>
      <c r="B83" s="238"/>
      <c r="C83" s="238"/>
      <c r="D83" s="238"/>
      <c r="E83" s="238"/>
      <c r="F83" s="238"/>
      <c r="G83" s="238"/>
      <c r="H83" s="238"/>
      <c r="I83" s="238"/>
      <c r="J83" s="238"/>
      <c r="K83" s="238"/>
      <c r="L83" s="238"/>
      <c r="M83" s="238"/>
      <c r="N83" s="238"/>
      <c r="O83" s="238"/>
      <c r="P83" s="238"/>
      <c r="Q83" s="238"/>
      <c r="R83" s="238"/>
      <c r="S83" s="238"/>
      <c r="T83" s="238"/>
      <c r="U83" s="238"/>
      <c r="V83" s="238"/>
      <c r="W83" s="238"/>
      <c r="X83" s="238"/>
      <c r="Y83" s="238"/>
      <c r="Z83" s="238"/>
    </row>
    <row r="84" spans="1:26" ht="16.5" customHeight="1">
      <c r="A84" s="238"/>
      <c r="B84" s="238"/>
      <c r="C84" s="238"/>
      <c r="D84" s="238"/>
      <c r="E84" s="238"/>
      <c r="F84" s="238"/>
      <c r="G84" s="238"/>
      <c r="H84" s="238"/>
      <c r="I84" s="238"/>
      <c r="J84" s="238"/>
      <c r="K84" s="238"/>
      <c r="L84" s="238"/>
      <c r="M84" s="238"/>
      <c r="N84" s="238"/>
      <c r="O84" s="238"/>
      <c r="P84" s="238"/>
      <c r="Q84" s="238"/>
      <c r="R84" s="238"/>
      <c r="S84" s="238"/>
      <c r="T84" s="238"/>
      <c r="U84" s="238"/>
      <c r="V84" s="238"/>
      <c r="W84" s="238"/>
      <c r="X84" s="238"/>
      <c r="Y84" s="238"/>
      <c r="Z84" s="238"/>
    </row>
    <row r="85" spans="1:26" ht="16.5" customHeight="1">
      <c r="A85" s="238"/>
      <c r="B85" s="238"/>
      <c r="C85" s="238"/>
      <c r="D85" s="238"/>
      <c r="E85" s="238"/>
      <c r="F85" s="238"/>
      <c r="G85" s="238"/>
      <c r="H85" s="238"/>
      <c r="I85" s="238"/>
      <c r="J85" s="238"/>
      <c r="K85" s="238"/>
      <c r="L85" s="238"/>
      <c r="M85" s="238"/>
      <c r="N85" s="238"/>
      <c r="O85" s="238"/>
      <c r="P85" s="238"/>
      <c r="Q85" s="238"/>
      <c r="R85" s="238"/>
      <c r="S85" s="238"/>
      <c r="T85" s="238"/>
      <c r="U85" s="238"/>
      <c r="V85" s="238"/>
      <c r="W85" s="238"/>
      <c r="X85" s="238"/>
      <c r="Y85" s="238"/>
      <c r="Z85" s="238"/>
    </row>
    <row r="86" spans="1:26" ht="16.5" customHeight="1">
      <c r="A86" s="238"/>
      <c r="B86" s="238"/>
      <c r="C86" s="238"/>
      <c r="D86" s="238"/>
      <c r="E86" s="238"/>
      <c r="F86" s="238"/>
      <c r="G86" s="238"/>
      <c r="H86" s="238"/>
      <c r="I86" s="238"/>
      <c r="J86" s="238"/>
      <c r="K86" s="238"/>
      <c r="L86" s="238"/>
      <c r="M86" s="238"/>
      <c r="N86" s="238"/>
      <c r="O86" s="238"/>
      <c r="P86" s="238"/>
      <c r="Q86" s="238"/>
      <c r="R86" s="238"/>
      <c r="S86" s="238"/>
      <c r="T86" s="238"/>
      <c r="U86" s="238"/>
      <c r="V86" s="238"/>
      <c r="W86" s="238"/>
      <c r="X86" s="238"/>
      <c r="Y86" s="238"/>
      <c r="Z86" s="238"/>
    </row>
    <row r="87" spans="1:26" ht="16.5" customHeight="1">
      <c r="A87" s="238"/>
      <c r="B87" s="238"/>
      <c r="C87" s="238"/>
      <c r="D87" s="238"/>
      <c r="E87" s="238"/>
      <c r="F87" s="238"/>
      <c r="G87" s="238"/>
      <c r="H87" s="238"/>
      <c r="I87" s="238"/>
      <c r="J87" s="238"/>
      <c r="K87" s="238"/>
      <c r="L87" s="238"/>
      <c r="M87" s="238"/>
      <c r="N87" s="238"/>
      <c r="O87" s="238"/>
      <c r="P87" s="238"/>
      <c r="Q87" s="238"/>
      <c r="R87" s="238"/>
      <c r="S87" s="238"/>
      <c r="T87" s="238"/>
      <c r="U87" s="238"/>
      <c r="V87" s="238"/>
      <c r="W87" s="238"/>
      <c r="X87" s="238"/>
      <c r="Y87" s="238"/>
      <c r="Z87" s="238"/>
    </row>
    <row r="88" spans="1:26" ht="16.5" customHeight="1">
      <c r="A88" s="238"/>
      <c r="B88" s="238"/>
      <c r="C88" s="238"/>
      <c r="D88" s="238"/>
      <c r="E88" s="238"/>
      <c r="F88" s="238"/>
      <c r="G88" s="238"/>
      <c r="H88" s="238"/>
      <c r="I88" s="238"/>
      <c r="J88" s="238"/>
      <c r="K88" s="238"/>
      <c r="L88" s="238"/>
      <c r="M88" s="238"/>
      <c r="N88" s="238"/>
      <c r="O88" s="238"/>
      <c r="P88" s="238"/>
      <c r="Q88" s="238"/>
      <c r="R88" s="238"/>
      <c r="S88" s="238"/>
      <c r="T88" s="238"/>
      <c r="U88" s="238"/>
      <c r="V88" s="238"/>
      <c r="W88" s="238"/>
      <c r="X88" s="238"/>
      <c r="Y88" s="238"/>
      <c r="Z88" s="238"/>
    </row>
    <row r="89" spans="1:26" ht="16.5" customHeight="1">
      <c r="A89" s="238"/>
      <c r="B89" s="238"/>
      <c r="C89" s="238"/>
      <c r="D89" s="238"/>
      <c r="E89" s="238"/>
      <c r="F89" s="238"/>
      <c r="G89" s="238"/>
      <c r="H89" s="238"/>
      <c r="I89" s="238"/>
      <c r="J89" s="238"/>
      <c r="K89" s="238"/>
      <c r="L89" s="238"/>
      <c r="M89" s="238"/>
      <c r="N89" s="238"/>
      <c r="O89" s="238"/>
      <c r="P89" s="238"/>
      <c r="Q89" s="238"/>
      <c r="R89" s="238"/>
      <c r="S89" s="238"/>
      <c r="T89" s="238"/>
      <c r="U89" s="238"/>
      <c r="V89" s="238"/>
      <c r="W89" s="238"/>
      <c r="X89" s="238"/>
      <c r="Y89" s="238"/>
      <c r="Z89" s="238"/>
    </row>
    <row r="90" spans="1:26" ht="16.5" customHeight="1">
      <c r="A90" s="238"/>
      <c r="B90" s="238"/>
      <c r="C90" s="238"/>
      <c r="D90" s="238"/>
      <c r="E90" s="238"/>
      <c r="F90" s="238"/>
      <c r="G90" s="238"/>
      <c r="H90" s="238"/>
      <c r="I90" s="238"/>
      <c r="J90" s="238"/>
      <c r="K90" s="238"/>
      <c r="L90" s="238"/>
      <c r="M90" s="238"/>
      <c r="N90" s="238"/>
      <c r="O90" s="238"/>
      <c r="P90" s="238"/>
      <c r="Q90" s="238"/>
      <c r="R90" s="238"/>
      <c r="S90" s="238"/>
      <c r="T90" s="238"/>
      <c r="U90" s="238"/>
      <c r="V90" s="238"/>
      <c r="W90" s="238"/>
      <c r="X90" s="238"/>
      <c r="Y90" s="238"/>
      <c r="Z90" s="238"/>
    </row>
    <row r="91" spans="1:26" ht="16.5" customHeight="1">
      <c r="A91" s="238"/>
      <c r="B91" s="238"/>
      <c r="C91" s="238"/>
      <c r="D91" s="238"/>
      <c r="E91" s="238"/>
      <c r="F91" s="238"/>
      <c r="G91" s="238"/>
      <c r="H91" s="238"/>
      <c r="I91" s="238"/>
      <c r="J91" s="238"/>
      <c r="K91" s="238"/>
      <c r="L91" s="238"/>
      <c r="M91" s="238"/>
      <c r="N91" s="238"/>
      <c r="O91" s="238"/>
      <c r="P91" s="238"/>
      <c r="Q91" s="238"/>
      <c r="R91" s="238"/>
      <c r="S91" s="238"/>
      <c r="T91" s="238"/>
      <c r="U91" s="238"/>
      <c r="V91" s="238"/>
      <c r="W91" s="238"/>
      <c r="X91" s="238"/>
      <c r="Y91" s="238"/>
      <c r="Z91" s="238"/>
    </row>
    <row r="92" spans="1:26" ht="16.5" customHeight="1">
      <c r="A92" s="238"/>
      <c r="B92" s="238"/>
      <c r="C92" s="238"/>
      <c r="D92" s="238"/>
      <c r="E92" s="238"/>
      <c r="F92" s="238"/>
      <c r="G92" s="238"/>
      <c r="H92" s="238"/>
      <c r="I92" s="238"/>
      <c r="J92" s="238"/>
      <c r="K92" s="238"/>
      <c r="L92" s="238"/>
      <c r="M92" s="238"/>
      <c r="N92" s="238"/>
      <c r="O92" s="238"/>
      <c r="P92" s="238"/>
      <c r="Q92" s="238"/>
      <c r="R92" s="238"/>
      <c r="S92" s="238"/>
      <c r="T92" s="238"/>
      <c r="U92" s="238"/>
      <c r="V92" s="238"/>
      <c r="W92" s="238"/>
      <c r="X92" s="238"/>
      <c r="Y92" s="238"/>
      <c r="Z92" s="238"/>
    </row>
    <row r="93" spans="1:26" ht="16.5" customHeight="1">
      <c r="A93" s="238"/>
      <c r="B93" s="238"/>
      <c r="C93" s="238"/>
      <c r="D93" s="238"/>
      <c r="E93" s="238"/>
      <c r="F93" s="238"/>
      <c r="G93" s="238"/>
      <c r="H93" s="238"/>
      <c r="I93" s="238"/>
      <c r="J93" s="238"/>
      <c r="K93" s="238"/>
      <c r="L93" s="238"/>
      <c r="M93" s="238"/>
      <c r="N93" s="238"/>
      <c r="O93" s="238"/>
      <c r="P93" s="238"/>
      <c r="Q93" s="238"/>
      <c r="R93" s="238"/>
      <c r="S93" s="238"/>
      <c r="T93" s="238"/>
      <c r="U93" s="238"/>
      <c r="V93" s="238"/>
      <c r="W93" s="238"/>
      <c r="X93" s="238"/>
      <c r="Y93" s="238"/>
      <c r="Z93" s="238"/>
    </row>
    <row r="94" spans="1:26" ht="16.5" customHeight="1">
      <c r="A94" s="238"/>
      <c r="B94" s="238"/>
      <c r="C94" s="238"/>
      <c r="D94" s="238"/>
      <c r="E94" s="238"/>
      <c r="F94" s="238"/>
      <c r="G94" s="238"/>
      <c r="H94" s="238"/>
      <c r="I94" s="238"/>
      <c r="J94" s="238"/>
      <c r="K94" s="238"/>
      <c r="L94" s="238"/>
      <c r="M94" s="238"/>
      <c r="N94" s="238"/>
      <c r="O94" s="238"/>
      <c r="P94" s="238"/>
      <c r="Q94" s="238"/>
      <c r="R94" s="238"/>
      <c r="S94" s="238"/>
      <c r="T94" s="238"/>
      <c r="U94" s="238"/>
      <c r="V94" s="238"/>
      <c r="W94" s="238"/>
      <c r="X94" s="238"/>
      <c r="Y94" s="238"/>
      <c r="Z94" s="238"/>
    </row>
    <row r="95" spans="1:26" ht="16.5" customHeight="1">
      <c r="A95" s="238"/>
      <c r="B95" s="238"/>
      <c r="C95" s="238"/>
      <c r="D95" s="238"/>
      <c r="E95" s="238"/>
      <c r="F95" s="238"/>
      <c r="G95" s="238"/>
      <c r="H95" s="238"/>
      <c r="I95" s="238"/>
      <c r="J95" s="238"/>
      <c r="K95" s="238"/>
      <c r="L95" s="238"/>
      <c r="M95" s="238"/>
      <c r="N95" s="238"/>
      <c r="O95" s="238"/>
      <c r="P95" s="238"/>
      <c r="Q95" s="238"/>
      <c r="R95" s="238"/>
      <c r="S95" s="238"/>
      <c r="T95" s="238"/>
      <c r="U95" s="238"/>
      <c r="V95" s="238"/>
      <c r="W95" s="238"/>
      <c r="X95" s="238"/>
      <c r="Y95" s="238"/>
      <c r="Z95" s="238"/>
    </row>
    <row r="96" spans="1:26" ht="16.5" customHeight="1">
      <c r="A96" s="238"/>
      <c r="B96" s="238"/>
      <c r="C96" s="238"/>
      <c r="D96" s="238"/>
      <c r="E96" s="238"/>
      <c r="F96" s="238"/>
      <c r="G96" s="238"/>
      <c r="H96" s="238"/>
      <c r="I96" s="238"/>
      <c r="J96" s="238"/>
      <c r="K96" s="238"/>
      <c r="L96" s="238"/>
      <c r="M96" s="238"/>
      <c r="N96" s="238"/>
      <c r="O96" s="238"/>
      <c r="P96" s="238"/>
      <c r="Q96" s="238"/>
      <c r="R96" s="238"/>
      <c r="S96" s="238"/>
      <c r="T96" s="238"/>
      <c r="U96" s="238"/>
      <c r="V96" s="238"/>
      <c r="W96" s="238"/>
      <c r="X96" s="238"/>
      <c r="Y96" s="238"/>
      <c r="Z96" s="238"/>
    </row>
    <row r="97" spans="1:26" ht="16.5" customHeight="1">
      <c r="A97" s="238"/>
      <c r="B97" s="238"/>
      <c r="C97" s="238"/>
      <c r="D97" s="238"/>
      <c r="E97" s="238"/>
      <c r="F97" s="238"/>
      <c r="G97" s="238"/>
      <c r="H97" s="238"/>
      <c r="I97" s="238"/>
      <c r="J97" s="238"/>
      <c r="K97" s="238"/>
      <c r="L97" s="238"/>
      <c r="M97" s="238"/>
      <c r="N97" s="238"/>
      <c r="O97" s="238"/>
      <c r="P97" s="238"/>
      <c r="Q97" s="238"/>
      <c r="R97" s="238"/>
      <c r="S97" s="238"/>
      <c r="T97" s="238"/>
      <c r="U97" s="238"/>
      <c r="V97" s="238"/>
      <c r="W97" s="238"/>
      <c r="X97" s="238"/>
      <c r="Y97" s="238"/>
      <c r="Z97" s="238"/>
    </row>
    <row r="98" spans="1:26" ht="16.5" customHeight="1">
      <c r="A98" s="238"/>
      <c r="B98" s="238"/>
      <c r="C98" s="238"/>
      <c r="D98" s="238"/>
      <c r="E98" s="238"/>
      <c r="F98" s="238"/>
      <c r="G98" s="238"/>
      <c r="H98" s="238"/>
      <c r="I98" s="238"/>
      <c r="J98" s="238"/>
      <c r="K98" s="238"/>
      <c r="L98" s="238"/>
      <c r="M98" s="238"/>
      <c r="N98" s="238"/>
      <c r="O98" s="238"/>
      <c r="P98" s="238"/>
      <c r="Q98" s="238"/>
      <c r="R98" s="238"/>
      <c r="S98" s="238"/>
      <c r="T98" s="238"/>
      <c r="U98" s="238"/>
      <c r="V98" s="238"/>
      <c r="W98" s="238"/>
      <c r="X98" s="238"/>
      <c r="Y98" s="238"/>
      <c r="Z98" s="238"/>
    </row>
    <row r="99" spans="1:26" ht="16.5" customHeight="1">
      <c r="A99" s="238"/>
      <c r="B99" s="238"/>
      <c r="C99" s="238"/>
      <c r="D99" s="238"/>
      <c r="E99" s="238"/>
      <c r="F99" s="238"/>
      <c r="G99" s="238"/>
      <c r="H99" s="238"/>
      <c r="I99" s="238"/>
      <c r="J99" s="238"/>
      <c r="K99" s="238"/>
      <c r="L99" s="238"/>
      <c r="M99" s="238"/>
      <c r="N99" s="238"/>
      <c r="O99" s="238"/>
      <c r="P99" s="238"/>
      <c r="Q99" s="238"/>
      <c r="R99" s="238"/>
      <c r="S99" s="238"/>
      <c r="T99" s="238"/>
      <c r="U99" s="238"/>
      <c r="V99" s="238"/>
      <c r="W99" s="238"/>
      <c r="X99" s="238"/>
      <c r="Y99" s="238"/>
      <c r="Z99" s="238"/>
    </row>
    <row r="100" spans="1:26" ht="16.5" customHeight="1">
      <c r="A100" s="238"/>
      <c r="B100" s="238"/>
      <c r="C100" s="238"/>
      <c r="D100" s="238"/>
      <c r="E100" s="238"/>
      <c r="F100" s="238"/>
      <c r="G100" s="238"/>
      <c r="H100" s="238"/>
      <c r="I100" s="238"/>
      <c r="J100" s="238"/>
      <c r="K100" s="238"/>
      <c r="L100" s="238"/>
      <c r="M100" s="238"/>
      <c r="N100" s="238"/>
      <c r="O100" s="238"/>
      <c r="P100" s="238"/>
      <c r="Q100" s="238"/>
      <c r="R100" s="238"/>
      <c r="S100" s="238"/>
      <c r="T100" s="238"/>
      <c r="U100" s="238"/>
      <c r="V100" s="238"/>
      <c r="W100" s="238"/>
      <c r="X100" s="238"/>
      <c r="Y100" s="238"/>
      <c r="Z100" s="238"/>
    </row>
    <row r="101" spans="1:26" ht="16.5" customHeight="1">
      <c r="A101" s="238"/>
      <c r="B101" s="238"/>
      <c r="C101" s="238"/>
      <c r="D101" s="238"/>
      <c r="E101" s="238"/>
      <c r="F101" s="238"/>
      <c r="G101" s="238"/>
      <c r="H101" s="238"/>
      <c r="I101" s="238"/>
      <c r="J101" s="238"/>
      <c r="K101" s="238"/>
      <c r="L101" s="238"/>
      <c r="M101" s="238"/>
      <c r="N101" s="238"/>
      <c r="O101" s="238"/>
      <c r="P101" s="238"/>
      <c r="Q101" s="238"/>
      <c r="R101" s="238"/>
      <c r="S101" s="238"/>
      <c r="T101" s="238"/>
      <c r="U101" s="238"/>
      <c r="V101" s="238"/>
      <c r="W101" s="238"/>
      <c r="X101" s="238"/>
      <c r="Y101" s="238"/>
      <c r="Z101" s="238"/>
    </row>
    <row r="102" spans="1:26" ht="16.5" customHeight="1">
      <c r="A102" s="238"/>
      <c r="B102" s="238"/>
      <c r="C102" s="238"/>
      <c r="D102" s="238"/>
      <c r="E102" s="238"/>
      <c r="F102" s="238"/>
      <c r="G102" s="238"/>
      <c r="H102" s="238"/>
      <c r="I102" s="238"/>
      <c r="J102" s="238"/>
      <c r="K102" s="238"/>
      <c r="L102" s="238"/>
      <c r="M102" s="238"/>
      <c r="N102" s="238"/>
      <c r="O102" s="238"/>
      <c r="P102" s="238"/>
      <c r="Q102" s="238"/>
      <c r="R102" s="238"/>
      <c r="S102" s="238"/>
      <c r="T102" s="238"/>
      <c r="U102" s="238"/>
      <c r="V102" s="238"/>
      <c r="W102" s="238"/>
      <c r="X102" s="238"/>
      <c r="Y102" s="238"/>
      <c r="Z102" s="238"/>
    </row>
    <row r="103" spans="1:26" ht="16.5" customHeight="1">
      <c r="A103" s="238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  <c r="S103" s="238"/>
      <c r="T103" s="238"/>
      <c r="U103" s="238"/>
      <c r="V103" s="238"/>
      <c r="W103" s="238"/>
      <c r="X103" s="238"/>
      <c r="Y103" s="238"/>
      <c r="Z103" s="238"/>
    </row>
    <row r="104" spans="1:26" ht="16.5" customHeight="1">
      <c r="A104" s="238"/>
      <c r="B104" s="238"/>
      <c r="C104" s="238"/>
      <c r="D104" s="238"/>
      <c r="E104" s="238"/>
      <c r="F104" s="238"/>
      <c r="G104" s="238"/>
      <c r="H104" s="238"/>
      <c r="I104" s="238"/>
      <c r="J104" s="238"/>
      <c r="K104" s="238"/>
      <c r="L104" s="238"/>
      <c r="M104" s="238"/>
      <c r="N104" s="238"/>
      <c r="O104" s="238"/>
      <c r="P104" s="238"/>
      <c r="Q104" s="238"/>
      <c r="R104" s="238"/>
      <c r="S104" s="238"/>
      <c r="T104" s="238"/>
      <c r="U104" s="238"/>
      <c r="V104" s="238"/>
      <c r="W104" s="238"/>
      <c r="X104" s="238"/>
      <c r="Y104" s="238"/>
      <c r="Z104" s="238"/>
    </row>
    <row r="105" spans="1:26" ht="16.5" customHeight="1">
      <c r="A105" s="238"/>
      <c r="B105" s="238"/>
      <c r="C105" s="238"/>
      <c r="D105" s="238"/>
      <c r="E105" s="238"/>
      <c r="F105" s="238"/>
      <c r="G105" s="238"/>
      <c r="H105" s="238"/>
      <c r="I105" s="238"/>
      <c r="J105" s="238"/>
      <c r="K105" s="238"/>
      <c r="L105" s="238"/>
      <c r="M105" s="238"/>
      <c r="N105" s="238"/>
      <c r="O105" s="238"/>
      <c r="P105" s="238"/>
      <c r="Q105" s="238"/>
      <c r="R105" s="238"/>
      <c r="S105" s="238"/>
      <c r="T105" s="238"/>
      <c r="U105" s="238"/>
      <c r="V105" s="238"/>
      <c r="W105" s="238"/>
      <c r="X105" s="238"/>
      <c r="Y105" s="238"/>
      <c r="Z105" s="238"/>
    </row>
    <row r="106" spans="1:26" ht="16.5" customHeight="1">
      <c r="A106" s="238"/>
      <c r="B106" s="238"/>
      <c r="C106" s="238"/>
      <c r="D106" s="238"/>
      <c r="E106" s="238"/>
      <c r="F106" s="238"/>
      <c r="G106" s="238"/>
      <c r="H106" s="238"/>
      <c r="I106" s="238"/>
      <c r="J106" s="238"/>
      <c r="K106" s="238"/>
      <c r="L106" s="238"/>
      <c r="M106" s="238"/>
      <c r="N106" s="238"/>
      <c r="O106" s="238"/>
      <c r="P106" s="238"/>
      <c r="Q106" s="238"/>
      <c r="R106" s="238"/>
      <c r="S106" s="238"/>
      <c r="T106" s="238"/>
      <c r="U106" s="238"/>
      <c r="V106" s="238"/>
      <c r="W106" s="238"/>
      <c r="X106" s="238"/>
      <c r="Y106" s="238"/>
      <c r="Z106" s="238"/>
    </row>
    <row r="107" spans="1:26" ht="16.5" customHeight="1">
      <c r="A107" s="238"/>
      <c r="B107" s="238"/>
      <c r="C107" s="238"/>
      <c r="D107" s="238"/>
      <c r="E107" s="238"/>
      <c r="F107" s="238"/>
      <c r="G107" s="238"/>
      <c r="H107" s="238"/>
      <c r="I107" s="238"/>
      <c r="J107" s="238"/>
      <c r="K107" s="238"/>
      <c r="L107" s="238"/>
      <c r="M107" s="238"/>
      <c r="N107" s="238"/>
      <c r="O107" s="238"/>
      <c r="P107" s="238"/>
      <c r="Q107" s="238"/>
      <c r="R107" s="238"/>
      <c r="S107" s="238"/>
      <c r="T107" s="238"/>
      <c r="U107" s="238"/>
      <c r="V107" s="238"/>
      <c r="W107" s="238"/>
      <c r="X107" s="238"/>
      <c r="Y107" s="238"/>
      <c r="Z107" s="238"/>
    </row>
    <row r="108" spans="1:26" ht="16.5" customHeight="1">
      <c r="A108" s="238"/>
      <c r="B108" s="238"/>
      <c r="C108" s="238"/>
      <c r="D108" s="238"/>
      <c r="E108" s="238"/>
      <c r="F108" s="238"/>
      <c r="G108" s="238"/>
      <c r="H108" s="238"/>
      <c r="I108" s="238"/>
      <c r="J108" s="238"/>
      <c r="K108" s="238"/>
      <c r="L108" s="238"/>
      <c r="M108" s="238"/>
      <c r="N108" s="238"/>
      <c r="O108" s="238"/>
      <c r="P108" s="238"/>
      <c r="Q108" s="238"/>
      <c r="R108" s="238"/>
      <c r="S108" s="238"/>
      <c r="T108" s="238"/>
      <c r="U108" s="238"/>
      <c r="V108" s="238"/>
      <c r="W108" s="238"/>
      <c r="X108" s="238"/>
      <c r="Y108" s="238"/>
      <c r="Z108" s="238"/>
    </row>
    <row r="109" spans="1:26" ht="16.5" customHeight="1">
      <c r="A109" s="238"/>
      <c r="B109" s="238"/>
      <c r="C109" s="238"/>
      <c r="D109" s="238"/>
      <c r="E109" s="238"/>
      <c r="F109" s="238"/>
      <c r="G109" s="238"/>
      <c r="H109" s="238"/>
      <c r="I109" s="238"/>
      <c r="J109" s="238"/>
      <c r="K109" s="238"/>
      <c r="L109" s="238"/>
      <c r="M109" s="238"/>
      <c r="N109" s="238"/>
      <c r="O109" s="238"/>
      <c r="P109" s="238"/>
      <c r="Q109" s="238"/>
      <c r="R109" s="238"/>
      <c r="S109" s="238"/>
      <c r="T109" s="238"/>
      <c r="U109" s="238"/>
      <c r="V109" s="238"/>
      <c r="W109" s="238"/>
      <c r="X109" s="238"/>
      <c r="Y109" s="238"/>
      <c r="Z109" s="238"/>
    </row>
    <row r="110" spans="1:26" ht="16.5" customHeight="1">
      <c r="A110" s="238"/>
      <c r="B110" s="238"/>
      <c r="C110" s="238"/>
      <c r="D110" s="238"/>
      <c r="E110" s="238"/>
      <c r="F110" s="238"/>
      <c r="G110" s="238"/>
      <c r="H110" s="238"/>
      <c r="I110" s="238"/>
      <c r="J110" s="238"/>
      <c r="K110" s="238"/>
      <c r="L110" s="238"/>
      <c r="M110" s="238"/>
      <c r="N110" s="238"/>
      <c r="O110" s="238"/>
      <c r="P110" s="238"/>
      <c r="Q110" s="238"/>
      <c r="R110" s="238"/>
      <c r="S110" s="238"/>
      <c r="T110" s="238"/>
      <c r="U110" s="238"/>
      <c r="V110" s="238"/>
      <c r="W110" s="238"/>
      <c r="X110" s="238"/>
      <c r="Y110" s="238"/>
      <c r="Z110" s="238"/>
    </row>
    <row r="111" spans="1:26" ht="16.5" customHeight="1">
      <c r="A111" s="238"/>
      <c r="B111" s="238"/>
      <c r="C111" s="238"/>
      <c r="D111" s="238"/>
      <c r="E111" s="238"/>
      <c r="F111" s="238"/>
      <c r="G111" s="238"/>
      <c r="H111" s="238"/>
      <c r="I111" s="238"/>
      <c r="J111" s="238"/>
      <c r="K111" s="238"/>
      <c r="L111" s="238"/>
      <c r="M111" s="238"/>
      <c r="N111" s="238"/>
      <c r="O111" s="238"/>
      <c r="P111" s="238"/>
      <c r="Q111" s="238"/>
      <c r="R111" s="238"/>
      <c r="S111" s="238"/>
      <c r="T111" s="238"/>
      <c r="U111" s="238"/>
      <c r="V111" s="238"/>
      <c r="W111" s="238"/>
      <c r="X111" s="238"/>
      <c r="Y111" s="238"/>
      <c r="Z111" s="238"/>
    </row>
    <row r="112" spans="1:26" ht="16.5" customHeight="1">
      <c r="A112" s="238"/>
      <c r="B112" s="238"/>
      <c r="C112" s="238"/>
      <c r="D112" s="238"/>
      <c r="E112" s="238"/>
      <c r="F112" s="238"/>
      <c r="G112" s="238"/>
      <c r="H112" s="238"/>
      <c r="I112" s="238"/>
      <c r="J112" s="238"/>
      <c r="K112" s="238"/>
      <c r="L112" s="238"/>
      <c r="M112" s="238"/>
      <c r="N112" s="238"/>
      <c r="O112" s="238"/>
      <c r="P112" s="238"/>
      <c r="Q112" s="238"/>
      <c r="R112" s="238"/>
      <c r="S112" s="238"/>
      <c r="T112" s="238"/>
      <c r="U112" s="238"/>
      <c r="V112" s="238"/>
      <c r="W112" s="238"/>
      <c r="X112" s="238"/>
      <c r="Y112" s="238"/>
      <c r="Z112" s="238"/>
    </row>
    <row r="113" spans="1:26" ht="16.5" customHeight="1">
      <c r="A113" s="238"/>
      <c r="B113" s="238"/>
      <c r="C113" s="238"/>
      <c r="D113" s="238"/>
      <c r="E113" s="238"/>
      <c r="F113" s="238"/>
      <c r="G113" s="238"/>
      <c r="H113" s="238"/>
      <c r="I113" s="238"/>
      <c r="J113" s="238"/>
      <c r="K113" s="238"/>
      <c r="L113" s="238"/>
      <c r="M113" s="238"/>
      <c r="N113" s="238"/>
      <c r="O113" s="238"/>
      <c r="P113" s="238"/>
      <c r="Q113" s="238"/>
      <c r="R113" s="238"/>
      <c r="S113" s="238"/>
      <c r="T113" s="238"/>
      <c r="U113" s="238"/>
      <c r="V113" s="238"/>
      <c r="W113" s="238"/>
      <c r="X113" s="238"/>
      <c r="Y113" s="238"/>
      <c r="Z113" s="238"/>
    </row>
    <row r="114" spans="1:26" ht="16.5" customHeight="1">
      <c r="A114" s="238"/>
      <c r="B114" s="238"/>
      <c r="C114" s="238"/>
      <c r="D114" s="238"/>
      <c r="E114" s="238"/>
      <c r="F114" s="238"/>
      <c r="G114" s="238"/>
      <c r="H114" s="238"/>
      <c r="I114" s="238"/>
      <c r="J114" s="238"/>
      <c r="K114" s="238"/>
      <c r="L114" s="238"/>
      <c r="M114" s="238"/>
      <c r="N114" s="238"/>
      <c r="O114" s="238"/>
      <c r="P114" s="238"/>
      <c r="Q114" s="238"/>
      <c r="R114" s="238"/>
      <c r="S114" s="238"/>
      <c r="T114" s="238"/>
      <c r="U114" s="238"/>
      <c r="V114" s="238"/>
      <c r="W114" s="238"/>
      <c r="X114" s="238"/>
      <c r="Y114" s="238"/>
      <c r="Z114" s="238"/>
    </row>
    <row r="115" spans="1:26" ht="16.5" customHeight="1">
      <c r="A115" s="238"/>
      <c r="B115" s="238"/>
      <c r="C115" s="238"/>
      <c r="D115" s="238"/>
      <c r="E115" s="238"/>
      <c r="F115" s="238"/>
      <c r="G115" s="238"/>
      <c r="H115" s="238"/>
      <c r="I115" s="238"/>
      <c r="J115" s="238"/>
      <c r="K115" s="238"/>
      <c r="L115" s="238"/>
      <c r="M115" s="238"/>
      <c r="N115" s="238"/>
      <c r="O115" s="238"/>
      <c r="P115" s="238"/>
      <c r="Q115" s="238"/>
      <c r="R115" s="238"/>
      <c r="S115" s="238"/>
      <c r="T115" s="238"/>
      <c r="U115" s="238"/>
      <c r="V115" s="238"/>
      <c r="W115" s="238"/>
      <c r="X115" s="238"/>
      <c r="Y115" s="238"/>
      <c r="Z115" s="238"/>
    </row>
    <row r="116" spans="1:26" ht="16.5" customHeight="1">
      <c r="A116" s="238"/>
      <c r="B116" s="238"/>
      <c r="C116" s="238"/>
      <c r="D116" s="238"/>
      <c r="E116" s="238"/>
      <c r="F116" s="238"/>
      <c r="G116" s="238"/>
      <c r="H116" s="238"/>
      <c r="I116" s="238"/>
      <c r="J116" s="238"/>
      <c r="K116" s="238"/>
      <c r="L116" s="238"/>
      <c r="M116" s="238"/>
      <c r="N116" s="238"/>
      <c r="O116" s="238"/>
      <c r="P116" s="238"/>
      <c r="Q116" s="238"/>
      <c r="R116" s="238"/>
      <c r="S116" s="238"/>
      <c r="T116" s="238"/>
      <c r="U116" s="238"/>
      <c r="V116" s="238"/>
      <c r="W116" s="238"/>
      <c r="X116" s="238"/>
      <c r="Y116" s="238"/>
      <c r="Z116" s="238"/>
    </row>
    <row r="117" spans="1:26" ht="16.5" customHeight="1">
      <c r="A117" s="238"/>
      <c r="B117" s="238"/>
      <c r="C117" s="238"/>
      <c r="D117" s="238"/>
      <c r="E117" s="238"/>
      <c r="F117" s="238"/>
      <c r="G117" s="238"/>
      <c r="H117" s="238"/>
      <c r="I117" s="238"/>
      <c r="J117" s="238"/>
      <c r="K117" s="238"/>
      <c r="L117" s="238"/>
      <c r="M117" s="238"/>
      <c r="N117" s="238"/>
      <c r="O117" s="238"/>
      <c r="P117" s="238"/>
      <c r="Q117" s="238"/>
      <c r="R117" s="238"/>
      <c r="S117" s="238"/>
      <c r="T117" s="238"/>
      <c r="U117" s="238"/>
      <c r="V117" s="238"/>
      <c r="W117" s="238"/>
      <c r="X117" s="238"/>
      <c r="Y117" s="238"/>
      <c r="Z117" s="238"/>
    </row>
    <row r="118" spans="1:26" ht="16.5" customHeight="1">
      <c r="A118" s="238"/>
      <c r="B118" s="238"/>
      <c r="C118" s="238"/>
      <c r="D118" s="238"/>
      <c r="E118" s="238"/>
      <c r="F118" s="238"/>
      <c r="G118" s="238"/>
      <c r="H118" s="238"/>
      <c r="I118" s="238"/>
      <c r="J118" s="238"/>
      <c r="K118" s="238"/>
      <c r="L118" s="238"/>
      <c r="M118" s="238"/>
      <c r="N118" s="238"/>
      <c r="O118" s="238"/>
      <c r="P118" s="238"/>
      <c r="Q118" s="238"/>
      <c r="R118" s="238"/>
      <c r="S118" s="238"/>
      <c r="T118" s="238"/>
      <c r="U118" s="238"/>
      <c r="V118" s="238"/>
      <c r="W118" s="238"/>
      <c r="X118" s="238"/>
      <c r="Y118" s="238"/>
      <c r="Z118" s="238"/>
    </row>
    <row r="119" spans="1:26" ht="16.5" customHeight="1">
      <c r="A119" s="238"/>
      <c r="B119" s="238"/>
      <c r="C119" s="238"/>
      <c r="D119" s="238"/>
      <c r="E119" s="238"/>
      <c r="F119" s="238"/>
      <c r="G119" s="238"/>
      <c r="H119" s="238"/>
      <c r="I119" s="238"/>
      <c r="J119" s="238"/>
      <c r="K119" s="238"/>
      <c r="L119" s="238"/>
      <c r="M119" s="238"/>
      <c r="N119" s="238"/>
      <c r="O119" s="238"/>
      <c r="P119" s="238"/>
      <c r="Q119" s="238"/>
      <c r="R119" s="238"/>
      <c r="S119" s="238"/>
      <c r="T119" s="238"/>
      <c r="U119" s="238"/>
      <c r="V119" s="238"/>
      <c r="W119" s="238"/>
      <c r="X119" s="238"/>
      <c r="Y119" s="238"/>
      <c r="Z119" s="238"/>
    </row>
    <row r="120" spans="1:26" ht="16.5" customHeight="1">
      <c r="A120" s="238"/>
      <c r="B120" s="238"/>
      <c r="C120" s="238"/>
      <c r="D120" s="238"/>
      <c r="E120" s="238"/>
      <c r="F120" s="238"/>
      <c r="G120" s="238"/>
      <c r="H120" s="238"/>
      <c r="I120" s="238"/>
      <c r="J120" s="238"/>
      <c r="K120" s="238"/>
      <c r="L120" s="238"/>
      <c r="M120" s="238"/>
      <c r="N120" s="238"/>
      <c r="O120" s="238"/>
      <c r="P120" s="238"/>
      <c r="Q120" s="238"/>
      <c r="R120" s="238"/>
      <c r="S120" s="238"/>
      <c r="T120" s="238"/>
      <c r="U120" s="238"/>
      <c r="V120" s="238"/>
      <c r="W120" s="238"/>
      <c r="X120" s="238"/>
      <c r="Y120" s="238"/>
      <c r="Z120" s="238"/>
    </row>
    <row r="121" spans="1:26" ht="16.5" customHeight="1">
      <c r="A121" s="238"/>
      <c r="B121" s="238"/>
      <c r="C121" s="238"/>
      <c r="D121" s="238"/>
      <c r="E121" s="238"/>
      <c r="F121" s="238"/>
      <c r="G121" s="238"/>
      <c r="H121" s="238"/>
      <c r="I121" s="238"/>
      <c r="J121" s="238"/>
      <c r="K121" s="238"/>
      <c r="L121" s="238"/>
      <c r="M121" s="238"/>
      <c r="N121" s="238"/>
      <c r="O121" s="238"/>
      <c r="P121" s="238"/>
      <c r="Q121" s="238"/>
      <c r="R121" s="238"/>
      <c r="S121" s="238"/>
      <c r="T121" s="238"/>
      <c r="U121" s="238"/>
      <c r="V121" s="238"/>
      <c r="W121" s="238"/>
      <c r="X121" s="238"/>
      <c r="Y121" s="238"/>
      <c r="Z121" s="238"/>
    </row>
    <row r="122" spans="1:26" ht="16.5" customHeight="1">
      <c r="A122" s="238"/>
      <c r="B122" s="238"/>
      <c r="C122" s="238"/>
      <c r="D122" s="238"/>
      <c r="E122" s="238"/>
      <c r="F122" s="238"/>
      <c r="G122" s="238"/>
      <c r="H122" s="238"/>
      <c r="I122" s="238"/>
      <c r="J122" s="238"/>
      <c r="K122" s="238"/>
      <c r="L122" s="238"/>
      <c r="M122" s="238"/>
      <c r="N122" s="238"/>
      <c r="O122" s="238"/>
      <c r="P122" s="238"/>
      <c r="Q122" s="238"/>
      <c r="R122" s="238"/>
      <c r="S122" s="238"/>
      <c r="T122" s="238"/>
      <c r="U122" s="238"/>
      <c r="V122" s="238"/>
      <c r="W122" s="238"/>
      <c r="X122" s="238"/>
      <c r="Y122" s="238"/>
      <c r="Z122" s="238"/>
    </row>
    <row r="123" spans="1:26" ht="16.5" customHeight="1">
      <c r="A123" s="238"/>
      <c r="B123" s="238"/>
      <c r="C123" s="238"/>
      <c r="D123" s="238"/>
      <c r="E123" s="238"/>
      <c r="F123" s="238"/>
      <c r="G123" s="238"/>
      <c r="H123" s="238"/>
      <c r="I123" s="238"/>
      <c r="J123" s="238"/>
      <c r="K123" s="238"/>
      <c r="L123" s="238"/>
      <c r="M123" s="238"/>
      <c r="N123" s="238"/>
      <c r="O123" s="238"/>
      <c r="P123" s="238"/>
      <c r="Q123" s="238"/>
      <c r="R123" s="238"/>
      <c r="S123" s="238"/>
      <c r="T123" s="238"/>
      <c r="U123" s="238"/>
      <c r="V123" s="238"/>
      <c r="W123" s="238"/>
      <c r="X123" s="238"/>
      <c r="Y123" s="238"/>
      <c r="Z123" s="238"/>
    </row>
    <row r="124" spans="1:26" ht="16.5" customHeight="1">
      <c r="A124" s="238"/>
      <c r="B124" s="238"/>
      <c r="C124" s="238"/>
      <c r="D124" s="238"/>
      <c r="E124" s="238"/>
      <c r="F124" s="238"/>
      <c r="G124" s="238"/>
      <c r="H124" s="238"/>
      <c r="I124" s="238"/>
      <c r="J124" s="238"/>
      <c r="K124" s="238"/>
      <c r="L124" s="238"/>
      <c r="M124" s="238"/>
      <c r="N124" s="238"/>
      <c r="O124" s="238"/>
      <c r="P124" s="238"/>
      <c r="Q124" s="238"/>
      <c r="R124" s="238"/>
      <c r="S124" s="238"/>
      <c r="T124" s="238"/>
      <c r="U124" s="238"/>
      <c r="V124" s="238"/>
      <c r="W124" s="238"/>
      <c r="X124" s="238"/>
      <c r="Y124" s="238"/>
      <c r="Z124" s="238"/>
    </row>
    <row r="125" spans="1:26" ht="16.5" customHeight="1">
      <c r="A125" s="238"/>
      <c r="B125" s="238"/>
      <c r="C125" s="238"/>
      <c r="D125" s="238"/>
      <c r="E125" s="238"/>
      <c r="F125" s="238"/>
      <c r="G125" s="238"/>
      <c r="H125" s="238"/>
      <c r="I125" s="238"/>
      <c r="J125" s="238"/>
      <c r="K125" s="238"/>
      <c r="L125" s="238"/>
      <c r="M125" s="238"/>
      <c r="N125" s="238"/>
      <c r="O125" s="238"/>
      <c r="P125" s="238"/>
      <c r="Q125" s="238"/>
      <c r="R125" s="238"/>
      <c r="S125" s="238"/>
      <c r="T125" s="238"/>
      <c r="U125" s="238"/>
      <c r="V125" s="238"/>
      <c r="W125" s="238"/>
      <c r="X125" s="238"/>
      <c r="Y125" s="238"/>
      <c r="Z125" s="238"/>
    </row>
    <row r="126" spans="1:26" ht="16.5" customHeight="1">
      <c r="A126" s="238"/>
      <c r="B126" s="238"/>
      <c r="C126" s="238"/>
      <c r="D126" s="238"/>
      <c r="E126" s="238"/>
      <c r="F126" s="238"/>
      <c r="G126" s="238"/>
      <c r="H126" s="238"/>
      <c r="I126" s="238"/>
      <c r="J126" s="238"/>
      <c r="K126" s="238"/>
      <c r="L126" s="238"/>
      <c r="M126" s="238"/>
      <c r="N126" s="238"/>
      <c r="O126" s="238"/>
      <c r="P126" s="238"/>
      <c r="Q126" s="238"/>
      <c r="R126" s="238"/>
      <c r="S126" s="238"/>
      <c r="T126" s="238"/>
      <c r="U126" s="238"/>
      <c r="V126" s="238"/>
      <c r="W126" s="238"/>
      <c r="X126" s="238"/>
      <c r="Y126" s="238"/>
      <c r="Z126" s="238"/>
    </row>
    <row r="127" spans="1:26" ht="16.5" customHeight="1">
      <c r="A127" s="238"/>
      <c r="B127" s="238"/>
      <c r="C127" s="238"/>
      <c r="D127" s="238"/>
      <c r="E127" s="238"/>
      <c r="F127" s="238"/>
      <c r="G127" s="238"/>
      <c r="H127" s="238"/>
      <c r="I127" s="238"/>
      <c r="J127" s="238"/>
      <c r="K127" s="238"/>
      <c r="L127" s="238"/>
      <c r="M127" s="238"/>
      <c r="N127" s="238"/>
      <c r="O127" s="238"/>
      <c r="P127" s="238"/>
      <c r="Q127" s="238"/>
      <c r="R127" s="238"/>
      <c r="S127" s="238"/>
      <c r="T127" s="238"/>
      <c r="U127" s="238"/>
      <c r="V127" s="238"/>
      <c r="W127" s="238"/>
      <c r="X127" s="238"/>
      <c r="Y127" s="238"/>
      <c r="Z127" s="238"/>
    </row>
    <row r="128" spans="1:26" ht="16.5" customHeight="1">
      <c r="A128" s="238"/>
      <c r="B128" s="238"/>
      <c r="C128" s="238"/>
      <c r="D128" s="238"/>
      <c r="E128" s="238"/>
      <c r="F128" s="238"/>
      <c r="G128" s="238"/>
      <c r="H128" s="238"/>
      <c r="I128" s="238"/>
      <c r="J128" s="238"/>
      <c r="K128" s="238"/>
      <c r="L128" s="238"/>
      <c r="M128" s="238"/>
      <c r="N128" s="238"/>
      <c r="O128" s="238"/>
      <c r="P128" s="238"/>
      <c r="Q128" s="238"/>
      <c r="R128" s="238"/>
      <c r="S128" s="238"/>
      <c r="T128" s="238"/>
      <c r="U128" s="238"/>
      <c r="V128" s="238"/>
      <c r="W128" s="238"/>
      <c r="X128" s="238"/>
      <c r="Y128" s="238"/>
      <c r="Z128" s="238"/>
    </row>
    <row r="129" spans="1:26" ht="16.5" customHeight="1">
      <c r="A129" s="238"/>
      <c r="B129" s="238"/>
      <c r="C129" s="238"/>
      <c r="D129" s="238"/>
      <c r="E129" s="238"/>
      <c r="F129" s="238"/>
      <c r="G129" s="238"/>
      <c r="H129" s="238"/>
      <c r="I129" s="238"/>
      <c r="J129" s="238"/>
      <c r="K129" s="238"/>
      <c r="L129" s="238"/>
      <c r="M129" s="238"/>
      <c r="N129" s="238"/>
      <c r="O129" s="238"/>
      <c r="P129" s="238"/>
      <c r="Q129" s="238"/>
      <c r="R129" s="238"/>
      <c r="S129" s="238"/>
      <c r="T129" s="238"/>
      <c r="U129" s="238"/>
      <c r="V129" s="238"/>
      <c r="W129" s="238"/>
      <c r="X129" s="238"/>
      <c r="Y129" s="238"/>
      <c r="Z129" s="238"/>
    </row>
    <row r="130" spans="1:26" ht="16.5" customHeight="1">
      <c r="A130" s="238"/>
      <c r="B130" s="238"/>
      <c r="C130" s="238"/>
      <c r="D130" s="238"/>
      <c r="E130" s="238"/>
      <c r="F130" s="238"/>
      <c r="G130" s="238"/>
      <c r="H130" s="238"/>
      <c r="I130" s="238"/>
      <c r="J130" s="238"/>
      <c r="K130" s="238"/>
      <c r="L130" s="238"/>
      <c r="M130" s="238"/>
      <c r="N130" s="238"/>
      <c r="O130" s="238"/>
      <c r="P130" s="238"/>
      <c r="Q130" s="238"/>
      <c r="R130" s="238"/>
      <c r="S130" s="238"/>
      <c r="T130" s="238"/>
      <c r="U130" s="238"/>
      <c r="V130" s="238"/>
      <c r="W130" s="238"/>
      <c r="X130" s="238"/>
      <c r="Y130" s="238"/>
      <c r="Z130" s="238"/>
    </row>
    <row r="131" spans="1:26" ht="16.5" customHeight="1">
      <c r="A131" s="238"/>
      <c r="B131" s="238"/>
      <c r="C131" s="238"/>
      <c r="D131" s="238"/>
      <c r="E131" s="238"/>
      <c r="F131" s="238"/>
      <c r="G131" s="238"/>
      <c r="H131" s="238"/>
      <c r="I131" s="238"/>
      <c r="J131" s="238"/>
      <c r="K131" s="238"/>
      <c r="L131" s="238"/>
      <c r="M131" s="238"/>
      <c r="N131" s="238"/>
      <c r="O131" s="238"/>
      <c r="P131" s="238"/>
      <c r="Q131" s="238"/>
      <c r="R131" s="238"/>
      <c r="S131" s="238"/>
      <c r="T131" s="238"/>
      <c r="U131" s="238"/>
      <c r="V131" s="238"/>
      <c r="W131" s="238"/>
      <c r="X131" s="238"/>
      <c r="Y131" s="238"/>
      <c r="Z131" s="238"/>
    </row>
    <row r="132" spans="1:26" ht="16.5" customHeight="1">
      <c r="A132" s="238"/>
      <c r="B132" s="238"/>
      <c r="C132" s="238"/>
      <c r="D132" s="238"/>
      <c r="E132" s="238"/>
      <c r="F132" s="238"/>
      <c r="G132" s="238"/>
      <c r="H132" s="238"/>
      <c r="I132" s="238"/>
      <c r="J132" s="238"/>
      <c r="K132" s="238"/>
      <c r="L132" s="238"/>
      <c r="M132" s="238"/>
      <c r="N132" s="238"/>
      <c r="O132" s="238"/>
      <c r="P132" s="238"/>
      <c r="Q132" s="238"/>
      <c r="R132" s="238"/>
      <c r="S132" s="238"/>
      <c r="T132" s="238"/>
      <c r="U132" s="238"/>
      <c r="V132" s="238"/>
      <c r="W132" s="238"/>
      <c r="X132" s="238"/>
      <c r="Y132" s="238"/>
      <c r="Z132" s="238"/>
    </row>
    <row r="133" spans="1:26" ht="16.5" customHeight="1">
      <c r="A133" s="238"/>
      <c r="B133" s="238"/>
      <c r="C133" s="238"/>
      <c r="D133" s="238"/>
      <c r="E133" s="238"/>
      <c r="F133" s="238"/>
      <c r="G133" s="238"/>
      <c r="H133" s="238"/>
      <c r="I133" s="238"/>
      <c r="J133" s="238"/>
      <c r="K133" s="238"/>
      <c r="L133" s="238"/>
      <c r="M133" s="238"/>
      <c r="N133" s="238"/>
      <c r="O133" s="238"/>
      <c r="P133" s="238"/>
      <c r="Q133" s="238"/>
      <c r="R133" s="238"/>
      <c r="S133" s="238"/>
      <c r="T133" s="238"/>
      <c r="U133" s="238"/>
      <c r="V133" s="238"/>
      <c r="W133" s="238"/>
      <c r="X133" s="238"/>
      <c r="Y133" s="238"/>
      <c r="Z133" s="238"/>
    </row>
    <row r="134" spans="1:26" ht="16.5" customHeight="1">
      <c r="A134" s="238"/>
      <c r="B134" s="238"/>
      <c r="C134" s="238"/>
      <c r="D134" s="238"/>
      <c r="E134" s="238"/>
      <c r="F134" s="238"/>
      <c r="G134" s="238"/>
      <c r="H134" s="238"/>
      <c r="I134" s="238"/>
      <c r="J134" s="238"/>
      <c r="K134" s="238"/>
      <c r="L134" s="238"/>
      <c r="M134" s="238"/>
      <c r="N134" s="238"/>
      <c r="O134" s="238"/>
      <c r="P134" s="238"/>
      <c r="Q134" s="238"/>
      <c r="R134" s="238"/>
      <c r="S134" s="238"/>
      <c r="T134" s="238"/>
      <c r="U134" s="238"/>
      <c r="V134" s="238"/>
      <c r="W134" s="238"/>
      <c r="X134" s="238"/>
      <c r="Y134" s="238"/>
      <c r="Z134" s="238"/>
    </row>
    <row r="135" spans="1:26" ht="16.5" customHeight="1">
      <c r="A135" s="238"/>
      <c r="B135" s="238"/>
      <c r="C135" s="238"/>
      <c r="D135" s="238"/>
      <c r="E135" s="238"/>
      <c r="F135" s="238"/>
      <c r="G135" s="238"/>
      <c r="H135" s="238"/>
      <c r="I135" s="238"/>
      <c r="J135" s="238"/>
      <c r="K135" s="238"/>
      <c r="L135" s="238"/>
      <c r="M135" s="238"/>
      <c r="N135" s="238"/>
      <c r="O135" s="238"/>
      <c r="P135" s="238"/>
      <c r="Q135" s="238"/>
      <c r="R135" s="238"/>
      <c r="S135" s="238"/>
      <c r="T135" s="238"/>
      <c r="U135" s="238"/>
      <c r="V135" s="238"/>
      <c r="W135" s="238"/>
      <c r="X135" s="238"/>
      <c r="Y135" s="238"/>
      <c r="Z135" s="238"/>
    </row>
    <row r="136" spans="1:26" ht="16.5" customHeight="1">
      <c r="A136" s="238"/>
      <c r="B136" s="238"/>
      <c r="C136" s="238"/>
      <c r="D136" s="238"/>
      <c r="E136" s="238"/>
      <c r="F136" s="238"/>
      <c r="G136" s="238"/>
      <c r="H136" s="238"/>
      <c r="I136" s="238"/>
      <c r="J136" s="238"/>
      <c r="K136" s="238"/>
      <c r="L136" s="238"/>
      <c r="M136" s="238"/>
      <c r="N136" s="238"/>
      <c r="O136" s="238"/>
      <c r="P136" s="238"/>
      <c r="Q136" s="238"/>
      <c r="R136" s="238"/>
      <c r="S136" s="238"/>
      <c r="T136" s="238"/>
      <c r="U136" s="238"/>
      <c r="V136" s="238"/>
      <c r="W136" s="238"/>
      <c r="X136" s="238"/>
      <c r="Y136" s="238"/>
      <c r="Z136" s="238"/>
    </row>
    <row r="137" spans="1:26" ht="16.5" customHeight="1">
      <c r="A137" s="238"/>
      <c r="B137" s="238"/>
      <c r="C137" s="238"/>
      <c r="D137" s="238"/>
      <c r="E137" s="238"/>
      <c r="F137" s="238"/>
      <c r="G137" s="238"/>
      <c r="H137" s="238"/>
      <c r="I137" s="238"/>
      <c r="J137" s="238"/>
      <c r="K137" s="238"/>
      <c r="L137" s="238"/>
      <c r="M137" s="238"/>
      <c r="N137" s="238"/>
      <c r="O137" s="238"/>
      <c r="P137" s="238"/>
      <c r="Q137" s="238"/>
      <c r="R137" s="238"/>
      <c r="S137" s="238"/>
      <c r="T137" s="238"/>
      <c r="U137" s="238"/>
      <c r="V137" s="238"/>
      <c r="W137" s="238"/>
      <c r="X137" s="238"/>
      <c r="Y137" s="238"/>
      <c r="Z137" s="238"/>
    </row>
    <row r="138" spans="1:26" ht="16.5" customHeight="1">
      <c r="A138" s="238"/>
      <c r="B138" s="238"/>
      <c r="C138" s="238"/>
      <c r="D138" s="238"/>
      <c r="E138" s="238"/>
      <c r="F138" s="238"/>
      <c r="G138" s="238"/>
      <c r="H138" s="238"/>
      <c r="I138" s="238"/>
      <c r="J138" s="238"/>
      <c r="K138" s="238"/>
      <c r="L138" s="238"/>
      <c r="M138" s="238"/>
      <c r="N138" s="238"/>
      <c r="O138" s="238"/>
      <c r="P138" s="238"/>
      <c r="Q138" s="238"/>
      <c r="R138" s="238"/>
      <c r="S138" s="238"/>
      <c r="T138" s="238"/>
      <c r="U138" s="238"/>
      <c r="V138" s="238"/>
      <c r="W138" s="238"/>
      <c r="X138" s="238"/>
      <c r="Y138" s="238"/>
      <c r="Z138" s="238"/>
    </row>
    <row r="139" spans="1:26" ht="16.5" customHeight="1">
      <c r="A139" s="238"/>
      <c r="B139" s="238"/>
      <c r="C139" s="238"/>
      <c r="D139" s="238"/>
      <c r="E139" s="238"/>
      <c r="F139" s="238"/>
      <c r="G139" s="238"/>
      <c r="H139" s="238"/>
      <c r="I139" s="238"/>
      <c r="J139" s="238"/>
      <c r="K139" s="238"/>
      <c r="L139" s="238"/>
      <c r="M139" s="238"/>
      <c r="N139" s="238"/>
      <c r="O139" s="238"/>
      <c r="P139" s="238"/>
      <c r="Q139" s="238"/>
      <c r="R139" s="238"/>
      <c r="S139" s="238"/>
      <c r="T139" s="238"/>
      <c r="U139" s="238"/>
      <c r="V139" s="238"/>
      <c r="W139" s="238"/>
      <c r="X139" s="238"/>
      <c r="Y139" s="238"/>
      <c r="Z139" s="238"/>
    </row>
    <row r="140" spans="1:26" ht="16.5" customHeight="1">
      <c r="A140" s="238"/>
      <c r="B140" s="238"/>
      <c r="C140" s="238"/>
      <c r="D140" s="238"/>
      <c r="E140" s="238"/>
      <c r="F140" s="238"/>
      <c r="G140" s="238"/>
      <c r="H140" s="238"/>
      <c r="I140" s="238"/>
      <c r="J140" s="238"/>
      <c r="K140" s="238"/>
      <c r="L140" s="238"/>
      <c r="M140" s="238"/>
      <c r="N140" s="238"/>
      <c r="O140" s="238"/>
      <c r="P140" s="238"/>
      <c r="Q140" s="238"/>
      <c r="R140" s="238"/>
      <c r="S140" s="238"/>
      <c r="T140" s="238"/>
      <c r="U140" s="238"/>
      <c r="V140" s="238"/>
      <c r="W140" s="238"/>
      <c r="X140" s="238"/>
      <c r="Y140" s="238"/>
      <c r="Z140" s="238"/>
    </row>
    <row r="141" spans="1:26" ht="16.5" customHeight="1">
      <c r="A141" s="238"/>
      <c r="B141" s="238"/>
      <c r="C141" s="238"/>
      <c r="D141" s="238"/>
      <c r="E141" s="238"/>
      <c r="F141" s="238"/>
      <c r="G141" s="238"/>
      <c r="H141" s="238"/>
      <c r="I141" s="238"/>
      <c r="J141" s="238"/>
      <c r="K141" s="238"/>
      <c r="L141" s="238"/>
      <c r="M141" s="238"/>
      <c r="N141" s="238"/>
      <c r="O141" s="238"/>
      <c r="P141" s="238"/>
      <c r="Q141" s="238"/>
      <c r="R141" s="238"/>
      <c r="S141" s="238"/>
      <c r="T141" s="238"/>
      <c r="U141" s="238"/>
      <c r="V141" s="238"/>
      <c r="W141" s="238"/>
      <c r="X141" s="238"/>
      <c r="Y141" s="238"/>
      <c r="Z141" s="238"/>
    </row>
    <row r="142" spans="1:26" ht="16.5" customHeight="1">
      <c r="A142" s="238"/>
      <c r="B142" s="238"/>
      <c r="C142" s="238"/>
      <c r="D142" s="238"/>
      <c r="E142" s="238"/>
      <c r="F142" s="238"/>
      <c r="G142" s="238"/>
      <c r="H142" s="238"/>
      <c r="I142" s="238"/>
      <c r="J142" s="238"/>
      <c r="K142" s="238"/>
      <c r="L142" s="238"/>
      <c r="M142" s="238"/>
      <c r="N142" s="238"/>
      <c r="O142" s="238"/>
      <c r="P142" s="238"/>
      <c r="Q142" s="238"/>
      <c r="R142" s="238"/>
      <c r="S142" s="238"/>
      <c r="T142" s="238"/>
      <c r="U142" s="238"/>
      <c r="V142" s="238"/>
      <c r="W142" s="238"/>
      <c r="X142" s="238"/>
      <c r="Y142" s="238"/>
      <c r="Z142" s="238"/>
    </row>
    <row r="143" spans="1:26" ht="16.5" customHeight="1">
      <c r="A143" s="238"/>
      <c r="B143" s="238"/>
      <c r="C143" s="238"/>
      <c r="D143" s="238"/>
      <c r="E143" s="238"/>
      <c r="F143" s="238"/>
      <c r="G143" s="238"/>
      <c r="H143" s="238"/>
      <c r="I143" s="238"/>
      <c r="J143" s="238"/>
      <c r="K143" s="238"/>
      <c r="L143" s="238"/>
      <c r="M143" s="238"/>
      <c r="N143" s="238"/>
      <c r="O143" s="238"/>
      <c r="P143" s="238"/>
      <c r="Q143" s="238"/>
      <c r="R143" s="238"/>
      <c r="S143" s="238"/>
      <c r="T143" s="238"/>
      <c r="U143" s="238"/>
      <c r="V143" s="238"/>
      <c r="W143" s="238"/>
      <c r="X143" s="238"/>
      <c r="Y143" s="238"/>
      <c r="Z143" s="238"/>
    </row>
    <row r="144" spans="1:26" ht="16.5" customHeight="1">
      <c r="A144" s="238"/>
      <c r="B144" s="238"/>
      <c r="C144" s="238"/>
      <c r="D144" s="238"/>
      <c r="E144" s="238"/>
      <c r="F144" s="238"/>
      <c r="G144" s="238"/>
      <c r="H144" s="238"/>
      <c r="I144" s="238"/>
      <c r="J144" s="238"/>
      <c r="K144" s="238"/>
      <c r="L144" s="238"/>
      <c r="M144" s="238"/>
      <c r="N144" s="238"/>
      <c r="O144" s="238"/>
      <c r="P144" s="238"/>
      <c r="Q144" s="238"/>
      <c r="R144" s="238"/>
      <c r="S144" s="238"/>
      <c r="T144" s="238"/>
      <c r="U144" s="238"/>
      <c r="V144" s="238"/>
      <c r="W144" s="238"/>
      <c r="X144" s="238"/>
      <c r="Y144" s="238"/>
      <c r="Z144" s="238"/>
    </row>
    <row r="145" spans="1:26" ht="16.5" customHeight="1">
      <c r="A145" s="238"/>
      <c r="B145" s="238"/>
      <c r="C145" s="238"/>
      <c r="D145" s="238"/>
      <c r="E145" s="238"/>
      <c r="F145" s="238"/>
      <c r="G145" s="238"/>
      <c r="H145" s="238"/>
      <c r="I145" s="238"/>
      <c r="J145" s="238"/>
      <c r="K145" s="238"/>
      <c r="L145" s="238"/>
      <c r="M145" s="238"/>
      <c r="N145" s="238"/>
      <c r="O145" s="238"/>
      <c r="P145" s="238"/>
      <c r="Q145" s="238"/>
      <c r="R145" s="238"/>
      <c r="S145" s="238"/>
      <c r="T145" s="238"/>
      <c r="U145" s="238"/>
      <c r="V145" s="238"/>
      <c r="W145" s="238"/>
      <c r="X145" s="238"/>
      <c r="Y145" s="238"/>
      <c r="Z145" s="238"/>
    </row>
    <row r="146" spans="1:26" ht="16.5" customHeight="1">
      <c r="A146" s="238"/>
      <c r="B146" s="238"/>
      <c r="C146" s="238"/>
      <c r="D146" s="238"/>
      <c r="E146" s="238"/>
      <c r="F146" s="238"/>
      <c r="G146" s="238"/>
      <c r="H146" s="238"/>
      <c r="I146" s="238"/>
      <c r="J146" s="238"/>
      <c r="K146" s="238"/>
      <c r="L146" s="238"/>
      <c r="M146" s="238"/>
      <c r="N146" s="238"/>
      <c r="O146" s="238"/>
      <c r="P146" s="238"/>
      <c r="Q146" s="238"/>
      <c r="R146" s="238"/>
      <c r="S146" s="238"/>
      <c r="T146" s="238"/>
      <c r="U146" s="238"/>
      <c r="V146" s="238"/>
      <c r="W146" s="238"/>
      <c r="X146" s="238"/>
      <c r="Y146" s="238"/>
      <c r="Z146" s="238"/>
    </row>
    <row r="147" spans="1:26" ht="16.5" customHeight="1">
      <c r="A147" s="238"/>
      <c r="B147" s="238"/>
      <c r="C147" s="238"/>
      <c r="D147" s="238"/>
      <c r="E147" s="238"/>
      <c r="F147" s="238"/>
      <c r="G147" s="238"/>
      <c r="H147" s="238"/>
      <c r="I147" s="238"/>
      <c r="J147" s="238"/>
      <c r="K147" s="238"/>
      <c r="L147" s="238"/>
      <c r="M147" s="238"/>
      <c r="N147" s="238"/>
      <c r="O147" s="238"/>
      <c r="P147" s="238"/>
      <c r="Q147" s="238"/>
      <c r="R147" s="238"/>
      <c r="S147" s="238"/>
      <c r="T147" s="238"/>
      <c r="U147" s="238"/>
      <c r="V147" s="238"/>
      <c r="W147" s="238"/>
      <c r="X147" s="238"/>
      <c r="Y147" s="238"/>
      <c r="Z147" s="238"/>
    </row>
    <row r="148" spans="1:26" ht="16.5" customHeight="1">
      <c r="A148" s="238"/>
      <c r="B148" s="238"/>
      <c r="C148" s="238"/>
      <c r="D148" s="238"/>
      <c r="E148" s="238"/>
      <c r="F148" s="238"/>
      <c r="G148" s="238"/>
      <c r="H148" s="238"/>
      <c r="I148" s="238"/>
      <c r="J148" s="238"/>
      <c r="K148" s="238"/>
      <c r="L148" s="238"/>
      <c r="M148" s="238"/>
      <c r="N148" s="238"/>
      <c r="O148" s="238"/>
      <c r="P148" s="238"/>
      <c r="Q148" s="238"/>
      <c r="R148" s="238"/>
      <c r="S148" s="238"/>
      <c r="T148" s="238"/>
      <c r="U148" s="238"/>
      <c r="V148" s="238"/>
      <c r="W148" s="238"/>
      <c r="X148" s="238"/>
      <c r="Y148" s="238"/>
      <c r="Z148" s="238"/>
    </row>
    <row r="149" spans="1:26" ht="16.5" customHeight="1">
      <c r="A149" s="238"/>
      <c r="B149" s="238"/>
      <c r="C149" s="238"/>
      <c r="D149" s="238"/>
      <c r="E149" s="238"/>
      <c r="F149" s="238"/>
      <c r="G149" s="238"/>
      <c r="H149" s="238"/>
      <c r="I149" s="238"/>
      <c r="J149" s="238"/>
      <c r="K149" s="238"/>
      <c r="L149" s="238"/>
      <c r="M149" s="238"/>
      <c r="N149" s="238"/>
      <c r="O149" s="238"/>
      <c r="P149" s="238"/>
      <c r="Q149" s="238"/>
      <c r="R149" s="238"/>
      <c r="S149" s="238"/>
      <c r="T149" s="238"/>
      <c r="U149" s="238"/>
      <c r="V149" s="238"/>
      <c r="W149" s="238"/>
      <c r="X149" s="238"/>
      <c r="Y149" s="238"/>
      <c r="Z149" s="238"/>
    </row>
    <row r="150" spans="1:26" ht="16.5" customHeight="1">
      <c r="A150" s="238"/>
      <c r="B150" s="238"/>
      <c r="C150" s="238"/>
      <c r="D150" s="238"/>
      <c r="E150" s="238"/>
      <c r="F150" s="238"/>
      <c r="G150" s="238"/>
      <c r="H150" s="238"/>
      <c r="I150" s="238"/>
      <c r="J150" s="238"/>
      <c r="K150" s="238"/>
      <c r="L150" s="238"/>
      <c r="M150" s="238"/>
      <c r="N150" s="238"/>
      <c r="O150" s="238"/>
      <c r="P150" s="238"/>
      <c r="Q150" s="238"/>
      <c r="R150" s="238"/>
      <c r="S150" s="238"/>
      <c r="T150" s="238"/>
      <c r="U150" s="238"/>
      <c r="V150" s="238"/>
      <c r="W150" s="238"/>
      <c r="X150" s="238"/>
      <c r="Y150" s="238"/>
      <c r="Z150" s="238"/>
    </row>
    <row r="151" spans="1:26" ht="16.5" customHeight="1">
      <c r="A151" s="238"/>
      <c r="B151" s="238"/>
      <c r="C151" s="238"/>
      <c r="D151" s="238"/>
      <c r="E151" s="238"/>
      <c r="F151" s="238"/>
      <c r="G151" s="238"/>
      <c r="H151" s="238"/>
      <c r="I151" s="238"/>
      <c r="J151" s="238"/>
      <c r="K151" s="238"/>
      <c r="L151" s="238"/>
      <c r="M151" s="238"/>
      <c r="N151" s="238"/>
      <c r="O151" s="238"/>
      <c r="P151" s="238"/>
      <c r="Q151" s="238"/>
      <c r="R151" s="238"/>
      <c r="S151" s="238"/>
      <c r="T151" s="238"/>
      <c r="U151" s="238"/>
      <c r="V151" s="238"/>
      <c r="W151" s="238"/>
      <c r="X151" s="238"/>
      <c r="Y151" s="238"/>
      <c r="Z151" s="238"/>
    </row>
    <row r="152" spans="1:26" ht="16.5" customHeight="1">
      <c r="A152" s="238"/>
      <c r="B152" s="238"/>
      <c r="C152" s="238"/>
      <c r="D152" s="238"/>
      <c r="E152" s="238"/>
      <c r="F152" s="238"/>
      <c r="G152" s="238"/>
      <c r="H152" s="238"/>
      <c r="I152" s="238"/>
      <c r="J152" s="238"/>
      <c r="K152" s="238"/>
      <c r="L152" s="238"/>
      <c r="M152" s="238"/>
      <c r="N152" s="238"/>
      <c r="O152" s="238"/>
      <c r="P152" s="238"/>
      <c r="Q152" s="238"/>
      <c r="R152" s="238"/>
      <c r="S152" s="238"/>
      <c r="T152" s="238"/>
      <c r="U152" s="238"/>
      <c r="V152" s="238"/>
      <c r="W152" s="238"/>
      <c r="X152" s="238"/>
      <c r="Y152" s="238"/>
      <c r="Z152" s="238"/>
    </row>
    <row r="153" spans="1:26" ht="16.5" customHeight="1">
      <c r="A153" s="238"/>
      <c r="B153" s="238"/>
      <c r="C153" s="238"/>
      <c r="D153" s="238"/>
      <c r="E153" s="238"/>
      <c r="F153" s="238"/>
      <c r="G153" s="238"/>
      <c r="H153" s="238"/>
      <c r="I153" s="238"/>
      <c r="J153" s="238"/>
      <c r="K153" s="238"/>
      <c r="L153" s="238"/>
      <c r="M153" s="238"/>
      <c r="N153" s="238"/>
      <c r="O153" s="238"/>
      <c r="P153" s="238"/>
      <c r="Q153" s="238"/>
      <c r="R153" s="238"/>
      <c r="S153" s="238"/>
      <c r="T153" s="238"/>
      <c r="U153" s="238"/>
      <c r="V153" s="238"/>
      <c r="W153" s="238"/>
      <c r="X153" s="238"/>
      <c r="Y153" s="238"/>
      <c r="Z153" s="238"/>
    </row>
    <row r="154" spans="1:26" ht="16.5" customHeight="1">
      <c r="A154" s="238"/>
      <c r="B154" s="238"/>
      <c r="C154" s="238"/>
      <c r="D154" s="238"/>
      <c r="E154" s="238"/>
      <c r="F154" s="238"/>
      <c r="G154" s="238"/>
      <c r="H154" s="238"/>
      <c r="I154" s="238"/>
      <c r="J154" s="238"/>
      <c r="K154" s="238"/>
      <c r="L154" s="238"/>
      <c r="M154" s="238"/>
      <c r="N154" s="238"/>
      <c r="O154" s="238"/>
      <c r="P154" s="238"/>
      <c r="Q154" s="238"/>
      <c r="R154" s="238"/>
      <c r="S154" s="238"/>
      <c r="T154" s="238"/>
      <c r="U154" s="238"/>
      <c r="V154" s="238"/>
      <c r="W154" s="238"/>
      <c r="X154" s="238"/>
      <c r="Y154" s="238"/>
      <c r="Z154" s="238"/>
    </row>
    <row r="155" spans="1:26" ht="16.5" customHeight="1">
      <c r="A155" s="238"/>
      <c r="B155" s="238"/>
      <c r="C155" s="238"/>
      <c r="D155" s="238"/>
      <c r="E155" s="238"/>
      <c r="F155" s="238"/>
      <c r="G155" s="238"/>
      <c r="H155" s="238"/>
      <c r="I155" s="238"/>
      <c r="J155" s="238"/>
      <c r="K155" s="238"/>
      <c r="L155" s="238"/>
      <c r="M155" s="238"/>
      <c r="N155" s="238"/>
      <c r="O155" s="238"/>
      <c r="P155" s="238"/>
      <c r="Q155" s="238"/>
      <c r="R155" s="238"/>
      <c r="S155" s="238"/>
      <c r="T155" s="238"/>
      <c r="U155" s="238"/>
      <c r="V155" s="238"/>
      <c r="W155" s="238"/>
      <c r="X155" s="238"/>
      <c r="Y155" s="238"/>
      <c r="Z155" s="238"/>
    </row>
    <row r="156" spans="1:26" ht="16.5" customHeight="1">
      <c r="A156" s="238"/>
      <c r="B156" s="238"/>
      <c r="C156" s="238"/>
      <c r="D156" s="238"/>
      <c r="E156" s="238"/>
      <c r="F156" s="238"/>
      <c r="G156" s="238"/>
      <c r="H156" s="238"/>
      <c r="I156" s="238"/>
      <c r="J156" s="238"/>
      <c r="K156" s="238"/>
      <c r="L156" s="238"/>
      <c r="M156" s="238"/>
      <c r="N156" s="238"/>
      <c r="O156" s="238"/>
      <c r="P156" s="238"/>
      <c r="Q156" s="238"/>
      <c r="R156" s="238"/>
      <c r="S156" s="238"/>
      <c r="T156" s="238"/>
      <c r="U156" s="238"/>
      <c r="V156" s="238"/>
      <c r="W156" s="238"/>
      <c r="X156" s="238"/>
      <c r="Y156" s="238"/>
      <c r="Z156" s="238"/>
    </row>
    <row r="157" spans="1:26" ht="16.5" customHeight="1">
      <c r="A157" s="238"/>
      <c r="B157" s="238"/>
      <c r="C157" s="238"/>
      <c r="D157" s="238"/>
      <c r="E157" s="238"/>
      <c r="F157" s="238"/>
      <c r="G157" s="238"/>
      <c r="H157" s="238"/>
      <c r="I157" s="238"/>
      <c r="J157" s="238"/>
      <c r="K157" s="238"/>
      <c r="L157" s="238"/>
      <c r="M157" s="238"/>
      <c r="N157" s="238"/>
      <c r="O157" s="238"/>
      <c r="P157" s="238"/>
      <c r="Q157" s="238"/>
      <c r="R157" s="238"/>
      <c r="S157" s="238"/>
      <c r="T157" s="238"/>
      <c r="U157" s="238"/>
      <c r="V157" s="238"/>
      <c r="W157" s="238"/>
      <c r="X157" s="238"/>
      <c r="Y157" s="238"/>
      <c r="Z157" s="238"/>
    </row>
    <row r="158" spans="1:26" ht="16.5" customHeight="1">
      <c r="A158" s="238"/>
      <c r="B158" s="238"/>
      <c r="C158" s="238"/>
      <c r="D158" s="238"/>
      <c r="E158" s="238"/>
      <c r="F158" s="238"/>
      <c r="G158" s="238"/>
      <c r="H158" s="238"/>
      <c r="I158" s="238"/>
      <c r="J158" s="238"/>
      <c r="K158" s="238"/>
      <c r="L158" s="238"/>
      <c r="M158" s="238"/>
      <c r="N158" s="238"/>
      <c r="O158" s="238"/>
      <c r="P158" s="238"/>
      <c r="Q158" s="238"/>
      <c r="R158" s="238"/>
      <c r="S158" s="238"/>
      <c r="T158" s="238"/>
      <c r="U158" s="238"/>
      <c r="V158" s="238"/>
      <c r="W158" s="238"/>
      <c r="X158" s="238"/>
      <c r="Y158" s="238"/>
      <c r="Z158" s="238"/>
    </row>
    <row r="159" spans="1:26" ht="16.5" customHeight="1">
      <c r="A159" s="238"/>
      <c r="B159" s="238"/>
      <c r="C159" s="238"/>
      <c r="D159" s="238"/>
      <c r="E159" s="238"/>
      <c r="F159" s="238"/>
      <c r="G159" s="238"/>
      <c r="H159" s="238"/>
      <c r="I159" s="238"/>
      <c r="J159" s="238"/>
      <c r="K159" s="238"/>
      <c r="L159" s="238"/>
      <c r="M159" s="238"/>
      <c r="N159" s="238"/>
      <c r="O159" s="238"/>
      <c r="P159" s="238"/>
      <c r="Q159" s="238"/>
      <c r="R159" s="238"/>
      <c r="S159" s="238"/>
      <c r="T159" s="238"/>
      <c r="U159" s="238"/>
      <c r="V159" s="238"/>
      <c r="W159" s="238"/>
      <c r="X159" s="238"/>
      <c r="Y159" s="238"/>
      <c r="Z159" s="238"/>
    </row>
    <row r="160" spans="1:26" ht="16.5" customHeight="1">
      <c r="A160" s="238"/>
      <c r="B160" s="238"/>
      <c r="C160" s="238"/>
      <c r="D160" s="238"/>
      <c r="E160" s="238"/>
      <c r="F160" s="238"/>
      <c r="G160" s="238"/>
      <c r="H160" s="238"/>
      <c r="I160" s="238"/>
      <c r="J160" s="238"/>
      <c r="K160" s="238"/>
      <c r="L160" s="238"/>
      <c r="M160" s="238"/>
      <c r="N160" s="238"/>
      <c r="O160" s="238"/>
      <c r="P160" s="238"/>
      <c r="Q160" s="238"/>
      <c r="R160" s="238"/>
      <c r="S160" s="238"/>
      <c r="T160" s="238"/>
      <c r="U160" s="238"/>
      <c r="V160" s="238"/>
      <c r="W160" s="238"/>
      <c r="X160" s="238"/>
      <c r="Y160" s="238"/>
      <c r="Z160" s="238"/>
    </row>
    <row r="161" spans="1:26" ht="16.5" customHeight="1">
      <c r="A161" s="238"/>
      <c r="B161" s="238"/>
      <c r="C161" s="238"/>
      <c r="D161" s="238"/>
      <c r="E161" s="238"/>
      <c r="F161" s="238"/>
      <c r="G161" s="238"/>
      <c r="H161" s="238"/>
      <c r="I161" s="238"/>
      <c r="J161" s="238"/>
      <c r="K161" s="238"/>
      <c r="L161" s="238"/>
      <c r="M161" s="238"/>
      <c r="N161" s="238"/>
      <c r="O161" s="238"/>
      <c r="P161" s="238"/>
      <c r="Q161" s="238"/>
      <c r="R161" s="238"/>
      <c r="S161" s="238"/>
      <c r="T161" s="238"/>
      <c r="U161" s="238"/>
      <c r="V161" s="238"/>
      <c r="W161" s="238"/>
      <c r="X161" s="238"/>
      <c r="Y161" s="238"/>
      <c r="Z161" s="238"/>
    </row>
    <row r="162" spans="1:26" ht="16.5" customHeight="1">
      <c r="A162" s="238"/>
      <c r="B162" s="238"/>
      <c r="C162" s="238"/>
      <c r="D162" s="238"/>
      <c r="E162" s="238"/>
      <c r="F162" s="238"/>
      <c r="G162" s="238"/>
      <c r="H162" s="238"/>
      <c r="I162" s="238"/>
      <c r="J162" s="238"/>
      <c r="K162" s="238"/>
      <c r="L162" s="238"/>
      <c r="M162" s="238"/>
      <c r="N162" s="238"/>
      <c r="O162" s="238"/>
      <c r="P162" s="238"/>
      <c r="Q162" s="238"/>
      <c r="R162" s="238"/>
      <c r="S162" s="238"/>
      <c r="T162" s="238"/>
      <c r="U162" s="238"/>
      <c r="V162" s="238"/>
      <c r="W162" s="238"/>
      <c r="X162" s="238"/>
      <c r="Y162" s="238"/>
      <c r="Z162" s="238"/>
    </row>
    <row r="163" spans="1:26" ht="16.5" customHeight="1">
      <c r="A163" s="238"/>
      <c r="B163" s="238"/>
      <c r="C163" s="238"/>
      <c r="D163" s="238"/>
      <c r="E163" s="238"/>
      <c r="F163" s="238"/>
      <c r="G163" s="238"/>
      <c r="H163" s="238"/>
      <c r="I163" s="238"/>
      <c r="J163" s="238"/>
      <c r="K163" s="238"/>
      <c r="L163" s="238"/>
      <c r="M163" s="238"/>
      <c r="N163" s="238"/>
      <c r="O163" s="238"/>
      <c r="P163" s="238"/>
      <c r="Q163" s="238"/>
      <c r="R163" s="238"/>
      <c r="S163" s="238"/>
      <c r="T163" s="238"/>
      <c r="U163" s="238"/>
      <c r="V163" s="238"/>
      <c r="W163" s="238"/>
      <c r="X163" s="238"/>
      <c r="Y163" s="238"/>
      <c r="Z163" s="238"/>
    </row>
    <row r="164" spans="1:26" ht="16.5" customHeight="1">
      <c r="A164" s="238"/>
      <c r="B164" s="238"/>
      <c r="C164" s="238"/>
      <c r="D164" s="238"/>
      <c r="E164" s="238"/>
      <c r="F164" s="238"/>
      <c r="G164" s="238"/>
      <c r="H164" s="238"/>
      <c r="I164" s="238"/>
      <c r="J164" s="238"/>
      <c r="K164" s="238"/>
      <c r="L164" s="238"/>
      <c r="M164" s="238"/>
      <c r="N164" s="238"/>
      <c r="O164" s="238"/>
      <c r="P164" s="238"/>
      <c r="Q164" s="238"/>
      <c r="R164" s="238"/>
      <c r="S164" s="238"/>
      <c r="T164" s="238"/>
      <c r="U164" s="238"/>
      <c r="V164" s="238"/>
      <c r="W164" s="238"/>
      <c r="X164" s="238"/>
      <c r="Y164" s="238"/>
      <c r="Z164" s="238"/>
    </row>
    <row r="165" spans="1:26" ht="16.5" customHeight="1">
      <c r="A165" s="238"/>
      <c r="B165" s="238"/>
      <c r="C165" s="238"/>
      <c r="D165" s="238"/>
      <c r="E165" s="238"/>
      <c r="F165" s="238"/>
      <c r="G165" s="238"/>
      <c r="H165" s="238"/>
      <c r="I165" s="238"/>
      <c r="J165" s="238"/>
      <c r="K165" s="238"/>
      <c r="L165" s="238"/>
      <c r="M165" s="238"/>
      <c r="N165" s="238"/>
      <c r="O165" s="238"/>
      <c r="P165" s="238"/>
      <c r="Q165" s="238"/>
      <c r="R165" s="238"/>
      <c r="S165" s="238"/>
      <c r="T165" s="238"/>
      <c r="U165" s="238"/>
      <c r="V165" s="238"/>
      <c r="W165" s="238"/>
      <c r="X165" s="238"/>
      <c r="Y165" s="238"/>
      <c r="Z165" s="238"/>
    </row>
    <row r="166" spans="1:26" ht="16.5" customHeight="1">
      <c r="A166" s="238"/>
      <c r="B166" s="238"/>
      <c r="C166" s="238"/>
      <c r="D166" s="238"/>
      <c r="E166" s="238"/>
      <c r="F166" s="238"/>
      <c r="G166" s="238"/>
      <c r="H166" s="238"/>
      <c r="I166" s="238"/>
      <c r="J166" s="238"/>
      <c r="K166" s="238"/>
      <c r="L166" s="238"/>
      <c r="M166" s="238"/>
      <c r="N166" s="238"/>
      <c r="O166" s="238"/>
      <c r="P166" s="238"/>
      <c r="Q166" s="238"/>
      <c r="R166" s="238"/>
      <c r="S166" s="238"/>
      <c r="T166" s="238"/>
      <c r="U166" s="238"/>
      <c r="V166" s="238"/>
      <c r="W166" s="238"/>
      <c r="X166" s="238"/>
      <c r="Y166" s="238"/>
      <c r="Z166" s="238"/>
    </row>
    <row r="167" spans="1:26" ht="16.5" customHeight="1">
      <c r="A167" s="238"/>
      <c r="B167" s="238"/>
      <c r="C167" s="238"/>
      <c r="D167" s="238"/>
      <c r="E167" s="238"/>
      <c r="F167" s="238"/>
      <c r="G167" s="238"/>
      <c r="H167" s="238"/>
      <c r="I167" s="238"/>
      <c r="J167" s="238"/>
      <c r="K167" s="238"/>
      <c r="L167" s="238"/>
      <c r="M167" s="238"/>
      <c r="N167" s="238"/>
      <c r="O167" s="238"/>
      <c r="P167" s="238"/>
      <c r="Q167" s="238"/>
      <c r="R167" s="238"/>
      <c r="S167" s="238"/>
      <c r="T167" s="238"/>
      <c r="U167" s="238"/>
      <c r="V167" s="238"/>
      <c r="W167" s="238"/>
      <c r="X167" s="238"/>
      <c r="Y167" s="238"/>
      <c r="Z167" s="238"/>
    </row>
    <row r="168" spans="1:26" ht="16.5" customHeight="1">
      <c r="A168" s="238"/>
      <c r="B168" s="238"/>
      <c r="C168" s="238"/>
      <c r="D168" s="238"/>
      <c r="E168" s="238"/>
      <c r="F168" s="238"/>
      <c r="G168" s="238"/>
      <c r="H168" s="238"/>
      <c r="I168" s="238"/>
      <c r="J168" s="238"/>
      <c r="K168" s="238"/>
      <c r="L168" s="238"/>
      <c r="M168" s="238"/>
      <c r="N168" s="238"/>
      <c r="O168" s="238"/>
      <c r="P168" s="238"/>
      <c r="Q168" s="238"/>
      <c r="R168" s="238"/>
      <c r="S168" s="238"/>
      <c r="T168" s="238"/>
      <c r="U168" s="238"/>
      <c r="V168" s="238"/>
      <c r="W168" s="238"/>
      <c r="X168" s="238"/>
      <c r="Y168" s="238"/>
      <c r="Z168" s="238"/>
    </row>
    <row r="169" spans="1:26" ht="16.5" customHeight="1">
      <c r="A169" s="238"/>
      <c r="B169" s="238"/>
      <c r="C169" s="238"/>
      <c r="D169" s="238"/>
      <c r="E169" s="238"/>
      <c r="F169" s="238"/>
      <c r="G169" s="238"/>
      <c r="H169" s="238"/>
      <c r="I169" s="238"/>
      <c r="J169" s="238"/>
      <c r="K169" s="238"/>
      <c r="L169" s="238"/>
      <c r="M169" s="238"/>
      <c r="N169" s="238"/>
      <c r="O169" s="238"/>
      <c r="P169" s="238"/>
      <c r="Q169" s="238"/>
      <c r="R169" s="238"/>
      <c r="S169" s="238"/>
      <c r="T169" s="238"/>
      <c r="U169" s="238"/>
      <c r="V169" s="238"/>
      <c r="W169" s="238"/>
      <c r="X169" s="238"/>
      <c r="Y169" s="238"/>
      <c r="Z169" s="238"/>
    </row>
    <row r="170" spans="1:26" ht="16.5" customHeight="1">
      <c r="A170" s="238"/>
      <c r="B170" s="238"/>
      <c r="C170" s="238"/>
      <c r="D170" s="238"/>
      <c r="E170" s="238"/>
      <c r="F170" s="238"/>
      <c r="G170" s="238"/>
      <c r="H170" s="238"/>
      <c r="I170" s="238"/>
      <c r="J170" s="238"/>
      <c r="K170" s="238"/>
      <c r="L170" s="238"/>
      <c r="M170" s="238"/>
      <c r="N170" s="238"/>
      <c r="O170" s="238"/>
      <c r="P170" s="238"/>
      <c r="Q170" s="238"/>
      <c r="R170" s="238"/>
      <c r="S170" s="238"/>
      <c r="T170" s="238"/>
      <c r="U170" s="238"/>
      <c r="V170" s="238"/>
      <c r="W170" s="238"/>
      <c r="X170" s="238"/>
      <c r="Y170" s="238"/>
      <c r="Z170" s="238"/>
    </row>
    <row r="171" spans="1:26" ht="16.5" customHeight="1">
      <c r="A171" s="238"/>
      <c r="B171" s="238"/>
      <c r="C171" s="238"/>
      <c r="D171" s="238"/>
      <c r="E171" s="238"/>
      <c r="F171" s="238"/>
      <c r="G171" s="238"/>
      <c r="H171" s="238"/>
      <c r="I171" s="238"/>
      <c r="J171" s="238"/>
      <c r="K171" s="238"/>
      <c r="L171" s="238"/>
      <c r="M171" s="238"/>
      <c r="N171" s="238"/>
      <c r="O171" s="238"/>
      <c r="P171" s="238"/>
      <c r="Q171" s="238"/>
      <c r="R171" s="238"/>
      <c r="S171" s="238"/>
      <c r="T171" s="238"/>
      <c r="U171" s="238"/>
      <c r="V171" s="238"/>
      <c r="W171" s="238"/>
      <c r="X171" s="238"/>
      <c r="Y171" s="238"/>
      <c r="Z171" s="238"/>
    </row>
    <row r="172" spans="1:26" ht="16.5" customHeight="1">
      <c r="A172" s="238"/>
      <c r="B172" s="238"/>
      <c r="C172" s="238"/>
      <c r="D172" s="238"/>
      <c r="E172" s="238"/>
      <c r="F172" s="238"/>
      <c r="G172" s="238"/>
      <c r="H172" s="238"/>
      <c r="I172" s="238"/>
      <c r="J172" s="238"/>
      <c r="K172" s="238"/>
      <c r="L172" s="238"/>
      <c r="M172" s="238"/>
      <c r="N172" s="238"/>
      <c r="O172" s="238"/>
      <c r="P172" s="238"/>
      <c r="Q172" s="238"/>
      <c r="R172" s="238"/>
      <c r="S172" s="238"/>
      <c r="T172" s="238"/>
      <c r="U172" s="238"/>
      <c r="V172" s="238"/>
      <c r="W172" s="238"/>
      <c r="X172" s="238"/>
      <c r="Y172" s="238"/>
      <c r="Z172" s="238"/>
    </row>
    <row r="173" spans="1:26" ht="16.5" customHeight="1">
      <c r="A173" s="238"/>
      <c r="B173" s="238"/>
      <c r="C173" s="238"/>
      <c r="D173" s="238"/>
      <c r="E173" s="238"/>
      <c r="F173" s="238"/>
      <c r="G173" s="238"/>
      <c r="H173" s="238"/>
      <c r="I173" s="238"/>
      <c r="J173" s="238"/>
      <c r="K173" s="238"/>
      <c r="L173" s="238"/>
      <c r="M173" s="238"/>
      <c r="N173" s="238"/>
      <c r="O173" s="238"/>
      <c r="P173" s="238"/>
      <c r="Q173" s="238"/>
      <c r="R173" s="238"/>
      <c r="S173" s="238"/>
      <c r="T173" s="238"/>
      <c r="U173" s="238"/>
      <c r="V173" s="238"/>
      <c r="W173" s="238"/>
      <c r="X173" s="238"/>
      <c r="Y173" s="238"/>
      <c r="Z173" s="238"/>
    </row>
    <row r="174" spans="1:26" ht="16.5" customHeight="1">
      <c r="A174" s="238"/>
      <c r="B174" s="238"/>
      <c r="C174" s="238"/>
      <c r="D174" s="238"/>
      <c r="E174" s="238"/>
      <c r="F174" s="238"/>
      <c r="G174" s="238"/>
      <c r="H174" s="238"/>
      <c r="I174" s="238"/>
      <c r="J174" s="238"/>
      <c r="K174" s="238"/>
      <c r="L174" s="238"/>
      <c r="M174" s="238"/>
      <c r="N174" s="238"/>
      <c r="O174" s="238"/>
      <c r="P174" s="238"/>
      <c r="Q174" s="238"/>
      <c r="R174" s="238"/>
      <c r="S174" s="238"/>
      <c r="T174" s="238"/>
      <c r="U174" s="238"/>
      <c r="V174" s="238"/>
      <c r="W174" s="238"/>
      <c r="X174" s="238"/>
      <c r="Y174" s="238"/>
      <c r="Z174" s="238"/>
    </row>
    <row r="175" spans="1:26" ht="16.5" customHeight="1">
      <c r="A175" s="238"/>
      <c r="B175" s="238"/>
      <c r="C175" s="238"/>
      <c r="D175" s="238"/>
      <c r="E175" s="238"/>
      <c r="F175" s="238"/>
      <c r="G175" s="238"/>
      <c r="H175" s="238"/>
      <c r="I175" s="238"/>
      <c r="J175" s="238"/>
      <c r="K175" s="238"/>
      <c r="L175" s="238"/>
      <c r="M175" s="238"/>
      <c r="N175" s="238"/>
      <c r="O175" s="238"/>
      <c r="P175" s="238"/>
      <c r="Q175" s="238"/>
      <c r="R175" s="238"/>
      <c r="S175" s="238"/>
      <c r="T175" s="238"/>
      <c r="U175" s="238"/>
      <c r="V175" s="238"/>
      <c r="W175" s="238"/>
      <c r="X175" s="238"/>
      <c r="Y175" s="238"/>
      <c r="Z175" s="238"/>
    </row>
    <row r="176" spans="1:26" ht="16.5" customHeight="1">
      <c r="A176" s="238"/>
      <c r="B176" s="238"/>
      <c r="C176" s="238"/>
      <c r="D176" s="238"/>
      <c r="E176" s="238"/>
      <c r="F176" s="238"/>
      <c r="G176" s="238"/>
      <c r="H176" s="238"/>
      <c r="I176" s="238"/>
      <c r="J176" s="238"/>
      <c r="K176" s="238"/>
      <c r="L176" s="238"/>
      <c r="M176" s="238"/>
      <c r="N176" s="238"/>
      <c r="O176" s="238"/>
      <c r="P176" s="238"/>
      <c r="Q176" s="238"/>
      <c r="R176" s="238"/>
      <c r="S176" s="238"/>
      <c r="T176" s="238"/>
      <c r="U176" s="238"/>
      <c r="V176" s="238"/>
      <c r="W176" s="238"/>
      <c r="X176" s="238"/>
      <c r="Y176" s="238"/>
      <c r="Z176" s="238"/>
    </row>
    <row r="177" spans="1:26" ht="16.5" customHeight="1">
      <c r="A177" s="238"/>
      <c r="B177" s="238"/>
      <c r="C177" s="238"/>
      <c r="D177" s="238"/>
      <c r="E177" s="238"/>
      <c r="F177" s="238"/>
      <c r="G177" s="238"/>
      <c r="H177" s="238"/>
      <c r="I177" s="238"/>
      <c r="J177" s="238"/>
      <c r="K177" s="238"/>
      <c r="L177" s="238"/>
      <c r="M177" s="238"/>
      <c r="N177" s="238"/>
      <c r="O177" s="238"/>
      <c r="P177" s="238"/>
      <c r="Q177" s="238"/>
      <c r="R177" s="238"/>
      <c r="S177" s="238"/>
      <c r="T177" s="238"/>
      <c r="U177" s="238"/>
      <c r="V177" s="238"/>
      <c r="W177" s="238"/>
      <c r="X177" s="238"/>
      <c r="Y177" s="238"/>
      <c r="Z177" s="238"/>
    </row>
    <row r="178" spans="1:26" ht="16.5" customHeight="1">
      <c r="A178" s="238"/>
      <c r="B178" s="238"/>
      <c r="C178" s="238"/>
      <c r="D178" s="238"/>
      <c r="E178" s="238"/>
      <c r="F178" s="238"/>
      <c r="G178" s="238"/>
      <c r="H178" s="238"/>
      <c r="I178" s="238"/>
      <c r="J178" s="238"/>
      <c r="K178" s="238"/>
      <c r="L178" s="238"/>
      <c r="M178" s="238"/>
      <c r="N178" s="238"/>
      <c r="O178" s="238"/>
      <c r="P178" s="238"/>
      <c r="Q178" s="238"/>
      <c r="R178" s="238"/>
      <c r="S178" s="238"/>
      <c r="T178" s="238"/>
      <c r="U178" s="238"/>
      <c r="V178" s="238"/>
      <c r="W178" s="238"/>
      <c r="X178" s="238"/>
      <c r="Y178" s="238"/>
      <c r="Z178" s="238"/>
    </row>
    <row r="179" spans="1:26" ht="16.5" customHeight="1">
      <c r="A179" s="238"/>
      <c r="B179" s="238"/>
      <c r="C179" s="238"/>
      <c r="D179" s="238"/>
      <c r="E179" s="238"/>
      <c r="F179" s="238"/>
      <c r="G179" s="238"/>
      <c r="H179" s="238"/>
      <c r="I179" s="238"/>
      <c r="J179" s="238"/>
      <c r="K179" s="238"/>
      <c r="L179" s="238"/>
      <c r="M179" s="238"/>
      <c r="N179" s="238"/>
      <c r="O179" s="238"/>
      <c r="P179" s="238"/>
      <c r="Q179" s="238"/>
      <c r="R179" s="238"/>
      <c r="S179" s="238"/>
      <c r="T179" s="238"/>
      <c r="U179" s="238"/>
      <c r="V179" s="238"/>
      <c r="W179" s="238"/>
      <c r="X179" s="238"/>
      <c r="Y179" s="238"/>
      <c r="Z179" s="238"/>
    </row>
    <row r="180" spans="1:26" ht="16.5" customHeight="1">
      <c r="A180" s="238"/>
      <c r="B180" s="238"/>
      <c r="C180" s="238"/>
      <c r="D180" s="238"/>
      <c r="E180" s="238"/>
      <c r="F180" s="238"/>
      <c r="G180" s="238"/>
      <c r="H180" s="238"/>
      <c r="I180" s="238"/>
      <c r="J180" s="238"/>
      <c r="K180" s="238"/>
      <c r="L180" s="238"/>
      <c r="M180" s="238"/>
      <c r="N180" s="238"/>
      <c r="O180" s="238"/>
      <c r="P180" s="238"/>
      <c r="Q180" s="238"/>
      <c r="R180" s="238"/>
      <c r="S180" s="238"/>
      <c r="T180" s="238"/>
      <c r="U180" s="238"/>
      <c r="V180" s="238"/>
      <c r="W180" s="238"/>
      <c r="X180" s="238"/>
      <c r="Y180" s="238"/>
      <c r="Z180" s="238"/>
    </row>
    <row r="181" spans="1:26" ht="16.5" customHeight="1">
      <c r="A181" s="238"/>
      <c r="B181" s="238"/>
      <c r="C181" s="238"/>
      <c r="D181" s="238"/>
      <c r="E181" s="238"/>
      <c r="F181" s="238"/>
      <c r="G181" s="238"/>
      <c r="H181" s="238"/>
      <c r="I181" s="238"/>
      <c r="J181" s="238"/>
      <c r="K181" s="238"/>
      <c r="L181" s="238"/>
      <c r="M181" s="238"/>
      <c r="N181" s="238"/>
      <c r="O181" s="238"/>
      <c r="P181" s="238"/>
      <c r="Q181" s="238"/>
      <c r="R181" s="238"/>
      <c r="S181" s="238"/>
      <c r="T181" s="238"/>
      <c r="U181" s="238"/>
      <c r="V181" s="238"/>
      <c r="W181" s="238"/>
      <c r="X181" s="238"/>
      <c r="Y181" s="238"/>
      <c r="Z181" s="238"/>
    </row>
    <row r="182" spans="1:26" ht="16.5" customHeight="1">
      <c r="A182" s="238"/>
      <c r="B182" s="238"/>
      <c r="C182" s="238"/>
      <c r="D182" s="238"/>
      <c r="E182" s="238"/>
      <c r="F182" s="238"/>
      <c r="G182" s="238"/>
      <c r="H182" s="238"/>
      <c r="I182" s="238"/>
      <c r="J182" s="238"/>
      <c r="K182" s="238"/>
      <c r="L182" s="238"/>
      <c r="M182" s="238"/>
      <c r="N182" s="238"/>
      <c r="O182" s="238"/>
      <c r="P182" s="238"/>
      <c r="Q182" s="238"/>
      <c r="R182" s="238"/>
      <c r="S182" s="238"/>
      <c r="T182" s="238"/>
      <c r="U182" s="238"/>
      <c r="V182" s="238"/>
      <c r="W182" s="238"/>
      <c r="X182" s="238"/>
      <c r="Y182" s="238"/>
      <c r="Z182" s="238"/>
    </row>
    <row r="183" spans="1:26" ht="16.5" customHeight="1">
      <c r="A183" s="238"/>
      <c r="B183" s="238"/>
      <c r="C183" s="238"/>
      <c r="D183" s="238"/>
      <c r="E183" s="238"/>
      <c r="F183" s="238"/>
      <c r="G183" s="238"/>
      <c r="H183" s="238"/>
      <c r="I183" s="238"/>
      <c r="J183" s="238"/>
      <c r="K183" s="238"/>
      <c r="L183" s="238"/>
      <c r="M183" s="238"/>
      <c r="N183" s="238"/>
      <c r="O183" s="238"/>
      <c r="P183" s="238"/>
      <c r="Q183" s="238"/>
      <c r="R183" s="238"/>
      <c r="S183" s="238"/>
      <c r="T183" s="238"/>
      <c r="U183" s="238"/>
      <c r="V183" s="238"/>
      <c r="W183" s="238"/>
      <c r="X183" s="238"/>
      <c r="Y183" s="238"/>
      <c r="Z183" s="238"/>
    </row>
    <row r="184" spans="1:26" ht="16.5" customHeight="1">
      <c r="A184" s="238"/>
      <c r="B184" s="238"/>
      <c r="C184" s="238"/>
      <c r="D184" s="238"/>
      <c r="E184" s="238"/>
      <c r="F184" s="238"/>
      <c r="G184" s="238"/>
      <c r="H184" s="238"/>
      <c r="I184" s="238"/>
      <c r="J184" s="238"/>
      <c r="K184" s="238"/>
      <c r="L184" s="238"/>
      <c r="M184" s="238"/>
      <c r="N184" s="238"/>
      <c r="O184" s="238"/>
      <c r="P184" s="238"/>
      <c r="Q184" s="238"/>
      <c r="R184" s="238"/>
      <c r="S184" s="238"/>
      <c r="T184" s="238"/>
      <c r="U184" s="238"/>
      <c r="V184" s="238"/>
      <c r="W184" s="238"/>
      <c r="X184" s="238"/>
      <c r="Y184" s="238"/>
      <c r="Z184" s="238"/>
    </row>
    <row r="185" spans="1:26" ht="16.5" customHeight="1">
      <c r="A185" s="238"/>
      <c r="B185" s="238"/>
      <c r="C185" s="238"/>
      <c r="D185" s="238"/>
      <c r="E185" s="238"/>
      <c r="F185" s="238"/>
      <c r="G185" s="238"/>
      <c r="H185" s="238"/>
      <c r="I185" s="238"/>
      <c r="J185" s="238"/>
      <c r="K185" s="238"/>
      <c r="L185" s="238"/>
      <c r="M185" s="238"/>
      <c r="N185" s="238"/>
      <c r="O185" s="238"/>
      <c r="P185" s="238"/>
      <c r="Q185" s="238"/>
      <c r="R185" s="238"/>
      <c r="S185" s="238"/>
      <c r="T185" s="238"/>
      <c r="U185" s="238"/>
      <c r="V185" s="238"/>
      <c r="W185" s="238"/>
      <c r="X185" s="238"/>
      <c r="Y185" s="238"/>
      <c r="Z185" s="238"/>
    </row>
    <row r="186" spans="1:26" ht="16.5" customHeight="1">
      <c r="A186" s="238"/>
      <c r="B186" s="238"/>
      <c r="C186" s="238"/>
      <c r="D186" s="238"/>
      <c r="E186" s="238"/>
      <c r="F186" s="238"/>
      <c r="G186" s="238"/>
      <c r="H186" s="238"/>
      <c r="I186" s="238"/>
      <c r="J186" s="238"/>
      <c r="K186" s="238"/>
      <c r="L186" s="238"/>
      <c r="M186" s="238"/>
      <c r="N186" s="238"/>
      <c r="O186" s="238"/>
      <c r="P186" s="238"/>
      <c r="Q186" s="238"/>
      <c r="R186" s="238"/>
      <c r="S186" s="238"/>
      <c r="T186" s="238"/>
      <c r="U186" s="238"/>
      <c r="V186" s="238"/>
      <c r="W186" s="238"/>
      <c r="X186" s="238"/>
      <c r="Y186" s="238"/>
      <c r="Z186" s="238"/>
    </row>
    <row r="187" spans="1:26" ht="16.5" customHeight="1">
      <c r="A187" s="238"/>
      <c r="B187" s="238"/>
      <c r="C187" s="238"/>
      <c r="D187" s="238"/>
      <c r="E187" s="238"/>
      <c r="F187" s="238"/>
      <c r="G187" s="238"/>
      <c r="H187" s="238"/>
      <c r="I187" s="238"/>
      <c r="J187" s="238"/>
      <c r="K187" s="238"/>
      <c r="L187" s="238"/>
      <c r="M187" s="238"/>
      <c r="N187" s="238"/>
      <c r="O187" s="238"/>
      <c r="P187" s="238"/>
      <c r="Q187" s="238"/>
      <c r="R187" s="238"/>
      <c r="S187" s="238"/>
      <c r="T187" s="238"/>
      <c r="U187" s="238"/>
      <c r="V187" s="238"/>
      <c r="W187" s="238"/>
      <c r="X187" s="238"/>
      <c r="Y187" s="238"/>
      <c r="Z187" s="238"/>
    </row>
    <row r="188" spans="1:26" ht="16.5" customHeight="1">
      <c r="A188" s="238"/>
      <c r="B188" s="238"/>
      <c r="C188" s="238"/>
      <c r="D188" s="238"/>
      <c r="E188" s="238"/>
      <c r="F188" s="238"/>
      <c r="G188" s="238"/>
      <c r="H188" s="238"/>
      <c r="I188" s="238"/>
      <c r="J188" s="238"/>
      <c r="K188" s="238"/>
      <c r="L188" s="238"/>
      <c r="M188" s="238"/>
      <c r="N188" s="238"/>
      <c r="O188" s="238"/>
      <c r="P188" s="238"/>
      <c r="Q188" s="238"/>
      <c r="R188" s="238"/>
      <c r="S188" s="238"/>
      <c r="T188" s="238"/>
      <c r="U188" s="238"/>
      <c r="V188" s="238"/>
      <c r="W188" s="238"/>
      <c r="X188" s="238"/>
      <c r="Y188" s="238"/>
      <c r="Z188" s="238"/>
    </row>
    <row r="189" spans="1:26" ht="16.5" customHeight="1">
      <c r="A189" s="238"/>
      <c r="B189" s="238"/>
      <c r="C189" s="238"/>
      <c r="D189" s="238"/>
      <c r="E189" s="238"/>
      <c r="F189" s="238"/>
      <c r="G189" s="238"/>
      <c r="H189" s="238"/>
      <c r="I189" s="238"/>
      <c r="J189" s="238"/>
      <c r="K189" s="238"/>
      <c r="L189" s="238"/>
      <c r="M189" s="238"/>
      <c r="N189" s="238"/>
      <c r="O189" s="238"/>
      <c r="P189" s="238"/>
      <c r="Q189" s="238"/>
      <c r="R189" s="238"/>
      <c r="S189" s="238"/>
      <c r="T189" s="238"/>
      <c r="U189" s="238"/>
      <c r="V189" s="238"/>
      <c r="W189" s="238"/>
      <c r="X189" s="238"/>
      <c r="Y189" s="238"/>
      <c r="Z189" s="238"/>
    </row>
    <row r="190" spans="1:26" ht="16.5" customHeight="1">
      <c r="A190" s="238"/>
      <c r="B190" s="238"/>
      <c r="C190" s="238"/>
      <c r="D190" s="238"/>
      <c r="E190" s="238"/>
      <c r="F190" s="238"/>
      <c r="G190" s="238"/>
      <c r="H190" s="238"/>
      <c r="I190" s="238"/>
      <c r="J190" s="238"/>
      <c r="K190" s="238"/>
      <c r="L190" s="238"/>
      <c r="M190" s="238"/>
      <c r="N190" s="238"/>
      <c r="O190" s="238"/>
      <c r="P190" s="238"/>
      <c r="Q190" s="238"/>
      <c r="R190" s="238"/>
      <c r="S190" s="238"/>
      <c r="T190" s="238"/>
      <c r="U190" s="238"/>
      <c r="V190" s="238"/>
      <c r="W190" s="238"/>
      <c r="X190" s="238"/>
      <c r="Y190" s="238"/>
      <c r="Z190" s="238"/>
    </row>
    <row r="191" spans="1:26" ht="16.5" customHeight="1">
      <c r="A191" s="238"/>
      <c r="B191" s="238"/>
      <c r="C191" s="238"/>
      <c r="D191" s="238"/>
      <c r="E191" s="238"/>
      <c r="F191" s="238"/>
      <c r="G191" s="238"/>
      <c r="H191" s="238"/>
      <c r="I191" s="238"/>
      <c r="J191" s="238"/>
      <c r="K191" s="238"/>
      <c r="L191" s="238"/>
      <c r="M191" s="238"/>
      <c r="N191" s="238"/>
      <c r="O191" s="238"/>
      <c r="P191" s="238"/>
      <c r="Q191" s="238"/>
      <c r="R191" s="238"/>
      <c r="S191" s="238"/>
      <c r="T191" s="238"/>
      <c r="U191" s="238"/>
      <c r="V191" s="238"/>
      <c r="W191" s="238"/>
      <c r="X191" s="238"/>
      <c r="Y191" s="238"/>
      <c r="Z191" s="238"/>
    </row>
    <row r="192" spans="1:26" ht="16.5" customHeight="1">
      <c r="A192" s="238"/>
      <c r="B192" s="238"/>
      <c r="C192" s="238"/>
      <c r="D192" s="238"/>
      <c r="E192" s="238"/>
      <c r="F192" s="238"/>
      <c r="G192" s="238"/>
      <c r="H192" s="238"/>
      <c r="I192" s="238"/>
      <c r="J192" s="238"/>
      <c r="K192" s="238"/>
      <c r="L192" s="238"/>
      <c r="M192" s="238"/>
      <c r="N192" s="238"/>
      <c r="O192" s="238"/>
      <c r="P192" s="238"/>
      <c r="Q192" s="238"/>
      <c r="R192" s="238"/>
      <c r="S192" s="238"/>
      <c r="T192" s="238"/>
      <c r="U192" s="238"/>
      <c r="V192" s="238"/>
      <c r="W192" s="238"/>
      <c r="X192" s="238"/>
      <c r="Y192" s="238"/>
      <c r="Z192" s="238"/>
    </row>
    <row r="193" spans="1:26" ht="16.5" customHeight="1">
      <c r="A193" s="238"/>
      <c r="B193" s="238"/>
      <c r="C193" s="238"/>
      <c r="D193" s="238"/>
      <c r="E193" s="238"/>
      <c r="F193" s="238"/>
      <c r="G193" s="238"/>
      <c r="H193" s="238"/>
      <c r="I193" s="238"/>
      <c r="J193" s="238"/>
      <c r="K193" s="238"/>
      <c r="L193" s="238"/>
      <c r="M193" s="238"/>
      <c r="N193" s="238"/>
      <c r="O193" s="238"/>
      <c r="P193" s="238"/>
      <c r="Q193" s="238"/>
      <c r="R193" s="238"/>
      <c r="S193" s="238"/>
      <c r="T193" s="238"/>
      <c r="U193" s="238"/>
      <c r="V193" s="238"/>
      <c r="W193" s="238"/>
      <c r="X193" s="238"/>
      <c r="Y193" s="238"/>
      <c r="Z193" s="238"/>
    </row>
    <row r="194" spans="1:26" ht="16.5" customHeight="1">
      <c r="A194" s="238"/>
      <c r="B194" s="238"/>
      <c r="C194" s="238"/>
      <c r="D194" s="238"/>
      <c r="E194" s="238"/>
      <c r="F194" s="238"/>
      <c r="G194" s="238"/>
      <c r="H194" s="238"/>
      <c r="I194" s="238"/>
      <c r="J194" s="238"/>
      <c r="K194" s="238"/>
      <c r="L194" s="238"/>
      <c r="M194" s="238"/>
      <c r="N194" s="238"/>
      <c r="O194" s="238"/>
      <c r="P194" s="238"/>
      <c r="Q194" s="238"/>
      <c r="R194" s="238"/>
      <c r="S194" s="238"/>
      <c r="T194" s="238"/>
      <c r="U194" s="238"/>
      <c r="V194" s="238"/>
      <c r="W194" s="238"/>
      <c r="X194" s="238"/>
      <c r="Y194" s="238"/>
      <c r="Z194" s="238"/>
    </row>
    <row r="195" spans="1:26" ht="16.5" customHeight="1">
      <c r="A195" s="238"/>
      <c r="B195" s="238"/>
      <c r="C195" s="238"/>
      <c r="D195" s="238"/>
      <c r="E195" s="238"/>
      <c r="F195" s="238"/>
      <c r="G195" s="238"/>
      <c r="H195" s="238"/>
      <c r="I195" s="238"/>
      <c r="J195" s="238"/>
      <c r="K195" s="238"/>
      <c r="L195" s="238"/>
      <c r="M195" s="238"/>
      <c r="N195" s="238"/>
      <c r="O195" s="238"/>
      <c r="P195" s="238"/>
      <c r="Q195" s="238"/>
      <c r="R195" s="238"/>
      <c r="S195" s="238"/>
      <c r="T195" s="238"/>
      <c r="U195" s="238"/>
      <c r="V195" s="238"/>
      <c r="W195" s="238"/>
      <c r="X195" s="238"/>
      <c r="Y195" s="238"/>
      <c r="Z195" s="238"/>
    </row>
    <row r="196" spans="1:26" ht="16.5" customHeight="1">
      <c r="A196" s="238"/>
      <c r="B196" s="238"/>
      <c r="C196" s="238"/>
      <c r="D196" s="238"/>
      <c r="E196" s="238"/>
      <c r="F196" s="238"/>
      <c r="G196" s="238"/>
      <c r="H196" s="238"/>
      <c r="I196" s="238"/>
      <c r="J196" s="238"/>
      <c r="K196" s="238"/>
      <c r="L196" s="238"/>
      <c r="M196" s="238"/>
      <c r="N196" s="238"/>
      <c r="O196" s="238"/>
      <c r="P196" s="238"/>
      <c r="Q196" s="238"/>
      <c r="R196" s="238"/>
      <c r="S196" s="238"/>
      <c r="T196" s="238"/>
      <c r="U196" s="238"/>
      <c r="V196" s="238"/>
      <c r="W196" s="238"/>
      <c r="X196" s="238"/>
      <c r="Y196" s="238"/>
      <c r="Z196" s="238"/>
    </row>
    <row r="197" spans="1:26" ht="16.5" customHeight="1">
      <c r="A197" s="238"/>
      <c r="B197" s="238"/>
      <c r="C197" s="238"/>
      <c r="D197" s="238"/>
      <c r="E197" s="238"/>
      <c r="F197" s="238"/>
      <c r="G197" s="238"/>
      <c r="H197" s="238"/>
      <c r="I197" s="238"/>
      <c r="J197" s="238"/>
      <c r="K197" s="238"/>
      <c r="L197" s="238"/>
      <c r="M197" s="238"/>
      <c r="N197" s="238"/>
      <c r="O197" s="238"/>
      <c r="P197" s="238"/>
      <c r="Q197" s="238"/>
      <c r="R197" s="238"/>
      <c r="S197" s="238"/>
      <c r="T197" s="238"/>
      <c r="U197" s="238"/>
      <c r="V197" s="238"/>
      <c r="W197" s="238"/>
      <c r="X197" s="238"/>
      <c r="Y197" s="238"/>
      <c r="Z197" s="238"/>
    </row>
    <row r="198" spans="1:26" ht="16.5" customHeight="1">
      <c r="A198" s="238"/>
      <c r="B198" s="238"/>
      <c r="C198" s="238"/>
      <c r="D198" s="238"/>
      <c r="E198" s="238"/>
      <c r="F198" s="238"/>
      <c r="G198" s="238"/>
      <c r="H198" s="238"/>
      <c r="I198" s="238"/>
      <c r="J198" s="238"/>
      <c r="K198" s="238"/>
      <c r="L198" s="238"/>
      <c r="M198" s="238"/>
      <c r="N198" s="238"/>
      <c r="O198" s="238"/>
      <c r="P198" s="238"/>
      <c r="Q198" s="238"/>
      <c r="R198" s="238"/>
      <c r="S198" s="238"/>
      <c r="T198" s="238"/>
      <c r="U198" s="238"/>
      <c r="V198" s="238"/>
      <c r="W198" s="238"/>
      <c r="X198" s="238"/>
      <c r="Y198" s="238"/>
      <c r="Z198" s="238"/>
    </row>
    <row r="199" spans="1:26" ht="16.5" customHeight="1">
      <c r="A199" s="238"/>
      <c r="B199" s="238"/>
      <c r="C199" s="238"/>
      <c r="D199" s="238"/>
      <c r="E199" s="238"/>
      <c r="F199" s="238"/>
      <c r="G199" s="238"/>
      <c r="H199" s="238"/>
      <c r="I199" s="238"/>
      <c r="J199" s="238"/>
      <c r="K199" s="238"/>
      <c r="L199" s="238"/>
      <c r="M199" s="238"/>
      <c r="N199" s="238"/>
      <c r="O199" s="238"/>
      <c r="P199" s="238"/>
      <c r="Q199" s="238"/>
      <c r="R199" s="238"/>
      <c r="S199" s="238"/>
      <c r="T199" s="238"/>
      <c r="U199" s="238"/>
      <c r="V199" s="238"/>
      <c r="W199" s="238"/>
      <c r="X199" s="238"/>
      <c r="Y199" s="238"/>
      <c r="Z199" s="238"/>
    </row>
    <row r="200" spans="1:26" ht="16.5" customHeight="1">
      <c r="A200" s="238"/>
      <c r="B200" s="238"/>
      <c r="C200" s="238"/>
      <c r="D200" s="238"/>
      <c r="E200" s="238"/>
      <c r="F200" s="238"/>
      <c r="G200" s="238"/>
      <c r="H200" s="238"/>
      <c r="I200" s="238"/>
      <c r="J200" s="238"/>
      <c r="K200" s="238"/>
      <c r="L200" s="238"/>
      <c r="M200" s="238"/>
      <c r="N200" s="238"/>
      <c r="O200" s="238"/>
      <c r="P200" s="238"/>
      <c r="Q200" s="238"/>
      <c r="R200" s="238"/>
      <c r="S200" s="238"/>
      <c r="T200" s="238"/>
      <c r="U200" s="238"/>
      <c r="V200" s="238"/>
      <c r="W200" s="238"/>
      <c r="X200" s="238"/>
      <c r="Y200" s="238"/>
      <c r="Z200" s="238"/>
    </row>
    <row r="201" spans="1:26" ht="16.5" customHeight="1">
      <c r="A201" s="238"/>
      <c r="B201" s="238"/>
      <c r="C201" s="238"/>
      <c r="D201" s="238"/>
      <c r="E201" s="238"/>
      <c r="F201" s="238"/>
      <c r="G201" s="238"/>
      <c r="H201" s="238"/>
      <c r="I201" s="238"/>
      <c r="J201" s="238"/>
      <c r="K201" s="238"/>
      <c r="L201" s="238"/>
      <c r="M201" s="238"/>
      <c r="N201" s="238"/>
      <c r="O201" s="238"/>
      <c r="P201" s="238"/>
      <c r="Q201" s="238"/>
      <c r="R201" s="238"/>
      <c r="S201" s="238"/>
      <c r="T201" s="238"/>
      <c r="U201" s="238"/>
      <c r="V201" s="238"/>
      <c r="W201" s="238"/>
      <c r="X201" s="238"/>
      <c r="Y201" s="238"/>
      <c r="Z201" s="238"/>
    </row>
    <row r="202" spans="1:26" ht="16.5" customHeight="1">
      <c r="A202" s="238"/>
      <c r="B202" s="238"/>
      <c r="C202" s="238"/>
      <c r="D202" s="238"/>
      <c r="E202" s="238"/>
      <c r="F202" s="238"/>
      <c r="G202" s="238"/>
      <c r="H202" s="238"/>
      <c r="I202" s="238"/>
      <c r="J202" s="238"/>
      <c r="K202" s="238"/>
      <c r="L202" s="238"/>
      <c r="M202" s="238"/>
      <c r="N202" s="238"/>
      <c r="O202" s="238"/>
      <c r="P202" s="238"/>
      <c r="Q202" s="238"/>
      <c r="R202" s="238"/>
      <c r="S202" s="238"/>
      <c r="T202" s="238"/>
      <c r="U202" s="238"/>
      <c r="V202" s="238"/>
      <c r="W202" s="238"/>
      <c r="X202" s="238"/>
      <c r="Y202" s="238"/>
      <c r="Z202" s="238"/>
    </row>
    <row r="203" spans="1:26" ht="16.5" customHeight="1">
      <c r="A203" s="238"/>
      <c r="B203" s="238"/>
      <c r="C203" s="238"/>
      <c r="D203" s="238"/>
      <c r="E203" s="238"/>
      <c r="F203" s="238"/>
      <c r="G203" s="238"/>
      <c r="H203" s="238"/>
      <c r="I203" s="238"/>
      <c r="J203" s="238"/>
      <c r="K203" s="238"/>
      <c r="L203" s="238"/>
      <c r="M203" s="238"/>
      <c r="N203" s="238"/>
      <c r="O203" s="238"/>
      <c r="P203" s="238"/>
      <c r="Q203" s="238"/>
      <c r="R203" s="238"/>
      <c r="S203" s="238"/>
      <c r="T203" s="238"/>
      <c r="U203" s="238"/>
      <c r="V203" s="238"/>
      <c r="W203" s="238"/>
      <c r="X203" s="238"/>
      <c r="Y203" s="238"/>
      <c r="Z203" s="238"/>
    </row>
    <row r="204" spans="1:26" ht="16.5" customHeight="1">
      <c r="A204" s="238"/>
      <c r="B204" s="238"/>
      <c r="C204" s="238"/>
      <c r="D204" s="238"/>
      <c r="E204" s="238"/>
      <c r="F204" s="238"/>
      <c r="G204" s="238"/>
      <c r="H204" s="238"/>
      <c r="I204" s="238"/>
      <c r="J204" s="238"/>
      <c r="K204" s="238"/>
      <c r="L204" s="238"/>
      <c r="M204" s="238"/>
      <c r="N204" s="238"/>
      <c r="O204" s="238"/>
      <c r="P204" s="238"/>
      <c r="Q204" s="238"/>
      <c r="R204" s="238"/>
      <c r="S204" s="238"/>
      <c r="T204" s="238"/>
      <c r="U204" s="238"/>
      <c r="V204" s="238"/>
      <c r="W204" s="238"/>
      <c r="X204" s="238"/>
      <c r="Y204" s="238"/>
      <c r="Z204" s="238"/>
    </row>
    <row r="205" spans="1:26" ht="16.5" customHeight="1">
      <c r="A205" s="238"/>
      <c r="B205" s="238"/>
      <c r="C205" s="238"/>
      <c r="D205" s="238"/>
      <c r="E205" s="238"/>
      <c r="F205" s="238"/>
      <c r="G205" s="238"/>
      <c r="H205" s="238"/>
      <c r="I205" s="238"/>
      <c r="J205" s="238"/>
      <c r="K205" s="238"/>
      <c r="L205" s="238"/>
      <c r="M205" s="238"/>
      <c r="N205" s="238"/>
      <c r="O205" s="238"/>
      <c r="P205" s="238"/>
      <c r="Q205" s="238"/>
      <c r="R205" s="238"/>
      <c r="S205" s="238"/>
      <c r="T205" s="238"/>
      <c r="U205" s="238"/>
      <c r="V205" s="238"/>
      <c r="W205" s="238"/>
      <c r="X205" s="238"/>
      <c r="Y205" s="238"/>
      <c r="Z205" s="238"/>
    </row>
    <row r="206" spans="1:26" ht="16.5" customHeight="1">
      <c r="A206" s="238"/>
      <c r="B206" s="238"/>
      <c r="C206" s="238"/>
      <c r="D206" s="238"/>
      <c r="E206" s="238"/>
      <c r="F206" s="238"/>
      <c r="G206" s="238"/>
      <c r="H206" s="238"/>
      <c r="I206" s="238"/>
      <c r="J206" s="238"/>
      <c r="K206" s="238"/>
      <c r="L206" s="238"/>
      <c r="M206" s="238"/>
      <c r="N206" s="238"/>
      <c r="O206" s="238"/>
      <c r="P206" s="238"/>
      <c r="Q206" s="238"/>
      <c r="R206" s="238"/>
      <c r="S206" s="238"/>
      <c r="T206" s="238"/>
      <c r="U206" s="238"/>
      <c r="V206" s="238"/>
      <c r="W206" s="238"/>
      <c r="X206" s="238"/>
      <c r="Y206" s="238"/>
      <c r="Z206" s="238"/>
    </row>
    <row r="207" spans="1:26" ht="16.5" customHeight="1">
      <c r="A207" s="238"/>
      <c r="B207" s="238"/>
      <c r="C207" s="238"/>
      <c r="D207" s="238"/>
      <c r="E207" s="238"/>
      <c r="F207" s="238"/>
      <c r="G207" s="238"/>
      <c r="H207" s="238"/>
      <c r="I207" s="238"/>
      <c r="J207" s="238"/>
      <c r="K207" s="238"/>
      <c r="L207" s="238"/>
      <c r="M207" s="238"/>
      <c r="N207" s="238"/>
      <c r="O207" s="238"/>
      <c r="P207" s="238"/>
      <c r="Q207" s="238"/>
      <c r="R207" s="238"/>
      <c r="S207" s="238"/>
      <c r="T207" s="238"/>
      <c r="U207" s="238"/>
      <c r="V207" s="238"/>
      <c r="W207" s="238"/>
      <c r="X207" s="238"/>
      <c r="Y207" s="238"/>
      <c r="Z207" s="238"/>
    </row>
    <row r="208" spans="1:26" ht="16.5" customHeight="1">
      <c r="A208" s="238"/>
      <c r="B208" s="238"/>
      <c r="C208" s="238"/>
      <c r="D208" s="238"/>
      <c r="E208" s="238"/>
      <c r="F208" s="238"/>
      <c r="G208" s="238"/>
      <c r="H208" s="238"/>
      <c r="I208" s="238"/>
      <c r="J208" s="238"/>
      <c r="K208" s="238"/>
      <c r="L208" s="238"/>
      <c r="M208" s="238"/>
      <c r="N208" s="238"/>
      <c r="O208" s="238"/>
      <c r="P208" s="238"/>
      <c r="Q208" s="238"/>
      <c r="R208" s="238"/>
      <c r="S208" s="238"/>
      <c r="T208" s="238"/>
      <c r="U208" s="238"/>
      <c r="V208" s="238"/>
      <c r="W208" s="238"/>
      <c r="X208" s="238"/>
      <c r="Y208" s="238"/>
      <c r="Z208" s="238"/>
    </row>
    <row r="209" spans="1:26" ht="16.5" customHeight="1">
      <c r="A209" s="238"/>
      <c r="B209" s="238"/>
      <c r="C209" s="238"/>
      <c r="D209" s="238"/>
      <c r="E209" s="238"/>
      <c r="F209" s="238"/>
      <c r="G209" s="238"/>
      <c r="H209" s="238"/>
      <c r="I209" s="238"/>
      <c r="J209" s="238"/>
      <c r="K209" s="238"/>
      <c r="L209" s="238"/>
      <c r="M209" s="238"/>
      <c r="N209" s="238"/>
      <c r="O209" s="238"/>
      <c r="P209" s="238"/>
      <c r="Q209" s="238"/>
      <c r="R209" s="238"/>
      <c r="S209" s="238"/>
      <c r="T209" s="238"/>
      <c r="U209" s="238"/>
      <c r="V209" s="238"/>
      <c r="W209" s="238"/>
      <c r="X209" s="238"/>
      <c r="Y209" s="238"/>
      <c r="Z209" s="238"/>
    </row>
    <row r="210" spans="1:26" ht="16.5" customHeight="1">
      <c r="A210" s="238"/>
      <c r="B210" s="238"/>
      <c r="C210" s="238"/>
      <c r="D210" s="238"/>
      <c r="E210" s="238"/>
      <c r="F210" s="238"/>
      <c r="G210" s="238"/>
      <c r="H210" s="238"/>
      <c r="I210" s="238"/>
      <c r="J210" s="238"/>
      <c r="K210" s="238"/>
      <c r="L210" s="238"/>
      <c r="M210" s="238"/>
      <c r="N210" s="238"/>
      <c r="O210" s="238"/>
      <c r="P210" s="238"/>
      <c r="Q210" s="238"/>
      <c r="R210" s="238"/>
      <c r="S210" s="238"/>
      <c r="T210" s="238"/>
      <c r="U210" s="238"/>
      <c r="V210" s="238"/>
      <c r="W210" s="238"/>
      <c r="X210" s="238"/>
      <c r="Y210" s="238"/>
      <c r="Z210" s="238"/>
    </row>
    <row r="211" spans="1:26" ht="16.5" customHeight="1">
      <c r="A211" s="238"/>
      <c r="B211" s="238"/>
      <c r="C211" s="238"/>
      <c r="D211" s="238"/>
      <c r="E211" s="238"/>
      <c r="F211" s="238"/>
      <c r="G211" s="238"/>
      <c r="H211" s="238"/>
      <c r="I211" s="238"/>
      <c r="J211" s="238"/>
      <c r="K211" s="238"/>
      <c r="L211" s="238"/>
      <c r="M211" s="238"/>
      <c r="N211" s="238"/>
      <c r="O211" s="238"/>
      <c r="P211" s="238"/>
      <c r="Q211" s="238"/>
      <c r="R211" s="238"/>
      <c r="S211" s="238"/>
      <c r="T211" s="238"/>
      <c r="U211" s="238"/>
      <c r="V211" s="238"/>
      <c r="W211" s="238"/>
      <c r="X211" s="238"/>
      <c r="Y211" s="238"/>
      <c r="Z211" s="238"/>
    </row>
    <row r="212" spans="1:26" ht="16.5" customHeight="1">
      <c r="A212" s="238"/>
      <c r="B212" s="238"/>
      <c r="C212" s="238"/>
      <c r="D212" s="238"/>
      <c r="E212" s="238"/>
      <c r="F212" s="238"/>
      <c r="G212" s="238"/>
      <c r="H212" s="238"/>
      <c r="I212" s="238"/>
      <c r="J212" s="238"/>
      <c r="K212" s="238"/>
      <c r="L212" s="238"/>
      <c r="M212" s="238"/>
      <c r="N212" s="238"/>
      <c r="O212" s="238"/>
      <c r="P212" s="238"/>
      <c r="Q212" s="238"/>
      <c r="R212" s="238"/>
      <c r="S212" s="238"/>
      <c r="T212" s="238"/>
      <c r="U212" s="238"/>
      <c r="V212" s="238"/>
      <c r="W212" s="238"/>
      <c r="X212" s="238"/>
      <c r="Y212" s="238"/>
      <c r="Z212" s="238"/>
    </row>
    <row r="213" spans="1:26" ht="16.5" customHeight="1">
      <c r="A213" s="238"/>
      <c r="B213" s="238"/>
      <c r="C213" s="238"/>
      <c r="D213" s="238"/>
      <c r="E213" s="238"/>
      <c r="F213" s="238"/>
      <c r="G213" s="238"/>
      <c r="H213" s="238"/>
      <c r="I213" s="238"/>
      <c r="J213" s="238"/>
      <c r="K213" s="238"/>
      <c r="L213" s="238"/>
      <c r="M213" s="238"/>
      <c r="N213" s="238"/>
      <c r="O213" s="238"/>
      <c r="P213" s="238"/>
      <c r="Q213" s="238"/>
      <c r="R213" s="238"/>
      <c r="S213" s="238"/>
      <c r="T213" s="238"/>
      <c r="U213" s="238"/>
      <c r="V213" s="238"/>
      <c r="W213" s="238"/>
      <c r="X213" s="238"/>
      <c r="Y213" s="238"/>
      <c r="Z213" s="238"/>
    </row>
    <row r="214" spans="1:26" ht="16.5" customHeight="1">
      <c r="A214" s="238"/>
      <c r="B214" s="238"/>
      <c r="C214" s="238"/>
      <c r="D214" s="238"/>
      <c r="E214" s="238"/>
      <c r="F214" s="238"/>
      <c r="G214" s="238"/>
      <c r="H214" s="238"/>
      <c r="I214" s="238"/>
      <c r="J214" s="238"/>
      <c r="K214" s="238"/>
      <c r="L214" s="238"/>
      <c r="M214" s="238"/>
      <c r="N214" s="238"/>
      <c r="O214" s="238"/>
      <c r="P214" s="238"/>
      <c r="Q214" s="238"/>
      <c r="R214" s="238"/>
      <c r="S214" s="238"/>
      <c r="T214" s="238"/>
      <c r="U214" s="238"/>
      <c r="V214" s="238"/>
      <c r="W214" s="238"/>
      <c r="X214" s="238"/>
      <c r="Y214" s="238"/>
      <c r="Z214" s="238"/>
    </row>
    <row r="215" spans="1:26" ht="16.5" customHeight="1">
      <c r="A215" s="238"/>
      <c r="B215" s="238"/>
      <c r="C215" s="238"/>
      <c r="D215" s="238"/>
      <c r="E215" s="238"/>
      <c r="F215" s="238"/>
      <c r="G215" s="238"/>
      <c r="H215" s="238"/>
      <c r="I215" s="238"/>
      <c r="J215" s="238"/>
      <c r="K215" s="238"/>
      <c r="L215" s="238"/>
      <c r="M215" s="238"/>
      <c r="N215" s="238"/>
      <c r="O215" s="238"/>
      <c r="P215" s="238"/>
      <c r="Q215" s="238"/>
      <c r="R215" s="238"/>
      <c r="S215" s="238"/>
      <c r="T215" s="238"/>
      <c r="U215" s="238"/>
      <c r="V215" s="238"/>
      <c r="W215" s="238"/>
      <c r="X215" s="238"/>
      <c r="Y215" s="238"/>
      <c r="Z215" s="238"/>
    </row>
    <row r="216" spans="1:26" ht="16.5" customHeight="1">
      <c r="A216" s="238"/>
      <c r="B216" s="238"/>
      <c r="C216" s="238"/>
      <c r="D216" s="238"/>
      <c r="E216" s="238"/>
      <c r="F216" s="238"/>
      <c r="G216" s="238"/>
      <c r="H216" s="238"/>
      <c r="I216" s="238"/>
      <c r="J216" s="238"/>
      <c r="K216" s="238"/>
      <c r="L216" s="238"/>
      <c r="M216" s="238"/>
      <c r="N216" s="238"/>
      <c r="O216" s="238"/>
      <c r="P216" s="238"/>
      <c r="Q216" s="238"/>
      <c r="R216" s="238"/>
      <c r="S216" s="238"/>
      <c r="T216" s="238"/>
      <c r="U216" s="238"/>
      <c r="V216" s="238"/>
      <c r="W216" s="238"/>
      <c r="X216" s="238"/>
      <c r="Y216" s="238"/>
      <c r="Z216" s="238"/>
    </row>
    <row r="217" spans="1:26" ht="16.5" customHeight="1">
      <c r="A217" s="238"/>
      <c r="B217" s="238"/>
      <c r="C217" s="238"/>
      <c r="D217" s="238"/>
      <c r="E217" s="238"/>
      <c r="F217" s="238"/>
      <c r="G217" s="238"/>
      <c r="H217" s="238"/>
      <c r="I217" s="238"/>
      <c r="J217" s="238"/>
      <c r="K217" s="238"/>
      <c r="L217" s="238"/>
      <c r="M217" s="238"/>
      <c r="N217" s="238"/>
      <c r="O217" s="238"/>
      <c r="P217" s="238"/>
      <c r="Q217" s="238"/>
      <c r="R217" s="238"/>
      <c r="S217" s="238"/>
      <c r="T217" s="238"/>
      <c r="U217" s="238"/>
      <c r="V217" s="238"/>
      <c r="W217" s="238"/>
      <c r="X217" s="238"/>
      <c r="Y217" s="238"/>
      <c r="Z217" s="238"/>
    </row>
    <row r="218" spans="1:26" ht="16.5" customHeight="1">
      <c r="A218" s="238"/>
      <c r="B218" s="238"/>
      <c r="C218" s="238"/>
      <c r="D218" s="238"/>
      <c r="E218" s="238"/>
      <c r="F218" s="238"/>
      <c r="G218" s="238"/>
      <c r="H218" s="238"/>
      <c r="I218" s="238"/>
      <c r="J218" s="238"/>
      <c r="K218" s="238"/>
      <c r="L218" s="238"/>
      <c r="M218" s="238"/>
      <c r="N218" s="238"/>
      <c r="O218" s="238"/>
      <c r="P218" s="238"/>
      <c r="Q218" s="238"/>
      <c r="R218" s="238"/>
      <c r="S218" s="238"/>
      <c r="T218" s="238"/>
      <c r="U218" s="238"/>
      <c r="V218" s="238"/>
      <c r="W218" s="238"/>
      <c r="X218" s="238"/>
      <c r="Y218" s="238"/>
      <c r="Z218" s="238"/>
    </row>
    <row r="219" spans="1:26" ht="16.5" customHeight="1">
      <c r="A219" s="238"/>
      <c r="B219" s="238"/>
      <c r="C219" s="238"/>
      <c r="D219" s="238"/>
      <c r="E219" s="238"/>
      <c r="F219" s="238"/>
      <c r="G219" s="238"/>
      <c r="H219" s="238"/>
      <c r="I219" s="238"/>
      <c r="J219" s="238"/>
      <c r="K219" s="238"/>
      <c r="L219" s="238"/>
      <c r="M219" s="238"/>
      <c r="N219" s="238"/>
      <c r="O219" s="238"/>
      <c r="P219" s="238"/>
      <c r="Q219" s="238"/>
      <c r="R219" s="238"/>
      <c r="S219" s="238"/>
      <c r="T219" s="238"/>
      <c r="U219" s="238"/>
      <c r="V219" s="238"/>
      <c r="W219" s="238"/>
      <c r="X219" s="238"/>
      <c r="Y219" s="238"/>
      <c r="Z219" s="238"/>
    </row>
    <row r="220" spans="1:26" ht="16.5" customHeight="1">
      <c r="A220" s="238"/>
      <c r="B220" s="238"/>
      <c r="C220" s="238"/>
      <c r="D220" s="238"/>
      <c r="E220" s="238"/>
      <c r="F220" s="238"/>
      <c r="G220" s="238"/>
      <c r="H220" s="238"/>
      <c r="I220" s="238"/>
      <c r="J220" s="238"/>
      <c r="K220" s="238"/>
      <c r="L220" s="238"/>
      <c r="M220" s="238"/>
      <c r="N220" s="238"/>
      <c r="O220" s="238"/>
      <c r="P220" s="238"/>
      <c r="Q220" s="238"/>
      <c r="R220" s="238"/>
      <c r="S220" s="238"/>
      <c r="T220" s="238"/>
      <c r="U220" s="238"/>
      <c r="V220" s="238"/>
      <c r="W220" s="238"/>
      <c r="X220" s="238"/>
      <c r="Y220" s="238"/>
      <c r="Z220" s="238"/>
    </row>
    <row r="221" spans="1:26" ht="16.5" customHeight="1">
      <c r="A221" s="238"/>
      <c r="B221" s="238"/>
      <c r="C221" s="238"/>
      <c r="D221" s="238"/>
      <c r="E221" s="238"/>
      <c r="F221" s="238"/>
      <c r="G221" s="238"/>
      <c r="H221" s="238"/>
      <c r="I221" s="238"/>
      <c r="J221" s="238"/>
      <c r="K221" s="238"/>
      <c r="L221" s="238"/>
      <c r="M221" s="238"/>
      <c r="N221" s="238"/>
      <c r="O221" s="238"/>
      <c r="P221" s="238"/>
      <c r="Q221" s="238"/>
      <c r="R221" s="238"/>
      <c r="S221" s="238"/>
      <c r="T221" s="238"/>
      <c r="U221" s="238"/>
      <c r="V221" s="238"/>
      <c r="W221" s="238"/>
      <c r="X221" s="238"/>
      <c r="Y221" s="238"/>
      <c r="Z221" s="238"/>
    </row>
    <row r="222" spans="1:26" ht="16.5" customHeight="1">
      <c r="A222" s="238"/>
      <c r="B222" s="238"/>
      <c r="C222" s="238"/>
      <c r="D222" s="238"/>
      <c r="E222" s="238"/>
      <c r="F222" s="238"/>
      <c r="G222" s="238"/>
      <c r="H222" s="238"/>
      <c r="I222" s="238"/>
      <c r="J222" s="238"/>
      <c r="K222" s="238"/>
      <c r="L222" s="238"/>
      <c r="M222" s="238"/>
      <c r="N222" s="238"/>
      <c r="O222" s="238"/>
      <c r="P222" s="238"/>
      <c r="Q222" s="238"/>
      <c r="R222" s="238"/>
      <c r="S222" s="238"/>
      <c r="T222" s="238"/>
      <c r="U222" s="238"/>
      <c r="V222" s="238"/>
      <c r="W222" s="238"/>
      <c r="X222" s="238"/>
      <c r="Y222" s="238"/>
      <c r="Z222" s="238"/>
    </row>
    <row r="223" spans="1:26" ht="16.5" customHeight="1">
      <c r="A223" s="238"/>
      <c r="B223" s="238"/>
      <c r="C223" s="238"/>
      <c r="D223" s="238"/>
      <c r="E223" s="238"/>
      <c r="F223" s="238"/>
      <c r="G223" s="238"/>
      <c r="H223" s="238"/>
      <c r="I223" s="238"/>
      <c r="J223" s="238"/>
      <c r="K223" s="238"/>
      <c r="L223" s="238"/>
      <c r="M223" s="238"/>
      <c r="N223" s="238"/>
      <c r="O223" s="238"/>
      <c r="P223" s="238"/>
      <c r="Q223" s="238"/>
      <c r="R223" s="238"/>
      <c r="S223" s="238"/>
      <c r="T223" s="238"/>
      <c r="U223" s="238"/>
      <c r="V223" s="238"/>
      <c r="W223" s="238"/>
      <c r="X223" s="238"/>
      <c r="Y223" s="238"/>
      <c r="Z223" s="238"/>
    </row>
    <row r="224" spans="1:26" ht="16.5" customHeight="1">
      <c r="A224" s="238"/>
      <c r="B224" s="238"/>
      <c r="C224" s="238"/>
      <c r="D224" s="238"/>
      <c r="E224" s="238"/>
      <c r="F224" s="238"/>
      <c r="G224" s="238"/>
      <c r="H224" s="238"/>
      <c r="I224" s="238"/>
      <c r="J224" s="238"/>
      <c r="K224" s="238"/>
      <c r="L224" s="238"/>
      <c r="M224" s="238"/>
      <c r="N224" s="238"/>
      <c r="O224" s="238"/>
      <c r="P224" s="238"/>
      <c r="Q224" s="238"/>
      <c r="R224" s="238"/>
      <c r="S224" s="238"/>
      <c r="T224" s="238"/>
      <c r="U224" s="238"/>
      <c r="V224" s="238"/>
      <c r="W224" s="238"/>
      <c r="X224" s="238"/>
      <c r="Y224" s="238"/>
      <c r="Z224" s="238"/>
    </row>
    <row r="225" spans="1:26" ht="16.5" customHeight="1">
      <c r="A225" s="238"/>
      <c r="B225" s="238"/>
      <c r="C225" s="238"/>
      <c r="D225" s="238"/>
      <c r="E225" s="238"/>
      <c r="F225" s="238"/>
      <c r="G225" s="238"/>
      <c r="H225" s="238"/>
      <c r="I225" s="238"/>
      <c r="J225" s="238"/>
      <c r="K225" s="238"/>
      <c r="L225" s="238"/>
      <c r="M225" s="238"/>
      <c r="N225" s="238"/>
      <c r="O225" s="238"/>
      <c r="P225" s="238"/>
      <c r="Q225" s="238"/>
      <c r="R225" s="238"/>
      <c r="S225" s="238"/>
      <c r="T225" s="238"/>
      <c r="U225" s="238"/>
      <c r="V225" s="238"/>
      <c r="W225" s="238"/>
      <c r="X225" s="238"/>
      <c r="Y225" s="238"/>
      <c r="Z225" s="238"/>
    </row>
    <row r="226" spans="1:26" ht="16.5" customHeight="1">
      <c r="A226" s="238"/>
      <c r="B226" s="238"/>
      <c r="C226" s="238"/>
      <c r="D226" s="238"/>
      <c r="E226" s="238"/>
      <c r="F226" s="238"/>
      <c r="G226" s="238"/>
      <c r="H226" s="238"/>
      <c r="I226" s="238"/>
      <c r="J226" s="238"/>
      <c r="K226" s="238"/>
      <c r="L226" s="238"/>
      <c r="M226" s="238"/>
      <c r="N226" s="238"/>
      <c r="O226" s="238"/>
      <c r="P226" s="238"/>
      <c r="Q226" s="238"/>
      <c r="R226" s="238"/>
      <c r="S226" s="238"/>
      <c r="T226" s="238"/>
      <c r="U226" s="238"/>
      <c r="V226" s="238"/>
      <c r="W226" s="238"/>
      <c r="X226" s="238"/>
      <c r="Y226" s="238"/>
      <c r="Z226" s="238"/>
    </row>
    <row r="227" spans="1:26" ht="16.5" customHeight="1">
      <c r="A227" s="238"/>
      <c r="B227" s="238"/>
      <c r="C227" s="238"/>
      <c r="D227" s="238"/>
      <c r="E227" s="238"/>
      <c r="F227" s="238"/>
      <c r="G227" s="238"/>
      <c r="H227" s="238"/>
      <c r="I227" s="238"/>
      <c r="J227" s="238"/>
      <c r="K227" s="238"/>
      <c r="L227" s="238"/>
      <c r="M227" s="238"/>
      <c r="N227" s="238"/>
      <c r="O227" s="238"/>
      <c r="P227" s="238"/>
      <c r="Q227" s="238"/>
      <c r="R227" s="238"/>
      <c r="S227" s="238"/>
      <c r="T227" s="238"/>
      <c r="U227" s="238"/>
      <c r="V227" s="238"/>
      <c r="W227" s="238"/>
      <c r="X227" s="238"/>
      <c r="Y227" s="238"/>
      <c r="Z227" s="238"/>
    </row>
    <row r="228" spans="1:26" ht="16.5" customHeight="1">
      <c r="A228" s="238"/>
      <c r="B228" s="238"/>
      <c r="C228" s="238"/>
      <c r="D228" s="238"/>
      <c r="E228" s="238"/>
      <c r="F228" s="238"/>
      <c r="G228" s="238"/>
      <c r="H228" s="238"/>
      <c r="I228" s="238"/>
      <c r="J228" s="238"/>
      <c r="K228" s="238"/>
      <c r="L228" s="238"/>
      <c r="M228" s="238"/>
      <c r="N228" s="238"/>
      <c r="O228" s="238"/>
      <c r="P228" s="238"/>
      <c r="Q228" s="238"/>
      <c r="R228" s="238"/>
      <c r="S228" s="238"/>
      <c r="T228" s="238"/>
      <c r="U228" s="238"/>
      <c r="V228" s="238"/>
      <c r="W228" s="238"/>
      <c r="X228" s="238"/>
      <c r="Y228" s="238"/>
      <c r="Z228" s="238"/>
    </row>
    <row r="229" spans="1:26" ht="16.5" customHeight="1">
      <c r="A229" s="238"/>
      <c r="B229" s="238"/>
      <c r="C229" s="238"/>
      <c r="D229" s="238"/>
      <c r="E229" s="238"/>
      <c r="F229" s="238"/>
      <c r="G229" s="238"/>
      <c r="H229" s="238"/>
      <c r="I229" s="238"/>
      <c r="J229" s="238"/>
      <c r="K229" s="238"/>
      <c r="L229" s="238"/>
      <c r="M229" s="238"/>
      <c r="N229" s="238"/>
      <c r="O229" s="238"/>
      <c r="P229" s="238"/>
      <c r="Q229" s="238"/>
      <c r="R229" s="238"/>
      <c r="S229" s="238"/>
      <c r="T229" s="238"/>
      <c r="U229" s="238"/>
      <c r="V229" s="238"/>
      <c r="W229" s="238"/>
      <c r="X229" s="238"/>
      <c r="Y229" s="238"/>
      <c r="Z229" s="238"/>
    </row>
    <row r="230" spans="1:26" ht="16.5" customHeight="1">
      <c r="A230" s="238"/>
      <c r="B230" s="238"/>
      <c r="C230" s="238"/>
      <c r="D230" s="238"/>
      <c r="E230" s="238"/>
      <c r="F230" s="238"/>
      <c r="G230" s="238"/>
      <c r="H230" s="238"/>
      <c r="I230" s="238"/>
      <c r="J230" s="238"/>
      <c r="K230" s="238"/>
      <c r="L230" s="238"/>
      <c r="M230" s="238"/>
      <c r="N230" s="238"/>
      <c r="O230" s="238"/>
      <c r="P230" s="238"/>
      <c r="Q230" s="238"/>
      <c r="R230" s="238"/>
      <c r="S230" s="238"/>
      <c r="T230" s="238"/>
      <c r="U230" s="238"/>
      <c r="V230" s="238"/>
      <c r="W230" s="238"/>
      <c r="X230" s="238"/>
      <c r="Y230" s="238"/>
      <c r="Z230" s="238"/>
    </row>
    <row r="231" spans="1:26" ht="16.5" customHeight="1">
      <c r="A231" s="238"/>
      <c r="B231" s="238"/>
      <c r="C231" s="238"/>
      <c r="D231" s="238"/>
      <c r="E231" s="238"/>
      <c r="F231" s="238"/>
      <c r="G231" s="238"/>
      <c r="H231" s="238"/>
      <c r="I231" s="238"/>
      <c r="J231" s="238"/>
      <c r="K231" s="238"/>
      <c r="L231" s="238"/>
      <c r="M231" s="238"/>
      <c r="N231" s="238"/>
      <c r="O231" s="238"/>
      <c r="P231" s="238"/>
      <c r="Q231" s="238"/>
      <c r="R231" s="238"/>
      <c r="S231" s="238"/>
      <c r="T231" s="238"/>
      <c r="U231" s="238"/>
      <c r="V231" s="238"/>
      <c r="W231" s="238"/>
      <c r="X231" s="238"/>
      <c r="Y231" s="238"/>
      <c r="Z231" s="238"/>
    </row>
    <row r="232" spans="1:26" ht="16.5" customHeight="1">
      <c r="A232" s="238"/>
      <c r="B232" s="238"/>
      <c r="C232" s="238"/>
      <c r="D232" s="238"/>
      <c r="E232" s="238"/>
      <c r="F232" s="238"/>
      <c r="G232" s="238"/>
      <c r="H232" s="238"/>
      <c r="I232" s="238"/>
      <c r="J232" s="238"/>
      <c r="K232" s="238"/>
      <c r="L232" s="238"/>
      <c r="M232" s="238"/>
      <c r="N232" s="238"/>
      <c r="O232" s="238"/>
      <c r="P232" s="238"/>
      <c r="Q232" s="238"/>
      <c r="R232" s="238"/>
      <c r="S232" s="238"/>
      <c r="T232" s="238"/>
      <c r="U232" s="238"/>
      <c r="V232" s="238"/>
      <c r="W232" s="238"/>
      <c r="X232" s="238"/>
      <c r="Y232" s="238"/>
      <c r="Z232" s="238"/>
    </row>
    <row r="233" spans="1:26" ht="16.5" customHeight="1">
      <c r="A233" s="238"/>
      <c r="B233" s="238"/>
      <c r="C233" s="238"/>
      <c r="D233" s="238"/>
      <c r="E233" s="238"/>
      <c r="F233" s="238"/>
      <c r="G233" s="238"/>
      <c r="H233" s="238"/>
      <c r="I233" s="238"/>
      <c r="J233" s="238"/>
      <c r="K233" s="238"/>
      <c r="L233" s="238"/>
      <c r="M233" s="238"/>
      <c r="N233" s="238"/>
      <c r="O233" s="238"/>
      <c r="P233" s="238"/>
      <c r="Q233" s="238"/>
      <c r="R233" s="238"/>
      <c r="S233" s="238"/>
      <c r="T233" s="238"/>
      <c r="U233" s="238"/>
      <c r="V233" s="238"/>
      <c r="W233" s="238"/>
      <c r="X233" s="238"/>
      <c r="Y233" s="238"/>
      <c r="Z233" s="238"/>
    </row>
    <row r="234" spans="1:26" ht="16.5" customHeight="1">
      <c r="A234" s="238"/>
      <c r="B234" s="238"/>
      <c r="C234" s="238"/>
      <c r="D234" s="238"/>
      <c r="E234" s="238"/>
      <c r="F234" s="238"/>
      <c r="G234" s="238"/>
      <c r="H234" s="238"/>
      <c r="I234" s="238"/>
      <c r="J234" s="238"/>
      <c r="K234" s="238"/>
      <c r="L234" s="238"/>
      <c r="M234" s="238"/>
      <c r="N234" s="238"/>
      <c r="O234" s="238"/>
      <c r="P234" s="238"/>
      <c r="Q234" s="238"/>
      <c r="R234" s="238"/>
      <c r="S234" s="238"/>
      <c r="T234" s="238"/>
      <c r="U234" s="238"/>
      <c r="V234" s="238"/>
      <c r="W234" s="238"/>
      <c r="X234" s="238"/>
      <c r="Y234" s="238"/>
      <c r="Z234" s="238"/>
    </row>
    <row r="235" spans="1:26" ht="16.5" customHeight="1">
      <c r="A235" s="238"/>
      <c r="B235" s="238"/>
      <c r="C235" s="238"/>
      <c r="D235" s="238"/>
      <c r="E235" s="238"/>
      <c r="F235" s="238"/>
      <c r="G235" s="238"/>
      <c r="H235" s="238"/>
      <c r="I235" s="238"/>
      <c r="J235" s="238"/>
      <c r="K235" s="238"/>
      <c r="L235" s="238"/>
      <c r="M235" s="238"/>
      <c r="N235" s="238"/>
      <c r="O235" s="238"/>
      <c r="P235" s="238"/>
      <c r="Q235" s="238"/>
      <c r="R235" s="238"/>
      <c r="S235" s="238"/>
      <c r="T235" s="238"/>
      <c r="U235" s="238"/>
      <c r="V235" s="238"/>
      <c r="W235" s="238"/>
      <c r="X235" s="238"/>
      <c r="Y235" s="238"/>
      <c r="Z235" s="238"/>
    </row>
    <row r="236" spans="1:26" ht="16.5" customHeight="1">
      <c r="A236" s="238"/>
      <c r="B236" s="238"/>
      <c r="C236" s="238"/>
      <c r="D236" s="238"/>
      <c r="E236" s="238"/>
      <c r="F236" s="238"/>
      <c r="G236" s="238"/>
      <c r="H236" s="238"/>
      <c r="I236" s="238"/>
      <c r="J236" s="238"/>
      <c r="K236" s="238"/>
      <c r="L236" s="238"/>
      <c r="M236" s="238"/>
      <c r="N236" s="238"/>
      <c r="O236" s="238"/>
      <c r="P236" s="238"/>
      <c r="Q236" s="238"/>
      <c r="R236" s="238"/>
      <c r="S236" s="238"/>
      <c r="T236" s="238"/>
      <c r="U236" s="238"/>
      <c r="V236" s="238"/>
      <c r="W236" s="238"/>
      <c r="X236" s="238"/>
      <c r="Y236" s="238"/>
      <c r="Z236" s="238"/>
    </row>
    <row r="237" spans="1:26" ht="16.5" customHeight="1">
      <c r="A237" s="238"/>
      <c r="B237" s="238"/>
      <c r="C237" s="238"/>
      <c r="D237" s="238"/>
      <c r="E237" s="238"/>
      <c r="F237" s="238"/>
      <c r="G237" s="238"/>
      <c r="H237" s="238"/>
      <c r="I237" s="238"/>
      <c r="J237" s="238"/>
      <c r="K237" s="238"/>
      <c r="L237" s="238"/>
      <c r="M237" s="238"/>
      <c r="N237" s="238"/>
      <c r="O237" s="238"/>
      <c r="P237" s="238"/>
      <c r="Q237" s="238"/>
      <c r="R237" s="238"/>
      <c r="S237" s="238"/>
      <c r="T237" s="238"/>
      <c r="U237" s="238"/>
      <c r="V237" s="238"/>
      <c r="W237" s="238"/>
      <c r="X237" s="238"/>
      <c r="Y237" s="238"/>
      <c r="Z237" s="238"/>
    </row>
    <row r="238" spans="1:26" ht="16.5" customHeight="1">
      <c r="A238" s="238"/>
      <c r="B238" s="238"/>
      <c r="C238" s="238"/>
      <c r="D238" s="238"/>
      <c r="E238" s="238"/>
      <c r="F238" s="238"/>
      <c r="G238" s="238"/>
      <c r="H238" s="238"/>
      <c r="I238" s="238"/>
      <c r="J238" s="238"/>
      <c r="K238" s="238"/>
      <c r="L238" s="238"/>
      <c r="M238" s="238"/>
      <c r="N238" s="238"/>
      <c r="O238" s="238"/>
      <c r="P238" s="238"/>
      <c r="Q238" s="238"/>
      <c r="R238" s="238"/>
      <c r="S238" s="238"/>
      <c r="T238" s="238"/>
      <c r="U238" s="238"/>
      <c r="V238" s="238"/>
      <c r="W238" s="238"/>
      <c r="X238" s="238"/>
      <c r="Y238" s="238"/>
      <c r="Z238" s="238"/>
    </row>
    <row r="239" spans="1:26" ht="16.5" customHeight="1">
      <c r="A239" s="238"/>
      <c r="B239" s="238"/>
      <c r="C239" s="238"/>
      <c r="D239" s="238"/>
      <c r="E239" s="238"/>
      <c r="F239" s="238"/>
      <c r="G239" s="238"/>
      <c r="H239" s="238"/>
      <c r="I239" s="238"/>
      <c r="J239" s="238"/>
      <c r="K239" s="238"/>
      <c r="L239" s="238"/>
      <c r="M239" s="238"/>
      <c r="N239" s="238"/>
      <c r="O239" s="238"/>
      <c r="P239" s="238"/>
      <c r="Q239" s="238"/>
      <c r="R239" s="238"/>
      <c r="S239" s="238"/>
      <c r="T239" s="238"/>
      <c r="U239" s="238"/>
      <c r="V239" s="238"/>
      <c r="W239" s="238"/>
      <c r="X239" s="238"/>
      <c r="Y239" s="238"/>
      <c r="Z239" s="238"/>
    </row>
    <row r="240" spans="1:26" ht="16.5" customHeight="1">
      <c r="A240" s="238"/>
      <c r="B240" s="238"/>
      <c r="C240" s="238"/>
      <c r="D240" s="238"/>
      <c r="E240" s="238"/>
      <c r="F240" s="238"/>
      <c r="G240" s="238"/>
      <c r="H240" s="238"/>
      <c r="I240" s="238"/>
      <c r="J240" s="238"/>
      <c r="K240" s="238"/>
      <c r="L240" s="238"/>
      <c r="M240" s="238"/>
      <c r="N240" s="238"/>
      <c r="O240" s="238"/>
      <c r="P240" s="238"/>
      <c r="Q240" s="238"/>
      <c r="R240" s="238"/>
      <c r="S240" s="238"/>
      <c r="T240" s="238"/>
      <c r="U240" s="238"/>
      <c r="V240" s="238"/>
      <c r="W240" s="238"/>
      <c r="X240" s="238"/>
      <c r="Y240" s="238"/>
      <c r="Z240" s="238"/>
    </row>
    <row r="241" spans="1:26" ht="16.5" customHeight="1">
      <c r="A241" s="238"/>
      <c r="B241" s="238"/>
      <c r="C241" s="238"/>
      <c r="D241" s="238"/>
      <c r="E241" s="238"/>
      <c r="F241" s="238"/>
      <c r="G241" s="238"/>
      <c r="H241" s="238"/>
      <c r="I241" s="238"/>
      <c r="J241" s="238"/>
      <c r="K241" s="238"/>
      <c r="L241" s="238"/>
      <c r="M241" s="238"/>
      <c r="N241" s="238"/>
      <c r="O241" s="238"/>
      <c r="P241" s="238"/>
      <c r="Q241" s="238"/>
      <c r="R241" s="238"/>
      <c r="S241" s="238"/>
      <c r="T241" s="238"/>
      <c r="U241" s="238"/>
      <c r="V241" s="238"/>
      <c r="W241" s="238"/>
      <c r="X241" s="238"/>
      <c r="Y241" s="238"/>
      <c r="Z241" s="238"/>
    </row>
    <row r="242" spans="1:26" ht="16.5" customHeight="1">
      <c r="A242" s="238"/>
      <c r="B242" s="238"/>
      <c r="C242" s="238"/>
      <c r="D242" s="238"/>
      <c r="E242" s="238"/>
      <c r="F242" s="238"/>
      <c r="G242" s="238"/>
      <c r="H242" s="238"/>
      <c r="I242" s="238"/>
      <c r="J242" s="238"/>
      <c r="K242" s="238"/>
      <c r="L242" s="238"/>
      <c r="M242" s="238"/>
      <c r="N242" s="238"/>
      <c r="O242" s="238"/>
      <c r="P242" s="238"/>
      <c r="Q242" s="238"/>
      <c r="R242" s="238"/>
      <c r="S242" s="238"/>
      <c r="T242" s="238"/>
      <c r="U242" s="238"/>
      <c r="V242" s="238"/>
      <c r="W242" s="238"/>
      <c r="X242" s="238"/>
      <c r="Y242" s="238"/>
      <c r="Z242" s="238"/>
    </row>
    <row r="243" spans="1:26" ht="16.5" customHeight="1">
      <c r="A243" s="238"/>
      <c r="B243" s="238"/>
      <c r="C243" s="238"/>
      <c r="D243" s="238"/>
      <c r="E243" s="238"/>
      <c r="F243" s="238"/>
      <c r="G243" s="238"/>
      <c r="H243" s="238"/>
      <c r="I243" s="238"/>
      <c r="J243" s="238"/>
      <c r="K243" s="238"/>
      <c r="L243" s="238"/>
      <c r="M243" s="238"/>
      <c r="N243" s="238"/>
      <c r="O243" s="238"/>
      <c r="P243" s="238"/>
      <c r="Q243" s="238"/>
      <c r="R243" s="238"/>
      <c r="S243" s="238"/>
      <c r="T243" s="238"/>
      <c r="U243" s="238"/>
      <c r="V243" s="238"/>
      <c r="W243" s="238"/>
      <c r="X243" s="238"/>
      <c r="Y243" s="238"/>
      <c r="Z243" s="238"/>
    </row>
    <row r="244" spans="1:26" ht="16.5" customHeight="1">
      <c r="A244" s="238"/>
      <c r="B244" s="238"/>
      <c r="C244" s="238"/>
      <c r="D244" s="238"/>
      <c r="E244" s="238"/>
      <c r="F244" s="238"/>
      <c r="G244" s="238"/>
      <c r="H244" s="238"/>
      <c r="I244" s="238"/>
      <c r="J244" s="238"/>
      <c r="K244" s="238"/>
      <c r="L244" s="238"/>
      <c r="M244" s="238"/>
      <c r="N244" s="238"/>
      <c r="O244" s="238"/>
      <c r="P244" s="238"/>
      <c r="Q244" s="238"/>
      <c r="R244" s="238"/>
      <c r="S244" s="238"/>
      <c r="T244" s="238"/>
      <c r="U244" s="238"/>
      <c r="V244" s="238"/>
      <c r="W244" s="238"/>
      <c r="X244" s="238"/>
      <c r="Y244" s="238"/>
      <c r="Z244" s="238"/>
    </row>
    <row r="245" spans="1:26" ht="16.5" customHeight="1">
      <c r="A245" s="238"/>
      <c r="B245" s="238"/>
      <c r="C245" s="238"/>
      <c r="D245" s="238"/>
      <c r="E245" s="238"/>
      <c r="F245" s="238"/>
      <c r="G245" s="238"/>
      <c r="H245" s="238"/>
      <c r="I245" s="238"/>
      <c r="J245" s="238"/>
      <c r="K245" s="238"/>
      <c r="L245" s="238"/>
      <c r="M245" s="238"/>
      <c r="N245" s="238"/>
      <c r="O245" s="238"/>
      <c r="P245" s="238"/>
      <c r="Q245" s="238"/>
      <c r="R245" s="238"/>
      <c r="S245" s="238"/>
      <c r="T245" s="238"/>
      <c r="U245" s="238"/>
      <c r="V245" s="238"/>
      <c r="W245" s="238"/>
      <c r="X245" s="238"/>
      <c r="Y245" s="238"/>
      <c r="Z245" s="238"/>
    </row>
    <row r="246" spans="1:26" ht="16.5" customHeight="1">
      <c r="A246" s="238"/>
      <c r="B246" s="238"/>
      <c r="C246" s="238"/>
      <c r="D246" s="238"/>
      <c r="E246" s="238"/>
      <c r="F246" s="238"/>
      <c r="G246" s="238"/>
      <c r="H246" s="238"/>
      <c r="I246" s="238"/>
      <c r="J246" s="238"/>
      <c r="K246" s="238"/>
      <c r="L246" s="238"/>
      <c r="M246" s="238"/>
      <c r="N246" s="238"/>
      <c r="O246" s="238"/>
      <c r="P246" s="238"/>
      <c r="Q246" s="238"/>
      <c r="R246" s="238"/>
      <c r="S246" s="238"/>
      <c r="T246" s="238"/>
      <c r="U246" s="238"/>
      <c r="V246" s="238"/>
      <c r="W246" s="238"/>
      <c r="X246" s="238"/>
      <c r="Y246" s="238"/>
      <c r="Z246" s="238"/>
    </row>
    <row r="247" spans="1:26" ht="16.5" customHeight="1">
      <c r="A247" s="238"/>
      <c r="B247" s="238"/>
      <c r="C247" s="238"/>
      <c r="D247" s="238"/>
      <c r="E247" s="238"/>
      <c r="F247" s="238"/>
      <c r="G247" s="238"/>
      <c r="H247" s="238"/>
      <c r="I247" s="238"/>
      <c r="J247" s="238"/>
      <c r="K247" s="238"/>
      <c r="L247" s="238"/>
      <c r="M247" s="238"/>
      <c r="N247" s="238"/>
      <c r="O247" s="238"/>
      <c r="P247" s="238"/>
      <c r="Q247" s="238"/>
      <c r="R247" s="238"/>
      <c r="S247" s="238"/>
      <c r="T247" s="238"/>
      <c r="U247" s="238"/>
      <c r="V247" s="238"/>
      <c r="W247" s="238"/>
      <c r="X247" s="238"/>
      <c r="Y247" s="238"/>
      <c r="Z247" s="238"/>
    </row>
    <row r="248" spans="1:26" ht="16.5" customHeight="1">
      <c r="A248" s="238"/>
      <c r="B248" s="238"/>
      <c r="C248" s="238"/>
      <c r="D248" s="238"/>
      <c r="E248" s="238"/>
      <c r="F248" s="238"/>
      <c r="G248" s="238"/>
      <c r="H248" s="238"/>
      <c r="I248" s="238"/>
      <c r="J248" s="238"/>
      <c r="K248" s="238"/>
      <c r="L248" s="238"/>
      <c r="M248" s="238"/>
      <c r="N248" s="238"/>
      <c r="O248" s="238"/>
      <c r="P248" s="238"/>
      <c r="Q248" s="238"/>
      <c r="R248" s="238"/>
      <c r="S248" s="238"/>
      <c r="T248" s="238"/>
      <c r="U248" s="238"/>
      <c r="V248" s="238"/>
      <c r="W248" s="238"/>
      <c r="X248" s="238"/>
      <c r="Y248" s="238"/>
      <c r="Z248" s="238"/>
    </row>
    <row r="249" spans="1:26" ht="16.5" customHeight="1">
      <c r="A249" s="238"/>
      <c r="B249" s="238"/>
      <c r="C249" s="238"/>
      <c r="D249" s="238"/>
      <c r="E249" s="238"/>
      <c r="F249" s="238"/>
      <c r="G249" s="238"/>
      <c r="H249" s="238"/>
      <c r="I249" s="238"/>
      <c r="J249" s="238"/>
      <c r="K249" s="238"/>
      <c r="L249" s="238"/>
      <c r="M249" s="238"/>
      <c r="N249" s="238"/>
      <c r="O249" s="238"/>
      <c r="P249" s="238"/>
      <c r="Q249" s="238"/>
      <c r="R249" s="238"/>
      <c r="S249" s="238"/>
      <c r="T249" s="238"/>
      <c r="U249" s="238"/>
      <c r="V249" s="238"/>
      <c r="W249" s="238"/>
      <c r="X249" s="238"/>
      <c r="Y249" s="238"/>
      <c r="Z249" s="238"/>
    </row>
    <row r="250" spans="1:26" ht="16.5" customHeight="1">
      <c r="A250" s="238"/>
      <c r="B250" s="238"/>
      <c r="C250" s="238"/>
      <c r="D250" s="238"/>
      <c r="E250" s="238"/>
      <c r="F250" s="238"/>
      <c r="G250" s="238"/>
      <c r="H250" s="238"/>
      <c r="I250" s="238"/>
      <c r="J250" s="238"/>
      <c r="K250" s="238"/>
      <c r="L250" s="238"/>
      <c r="M250" s="238"/>
      <c r="N250" s="238"/>
      <c r="O250" s="238"/>
      <c r="P250" s="238"/>
      <c r="Q250" s="238"/>
      <c r="R250" s="238"/>
      <c r="S250" s="238"/>
      <c r="T250" s="238"/>
      <c r="U250" s="238"/>
      <c r="V250" s="238"/>
      <c r="W250" s="238"/>
      <c r="X250" s="238"/>
      <c r="Y250" s="238"/>
      <c r="Z250" s="238"/>
    </row>
    <row r="251" spans="1:26" ht="16.5" customHeight="1">
      <c r="A251" s="238"/>
      <c r="B251" s="238"/>
      <c r="C251" s="238"/>
      <c r="D251" s="238"/>
      <c r="E251" s="238"/>
      <c r="F251" s="238"/>
      <c r="G251" s="238"/>
      <c r="H251" s="238"/>
      <c r="I251" s="238"/>
      <c r="J251" s="238"/>
      <c r="K251" s="238"/>
      <c r="L251" s="238"/>
      <c r="M251" s="238"/>
      <c r="N251" s="238"/>
      <c r="O251" s="238"/>
      <c r="P251" s="238"/>
      <c r="Q251" s="238"/>
      <c r="R251" s="238"/>
      <c r="S251" s="238"/>
      <c r="T251" s="238"/>
      <c r="U251" s="238"/>
      <c r="V251" s="238"/>
      <c r="W251" s="238"/>
      <c r="X251" s="238"/>
      <c r="Y251" s="238"/>
      <c r="Z251" s="238"/>
    </row>
    <row r="252" spans="1:26" ht="16.5" customHeight="1">
      <c r="A252" s="238"/>
      <c r="B252" s="238"/>
      <c r="C252" s="238"/>
      <c r="D252" s="238"/>
      <c r="E252" s="238"/>
      <c r="F252" s="238"/>
      <c r="G252" s="238"/>
      <c r="H252" s="238"/>
      <c r="I252" s="238"/>
      <c r="J252" s="238"/>
      <c r="K252" s="238"/>
      <c r="L252" s="238"/>
      <c r="M252" s="238"/>
      <c r="N252" s="238"/>
      <c r="O252" s="238"/>
      <c r="P252" s="238"/>
      <c r="Q252" s="238"/>
      <c r="R252" s="238"/>
      <c r="S252" s="238"/>
      <c r="T252" s="238"/>
      <c r="U252" s="238"/>
      <c r="V252" s="238"/>
      <c r="W252" s="238"/>
      <c r="X252" s="238"/>
      <c r="Y252" s="238"/>
      <c r="Z252" s="238"/>
    </row>
    <row r="253" spans="1:26" ht="16.5" customHeight="1">
      <c r="A253" s="238"/>
      <c r="B253" s="238"/>
      <c r="C253" s="238"/>
      <c r="D253" s="238"/>
      <c r="E253" s="238"/>
      <c r="F253" s="238"/>
      <c r="G253" s="238"/>
      <c r="H253" s="238"/>
      <c r="I253" s="238"/>
      <c r="J253" s="238"/>
      <c r="K253" s="238"/>
      <c r="L253" s="238"/>
      <c r="M253" s="238"/>
      <c r="N253" s="238"/>
      <c r="O253" s="238"/>
      <c r="P253" s="238"/>
      <c r="Q253" s="238"/>
      <c r="R253" s="238"/>
      <c r="S253" s="238"/>
      <c r="T253" s="238"/>
      <c r="U253" s="238"/>
      <c r="V253" s="238"/>
      <c r="W253" s="238"/>
      <c r="X253" s="238"/>
      <c r="Y253" s="238"/>
      <c r="Z253" s="238"/>
    </row>
    <row r="254" spans="1:26" ht="16.5" customHeight="1">
      <c r="A254" s="238"/>
      <c r="B254" s="238"/>
      <c r="C254" s="238"/>
      <c r="D254" s="238"/>
      <c r="E254" s="238"/>
      <c r="F254" s="238"/>
      <c r="G254" s="238"/>
      <c r="H254" s="238"/>
      <c r="I254" s="238"/>
      <c r="J254" s="238"/>
      <c r="K254" s="238"/>
      <c r="L254" s="238"/>
      <c r="M254" s="238"/>
      <c r="N254" s="238"/>
      <c r="O254" s="238"/>
      <c r="P254" s="238"/>
      <c r="Q254" s="238"/>
      <c r="R254" s="238"/>
      <c r="S254" s="238"/>
      <c r="T254" s="238"/>
      <c r="U254" s="238"/>
      <c r="V254" s="238"/>
      <c r="W254" s="238"/>
      <c r="X254" s="238"/>
      <c r="Y254" s="238"/>
      <c r="Z254" s="238"/>
    </row>
    <row r="255" spans="1:26" ht="16.5" customHeight="1">
      <c r="A255" s="238"/>
      <c r="B255" s="238"/>
      <c r="C255" s="238"/>
      <c r="D255" s="238"/>
      <c r="E255" s="238"/>
      <c r="F255" s="238"/>
      <c r="G255" s="238"/>
      <c r="H255" s="238"/>
      <c r="I255" s="238"/>
      <c r="J255" s="238"/>
      <c r="K255" s="238"/>
      <c r="L255" s="238"/>
      <c r="M255" s="238"/>
      <c r="N255" s="238"/>
      <c r="O255" s="238"/>
      <c r="P255" s="238"/>
      <c r="Q255" s="238"/>
      <c r="R255" s="238"/>
      <c r="S255" s="238"/>
      <c r="T255" s="238"/>
      <c r="U255" s="238"/>
      <c r="V255" s="238"/>
      <c r="W255" s="238"/>
      <c r="X255" s="238"/>
      <c r="Y255" s="238"/>
      <c r="Z255" s="238"/>
    </row>
    <row r="256" spans="1:26" ht="16.5" customHeight="1">
      <c r="A256" s="238"/>
      <c r="B256" s="238"/>
      <c r="C256" s="238"/>
      <c r="D256" s="238"/>
      <c r="E256" s="238"/>
      <c r="F256" s="238"/>
      <c r="G256" s="238"/>
      <c r="H256" s="238"/>
      <c r="I256" s="238"/>
      <c r="J256" s="238"/>
      <c r="K256" s="238"/>
      <c r="L256" s="238"/>
      <c r="M256" s="238"/>
      <c r="N256" s="238"/>
      <c r="O256" s="238"/>
      <c r="P256" s="238"/>
      <c r="Q256" s="238"/>
      <c r="R256" s="238"/>
      <c r="S256" s="238"/>
      <c r="T256" s="238"/>
      <c r="U256" s="238"/>
      <c r="V256" s="238"/>
      <c r="W256" s="238"/>
      <c r="X256" s="238"/>
      <c r="Y256" s="238"/>
      <c r="Z256" s="238"/>
    </row>
    <row r="257" spans="1:26" ht="16.5" customHeight="1">
      <c r="A257" s="238"/>
      <c r="B257" s="238"/>
      <c r="C257" s="238"/>
      <c r="D257" s="238"/>
      <c r="E257" s="238"/>
      <c r="F257" s="238"/>
      <c r="G257" s="238"/>
      <c r="H257" s="238"/>
      <c r="I257" s="238"/>
      <c r="J257" s="238"/>
      <c r="K257" s="238"/>
      <c r="L257" s="238"/>
      <c r="M257" s="238"/>
      <c r="N257" s="238"/>
      <c r="O257" s="238"/>
      <c r="P257" s="238"/>
      <c r="Q257" s="238"/>
      <c r="R257" s="238"/>
      <c r="S257" s="238"/>
      <c r="T257" s="238"/>
      <c r="U257" s="238"/>
      <c r="V257" s="238"/>
      <c r="W257" s="238"/>
      <c r="X257" s="238"/>
      <c r="Y257" s="238"/>
      <c r="Z257" s="238"/>
    </row>
    <row r="258" spans="1:26" ht="16.5" customHeight="1">
      <c r="A258" s="238"/>
      <c r="B258" s="238"/>
      <c r="C258" s="238"/>
      <c r="D258" s="238"/>
      <c r="E258" s="238"/>
      <c r="F258" s="238"/>
      <c r="G258" s="238"/>
      <c r="H258" s="238"/>
      <c r="I258" s="238"/>
      <c r="J258" s="238"/>
      <c r="K258" s="238"/>
      <c r="L258" s="238"/>
      <c r="M258" s="238"/>
      <c r="N258" s="238"/>
      <c r="O258" s="238"/>
      <c r="P258" s="238"/>
      <c r="Q258" s="238"/>
      <c r="R258" s="238"/>
      <c r="S258" s="238"/>
      <c r="T258" s="238"/>
      <c r="U258" s="238"/>
      <c r="V258" s="238"/>
      <c r="W258" s="238"/>
      <c r="X258" s="238"/>
      <c r="Y258" s="238"/>
      <c r="Z258" s="238"/>
    </row>
    <row r="259" spans="1:26" ht="16.5" customHeight="1">
      <c r="A259" s="238"/>
      <c r="B259" s="238"/>
      <c r="C259" s="238"/>
      <c r="D259" s="238"/>
      <c r="E259" s="238"/>
      <c r="F259" s="238"/>
      <c r="G259" s="238"/>
      <c r="H259" s="238"/>
      <c r="I259" s="238"/>
      <c r="J259" s="238"/>
      <c r="K259" s="238"/>
      <c r="L259" s="238"/>
      <c r="M259" s="238"/>
      <c r="N259" s="238"/>
      <c r="O259" s="238"/>
      <c r="P259" s="238"/>
      <c r="Q259" s="238"/>
      <c r="R259" s="238"/>
      <c r="S259" s="238"/>
      <c r="T259" s="238"/>
      <c r="U259" s="238"/>
      <c r="V259" s="238"/>
      <c r="W259" s="238"/>
      <c r="X259" s="238"/>
      <c r="Y259" s="238"/>
      <c r="Z259" s="238"/>
    </row>
    <row r="260" spans="1:26" ht="16.5" customHeight="1">
      <c r="A260" s="238"/>
      <c r="B260" s="238"/>
      <c r="C260" s="238"/>
      <c r="D260" s="238"/>
      <c r="E260" s="238"/>
      <c r="F260" s="238"/>
      <c r="G260" s="238"/>
      <c r="H260" s="238"/>
      <c r="I260" s="238"/>
      <c r="J260" s="238"/>
      <c r="K260" s="238"/>
      <c r="L260" s="238"/>
      <c r="M260" s="238"/>
      <c r="N260" s="238"/>
      <c r="O260" s="238"/>
      <c r="P260" s="238"/>
      <c r="Q260" s="238"/>
      <c r="R260" s="238"/>
      <c r="S260" s="238"/>
      <c r="T260" s="238"/>
      <c r="U260" s="238"/>
      <c r="V260" s="238"/>
      <c r="W260" s="238"/>
      <c r="X260" s="238"/>
      <c r="Y260" s="238"/>
      <c r="Z260" s="238"/>
    </row>
    <row r="261" spans="1:26" ht="16.5" customHeight="1">
      <c r="A261" s="238"/>
      <c r="B261" s="238"/>
      <c r="C261" s="238"/>
      <c r="D261" s="238"/>
      <c r="E261" s="238"/>
      <c r="F261" s="238"/>
      <c r="G261" s="238"/>
      <c r="H261" s="238"/>
      <c r="I261" s="238"/>
      <c r="J261" s="238"/>
      <c r="K261" s="238"/>
      <c r="L261" s="238"/>
      <c r="M261" s="238"/>
      <c r="N261" s="238"/>
      <c r="O261" s="238"/>
      <c r="P261" s="238"/>
      <c r="Q261" s="238"/>
      <c r="R261" s="238"/>
      <c r="S261" s="238"/>
      <c r="T261" s="238"/>
      <c r="U261" s="238"/>
      <c r="V261" s="238"/>
      <c r="W261" s="238"/>
      <c r="X261" s="238"/>
      <c r="Y261" s="238"/>
      <c r="Z261" s="238"/>
    </row>
    <row r="262" spans="1:26" ht="16.5" customHeight="1">
      <c r="A262" s="238"/>
      <c r="B262" s="238"/>
      <c r="C262" s="238"/>
      <c r="D262" s="238"/>
      <c r="E262" s="238"/>
      <c r="F262" s="238"/>
      <c r="G262" s="238"/>
      <c r="H262" s="238"/>
      <c r="I262" s="238"/>
      <c r="J262" s="238"/>
      <c r="K262" s="238"/>
      <c r="L262" s="238"/>
      <c r="M262" s="238"/>
      <c r="N262" s="238"/>
      <c r="O262" s="238"/>
      <c r="P262" s="238"/>
      <c r="Q262" s="238"/>
      <c r="R262" s="238"/>
      <c r="S262" s="238"/>
      <c r="T262" s="238"/>
      <c r="U262" s="238"/>
      <c r="V262" s="238"/>
      <c r="W262" s="238"/>
      <c r="X262" s="238"/>
      <c r="Y262" s="238"/>
      <c r="Z262" s="238"/>
    </row>
    <row r="263" spans="1:26" ht="16.5" customHeight="1">
      <c r="A263" s="238"/>
      <c r="B263" s="238"/>
      <c r="C263" s="238"/>
      <c r="D263" s="238"/>
      <c r="E263" s="238"/>
      <c r="F263" s="238"/>
      <c r="G263" s="238"/>
      <c r="H263" s="238"/>
      <c r="I263" s="238"/>
      <c r="J263" s="238"/>
      <c r="K263" s="238"/>
      <c r="L263" s="238"/>
      <c r="M263" s="238"/>
      <c r="N263" s="238"/>
      <c r="O263" s="238"/>
      <c r="P263" s="238"/>
      <c r="Q263" s="238"/>
      <c r="R263" s="238"/>
      <c r="S263" s="238"/>
      <c r="T263" s="238"/>
      <c r="U263" s="238"/>
      <c r="V263" s="238"/>
      <c r="W263" s="238"/>
      <c r="X263" s="238"/>
      <c r="Y263" s="238"/>
      <c r="Z263" s="238"/>
    </row>
    <row r="264" spans="1:26" ht="16.5" customHeight="1">
      <c r="A264" s="238"/>
      <c r="B264" s="238"/>
      <c r="C264" s="238"/>
      <c r="D264" s="238"/>
      <c r="E264" s="238"/>
      <c r="F264" s="238"/>
      <c r="G264" s="238"/>
      <c r="H264" s="238"/>
      <c r="I264" s="238"/>
      <c r="J264" s="238"/>
      <c r="K264" s="238"/>
      <c r="L264" s="238"/>
      <c r="M264" s="238"/>
      <c r="N264" s="238"/>
      <c r="O264" s="238"/>
      <c r="P264" s="238"/>
      <c r="Q264" s="238"/>
      <c r="R264" s="238"/>
      <c r="S264" s="238"/>
      <c r="T264" s="238"/>
      <c r="U264" s="238"/>
      <c r="V264" s="238"/>
      <c r="W264" s="238"/>
      <c r="X264" s="238"/>
      <c r="Y264" s="238"/>
      <c r="Z264" s="238"/>
    </row>
    <row r="265" spans="1:26" ht="16.5" customHeight="1">
      <c r="A265" s="238"/>
      <c r="B265" s="238"/>
      <c r="C265" s="238"/>
      <c r="D265" s="238"/>
      <c r="E265" s="238"/>
      <c r="F265" s="238"/>
      <c r="G265" s="238"/>
      <c r="H265" s="238"/>
      <c r="I265" s="238"/>
      <c r="J265" s="238"/>
      <c r="K265" s="238"/>
      <c r="L265" s="238"/>
      <c r="M265" s="238"/>
      <c r="N265" s="238"/>
      <c r="O265" s="238"/>
      <c r="P265" s="238"/>
      <c r="Q265" s="238"/>
      <c r="R265" s="238"/>
      <c r="S265" s="238"/>
      <c r="T265" s="238"/>
      <c r="U265" s="238"/>
      <c r="V265" s="238"/>
      <c r="W265" s="238"/>
      <c r="X265" s="238"/>
      <c r="Y265" s="238"/>
      <c r="Z265" s="238"/>
    </row>
    <row r="266" spans="1:26" ht="16.5" customHeight="1">
      <c r="A266" s="238"/>
      <c r="B266" s="238"/>
      <c r="C266" s="238"/>
      <c r="D266" s="238"/>
      <c r="E266" s="238"/>
      <c r="F266" s="238"/>
      <c r="G266" s="238"/>
      <c r="H266" s="238"/>
      <c r="I266" s="238"/>
      <c r="J266" s="238"/>
      <c r="K266" s="238"/>
      <c r="L266" s="238"/>
      <c r="M266" s="238"/>
      <c r="N266" s="238"/>
      <c r="O266" s="238"/>
      <c r="P266" s="238"/>
      <c r="Q266" s="238"/>
      <c r="R266" s="238"/>
      <c r="S266" s="238"/>
      <c r="T266" s="238"/>
      <c r="U266" s="238"/>
      <c r="V266" s="238"/>
      <c r="W266" s="238"/>
      <c r="X266" s="238"/>
      <c r="Y266" s="238"/>
      <c r="Z266" s="238"/>
    </row>
    <row r="267" spans="1:26" ht="16.5" customHeight="1">
      <c r="A267" s="238"/>
      <c r="B267" s="238"/>
      <c r="C267" s="238"/>
      <c r="D267" s="238"/>
      <c r="E267" s="238"/>
      <c r="F267" s="238"/>
      <c r="G267" s="238"/>
      <c r="H267" s="238"/>
      <c r="I267" s="238"/>
      <c r="J267" s="238"/>
      <c r="K267" s="238"/>
      <c r="L267" s="238"/>
      <c r="M267" s="238"/>
      <c r="N267" s="238"/>
      <c r="O267" s="238"/>
      <c r="P267" s="238"/>
      <c r="Q267" s="238"/>
      <c r="R267" s="238"/>
      <c r="S267" s="238"/>
      <c r="T267" s="238"/>
      <c r="U267" s="238"/>
      <c r="V267" s="238"/>
      <c r="W267" s="238"/>
      <c r="X267" s="238"/>
      <c r="Y267" s="238"/>
      <c r="Z267" s="238"/>
    </row>
    <row r="268" spans="1:26" ht="16.5" customHeight="1">
      <c r="A268" s="238"/>
      <c r="B268" s="238"/>
      <c r="C268" s="238"/>
      <c r="D268" s="238"/>
      <c r="E268" s="238"/>
      <c r="F268" s="238"/>
      <c r="G268" s="238"/>
      <c r="H268" s="238"/>
      <c r="I268" s="238"/>
      <c r="J268" s="238"/>
      <c r="K268" s="238"/>
      <c r="L268" s="238"/>
      <c r="M268" s="238"/>
      <c r="N268" s="238"/>
      <c r="O268" s="238"/>
      <c r="P268" s="238"/>
      <c r="Q268" s="238"/>
      <c r="R268" s="238"/>
      <c r="S268" s="238"/>
      <c r="T268" s="238"/>
      <c r="U268" s="238"/>
      <c r="V268" s="238"/>
      <c r="W268" s="238"/>
      <c r="X268" s="238"/>
      <c r="Y268" s="238"/>
      <c r="Z268" s="238"/>
    </row>
    <row r="269" spans="1:26" ht="16.5" customHeight="1">
      <c r="A269" s="238"/>
      <c r="B269" s="238"/>
      <c r="C269" s="238"/>
      <c r="D269" s="238"/>
      <c r="E269" s="238"/>
      <c r="F269" s="238"/>
      <c r="G269" s="238"/>
      <c r="H269" s="238"/>
      <c r="I269" s="238"/>
      <c r="J269" s="238"/>
      <c r="K269" s="238"/>
      <c r="L269" s="238"/>
      <c r="M269" s="238"/>
      <c r="N269" s="238"/>
      <c r="O269" s="238"/>
      <c r="P269" s="238"/>
      <c r="Q269" s="238"/>
      <c r="R269" s="238"/>
      <c r="S269" s="238"/>
      <c r="T269" s="238"/>
      <c r="U269" s="238"/>
      <c r="V269" s="238"/>
      <c r="W269" s="238"/>
      <c r="X269" s="238"/>
      <c r="Y269" s="238"/>
      <c r="Z269" s="238"/>
    </row>
    <row r="270" spans="1:26" ht="16.5" customHeight="1">
      <c r="A270" s="238"/>
      <c r="B270" s="238"/>
      <c r="C270" s="238"/>
      <c r="D270" s="238"/>
      <c r="E270" s="238"/>
      <c r="F270" s="238"/>
      <c r="G270" s="238"/>
      <c r="H270" s="238"/>
      <c r="I270" s="238"/>
      <c r="J270" s="238"/>
      <c r="K270" s="238"/>
      <c r="L270" s="238"/>
      <c r="M270" s="238"/>
      <c r="N270" s="238"/>
      <c r="O270" s="238"/>
      <c r="P270" s="238"/>
      <c r="Q270" s="238"/>
      <c r="R270" s="238"/>
      <c r="S270" s="238"/>
      <c r="T270" s="238"/>
      <c r="U270" s="238"/>
      <c r="V270" s="238"/>
      <c r="W270" s="238"/>
      <c r="X270" s="238"/>
      <c r="Y270" s="238"/>
      <c r="Z270" s="238"/>
    </row>
    <row r="271" spans="1:26" ht="16.5" customHeight="1">
      <c r="A271" s="238"/>
      <c r="B271" s="238"/>
      <c r="C271" s="238"/>
      <c r="D271" s="238"/>
      <c r="E271" s="238"/>
      <c r="F271" s="238"/>
      <c r="G271" s="238"/>
      <c r="H271" s="238"/>
      <c r="I271" s="238"/>
      <c r="J271" s="238"/>
      <c r="K271" s="238"/>
      <c r="L271" s="238"/>
      <c r="M271" s="238"/>
      <c r="N271" s="238"/>
      <c r="O271" s="238"/>
      <c r="P271" s="238"/>
      <c r="Q271" s="238"/>
      <c r="R271" s="238"/>
      <c r="S271" s="238"/>
      <c r="T271" s="238"/>
      <c r="U271" s="238"/>
      <c r="V271" s="238"/>
      <c r="W271" s="238"/>
      <c r="X271" s="238"/>
      <c r="Y271" s="238"/>
      <c r="Z271" s="238"/>
    </row>
    <row r="272" spans="1:26" ht="16.5" customHeight="1">
      <c r="A272" s="238"/>
      <c r="B272" s="238"/>
      <c r="C272" s="238"/>
      <c r="D272" s="238"/>
      <c r="E272" s="238"/>
      <c r="F272" s="238"/>
      <c r="G272" s="238"/>
      <c r="H272" s="238"/>
      <c r="I272" s="238"/>
      <c r="J272" s="238"/>
      <c r="K272" s="238"/>
      <c r="L272" s="238"/>
      <c r="M272" s="238"/>
      <c r="N272" s="238"/>
      <c r="O272" s="238"/>
      <c r="P272" s="238"/>
      <c r="Q272" s="238"/>
      <c r="R272" s="238"/>
      <c r="S272" s="238"/>
      <c r="T272" s="238"/>
      <c r="U272" s="238"/>
      <c r="V272" s="238"/>
      <c r="W272" s="238"/>
      <c r="X272" s="238"/>
      <c r="Y272" s="238"/>
      <c r="Z272" s="238"/>
    </row>
    <row r="273" spans="1:26" ht="16.5" customHeight="1">
      <c r="A273" s="238"/>
      <c r="B273" s="238"/>
      <c r="C273" s="238"/>
      <c r="D273" s="238"/>
      <c r="E273" s="238"/>
      <c r="F273" s="238"/>
      <c r="G273" s="238"/>
      <c r="H273" s="238"/>
      <c r="I273" s="238"/>
      <c r="J273" s="238"/>
      <c r="K273" s="238"/>
      <c r="L273" s="238"/>
      <c r="M273" s="238"/>
      <c r="N273" s="238"/>
      <c r="O273" s="238"/>
      <c r="P273" s="238"/>
      <c r="Q273" s="238"/>
      <c r="R273" s="238"/>
      <c r="S273" s="238"/>
      <c r="T273" s="238"/>
      <c r="U273" s="238"/>
      <c r="V273" s="238"/>
      <c r="W273" s="238"/>
      <c r="X273" s="238"/>
      <c r="Y273" s="238"/>
      <c r="Z273" s="238"/>
    </row>
    <row r="274" spans="1:26" ht="16.5" customHeight="1">
      <c r="A274" s="238"/>
      <c r="B274" s="238"/>
      <c r="C274" s="238"/>
      <c r="D274" s="238"/>
      <c r="E274" s="238"/>
      <c r="F274" s="238"/>
      <c r="G274" s="238"/>
      <c r="H274" s="238"/>
      <c r="I274" s="238"/>
      <c r="J274" s="238"/>
      <c r="K274" s="238"/>
      <c r="L274" s="238"/>
      <c r="M274" s="238"/>
      <c r="N274" s="238"/>
      <c r="O274" s="238"/>
      <c r="P274" s="238"/>
      <c r="Q274" s="238"/>
      <c r="R274" s="238"/>
      <c r="S274" s="238"/>
      <c r="T274" s="238"/>
      <c r="U274" s="238"/>
      <c r="V274" s="238"/>
      <c r="W274" s="238"/>
      <c r="X274" s="238"/>
      <c r="Y274" s="238"/>
      <c r="Z274" s="238"/>
    </row>
    <row r="275" spans="1:26" ht="16.5" customHeight="1">
      <c r="A275" s="238"/>
      <c r="B275" s="238"/>
      <c r="C275" s="238"/>
      <c r="D275" s="238"/>
      <c r="E275" s="238"/>
      <c r="F275" s="238"/>
      <c r="G275" s="238"/>
      <c r="H275" s="238"/>
      <c r="I275" s="238"/>
      <c r="J275" s="238"/>
      <c r="K275" s="238"/>
      <c r="L275" s="238"/>
      <c r="M275" s="238"/>
      <c r="N275" s="238"/>
      <c r="O275" s="238"/>
      <c r="P275" s="238"/>
      <c r="Q275" s="238"/>
      <c r="R275" s="238"/>
      <c r="S275" s="238"/>
      <c r="T275" s="238"/>
      <c r="U275" s="238"/>
      <c r="V275" s="238"/>
      <c r="W275" s="238"/>
      <c r="X275" s="238"/>
      <c r="Y275" s="238"/>
      <c r="Z275" s="238"/>
    </row>
    <row r="276" spans="1:26" ht="16.5" customHeight="1">
      <c r="A276" s="238"/>
      <c r="B276" s="238"/>
      <c r="C276" s="238"/>
      <c r="D276" s="238"/>
      <c r="E276" s="238"/>
      <c r="F276" s="238"/>
      <c r="G276" s="238"/>
      <c r="H276" s="238"/>
      <c r="I276" s="238"/>
      <c r="J276" s="238"/>
      <c r="K276" s="238"/>
      <c r="L276" s="238"/>
      <c r="M276" s="238"/>
      <c r="N276" s="238"/>
      <c r="O276" s="238"/>
      <c r="P276" s="238"/>
      <c r="Q276" s="238"/>
      <c r="R276" s="238"/>
      <c r="S276" s="238"/>
      <c r="T276" s="238"/>
      <c r="U276" s="238"/>
      <c r="V276" s="238"/>
      <c r="W276" s="238"/>
      <c r="X276" s="238"/>
      <c r="Y276" s="238"/>
      <c r="Z276" s="238"/>
    </row>
    <row r="277" spans="1:26" ht="16.5" customHeight="1">
      <c r="A277" s="238"/>
      <c r="B277" s="238"/>
      <c r="C277" s="238"/>
      <c r="D277" s="238"/>
      <c r="E277" s="238"/>
      <c r="F277" s="238"/>
      <c r="G277" s="238"/>
      <c r="H277" s="238"/>
      <c r="I277" s="238"/>
      <c r="J277" s="238"/>
      <c r="K277" s="238"/>
      <c r="L277" s="238"/>
      <c r="M277" s="238"/>
      <c r="N277" s="238"/>
      <c r="O277" s="238"/>
      <c r="P277" s="238"/>
      <c r="Q277" s="238"/>
      <c r="R277" s="238"/>
      <c r="S277" s="238"/>
      <c r="T277" s="238"/>
      <c r="U277" s="238"/>
      <c r="V277" s="238"/>
      <c r="W277" s="238"/>
      <c r="X277" s="238"/>
      <c r="Y277" s="238"/>
      <c r="Z277" s="238"/>
    </row>
    <row r="278" spans="1:26" ht="16.5" customHeight="1">
      <c r="A278" s="238"/>
      <c r="B278" s="238"/>
      <c r="C278" s="238"/>
      <c r="D278" s="238"/>
      <c r="E278" s="238"/>
      <c r="F278" s="238"/>
      <c r="G278" s="238"/>
      <c r="H278" s="238"/>
      <c r="I278" s="238"/>
      <c r="J278" s="238"/>
      <c r="K278" s="238"/>
      <c r="L278" s="238"/>
      <c r="M278" s="238"/>
      <c r="N278" s="238"/>
      <c r="O278" s="238"/>
      <c r="P278" s="238"/>
      <c r="Q278" s="238"/>
      <c r="R278" s="238"/>
      <c r="S278" s="238"/>
      <c r="T278" s="238"/>
      <c r="U278" s="238"/>
      <c r="V278" s="238"/>
      <c r="W278" s="238"/>
      <c r="X278" s="238"/>
      <c r="Y278" s="238"/>
      <c r="Z278" s="238"/>
    </row>
    <row r="279" spans="1:26" ht="16.5" customHeight="1">
      <c r="A279" s="238"/>
      <c r="B279" s="238"/>
      <c r="C279" s="238"/>
      <c r="D279" s="238"/>
      <c r="E279" s="238"/>
      <c r="F279" s="238"/>
      <c r="G279" s="238"/>
      <c r="H279" s="238"/>
      <c r="I279" s="238"/>
      <c r="J279" s="238"/>
      <c r="K279" s="238"/>
      <c r="L279" s="238"/>
      <c r="M279" s="238"/>
      <c r="N279" s="238"/>
      <c r="O279" s="238"/>
      <c r="P279" s="238"/>
      <c r="Q279" s="238"/>
      <c r="R279" s="238"/>
      <c r="S279" s="238"/>
      <c r="T279" s="238"/>
      <c r="U279" s="238"/>
      <c r="V279" s="238"/>
      <c r="W279" s="238"/>
      <c r="X279" s="238"/>
      <c r="Y279" s="238"/>
      <c r="Z279" s="238"/>
    </row>
    <row r="280" spans="1:26" ht="16.5" customHeight="1">
      <c r="A280" s="238"/>
      <c r="B280" s="238"/>
      <c r="C280" s="238"/>
      <c r="D280" s="238"/>
      <c r="E280" s="238"/>
      <c r="F280" s="238"/>
      <c r="G280" s="238"/>
      <c r="H280" s="238"/>
      <c r="I280" s="238"/>
      <c r="J280" s="238"/>
      <c r="K280" s="238"/>
      <c r="L280" s="238"/>
      <c r="M280" s="238"/>
      <c r="N280" s="238"/>
      <c r="O280" s="238"/>
      <c r="P280" s="238"/>
      <c r="Q280" s="238"/>
      <c r="R280" s="238"/>
      <c r="S280" s="238"/>
      <c r="T280" s="238"/>
      <c r="U280" s="238"/>
      <c r="V280" s="238"/>
      <c r="W280" s="238"/>
      <c r="X280" s="238"/>
      <c r="Y280" s="238"/>
      <c r="Z280" s="238"/>
    </row>
    <row r="281" spans="1:26" ht="16.5" customHeight="1">
      <c r="A281" s="238"/>
      <c r="B281" s="238"/>
      <c r="C281" s="238"/>
      <c r="D281" s="238"/>
      <c r="E281" s="238"/>
      <c r="F281" s="238"/>
      <c r="G281" s="238"/>
      <c r="H281" s="238"/>
      <c r="I281" s="238"/>
      <c r="J281" s="238"/>
      <c r="K281" s="238"/>
      <c r="L281" s="238"/>
      <c r="M281" s="238"/>
      <c r="N281" s="238"/>
      <c r="O281" s="238"/>
      <c r="P281" s="238"/>
      <c r="Q281" s="238"/>
      <c r="R281" s="238"/>
      <c r="S281" s="238"/>
      <c r="T281" s="238"/>
      <c r="U281" s="238"/>
      <c r="V281" s="238"/>
      <c r="W281" s="238"/>
      <c r="X281" s="238"/>
      <c r="Y281" s="238"/>
      <c r="Z281" s="238"/>
    </row>
    <row r="282" spans="1:26" ht="16.5" customHeight="1">
      <c r="A282" s="238"/>
      <c r="B282" s="238"/>
      <c r="C282" s="238"/>
      <c r="D282" s="238"/>
      <c r="E282" s="238"/>
      <c r="F282" s="238"/>
      <c r="G282" s="238"/>
      <c r="H282" s="238"/>
      <c r="I282" s="238"/>
      <c r="J282" s="238"/>
      <c r="K282" s="238"/>
      <c r="L282" s="238"/>
      <c r="M282" s="238"/>
      <c r="N282" s="238"/>
      <c r="O282" s="238"/>
      <c r="P282" s="238"/>
      <c r="Q282" s="238"/>
      <c r="R282" s="238"/>
      <c r="S282" s="238"/>
      <c r="T282" s="238"/>
      <c r="U282" s="238"/>
      <c r="V282" s="238"/>
      <c r="W282" s="238"/>
      <c r="X282" s="238"/>
      <c r="Y282" s="238"/>
      <c r="Z282" s="238"/>
    </row>
    <row r="283" spans="1:26" ht="16.5" customHeight="1">
      <c r="A283" s="238"/>
      <c r="B283" s="238"/>
      <c r="C283" s="238"/>
      <c r="D283" s="238"/>
      <c r="E283" s="238"/>
      <c r="F283" s="238"/>
      <c r="G283" s="238"/>
      <c r="H283" s="238"/>
      <c r="I283" s="238"/>
      <c r="J283" s="238"/>
      <c r="K283" s="238"/>
      <c r="L283" s="238"/>
      <c r="M283" s="238"/>
      <c r="N283" s="238"/>
      <c r="O283" s="238"/>
      <c r="P283" s="238"/>
      <c r="Q283" s="238"/>
      <c r="R283" s="238"/>
      <c r="S283" s="238"/>
      <c r="T283" s="238"/>
      <c r="U283" s="238"/>
      <c r="V283" s="238"/>
      <c r="W283" s="238"/>
      <c r="X283" s="238"/>
      <c r="Y283" s="238"/>
      <c r="Z283" s="238"/>
    </row>
    <row r="284" spans="1:26" ht="16.5" customHeight="1">
      <c r="A284" s="238"/>
      <c r="B284" s="238"/>
      <c r="C284" s="238"/>
      <c r="D284" s="238"/>
      <c r="E284" s="238"/>
      <c r="F284" s="238"/>
      <c r="G284" s="238"/>
      <c r="H284" s="238"/>
      <c r="I284" s="238"/>
      <c r="J284" s="238"/>
      <c r="K284" s="238"/>
      <c r="L284" s="238"/>
      <c r="M284" s="238"/>
      <c r="N284" s="238"/>
      <c r="O284" s="238"/>
      <c r="P284" s="238"/>
      <c r="Q284" s="238"/>
      <c r="R284" s="238"/>
      <c r="S284" s="238"/>
      <c r="T284" s="238"/>
      <c r="U284" s="238"/>
      <c r="V284" s="238"/>
      <c r="W284" s="238"/>
      <c r="X284" s="238"/>
      <c r="Y284" s="238"/>
      <c r="Z284" s="238"/>
    </row>
    <row r="285" spans="1:26" ht="16.5" customHeight="1">
      <c r="A285" s="238"/>
      <c r="B285" s="238"/>
      <c r="C285" s="238"/>
      <c r="D285" s="238"/>
      <c r="E285" s="238"/>
      <c r="F285" s="238"/>
      <c r="G285" s="238"/>
      <c r="H285" s="238"/>
      <c r="I285" s="238"/>
      <c r="J285" s="238"/>
      <c r="K285" s="238"/>
      <c r="L285" s="238"/>
      <c r="M285" s="238"/>
      <c r="N285" s="238"/>
      <c r="O285" s="238"/>
      <c r="P285" s="238"/>
      <c r="Q285" s="238"/>
      <c r="R285" s="238"/>
      <c r="S285" s="238"/>
      <c r="T285" s="238"/>
      <c r="U285" s="238"/>
      <c r="V285" s="238"/>
      <c r="W285" s="238"/>
      <c r="X285" s="238"/>
      <c r="Y285" s="238"/>
      <c r="Z285" s="238"/>
    </row>
    <row r="286" spans="1:26" ht="16.5" customHeight="1">
      <c r="A286" s="238"/>
      <c r="B286" s="238"/>
      <c r="C286" s="238"/>
      <c r="D286" s="238"/>
      <c r="E286" s="238"/>
      <c r="F286" s="238"/>
      <c r="G286" s="238"/>
      <c r="H286" s="238"/>
      <c r="I286" s="238"/>
      <c r="J286" s="238"/>
      <c r="K286" s="238"/>
      <c r="L286" s="238"/>
      <c r="M286" s="238"/>
      <c r="N286" s="238"/>
      <c r="O286" s="238"/>
      <c r="P286" s="238"/>
      <c r="Q286" s="238"/>
      <c r="R286" s="238"/>
      <c r="S286" s="238"/>
      <c r="T286" s="238"/>
      <c r="U286" s="238"/>
      <c r="V286" s="238"/>
      <c r="W286" s="238"/>
      <c r="X286" s="238"/>
      <c r="Y286" s="238"/>
      <c r="Z286" s="238"/>
    </row>
    <row r="287" spans="1:26" ht="16.5" customHeight="1">
      <c r="A287" s="238"/>
      <c r="B287" s="238"/>
      <c r="C287" s="238"/>
      <c r="D287" s="238"/>
      <c r="E287" s="238"/>
      <c r="F287" s="238"/>
      <c r="G287" s="238"/>
      <c r="H287" s="238"/>
      <c r="I287" s="238"/>
      <c r="J287" s="238"/>
      <c r="K287" s="238"/>
      <c r="L287" s="238"/>
      <c r="M287" s="238"/>
      <c r="N287" s="238"/>
      <c r="O287" s="238"/>
      <c r="P287" s="238"/>
      <c r="Q287" s="238"/>
      <c r="R287" s="238"/>
      <c r="S287" s="238"/>
      <c r="T287" s="238"/>
      <c r="U287" s="238"/>
      <c r="V287" s="238"/>
      <c r="W287" s="238"/>
      <c r="X287" s="238"/>
      <c r="Y287" s="238"/>
      <c r="Z287" s="238"/>
    </row>
    <row r="288" spans="1:26" ht="16.5" customHeight="1">
      <c r="A288" s="238"/>
      <c r="B288" s="238"/>
      <c r="C288" s="238"/>
      <c r="D288" s="238"/>
      <c r="E288" s="238"/>
      <c r="F288" s="238"/>
      <c r="G288" s="238"/>
      <c r="H288" s="238"/>
      <c r="I288" s="238"/>
      <c r="J288" s="238"/>
      <c r="K288" s="238"/>
      <c r="L288" s="238"/>
      <c r="M288" s="238"/>
      <c r="N288" s="238"/>
      <c r="O288" s="238"/>
      <c r="P288" s="238"/>
      <c r="Q288" s="238"/>
      <c r="R288" s="238"/>
      <c r="S288" s="238"/>
      <c r="T288" s="238"/>
      <c r="U288" s="238"/>
      <c r="V288" s="238"/>
      <c r="W288" s="238"/>
      <c r="X288" s="238"/>
      <c r="Y288" s="238"/>
      <c r="Z288" s="238"/>
    </row>
    <row r="289" spans="1:26" ht="16.5" customHeight="1">
      <c r="A289" s="238"/>
      <c r="B289" s="238"/>
      <c r="C289" s="238"/>
      <c r="D289" s="238"/>
      <c r="E289" s="238"/>
      <c r="F289" s="238"/>
      <c r="G289" s="238"/>
      <c r="H289" s="238"/>
      <c r="I289" s="238"/>
      <c r="J289" s="238"/>
      <c r="K289" s="238"/>
      <c r="L289" s="238"/>
      <c r="M289" s="238"/>
      <c r="N289" s="238"/>
      <c r="O289" s="238"/>
      <c r="P289" s="238"/>
      <c r="Q289" s="238"/>
      <c r="R289" s="238"/>
      <c r="S289" s="238"/>
      <c r="T289" s="238"/>
      <c r="U289" s="238"/>
      <c r="V289" s="238"/>
      <c r="W289" s="238"/>
      <c r="X289" s="238"/>
      <c r="Y289" s="238"/>
      <c r="Z289" s="238"/>
    </row>
    <row r="290" spans="1:26" ht="16.5" customHeight="1">
      <c r="A290" s="238"/>
      <c r="B290" s="238"/>
      <c r="C290" s="238"/>
      <c r="D290" s="238"/>
      <c r="E290" s="238"/>
      <c r="F290" s="238"/>
      <c r="G290" s="238"/>
      <c r="H290" s="238"/>
      <c r="I290" s="238"/>
      <c r="J290" s="238"/>
      <c r="K290" s="238"/>
      <c r="L290" s="238"/>
      <c r="M290" s="238"/>
      <c r="N290" s="238"/>
      <c r="O290" s="238"/>
      <c r="P290" s="238"/>
      <c r="Q290" s="238"/>
      <c r="R290" s="238"/>
      <c r="S290" s="238"/>
      <c r="T290" s="238"/>
      <c r="U290" s="238"/>
      <c r="V290" s="238"/>
      <c r="W290" s="238"/>
      <c r="X290" s="238"/>
      <c r="Y290" s="238"/>
      <c r="Z290" s="238"/>
    </row>
    <row r="291" spans="1:26" ht="16.5" customHeight="1">
      <c r="A291" s="238"/>
      <c r="B291" s="238"/>
      <c r="C291" s="238"/>
      <c r="D291" s="238"/>
      <c r="E291" s="238"/>
      <c r="F291" s="238"/>
      <c r="G291" s="238"/>
      <c r="H291" s="238"/>
      <c r="I291" s="238"/>
      <c r="J291" s="238"/>
      <c r="K291" s="238"/>
      <c r="L291" s="238"/>
      <c r="M291" s="238"/>
      <c r="N291" s="238"/>
      <c r="O291" s="238"/>
      <c r="P291" s="238"/>
      <c r="Q291" s="238"/>
      <c r="R291" s="238"/>
      <c r="S291" s="238"/>
      <c r="T291" s="238"/>
      <c r="U291" s="238"/>
      <c r="V291" s="238"/>
      <c r="W291" s="238"/>
      <c r="X291" s="238"/>
      <c r="Y291" s="238"/>
      <c r="Z291" s="238"/>
    </row>
    <row r="292" spans="1:26" ht="16.5" customHeight="1">
      <c r="A292" s="238"/>
      <c r="B292" s="238"/>
      <c r="C292" s="238"/>
      <c r="D292" s="238"/>
      <c r="E292" s="238"/>
      <c r="F292" s="238"/>
      <c r="G292" s="238"/>
      <c r="H292" s="238"/>
      <c r="I292" s="238"/>
      <c r="J292" s="238"/>
      <c r="K292" s="238"/>
      <c r="L292" s="238"/>
      <c r="M292" s="238"/>
      <c r="N292" s="238"/>
      <c r="O292" s="238"/>
      <c r="P292" s="238"/>
      <c r="Q292" s="238"/>
      <c r="R292" s="238"/>
      <c r="S292" s="238"/>
      <c r="T292" s="238"/>
      <c r="U292" s="238"/>
      <c r="V292" s="238"/>
      <c r="W292" s="238"/>
      <c r="X292" s="238"/>
      <c r="Y292" s="238"/>
      <c r="Z292" s="238"/>
    </row>
    <row r="293" spans="1:26" ht="16.5" customHeight="1">
      <c r="A293" s="238"/>
      <c r="B293" s="238"/>
      <c r="C293" s="238"/>
      <c r="D293" s="238"/>
      <c r="E293" s="238"/>
      <c r="F293" s="238"/>
      <c r="G293" s="238"/>
      <c r="H293" s="238"/>
      <c r="I293" s="238"/>
      <c r="J293" s="238"/>
      <c r="K293" s="238"/>
      <c r="L293" s="238"/>
      <c r="M293" s="238"/>
      <c r="N293" s="238"/>
      <c r="O293" s="238"/>
      <c r="P293" s="238"/>
      <c r="Q293" s="238"/>
      <c r="R293" s="238"/>
      <c r="S293" s="238"/>
      <c r="T293" s="238"/>
      <c r="U293" s="238"/>
      <c r="V293" s="238"/>
      <c r="W293" s="238"/>
      <c r="X293" s="238"/>
      <c r="Y293" s="238"/>
      <c r="Z293" s="238"/>
    </row>
    <row r="294" spans="1:26" ht="16.5" customHeight="1">
      <c r="A294" s="238"/>
      <c r="B294" s="238"/>
      <c r="C294" s="238"/>
      <c r="D294" s="238"/>
      <c r="E294" s="238"/>
      <c r="F294" s="238"/>
      <c r="G294" s="238"/>
      <c r="H294" s="238"/>
      <c r="I294" s="238"/>
      <c r="J294" s="238"/>
      <c r="K294" s="238"/>
      <c r="L294" s="238"/>
      <c r="M294" s="238"/>
      <c r="N294" s="238"/>
      <c r="O294" s="238"/>
      <c r="P294" s="238"/>
      <c r="Q294" s="238"/>
      <c r="R294" s="238"/>
      <c r="S294" s="238"/>
      <c r="T294" s="238"/>
      <c r="U294" s="238"/>
      <c r="V294" s="238"/>
      <c r="W294" s="238"/>
      <c r="X294" s="238"/>
      <c r="Y294" s="238"/>
      <c r="Z294" s="238"/>
    </row>
    <row r="295" spans="1:26" ht="16.5" customHeight="1">
      <c r="A295" s="238"/>
      <c r="B295" s="238"/>
      <c r="C295" s="238"/>
      <c r="D295" s="238"/>
      <c r="E295" s="238"/>
      <c r="F295" s="238"/>
      <c r="G295" s="238"/>
      <c r="H295" s="238"/>
      <c r="I295" s="238"/>
      <c r="J295" s="238"/>
      <c r="K295" s="238"/>
      <c r="L295" s="238"/>
      <c r="M295" s="238"/>
      <c r="N295" s="238"/>
      <c r="O295" s="238"/>
      <c r="P295" s="238"/>
      <c r="Q295" s="238"/>
      <c r="R295" s="238"/>
      <c r="S295" s="238"/>
      <c r="T295" s="238"/>
      <c r="U295" s="238"/>
      <c r="V295" s="238"/>
      <c r="W295" s="238"/>
      <c r="X295" s="238"/>
      <c r="Y295" s="238"/>
      <c r="Z295" s="238"/>
    </row>
    <row r="296" spans="1:26" ht="16.5" customHeight="1">
      <c r="A296" s="238"/>
      <c r="B296" s="238"/>
      <c r="C296" s="238"/>
      <c r="D296" s="238"/>
      <c r="E296" s="238"/>
      <c r="F296" s="238"/>
      <c r="G296" s="238"/>
      <c r="H296" s="238"/>
      <c r="I296" s="238"/>
      <c r="J296" s="238"/>
      <c r="K296" s="238"/>
      <c r="L296" s="238"/>
      <c r="M296" s="238"/>
      <c r="N296" s="238"/>
      <c r="O296" s="238"/>
      <c r="P296" s="238"/>
      <c r="Q296" s="238"/>
      <c r="R296" s="238"/>
      <c r="S296" s="238"/>
      <c r="T296" s="238"/>
      <c r="U296" s="238"/>
      <c r="V296" s="238"/>
      <c r="W296" s="238"/>
      <c r="X296" s="238"/>
      <c r="Y296" s="238"/>
      <c r="Z296" s="238"/>
    </row>
    <row r="297" spans="1:26" ht="16.5" customHeight="1">
      <c r="A297" s="238"/>
      <c r="B297" s="238"/>
      <c r="C297" s="238"/>
      <c r="D297" s="238"/>
      <c r="E297" s="238"/>
      <c r="F297" s="238"/>
      <c r="G297" s="238"/>
      <c r="H297" s="238"/>
      <c r="I297" s="238"/>
      <c r="J297" s="238"/>
      <c r="K297" s="238"/>
      <c r="L297" s="238"/>
      <c r="M297" s="238"/>
      <c r="N297" s="238"/>
      <c r="O297" s="238"/>
      <c r="P297" s="238"/>
      <c r="Q297" s="238"/>
      <c r="R297" s="238"/>
      <c r="S297" s="238"/>
      <c r="T297" s="238"/>
      <c r="U297" s="238"/>
      <c r="V297" s="238"/>
      <c r="W297" s="238"/>
      <c r="X297" s="238"/>
      <c r="Y297" s="238"/>
      <c r="Z297" s="238"/>
    </row>
    <row r="298" spans="1:26" ht="16.5" customHeight="1">
      <c r="A298" s="238"/>
      <c r="B298" s="238"/>
      <c r="C298" s="238"/>
      <c r="D298" s="238"/>
      <c r="E298" s="238"/>
      <c r="F298" s="238"/>
      <c r="G298" s="238"/>
      <c r="H298" s="238"/>
      <c r="I298" s="238"/>
      <c r="J298" s="238"/>
      <c r="K298" s="238"/>
      <c r="L298" s="238"/>
      <c r="M298" s="238"/>
      <c r="N298" s="238"/>
      <c r="O298" s="238"/>
      <c r="P298" s="238"/>
      <c r="Q298" s="238"/>
      <c r="R298" s="238"/>
      <c r="S298" s="238"/>
      <c r="T298" s="238"/>
      <c r="U298" s="238"/>
      <c r="V298" s="238"/>
      <c r="W298" s="238"/>
      <c r="X298" s="238"/>
      <c r="Y298" s="238"/>
      <c r="Z298" s="238"/>
    </row>
    <row r="299" spans="1:26" ht="16.5" customHeight="1">
      <c r="A299" s="238"/>
      <c r="B299" s="238"/>
      <c r="C299" s="238"/>
      <c r="D299" s="238"/>
      <c r="E299" s="238"/>
      <c r="F299" s="238"/>
      <c r="G299" s="238"/>
      <c r="H299" s="238"/>
      <c r="I299" s="238"/>
      <c r="J299" s="238"/>
      <c r="K299" s="238"/>
      <c r="L299" s="238"/>
      <c r="M299" s="238"/>
      <c r="N299" s="238"/>
      <c r="O299" s="238"/>
      <c r="P299" s="238"/>
      <c r="Q299" s="238"/>
      <c r="R299" s="238"/>
      <c r="S299" s="238"/>
      <c r="T299" s="238"/>
      <c r="U299" s="238"/>
      <c r="V299" s="238"/>
      <c r="W299" s="238"/>
      <c r="X299" s="238"/>
      <c r="Y299" s="238"/>
      <c r="Z299" s="238"/>
    </row>
    <row r="300" spans="1:26" ht="16.5" customHeight="1">
      <c r="A300" s="238"/>
      <c r="B300" s="238"/>
      <c r="C300" s="238"/>
      <c r="D300" s="238"/>
      <c r="E300" s="238"/>
      <c r="F300" s="238"/>
      <c r="G300" s="238"/>
      <c r="H300" s="238"/>
      <c r="I300" s="238"/>
      <c r="J300" s="238"/>
      <c r="K300" s="238"/>
      <c r="L300" s="238"/>
      <c r="M300" s="238"/>
      <c r="N300" s="238"/>
      <c r="O300" s="238"/>
      <c r="P300" s="238"/>
      <c r="Q300" s="238"/>
      <c r="R300" s="238"/>
      <c r="S300" s="238"/>
      <c r="T300" s="238"/>
      <c r="U300" s="238"/>
      <c r="V300" s="238"/>
      <c r="W300" s="238"/>
      <c r="X300" s="238"/>
      <c r="Y300" s="238"/>
      <c r="Z300" s="238"/>
    </row>
    <row r="301" spans="1:26" ht="16.5" customHeight="1">
      <c r="A301" s="238"/>
      <c r="B301" s="238"/>
      <c r="C301" s="238"/>
      <c r="D301" s="238"/>
      <c r="E301" s="238"/>
      <c r="F301" s="238"/>
      <c r="G301" s="238"/>
      <c r="H301" s="238"/>
      <c r="I301" s="238"/>
      <c r="J301" s="238"/>
      <c r="K301" s="238"/>
      <c r="L301" s="238"/>
      <c r="M301" s="238"/>
      <c r="N301" s="238"/>
      <c r="O301" s="238"/>
      <c r="P301" s="238"/>
      <c r="Q301" s="238"/>
      <c r="R301" s="238"/>
      <c r="S301" s="238"/>
      <c r="T301" s="238"/>
      <c r="U301" s="238"/>
      <c r="V301" s="238"/>
      <c r="W301" s="238"/>
      <c r="X301" s="238"/>
      <c r="Y301" s="238"/>
      <c r="Z301" s="238"/>
    </row>
    <row r="302" spans="1:26" ht="16.5" customHeight="1">
      <c r="A302" s="238"/>
      <c r="B302" s="238"/>
      <c r="C302" s="238"/>
      <c r="D302" s="238"/>
      <c r="E302" s="238"/>
      <c r="F302" s="238"/>
      <c r="G302" s="238"/>
      <c r="H302" s="238"/>
      <c r="I302" s="238"/>
      <c r="J302" s="238"/>
      <c r="K302" s="238"/>
      <c r="L302" s="238"/>
      <c r="M302" s="238"/>
      <c r="N302" s="238"/>
      <c r="O302" s="238"/>
      <c r="P302" s="238"/>
      <c r="Q302" s="238"/>
      <c r="R302" s="238"/>
      <c r="S302" s="238"/>
      <c r="T302" s="238"/>
      <c r="U302" s="238"/>
      <c r="V302" s="238"/>
      <c r="W302" s="238"/>
      <c r="X302" s="238"/>
      <c r="Y302" s="238"/>
      <c r="Z302" s="238"/>
    </row>
    <row r="303" spans="1:26" ht="16.5" customHeight="1">
      <c r="A303" s="238"/>
      <c r="B303" s="238"/>
      <c r="C303" s="238"/>
      <c r="D303" s="238"/>
      <c r="E303" s="238"/>
      <c r="F303" s="238"/>
      <c r="G303" s="238"/>
      <c r="H303" s="238"/>
      <c r="I303" s="238"/>
      <c r="J303" s="238"/>
      <c r="K303" s="238"/>
      <c r="L303" s="238"/>
      <c r="M303" s="238"/>
      <c r="N303" s="238"/>
      <c r="O303" s="238"/>
      <c r="P303" s="238"/>
      <c r="Q303" s="238"/>
      <c r="R303" s="238"/>
      <c r="S303" s="238"/>
      <c r="T303" s="238"/>
      <c r="U303" s="238"/>
      <c r="V303" s="238"/>
      <c r="W303" s="238"/>
      <c r="X303" s="238"/>
      <c r="Y303" s="238"/>
      <c r="Z303" s="238"/>
    </row>
    <row r="304" spans="1:26" ht="16.5" customHeight="1">
      <c r="A304" s="238"/>
      <c r="B304" s="238"/>
      <c r="C304" s="238"/>
      <c r="D304" s="238"/>
      <c r="E304" s="238"/>
      <c r="F304" s="238"/>
      <c r="G304" s="238"/>
      <c r="H304" s="238"/>
      <c r="I304" s="238"/>
      <c r="J304" s="238"/>
      <c r="K304" s="238"/>
      <c r="L304" s="238"/>
      <c r="M304" s="238"/>
      <c r="N304" s="238"/>
      <c r="O304" s="238"/>
      <c r="P304" s="238"/>
      <c r="Q304" s="238"/>
      <c r="R304" s="238"/>
      <c r="S304" s="238"/>
      <c r="T304" s="238"/>
      <c r="U304" s="238"/>
      <c r="V304" s="238"/>
      <c r="W304" s="238"/>
      <c r="X304" s="238"/>
      <c r="Y304" s="238"/>
      <c r="Z304" s="238"/>
    </row>
    <row r="305" spans="1:26" ht="16.5" customHeight="1">
      <c r="A305" s="238"/>
      <c r="B305" s="238"/>
      <c r="C305" s="238"/>
      <c r="D305" s="238"/>
      <c r="E305" s="238"/>
      <c r="F305" s="238"/>
      <c r="G305" s="238"/>
      <c r="H305" s="238"/>
      <c r="I305" s="238"/>
      <c r="J305" s="238"/>
      <c r="K305" s="238"/>
      <c r="L305" s="238"/>
      <c r="M305" s="238"/>
      <c r="N305" s="238"/>
      <c r="O305" s="238"/>
      <c r="P305" s="238"/>
      <c r="Q305" s="238"/>
      <c r="R305" s="238"/>
      <c r="S305" s="238"/>
      <c r="T305" s="238"/>
      <c r="U305" s="238"/>
      <c r="V305" s="238"/>
      <c r="W305" s="238"/>
      <c r="X305" s="238"/>
      <c r="Y305" s="238"/>
      <c r="Z305" s="238"/>
    </row>
    <row r="306" spans="1:26" ht="16.5" customHeight="1">
      <c r="A306" s="238"/>
      <c r="B306" s="238"/>
      <c r="C306" s="238"/>
      <c r="D306" s="238"/>
      <c r="E306" s="238"/>
      <c r="F306" s="238"/>
      <c r="G306" s="238"/>
      <c r="H306" s="238"/>
      <c r="I306" s="238"/>
      <c r="J306" s="238"/>
      <c r="K306" s="238"/>
      <c r="L306" s="238"/>
      <c r="M306" s="238"/>
      <c r="N306" s="238"/>
      <c r="O306" s="238"/>
      <c r="P306" s="238"/>
      <c r="Q306" s="238"/>
      <c r="R306" s="238"/>
      <c r="S306" s="238"/>
      <c r="T306" s="238"/>
      <c r="U306" s="238"/>
      <c r="V306" s="238"/>
      <c r="W306" s="238"/>
      <c r="X306" s="238"/>
      <c r="Y306" s="238"/>
      <c r="Z306" s="238"/>
    </row>
    <row r="307" spans="1:26" ht="16.5" customHeight="1">
      <c r="A307" s="238"/>
      <c r="B307" s="238"/>
      <c r="C307" s="238"/>
      <c r="D307" s="238"/>
      <c r="E307" s="238"/>
      <c r="F307" s="238"/>
      <c r="G307" s="238"/>
      <c r="H307" s="238"/>
      <c r="I307" s="238"/>
      <c r="J307" s="238"/>
      <c r="K307" s="238"/>
      <c r="L307" s="238"/>
      <c r="M307" s="238"/>
      <c r="N307" s="238"/>
      <c r="O307" s="238"/>
      <c r="P307" s="238"/>
      <c r="Q307" s="238"/>
      <c r="R307" s="238"/>
      <c r="S307" s="238"/>
      <c r="T307" s="238"/>
      <c r="U307" s="238"/>
      <c r="V307" s="238"/>
      <c r="W307" s="238"/>
      <c r="X307" s="238"/>
      <c r="Y307" s="238"/>
      <c r="Z307" s="238"/>
    </row>
    <row r="308" spans="1:26" ht="16.5" customHeight="1">
      <c r="A308" s="238"/>
      <c r="B308" s="238"/>
      <c r="C308" s="238"/>
      <c r="D308" s="238"/>
      <c r="E308" s="238"/>
      <c r="F308" s="238"/>
      <c r="G308" s="238"/>
      <c r="H308" s="238"/>
      <c r="I308" s="238"/>
      <c r="J308" s="238"/>
      <c r="K308" s="238"/>
      <c r="L308" s="238"/>
      <c r="M308" s="238"/>
      <c r="N308" s="238"/>
      <c r="O308" s="238"/>
      <c r="P308" s="238"/>
      <c r="Q308" s="238"/>
      <c r="R308" s="238"/>
      <c r="S308" s="238"/>
      <c r="T308" s="238"/>
      <c r="U308" s="238"/>
      <c r="V308" s="238"/>
      <c r="W308" s="238"/>
      <c r="X308" s="238"/>
      <c r="Y308" s="238"/>
      <c r="Z308" s="238"/>
    </row>
    <row r="309" spans="1:26" ht="16.5" customHeight="1">
      <c r="A309" s="238"/>
      <c r="B309" s="238"/>
      <c r="C309" s="238"/>
      <c r="D309" s="238"/>
      <c r="E309" s="238"/>
      <c r="F309" s="238"/>
      <c r="G309" s="238"/>
      <c r="H309" s="238"/>
      <c r="I309" s="238"/>
      <c r="J309" s="238"/>
      <c r="K309" s="238"/>
      <c r="L309" s="238"/>
      <c r="M309" s="238"/>
      <c r="N309" s="238"/>
      <c r="O309" s="238"/>
      <c r="P309" s="238"/>
      <c r="Q309" s="238"/>
      <c r="R309" s="238"/>
      <c r="S309" s="238"/>
      <c r="T309" s="238"/>
      <c r="U309" s="238"/>
      <c r="V309" s="238"/>
      <c r="W309" s="238"/>
      <c r="X309" s="238"/>
      <c r="Y309" s="238"/>
      <c r="Z309" s="238"/>
    </row>
    <row r="310" spans="1:26" ht="16.5" customHeight="1">
      <c r="A310" s="238"/>
      <c r="B310" s="238"/>
      <c r="C310" s="238"/>
      <c r="D310" s="238"/>
      <c r="E310" s="238"/>
      <c r="F310" s="238"/>
      <c r="G310" s="238"/>
      <c r="H310" s="238"/>
      <c r="I310" s="238"/>
      <c r="J310" s="238"/>
      <c r="K310" s="238"/>
      <c r="L310" s="238"/>
      <c r="M310" s="238"/>
      <c r="N310" s="238"/>
      <c r="O310" s="238"/>
      <c r="P310" s="238"/>
      <c r="Q310" s="238"/>
      <c r="R310" s="238"/>
      <c r="S310" s="238"/>
      <c r="T310" s="238"/>
      <c r="U310" s="238"/>
      <c r="V310" s="238"/>
      <c r="W310" s="238"/>
      <c r="X310" s="238"/>
      <c r="Y310" s="238"/>
      <c r="Z310" s="238"/>
    </row>
    <row r="311" spans="1:26" ht="16.5" customHeight="1">
      <c r="A311" s="238"/>
      <c r="B311" s="238"/>
      <c r="C311" s="238"/>
      <c r="D311" s="238"/>
      <c r="E311" s="238"/>
      <c r="F311" s="238"/>
      <c r="G311" s="238"/>
      <c r="H311" s="238"/>
      <c r="I311" s="238"/>
      <c r="J311" s="238"/>
      <c r="K311" s="238"/>
      <c r="L311" s="238"/>
      <c r="M311" s="238"/>
      <c r="N311" s="238"/>
      <c r="O311" s="238"/>
      <c r="P311" s="238"/>
      <c r="Q311" s="238"/>
      <c r="R311" s="238"/>
      <c r="S311" s="238"/>
      <c r="T311" s="238"/>
      <c r="U311" s="238"/>
      <c r="V311" s="238"/>
      <c r="W311" s="238"/>
      <c r="X311" s="238"/>
      <c r="Y311" s="238"/>
      <c r="Z311" s="238"/>
    </row>
    <row r="312" spans="1:26" ht="16.5" customHeight="1">
      <c r="A312" s="238"/>
      <c r="B312" s="238"/>
      <c r="C312" s="238"/>
      <c r="D312" s="238"/>
      <c r="E312" s="238"/>
      <c r="F312" s="238"/>
      <c r="G312" s="238"/>
      <c r="H312" s="238"/>
      <c r="I312" s="238"/>
      <c r="J312" s="238"/>
      <c r="K312" s="238"/>
      <c r="L312" s="238"/>
      <c r="M312" s="238"/>
      <c r="N312" s="238"/>
      <c r="O312" s="238"/>
      <c r="P312" s="238"/>
      <c r="Q312" s="238"/>
      <c r="R312" s="238"/>
      <c r="S312" s="238"/>
      <c r="T312" s="238"/>
      <c r="U312" s="238"/>
      <c r="V312" s="238"/>
      <c r="W312" s="238"/>
      <c r="X312" s="238"/>
      <c r="Y312" s="238"/>
      <c r="Z312" s="238"/>
    </row>
    <row r="313" spans="1:26" ht="16.5" customHeight="1">
      <c r="A313" s="238"/>
      <c r="B313" s="238"/>
      <c r="C313" s="238"/>
      <c r="D313" s="238"/>
      <c r="E313" s="238"/>
      <c r="F313" s="238"/>
      <c r="G313" s="238"/>
      <c r="H313" s="238"/>
      <c r="I313" s="238"/>
      <c r="J313" s="238"/>
      <c r="K313" s="238"/>
      <c r="L313" s="238"/>
      <c r="M313" s="238"/>
      <c r="N313" s="238"/>
      <c r="O313" s="238"/>
      <c r="P313" s="238"/>
      <c r="Q313" s="238"/>
      <c r="R313" s="238"/>
      <c r="S313" s="238"/>
      <c r="T313" s="238"/>
      <c r="U313" s="238"/>
      <c r="V313" s="238"/>
      <c r="W313" s="238"/>
      <c r="X313" s="238"/>
      <c r="Y313" s="238"/>
      <c r="Z313" s="238"/>
    </row>
    <row r="314" spans="1:26" ht="16.5" customHeight="1">
      <c r="A314" s="238"/>
      <c r="B314" s="238"/>
      <c r="C314" s="238"/>
      <c r="D314" s="238"/>
      <c r="E314" s="238"/>
      <c r="F314" s="238"/>
      <c r="G314" s="238"/>
      <c r="H314" s="238"/>
      <c r="I314" s="238"/>
      <c r="J314" s="238"/>
      <c r="K314" s="238"/>
      <c r="L314" s="238"/>
      <c r="M314" s="238"/>
      <c r="N314" s="238"/>
      <c r="O314" s="238"/>
      <c r="P314" s="238"/>
      <c r="Q314" s="238"/>
      <c r="R314" s="238"/>
      <c r="S314" s="238"/>
      <c r="T314" s="238"/>
      <c r="U314" s="238"/>
      <c r="V314" s="238"/>
      <c r="W314" s="238"/>
      <c r="X314" s="238"/>
      <c r="Y314" s="238"/>
      <c r="Z314" s="238"/>
    </row>
    <row r="315" spans="1:26" ht="16.5" customHeight="1">
      <c r="A315" s="238"/>
      <c r="B315" s="238"/>
      <c r="C315" s="238"/>
      <c r="D315" s="238"/>
      <c r="E315" s="238"/>
      <c r="F315" s="238"/>
      <c r="G315" s="238"/>
      <c r="H315" s="238"/>
      <c r="I315" s="238"/>
      <c r="J315" s="238"/>
      <c r="K315" s="238"/>
      <c r="L315" s="238"/>
      <c r="M315" s="238"/>
      <c r="N315" s="238"/>
      <c r="O315" s="238"/>
      <c r="P315" s="238"/>
      <c r="Q315" s="238"/>
      <c r="R315" s="238"/>
      <c r="S315" s="238"/>
      <c r="T315" s="238"/>
      <c r="U315" s="238"/>
      <c r="V315" s="238"/>
      <c r="W315" s="238"/>
      <c r="X315" s="238"/>
      <c r="Y315" s="238"/>
      <c r="Z315" s="238"/>
    </row>
    <row r="316" spans="1:26" ht="16.5" customHeight="1">
      <c r="A316" s="238"/>
      <c r="B316" s="238"/>
      <c r="C316" s="238"/>
      <c r="D316" s="238"/>
      <c r="E316" s="238"/>
      <c r="F316" s="238"/>
      <c r="G316" s="238"/>
      <c r="H316" s="238"/>
      <c r="I316" s="238"/>
      <c r="J316" s="238"/>
      <c r="K316" s="238"/>
      <c r="L316" s="238"/>
      <c r="M316" s="238"/>
      <c r="N316" s="238"/>
      <c r="O316" s="238"/>
      <c r="P316" s="238"/>
      <c r="Q316" s="238"/>
      <c r="R316" s="238"/>
      <c r="S316" s="238"/>
      <c r="T316" s="238"/>
      <c r="U316" s="238"/>
      <c r="V316" s="238"/>
      <c r="W316" s="238"/>
      <c r="X316" s="238"/>
      <c r="Y316" s="238"/>
      <c r="Z316" s="238"/>
    </row>
    <row r="317" spans="1:26" ht="16.5" customHeight="1">
      <c r="A317" s="238"/>
      <c r="B317" s="238"/>
      <c r="C317" s="238"/>
      <c r="D317" s="238"/>
      <c r="E317" s="238"/>
      <c r="F317" s="238"/>
      <c r="G317" s="238"/>
      <c r="H317" s="238"/>
      <c r="I317" s="238"/>
      <c r="J317" s="238"/>
      <c r="K317" s="238"/>
      <c r="L317" s="238"/>
      <c r="M317" s="238"/>
      <c r="N317" s="238"/>
      <c r="O317" s="238"/>
      <c r="P317" s="238"/>
      <c r="Q317" s="238"/>
      <c r="R317" s="238"/>
      <c r="S317" s="238"/>
      <c r="T317" s="238"/>
      <c r="U317" s="238"/>
      <c r="V317" s="238"/>
      <c r="W317" s="238"/>
      <c r="X317" s="238"/>
      <c r="Y317" s="238"/>
      <c r="Z317" s="238"/>
    </row>
    <row r="318" spans="1:26" ht="16.5" customHeight="1">
      <c r="A318" s="238"/>
      <c r="B318" s="238"/>
      <c r="C318" s="238"/>
      <c r="D318" s="238"/>
      <c r="E318" s="238"/>
      <c r="F318" s="238"/>
      <c r="G318" s="238"/>
      <c r="H318" s="238"/>
      <c r="I318" s="238"/>
      <c r="J318" s="238"/>
      <c r="K318" s="238"/>
      <c r="L318" s="238"/>
      <c r="M318" s="238"/>
      <c r="N318" s="238"/>
      <c r="O318" s="238"/>
      <c r="P318" s="238"/>
      <c r="Q318" s="238"/>
      <c r="R318" s="238"/>
      <c r="S318" s="238"/>
      <c r="T318" s="238"/>
      <c r="U318" s="238"/>
      <c r="V318" s="238"/>
      <c r="W318" s="238"/>
      <c r="X318" s="238"/>
      <c r="Y318" s="238"/>
      <c r="Z318" s="238"/>
    </row>
    <row r="319" spans="1:26" ht="16.5" customHeight="1">
      <c r="A319" s="238"/>
      <c r="B319" s="238"/>
      <c r="C319" s="238"/>
      <c r="D319" s="238"/>
      <c r="E319" s="238"/>
      <c r="F319" s="238"/>
      <c r="G319" s="238"/>
      <c r="H319" s="238"/>
      <c r="I319" s="238"/>
      <c r="J319" s="238"/>
      <c r="K319" s="238"/>
      <c r="L319" s="238"/>
      <c r="M319" s="238"/>
      <c r="N319" s="238"/>
      <c r="O319" s="238"/>
      <c r="P319" s="238"/>
      <c r="Q319" s="238"/>
      <c r="R319" s="238"/>
      <c r="S319" s="238"/>
      <c r="T319" s="238"/>
      <c r="U319" s="238"/>
      <c r="V319" s="238"/>
      <c r="W319" s="238"/>
      <c r="X319" s="238"/>
      <c r="Y319" s="238"/>
      <c r="Z319" s="238"/>
    </row>
    <row r="320" spans="1:26" ht="16.5" customHeight="1">
      <c r="A320" s="238"/>
      <c r="B320" s="238"/>
      <c r="C320" s="238"/>
      <c r="D320" s="238"/>
      <c r="E320" s="238"/>
      <c r="F320" s="238"/>
      <c r="G320" s="238"/>
      <c r="H320" s="238"/>
      <c r="I320" s="238"/>
      <c r="J320" s="238"/>
      <c r="K320" s="238"/>
      <c r="L320" s="238"/>
      <c r="M320" s="238"/>
      <c r="N320" s="238"/>
      <c r="O320" s="238"/>
      <c r="P320" s="238"/>
      <c r="Q320" s="238"/>
      <c r="R320" s="238"/>
      <c r="S320" s="238"/>
      <c r="T320" s="238"/>
      <c r="U320" s="238"/>
      <c r="V320" s="238"/>
      <c r="W320" s="238"/>
      <c r="X320" s="238"/>
      <c r="Y320" s="238"/>
      <c r="Z320" s="238"/>
    </row>
    <row r="321" spans="1:26" ht="16.5" customHeight="1">
      <c r="A321" s="238"/>
      <c r="B321" s="238"/>
      <c r="C321" s="238"/>
      <c r="D321" s="238"/>
      <c r="E321" s="238"/>
      <c r="F321" s="238"/>
      <c r="G321" s="238"/>
      <c r="H321" s="238"/>
      <c r="I321" s="238"/>
      <c r="J321" s="238"/>
      <c r="K321" s="238"/>
      <c r="L321" s="238"/>
      <c r="M321" s="238"/>
      <c r="N321" s="238"/>
      <c r="O321" s="238"/>
      <c r="P321" s="238"/>
      <c r="Q321" s="238"/>
      <c r="R321" s="238"/>
      <c r="S321" s="238"/>
      <c r="T321" s="238"/>
      <c r="U321" s="238"/>
      <c r="V321" s="238"/>
      <c r="W321" s="238"/>
      <c r="X321" s="238"/>
      <c r="Y321" s="238"/>
      <c r="Z321" s="238"/>
    </row>
    <row r="322" spans="1:26" ht="16.5" customHeight="1">
      <c r="A322" s="238"/>
      <c r="B322" s="238"/>
      <c r="C322" s="238"/>
      <c r="D322" s="238"/>
      <c r="E322" s="238"/>
      <c r="F322" s="238"/>
      <c r="G322" s="238"/>
      <c r="H322" s="238"/>
      <c r="I322" s="238"/>
      <c r="J322" s="238"/>
      <c r="K322" s="238"/>
      <c r="L322" s="238"/>
      <c r="M322" s="238"/>
      <c r="N322" s="238"/>
      <c r="O322" s="238"/>
      <c r="P322" s="238"/>
      <c r="Q322" s="238"/>
      <c r="R322" s="238"/>
      <c r="S322" s="238"/>
      <c r="T322" s="238"/>
      <c r="U322" s="238"/>
      <c r="V322" s="238"/>
      <c r="W322" s="238"/>
      <c r="X322" s="238"/>
      <c r="Y322" s="238"/>
      <c r="Z322" s="238"/>
    </row>
    <row r="323" spans="1:26" ht="16.5" customHeight="1">
      <c r="A323" s="238"/>
      <c r="B323" s="238"/>
      <c r="C323" s="238"/>
      <c r="D323" s="238"/>
      <c r="E323" s="238"/>
      <c r="F323" s="238"/>
      <c r="G323" s="238"/>
      <c r="H323" s="238"/>
      <c r="I323" s="238"/>
      <c r="J323" s="238"/>
      <c r="K323" s="238"/>
      <c r="L323" s="238"/>
      <c r="M323" s="238"/>
      <c r="N323" s="238"/>
      <c r="O323" s="238"/>
      <c r="P323" s="238"/>
      <c r="Q323" s="238"/>
      <c r="R323" s="238"/>
      <c r="S323" s="238"/>
      <c r="T323" s="238"/>
      <c r="U323" s="238"/>
      <c r="V323" s="238"/>
      <c r="W323" s="238"/>
      <c r="X323" s="238"/>
      <c r="Y323" s="238"/>
      <c r="Z323" s="238"/>
    </row>
    <row r="324" spans="1:26" ht="16.5" customHeight="1">
      <c r="A324" s="238"/>
      <c r="B324" s="238"/>
      <c r="C324" s="238"/>
      <c r="D324" s="238"/>
      <c r="E324" s="238"/>
      <c r="F324" s="238"/>
      <c r="G324" s="238"/>
      <c r="H324" s="238"/>
      <c r="I324" s="238"/>
      <c r="J324" s="238"/>
      <c r="K324" s="238"/>
      <c r="L324" s="238"/>
      <c r="M324" s="238"/>
      <c r="N324" s="238"/>
      <c r="O324" s="238"/>
      <c r="P324" s="238"/>
      <c r="Q324" s="238"/>
      <c r="R324" s="238"/>
      <c r="S324" s="238"/>
      <c r="T324" s="238"/>
      <c r="U324" s="238"/>
      <c r="V324" s="238"/>
      <c r="W324" s="238"/>
      <c r="X324" s="238"/>
      <c r="Y324" s="238"/>
      <c r="Z324" s="238"/>
    </row>
    <row r="325" spans="1:26" ht="16.5" customHeight="1">
      <c r="A325" s="238"/>
      <c r="B325" s="238"/>
      <c r="C325" s="238"/>
      <c r="D325" s="238"/>
      <c r="E325" s="238"/>
      <c r="F325" s="238"/>
      <c r="G325" s="238"/>
      <c r="H325" s="238"/>
      <c r="I325" s="238"/>
      <c r="J325" s="238"/>
      <c r="K325" s="238"/>
      <c r="L325" s="238"/>
      <c r="M325" s="238"/>
      <c r="N325" s="238"/>
      <c r="O325" s="238"/>
      <c r="P325" s="238"/>
      <c r="Q325" s="238"/>
      <c r="R325" s="238"/>
      <c r="S325" s="238"/>
      <c r="T325" s="238"/>
      <c r="U325" s="238"/>
      <c r="V325" s="238"/>
      <c r="W325" s="238"/>
      <c r="X325" s="238"/>
      <c r="Y325" s="238"/>
      <c r="Z325" s="238"/>
    </row>
    <row r="326" spans="1:26" ht="16.5" customHeight="1">
      <c r="A326" s="238"/>
      <c r="B326" s="238"/>
      <c r="C326" s="238"/>
      <c r="D326" s="238"/>
      <c r="E326" s="238"/>
      <c r="F326" s="238"/>
      <c r="G326" s="238"/>
      <c r="H326" s="238"/>
      <c r="I326" s="238"/>
      <c r="J326" s="238"/>
      <c r="K326" s="238"/>
      <c r="L326" s="238"/>
      <c r="M326" s="238"/>
      <c r="N326" s="238"/>
      <c r="O326" s="238"/>
      <c r="P326" s="238"/>
      <c r="Q326" s="238"/>
      <c r="R326" s="238"/>
      <c r="S326" s="238"/>
      <c r="T326" s="238"/>
      <c r="U326" s="238"/>
      <c r="V326" s="238"/>
      <c r="W326" s="238"/>
      <c r="X326" s="238"/>
      <c r="Y326" s="238"/>
      <c r="Z326" s="238"/>
    </row>
    <row r="327" spans="1:26" ht="16.5" customHeight="1">
      <c r="A327" s="238"/>
      <c r="B327" s="238"/>
      <c r="C327" s="238"/>
      <c r="D327" s="238"/>
      <c r="E327" s="238"/>
      <c r="F327" s="238"/>
      <c r="G327" s="238"/>
      <c r="H327" s="238"/>
      <c r="I327" s="238"/>
      <c r="J327" s="238"/>
      <c r="K327" s="238"/>
      <c r="L327" s="238"/>
      <c r="M327" s="238"/>
      <c r="N327" s="238"/>
      <c r="O327" s="238"/>
      <c r="P327" s="238"/>
      <c r="Q327" s="238"/>
      <c r="R327" s="238"/>
      <c r="S327" s="238"/>
      <c r="T327" s="238"/>
      <c r="U327" s="238"/>
      <c r="V327" s="238"/>
      <c r="W327" s="238"/>
      <c r="X327" s="238"/>
      <c r="Y327" s="238"/>
      <c r="Z327" s="238"/>
    </row>
    <row r="328" spans="1:26" ht="16.5" customHeight="1">
      <c r="A328" s="238"/>
      <c r="B328" s="238"/>
      <c r="C328" s="238"/>
      <c r="D328" s="238"/>
      <c r="E328" s="238"/>
      <c r="F328" s="238"/>
      <c r="G328" s="238"/>
      <c r="H328" s="238"/>
      <c r="I328" s="238"/>
      <c r="J328" s="238"/>
      <c r="K328" s="238"/>
      <c r="L328" s="238"/>
      <c r="M328" s="238"/>
      <c r="N328" s="238"/>
      <c r="O328" s="238"/>
      <c r="P328" s="238"/>
      <c r="Q328" s="238"/>
      <c r="R328" s="238"/>
      <c r="S328" s="238"/>
      <c r="T328" s="238"/>
      <c r="U328" s="238"/>
      <c r="V328" s="238"/>
      <c r="W328" s="238"/>
      <c r="X328" s="238"/>
      <c r="Y328" s="238"/>
      <c r="Z328" s="238"/>
    </row>
    <row r="329" spans="1:26" ht="16.5" customHeight="1">
      <c r="A329" s="238"/>
      <c r="B329" s="238"/>
      <c r="C329" s="238"/>
      <c r="D329" s="238"/>
      <c r="E329" s="238"/>
      <c r="F329" s="238"/>
      <c r="G329" s="238"/>
      <c r="H329" s="238"/>
      <c r="I329" s="238"/>
      <c r="J329" s="238"/>
      <c r="K329" s="238"/>
      <c r="L329" s="238"/>
      <c r="M329" s="238"/>
      <c r="N329" s="238"/>
      <c r="O329" s="238"/>
      <c r="P329" s="238"/>
      <c r="Q329" s="238"/>
      <c r="R329" s="238"/>
      <c r="S329" s="238"/>
      <c r="T329" s="238"/>
      <c r="U329" s="238"/>
      <c r="V329" s="238"/>
      <c r="W329" s="238"/>
      <c r="X329" s="238"/>
      <c r="Y329" s="238"/>
      <c r="Z329" s="238"/>
    </row>
    <row r="330" spans="1:26" ht="16.5" customHeight="1">
      <c r="A330" s="238"/>
      <c r="B330" s="238"/>
      <c r="C330" s="238"/>
      <c r="D330" s="238"/>
      <c r="E330" s="238"/>
      <c r="F330" s="238"/>
      <c r="G330" s="238"/>
      <c r="H330" s="238"/>
      <c r="I330" s="238"/>
      <c r="J330" s="238"/>
      <c r="K330" s="238"/>
      <c r="L330" s="238"/>
      <c r="M330" s="238"/>
      <c r="N330" s="238"/>
      <c r="O330" s="238"/>
      <c r="P330" s="238"/>
      <c r="Q330" s="238"/>
      <c r="R330" s="238"/>
      <c r="S330" s="238"/>
      <c r="T330" s="238"/>
      <c r="U330" s="238"/>
      <c r="V330" s="238"/>
      <c r="W330" s="238"/>
      <c r="X330" s="238"/>
      <c r="Y330" s="238"/>
      <c r="Z330" s="238"/>
    </row>
    <row r="331" spans="1:26" ht="16.5" customHeight="1">
      <c r="A331" s="238"/>
      <c r="B331" s="238"/>
      <c r="C331" s="238"/>
      <c r="D331" s="238"/>
      <c r="E331" s="238"/>
      <c r="F331" s="238"/>
      <c r="G331" s="238"/>
      <c r="H331" s="238"/>
      <c r="I331" s="238"/>
      <c r="J331" s="238"/>
      <c r="K331" s="238"/>
      <c r="L331" s="238"/>
      <c r="M331" s="238"/>
      <c r="N331" s="238"/>
      <c r="O331" s="238"/>
      <c r="P331" s="238"/>
      <c r="Q331" s="238"/>
      <c r="R331" s="238"/>
      <c r="S331" s="238"/>
      <c r="T331" s="238"/>
      <c r="U331" s="238"/>
      <c r="V331" s="238"/>
      <c r="W331" s="238"/>
      <c r="X331" s="238"/>
      <c r="Y331" s="238"/>
      <c r="Z331" s="238"/>
    </row>
    <row r="332" spans="1:26" ht="16.5" customHeight="1">
      <c r="A332" s="238"/>
      <c r="B332" s="238"/>
      <c r="C332" s="238"/>
      <c r="D332" s="238"/>
      <c r="E332" s="238"/>
      <c r="F332" s="238"/>
      <c r="G332" s="238"/>
      <c r="H332" s="238"/>
      <c r="I332" s="238"/>
      <c r="J332" s="238"/>
      <c r="K332" s="238"/>
      <c r="L332" s="238"/>
      <c r="M332" s="238"/>
      <c r="N332" s="238"/>
      <c r="O332" s="238"/>
      <c r="P332" s="238"/>
      <c r="Q332" s="238"/>
      <c r="R332" s="238"/>
      <c r="S332" s="238"/>
      <c r="T332" s="238"/>
      <c r="U332" s="238"/>
      <c r="V332" s="238"/>
      <c r="W332" s="238"/>
      <c r="X332" s="238"/>
      <c r="Y332" s="238"/>
      <c r="Z332" s="238"/>
    </row>
    <row r="333" spans="1:26" ht="16.5" customHeight="1">
      <c r="A333" s="238"/>
      <c r="B333" s="238"/>
      <c r="C333" s="238"/>
      <c r="D333" s="238"/>
      <c r="E333" s="238"/>
      <c r="F333" s="238"/>
      <c r="G333" s="238"/>
      <c r="H333" s="238"/>
      <c r="I333" s="238"/>
      <c r="J333" s="238"/>
      <c r="K333" s="238"/>
      <c r="L333" s="238"/>
      <c r="M333" s="238"/>
      <c r="N333" s="238"/>
      <c r="O333" s="238"/>
      <c r="P333" s="238"/>
      <c r="Q333" s="238"/>
      <c r="R333" s="238"/>
      <c r="S333" s="238"/>
      <c r="T333" s="238"/>
      <c r="U333" s="238"/>
      <c r="V333" s="238"/>
      <c r="W333" s="238"/>
      <c r="X333" s="238"/>
      <c r="Y333" s="238"/>
      <c r="Z333" s="238"/>
    </row>
    <row r="334" spans="1:26" ht="16.5" customHeight="1">
      <c r="A334" s="238"/>
      <c r="B334" s="238"/>
      <c r="C334" s="238"/>
      <c r="D334" s="238"/>
      <c r="E334" s="238"/>
      <c r="F334" s="238"/>
      <c r="G334" s="238"/>
      <c r="H334" s="238"/>
      <c r="I334" s="238"/>
      <c r="J334" s="238"/>
      <c r="K334" s="238"/>
      <c r="L334" s="238"/>
      <c r="M334" s="238"/>
      <c r="N334" s="238"/>
      <c r="O334" s="238"/>
      <c r="P334" s="238"/>
      <c r="Q334" s="238"/>
      <c r="R334" s="238"/>
      <c r="S334" s="238"/>
      <c r="T334" s="238"/>
      <c r="U334" s="238"/>
      <c r="V334" s="238"/>
      <c r="W334" s="238"/>
      <c r="X334" s="238"/>
      <c r="Y334" s="238"/>
      <c r="Z334" s="238"/>
    </row>
    <row r="335" spans="1:26" ht="16.5" customHeight="1">
      <c r="A335" s="238"/>
      <c r="B335" s="238"/>
      <c r="C335" s="238"/>
      <c r="D335" s="238"/>
      <c r="E335" s="238"/>
      <c r="F335" s="238"/>
      <c r="G335" s="238"/>
      <c r="H335" s="238"/>
      <c r="I335" s="238"/>
      <c r="J335" s="238"/>
      <c r="K335" s="238"/>
      <c r="L335" s="238"/>
      <c r="M335" s="238"/>
      <c r="N335" s="238"/>
      <c r="O335" s="238"/>
      <c r="P335" s="238"/>
      <c r="Q335" s="238"/>
      <c r="R335" s="238"/>
      <c r="S335" s="238"/>
      <c r="T335" s="238"/>
      <c r="U335" s="238"/>
      <c r="V335" s="238"/>
      <c r="W335" s="238"/>
      <c r="X335" s="238"/>
      <c r="Y335" s="238"/>
      <c r="Z335" s="238"/>
    </row>
    <row r="336" spans="1:26" ht="16.5" customHeight="1">
      <c r="A336" s="238"/>
      <c r="B336" s="238"/>
      <c r="C336" s="238"/>
      <c r="D336" s="238"/>
      <c r="E336" s="238"/>
      <c r="F336" s="238"/>
      <c r="G336" s="238"/>
      <c r="H336" s="238"/>
      <c r="I336" s="238"/>
      <c r="J336" s="238"/>
      <c r="K336" s="238"/>
      <c r="L336" s="238"/>
      <c r="M336" s="238"/>
      <c r="N336" s="238"/>
      <c r="O336" s="238"/>
      <c r="P336" s="238"/>
      <c r="Q336" s="238"/>
      <c r="R336" s="238"/>
      <c r="S336" s="238"/>
      <c r="T336" s="238"/>
      <c r="U336" s="238"/>
      <c r="V336" s="238"/>
      <c r="W336" s="238"/>
      <c r="X336" s="238"/>
      <c r="Y336" s="238"/>
      <c r="Z336" s="238"/>
    </row>
    <row r="337" spans="1:26" ht="16.5" customHeight="1">
      <c r="A337" s="238"/>
      <c r="B337" s="238"/>
      <c r="C337" s="238"/>
      <c r="D337" s="238"/>
      <c r="E337" s="238"/>
      <c r="F337" s="238"/>
      <c r="G337" s="238"/>
      <c r="H337" s="238"/>
      <c r="I337" s="238"/>
      <c r="J337" s="238"/>
      <c r="K337" s="238"/>
      <c r="L337" s="238"/>
      <c r="M337" s="238"/>
      <c r="N337" s="238"/>
      <c r="O337" s="238"/>
      <c r="P337" s="238"/>
      <c r="Q337" s="238"/>
      <c r="R337" s="238"/>
      <c r="S337" s="238"/>
      <c r="T337" s="238"/>
      <c r="U337" s="238"/>
      <c r="V337" s="238"/>
      <c r="W337" s="238"/>
      <c r="X337" s="238"/>
      <c r="Y337" s="238"/>
      <c r="Z337" s="238"/>
    </row>
    <row r="338" spans="1:26" ht="16.5" customHeight="1">
      <c r="A338" s="238"/>
      <c r="B338" s="238"/>
      <c r="C338" s="238"/>
      <c r="D338" s="238"/>
      <c r="E338" s="238"/>
      <c r="F338" s="238"/>
      <c r="G338" s="238"/>
      <c r="H338" s="238"/>
      <c r="I338" s="238"/>
      <c r="J338" s="238"/>
      <c r="K338" s="238"/>
      <c r="L338" s="238"/>
      <c r="M338" s="238"/>
      <c r="N338" s="238"/>
      <c r="O338" s="238"/>
      <c r="P338" s="238"/>
      <c r="Q338" s="238"/>
      <c r="R338" s="238"/>
      <c r="S338" s="238"/>
      <c r="T338" s="238"/>
      <c r="U338" s="238"/>
      <c r="V338" s="238"/>
      <c r="W338" s="238"/>
      <c r="X338" s="238"/>
      <c r="Y338" s="238"/>
      <c r="Z338" s="238"/>
    </row>
    <row r="339" spans="1:26" ht="16.5" customHeight="1">
      <c r="A339" s="238"/>
      <c r="B339" s="238"/>
      <c r="C339" s="238"/>
      <c r="D339" s="238"/>
      <c r="E339" s="238"/>
      <c r="F339" s="238"/>
      <c r="G339" s="238"/>
      <c r="H339" s="238"/>
      <c r="I339" s="238"/>
      <c r="J339" s="238"/>
      <c r="K339" s="238"/>
      <c r="L339" s="238"/>
      <c r="M339" s="238"/>
      <c r="N339" s="238"/>
      <c r="O339" s="238"/>
      <c r="P339" s="238"/>
      <c r="Q339" s="238"/>
      <c r="R339" s="238"/>
      <c r="S339" s="238"/>
      <c r="T339" s="238"/>
      <c r="U339" s="238"/>
      <c r="V339" s="238"/>
      <c r="W339" s="238"/>
      <c r="X339" s="238"/>
      <c r="Y339" s="238"/>
      <c r="Z339" s="238"/>
    </row>
    <row r="340" spans="1:26" ht="16.5" customHeight="1">
      <c r="A340" s="238"/>
      <c r="B340" s="238"/>
      <c r="C340" s="238"/>
      <c r="D340" s="238"/>
      <c r="E340" s="238"/>
      <c r="F340" s="238"/>
      <c r="G340" s="238"/>
      <c r="H340" s="238"/>
      <c r="I340" s="238"/>
      <c r="J340" s="238"/>
      <c r="K340" s="238"/>
      <c r="L340" s="238"/>
      <c r="M340" s="238"/>
      <c r="N340" s="238"/>
      <c r="O340" s="238"/>
      <c r="P340" s="238"/>
      <c r="Q340" s="238"/>
      <c r="R340" s="238"/>
      <c r="S340" s="238"/>
      <c r="T340" s="238"/>
      <c r="U340" s="238"/>
      <c r="V340" s="238"/>
      <c r="W340" s="238"/>
      <c r="X340" s="238"/>
      <c r="Y340" s="238"/>
      <c r="Z340" s="238"/>
    </row>
    <row r="341" spans="1:26" ht="16.5" customHeight="1">
      <c r="A341" s="238"/>
      <c r="B341" s="238"/>
      <c r="C341" s="238"/>
      <c r="D341" s="238"/>
      <c r="E341" s="238"/>
      <c r="F341" s="238"/>
      <c r="G341" s="238"/>
      <c r="H341" s="238"/>
      <c r="I341" s="238"/>
      <c r="J341" s="238"/>
      <c r="K341" s="238"/>
      <c r="L341" s="238"/>
      <c r="M341" s="238"/>
      <c r="N341" s="238"/>
      <c r="O341" s="238"/>
      <c r="P341" s="238"/>
      <c r="Q341" s="238"/>
      <c r="R341" s="238"/>
      <c r="S341" s="238"/>
      <c r="T341" s="238"/>
      <c r="U341" s="238"/>
      <c r="V341" s="238"/>
      <c r="W341" s="238"/>
      <c r="X341" s="238"/>
      <c r="Y341" s="238"/>
      <c r="Z341" s="238"/>
    </row>
    <row r="342" spans="1:26" ht="16.5" customHeight="1">
      <c r="A342" s="238"/>
      <c r="B342" s="238"/>
      <c r="C342" s="238"/>
      <c r="D342" s="238"/>
      <c r="E342" s="238"/>
      <c r="F342" s="238"/>
      <c r="G342" s="238"/>
      <c r="H342" s="238"/>
      <c r="I342" s="238"/>
      <c r="J342" s="238"/>
      <c r="K342" s="238"/>
      <c r="L342" s="238"/>
      <c r="M342" s="238"/>
      <c r="N342" s="238"/>
      <c r="O342" s="238"/>
      <c r="P342" s="238"/>
      <c r="Q342" s="238"/>
      <c r="R342" s="238"/>
      <c r="S342" s="238"/>
      <c r="T342" s="238"/>
      <c r="U342" s="238"/>
      <c r="V342" s="238"/>
      <c r="W342" s="238"/>
      <c r="X342" s="238"/>
      <c r="Y342" s="238"/>
      <c r="Z342" s="238"/>
    </row>
    <row r="343" spans="1:26" ht="16.5" customHeight="1">
      <c r="A343" s="238"/>
      <c r="B343" s="238"/>
      <c r="C343" s="238"/>
      <c r="D343" s="238"/>
      <c r="E343" s="238"/>
      <c r="F343" s="238"/>
      <c r="G343" s="238"/>
      <c r="H343" s="238"/>
      <c r="I343" s="238"/>
      <c r="J343" s="238"/>
      <c r="K343" s="238"/>
      <c r="L343" s="238"/>
      <c r="M343" s="238"/>
      <c r="N343" s="238"/>
      <c r="O343" s="238"/>
      <c r="P343" s="238"/>
      <c r="Q343" s="238"/>
      <c r="R343" s="238"/>
      <c r="S343" s="238"/>
      <c r="T343" s="238"/>
      <c r="U343" s="238"/>
      <c r="V343" s="238"/>
      <c r="W343" s="238"/>
      <c r="X343" s="238"/>
      <c r="Y343" s="238"/>
      <c r="Z343" s="238"/>
    </row>
    <row r="344" spans="1:26" ht="16.5" customHeight="1">
      <c r="A344" s="238"/>
      <c r="B344" s="238"/>
      <c r="C344" s="238"/>
      <c r="D344" s="238"/>
      <c r="E344" s="238"/>
      <c r="F344" s="238"/>
      <c r="G344" s="238"/>
      <c r="H344" s="238"/>
      <c r="I344" s="238"/>
      <c r="J344" s="238"/>
      <c r="K344" s="238"/>
      <c r="L344" s="238"/>
      <c r="M344" s="238"/>
      <c r="N344" s="238"/>
      <c r="O344" s="238"/>
      <c r="P344" s="238"/>
      <c r="Q344" s="238"/>
      <c r="R344" s="238"/>
      <c r="S344" s="238"/>
      <c r="T344" s="238"/>
      <c r="U344" s="238"/>
      <c r="V344" s="238"/>
      <c r="W344" s="238"/>
      <c r="X344" s="238"/>
      <c r="Y344" s="238"/>
      <c r="Z344" s="238"/>
    </row>
    <row r="345" spans="1:26" ht="16.5" customHeight="1">
      <c r="A345" s="238"/>
      <c r="B345" s="238"/>
      <c r="C345" s="238"/>
      <c r="D345" s="238"/>
      <c r="E345" s="238"/>
      <c r="F345" s="238"/>
      <c r="G345" s="238"/>
      <c r="H345" s="238"/>
      <c r="I345" s="238"/>
      <c r="J345" s="238"/>
      <c r="K345" s="238"/>
      <c r="L345" s="238"/>
      <c r="M345" s="238"/>
      <c r="N345" s="238"/>
      <c r="O345" s="238"/>
      <c r="P345" s="238"/>
      <c r="Q345" s="238"/>
      <c r="R345" s="238"/>
      <c r="S345" s="238"/>
      <c r="T345" s="238"/>
      <c r="U345" s="238"/>
      <c r="V345" s="238"/>
      <c r="W345" s="238"/>
      <c r="X345" s="238"/>
      <c r="Y345" s="238"/>
      <c r="Z345" s="238"/>
    </row>
    <row r="346" spans="1:26" ht="16.5" customHeight="1">
      <c r="A346" s="238"/>
      <c r="B346" s="238"/>
      <c r="C346" s="238"/>
      <c r="D346" s="238"/>
      <c r="E346" s="238"/>
      <c r="F346" s="238"/>
      <c r="G346" s="238"/>
      <c r="H346" s="238"/>
      <c r="I346" s="238"/>
      <c r="J346" s="238"/>
      <c r="K346" s="238"/>
      <c r="L346" s="238"/>
      <c r="M346" s="238"/>
      <c r="N346" s="238"/>
      <c r="O346" s="238"/>
      <c r="P346" s="238"/>
      <c r="Q346" s="238"/>
      <c r="R346" s="238"/>
      <c r="S346" s="238"/>
      <c r="T346" s="238"/>
      <c r="U346" s="238"/>
      <c r="V346" s="238"/>
      <c r="W346" s="238"/>
      <c r="X346" s="238"/>
      <c r="Y346" s="238"/>
      <c r="Z346" s="238"/>
    </row>
    <row r="347" spans="1:26" ht="16.5" customHeight="1">
      <c r="A347" s="238"/>
      <c r="B347" s="238"/>
      <c r="C347" s="238"/>
      <c r="D347" s="238"/>
      <c r="E347" s="238"/>
      <c r="F347" s="238"/>
      <c r="G347" s="238"/>
      <c r="H347" s="238"/>
      <c r="I347" s="238"/>
      <c r="J347" s="238"/>
      <c r="K347" s="238"/>
      <c r="L347" s="238"/>
      <c r="M347" s="238"/>
      <c r="N347" s="238"/>
      <c r="O347" s="238"/>
      <c r="P347" s="238"/>
      <c r="Q347" s="238"/>
      <c r="R347" s="238"/>
      <c r="S347" s="238"/>
      <c r="T347" s="238"/>
      <c r="U347" s="238"/>
      <c r="V347" s="238"/>
      <c r="W347" s="238"/>
      <c r="X347" s="238"/>
      <c r="Y347" s="238"/>
      <c r="Z347" s="238"/>
    </row>
    <row r="348" spans="1:26" ht="16.5" customHeight="1">
      <c r="A348" s="238"/>
      <c r="B348" s="238"/>
      <c r="C348" s="238"/>
      <c r="D348" s="238"/>
      <c r="E348" s="238"/>
      <c r="F348" s="238"/>
      <c r="G348" s="238"/>
      <c r="H348" s="238"/>
      <c r="I348" s="238"/>
      <c r="J348" s="238"/>
      <c r="K348" s="238"/>
      <c r="L348" s="238"/>
      <c r="M348" s="238"/>
      <c r="N348" s="238"/>
      <c r="O348" s="238"/>
      <c r="P348" s="238"/>
      <c r="Q348" s="238"/>
      <c r="R348" s="238"/>
      <c r="S348" s="238"/>
      <c r="T348" s="238"/>
      <c r="U348" s="238"/>
      <c r="V348" s="238"/>
      <c r="W348" s="238"/>
      <c r="X348" s="238"/>
      <c r="Y348" s="238"/>
      <c r="Z348" s="238"/>
    </row>
    <row r="349" spans="1:26" ht="16.5" customHeight="1">
      <c r="A349" s="238"/>
      <c r="B349" s="238"/>
      <c r="C349" s="238"/>
      <c r="D349" s="238"/>
      <c r="E349" s="238"/>
      <c r="F349" s="238"/>
      <c r="G349" s="238"/>
      <c r="H349" s="238"/>
      <c r="I349" s="238"/>
      <c r="J349" s="238"/>
      <c r="K349" s="238"/>
      <c r="L349" s="238"/>
      <c r="M349" s="238"/>
      <c r="N349" s="238"/>
      <c r="O349" s="238"/>
      <c r="P349" s="238"/>
      <c r="Q349" s="238"/>
      <c r="R349" s="238"/>
      <c r="S349" s="238"/>
      <c r="T349" s="238"/>
      <c r="U349" s="238"/>
      <c r="V349" s="238"/>
      <c r="W349" s="238"/>
      <c r="X349" s="238"/>
      <c r="Y349" s="238"/>
      <c r="Z349" s="238"/>
    </row>
    <row r="350" spans="1:26" ht="16.5" customHeight="1">
      <c r="A350" s="238"/>
      <c r="B350" s="238"/>
      <c r="C350" s="238"/>
      <c r="D350" s="238"/>
      <c r="E350" s="238"/>
      <c r="F350" s="238"/>
      <c r="G350" s="238"/>
      <c r="H350" s="238"/>
      <c r="I350" s="238"/>
      <c r="J350" s="238"/>
      <c r="K350" s="238"/>
      <c r="L350" s="238"/>
      <c r="M350" s="238"/>
      <c r="N350" s="238"/>
      <c r="O350" s="238"/>
      <c r="P350" s="238"/>
      <c r="Q350" s="238"/>
      <c r="R350" s="238"/>
      <c r="S350" s="238"/>
      <c r="T350" s="238"/>
      <c r="U350" s="238"/>
      <c r="V350" s="238"/>
      <c r="W350" s="238"/>
      <c r="X350" s="238"/>
      <c r="Y350" s="238"/>
      <c r="Z350" s="238"/>
    </row>
    <row r="351" spans="1:26" ht="16.5" customHeight="1">
      <c r="A351" s="238"/>
      <c r="B351" s="238"/>
      <c r="C351" s="238"/>
      <c r="D351" s="238"/>
      <c r="E351" s="238"/>
      <c r="F351" s="238"/>
      <c r="G351" s="238"/>
      <c r="H351" s="238"/>
      <c r="I351" s="238"/>
      <c r="J351" s="238"/>
      <c r="K351" s="238"/>
      <c r="L351" s="238"/>
      <c r="M351" s="238"/>
      <c r="N351" s="238"/>
      <c r="O351" s="238"/>
      <c r="P351" s="238"/>
      <c r="Q351" s="238"/>
      <c r="R351" s="238"/>
      <c r="S351" s="238"/>
      <c r="T351" s="238"/>
      <c r="U351" s="238"/>
      <c r="V351" s="238"/>
      <c r="W351" s="238"/>
      <c r="X351" s="238"/>
      <c r="Y351" s="238"/>
      <c r="Z351" s="238"/>
    </row>
    <row r="352" spans="1:26" ht="16.5" customHeight="1">
      <c r="A352" s="238"/>
      <c r="B352" s="238"/>
      <c r="C352" s="238"/>
      <c r="D352" s="238"/>
      <c r="E352" s="238"/>
      <c r="F352" s="238"/>
      <c r="G352" s="238"/>
      <c r="H352" s="238"/>
      <c r="I352" s="238"/>
      <c r="J352" s="238"/>
      <c r="K352" s="238"/>
      <c r="L352" s="238"/>
      <c r="M352" s="238"/>
      <c r="N352" s="238"/>
      <c r="O352" s="238"/>
      <c r="P352" s="238"/>
      <c r="Q352" s="238"/>
      <c r="R352" s="238"/>
      <c r="S352" s="238"/>
      <c r="T352" s="238"/>
      <c r="U352" s="238"/>
      <c r="V352" s="238"/>
      <c r="W352" s="238"/>
      <c r="X352" s="238"/>
      <c r="Y352" s="238"/>
      <c r="Z352" s="238"/>
    </row>
    <row r="353" spans="1:26" ht="16.5" customHeight="1">
      <c r="A353" s="238"/>
      <c r="B353" s="238"/>
      <c r="C353" s="238"/>
      <c r="D353" s="238"/>
      <c r="E353" s="238"/>
      <c r="F353" s="238"/>
      <c r="G353" s="238"/>
      <c r="H353" s="238"/>
      <c r="I353" s="238"/>
      <c r="J353" s="238"/>
      <c r="K353" s="238"/>
      <c r="L353" s="238"/>
      <c r="M353" s="238"/>
      <c r="N353" s="238"/>
      <c r="O353" s="238"/>
      <c r="P353" s="238"/>
      <c r="Q353" s="238"/>
      <c r="R353" s="238"/>
      <c r="S353" s="238"/>
      <c r="T353" s="238"/>
      <c r="U353" s="238"/>
      <c r="V353" s="238"/>
      <c r="W353" s="238"/>
      <c r="X353" s="238"/>
      <c r="Y353" s="238"/>
      <c r="Z353" s="238"/>
    </row>
    <row r="354" spans="1:26" ht="16.5" customHeight="1">
      <c r="A354" s="238"/>
      <c r="B354" s="238"/>
      <c r="C354" s="238"/>
      <c r="D354" s="238"/>
      <c r="E354" s="238"/>
      <c r="F354" s="238"/>
      <c r="G354" s="238"/>
      <c r="H354" s="238"/>
      <c r="I354" s="238"/>
      <c r="J354" s="238"/>
      <c r="K354" s="238"/>
      <c r="L354" s="238"/>
      <c r="M354" s="238"/>
      <c r="N354" s="238"/>
      <c r="O354" s="238"/>
      <c r="P354" s="238"/>
      <c r="Q354" s="238"/>
      <c r="R354" s="238"/>
      <c r="S354" s="238"/>
      <c r="T354" s="238"/>
      <c r="U354" s="238"/>
      <c r="V354" s="238"/>
      <c r="W354" s="238"/>
      <c r="X354" s="238"/>
      <c r="Y354" s="238"/>
      <c r="Z354" s="238"/>
    </row>
    <row r="355" spans="1:26" ht="16.5" customHeight="1">
      <c r="A355" s="238"/>
      <c r="B355" s="238"/>
      <c r="C355" s="238"/>
      <c r="D355" s="238"/>
      <c r="E355" s="238"/>
      <c r="F355" s="238"/>
      <c r="G355" s="238"/>
      <c r="H355" s="238"/>
      <c r="I355" s="238"/>
      <c r="J355" s="238"/>
      <c r="K355" s="238"/>
      <c r="L355" s="238"/>
      <c r="M355" s="238"/>
      <c r="N355" s="238"/>
      <c r="O355" s="238"/>
      <c r="P355" s="238"/>
      <c r="Q355" s="238"/>
      <c r="R355" s="238"/>
      <c r="S355" s="238"/>
      <c r="T355" s="238"/>
      <c r="U355" s="238"/>
      <c r="V355" s="238"/>
      <c r="W355" s="238"/>
      <c r="X355" s="238"/>
      <c r="Y355" s="238"/>
      <c r="Z355" s="238"/>
    </row>
    <row r="356" spans="1:26" ht="16.5" customHeight="1">
      <c r="A356" s="238"/>
      <c r="B356" s="238"/>
      <c r="C356" s="238"/>
      <c r="D356" s="238"/>
      <c r="E356" s="238"/>
      <c r="F356" s="238"/>
      <c r="G356" s="238"/>
      <c r="H356" s="238"/>
      <c r="I356" s="238"/>
      <c r="J356" s="238"/>
      <c r="K356" s="238"/>
      <c r="L356" s="238"/>
      <c r="M356" s="238"/>
      <c r="N356" s="238"/>
      <c r="O356" s="238"/>
      <c r="P356" s="238"/>
      <c r="Q356" s="238"/>
      <c r="R356" s="238"/>
      <c r="S356" s="238"/>
      <c r="T356" s="238"/>
      <c r="U356" s="238"/>
      <c r="V356" s="238"/>
      <c r="W356" s="238"/>
      <c r="X356" s="238"/>
      <c r="Y356" s="238"/>
      <c r="Z356" s="238"/>
    </row>
    <row r="357" spans="1:26" ht="16.5" customHeight="1">
      <c r="A357" s="238"/>
      <c r="B357" s="238"/>
      <c r="C357" s="238"/>
      <c r="D357" s="238"/>
      <c r="E357" s="238"/>
      <c r="F357" s="238"/>
      <c r="G357" s="238"/>
      <c r="H357" s="238"/>
      <c r="I357" s="238"/>
      <c r="J357" s="238"/>
      <c r="K357" s="238"/>
      <c r="L357" s="238"/>
      <c r="M357" s="238"/>
      <c r="N357" s="238"/>
      <c r="O357" s="238"/>
      <c r="P357" s="238"/>
      <c r="Q357" s="238"/>
      <c r="R357" s="238"/>
      <c r="S357" s="238"/>
      <c r="T357" s="238"/>
      <c r="U357" s="238"/>
      <c r="V357" s="238"/>
      <c r="W357" s="238"/>
      <c r="X357" s="238"/>
      <c r="Y357" s="238"/>
      <c r="Z357" s="238"/>
    </row>
    <row r="358" spans="1:26" ht="16.5" customHeight="1">
      <c r="A358" s="238"/>
      <c r="B358" s="238"/>
      <c r="C358" s="238"/>
      <c r="D358" s="238"/>
      <c r="E358" s="238"/>
      <c r="F358" s="238"/>
      <c r="G358" s="238"/>
      <c r="H358" s="238"/>
      <c r="I358" s="238"/>
      <c r="J358" s="238"/>
      <c r="K358" s="238"/>
      <c r="L358" s="238"/>
      <c r="M358" s="238"/>
      <c r="N358" s="238"/>
      <c r="O358" s="238"/>
      <c r="P358" s="238"/>
      <c r="Q358" s="238"/>
      <c r="R358" s="238"/>
      <c r="S358" s="238"/>
      <c r="T358" s="238"/>
      <c r="U358" s="238"/>
      <c r="V358" s="238"/>
      <c r="W358" s="238"/>
      <c r="X358" s="238"/>
      <c r="Y358" s="238"/>
      <c r="Z358" s="238"/>
    </row>
    <row r="359" spans="1:26" ht="16.5" customHeight="1">
      <c r="A359" s="238"/>
      <c r="B359" s="238"/>
      <c r="C359" s="238"/>
      <c r="D359" s="238"/>
      <c r="E359" s="238"/>
      <c r="F359" s="238"/>
      <c r="G359" s="238"/>
      <c r="H359" s="238"/>
      <c r="I359" s="238"/>
      <c r="J359" s="238"/>
      <c r="K359" s="238"/>
      <c r="L359" s="238"/>
      <c r="M359" s="238"/>
      <c r="N359" s="238"/>
      <c r="O359" s="238"/>
      <c r="P359" s="238"/>
      <c r="Q359" s="238"/>
      <c r="R359" s="238"/>
      <c r="S359" s="238"/>
      <c r="T359" s="238"/>
      <c r="U359" s="238"/>
      <c r="V359" s="238"/>
      <c r="W359" s="238"/>
      <c r="X359" s="238"/>
      <c r="Y359" s="238"/>
      <c r="Z359" s="238"/>
    </row>
    <row r="360" spans="1:26" ht="16.5" customHeight="1">
      <c r="A360" s="238"/>
      <c r="B360" s="238"/>
      <c r="C360" s="238"/>
      <c r="D360" s="238"/>
      <c r="E360" s="238"/>
      <c r="F360" s="238"/>
      <c r="G360" s="238"/>
      <c r="H360" s="238"/>
      <c r="I360" s="238"/>
      <c r="J360" s="238"/>
      <c r="K360" s="238"/>
      <c r="L360" s="238"/>
      <c r="M360" s="238"/>
      <c r="N360" s="238"/>
      <c r="O360" s="238"/>
      <c r="P360" s="238"/>
      <c r="Q360" s="238"/>
      <c r="R360" s="238"/>
      <c r="S360" s="238"/>
      <c r="T360" s="238"/>
      <c r="U360" s="238"/>
      <c r="V360" s="238"/>
      <c r="W360" s="238"/>
      <c r="X360" s="238"/>
      <c r="Y360" s="238"/>
      <c r="Z360" s="238"/>
    </row>
    <row r="361" spans="1:26" ht="16.5" customHeight="1">
      <c r="A361" s="238"/>
      <c r="B361" s="238"/>
      <c r="C361" s="238"/>
      <c r="D361" s="238"/>
      <c r="E361" s="238"/>
      <c r="F361" s="238"/>
      <c r="G361" s="238"/>
      <c r="H361" s="238"/>
      <c r="I361" s="238"/>
      <c r="J361" s="238"/>
      <c r="K361" s="238"/>
      <c r="L361" s="238"/>
      <c r="M361" s="238"/>
      <c r="N361" s="238"/>
      <c r="O361" s="238"/>
      <c r="P361" s="238"/>
      <c r="Q361" s="238"/>
      <c r="R361" s="238"/>
      <c r="S361" s="238"/>
      <c r="T361" s="238"/>
      <c r="U361" s="238"/>
      <c r="V361" s="238"/>
      <c r="W361" s="238"/>
      <c r="X361" s="238"/>
      <c r="Y361" s="238"/>
      <c r="Z361" s="238"/>
    </row>
    <row r="362" spans="1:26" ht="16.5" customHeight="1">
      <c r="A362" s="238"/>
      <c r="B362" s="238"/>
      <c r="C362" s="238"/>
      <c r="D362" s="238"/>
      <c r="E362" s="238"/>
      <c r="F362" s="238"/>
      <c r="G362" s="238"/>
      <c r="H362" s="238"/>
      <c r="I362" s="238"/>
      <c r="J362" s="238"/>
      <c r="K362" s="238"/>
      <c r="L362" s="238"/>
      <c r="M362" s="238"/>
      <c r="N362" s="238"/>
      <c r="O362" s="238"/>
      <c r="P362" s="238"/>
      <c r="Q362" s="238"/>
      <c r="R362" s="238"/>
      <c r="S362" s="238"/>
      <c r="T362" s="238"/>
      <c r="U362" s="238"/>
      <c r="V362" s="238"/>
      <c r="W362" s="238"/>
      <c r="X362" s="238"/>
      <c r="Y362" s="238"/>
      <c r="Z362" s="238"/>
    </row>
    <row r="363" spans="1:26" ht="16.5" customHeight="1">
      <c r="A363" s="238"/>
      <c r="B363" s="238"/>
      <c r="C363" s="238"/>
      <c r="D363" s="238"/>
      <c r="E363" s="238"/>
      <c r="F363" s="238"/>
      <c r="G363" s="238"/>
      <c r="H363" s="238"/>
      <c r="I363" s="238"/>
      <c r="J363" s="238"/>
      <c r="K363" s="238"/>
      <c r="L363" s="238"/>
      <c r="M363" s="238"/>
      <c r="N363" s="238"/>
      <c r="O363" s="238"/>
      <c r="P363" s="238"/>
      <c r="Q363" s="238"/>
      <c r="R363" s="238"/>
      <c r="S363" s="238"/>
      <c r="T363" s="238"/>
      <c r="U363" s="238"/>
      <c r="V363" s="238"/>
      <c r="W363" s="238"/>
      <c r="X363" s="238"/>
      <c r="Y363" s="238"/>
      <c r="Z363" s="238"/>
    </row>
    <row r="364" spans="1:26" ht="16.5" customHeight="1">
      <c r="A364" s="238"/>
      <c r="B364" s="238"/>
      <c r="C364" s="238"/>
      <c r="D364" s="238"/>
      <c r="E364" s="238"/>
      <c r="F364" s="238"/>
      <c r="G364" s="238"/>
      <c r="H364" s="238"/>
      <c r="I364" s="238"/>
      <c r="J364" s="238"/>
      <c r="K364" s="238"/>
      <c r="L364" s="238"/>
      <c r="M364" s="238"/>
      <c r="N364" s="238"/>
      <c r="O364" s="238"/>
      <c r="P364" s="238"/>
      <c r="Q364" s="238"/>
      <c r="R364" s="238"/>
      <c r="S364" s="238"/>
      <c r="T364" s="238"/>
      <c r="U364" s="238"/>
      <c r="V364" s="238"/>
      <c r="W364" s="238"/>
      <c r="X364" s="238"/>
      <c r="Y364" s="238"/>
      <c r="Z364" s="238"/>
    </row>
    <row r="365" spans="1:26" ht="16.5" customHeight="1">
      <c r="A365" s="238"/>
      <c r="B365" s="238"/>
      <c r="C365" s="238"/>
      <c r="D365" s="238"/>
      <c r="E365" s="238"/>
      <c r="F365" s="238"/>
      <c r="G365" s="238"/>
      <c r="H365" s="238"/>
      <c r="I365" s="238"/>
      <c r="J365" s="238"/>
      <c r="K365" s="238"/>
      <c r="L365" s="238"/>
      <c r="M365" s="238"/>
      <c r="N365" s="238"/>
      <c r="O365" s="238"/>
      <c r="P365" s="238"/>
      <c r="Q365" s="238"/>
      <c r="R365" s="238"/>
      <c r="S365" s="238"/>
      <c r="T365" s="238"/>
      <c r="U365" s="238"/>
      <c r="V365" s="238"/>
      <c r="W365" s="238"/>
      <c r="X365" s="238"/>
      <c r="Y365" s="238"/>
      <c r="Z365" s="238"/>
    </row>
    <row r="366" spans="1:26" ht="16.5" customHeight="1">
      <c r="A366" s="238"/>
      <c r="B366" s="238"/>
      <c r="C366" s="238"/>
      <c r="D366" s="238"/>
      <c r="E366" s="238"/>
      <c r="F366" s="238"/>
      <c r="G366" s="238"/>
      <c r="H366" s="238"/>
      <c r="I366" s="238"/>
      <c r="J366" s="238"/>
      <c r="K366" s="238"/>
      <c r="L366" s="238"/>
      <c r="M366" s="238"/>
      <c r="N366" s="238"/>
      <c r="O366" s="238"/>
      <c r="P366" s="238"/>
      <c r="Q366" s="238"/>
      <c r="R366" s="238"/>
      <c r="S366" s="238"/>
      <c r="T366" s="238"/>
      <c r="U366" s="238"/>
      <c r="V366" s="238"/>
      <c r="W366" s="238"/>
      <c r="X366" s="238"/>
      <c r="Y366" s="238"/>
      <c r="Z366" s="238"/>
    </row>
    <row r="367" spans="1:26" ht="16.5" customHeight="1">
      <c r="A367" s="238"/>
      <c r="B367" s="238"/>
      <c r="C367" s="238"/>
      <c r="D367" s="238"/>
      <c r="E367" s="238"/>
      <c r="F367" s="238"/>
      <c r="G367" s="238"/>
      <c r="H367" s="238"/>
      <c r="I367" s="238"/>
      <c r="J367" s="238"/>
      <c r="K367" s="238"/>
      <c r="L367" s="238"/>
      <c r="M367" s="238"/>
      <c r="N367" s="238"/>
      <c r="O367" s="238"/>
      <c r="P367" s="238"/>
      <c r="Q367" s="238"/>
      <c r="R367" s="238"/>
      <c r="S367" s="238"/>
      <c r="T367" s="238"/>
      <c r="U367" s="238"/>
      <c r="V367" s="238"/>
      <c r="W367" s="238"/>
      <c r="X367" s="238"/>
      <c r="Y367" s="238"/>
      <c r="Z367" s="238"/>
    </row>
    <row r="368" spans="1:26" ht="16.5" customHeight="1">
      <c r="A368" s="238"/>
      <c r="B368" s="238"/>
      <c r="C368" s="238"/>
      <c r="D368" s="238"/>
      <c r="E368" s="238"/>
      <c r="F368" s="238"/>
      <c r="G368" s="238"/>
      <c r="H368" s="238"/>
      <c r="I368" s="238"/>
      <c r="J368" s="238"/>
      <c r="K368" s="238"/>
      <c r="L368" s="238"/>
      <c r="M368" s="238"/>
      <c r="N368" s="238"/>
      <c r="O368" s="238"/>
      <c r="P368" s="238"/>
      <c r="Q368" s="238"/>
      <c r="R368" s="238"/>
      <c r="S368" s="238"/>
      <c r="T368" s="238"/>
      <c r="U368" s="238"/>
      <c r="V368" s="238"/>
      <c r="W368" s="238"/>
      <c r="X368" s="238"/>
      <c r="Y368" s="238"/>
      <c r="Z368" s="238"/>
    </row>
    <row r="369" spans="1:26" ht="16.5" customHeight="1">
      <c r="A369" s="238"/>
      <c r="B369" s="238"/>
      <c r="C369" s="238"/>
      <c r="D369" s="238"/>
      <c r="E369" s="238"/>
      <c r="F369" s="238"/>
      <c r="G369" s="238"/>
      <c r="H369" s="238"/>
      <c r="I369" s="238"/>
      <c r="J369" s="238"/>
      <c r="K369" s="238"/>
      <c r="L369" s="238"/>
      <c r="M369" s="238"/>
      <c r="N369" s="238"/>
      <c r="O369" s="238"/>
      <c r="P369" s="238"/>
      <c r="Q369" s="238"/>
      <c r="R369" s="238"/>
      <c r="S369" s="238"/>
      <c r="T369" s="238"/>
      <c r="U369" s="238"/>
      <c r="V369" s="238"/>
      <c r="W369" s="238"/>
      <c r="X369" s="238"/>
      <c r="Y369" s="238"/>
      <c r="Z369" s="238"/>
    </row>
    <row r="370" spans="1:26" ht="16.5" customHeight="1">
      <c r="A370" s="238"/>
      <c r="B370" s="238"/>
      <c r="C370" s="238"/>
      <c r="D370" s="238"/>
      <c r="E370" s="238"/>
      <c r="F370" s="238"/>
      <c r="G370" s="238"/>
      <c r="H370" s="238"/>
      <c r="I370" s="238"/>
      <c r="J370" s="238"/>
      <c r="K370" s="238"/>
      <c r="L370" s="238"/>
      <c r="M370" s="238"/>
      <c r="N370" s="238"/>
      <c r="O370" s="238"/>
      <c r="P370" s="238"/>
      <c r="Q370" s="238"/>
      <c r="R370" s="238"/>
      <c r="S370" s="238"/>
      <c r="T370" s="238"/>
      <c r="U370" s="238"/>
      <c r="V370" s="238"/>
      <c r="W370" s="238"/>
      <c r="X370" s="238"/>
      <c r="Y370" s="238"/>
      <c r="Z370" s="238"/>
    </row>
    <row r="371" spans="1:26" ht="16.5" customHeight="1">
      <c r="A371" s="238"/>
      <c r="B371" s="238"/>
      <c r="C371" s="238"/>
      <c r="D371" s="238"/>
      <c r="E371" s="238"/>
      <c r="F371" s="238"/>
      <c r="G371" s="238"/>
      <c r="H371" s="238"/>
      <c r="I371" s="238"/>
      <c r="J371" s="238"/>
      <c r="K371" s="238"/>
      <c r="L371" s="238"/>
      <c r="M371" s="238"/>
      <c r="N371" s="238"/>
      <c r="O371" s="238"/>
      <c r="P371" s="238"/>
      <c r="Q371" s="238"/>
      <c r="R371" s="238"/>
      <c r="S371" s="238"/>
      <c r="T371" s="238"/>
      <c r="U371" s="238"/>
      <c r="V371" s="238"/>
      <c r="W371" s="238"/>
      <c r="X371" s="238"/>
      <c r="Y371" s="238"/>
      <c r="Z371" s="238"/>
    </row>
    <row r="372" spans="1:26" ht="16.5" customHeight="1">
      <c r="A372" s="238"/>
      <c r="B372" s="238"/>
      <c r="C372" s="238"/>
      <c r="D372" s="238"/>
      <c r="E372" s="238"/>
      <c r="F372" s="238"/>
      <c r="G372" s="238"/>
      <c r="H372" s="238"/>
      <c r="I372" s="238"/>
      <c r="J372" s="238"/>
      <c r="K372" s="238"/>
      <c r="L372" s="238"/>
      <c r="M372" s="238"/>
      <c r="N372" s="238"/>
      <c r="O372" s="238"/>
      <c r="P372" s="238"/>
      <c r="Q372" s="238"/>
      <c r="R372" s="238"/>
      <c r="S372" s="238"/>
      <c r="T372" s="238"/>
      <c r="U372" s="238"/>
      <c r="V372" s="238"/>
      <c r="W372" s="238"/>
      <c r="X372" s="238"/>
      <c r="Y372" s="238"/>
      <c r="Z372" s="238"/>
    </row>
    <row r="373" spans="1:26" ht="16.5" customHeight="1">
      <c r="A373" s="238"/>
      <c r="B373" s="238"/>
      <c r="C373" s="238"/>
      <c r="D373" s="238"/>
      <c r="E373" s="238"/>
      <c r="F373" s="238"/>
      <c r="G373" s="238"/>
      <c r="H373" s="238"/>
      <c r="I373" s="238"/>
      <c r="J373" s="238"/>
      <c r="K373" s="238"/>
      <c r="L373" s="238"/>
      <c r="M373" s="238"/>
      <c r="N373" s="238"/>
      <c r="O373" s="238"/>
      <c r="P373" s="238"/>
      <c r="Q373" s="238"/>
      <c r="R373" s="238"/>
      <c r="S373" s="238"/>
      <c r="T373" s="238"/>
      <c r="U373" s="238"/>
      <c r="V373" s="238"/>
      <c r="W373" s="238"/>
      <c r="X373" s="238"/>
      <c r="Y373" s="238"/>
      <c r="Z373" s="238"/>
    </row>
    <row r="374" spans="1:26" ht="16.5" customHeight="1">
      <c r="A374" s="238"/>
      <c r="B374" s="238"/>
      <c r="C374" s="238"/>
      <c r="D374" s="238"/>
      <c r="E374" s="238"/>
      <c r="F374" s="238"/>
      <c r="G374" s="238"/>
      <c r="H374" s="238"/>
      <c r="I374" s="238"/>
      <c r="J374" s="238"/>
      <c r="K374" s="238"/>
      <c r="L374" s="238"/>
      <c r="M374" s="238"/>
      <c r="N374" s="238"/>
      <c r="O374" s="238"/>
      <c r="P374" s="238"/>
      <c r="Q374" s="238"/>
      <c r="R374" s="238"/>
      <c r="S374" s="238"/>
      <c r="T374" s="238"/>
      <c r="U374" s="238"/>
      <c r="V374" s="238"/>
      <c r="W374" s="238"/>
      <c r="X374" s="238"/>
      <c r="Y374" s="238"/>
      <c r="Z374" s="238"/>
    </row>
    <row r="375" spans="1:26" ht="16.5" customHeight="1">
      <c r="A375" s="238"/>
      <c r="B375" s="238"/>
      <c r="C375" s="238"/>
      <c r="D375" s="238"/>
      <c r="E375" s="238"/>
      <c r="F375" s="238"/>
      <c r="G375" s="238"/>
      <c r="H375" s="238"/>
      <c r="I375" s="238"/>
      <c r="J375" s="238"/>
      <c r="K375" s="238"/>
      <c r="L375" s="238"/>
      <c r="M375" s="238"/>
      <c r="N375" s="238"/>
      <c r="O375" s="238"/>
      <c r="P375" s="238"/>
      <c r="Q375" s="238"/>
      <c r="R375" s="238"/>
      <c r="S375" s="238"/>
      <c r="T375" s="238"/>
      <c r="U375" s="238"/>
      <c r="V375" s="238"/>
      <c r="W375" s="238"/>
      <c r="X375" s="238"/>
      <c r="Y375" s="238"/>
      <c r="Z375" s="238"/>
    </row>
    <row r="376" spans="1:26" ht="16.5" customHeight="1">
      <c r="A376" s="238"/>
      <c r="B376" s="238"/>
      <c r="C376" s="238"/>
      <c r="D376" s="238"/>
      <c r="E376" s="238"/>
      <c r="F376" s="238"/>
      <c r="G376" s="238"/>
      <c r="H376" s="238"/>
      <c r="I376" s="238"/>
      <c r="J376" s="238"/>
      <c r="K376" s="238"/>
      <c r="L376" s="238"/>
      <c r="M376" s="238"/>
      <c r="N376" s="238"/>
      <c r="O376" s="238"/>
      <c r="P376" s="238"/>
      <c r="Q376" s="238"/>
      <c r="R376" s="238"/>
      <c r="S376" s="238"/>
      <c r="T376" s="238"/>
      <c r="U376" s="238"/>
      <c r="V376" s="238"/>
      <c r="W376" s="238"/>
      <c r="X376" s="238"/>
      <c r="Y376" s="238"/>
      <c r="Z376" s="238"/>
    </row>
    <row r="377" spans="1:26" ht="16.5" customHeight="1">
      <c r="A377" s="238"/>
      <c r="B377" s="238"/>
      <c r="C377" s="238"/>
      <c r="D377" s="238"/>
      <c r="E377" s="238"/>
      <c r="F377" s="238"/>
      <c r="G377" s="238"/>
      <c r="H377" s="238"/>
      <c r="I377" s="238"/>
      <c r="J377" s="238"/>
      <c r="K377" s="238"/>
      <c r="L377" s="238"/>
      <c r="M377" s="238"/>
      <c r="N377" s="238"/>
      <c r="O377" s="238"/>
      <c r="P377" s="238"/>
      <c r="Q377" s="238"/>
      <c r="R377" s="238"/>
      <c r="S377" s="238"/>
      <c r="T377" s="238"/>
      <c r="U377" s="238"/>
      <c r="V377" s="238"/>
      <c r="W377" s="238"/>
      <c r="X377" s="238"/>
      <c r="Y377" s="238"/>
      <c r="Z377" s="238"/>
    </row>
    <row r="378" spans="1:26" ht="16.5" customHeight="1">
      <c r="A378" s="238"/>
      <c r="B378" s="238"/>
      <c r="C378" s="238"/>
      <c r="D378" s="238"/>
      <c r="E378" s="238"/>
      <c r="F378" s="238"/>
      <c r="G378" s="238"/>
      <c r="H378" s="238"/>
      <c r="I378" s="238"/>
      <c r="J378" s="238"/>
      <c r="K378" s="238"/>
      <c r="L378" s="238"/>
      <c r="M378" s="238"/>
      <c r="N378" s="238"/>
      <c r="O378" s="238"/>
      <c r="P378" s="238"/>
      <c r="Q378" s="238"/>
      <c r="R378" s="238"/>
      <c r="S378" s="238"/>
      <c r="T378" s="238"/>
      <c r="U378" s="238"/>
      <c r="V378" s="238"/>
      <c r="W378" s="238"/>
      <c r="X378" s="238"/>
      <c r="Y378" s="238"/>
      <c r="Z378" s="238"/>
    </row>
    <row r="379" spans="1:26" ht="16.5" customHeight="1">
      <c r="A379" s="238"/>
      <c r="B379" s="238"/>
      <c r="C379" s="238"/>
      <c r="D379" s="238"/>
      <c r="E379" s="238"/>
      <c r="F379" s="238"/>
      <c r="G379" s="238"/>
      <c r="H379" s="238"/>
      <c r="I379" s="238"/>
      <c r="J379" s="238"/>
      <c r="K379" s="238"/>
      <c r="L379" s="238"/>
      <c r="M379" s="238"/>
      <c r="N379" s="238"/>
      <c r="O379" s="238"/>
      <c r="P379" s="238"/>
      <c r="Q379" s="238"/>
      <c r="R379" s="238"/>
      <c r="S379" s="238"/>
      <c r="T379" s="238"/>
      <c r="U379" s="238"/>
      <c r="V379" s="238"/>
      <c r="W379" s="238"/>
      <c r="X379" s="238"/>
      <c r="Y379" s="238"/>
      <c r="Z379" s="238"/>
    </row>
    <row r="380" spans="1:26" ht="16.5" customHeight="1">
      <c r="A380" s="238"/>
      <c r="B380" s="238"/>
      <c r="C380" s="238"/>
      <c r="D380" s="238"/>
      <c r="E380" s="238"/>
      <c r="F380" s="238"/>
      <c r="G380" s="238"/>
      <c r="H380" s="238"/>
      <c r="I380" s="238"/>
      <c r="J380" s="238"/>
      <c r="K380" s="238"/>
      <c r="L380" s="238"/>
      <c r="M380" s="238"/>
      <c r="N380" s="238"/>
      <c r="O380" s="238"/>
      <c r="P380" s="238"/>
      <c r="Q380" s="238"/>
      <c r="R380" s="238"/>
      <c r="S380" s="238"/>
      <c r="T380" s="238"/>
      <c r="U380" s="238"/>
      <c r="V380" s="238"/>
      <c r="W380" s="238"/>
      <c r="X380" s="238"/>
      <c r="Y380" s="238"/>
      <c r="Z380" s="238"/>
    </row>
    <row r="381" spans="1:26" ht="16.5" customHeight="1">
      <c r="A381" s="238"/>
      <c r="B381" s="238"/>
      <c r="C381" s="238"/>
      <c r="D381" s="238"/>
      <c r="E381" s="238"/>
      <c r="F381" s="238"/>
      <c r="G381" s="238"/>
      <c r="H381" s="238"/>
      <c r="I381" s="238"/>
      <c r="J381" s="238"/>
      <c r="K381" s="238"/>
      <c r="L381" s="238"/>
      <c r="M381" s="238"/>
      <c r="N381" s="238"/>
      <c r="O381" s="238"/>
      <c r="P381" s="238"/>
      <c r="Q381" s="238"/>
      <c r="R381" s="238"/>
      <c r="S381" s="238"/>
      <c r="T381" s="238"/>
      <c r="U381" s="238"/>
      <c r="V381" s="238"/>
      <c r="W381" s="238"/>
      <c r="X381" s="238"/>
      <c r="Y381" s="238"/>
      <c r="Z381" s="238"/>
    </row>
    <row r="382" spans="1:26" ht="16.5" customHeight="1">
      <c r="A382" s="238"/>
      <c r="B382" s="238"/>
      <c r="C382" s="238"/>
      <c r="D382" s="238"/>
      <c r="E382" s="238"/>
      <c r="F382" s="238"/>
      <c r="G382" s="238"/>
      <c r="H382" s="238"/>
      <c r="I382" s="238"/>
      <c r="J382" s="238"/>
      <c r="K382" s="238"/>
      <c r="L382" s="238"/>
      <c r="M382" s="238"/>
      <c r="N382" s="238"/>
      <c r="O382" s="238"/>
      <c r="P382" s="238"/>
      <c r="Q382" s="238"/>
      <c r="R382" s="238"/>
      <c r="S382" s="238"/>
      <c r="T382" s="238"/>
      <c r="U382" s="238"/>
      <c r="V382" s="238"/>
      <c r="W382" s="238"/>
      <c r="X382" s="238"/>
      <c r="Y382" s="238"/>
      <c r="Z382" s="238"/>
    </row>
    <row r="383" spans="1:26" ht="16.5" customHeight="1">
      <c r="A383" s="238"/>
      <c r="B383" s="238"/>
      <c r="C383" s="238"/>
      <c r="D383" s="238"/>
      <c r="E383" s="238"/>
      <c r="F383" s="238"/>
      <c r="G383" s="238"/>
      <c r="H383" s="238"/>
      <c r="I383" s="238"/>
      <c r="J383" s="238"/>
      <c r="K383" s="238"/>
      <c r="L383" s="238"/>
      <c r="M383" s="238"/>
      <c r="N383" s="238"/>
      <c r="O383" s="238"/>
      <c r="P383" s="238"/>
      <c r="Q383" s="238"/>
      <c r="R383" s="238"/>
      <c r="S383" s="238"/>
      <c r="T383" s="238"/>
      <c r="U383" s="238"/>
      <c r="V383" s="238"/>
      <c r="W383" s="238"/>
      <c r="X383" s="238"/>
      <c r="Y383" s="238"/>
      <c r="Z383" s="238"/>
    </row>
    <row r="384" spans="1:26" ht="16.5" customHeight="1">
      <c r="A384" s="238"/>
      <c r="B384" s="238"/>
      <c r="C384" s="238"/>
      <c r="D384" s="238"/>
      <c r="E384" s="238"/>
      <c r="F384" s="238"/>
      <c r="G384" s="238"/>
      <c r="H384" s="238"/>
      <c r="I384" s="238"/>
      <c r="J384" s="238"/>
      <c r="K384" s="238"/>
      <c r="L384" s="238"/>
      <c r="M384" s="238"/>
      <c r="N384" s="238"/>
      <c r="O384" s="238"/>
      <c r="P384" s="238"/>
      <c r="Q384" s="238"/>
      <c r="R384" s="238"/>
      <c r="S384" s="238"/>
      <c r="T384" s="238"/>
      <c r="U384" s="238"/>
      <c r="V384" s="238"/>
      <c r="W384" s="238"/>
      <c r="X384" s="238"/>
      <c r="Y384" s="238"/>
      <c r="Z384" s="238"/>
    </row>
    <row r="385" spans="1:26" ht="16.5" customHeight="1">
      <c r="A385" s="238"/>
      <c r="B385" s="238"/>
      <c r="C385" s="238"/>
      <c r="D385" s="238"/>
      <c r="E385" s="238"/>
      <c r="F385" s="238"/>
      <c r="G385" s="238"/>
      <c r="H385" s="238"/>
      <c r="I385" s="238"/>
      <c r="J385" s="238"/>
      <c r="K385" s="238"/>
      <c r="L385" s="238"/>
      <c r="M385" s="238"/>
      <c r="N385" s="238"/>
      <c r="O385" s="238"/>
      <c r="P385" s="238"/>
      <c r="Q385" s="238"/>
      <c r="R385" s="238"/>
      <c r="S385" s="238"/>
      <c r="T385" s="238"/>
      <c r="U385" s="238"/>
      <c r="V385" s="238"/>
      <c r="W385" s="238"/>
      <c r="X385" s="238"/>
      <c r="Y385" s="238"/>
      <c r="Z385" s="238"/>
    </row>
    <row r="386" spans="1:26" ht="16.5" customHeight="1">
      <c r="A386" s="238"/>
      <c r="B386" s="238"/>
      <c r="C386" s="238"/>
      <c r="D386" s="238"/>
      <c r="E386" s="238"/>
      <c r="F386" s="238"/>
      <c r="G386" s="238"/>
      <c r="H386" s="238"/>
      <c r="I386" s="238"/>
      <c r="J386" s="238"/>
      <c r="K386" s="238"/>
      <c r="L386" s="238"/>
      <c r="M386" s="238"/>
      <c r="N386" s="238"/>
      <c r="O386" s="238"/>
      <c r="P386" s="238"/>
      <c r="Q386" s="238"/>
      <c r="R386" s="238"/>
      <c r="S386" s="238"/>
      <c r="T386" s="238"/>
      <c r="U386" s="238"/>
      <c r="V386" s="238"/>
      <c r="W386" s="238"/>
      <c r="X386" s="238"/>
      <c r="Y386" s="238"/>
      <c r="Z386" s="238"/>
    </row>
    <row r="387" spans="1:26" ht="16.5" customHeight="1">
      <c r="A387" s="238"/>
      <c r="B387" s="238"/>
      <c r="C387" s="238"/>
      <c r="D387" s="238"/>
      <c r="E387" s="238"/>
      <c r="F387" s="238"/>
      <c r="G387" s="238"/>
      <c r="H387" s="238"/>
      <c r="I387" s="238"/>
      <c r="J387" s="238"/>
      <c r="K387" s="238"/>
      <c r="L387" s="238"/>
      <c r="M387" s="238"/>
      <c r="N387" s="238"/>
      <c r="O387" s="238"/>
      <c r="P387" s="238"/>
      <c r="Q387" s="238"/>
      <c r="R387" s="238"/>
      <c r="S387" s="238"/>
      <c r="T387" s="238"/>
      <c r="U387" s="238"/>
      <c r="V387" s="238"/>
      <c r="W387" s="238"/>
      <c r="X387" s="238"/>
      <c r="Y387" s="238"/>
      <c r="Z387" s="238"/>
    </row>
    <row r="388" spans="1:26" ht="16.5" customHeight="1">
      <c r="A388" s="238"/>
      <c r="B388" s="238"/>
      <c r="C388" s="238"/>
      <c r="D388" s="238"/>
      <c r="E388" s="238"/>
      <c r="F388" s="238"/>
      <c r="G388" s="238"/>
      <c r="H388" s="238"/>
      <c r="I388" s="238"/>
      <c r="J388" s="238"/>
      <c r="K388" s="238"/>
      <c r="L388" s="238"/>
      <c r="M388" s="238"/>
      <c r="N388" s="238"/>
      <c r="O388" s="238"/>
      <c r="P388" s="238"/>
      <c r="Q388" s="238"/>
      <c r="R388" s="238"/>
      <c r="S388" s="238"/>
      <c r="T388" s="238"/>
      <c r="U388" s="238"/>
      <c r="V388" s="238"/>
      <c r="W388" s="238"/>
      <c r="X388" s="238"/>
      <c r="Y388" s="238"/>
      <c r="Z388" s="238"/>
    </row>
    <row r="389" spans="1:26" ht="16.5" customHeight="1">
      <c r="A389" s="238"/>
      <c r="B389" s="238"/>
      <c r="C389" s="238"/>
      <c r="D389" s="238"/>
      <c r="E389" s="238"/>
      <c r="F389" s="238"/>
      <c r="G389" s="238"/>
      <c r="H389" s="238"/>
      <c r="I389" s="238"/>
      <c r="J389" s="238"/>
      <c r="K389" s="238"/>
      <c r="L389" s="238"/>
      <c r="M389" s="238"/>
      <c r="N389" s="238"/>
      <c r="O389" s="238"/>
      <c r="P389" s="238"/>
      <c r="Q389" s="238"/>
      <c r="R389" s="238"/>
      <c r="S389" s="238"/>
      <c r="T389" s="238"/>
      <c r="U389" s="238"/>
      <c r="V389" s="238"/>
      <c r="W389" s="238"/>
      <c r="X389" s="238"/>
      <c r="Y389" s="238"/>
      <c r="Z389" s="238"/>
    </row>
    <row r="390" spans="1:26" ht="16.5" customHeight="1">
      <c r="A390" s="238"/>
      <c r="B390" s="238"/>
      <c r="C390" s="238"/>
      <c r="D390" s="238"/>
      <c r="E390" s="238"/>
      <c r="F390" s="238"/>
      <c r="G390" s="238"/>
      <c r="H390" s="238"/>
      <c r="I390" s="238"/>
      <c r="J390" s="238"/>
      <c r="K390" s="238"/>
      <c r="L390" s="238"/>
      <c r="M390" s="238"/>
      <c r="N390" s="238"/>
      <c r="O390" s="238"/>
      <c r="P390" s="238"/>
      <c r="Q390" s="238"/>
      <c r="R390" s="238"/>
      <c r="S390" s="238"/>
      <c r="T390" s="238"/>
      <c r="U390" s="238"/>
      <c r="V390" s="238"/>
      <c r="W390" s="238"/>
      <c r="X390" s="238"/>
      <c r="Y390" s="238"/>
      <c r="Z390" s="238"/>
    </row>
    <row r="391" spans="1:26" ht="16.5" customHeight="1">
      <c r="A391" s="238"/>
      <c r="B391" s="238"/>
      <c r="C391" s="238"/>
      <c r="D391" s="238"/>
      <c r="E391" s="238"/>
      <c r="F391" s="238"/>
      <c r="G391" s="238"/>
      <c r="H391" s="238"/>
      <c r="I391" s="238"/>
      <c r="J391" s="238"/>
      <c r="K391" s="238"/>
      <c r="L391" s="238"/>
      <c r="M391" s="238"/>
      <c r="N391" s="238"/>
      <c r="O391" s="238"/>
      <c r="P391" s="238"/>
      <c r="Q391" s="238"/>
      <c r="R391" s="238"/>
      <c r="S391" s="238"/>
      <c r="T391" s="238"/>
      <c r="U391" s="238"/>
      <c r="V391" s="238"/>
      <c r="W391" s="238"/>
      <c r="X391" s="238"/>
      <c r="Y391" s="238"/>
      <c r="Z391" s="238"/>
    </row>
    <row r="392" spans="1:26" ht="16.5" customHeight="1">
      <c r="A392" s="238"/>
      <c r="B392" s="238"/>
      <c r="C392" s="238"/>
      <c r="D392" s="238"/>
      <c r="E392" s="238"/>
      <c r="F392" s="238"/>
      <c r="G392" s="238"/>
      <c r="H392" s="238"/>
      <c r="I392" s="238"/>
      <c r="J392" s="238"/>
      <c r="K392" s="238"/>
      <c r="L392" s="238"/>
      <c r="M392" s="238"/>
      <c r="N392" s="238"/>
      <c r="O392" s="238"/>
      <c r="P392" s="238"/>
      <c r="Q392" s="238"/>
      <c r="R392" s="238"/>
      <c r="S392" s="238"/>
      <c r="T392" s="238"/>
      <c r="U392" s="238"/>
      <c r="V392" s="238"/>
      <c r="W392" s="238"/>
      <c r="X392" s="238"/>
      <c r="Y392" s="238"/>
      <c r="Z392" s="238"/>
    </row>
    <row r="393" spans="1:26" ht="16.5" customHeight="1">
      <c r="A393" s="238"/>
      <c r="B393" s="238"/>
      <c r="C393" s="238"/>
      <c r="D393" s="238"/>
      <c r="E393" s="238"/>
      <c r="F393" s="238"/>
      <c r="G393" s="238"/>
      <c r="H393" s="238"/>
      <c r="I393" s="238"/>
      <c r="J393" s="238"/>
      <c r="K393" s="238"/>
      <c r="L393" s="238"/>
      <c r="M393" s="238"/>
      <c r="N393" s="238"/>
      <c r="O393" s="238"/>
      <c r="P393" s="238"/>
      <c r="Q393" s="238"/>
      <c r="R393" s="238"/>
      <c r="S393" s="238"/>
      <c r="T393" s="238"/>
      <c r="U393" s="238"/>
      <c r="V393" s="238"/>
      <c r="W393" s="238"/>
      <c r="X393" s="238"/>
      <c r="Y393" s="238"/>
      <c r="Z393" s="238"/>
    </row>
    <row r="394" spans="1:26" ht="16.5" customHeight="1">
      <c r="A394" s="238"/>
      <c r="B394" s="238"/>
      <c r="C394" s="238"/>
      <c r="D394" s="238"/>
      <c r="E394" s="238"/>
      <c r="F394" s="238"/>
      <c r="G394" s="238"/>
      <c r="H394" s="238"/>
      <c r="I394" s="238"/>
      <c r="J394" s="238"/>
      <c r="K394" s="238"/>
      <c r="L394" s="238"/>
      <c r="M394" s="238"/>
      <c r="N394" s="238"/>
      <c r="O394" s="238"/>
      <c r="P394" s="238"/>
      <c r="Q394" s="238"/>
      <c r="R394" s="238"/>
      <c r="S394" s="238"/>
      <c r="T394" s="238"/>
      <c r="U394" s="238"/>
      <c r="V394" s="238"/>
      <c r="W394" s="238"/>
      <c r="X394" s="238"/>
      <c r="Y394" s="238"/>
      <c r="Z394" s="238"/>
    </row>
    <row r="395" spans="1:26" ht="16.5" customHeight="1">
      <c r="A395" s="238"/>
      <c r="B395" s="238"/>
      <c r="C395" s="238"/>
      <c r="D395" s="238"/>
      <c r="E395" s="238"/>
      <c r="F395" s="238"/>
      <c r="G395" s="238"/>
      <c r="H395" s="238"/>
      <c r="I395" s="238"/>
      <c r="J395" s="238"/>
      <c r="K395" s="238"/>
      <c r="L395" s="238"/>
      <c r="M395" s="238"/>
      <c r="N395" s="238"/>
      <c r="O395" s="238"/>
      <c r="P395" s="238"/>
      <c r="Q395" s="238"/>
      <c r="R395" s="238"/>
      <c r="S395" s="238"/>
      <c r="T395" s="238"/>
      <c r="U395" s="238"/>
      <c r="V395" s="238"/>
      <c r="W395" s="238"/>
      <c r="X395" s="238"/>
      <c r="Y395" s="238"/>
      <c r="Z395" s="238"/>
    </row>
    <row r="396" spans="1:26" ht="16.5" customHeight="1">
      <c r="A396" s="238"/>
      <c r="B396" s="238"/>
      <c r="C396" s="238"/>
      <c r="D396" s="238"/>
      <c r="E396" s="238"/>
      <c r="F396" s="238"/>
      <c r="G396" s="238"/>
      <c r="H396" s="238"/>
      <c r="I396" s="238"/>
      <c r="J396" s="238"/>
      <c r="K396" s="238"/>
      <c r="L396" s="238"/>
      <c r="M396" s="238"/>
      <c r="N396" s="238"/>
      <c r="O396" s="238"/>
      <c r="P396" s="238"/>
      <c r="Q396" s="238"/>
      <c r="R396" s="238"/>
      <c r="S396" s="238"/>
      <c r="T396" s="238"/>
      <c r="U396" s="238"/>
      <c r="V396" s="238"/>
      <c r="W396" s="238"/>
      <c r="X396" s="238"/>
      <c r="Y396" s="238"/>
      <c r="Z396" s="238"/>
    </row>
    <row r="397" spans="1:26" ht="16.5" customHeight="1">
      <c r="A397" s="238"/>
      <c r="B397" s="238"/>
      <c r="C397" s="238"/>
      <c r="D397" s="238"/>
      <c r="E397" s="238"/>
      <c r="F397" s="238"/>
      <c r="G397" s="238"/>
      <c r="H397" s="238"/>
      <c r="I397" s="238"/>
      <c r="J397" s="238"/>
      <c r="K397" s="238"/>
      <c r="L397" s="238"/>
      <c r="M397" s="238"/>
      <c r="N397" s="238"/>
      <c r="O397" s="238"/>
      <c r="P397" s="238"/>
      <c r="Q397" s="238"/>
      <c r="R397" s="238"/>
      <c r="S397" s="238"/>
      <c r="T397" s="238"/>
      <c r="U397" s="238"/>
      <c r="V397" s="238"/>
      <c r="W397" s="238"/>
      <c r="X397" s="238"/>
      <c r="Y397" s="238"/>
      <c r="Z397" s="238"/>
    </row>
    <row r="398" spans="1:26" ht="16.5" customHeight="1">
      <c r="A398" s="238"/>
      <c r="B398" s="238"/>
      <c r="C398" s="238"/>
      <c r="D398" s="238"/>
      <c r="E398" s="238"/>
      <c r="F398" s="238"/>
      <c r="G398" s="238"/>
      <c r="H398" s="238"/>
      <c r="I398" s="238"/>
      <c r="J398" s="238"/>
      <c r="K398" s="238"/>
      <c r="L398" s="238"/>
      <c r="M398" s="238"/>
      <c r="N398" s="238"/>
      <c r="O398" s="238"/>
      <c r="P398" s="238"/>
      <c r="Q398" s="238"/>
      <c r="R398" s="238"/>
      <c r="S398" s="238"/>
      <c r="T398" s="238"/>
      <c r="U398" s="238"/>
      <c r="V398" s="238"/>
      <c r="W398" s="238"/>
      <c r="X398" s="238"/>
      <c r="Y398" s="238"/>
      <c r="Z398" s="238"/>
    </row>
    <row r="399" spans="1:26" ht="16.5" customHeight="1">
      <c r="A399" s="238"/>
      <c r="B399" s="238"/>
      <c r="C399" s="238"/>
      <c r="D399" s="238"/>
      <c r="E399" s="238"/>
      <c r="F399" s="238"/>
      <c r="G399" s="238"/>
      <c r="H399" s="238"/>
      <c r="I399" s="238"/>
      <c r="J399" s="238"/>
      <c r="K399" s="238"/>
      <c r="L399" s="238"/>
      <c r="M399" s="238"/>
      <c r="N399" s="238"/>
      <c r="O399" s="238"/>
      <c r="P399" s="238"/>
      <c r="Q399" s="238"/>
      <c r="R399" s="238"/>
      <c r="S399" s="238"/>
      <c r="T399" s="238"/>
      <c r="U399" s="238"/>
      <c r="V399" s="238"/>
      <c r="W399" s="238"/>
      <c r="X399" s="238"/>
      <c r="Y399" s="238"/>
      <c r="Z399" s="238"/>
    </row>
    <row r="400" spans="1:26" ht="16.5" customHeight="1">
      <c r="A400" s="238"/>
      <c r="B400" s="238"/>
      <c r="C400" s="238"/>
      <c r="D400" s="238"/>
      <c r="E400" s="238"/>
      <c r="F400" s="238"/>
      <c r="G400" s="238"/>
      <c r="H400" s="238"/>
      <c r="I400" s="238"/>
      <c r="J400" s="238"/>
      <c r="K400" s="238"/>
      <c r="L400" s="238"/>
      <c r="M400" s="238"/>
      <c r="N400" s="238"/>
      <c r="O400" s="238"/>
      <c r="P400" s="238"/>
      <c r="Q400" s="238"/>
      <c r="R400" s="238"/>
      <c r="S400" s="238"/>
      <c r="T400" s="238"/>
      <c r="U400" s="238"/>
      <c r="V400" s="238"/>
      <c r="W400" s="238"/>
      <c r="X400" s="238"/>
      <c r="Y400" s="238"/>
      <c r="Z400" s="238"/>
    </row>
    <row r="401" spans="1:26" ht="16.5" customHeight="1">
      <c r="A401" s="238"/>
      <c r="B401" s="238"/>
      <c r="C401" s="238"/>
      <c r="D401" s="238"/>
      <c r="E401" s="238"/>
      <c r="F401" s="238"/>
      <c r="G401" s="238"/>
      <c r="H401" s="238"/>
      <c r="I401" s="238"/>
      <c r="J401" s="238"/>
      <c r="K401" s="238"/>
      <c r="L401" s="238"/>
      <c r="M401" s="238"/>
      <c r="N401" s="238"/>
      <c r="O401" s="238"/>
      <c r="P401" s="238"/>
      <c r="Q401" s="238"/>
      <c r="R401" s="238"/>
      <c r="S401" s="238"/>
      <c r="T401" s="238"/>
      <c r="U401" s="238"/>
      <c r="V401" s="238"/>
      <c r="W401" s="238"/>
      <c r="X401" s="238"/>
      <c r="Y401" s="238"/>
      <c r="Z401" s="238"/>
    </row>
    <row r="402" spans="1:26" ht="16.5" customHeight="1">
      <c r="A402" s="238"/>
      <c r="B402" s="238"/>
      <c r="C402" s="238"/>
      <c r="D402" s="238"/>
      <c r="E402" s="238"/>
      <c r="F402" s="238"/>
      <c r="G402" s="238"/>
      <c r="H402" s="238"/>
      <c r="I402" s="238"/>
      <c r="J402" s="238"/>
      <c r="K402" s="238"/>
      <c r="L402" s="238"/>
      <c r="M402" s="238"/>
      <c r="N402" s="238"/>
      <c r="O402" s="238"/>
      <c r="P402" s="238"/>
      <c r="Q402" s="238"/>
      <c r="R402" s="238"/>
      <c r="S402" s="238"/>
      <c r="T402" s="238"/>
      <c r="U402" s="238"/>
      <c r="V402" s="238"/>
      <c r="W402" s="238"/>
      <c r="X402" s="238"/>
      <c r="Y402" s="238"/>
      <c r="Z402" s="238"/>
    </row>
    <row r="403" spans="1:26" ht="16.5" customHeight="1">
      <c r="A403" s="238"/>
      <c r="B403" s="238"/>
      <c r="C403" s="238"/>
      <c r="D403" s="238"/>
      <c r="E403" s="238"/>
      <c r="F403" s="238"/>
      <c r="G403" s="238"/>
      <c r="H403" s="238"/>
      <c r="I403" s="238"/>
      <c r="J403" s="238"/>
      <c r="K403" s="238"/>
      <c r="L403" s="238"/>
      <c r="M403" s="238"/>
      <c r="N403" s="238"/>
      <c r="O403" s="238"/>
      <c r="P403" s="238"/>
      <c r="Q403" s="238"/>
      <c r="R403" s="238"/>
      <c r="S403" s="238"/>
      <c r="T403" s="238"/>
      <c r="U403" s="238"/>
      <c r="V403" s="238"/>
      <c r="W403" s="238"/>
      <c r="X403" s="238"/>
      <c r="Y403" s="238"/>
      <c r="Z403" s="238"/>
    </row>
    <row r="404" spans="1:26" ht="16.5" customHeight="1">
      <c r="A404" s="238"/>
      <c r="B404" s="238"/>
      <c r="C404" s="238"/>
      <c r="D404" s="238"/>
      <c r="E404" s="238"/>
      <c r="F404" s="238"/>
      <c r="G404" s="238"/>
      <c r="H404" s="238"/>
      <c r="I404" s="238"/>
      <c r="J404" s="238"/>
      <c r="K404" s="238"/>
      <c r="L404" s="238"/>
      <c r="M404" s="238"/>
      <c r="N404" s="238"/>
      <c r="O404" s="238"/>
      <c r="P404" s="238"/>
      <c r="Q404" s="238"/>
      <c r="R404" s="238"/>
      <c r="S404" s="238"/>
      <c r="T404" s="238"/>
      <c r="U404" s="238"/>
      <c r="V404" s="238"/>
      <c r="W404" s="238"/>
      <c r="X404" s="238"/>
      <c r="Y404" s="238"/>
      <c r="Z404" s="238"/>
    </row>
    <row r="405" spans="1:26" ht="16.5" customHeight="1">
      <c r="A405" s="238"/>
      <c r="B405" s="238"/>
      <c r="C405" s="238"/>
      <c r="D405" s="238"/>
      <c r="E405" s="238"/>
      <c r="F405" s="238"/>
      <c r="G405" s="238"/>
      <c r="H405" s="238"/>
      <c r="I405" s="238"/>
      <c r="J405" s="238"/>
      <c r="K405" s="238"/>
      <c r="L405" s="238"/>
      <c r="M405" s="238"/>
      <c r="N405" s="238"/>
      <c r="O405" s="238"/>
      <c r="P405" s="238"/>
      <c r="Q405" s="238"/>
      <c r="R405" s="238"/>
      <c r="S405" s="238"/>
      <c r="T405" s="238"/>
      <c r="U405" s="238"/>
      <c r="V405" s="238"/>
      <c r="W405" s="238"/>
      <c r="X405" s="238"/>
      <c r="Y405" s="238"/>
      <c r="Z405" s="238"/>
    </row>
    <row r="406" spans="1:26" ht="16.5" customHeight="1">
      <c r="A406" s="238"/>
      <c r="B406" s="238"/>
      <c r="C406" s="238"/>
      <c r="D406" s="238"/>
      <c r="E406" s="238"/>
      <c r="F406" s="238"/>
      <c r="G406" s="238"/>
      <c r="H406" s="238"/>
      <c r="I406" s="238"/>
      <c r="J406" s="238"/>
      <c r="K406" s="238"/>
      <c r="L406" s="238"/>
      <c r="M406" s="238"/>
      <c r="N406" s="238"/>
      <c r="O406" s="238"/>
      <c r="P406" s="238"/>
      <c r="Q406" s="238"/>
      <c r="R406" s="238"/>
      <c r="S406" s="238"/>
      <c r="T406" s="238"/>
      <c r="U406" s="238"/>
      <c r="V406" s="238"/>
      <c r="W406" s="238"/>
      <c r="X406" s="238"/>
      <c r="Y406" s="238"/>
      <c r="Z406" s="238"/>
    </row>
    <row r="407" spans="1:26" ht="16.5" customHeight="1">
      <c r="A407" s="238"/>
      <c r="B407" s="238"/>
      <c r="C407" s="238"/>
      <c r="D407" s="238"/>
      <c r="E407" s="238"/>
      <c r="F407" s="238"/>
      <c r="G407" s="238"/>
      <c r="H407" s="238"/>
      <c r="I407" s="238"/>
      <c r="J407" s="238"/>
      <c r="K407" s="238"/>
      <c r="L407" s="238"/>
      <c r="M407" s="238"/>
      <c r="N407" s="238"/>
      <c r="O407" s="238"/>
      <c r="P407" s="238"/>
      <c r="Q407" s="238"/>
      <c r="R407" s="238"/>
      <c r="S407" s="238"/>
      <c r="T407" s="238"/>
      <c r="U407" s="238"/>
      <c r="V407" s="238"/>
      <c r="W407" s="238"/>
      <c r="X407" s="238"/>
      <c r="Y407" s="238"/>
      <c r="Z407" s="238"/>
    </row>
    <row r="408" spans="1:26" ht="16.5" customHeight="1">
      <c r="A408" s="238"/>
      <c r="B408" s="238"/>
      <c r="C408" s="238"/>
      <c r="D408" s="238"/>
      <c r="E408" s="238"/>
      <c r="F408" s="238"/>
      <c r="G408" s="238"/>
      <c r="H408" s="238"/>
      <c r="I408" s="238"/>
      <c r="J408" s="238"/>
      <c r="K408" s="238"/>
      <c r="L408" s="238"/>
      <c r="M408" s="238"/>
      <c r="N408" s="238"/>
      <c r="O408" s="238"/>
      <c r="P408" s="238"/>
      <c r="Q408" s="238"/>
      <c r="R408" s="238"/>
      <c r="S408" s="238"/>
      <c r="T408" s="238"/>
      <c r="U408" s="238"/>
      <c r="V408" s="238"/>
      <c r="W408" s="238"/>
      <c r="X408" s="238"/>
      <c r="Y408" s="238"/>
      <c r="Z408" s="238"/>
    </row>
    <row r="409" spans="1:26" ht="16.5" customHeight="1">
      <c r="A409" s="238"/>
      <c r="B409" s="238"/>
      <c r="C409" s="238"/>
      <c r="D409" s="238"/>
      <c r="E409" s="238"/>
      <c r="F409" s="238"/>
      <c r="G409" s="238"/>
      <c r="H409" s="238"/>
      <c r="I409" s="238"/>
      <c r="J409" s="238"/>
      <c r="K409" s="238"/>
      <c r="L409" s="238"/>
      <c r="M409" s="238"/>
      <c r="N409" s="238"/>
      <c r="O409" s="238"/>
      <c r="P409" s="238"/>
      <c r="Q409" s="238"/>
      <c r="R409" s="238"/>
      <c r="S409" s="238"/>
      <c r="T409" s="238"/>
      <c r="U409" s="238"/>
      <c r="V409" s="238"/>
      <c r="W409" s="238"/>
      <c r="X409" s="238"/>
      <c r="Y409" s="238"/>
      <c r="Z409" s="238"/>
    </row>
    <row r="410" spans="1:26" ht="16.5" customHeight="1">
      <c r="A410" s="238"/>
      <c r="B410" s="238"/>
      <c r="C410" s="238"/>
      <c r="D410" s="238"/>
      <c r="E410" s="238"/>
      <c r="F410" s="238"/>
      <c r="G410" s="238"/>
      <c r="H410" s="238"/>
      <c r="I410" s="238"/>
      <c r="J410" s="238"/>
      <c r="K410" s="238"/>
      <c r="L410" s="238"/>
      <c r="M410" s="238"/>
      <c r="N410" s="238"/>
      <c r="O410" s="238"/>
      <c r="P410" s="238"/>
      <c r="Q410" s="238"/>
      <c r="R410" s="238"/>
      <c r="S410" s="238"/>
      <c r="T410" s="238"/>
      <c r="U410" s="238"/>
      <c r="V410" s="238"/>
      <c r="W410" s="238"/>
      <c r="X410" s="238"/>
      <c r="Y410" s="238"/>
      <c r="Z410" s="238"/>
    </row>
    <row r="411" spans="1:26" ht="16.5" customHeight="1">
      <c r="A411" s="238"/>
      <c r="B411" s="238"/>
      <c r="C411" s="238"/>
      <c r="D411" s="238"/>
      <c r="E411" s="238"/>
      <c r="F411" s="238"/>
      <c r="G411" s="238"/>
      <c r="H411" s="238"/>
      <c r="I411" s="238"/>
      <c r="J411" s="238"/>
      <c r="K411" s="238"/>
      <c r="L411" s="238"/>
      <c r="M411" s="238"/>
      <c r="N411" s="238"/>
      <c r="O411" s="238"/>
      <c r="P411" s="238"/>
      <c r="Q411" s="238"/>
      <c r="R411" s="238"/>
      <c r="S411" s="238"/>
      <c r="T411" s="238"/>
      <c r="U411" s="238"/>
      <c r="V411" s="238"/>
      <c r="W411" s="238"/>
      <c r="X411" s="238"/>
      <c r="Y411" s="238"/>
      <c r="Z411" s="238"/>
    </row>
    <row r="412" spans="1:26" ht="16.5" customHeight="1">
      <c r="A412" s="238"/>
      <c r="B412" s="238"/>
      <c r="C412" s="238"/>
      <c r="D412" s="238"/>
      <c r="E412" s="238"/>
      <c r="F412" s="238"/>
      <c r="G412" s="238"/>
      <c r="H412" s="238"/>
      <c r="I412" s="238"/>
      <c r="J412" s="238"/>
      <c r="K412" s="238"/>
      <c r="L412" s="238"/>
      <c r="M412" s="238"/>
      <c r="N412" s="238"/>
      <c r="O412" s="238"/>
      <c r="P412" s="238"/>
      <c r="Q412" s="238"/>
      <c r="R412" s="238"/>
      <c r="S412" s="238"/>
      <c r="T412" s="238"/>
      <c r="U412" s="238"/>
      <c r="V412" s="238"/>
      <c r="W412" s="238"/>
      <c r="X412" s="238"/>
      <c r="Y412" s="238"/>
      <c r="Z412" s="238"/>
    </row>
    <row r="413" spans="1:26" ht="16.5" customHeight="1">
      <c r="A413" s="238"/>
      <c r="B413" s="238"/>
      <c r="C413" s="238"/>
      <c r="D413" s="238"/>
      <c r="E413" s="238"/>
      <c r="F413" s="238"/>
      <c r="G413" s="238"/>
      <c r="H413" s="238"/>
      <c r="I413" s="238"/>
      <c r="J413" s="238"/>
      <c r="K413" s="238"/>
      <c r="L413" s="238"/>
      <c r="M413" s="238"/>
      <c r="N413" s="238"/>
      <c r="O413" s="238"/>
      <c r="P413" s="238"/>
      <c r="Q413" s="238"/>
      <c r="R413" s="238"/>
      <c r="S413" s="238"/>
      <c r="T413" s="238"/>
      <c r="U413" s="238"/>
      <c r="V413" s="238"/>
      <c r="W413" s="238"/>
      <c r="X413" s="238"/>
      <c r="Y413" s="238"/>
      <c r="Z413" s="238"/>
    </row>
    <row r="414" spans="1:26" ht="16.5" customHeight="1">
      <c r="A414" s="238"/>
      <c r="B414" s="238"/>
      <c r="C414" s="238"/>
      <c r="D414" s="238"/>
      <c r="E414" s="238"/>
      <c r="F414" s="238"/>
      <c r="G414" s="238"/>
      <c r="H414" s="238"/>
      <c r="I414" s="238"/>
      <c r="J414" s="238"/>
      <c r="K414" s="238"/>
      <c r="L414" s="238"/>
      <c r="M414" s="238"/>
      <c r="N414" s="238"/>
      <c r="O414" s="238"/>
      <c r="P414" s="238"/>
      <c r="Q414" s="238"/>
      <c r="R414" s="238"/>
      <c r="S414" s="238"/>
      <c r="T414" s="238"/>
      <c r="U414" s="238"/>
      <c r="V414" s="238"/>
      <c r="W414" s="238"/>
      <c r="X414" s="238"/>
      <c r="Y414" s="238"/>
      <c r="Z414" s="238"/>
    </row>
    <row r="415" spans="1:26" ht="16.5" customHeight="1">
      <c r="A415" s="238"/>
      <c r="B415" s="238"/>
      <c r="C415" s="238"/>
      <c r="D415" s="238"/>
      <c r="E415" s="238"/>
      <c r="F415" s="238"/>
      <c r="G415" s="238"/>
      <c r="H415" s="238"/>
      <c r="I415" s="238"/>
      <c r="J415" s="238"/>
      <c r="K415" s="238"/>
      <c r="L415" s="238"/>
      <c r="M415" s="238"/>
      <c r="N415" s="238"/>
      <c r="O415" s="238"/>
      <c r="P415" s="238"/>
      <c r="Q415" s="238"/>
      <c r="R415" s="238"/>
      <c r="S415" s="238"/>
      <c r="T415" s="238"/>
      <c r="U415" s="238"/>
      <c r="V415" s="238"/>
      <c r="W415" s="238"/>
      <c r="X415" s="238"/>
      <c r="Y415" s="238"/>
      <c r="Z415" s="238"/>
    </row>
    <row r="416" spans="1:26" ht="16.5" customHeight="1">
      <c r="A416" s="238"/>
      <c r="B416" s="238"/>
      <c r="C416" s="238"/>
      <c r="D416" s="238"/>
      <c r="E416" s="238"/>
      <c r="F416" s="238"/>
      <c r="G416" s="238"/>
      <c r="H416" s="238"/>
      <c r="I416" s="238"/>
      <c r="J416" s="238"/>
      <c r="K416" s="238"/>
      <c r="L416" s="238"/>
      <c r="M416" s="238"/>
      <c r="N416" s="238"/>
      <c r="O416" s="238"/>
      <c r="P416" s="238"/>
      <c r="Q416" s="238"/>
      <c r="R416" s="238"/>
      <c r="S416" s="238"/>
      <c r="T416" s="238"/>
      <c r="U416" s="238"/>
      <c r="V416" s="238"/>
      <c r="W416" s="238"/>
      <c r="X416" s="238"/>
      <c r="Y416" s="238"/>
      <c r="Z416" s="238"/>
    </row>
    <row r="417" spans="1:26" ht="16.5" customHeight="1">
      <c r="A417" s="238"/>
      <c r="B417" s="238"/>
      <c r="C417" s="238"/>
      <c r="D417" s="238"/>
      <c r="E417" s="238"/>
      <c r="F417" s="238"/>
      <c r="G417" s="238"/>
      <c r="H417" s="238"/>
      <c r="I417" s="238"/>
      <c r="J417" s="238"/>
      <c r="K417" s="238"/>
      <c r="L417" s="238"/>
      <c r="M417" s="238"/>
      <c r="N417" s="238"/>
      <c r="O417" s="238"/>
      <c r="P417" s="238"/>
      <c r="Q417" s="238"/>
      <c r="R417" s="238"/>
      <c r="S417" s="238"/>
      <c r="T417" s="238"/>
      <c r="U417" s="238"/>
      <c r="V417" s="238"/>
      <c r="W417" s="238"/>
      <c r="X417" s="238"/>
      <c r="Y417" s="238"/>
      <c r="Z417" s="238"/>
    </row>
    <row r="418" spans="1:26" ht="16.5" customHeight="1">
      <c r="A418" s="238"/>
      <c r="B418" s="238"/>
      <c r="C418" s="238"/>
      <c r="D418" s="238"/>
      <c r="E418" s="238"/>
      <c r="F418" s="238"/>
      <c r="G418" s="238"/>
      <c r="H418" s="238"/>
      <c r="I418" s="238"/>
      <c r="J418" s="238"/>
      <c r="K418" s="238"/>
      <c r="L418" s="238"/>
      <c r="M418" s="238"/>
      <c r="N418" s="238"/>
      <c r="O418" s="238"/>
      <c r="P418" s="238"/>
      <c r="Q418" s="238"/>
      <c r="R418" s="238"/>
      <c r="S418" s="238"/>
      <c r="T418" s="238"/>
      <c r="U418" s="238"/>
      <c r="V418" s="238"/>
      <c r="W418" s="238"/>
      <c r="X418" s="238"/>
      <c r="Y418" s="238"/>
      <c r="Z418" s="238"/>
    </row>
    <row r="419" spans="1:26" ht="16.5" customHeight="1">
      <c r="A419" s="238"/>
      <c r="B419" s="238"/>
      <c r="C419" s="238"/>
      <c r="D419" s="238"/>
      <c r="E419" s="238"/>
      <c r="F419" s="238"/>
      <c r="G419" s="238"/>
      <c r="H419" s="238"/>
      <c r="I419" s="238"/>
      <c r="J419" s="238"/>
      <c r="K419" s="238"/>
      <c r="L419" s="238"/>
      <c r="M419" s="238"/>
      <c r="N419" s="238"/>
      <c r="O419" s="238"/>
      <c r="P419" s="238"/>
      <c r="Q419" s="238"/>
      <c r="R419" s="238"/>
      <c r="S419" s="238"/>
      <c r="T419" s="238"/>
      <c r="U419" s="238"/>
      <c r="V419" s="238"/>
      <c r="W419" s="238"/>
      <c r="X419" s="238"/>
      <c r="Y419" s="238"/>
      <c r="Z419" s="238"/>
    </row>
    <row r="420" spans="1:26" ht="16.5" customHeight="1">
      <c r="A420" s="238"/>
      <c r="B420" s="238"/>
      <c r="C420" s="238"/>
      <c r="D420" s="238"/>
      <c r="E420" s="238"/>
      <c r="F420" s="238"/>
      <c r="G420" s="238"/>
      <c r="H420" s="238"/>
      <c r="I420" s="238"/>
      <c r="J420" s="238"/>
      <c r="K420" s="238"/>
      <c r="L420" s="238"/>
      <c r="M420" s="238"/>
      <c r="N420" s="238"/>
      <c r="O420" s="238"/>
      <c r="P420" s="238"/>
      <c r="Q420" s="238"/>
      <c r="R420" s="238"/>
      <c r="S420" s="238"/>
      <c r="T420" s="238"/>
      <c r="U420" s="238"/>
      <c r="V420" s="238"/>
      <c r="W420" s="238"/>
      <c r="X420" s="238"/>
      <c r="Y420" s="238"/>
      <c r="Z420" s="238"/>
    </row>
    <row r="421" spans="1:26" ht="16.5" customHeight="1">
      <c r="A421" s="238"/>
      <c r="B421" s="238"/>
      <c r="C421" s="238"/>
      <c r="D421" s="238"/>
      <c r="E421" s="238"/>
      <c r="F421" s="238"/>
      <c r="G421" s="238"/>
      <c r="H421" s="238"/>
      <c r="I421" s="238"/>
      <c r="J421" s="238"/>
      <c r="K421" s="238"/>
      <c r="L421" s="238"/>
      <c r="M421" s="238"/>
      <c r="N421" s="238"/>
      <c r="O421" s="238"/>
      <c r="P421" s="238"/>
      <c r="Q421" s="238"/>
      <c r="R421" s="238"/>
      <c r="S421" s="238"/>
      <c r="T421" s="238"/>
      <c r="U421" s="238"/>
      <c r="V421" s="238"/>
      <c r="W421" s="238"/>
      <c r="X421" s="238"/>
      <c r="Y421" s="238"/>
      <c r="Z421" s="238"/>
    </row>
    <row r="422" spans="1:26" ht="16.5" customHeight="1">
      <c r="A422" s="238"/>
      <c r="B422" s="238"/>
      <c r="C422" s="238"/>
      <c r="D422" s="238"/>
      <c r="E422" s="238"/>
      <c r="F422" s="238"/>
      <c r="G422" s="238"/>
      <c r="H422" s="238"/>
      <c r="I422" s="238"/>
      <c r="J422" s="238"/>
      <c r="K422" s="238"/>
      <c r="L422" s="238"/>
      <c r="M422" s="238"/>
      <c r="N422" s="238"/>
      <c r="O422" s="238"/>
      <c r="P422" s="238"/>
      <c r="Q422" s="238"/>
      <c r="R422" s="238"/>
      <c r="S422" s="238"/>
      <c r="T422" s="238"/>
      <c r="U422" s="238"/>
      <c r="V422" s="238"/>
      <c r="W422" s="238"/>
      <c r="X422" s="238"/>
      <c r="Y422" s="238"/>
      <c r="Z422" s="238"/>
    </row>
    <row r="423" spans="1:26" ht="16.5" customHeight="1">
      <c r="A423" s="238"/>
      <c r="B423" s="238"/>
      <c r="C423" s="238"/>
      <c r="D423" s="238"/>
      <c r="E423" s="238"/>
      <c r="F423" s="238"/>
      <c r="G423" s="238"/>
      <c r="H423" s="238"/>
      <c r="I423" s="238"/>
      <c r="J423" s="238"/>
      <c r="K423" s="238"/>
      <c r="L423" s="238"/>
      <c r="M423" s="238"/>
      <c r="N423" s="238"/>
      <c r="O423" s="238"/>
      <c r="P423" s="238"/>
      <c r="Q423" s="238"/>
      <c r="R423" s="238"/>
      <c r="S423" s="238"/>
      <c r="T423" s="238"/>
      <c r="U423" s="238"/>
      <c r="V423" s="238"/>
      <c r="W423" s="238"/>
      <c r="X423" s="238"/>
      <c r="Y423" s="238"/>
      <c r="Z423" s="238"/>
    </row>
    <row r="424" spans="1:26" ht="16.5" customHeight="1">
      <c r="A424" s="238"/>
      <c r="B424" s="238"/>
      <c r="C424" s="238"/>
      <c r="D424" s="238"/>
      <c r="E424" s="238"/>
      <c r="F424" s="238"/>
      <c r="G424" s="238"/>
      <c r="H424" s="238"/>
      <c r="I424" s="238"/>
      <c r="J424" s="238"/>
      <c r="K424" s="238"/>
      <c r="L424" s="238"/>
      <c r="M424" s="238"/>
      <c r="N424" s="238"/>
      <c r="O424" s="238"/>
      <c r="P424" s="238"/>
      <c r="Q424" s="238"/>
      <c r="R424" s="238"/>
      <c r="S424" s="238"/>
      <c r="T424" s="238"/>
      <c r="U424" s="238"/>
      <c r="V424" s="238"/>
      <c r="W424" s="238"/>
      <c r="X424" s="238"/>
      <c r="Y424" s="238"/>
      <c r="Z424" s="238"/>
    </row>
    <row r="425" spans="1:26" ht="16.5" customHeight="1">
      <c r="A425" s="238"/>
      <c r="B425" s="238"/>
      <c r="C425" s="238"/>
      <c r="D425" s="238"/>
      <c r="E425" s="238"/>
      <c r="F425" s="238"/>
      <c r="G425" s="238"/>
      <c r="H425" s="238"/>
      <c r="I425" s="238"/>
      <c r="J425" s="238"/>
      <c r="K425" s="238"/>
      <c r="L425" s="238"/>
      <c r="M425" s="238"/>
      <c r="N425" s="238"/>
      <c r="O425" s="238"/>
      <c r="P425" s="238"/>
      <c r="Q425" s="238"/>
      <c r="R425" s="238"/>
      <c r="S425" s="238"/>
      <c r="T425" s="238"/>
      <c r="U425" s="238"/>
      <c r="V425" s="238"/>
      <c r="W425" s="238"/>
      <c r="X425" s="238"/>
      <c r="Y425" s="238"/>
      <c r="Z425" s="238"/>
    </row>
    <row r="426" spans="1:26" ht="16.5" customHeight="1">
      <c r="A426" s="238"/>
      <c r="B426" s="238"/>
      <c r="C426" s="238"/>
      <c r="D426" s="238"/>
      <c r="E426" s="238"/>
      <c r="F426" s="238"/>
      <c r="G426" s="238"/>
      <c r="H426" s="238"/>
      <c r="I426" s="238"/>
      <c r="J426" s="238"/>
      <c r="K426" s="238"/>
      <c r="L426" s="238"/>
      <c r="M426" s="238"/>
      <c r="N426" s="238"/>
      <c r="O426" s="238"/>
      <c r="P426" s="238"/>
      <c r="Q426" s="238"/>
      <c r="R426" s="238"/>
      <c r="S426" s="238"/>
      <c r="T426" s="238"/>
      <c r="U426" s="238"/>
      <c r="V426" s="238"/>
      <c r="W426" s="238"/>
      <c r="X426" s="238"/>
      <c r="Y426" s="238"/>
      <c r="Z426" s="238"/>
    </row>
    <row r="427" spans="1:26" ht="16.5" customHeight="1">
      <c r="A427" s="238"/>
      <c r="B427" s="238"/>
      <c r="C427" s="238"/>
      <c r="D427" s="238"/>
      <c r="E427" s="238"/>
      <c r="F427" s="238"/>
      <c r="G427" s="238"/>
      <c r="H427" s="238"/>
      <c r="I427" s="238"/>
      <c r="J427" s="238"/>
      <c r="K427" s="238"/>
      <c r="L427" s="238"/>
      <c r="M427" s="238"/>
      <c r="N427" s="238"/>
      <c r="O427" s="238"/>
      <c r="P427" s="238"/>
      <c r="Q427" s="238"/>
      <c r="R427" s="238"/>
      <c r="S427" s="238"/>
      <c r="T427" s="238"/>
      <c r="U427" s="238"/>
      <c r="V427" s="238"/>
      <c r="W427" s="238"/>
      <c r="X427" s="238"/>
      <c r="Y427" s="238"/>
      <c r="Z427" s="238"/>
    </row>
    <row r="428" spans="1:26" ht="16.5" customHeight="1">
      <c r="A428" s="238"/>
      <c r="B428" s="238"/>
      <c r="C428" s="238"/>
      <c r="D428" s="238"/>
      <c r="E428" s="238"/>
      <c r="F428" s="238"/>
      <c r="G428" s="238"/>
      <c r="H428" s="238"/>
      <c r="I428" s="238"/>
      <c r="J428" s="238"/>
      <c r="K428" s="238"/>
      <c r="L428" s="238"/>
      <c r="M428" s="238"/>
      <c r="N428" s="238"/>
      <c r="O428" s="238"/>
      <c r="P428" s="238"/>
      <c r="Q428" s="238"/>
      <c r="R428" s="238"/>
      <c r="S428" s="238"/>
      <c r="T428" s="238"/>
      <c r="U428" s="238"/>
      <c r="V428" s="238"/>
      <c r="W428" s="238"/>
      <c r="X428" s="238"/>
      <c r="Y428" s="238"/>
      <c r="Z428" s="238"/>
    </row>
    <row r="429" spans="1:26" ht="16.5" customHeight="1">
      <c r="A429" s="238"/>
      <c r="B429" s="238"/>
      <c r="C429" s="238"/>
      <c r="D429" s="238"/>
      <c r="E429" s="238"/>
      <c r="F429" s="238"/>
      <c r="G429" s="238"/>
      <c r="H429" s="238"/>
      <c r="I429" s="238"/>
      <c r="J429" s="238"/>
      <c r="K429" s="238"/>
      <c r="L429" s="238"/>
      <c r="M429" s="238"/>
      <c r="N429" s="238"/>
      <c r="O429" s="238"/>
      <c r="P429" s="238"/>
      <c r="Q429" s="238"/>
      <c r="R429" s="238"/>
      <c r="S429" s="238"/>
      <c r="T429" s="238"/>
      <c r="U429" s="238"/>
      <c r="V429" s="238"/>
      <c r="W429" s="238"/>
      <c r="X429" s="238"/>
      <c r="Y429" s="238"/>
      <c r="Z429" s="238"/>
    </row>
    <row r="430" spans="1:26" ht="16.5" customHeight="1">
      <c r="A430" s="238"/>
      <c r="B430" s="238"/>
      <c r="C430" s="238"/>
      <c r="D430" s="238"/>
      <c r="E430" s="238"/>
      <c r="F430" s="238"/>
      <c r="G430" s="238"/>
      <c r="H430" s="238"/>
      <c r="I430" s="238"/>
      <c r="J430" s="238"/>
      <c r="K430" s="238"/>
      <c r="L430" s="238"/>
      <c r="M430" s="238"/>
      <c r="N430" s="238"/>
      <c r="O430" s="238"/>
      <c r="P430" s="238"/>
      <c r="Q430" s="238"/>
      <c r="R430" s="238"/>
      <c r="S430" s="238"/>
      <c r="T430" s="238"/>
      <c r="U430" s="238"/>
      <c r="V430" s="238"/>
      <c r="W430" s="238"/>
      <c r="X430" s="238"/>
      <c r="Y430" s="238"/>
      <c r="Z430" s="238"/>
    </row>
    <row r="431" spans="1:26" ht="16.5" customHeight="1">
      <c r="A431" s="238"/>
      <c r="B431" s="238"/>
      <c r="C431" s="238"/>
      <c r="D431" s="238"/>
      <c r="E431" s="238"/>
      <c r="F431" s="238"/>
      <c r="G431" s="238"/>
      <c r="H431" s="238"/>
      <c r="I431" s="238"/>
      <c r="J431" s="238"/>
      <c r="K431" s="238"/>
      <c r="L431" s="238"/>
      <c r="M431" s="238"/>
      <c r="N431" s="238"/>
      <c r="O431" s="238"/>
      <c r="P431" s="238"/>
      <c r="Q431" s="238"/>
      <c r="R431" s="238"/>
      <c r="S431" s="238"/>
      <c r="T431" s="238"/>
      <c r="U431" s="238"/>
      <c r="V431" s="238"/>
      <c r="W431" s="238"/>
      <c r="X431" s="238"/>
      <c r="Y431" s="238"/>
      <c r="Z431" s="238"/>
    </row>
    <row r="432" spans="1:26" ht="16.5" customHeight="1">
      <c r="A432" s="238"/>
      <c r="B432" s="238"/>
      <c r="C432" s="238"/>
      <c r="D432" s="238"/>
      <c r="E432" s="238"/>
      <c r="F432" s="238"/>
      <c r="G432" s="238"/>
      <c r="H432" s="238"/>
      <c r="I432" s="238"/>
      <c r="J432" s="238"/>
      <c r="K432" s="238"/>
      <c r="L432" s="238"/>
      <c r="M432" s="238"/>
      <c r="N432" s="238"/>
      <c r="O432" s="238"/>
      <c r="P432" s="238"/>
      <c r="Q432" s="238"/>
      <c r="R432" s="238"/>
      <c r="S432" s="238"/>
      <c r="T432" s="238"/>
      <c r="U432" s="238"/>
      <c r="V432" s="238"/>
      <c r="W432" s="238"/>
      <c r="X432" s="238"/>
      <c r="Y432" s="238"/>
      <c r="Z432" s="238"/>
    </row>
    <row r="433" spans="1:26" ht="16.5" customHeight="1">
      <c r="A433" s="238"/>
      <c r="B433" s="238"/>
      <c r="C433" s="238"/>
      <c r="D433" s="238"/>
      <c r="E433" s="238"/>
      <c r="F433" s="238"/>
      <c r="G433" s="238"/>
      <c r="H433" s="238"/>
      <c r="I433" s="238"/>
      <c r="J433" s="238"/>
      <c r="K433" s="238"/>
      <c r="L433" s="238"/>
      <c r="M433" s="238"/>
      <c r="N433" s="238"/>
      <c r="O433" s="238"/>
      <c r="P433" s="238"/>
      <c r="Q433" s="238"/>
      <c r="R433" s="238"/>
      <c r="S433" s="238"/>
      <c r="T433" s="238"/>
      <c r="U433" s="238"/>
      <c r="V433" s="238"/>
      <c r="W433" s="238"/>
      <c r="X433" s="238"/>
      <c r="Y433" s="238"/>
      <c r="Z433" s="238"/>
    </row>
    <row r="434" spans="1:26" ht="16.5" customHeight="1">
      <c r="A434" s="238"/>
      <c r="B434" s="238"/>
      <c r="C434" s="238"/>
      <c r="D434" s="238"/>
      <c r="E434" s="238"/>
      <c r="F434" s="238"/>
      <c r="G434" s="238"/>
      <c r="H434" s="238"/>
      <c r="I434" s="238"/>
      <c r="J434" s="238"/>
      <c r="K434" s="238"/>
      <c r="L434" s="238"/>
      <c r="M434" s="238"/>
      <c r="N434" s="238"/>
      <c r="O434" s="238"/>
      <c r="P434" s="238"/>
      <c r="Q434" s="238"/>
      <c r="R434" s="238"/>
      <c r="S434" s="238"/>
      <c r="T434" s="238"/>
      <c r="U434" s="238"/>
      <c r="V434" s="238"/>
      <c r="W434" s="238"/>
      <c r="X434" s="238"/>
      <c r="Y434" s="238"/>
      <c r="Z434" s="238"/>
    </row>
    <row r="435" spans="1:26" ht="16.5" customHeight="1">
      <c r="A435" s="238"/>
      <c r="B435" s="238"/>
      <c r="C435" s="238"/>
      <c r="D435" s="238"/>
      <c r="E435" s="238"/>
      <c r="F435" s="238"/>
      <c r="G435" s="238"/>
      <c r="H435" s="238"/>
      <c r="I435" s="238"/>
      <c r="J435" s="238"/>
      <c r="K435" s="238"/>
      <c r="L435" s="238"/>
      <c r="M435" s="238"/>
      <c r="N435" s="238"/>
      <c r="O435" s="238"/>
      <c r="P435" s="238"/>
      <c r="Q435" s="238"/>
      <c r="R435" s="238"/>
      <c r="S435" s="238"/>
      <c r="T435" s="238"/>
      <c r="U435" s="238"/>
      <c r="V435" s="238"/>
      <c r="W435" s="238"/>
      <c r="X435" s="238"/>
      <c r="Y435" s="238"/>
      <c r="Z435" s="238"/>
    </row>
    <row r="436" spans="1:26" ht="16.5" customHeight="1">
      <c r="A436" s="238"/>
      <c r="B436" s="238"/>
      <c r="C436" s="238"/>
      <c r="D436" s="238"/>
      <c r="E436" s="238"/>
      <c r="F436" s="238"/>
      <c r="G436" s="238"/>
      <c r="H436" s="238"/>
      <c r="I436" s="238"/>
      <c r="J436" s="238"/>
      <c r="K436" s="238"/>
      <c r="L436" s="238"/>
      <c r="M436" s="238"/>
      <c r="N436" s="238"/>
      <c r="O436" s="238"/>
      <c r="P436" s="238"/>
      <c r="Q436" s="238"/>
      <c r="R436" s="238"/>
      <c r="S436" s="238"/>
      <c r="T436" s="238"/>
      <c r="U436" s="238"/>
      <c r="V436" s="238"/>
      <c r="W436" s="238"/>
      <c r="X436" s="238"/>
      <c r="Y436" s="238"/>
      <c r="Z436" s="238"/>
    </row>
    <row r="437" spans="1:26" ht="16.5" customHeight="1">
      <c r="A437" s="238"/>
      <c r="B437" s="238"/>
      <c r="C437" s="238"/>
      <c r="D437" s="238"/>
      <c r="E437" s="238"/>
      <c r="F437" s="238"/>
      <c r="G437" s="238"/>
      <c r="H437" s="238"/>
      <c r="I437" s="238"/>
      <c r="J437" s="238"/>
      <c r="K437" s="238"/>
      <c r="L437" s="238"/>
      <c r="M437" s="238"/>
      <c r="N437" s="238"/>
      <c r="O437" s="238"/>
      <c r="P437" s="238"/>
      <c r="Q437" s="238"/>
      <c r="R437" s="238"/>
      <c r="S437" s="238"/>
      <c r="T437" s="238"/>
      <c r="U437" s="238"/>
      <c r="V437" s="238"/>
      <c r="W437" s="238"/>
      <c r="X437" s="238"/>
      <c r="Y437" s="238"/>
      <c r="Z437" s="238"/>
    </row>
    <row r="438" spans="1:26" ht="16.5" customHeight="1">
      <c r="A438" s="238"/>
      <c r="B438" s="238"/>
      <c r="C438" s="238"/>
      <c r="D438" s="238"/>
      <c r="E438" s="238"/>
      <c r="F438" s="238"/>
      <c r="G438" s="238"/>
      <c r="H438" s="238"/>
      <c r="I438" s="238"/>
      <c r="J438" s="238"/>
      <c r="K438" s="238"/>
      <c r="L438" s="238"/>
      <c r="M438" s="238"/>
      <c r="N438" s="238"/>
      <c r="O438" s="238"/>
      <c r="P438" s="238"/>
      <c r="Q438" s="238"/>
      <c r="R438" s="238"/>
      <c r="S438" s="238"/>
      <c r="T438" s="238"/>
      <c r="U438" s="238"/>
      <c r="V438" s="238"/>
      <c r="W438" s="238"/>
      <c r="X438" s="238"/>
      <c r="Y438" s="238"/>
      <c r="Z438" s="238"/>
    </row>
    <row r="439" spans="1:26" ht="16.5" customHeight="1">
      <c r="A439" s="238"/>
      <c r="B439" s="238"/>
      <c r="C439" s="238"/>
      <c r="D439" s="238"/>
      <c r="E439" s="238"/>
      <c r="F439" s="238"/>
      <c r="G439" s="238"/>
      <c r="H439" s="238"/>
      <c r="I439" s="238"/>
      <c r="J439" s="238"/>
      <c r="K439" s="238"/>
      <c r="L439" s="238"/>
      <c r="M439" s="238"/>
      <c r="N439" s="238"/>
      <c r="O439" s="238"/>
      <c r="P439" s="238"/>
      <c r="Q439" s="238"/>
      <c r="R439" s="238"/>
      <c r="S439" s="238"/>
      <c r="T439" s="238"/>
      <c r="U439" s="238"/>
      <c r="V439" s="238"/>
      <c r="W439" s="238"/>
      <c r="X439" s="238"/>
      <c r="Y439" s="238"/>
      <c r="Z439" s="238"/>
    </row>
    <row r="440" spans="1:26" ht="16.5" customHeight="1">
      <c r="A440" s="238"/>
      <c r="B440" s="238"/>
      <c r="C440" s="238"/>
      <c r="D440" s="238"/>
      <c r="E440" s="238"/>
      <c r="F440" s="238"/>
      <c r="G440" s="238"/>
      <c r="H440" s="238"/>
      <c r="I440" s="238"/>
      <c r="J440" s="238"/>
      <c r="K440" s="238"/>
      <c r="L440" s="238"/>
      <c r="M440" s="238"/>
      <c r="N440" s="238"/>
      <c r="O440" s="238"/>
      <c r="P440" s="238"/>
      <c r="Q440" s="238"/>
      <c r="R440" s="238"/>
      <c r="S440" s="238"/>
      <c r="T440" s="238"/>
      <c r="U440" s="238"/>
      <c r="V440" s="238"/>
      <c r="W440" s="238"/>
      <c r="X440" s="238"/>
      <c r="Y440" s="238"/>
      <c r="Z440" s="238"/>
    </row>
    <row r="441" spans="1:26" ht="16.5" customHeight="1">
      <c r="A441" s="238"/>
      <c r="B441" s="238"/>
      <c r="C441" s="238"/>
      <c r="D441" s="238"/>
      <c r="E441" s="238"/>
      <c r="F441" s="238"/>
      <c r="G441" s="238"/>
      <c r="H441" s="238"/>
      <c r="I441" s="238"/>
      <c r="J441" s="238"/>
      <c r="K441" s="238"/>
      <c r="L441" s="238"/>
      <c r="M441" s="238"/>
      <c r="N441" s="238"/>
      <c r="O441" s="238"/>
      <c r="P441" s="238"/>
      <c r="Q441" s="238"/>
      <c r="R441" s="238"/>
      <c r="S441" s="238"/>
      <c r="T441" s="238"/>
      <c r="U441" s="238"/>
      <c r="V441" s="238"/>
      <c r="W441" s="238"/>
      <c r="X441" s="238"/>
      <c r="Y441" s="238"/>
      <c r="Z441" s="238"/>
    </row>
    <row r="442" spans="1:26" ht="16.5" customHeight="1">
      <c r="A442" s="238"/>
      <c r="B442" s="238"/>
      <c r="C442" s="238"/>
      <c r="D442" s="238"/>
      <c r="E442" s="238"/>
      <c r="F442" s="238"/>
      <c r="G442" s="238"/>
      <c r="H442" s="238"/>
      <c r="I442" s="238"/>
      <c r="J442" s="238"/>
      <c r="K442" s="238"/>
      <c r="L442" s="238"/>
      <c r="M442" s="238"/>
      <c r="N442" s="238"/>
      <c r="O442" s="238"/>
      <c r="P442" s="238"/>
      <c r="Q442" s="238"/>
      <c r="R442" s="238"/>
      <c r="S442" s="238"/>
      <c r="T442" s="238"/>
      <c r="U442" s="238"/>
      <c r="V442" s="238"/>
      <c r="W442" s="238"/>
      <c r="X442" s="238"/>
      <c r="Y442" s="238"/>
      <c r="Z442" s="238"/>
    </row>
    <row r="443" spans="1:26" ht="16.5" customHeight="1">
      <c r="A443" s="238"/>
      <c r="B443" s="238"/>
      <c r="C443" s="238"/>
      <c r="D443" s="238"/>
      <c r="E443" s="238"/>
      <c r="F443" s="238"/>
      <c r="G443" s="238"/>
      <c r="H443" s="238"/>
      <c r="I443" s="238"/>
      <c r="J443" s="238"/>
      <c r="K443" s="238"/>
      <c r="L443" s="238"/>
      <c r="M443" s="238"/>
      <c r="N443" s="238"/>
      <c r="O443" s="238"/>
      <c r="P443" s="238"/>
      <c r="Q443" s="238"/>
      <c r="R443" s="238"/>
      <c r="S443" s="238"/>
      <c r="T443" s="238"/>
      <c r="U443" s="238"/>
      <c r="V443" s="238"/>
      <c r="W443" s="238"/>
      <c r="X443" s="238"/>
      <c r="Y443" s="238"/>
      <c r="Z443" s="238"/>
    </row>
    <row r="444" spans="1:26" ht="16.5" customHeight="1">
      <c r="A444" s="238"/>
      <c r="B444" s="238"/>
      <c r="C444" s="238"/>
      <c r="D444" s="238"/>
      <c r="E444" s="238"/>
      <c r="F444" s="238"/>
      <c r="G444" s="238"/>
      <c r="H444" s="238"/>
      <c r="I444" s="238"/>
      <c r="J444" s="238"/>
      <c r="K444" s="238"/>
      <c r="L444" s="238"/>
      <c r="M444" s="238"/>
      <c r="N444" s="238"/>
      <c r="O444" s="238"/>
      <c r="P444" s="238"/>
      <c r="Q444" s="238"/>
      <c r="R444" s="238"/>
      <c r="S444" s="238"/>
      <c r="T444" s="238"/>
      <c r="U444" s="238"/>
      <c r="V444" s="238"/>
      <c r="W444" s="238"/>
      <c r="X444" s="238"/>
      <c r="Y444" s="238"/>
      <c r="Z444" s="238"/>
    </row>
    <row r="445" spans="1:26" ht="16.5" customHeight="1">
      <c r="A445" s="238"/>
      <c r="B445" s="238"/>
      <c r="C445" s="238"/>
      <c r="D445" s="238"/>
      <c r="E445" s="238"/>
      <c r="F445" s="238"/>
      <c r="G445" s="238"/>
      <c r="H445" s="238"/>
      <c r="I445" s="238"/>
      <c r="J445" s="238"/>
      <c r="K445" s="238"/>
      <c r="L445" s="238"/>
      <c r="M445" s="238"/>
      <c r="N445" s="238"/>
      <c r="O445" s="238"/>
      <c r="P445" s="238"/>
      <c r="Q445" s="238"/>
      <c r="R445" s="238"/>
      <c r="S445" s="238"/>
      <c r="T445" s="238"/>
      <c r="U445" s="238"/>
      <c r="V445" s="238"/>
      <c r="W445" s="238"/>
      <c r="X445" s="238"/>
      <c r="Y445" s="238"/>
      <c r="Z445" s="238"/>
    </row>
    <row r="446" spans="1:26" ht="16.5" customHeight="1">
      <c r="A446" s="238"/>
      <c r="B446" s="238"/>
      <c r="C446" s="238"/>
      <c r="D446" s="238"/>
      <c r="E446" s="238"/>
      <c r="F446" s="238"/>
      <c r="G446" s="238"/>
      <c r="H446" s="238"/>
      <c r="I446" s="238"/>
      <c r="J446" s="238"/>
      <c r="K446" s="238"/>
      <c r="L446" s="238"/>
      <c r="M446" s="238"/>
      <c r="N446" s="238"/>
      <c r="O446" s="238"/>
      <c r="P446" s="238"/>
      <c r="Q446" s="238"/>
      <c r="R446" s="238"/>
      <c r="S446" s="238"/>
      <c r="T446" s="238"/>
      <c r="U446" s="238"/>
      <c r="V446" s="238"/>
      <c r="W446" s="238"/>
      <c r="X446" s="238"/>
      <c r="Y446" s="238"/>
      <c r="Z446" s="238"/>
    </row>
    <row r="447" spans="1:26" ht="16.5" customHeight="1">
      <c r="A447" s="238"/>
      <c r="B447" s="238"/>
      <c r="C447" s="238"/>
      <c r="D447" s="238"/>
      <c r="E447" s="238"/>
      <c r="F447" s="238"/>
      <c r="G447" s="238"/>
      <c r="H447" s="238"/>
      <c r="I447" s="238"/>
      <c r="J447" s="238"/>
      <c r="K447" s="238"/>
      <c r="L447" s="238"/>
      <c r="M447" s="238"/>
      <c r="N447" s="238"/>
      <c r="O447" s="238"/>
      <c r="P447" s="238"/>
      <c r="Q447" s="238"/>
      <c r="R447" s="238"/>
      <c r="S447" s="238"/>
      <c r="T447" s="238"/>
      <c r="U447" s="238"/>
      <c r="V447" s="238"/>
      <c r="W447" s="238"/>
      <c r="X447" s="238"/>
      <c r="Y447" s="238"/>
      <c r="Z447" s="238"/>
    </row>
    <row r="448" spans="1:26" ht="16.5" customHeight="1">
      <c r="A448" s="238"/>
      <c r="B448" s="238"/>
      <c r="C448" s="238"/>
      <c r="D448" s="238"/>
      <c r="E448" s="238"/>
      <c r="F448" s="238"/>
      <c r="G448" s="238"/>
      <c r="H448" s="238"/>
      <c r="I448" s="238"/>
      <c r="J448" s="238"/>
      <c r="K448" s="238"/>
      <c r="L448" s="238"/>
      <c r="M448" s="238"/>
      <c r="N448" s="238"/>
      <c r="O448" s="238"/>
      <c r="P448" s="238"/>
      <c r="Q448" s="238"/>
      <c r="R448" s="238"/>
      <c r="S448" s="238"/>
      <c r="T448" s="238"/>
      <c r="U448" s="238"/>
      <c r="V448" s="238"/>
      <c r="W448" s="238"/>
      <c r="X448" s="238"/>
      <c r="Y448" s="238"/>
      <c r="Z448" s="238"/>
    </row>
    <row r="449" spans="1:26" ht="16.5" customHeight="1">
      <c r="A449" s="238"/>
      <c r="B449" s="238"/>
      <c r="C449" s="238"/>
      <c r="D449" s="238"/>
      <c r="E449" s="238"/>
      <c r="F449" s="238"/>
      <c r="G449" s="238"/>
      <c r="H449" s="238"/>
      <c r="I449" s="238"/>
      <c r="J449" s="238"/>
      <c r="K449" s="238"/>
      <c r="L449" s="238"/>
      <c r="M449" s="238"/>
      <c r="N449" s="238"/>
      <c r="O449" s="238"/>
      <c r="P449" s="238"/>
      <c r="Q449" s="238"/>
      <c r="R449" s="238"/>
      <c r="S449" s="238"/>
      <c r="T449" s="238"/>
      <c r="U449" s="238"/>
      <c r="V449" s="238"/>
      <c r="W449" s="238"/>
      <c r="X449" s="238"/>
      <c r="Y449" s="238"/>
      <c r="Z449" s="238"/>
    </row>
    <row r="450" spans="1:26" ht="16.5" customHeight="1">
      <c r="A450" s="238"/>
      <c r="B450" s="238"/>
      <c r="C450" s="238"/>
      <c r="D450" s="238"/>
      <c r="E450" s="238"/>
      <c r="F450" s="238"/>
      <c r="G450" s="238"/>
      <c r="H450" s="238"/>
      <c r="I450" s="238"/>
      <c r="J450" s="238"/>
      <c r="K450" s="238"/>
      <c r="L450" s="238"/>
      <c r="M450" s="238"/>
      <c r="N450" s="238"/>
      <c r="O450" s="238"/>
      <c r="P450" s="238"/>
      <c r="Q450" s="238"/>
      <c r="R450" s="238"/>
      <c r="S450" s="238"/>
      <c r="T450" s="238"/>
      <c r="U450" s="238"/>
      <c r="V450" s="238"/>
      <c r="W450" s="238"/>
      <c r="X450" s="238"/>
      <c r="Y450" s="238"/>
      <c r="Z450" s="238"/>
    </row>
    <row r="451" spans="1:26" ht="16.5" customHeight="1">
      <c r="A451" s="238"/>
      <c r="B451" s="238"/>
      <c r="C451" s="238"/>
      <c r="D451" s="238"/>
      <c r="E451" s="238"/>
      <c r="F451" s="238"/>
      <c r="G451" s="238"/>
      <c r="H451" s="238"/>
      <c r="I451" s="238"/>
      <c r="J451" s="238"/>
      <c r="K451" s="238"/>
      <c r="L451" s="238"/>
      <c r="M451" s="238"/>
      <c r="N451" s="238"/>
      <c r="O451" s="238"/>
      <c r="P451" s="238"/>
      <c r="Q451" s="238"/>
      <c r="R451" s="238"/>
      <c r="S451" s="238"/>
      <c r="T451" s="238"/>
      <c r="U451" s="238"/>
      <c r="V451" s="238"/>
      <c r="W451" s="238"/>
      <c r="X451" s="238"/>
      <c r="Y451" s="238"/>
      <c r="Z451" s="238"/>
    </row>
    <row r="452" spans="1:26" ht="16.5" customHeight="1">
      <c r="A452" s="238"/>
      <c r="B452" s="238"/>
      <c r="C452" s="238"/>
      <c r="D452" s="238"/>
      <c r="E452" s="238"/>
      <c r="F452" s="238"/>
      <c r="G452" s="238"/>
      <c r="H452" s="238"/>
      <c r="I452" s="238"/>
      <c r="J452" s="238"/>
      <c r="K452" s="238"/>
      <c r="L452" s="238"/>
      <c r="M452" s="238"/>
      <c r="N452" s="238"/>
      <c r="O452" s="238"/>
      <c r="P452" s="238"/>
      <c r="Q452" s="238"/>
      <c r="R452" s="238"/>
      <c r="S452" s="238"/>
      <c r="T452" s="238"/>
      <c r="U452" s="238"/>
      <c r="V452" s="238"/>
      <c r="W452" s="238"/>
      <c r="X452" s="238"/>
      <c r="Y452" s="238"/>
      <c r="Z452" s="238"/>
    </row>
    <row r="453" spans="1:26" ht="16.5" customHeight="1">
      <c r="A453" s="238"/>
      <c r="B453" s="238"/>
      <c r="C453" s="238"/>
      <c r="D453" s="238"/>
      <c r="E453" s="238"/>
      <c r="F453" s="238"/>
      <c r="G453" s="238"/>
      <c r="H453" s="238"/>
      <c r="I453" s="238"/>
      <c r="J453" s="238"/>
      <c r="K453" s="238"/>
      <c r="L453" s="238"/>
      <c r="M453" s="238"/>
      <c r="N453" s="238"/>
      <c r="O453" s="238"/>
      <c r="P453" s="238"/>
      <c r="Q453" s="238"/>
      <c r="R453" s="238"/>
      <c r="S453" s="238"/>
      <c r="T453" s="238"/>
      <c r="U453" s="238"/>
      <c r="V453" s="238"/>
      <c r="W453" s="238"/>
      <c r="X453" s="238"/>
      <c r="Y453" s="238"/>
      <c r="Z453" s="238"/>
    </row>
    <row r="454" spans="1:26" ht="16.5" customHeight="1">
      <c r="A454" s="238"/>
      <c r="B454" s="238"/>
      <c r="C454" s="238"/>
      <c r="D454" s="238"/>
      <c r="E454" s="238"/>
      <c r="F454" s="238"/>
      <c r="G454" s="238"/>
      <c r="H454" s="238"/>
      <c r="I454" s="238"/>
      <c r="J454" s="238"/>
      <c r="K454" s="238"/>
      <c r="L454" s="238"/>
      <c r="M454" s="238"/>
      <c r="N454" s="238"/>
      <c r="O454" s="238"/>
      <c r="P454" s="238"/>
      <c r="Q454" s="238"/>
      <c r="R454" s="238"/>
      <c r="S454" s="238"/>
      <c r="T454" s="238"/>
      <c r="U454" s="238"/>
      <c r="V454" s="238"/>
      <c r="W454" s="238"/>
      <c r="X454" s="238"/>
      <c r="Y454" s="238"/>
      <c r="Z454" s="238"/>
    </row>
    <row r="455" spans="1:26" ht="16.5" customHeight="1">
      <c r="A455" s="238"/>
      <c r="B455" s="238"/>
      <c r="C455" s="238"/>
      <c r="D455" s="238"/>
      <c r="E455" s="238"/>
      <c r="F455" s="238"/>
      <c r="G455" s="238"/>
      <c r="H455" s="238"/>
      <c r="I455" s="238"/>
      <c r="J455" s="238"/>
      <c r="K455" s="238"/>
      <c r="L455" s="238"/>
      <c r="M455" s="238"/>
      <c r="N455" s="238"/>
      <c r="O455" s="238"/>
      <c r="P455" s="238"/>
      <c r="Q455" s="238"/>
      <c r="R455" s="238"/>
      <c r="S455" s="238"/>
      <c r="T455" s="238"/>
      <c r="U455" s="238"/>
      <c r="V455" s="238"/>
      <c r="W455" s="238"/>
      <c r="X455" s="238"/>
      <c r="Y455" s="238"/>
      <c r="Z455" s="238"/>
    </row>
    <row r="456" spans="1:26" ht="16.5" customHeight="1">
      <c r="A456" s="238"/>
      <c r="B456" s="238"/>
      <c r="C456" s="238"/>
      <c r="D456" s="238"/>
      <c r="E456" s="238"/>
      <c r="F456" s="238"/>
      <c r="G456" s="238"/>
      <c r="H456" s="238"/>
      <c r="I456" s="238"/>
      <c r="J456" s="238"/>
      <c r="K456" s="238"/>
      <c r="L456" s="238"/>
      <c r="M456" s="238"/>
      <c r="N456" s="238"/>
      <c r="O456" s="238"/>
      <c r="P456" s="238"/>
      <c r="Q456" s="238"/>
      <c r="R456" s="238"/>
      <c r="S456" s="238"/>
      <c r="T456" s="238"/>
      <c r="U456" s="238"/>
      <c r="V456" s="238"/>
      <c r="W456" s="238"/>
      <c r="X456" s="238"/>
      <c r="Y456" s="238"/>
      <c r="Z456" s="238"/>
    </row>
    <row r="457" spans="1:26" ht="16.5" customHeight="1">
      <c r="A457" s="238"/>
      <c r="B457" s="238"/>
      <c r="C457" s="238"/>
      <c r="D457" s="238"/>
      <c r="E457" s="238"/>
      <c r="F457" s="238"/>
      <c r="G457" s="238"/>
      <c r="H457" s="238"/>
      <c r="I457" s="238"/>
      <c r="J457" s="238"/>
      <c r="K457" s="238"/>
      <c r="L457" s="238"/>
      <c r="M457" s="238"/>
      <c r="N457" s="238"/>
      <c r="O457" s="238"/>
      <c r="P457" s="238"/>
      <c r="Q457" s="238"/>
      <c r="R457" s="238"/>
      <c r="S457" s="238"/>
      <c r="T457" s="238"/>
      <c r="U457" s="238"/>
      <c r="V457" s="238"/>
      <c r="W457" s="238"/>
      <c r="X457" s="238"/>
      <c r="Y457" s="238"/>
      <c r="Z457" s="238"/>
    </row>
    <row r="458" spans="1:26" ht="16.5" customHeight="1">
      <c r="A458" s="238"/>
      <c r="B458" s="238"/>
      <c r="C458" s="238"/>
      <c r="D458" s="238"/>
      <c r="E458" s="238"/>
      <c r="F458" s="238"/>
      <c r="G458" s="238"/>
      <c r="H458" s="238"/>
      <c r="I458" s="238"/>
      <c r="J458" s="238"/>
      <c r="K458" s="238"/>
      <c r="L458" s="238"/>
      <c r="M458" s="238"/>
      <c r="N458" s="238"/>
      <c r="O458" s="238"/>
      <c r="P458" s="238"/>
      <c r="Q458" s="238"/>
      <c r="R458" s="238"/>
      <c r="S458" s="238"/>
      <c r="T458" s="238"/>
      <c r="U458" s="238"/>
      <c r="V458" s="238"/>
      <c r="W458" s="238"/>
      <c r="X458" s="238"/>
      <c r="Y458" s="238"/>
      <c r="Z458" s="238"/>
    </row>
    <row r="459" spans="1:26" ht="16.5" customHeight="1">
      <c r="A459" s="238"/>
      <c r="B459" s="238"/>
      <c r="C459" s="238"/>
      <c r="D459" s="238"/>
      <c r="E459" s="238"/>
      <c r="F459" s="238"/>
      <c r="G459" s="238"/>
      <c r="H459" s="238"/>
      <c r="I459" s="238"/>
      <c r="J459" s="238"/>
      <c r="K459" s="238"/>
      <c r="L459" s="238"/>
      <c r="M459" s="238"/>
      <c r="N459" s="238"/>
      <c r="O459" s="238"/>
      <c r="P459" s="238"/>
      <c r="Q459" s="238"/>
      <c r="R459" s="238"/>
      <c r="S459" s="238"/>
      <c r="T459" s="238"/>
      <c r="U459" s="238"/>
      <c r="V459" s="238"/>
      <c r="W459" s="238"/>
      <c r="X459" s="238"/>
      <c r="Y459" s="238"/>
      <c r="Z459" s="238"/>
    </row>
    <row r="460" spans="1:26" ht="16.5" customHeight="1">
      <c r="A460" s="238"/>
      <c r="B460" s="238"/>
      <c r="C460" s="238"/>
      <c r="D460" s="238"/>
      <c r="E460" s="238"/>
      <c r="F460" s="238"/>
      <c r="G460" s="238"/>
      <c r="H460" s="238"/>
      <c r="I460" s="238"/>
      <c r="J460" s="238"/>
      <c r="K460" s="238"/>
      <c r="L460" s="238"/>
      <c r="M460" s="238"/>
      <c r="N460" s="238"/>
      <c r="O460" s="238"/>
      <c r="P460" s="238"/>
      <c r="Q460" s="238"/>
      <c r="R460" s="238"/>
      <c r="S460" s="238"/>
      <c r="T460" s="238"/>
      <c r="U460" s="238"/>
      <c r="V460" s="238"/>
      <c r="W460" s="238"/>
      <c r="X460" s="238"/>
      <c r="Y460" s="238"/>
      <c r="Z460" s="238"/>
    </row>
    <row r="461" spans="1:26" ht="16.5" customHeight="1">
      <c r="A461" s="238"/>
      <c r="B461" s="238"/>
      <c r="C461" s="238"/>
      <c r="D461" s="238"/>
      <c r="E461" s="238"/>
      <c r="F461" s="238"/>
      <c r="G461" s="238"/>
      <c r="H461" s="238"/>
      <c r="I461" s="238"/>
      <c r="J461" s="238"/>
      <c r="K461" s="238"/>
      <c r="L461" s="238"/>
      <c r="M461" s="238"/>
      <c r="N461" s="238"/>
      <c r="O461" s="238"/>
      <c r="P461" s="238"/>
      <c r="Q461" s="238"/>
      <c r="R461" s="238"/>
      <c r="S461" s="238"/>
      <c r="T461" s="238"/>
      <c r="U461" s="238"/>
      <c r="V461" s="238"/>
      <c r="W461" s="238"/>
      <c r="X461" s="238"/>
      <c r="Y461" s="238"/>
      <c r="Z461" s="238"/>
    </row>
    <row r="462" spans="1:26" ht="16.5" customHeight="1">
      <c r="A462" s="238"/>
      <c r="B462" s="238"/>
      <c r="C462" s="238"/>
      <c r="D462" s="238"/>
      <c r="E462" s="238"/>
      <c r="F462" s="238"/>
      <c r="G462" s="238"/>
      <c r="H462" s="238"/>
      <c r="I462" s="238"/>
      <c r="J462" s="238"/>
      <c r="K462" s="238"/>
      <c r="L462" s="238"/>
      <c r="M462" s="238"/>
      <c r="N462" s="238"/>
      <c r="O462" s="238"/>
      <c r="P462" s="238"/>
      <c r="Q462" s="238"/>
      <c r="R462" s="238"/>
      <c r="S462" s="238"/>
      <c r="T462" s="238"/>
      <c r="U462" s="238"/>
      <c r="V462" s="238"/>
      <c r="W462" s="238"/>
      <c r="X462" s="238"/>
      <c r="Y462" s="238"/>
      <c r="Z462" s="238"/>
    </row>
    <row r="463" spans="1:26" ht="16.5" customHeight="1">
      <c r="A463" s="238"/>
      <c r="B463" s="238"/>
      <c r="C463" s="238"/>
      <c r="D463" s="238"/>
      <c r="E463" s="238"/>
      <c r="F463" s="238"/>
      <c r="G463" s="238"/>
      <c r="H463" s="238"/>
      <c r="I463" s="238"/>
      <c r="J463" s="238"/>
      <c r="K463" s="238"/>
      <c r="L463" s="238"/>
      <c r="M463" s="238"/>
      <c r="N463" s="238"/>
      <c r="O463" s="238"/>
      <c r="P463" s="238"/>
      <c r="Q463" s="238"/>
      <c r="R463" s="238"/>
      <c r="S463" s="238"/>
      <c r="T463" s="238"/>
      <c r="U463" s="238"/>
      <c r="V463" s="238"/>
      <c r="W463" s="238"/>
      <c r="X463" s="238"/>
      <c r="Y463" s="238"/>
      <c r="Z463" s="238"/>
    </row>
    <row r="464" spans="1:26" ht="16.5" customHeight="1">
      <c r="A464" s="238"/>
      <c r="B464" s="238"/>
      <c r="C464" s="238"/>
      <c r="D464" s="238"/>
      <c r="E464" s="238"/>
      <c r="F464" s="238"/>
      <c r="G464" s="238"/>
      <c r="H464" s="238"/>
      <c r="I464" s="238"/>
      <c r="J464" s="238"/>
      <c r="K464" s="238"/>
      <c r="L464" s="238"/>
      <c r="M464" s="238"/>
      <c r="N464" s="238"/>
      <c r="O464" s="238"/>
      <c r="P464" s="238"/>
      <c r="Q464" s="238"/>
      <c r="R464" s="238"/>
      <c r="S464" s="238"/>
      <c r="T464" s="238"/>
      <c r="U464" s="238"/>
      <c r="V464" s="238"/>
      <c r="W464" s="238"/>
      <c r="X464" s="238"/>
      <c r="Y464" s="238"/>
      <c r="Z464" s="238"/>
    </row>
    <row r="465" spans="1:26" ht="16.5" customHeight="1">
      <c r="A465" s="238"/>
      <c r="B465" s="238"/>
      <c r="C465" s="238"/>
      <c r="D465" s="238"/>
      <c r="E465" s="238"/>
      <c r="F465" s="238"/>
      <c r="G465" s="238"/>
      <c r="H465" s="238"/>
      <c r="I465" s="238"/>
      <c r="J465" s="238"/>
      <c r="K465" s="238"/>
      <c r="L465" s="238"/>
      <c r="M465" s="238"/>
      <c r="N465" s="238"/>
      <c r="O465" s="238"/>
      <c r="P465" s="238"/>
      <c r="Q465" s="238"/>
      <c r="R465" s="238"/>
      <c r="S465" s="238"/>
      <c r="T465" s="238"/>
      <c r="U465" s="238"/>
      <c r="V465" s="238"/>
      <c r="W465" s="238"/>
      <c r="X465" s="238"/>
      <c r="Y465" s="238"/>
      <c r="Z465" s="238"/>
    </row>
    <row r="466" spans="1:26" ht="16.5" customHeight="1">
      <c r="A466" s="238"/>
      <c r="B466" s="238"/>
      <c r="C466" s="238"/>
      <c r="D466" s="238"/>
      <c r="E466" s="238"/>
      <c r="F466" s="238"/>
      <c r="G466" s="238"/>
      <c r="H466" s="238"/>
      <c r="I466" s="238"/>
      <c r="J466" s="238"/>
      <c r="K466" s="238"/>
      <c r="L466" s="238"/>
      <c r="M466" s="238"/>
      <c r="N466" s="238"/>
      <c r="O466" s="238"/>
      <c r="P466" s="238"/>
      <c r="Q466" s="238"/>
      <c r="R466" s="238"/>
      <c r="S466" s="238"/>
      <c r="T466" s="238"/>
      <c r="U466" s="238"/>
      <c r="V466" s="238"/>
      <c r="W466" s="238"/>
      <c r="X466" s="238"/>
      <c r="Y466" s="238"/>
      <c r="Z466" s="238"/>
    </row>
    <row r="467" spans="1:26" ht="16.5" customHeight="1">
      <c r="A467" s="238"/>
      <c r="B467" s="238"/>
      <c r="C467" s="238"/>
      <c r="D467" s="238"/>
      <c r="E467" s="238"/>
      <c r="F467" s="238"/>
      <c r="G467" s="238"/>
      <c r="H467" s="238"/>
      <c r="I467" s="238"/>
      <c r="J467" s="238"/>
      <c r="K467" s="238"/>
      <c r="L467" s="238"/>
      <c r="M467" s="238"/>
      <c r="N467" s="238"/>
      <c r="O467" s="238"/>
      <c r="P467" s="238"/>
      <c r="Q467" s="238"/>
      <c r="R467" s="238"/>
      <c r="S467" s="238"/>
      <c r="T467" s="238"/>
      <c r="U467" s="238"/>
      <c r="V467" s="238"/>
      <c r="W467" s="238"/>
      <c r="X467" s="238"/>
      <c r="Y467" s="238"/>
      <c r="Z467" s="238"/>
    </row>
    <row r="468" spans="1:26" ht="16.5" customHeight="1">
      <c r="A468" s="238"/>
      <c r="B468" s="238"/>
      <c r="C468" s="238"/>
      <c r="D468" s="238"/>
      <c r="E468" s="238"/>
      <c r="F468" s="238"/>
      <c r="G468" s="238"/>
      <c r="H468" s="238"/>
      <c r="I468" s="238"/>
      <c r="J468" s="238"/>
      <c r="K468" s="238"/>
      <c r="L468" s="238"/>
      <c r="M468" s="238"/>
      <c r="N468" s="238"/>
      <c r="O468" s="238"/>
      <c r="P468" s="238"/>
      <c r="Q468" s="238"/>
      <c r="R468" s="238"/>
      <c r="S468" s="238"/>
      <c r="T468" s="238"/>
      <c r="U468" s="238"/>
      <c r="V468" s="238"/>
      <c r="W468" s="238"/>
      <c r="X468" s="238"/>
      <c r="Y468" s="238"/>
      <c r="Z468" s="238"/>
    </row>
    <row r="469" spans="1:26" ht="16.5" customHeight="1">
      <c r="A469" s="238"/>
      <c r="B469" s="238"/>
      <c r="C469" s="238"/>
      <c r="D469" s="238"/>
      <c r="E469" s="238"/>
      <c r="F469" s="238"/>
      <c r="G469" s="238"/>
      <c r="H469" s="238"/>
      <c r="I469" s="238"/>
      <c r="J469" s="238"/>
      <c r="K469" s="238"/>
      <c r="L469" s="238"/>
      <c r="M469" s="238"/>
      <c r="N469" s="238"/>
      <c r="O469" s="238"/>
      <c r="P469" s="238"/>
      <c r="Q469" s="238"/>
      <c r="R469" s="238"/>
      <c r="S469" s="238"/>
      <c r="T469" s="238"/>
      <c r="U469" s="238"/>
      <c r="V469" s="238"/>
      <c r="W469" s="238"/>
      <c r="X469" s="238"/>
      <c r="Y469" s="238"/>
      <c r="Z469" s="238"/>
    </row>
    <row r="470" spans="1:26" ht="16.5" customHeight="1">
      <c r="A470" s="238"/>
      <c r="B470" s="238"/>
      <c r="C470" s="238"/>
      <c r="D470" s="238"/>
      <c r="E470" s="238"/>
      <c r="F470" s="238"/>
      <c r="G470" s="238"/>
      <c r="H470" s="238"/>
      <c r="I470" s="238"/>
      <c r="J470" s="238"/>
      <c r="K470" s="238"/>
      <c r="L470" s="238"/>
      <c r="M470" s="238"/>
      <c r="N470" s="238"/>
      <c r="O470" s="238"/>
      <c r="P470" s="238"/>
      <c r="Q470" s="238"/>
      <c r="R470" s="238"/>
      <c r="S470" s="238"/>
      <c r="T470" s="238"/>
      <c r="U470" s="238"/>
      <c r="V470" s="238"/>
      <c r="W470" s="238"/>
      <c r="X470" s="238"/>
      <c r="Y470" s="238"/>
      <c r="Z470" s="238"/>
    </row>
    <row r="471" spans="1:26" ht="16.5" customHeight="1">
      <c r="A471" s="238"/>
      <c r="B471" s="238"/>
      <c r="C471" s="238"/>
      <c r="D471" s="238"/>
      <c r="E471" s="238"/>
      <c r="F471" s="238"/>
      <c r="G471" s="238"/>
      <c r="H471" s="238"/>
      <c r="I471" s="238"/>
      <c r="J471" s="238"/>
      <c r="K471" s="238"/>
      <c r="L471" s="238"/>
      <c r="M471" s="238"/>
      <c r="N471" s="238"/>
      <c r="O471" s="238"/>
      <c r="P471" s="238"/>
      <c r="Q471" s="238"/>
      <c r="R471" s="238"/>
      <c r="S471" s="238"/>
      <c r="T471" s="238"/>
      <c r="U471" s="238"/>
      <c r="V471" s="238"/>
      <c r="W471" s="238"/>
      <c r="X471" s="238"/>
      <c r="Y471" s="238"/>
      <c r="Z471" s="238"/>
    </row>
    <row r="472" spans="1:26" ht="16.5" customHeight="1">
      <c r="A472" s="238"/>
      <c r="B472" s="238"/>
      <c r="C472" s="238"/>
      <c r="D472" s="238"/>
      <c r="E472" s="238"/>
      <c r="F472" s="238"/>
      <c r="G472" s="238"/>
      <c r="H472" s="238"/>
      <c r="I472" s="238"/>
      <c r="J472" s="238"/>
      <c r="K472" s="238"/>
      <c r="L472" s="238"/>
      <c r="M472" s="238"/>
      <c r="N472" s="238"/>
      <c r="O472" s="238"/>
      <c r="P472" s="238"/>
      <c r="Q472" s="238"/>
      <c r="R472" s="238"/>
      <c r="S472" s="238"/>
      <c r="T472" s="238"/>
      <c r="U472" s="238"/>
      <c r="V472" s="238"/>
      <c r="W472" s="238"/>
      <c r="X472" s="238"/>
      <c r="Y472" s="238"/>
      <c r="Z472" s="238"/>
    </row>
    <row r="473" spans="1:26" ht="16.5" customHeight="1">
      <c r="A473" s="238"/>
      <c r="B473" s="238"/>
      <c r="C473" s="238"/>
      <c r="D473" s="238"/>
      <c r="E473" s="238"/>
      <c r="F473" s="238"/>
      <c r="G473" s="238"/>
      <c r="H473" s="238"/>
      <c r="I473" s="238"/>
      <c r="J473" s="238"/>
      <c r="K473" s="238"/>
      <c r="L473" s="238"/>
      <c r="M473" s="238"/>
      <c r="N473" s="238"/>
      <c r="O473" s="238"/>
      <c r="P473" s="238"/>
      <c r="Q473" s="238"/>
      <c r="R473" s="238"/>
      <c r="S473" s="238"/>
      <c r="T473" s="238"/>
      <c r="U473" s="238"/>
      <c r="V473" s="238"/>
      <c r="W473" s="238"/>
      <c r="X473" s="238"/>
      <c r="Y473" s="238"/>
      <c r="Z473" s="238"/>
    </row>
    <row r="474" spans="1:26" ht="16.5" customHeight="1">
      <c r="A474" s="238"/>
      <c r="B474" s="238"/>
      <c r="C474" s="238"/>
      <c r="D474" s="238"/>
      <c r="E474" s="238"/>
      <c r="F474" s="238"/>
      <c r="G474" s="238"/>
      <c r="H474" s="238"/>
      <c r="I474" s="238"/>
      <c r="J474" s="238"/>
      <c r="K474" s="238"/>
      <c r="L474" s="238"/>
      <c r="M474" s="238"/>
      <c r="N474" s="238"/>
      <c r="O474" s="238"/>
      <c r="P474" s="238"/>
      <c r="Q474" s="238"/>
      <c r="R474" s="238"/>
      <c r="S474" s="238"/>
      <c r="T474" s="238"/>
      <c r="U474" s="238"/>
      <c r="V474" s="238"/>
      <c r="W474" s="238"/>
      <c r="X474" s="238"/>
      <c r="Y474" s="238"/>
      <c r="Z474" s="238"/>
    </row>
    <row r="475" spans="1:26" ht="16.5" customHeight="1">
      <c r="A475" s="238"/>
      <c r="B475" s="238"/>
      <c r="C475" s="238"/>
      <c r="D475" s="238"/>
      <c r="E475" s="238"/>
      <c r="F475" s="238"/>
      <c r="G475" s="238"/>
      <c r="H475" s="238"/>
      <c r="I475" s="238"/>
      <c r="J475" s="238"/>
      <c r="K475" s="238"/>
      <c r="L475" s="238"/>
      <c r="M475" s="238"/>
      <c r="N475" s="238"/>
      <c r="O475" s="238"/>
      <c r="P475" s="238"/>
      <c r="Q475" s="238"/>
      <c r="R475" s="238"/>
      <c r="S475" s="238"/>
      <c r="T475" s="238"/>
      <c r="U475" s="238"/>
      <c r="V475" s="238"/>
      <c r="W475" s="238"/>
      <c r="X475" s="238"/>
      <c r="Y475" s="238"/>
      <c r="Z475" s="238"/>
    </row>
    <row r="476" spans="1:26" ht="16.5" customHeight="1">
      <c r="A476" s="238"/>
      <c r="B476" s="238"/>
      <c r="C476" s="238"/>
      <c r="D476" s="238"/>
      <c r="E476" s="238"/>
      <c r="F476" s="238"/>
      <c r="G476" s="238"/>
      <c r="H476" s="238"/>
      <c r="I476" s="238"/>
      <c r="J476" s="238"/>
      <c r="K476" s="238"/>
      <c r="L476" s="238"/>
      <c r="M476" s="238"/>
      <c r="N476" s="238"/>
      <c r="O476" s="238"/>
      <c r="P476" s="238"/>
      <c r="Q476" s="238"/>
      <c r="R476" s="238"/>
      <c r="S476" s="238"/>
      <c r="T476" s="238"/>
      <c r="U476" s="238"/>
      <c r="V476" s="238"/>
      <c r="W476" s="238"/>
      <c r="X476" s="238"/>
      <c r="Y476" s="238"/>
      <c r="Z476" s="238"/>
    </row>
    <row r="477" spans="1:26" ht="16.5" customHeight="1">
      <c r="A477" s="238"/>
      <c r="B477" s="238"/>
      <c r="C477" s="238"/>
      <c r="D477" s="238"/>
      <c r="E477" s="238"/>
      <c r="F477" s="238"/>
      <c r="G477" s="238"/>
      <c r="H477" s="238"/>
      <c r="I477" s="238"/>
      <c r="J477" s="238"/>
      <c r="K477" s="238"/>
      <c r="L477" s="238"/>
      <c r="M477" s="238"/>
      <c r="N477" s="238"/>
      <c r="O477" s="238"/>
      <c r="P477" s="238"/>
      <c r="Q477" s="238"/>
      <c r="R477" s="238"/>
      <c r="S477" s="238"/>
      <c r="T477" s="238"/>
      <c r="U477" s="238"/>
      <c r="V477" s="238"/>
      <c r="W477" s="238"/>
      <c r="X477" s="238"/>
      <c r="Y477" s="238"/>
      <c r="Z477" s="238"/>
    </row>
    <row r="478" spans="1:26" ht="16.5" customHeight="1">
      <c r="A478" s="238"/>
      <c r="B478" s="238"/>
      <c r="C478" s="238"/>
      <c r="D478" s="238"/>
      <c r="E478" s="238"/>
      <c r="F478" s="238"/>
      <c r="G478" s="238"/>
      <c r="H478" s="238"/>
      <c r="I478" s="238"/>
      <c r="J478" s="238"/>
      <c r="K478" s="238"/>
      <c r="L478" s="238"/>
      <c r="M478" s="238"/>
      <c r="N478" s="238"/>
      <c r="O478" s="238"/>
      <c r="P478" s="238"/>
      <c r="Q478" s="238"/>
      <c r="R478" s="238"/>
      <c r="S478" s="238"/>
      <c r="T478" s="238"/>
      <c r="U478" s="238"/>
      <c r="V478" s="238"/>
      <c r="W478" s="238"/>
      <c r="X478" s="238"/>
      <c r="Y478" s="238"/>
      <c r="Z478" s="238"/>
    </row>
    <row r="479" spans="1:26" ht="16.5" customHeight="1">
      <c r="A479" s="238"/>
      <c r="B479" s="238"/>
      <c r="C479" s="238"/>
      <c r="D479" s="238"/>
      <c r="E479" s="238"/>
      <c r="F479" s="238"/>
      <c r="G479" s="238"/>
      <c r="H479" s="238"/>
      <c r="I479" s="238"/>
      <c r="J479" s="238"/>
      <c r="K479" s="238"/>
      <c r="L479" s="238"/>
      <c r="M479" s="238"/>
      <c r="N479" s="238"/>
      <c r="O479" s="238"/>
      <c r="P479" s="238"/>
      <c r="Q479" s="238"/>
      <c r="R479" s="238"/>
      <c r="S479" s="238"/>
      <c r="T479" s="238"/>
      <c r="U479" s="238"/>
      <c r="V479" s="238"/>
      <c r="W479" s="238"/>
      <c r="X479" s="238"/>
      <c r="Y479" s="238"/>
      <c r="Z479" s="238"/>
    </row>
    <row r="480" spans="1:26" ht="16.5" customHeight="1">
      <c r="A480" s="238"/>
      <c r="B480" s="238"/>
      <c r="C480" s="238"/>
      <c r="D480" s="238"/>
      <c r="E480" s="238"/>
      <c r="F480" s="238"/>
      <c r="G480" s="238"/>
      <c r="H480" s="238"/>
      <c r="I480" s="238"/>
      <c r="J480" s="238"/>
      <c r="K480" s="238"/>
      <c r="L480" s="238"/>
      <c r="M480" s="238"/>
      <c r="N480" s="238"/>
      <c r="O480" s="238"/>
      <c r="P480" s="238"/>
      <c r="Q480" s="238"/>
      <c r="R480" s="238"/>
      <c r="S480" s="238"/>
      <c r="T480" s="238"/>
      <c r="U480" s="238"/>
      <c r="V480" s="238"/>
      <c r="W480" s="238"/>
      <c r="X480" s="238"/>
      <c r="Y480" s="238"/>
      <c r="Z480" s="238"/>
    </row>
    <row r="481" spans="1:26" ht="16.5" customHeight="1">
      <c r="A481" s="238"/>
      <c r="B481" s="238"/>
      <c r="C481" s="238"/>
      <c r="D481" s="238"/>
      <c r="E481" s="238"/>
      <c r="F481" s="238"/>
      <c r="G481" s="238"/>
      <c r="H481" s="238"/>
      <c r="I481" s="238"/>
      <c r="J481" s="238"/>
      <c r="K481" s="238"/>
      <c r="L481" s="238"/>
      <c r="M481" s="238"/>
      <c r="N481" s="238"/>
      <c r="O481" s="238"/>
      <c r="P481" s="238"/>
      <c r="Q481" s="238"/>
      <c r="R481" s="238"/>
      <c r="S481" s="238"/>
      <c r="T481" s="238"/>
      <c r="U481" s="238"/>
      <c r="V481" s="238"/>
      <c r="W481" s="238"/>
      <c r="X481" s="238"/>
      <c r="Y481" s="238"/>
      <c r="Z481" s="238"/>
    </row>
    <row r="482" spans="1:26" ht="16.5" customHeight="1">
      <c r="A482" s="238"/>
      <c r="B482" s="238"/>
      <c r="C482" s="238"/>
      <c r="D482" s="238"/>
      <c r="E482" s="238"/>
      <c r="F482" s="238"/>
      <c r="G482" s="238"/>
      <c r="H482" s="238"/>
      <c r="I482" s="238"/>
      <c r="J482" s="238"/>
      <c r="K482" s="238"/>
      <c r="L482" s="238"/>
      <c r="M482" s="238"/>
      <c r="N482" s="238"/>
      <c r="O482" s="238"/>
      <c r="P482" s="238"/>
      <c r="Q482" s="238"/>
      <c r="R482" s="238"/>
      <c r="S482" s="238"/>
      <c r="T482" s="238"/>
      <c r="U482" s="238"/>
      <c r="V482" s="238"/>
      <c r="W482" s="238"/>
      <c r="X482" s="238"/>
      <c r="Y482" s="238"/>
      <c r="Z482" s="238"/>
    </row>
    <row r="483" spans="1:26" ht="16.5" customHeight="1">
      <c r="A483" s="238"/>
      <c r="B483" s="238"/>
      <c r="C483" s="238"/>
      <c r="D483" s="238"/>
      <c r="E483" s="238"/>
      <c r="F483" s="238"/>
      <c r="G483" s="238"/>
      <c r="H483" s="238"/>
      <c r="I483" s="238"/>
      <c r="J483" s="238"/>
      <c r="K483" s="238"/>
      <c r="L483" s="238"/>
      <c r="M483" s="238"/>
      <c r="N483" s="238"/>
      <c r="O483" s="238"/>
      <c r="P483" s="238"/>
      <c r="Q483" s="238"/>
      <c r="R483" s="238"/>
      <c r="S483" s="238"/>
      <c r="T483" s="238"/>
      <c r="U483" s="238"/>
      <c r="V483" s="238"/>
      <c r="W483" s="238"/>
      <c r="X483" s="238"/>
      <c r="Y483" s="238"/>
      <c r="Z483" s="238"/>
    </row>
    <row r="484" spans="1:26" ht="16.5" customHeight="1">
      <c r="A484" s="238"/>
      <c r="B484" s="238"/>
      <c r="C484" s="238"/>
      <c r="D484" s="238"/>
      <c r="E484" s="238"/>
      <c r="F484" s="238"/>
      <c r="G484" s="238"/>
      <c r="H484" s="238"/>
      <c r="I484" s="238"/>
      <c r="J484" s="238"/>
      <c r="K484" s="238"/>
      <c r="L484" s="238"/>
      <c r="M484" s="238"/>
      <c r="N484" s="238"/>
      <c r="O484" s="238"/>
      <c r="P484" s="238"/>
      <c r="Q484" s="238"/>
      <c r="R484" s="238"/>
      <c r="S484" s="238"/>
      <c r="T484" s="238"/>
      <c r="U484" s="238"/>
      <c r="V484" s="238"/>
      <c r="W484" s="238"/>
      <c r="X484" s="238"/>
      <c r="Y484" s="238"/>
      <c r="Z484" s="238"/>
    </row>
    <row r="485" spans="1:26" ht="16.5" customHeight="1">
      <c r="A485" s="238"/>
      <c r="B485" s="238"/>
      <c r="C485" s="238"/>
      <c r="D485" s="238"/>
      <c r="E485" s="238"/>
      <c r="F485" s="238"/>
      <c r="G485" s="238"/>
      <c r="H485" s="238"/>
      <c r="I485" s="238"/>
      <c r="J485" s="238"/>
      <c r="K485" s="238"/>
      <c r="L485" s="238"/>
      <c r="M485" s="238"/>
      <c r="N485" s="238"/>
      <c r="O485" s="238"/>
      <c r="P485" s="238"/>
      <c r="Q485" s="238"/>
      <c r="R485" s="238"/>
      <c r="S485" s="238"/>
      <c r="T485" s="238"/>
      <c r="U485" s="238"/>
      <c r="V485" s="238"/>
      <c r="W485" s="238"/>
      <c r="X485" s="238"/>
      <c r="Y485" s="238"/>
      <c r="Z485" s="238"/>
    </row>
    <row r="486" spans="1:26" ht="16.5" customHeight="1">
      <c r="A486" s="238"/>
      <c r="B486" s="238"/>
      <c r="C486" s="238"/>
      <c r="D486" s="238"/>
      <c r="E486" s="238"/>
      <c r="F486" s="238"/>
      <c r="G486" s="238"/>
      <c r="H486" s="238"/>
      <c r="I486" s="238"/>
      <c r="J486" s="238"/>
      <c r="K486" s="238"/>
      <c r="L486" s="238"/>
      <c r="M486" s="238"/>
      <c r="N486" s="238"/>
      <c r="O486" s="238"/>
      <c r="P486" s="238"/>
      <c r="Q486" s="238"/>
      <c r="R486" s="238"/>
      <c r="S486" s="238"/>
      <c r="T486" s="238"/>
      <c r="U486" s="238"/>
      <c r="V486" s="238"/>
      <c r="W486" s="238"/>
      <c r="X486" s="238"/>
      <c r="Y486" s="238"/>
      <c r="Z486" s="238"/>
    </row>
    <row r="487" spans="1:26" ht="16.5" customHeight="1">
      <c r="A487" s="238"/>
      <c r="B487" s="238"/>
      <c r="C487" s="238"/>
      <c r="D487" s="238"/>
      <c r="E487" s="238"/>
      <c r="F487" s="238"/>
      <c r="G487" s="238"/>
      <c r="H487" s="238"/>
      <c r="I487" s="238"/>
      <c r="J487" s="238"/>
      <c r="K487" s="238"/>
      <c r="L487" s="238"/>
      <c r="M487" s="238"/>
      <c r="N487" s="238"/>
      <c r="O487" s="238"/>
      <c r="P487" s="238"/>
      <c r="Q487" s="238"/>
      <c r="R487" s="238"/>
      <c r="S487" s="238"/>
      <c r="T487" s="238"/>
      <c r="U487" s="238"/>
      <c r="V487" s="238"/>
      <c r="W487" s="238"/>
      <c r="X487" s="238"/>
      <c r="Y487" s="238"/>
      <c r="Z487" s="238"/>
    </row>
    <row r="488" spans="1:26" ht="16.5" customHeight="1">
      <c r="A488" s="238"/>
      <c r="B488" s="238"/>
      <c r="C488" s="238"/>
      <c r="D488" s="238"/>
      <c r="E488" s="238"/>
      <c r="F488" s="238"/>
      <c r="G488" s="238"/>
      <c r="H488" s="238"/>
      <c r="I488" s="238"/>
      <c r="J488" s="238"/>
      <c r="K488" s="238"/>
      <c r="L488" s="238"/>
      <c r="M488" s="238"/>
      <c r="N488" s="238"/>
      <c r="O488" s="238"/>
      <c r="P488" s="238"/>
      <c r="Q488" s="238"/>
      <c r="R488" s="238"/>
      <c r="S488" s="238"/>
      <c r="T488" s="238"/>
      <c r="U488" s="238"/>
      <c r="V488" s="238"/>
      <c r="W488" s="238"/>
      <c r="X488" s="238"/>
      <c r="Y488" s="238"/>
      <c r="Z488" s="238"/>
    </row>
    <row r="489" spans="1:26" ht="16.5" customHeight="1">
      <c r="A489" s="238"/>
      <c r="B489" s="238"/>
      <c r="C489" s="238"/>
      <c r="D489" s="238"/>
      <c r="E489" s="238"/>
      <c r="F489" s="238"/>
      <c r="G489" s="238"/>
      <c r="H489" s="238"/>
      <c r="I489" s="238"/>
      <c r="J489" s="238"/>
      <c r="K489" s="238"/>
      <c r="L489" s="238"/>
      <c r="M489" s="238"/>
      <c r="N489" s="238"/>
      <c r="O489" s="238"/>
      <c r="P489" s="238"/>
      <c r="Q489" s="238"/>
      <c r="R489" s="238"/>
      <c r="S489" s="238"/>
      <c r="T489" s="238"/>
      <c r="U489" s="238"/>
      <c r="V489" s="238"/>
      <c r="W489" s="238"/>
      <c r="X489" s="238"/>
      <c r="Y489" s="238"/>
      <c r="Z489" s="238"/>
    </row>
    <row r="490" spans="1:26" ht="16.5" customHeight="1">
      <c r="A490" s="238"/>
      <c r="B490" s="238"/>
      <c r="C490" s="238"/>
      <c r="D490" s="238"/>
      <c r="E490" s="238"/>
      <c r="F490" s="238"/>
      <c r="G490" s="238"/>
      <c r="H490" s="238"/>
      <c r="I490" s="238"/>
      <c r="J490" s="238"/>
      <c r="K490" s="238"/>
      <c r="L490" s="238"/>
      <c r="M490" s="238"/>
      <c r="N490" s="238"/>
      <c r="O490" s="238"/>
      <c r="P490" s="238"/>
      <c r="Q490" s="238"/>
      <c r="R490" s="238"/>
      <c r="S490" s="238"/>
      <c r="T490" s="238"/>
      <c r="U490" s="238"/>
      <c r="V490" s="238"/>
      <c r="W490" s="238"/>
      <c r="X490" s="238"/>
      <c r="Y490" s="238"/>
      <c r="Z490" s="238"/>
    </row>
    <row r="491" spans="1:26" ht="16.5" customHeight="1">
      <c r="A491" s="238"/>
      <c r="B491" s="238"/>
      <c r="C491" s="238"/>
      <c r="D491" s="238"/>
      <c r="E491" s="238"/>
      <c r="F491" s="238"/>
      <c r="G491" s="238"/>
      <c r="H491" s="238"/>
      <c r="I491" s="238"/>
      <c r="J491" s="238"/>
      <c r="K491" s="238"/>
      <c r="L491" s="238"/>
      <c r="M491" s="238"/>
      <c r="N491" s="238"/>
      <c r="O491" s="238"/>
      <c r="P491" s="238"/>
      <c r="Q491" s="238"/>
      <c r="R491" s="238"/>
      <c r="S491" s="238"/>
      <c r="T491" s="238"/>
      <c r="U491" s="238"/>
      <c r="V491" s="238"/>
      <c r="W491" s="238"/>
      <c r="X491" s="238"/>
      <c r="Y491" s="238"/>
      <c r="Z491" s="238"/>
    </row>
    <row r="492" spans="1:26" ht="16.5" customHeight="1">
      <c r="A492" s="238"/>
      <c r="B492" s="238"/>
      <c r="C492" s="238"/>
      <c r="D492" s="238"/>
      <c r="E492" s="238"/>
      <c r="F492" s="238"/>
      <c r="G492" s="238"/>
      <c r="H492" s="238"/>
      <c r="I492" s="238"/>
      <c r="J492" s="238"/>
      <c r="K492" s="238"/>
      <c r="L492" s="238"/>
      <c r="M492" s="238"/>
      <c r="N492" s="238"/>
      <c r="O492" s="238"/>
      <c r="P492" s="238"/>
      <c r="Q492" s="238"/>
      <c r="R492" s="238"/>
      <c r="S492" s="238"/>
      <c r="T492" s="238"/>
      <c r="U492" s="238"/>
      <c r="V492" s="238"/>
      <c r="W492" s="238"/>
      <c r="X492" s="238"/>
      <c r="Y492" s="238"/>
      <c r="Z492" s="238"/>
    </row>
    <row r="493" spans="1:26" ht="16.5" customHeight="1">
      <c r="A493" s="238"/>
      <c r="B493" s="238"/>
      <c r="C493" s="238"/>
      <c r="D493" s="238"/>
      <c r="E493" s="238"/>
      <c r="F493" s="238"/>
      <c r="G493" s="238"/>
      <c r="H493" s="238"/>
      <c r="I493" s="238"/>
      <c r="J493" s="238"/>
      <c r="K493" s="238"/>
      <c r="L493" s="238"/>
      <c r="M493" s="238"/>
      <c r="N493" s="238"/>
      <c r="O493" s="238"/>
      <c r="P493" s="238"/>
      <c r="Q493" s="238"/>
      <c r="R493" s="238"/>
      <c r="S493" s="238"/>
      <c r="T493" s="238"/>
      <c r="U493" s="238"/>
      <c r="V493" s="238"/>
      <c r="W493" s="238"/>
      <c r="X493" s="238"/>
      <c r="Y493" s="238"/>
      <c r="Z493" s="238"/>
    </row>
    <row r="494" spans="1:26" ht="16.5" customHeight="1">
      <c r="A494" s="238"/>
      <c r="B494" s="238"/>
      <c r="C494" s="238"/>
      <c r="D494" s="238"/>
      <c r="E494" s="238"/>
      <c r="F494" s="238"/>
      <c r="G494" s="238"/>
      <c r="H494" s="238"/>
      <c r="I494" s="238"/>
      <c r="J494" s="238"/>
      <c r="K494" s="238"/>
      <c r="L494" s="238"/>
      <c r="M494" s="238"/>
      <c r="N494" s="238"/>
      <c r="O494" s="238"/>
      <c r="P494" s="238"/>
      <c r="Q494" s="238"/>
      <c r="R494" s="238"/>
      <c r="S494" s="238"/>
      <c r="T494" s="238"/>
      <c r="U494" s="238"/>
      <c r="V494" s="238"/>
      <c r="W494" s="238"/>
      <c r="X494" s="238"/>
      <c r="Y494" s="238"/>
      <c r="Z494" s="238"/>
    </row>
    <row r="495" spans="1:26" ht="16.5" customHeight="1">
      <c r="A495" s="238"/>
      <c r="B495" s="238"/>
      <c r="C495" s="238"/>
      <c r="D495" s="238"/>
      <c r="E495" s="238"/>
      <c r="F495" s="238"/>
      <c r="G495" s="238"/>
      <c r="H495" s="238"/>
      <c r="I495" s="238"/>
      <c r="J495" s="238"/>
      <c r="K495" s="238"/>
      <c r="L495" s="238"/>
      <c r="M495" s="238"/>
      <c r="N495" s="238"/>
      <c r="O495" s="238"/>
      <c r="P495" s="238"/>
      <c r="Q495" s="238"/>
      <c r="R495" s="238"/>
      <c r="S495" s="238"/>
      <c r="T495" s="238"/>
      <c r="U495" s="238"/>
      <c r="V495" s="238"/>
      <c r="W495" s="238"/>
      <c r="X495" s="238"/>
      <c r="Y495" s="238"/>
      <c r="Z495" s="238"/>
    </row>
    <row r="496" spans="1:26" ht="16.5" customHeight="1">
      <c r="A496" s="238"/>
      <c r="B496" s="238"/>
      <c r="C496" s="238"/>
      <c r="D496" s="238"/>
      <c r="E496" s="238"/>
      <c r="F496" s="238"/>
      <c r="G496" s="238"/>
      <c r="H496" s="238"/>
      <c r="I496" s="238"/>
      <c r="J496" s="238"/>
      <c r="K496" s="238"/>
      <c r="L496" s="238"/>
      <c r="M496" s="238"/>
      <c r="N496" s="238"/>
      <c r="O496" s="238"/>
      <c r="P496" s="238"/>
      <c r="Q496" s="238"/>
      <c r="R496" s="238"/>
      <c r="S496" s="238"/>
      <c r="T496" s="238"/>
      <c r="U496" s="238"/>
      <c r="V496" s="238"/>
      <c r="W496" s="238"/>
      <c r="X496" s="238"/>
      <c r="Y496" s="238"/>
      <c r="Z496" s="238"/>
    </row>
    <row r="497" spans="1:26" ht="16.5" customHeight="1">
      <c r="A497" s="238"/>
      <c r="B497" s="238"/>
      <c r="C497" s="238"/>
      <c r="D497" s="238"/>
      <c r="E497" s="238"/>
      <c r="F497" s="238"/>
      <c r="G497" s="238"/>
      <c r="H497" s="238"/>
      <c r="I497" s="238"/>
      <c r="J497" s="238"/>
      <c r="K497" s="238"/>
      <c r="L497" s="238"/>
      <c r="M497" s="238"/>
      <c r="N497" s="238"/>
      <c r="O497" s="238"/>
      <c r="P497" s="238"/>
      <c r="Q497" s="238"/>
      <c r="R497" s="238"/>
      <c r="S497" s="238"/>
      <c r="T497" s="238"/>
      <c r="U497" s="238"/>
      <c r="V497" s="238"/>
      <c r="W497" s="238"/>
      <c r="X497" s="238"/>
      <c r="Y497" s="238"/>
      <c r="Z497" s="238"/>
    </row>
    <row r="498" spans="1:26" ht="16.5" customHeight="1">
      <c r="A498" s="238"/>
      <c r="B498" s="238"/>
      <c r="C498" s="238"/>
      <c r="D498" s="238"/>
      <c r="E498" s="238"/>
      <c r="F498" s="238"/>
      <c r="G498" s="238"/>
      <c r="H498" s="238"/>
      <c r="I498" s="238"/>
      <c r="J498" s="238"/>
      <c r="K498" s="238"/>
      <c r="L498" s="238"/>
      <c r="M498" s="238"/>
      <c r="N498" s="238"/>
      <c r="O498" s="238"/>
      <c r="P498" s="238"/>
      <c r="Q498" s="238"/>
      <c r="R498" s="238"/>
      <c r="S498" s="238"/>
      <c r="T498" s="238"/>
      <c r="U498" s="238"/>
      <c r="V498" s="238"/>
      <c r="W498" s="238"/>
      <c r="X498" s="238"/>
      <c r="Y498" s="238"/>
      <c r="Z498" s="238"/>
    </row>
    <row r="499" spans="1:26" ht="16.5" customHeight="1">
      <c r="A499" s="238"/>
      <c r="B499" s="238"/>
      <c r="C499" s="238"/>
      <c r="D499" s="238"/>
      <c r="E499" s="238"/>
      <c r="F499" s="238"/>
      <c r="G499" s="238"/>
      <c r="H499" s="238"/>
      <c r="I499" s="238"/>
      <c r="J499" s="238"/>
      <c r="K499" s="238"/>
      <c r="L499" s="238"/>
      <c r="M499" s="238"/>
      <c r="N499" s="238"/>
      <c r="O499" s="238"/>
      <c r="P499" s="238"/>
      <c r="Q499" s="238"/>
      <c r="R499" s="238"/>
      <c r="S499" s="238"/>
      <c r="T499" s="238"/>
      <c r="U499" s="238"/>
      <c r="V499" s="238"/>
      <c r="W499" s="238"/>
      <c r="X499" s="238"/>
      <c r="Y499" s="238"/>
      <c r="Z499" s="238"/>
    </row>
    <row r="500" spans="1:26" ht="16.5" customHeight="1">
      <c r="A500" s="238"/>
      <c r="B500" s="238"/>
      <c r="C500" s="238"/>
      <c r="D500" s="238"/>
      <c r="E500" s="238"/>
      <c r="F500" s="238"/>
      <c r="G500" s="238"/>
      <c r="H500" s="238"/>
      <c r="I500" s="238"/>
      <c r="J500" s="238"/>
      <c r="K500" s="238"/>
      <c r="L500" s="238"/>
      <c r="M500" s="238"/>
      <c r="N500" s="238"/>
      <c r="O500" s="238"/>
      <c r="P500" s="238"/>
      <c r="Q500" s="238"/>
      <c r="R500" s="238"/>
      <c r="S500" s="238"/>
      <c r="T500" s="238"/>
      <c r="U500" s="238"/>
      <c r="V500" s="238"/>
      <c r="W500" s="238"/>
      <c r="X500" s="238"/>
      <c r="Y500" s="238"/>
      <c r="Z500" s="238"/>
    </row>
    <row r="501" spans="1:26" ht="16.5" customHeight="1">
      <c r="A501" s="238"/>
      <c r="B501" s="238"/>
      <c r="C501" s="238"/>
      <c r="D501" s="238"/>
      <c r="E501" s="238"/>
      <c r="F501" s="238"/>
      <c r="G501" s="238"/>
      <c r="H501" s="238"/>
      <c r="I501" s="238"/>
      <c r="J501" s="238"/>
      <c r="K501" s="238"/>
      <c r="L501" s="238"/>
      <c r="M501" s="238"/>
      <c r="N501" s="238"/>
      <c r="O501" s="238"/>
      <c r="P501" s="238"/>
      <c r="Q501" s="238"/>
      <c r="R501" s="238"/>
      <c r="S501" s="238"/>
      <c r="T501" s="238"/>
      <c r="U501" s="238"/>
      <c r="V501" s="238"/>
      <c r="W501" s="238"/>
      <c r="X501" s="238"/>
      <c r="Y501" s="238"/>
      <c r="Z501" s="238"/>
    </row>
    <row r="502" spans="1:26" ht="16.5" customHeight="1">
      <c r="A502" s="238"/>
      <c r="B502" s="238"/>
      <c r="C502" s="238"/>
      <c r="D502" s="238"/>
      <c r="E502" s="238"/>
      <c r="F502" s="238"/>
      <c r="G502" s="238"/>
      <c r="H502" s="238"/>
      <c r="I502" s="238"/>
      <c r="J502" s="238"/>
      <c r="K502" s="238"/>
      <c r="L502" s="238"/>
      <c r="M502" s="238"/>
      <c r="N502" s="238"/>
      <c r="O502" s="238"/>
      <c r="P502" s="238"/>
      <c r="Q502" s="238"/>
      <c r="R502" s="238"/>
      <c r="S502" s="238"/>
      <c r="T502" s="238"/>
      <c r="U502" s="238"/>
      <c r="V502" s="238"/>
      <c r="W502" s="238"/>
      <c r="X502" s="238"/>
      <c r="Y502" s="238"/>
      <c r="Z502" s="238"/>
    </row>
    <row r="503" spans="1:26" ht="16.5" customHeight="1">
      <c r="A503" s="238"/>
      <c r="B503" s="238"/>
      <c r="C503" s="238"/>
      <c r="D503" s="238"/>
      <c r="E503" s="238"/>
      <c r="F503" s="238"/>
      <c r="G503" s="238"/>
      <c r="H503" s="238"/>
      <c r="I503" s="238"/>
      <c r="J503" s="238"/>
      <c r="K503" s="238"/>
      <c r="L503" s="238"/>
      <c r="M503" s="238"/>
      <c r="N503" s="238"/>
      <c r="O503" s="238"/>
      <c r="P503" s="238"/>
      <c r="Q503" s="238"/>
      <c r="R503" s="238"/>
      <c r="S503" s="238"/>
      <c r="T503" s="238"/>
      <c r="U503" s="238"/>
      <c r="V503" s="238"/>
      <c r="W503" s="238"/>
      <c r="X503" s="238"/>
      <c r="Y503" s="238"/>
      <c r="Z503" s="238"/>
    </row>
    <row r="504" spans="1:26" ht="16.5" customHeight="1">
      <c r="A504" s="238"/>
      <c r="B504" s="238"/>
      <c r="C504" s="238"/>
      <c r="D504" s="238"/>
      <c r="E504" s="238"/>
      <c r="F504" s="238"/>
      <c r="G504" s="238"/>
      <c r="H504" s="238"/>
      <c r="I504" s="238"/>
      <c r="J504" s="238"/>
      <c r="K504" s="238"/>
      <c r="L504" s="238"/>
      <c r="M504" s="238"/>
      <c r="N504" s="238"/>
      <c r="O504" s="238"/>
      <c r="P504" s="238"/>
      <c r="Q504" s="238"/>
      <c r="R504" s="238"/>
      <c r="S504" s="238"/>
      <c r="T504" s="238"/>
      <c r="U504" s="238"/>
      <c r="V504" s="238"/>
      <c r="W504" s="238"/>
      <c r="X504" s="238"/>
      <c r="Y504" s="238"/>
      <c r="Z504" s="238"/>
    </row>
    <row r="505" spans="1:26" ht="16.5" customHeight="1">
      <c r="A505" s="238"/>
      <c r="B505" s="238"/>
      <c r="C505" s="238"/>
      <c r="D505" s="238"/>
      <c r="E505" s="238"/>
      <c r="F505" s="238"/>
      <c r="G505" s="238"/>
      <c r="H505" s="238"/>
      <c r="I505" s="238"/>
      <c r="J505" s="238"/>
      <c r="K505" s="238"/>
      <c r="L505" s="238"/>
      <c r="M505" s="238"/>
      <c r="N505" s="238"/>
      <c r="O505" s="238"/>
      <c r="P505" s="238"/>
      <c r="Q505" s="238"/>
      <c r="R505" s="238"/>
      <c r="S505" s="238"/>
      <c r="T505" s="238"/>
      <c r="U505" s="238"/>
      <c r="V505" s="238"/>
      <c r="W505" s="238"/>
      <c r="X505" s="238"/>
      <c r="Y505" s="238"/>
      <c r="Z505" s="238"/>
    </row>
    <row r="506" spans="1:26" ht="16.5" customHeight="1">
      <c r="A506" s="238"/>
      <c r="B506" s="238"/>
      <c r="C506" s="238"/>
      <c r="D506" s="238"/>
      <c r="E506" s="238"/>
      <c r="F506" s="238"/>
      <c r="G506" s="238"/>
      <c r="H506" s="238"/>
      <c r="I506" s="238"/>
      <c r="J506" s="238"/>
      <c r="K506" s="238"/>
      <c r="L506" s="238"/>
      <c r="M506" s="238"/>
      <c r="N506" s="238"/>
      <c r="O506" s="238"/>
      <c r="P506" s="238"/>
      <c r="Q506" s="238"/>
      <c r="R506" s="238"/>
      <c r="S506" s="238"/>
      <c r="T506" s="238"/>
      <c r="U506" s="238"/>
      <c r="V506" s="238"/>
      <c r="W506" s="238"/>
      <c r="X506" s="238"/>
      <c r="Y506" s="238"/>
      <c r="Z506" s="238"/>
    </row>
    <row r="507" spans="1:26" ht="16.5" customHeight="1">
      <c r="A507" s="238"/>
      <c r="B507" s="238"/>
      <c r="C507" s="238"/>
      <c r="D507" s="238"/>
      <c r="E507" s="238"/>
      <c r="F507" s="238"/>
      <c r="G507" s="238"/>
      <c r="H507" s="238"/>
      <c r="I507" s="238"/>
      <c r="J507" s="238"/>
      <c r="K507" s="238"/>
      <c r="L507" s="238"/>
      <c r="M507" s="238"/>
      <c r="N507" s="238"/>
      <c r="O507" s="238"/>
      <c r="P507" s="238"/>
      <c r="Q507" s="238"/>
      <c r="R507" s="238"/>
      <c r="S507" s="238"/>
      <c r="T507" s="238"/>
      <c r="U507" s="238"/>
      <c r="V507" s="238"/>
      <c r="W507" s="238"/>
      <c r="X507" s="238"/>
      <c r="Y507" s="238"/>
      <c r="Z507" s="238"/>
    </row>
    <row r="508" spans="1:26" ht="16.5" customHeight="1">
      <c r="A508" s="238"/>
      <c r="B508" s="238"/>
      <c r="C508" s="238"/>
      <c r="D508" s="238"/>
      <c r="E508" s="238"/>
      <c r="F508" s="238"/>
      <c r="G508" s="238"/>
      <c r="H508" s="238"/>
      <c r="I508" s="238"/>
      <c r="J508" s="238"/>
      <c r="K508" s="238"/>
      <c r="L508" s="238"/>
      <c r="M508" s="238"/>
      <c r="N508" s="238"/>
      <c r="O508" s="238"/>
      <c r="P508" s="238"/>
      <c r="Q508" s="238"/>
      <c r="R508" s="238"/>
      <c r="S508" s="238"/>
      <c r="T508" s="238"/>
      <c r="U508" s="238"/>
      <c r="V508" s="238"/>
      <c r="W508" s="238"/>
      <c r="X508" s="238"/>
      <c r="Y508" s="238"/>
      <c r="Z508" s="238"/>
    </row>
    <row r="509" spans="1:26" ht="16.5" customHeight="1">
      <c r="A509" s="238"/>
      <c r="B509" s="238"/>
      <c r="C509" s="238"/>
      <c r="D509" s="238"/>
      <c r="E509" s="238"/>
      <c r="F509" s="238"/>
      <c r="G509" s="238"/>
      <c r="H509" s="238"/>
      <c r="I509" s="238"/>
      <c r="J509" s="238"/>
      <c r="K509" s="238"/>
      <c r="L509" s="238"/>
      <c r="M509" s="238"/>
      <c r="N509" s="238"/>
      <c r="O509" s="238"/>
      <c r="P509" s="238"/>
      <c r="Q509" s="238"/>
      <c r="R509" s="238"/>
      <c r="S509" s="238"/>
      <c r="T509" s="238"/>
      <c r="U509" s="238"/>
      <c r="V509" s="238"/>
      <c r="W509" s="238"/>
      <c r="X509" s="238"/>
      <c r="Y509" s="238"/>
      <c r="Z509" s="238"/>
    </row>
    <row r="510" spans="1:26" ht="16.5" customHeight="1">
      <c r="A510" s="238"/>
      <c r="B510" s="238"/>
      <c r="C510" s="238"/>
      <c r="D510" s="238"/>
      <c r="E510" s="238"/>
      <c r="F510" s="238"/>
      <c r="G510" s="238"/>
      <c r="H510" s="238"/>
      <c r="I510" s="238"/>
      <c r="J510" s="238"/>
      <c r="K510" s="238"/>
      <c r="L510" s="238"/>
      <c r="M510" s="238"/>
      <c r="N510" s="238"/>
      <c r="O510" s="238"/>
      <c r="P510" s="238"/>
      <c r="Q510" s="238"/>
      <c r="R510" s="238"/>
      <c r="S510" s="238"/>
      <c r="T510" s="238"/>
      <c r="U510" s="238"/>
      <c r="V510" s="238"/>
      <c r="W510" s="238"/>
      <c r="X510" s="238"/>
      <c r="Y510" s="238"/>
      <c r="Z510" s="238"/>
    </row>
    <row r="511" spans="1:26" ht="16.5" customHeight="1">
      <c r="A511" s="238"/>
      <c r="B511" s="238"/>
      <c r="C511" s="238"/>
      <c r="D511" s="238"/>
      <c r="E511" s="238"/>
      <c r="F511" s="238"/>
      <c r="G511" s="238"/>
      <c r="H511" s="238"/>
      <c r="I511" s="238"/>
      <c r="J511" s="238"/>
      <c r="K511" s="238"/>
      <c r="L511" s="238"/>
      <c r="M511" s="238"/>
      <c r="N511" s="238"/>
      <c r="O511" s="238"/>
      <c r="P511" s="238"/>
      <c r="Q511" s="238"/>
      <c r="R511" s="238"/>
      <c r="S511" s="238"/>
      <c r="T511" s="238"/>
      <c r="U511" s="238"/>
      <c r="V511" s="238"/>
      <c r="W511" s="238"/>
      <c r="X511" s="238"/>
      <c r="Y511" s="238"/>
      <c r="Z511" s="238"/>
    </row>
    <row r="512" spans="1:26" ht="16.5" customHeight="1">
      <c r="A512" s="238"/>
      <c r="B512" s="238"/>
      <c r="C512" s="238"/>
      <c r="D512" s="238"/>
      <c r="E512" s="238"/>
      <c r="F512" s="238"/>
      <c r="G512" s="238"/>
      <c r="H512" s="238"/>
      <c r="I512" s="238"/>
      <c r="J512" s="238"/>
      <c r="K512" s="238"/>
      <c r="L512" s="238"/>
      <c r="M512" s="238"/>
      <c r="N512" s="238"/>
      <c r="O512" s="238"/>
      <c r="P512" s="238"/>
      <c r="Q512" s="238"/>
      <c r="R512" s="238"/>
      <c r="S512" s="238"/>
      <c r="T512" s="238"/>
      <c r="U512" s="238"/>
      <c r="V512" s="238"/>
      <c r="W512" s="238"/>
      <c r="X512" s="238"/>
      <c r="Y512" s="238"/>
      <c r="Z512" s="238"/>
    </row>
    <row r="513" spans="1:26" ht="16.5" customHeight="1">
      <c r="A513" s="238"/>
      <c r="B513" s="238"/>
      <c r="C513" s="238"/>
      <c r="D513" s="238"/>
      <c r="E513" s="238"/>
      <c r="F513" s="238"/>
      <c r="G513" s="238"/>
      <c r="H513" s="238"/>
      <c r="I513" s="238"/>
      <c r="J513" s="238"/>
      <c r="K513" s="238"/>
      <c r="L513" s="238"/>
      <c r="M513" s="238"/>
      <c r="N513" s="238"/>
      <c r="O513" s="238"/>
      <c r="P513" s="238"/>
      <c r="Q513" s="238"/>
      <c r="R513" s="238"/>
      <c r="S513" s="238"/>
      <c r="T513" s="238"/>
      <c r="U513" s="238"/>
      <c r="V513" s="238"/>
      <c r="W513" s="238"/>
      <c r="X513" s="238"/>
      <c r="Y513" s="238"/>
      <c r="Z513" s="238"/>
    </row>
    <row r="514" spans="1:26" ht="16.5" customHeight="1">
      <c r="A514" s="238"/>
      <c r="B514" s="238"/>
      <c r="C514" s="238"/>
      <c r="D514" s="238"/>
      <c r="E514" s="238"/>
      <c r="F514" s="238"/>
      <c r="G514" s="238"/>
      <c r="H514" s="238"/>
      <c r="I514" s="238"/>
      <c r="J514" s="238"/>
      <c r="K514" s="238"/>
      <c r="L514" s="238"/>
      <c r="M514" s="238"/>
      <c r="N514" s="238"/>
      <c r="O514" s="238"/>
      <c r="P514" s="238"/>
      <c r="Q514" s="238"/>
      <c r="R514" s="238"/>
      <c r="S514" s="238"/>
      <c r="T514" s="238"/>
      <c r="U514" s="238"/>
      <c r="V514" s="238"/>
      <c r="W514" s="238"/>
      <c r="X514" s="238"/>
      <c r="Y514" s="238"/>
      <c r="Z514" s="238"/>
    </row>
    <row r="515" spans="1:26" ht="16.5" customHeight="1">
      <c r="A515" s="238"/>
      <c r="B515" s="238"/>
      <c r="C515" s="238"/>
      <c r="D515" s="238"/>
      <c r="E515" s="238"/>
      <c r="F515" s="238"/>
      <c r="G515" s="238"/>
      <c r="H515" s="238"/>
      <c r="I515" s="238"/>
      <c r="J515" s="238"/>
      <c r="K515" s="238"/>
      <c r="L515" s="238"/>
      <c r="M515" s="238"/>
      <c r="N515" s="238"/>
      <c r="O515" s="238"/>
      <c r="P515" s="238"/>
      <c r="Q515" s="238"/>
      <c r="R515" s="238"/>
      <c r="S515" s="238"/>
      <c r="T515" s="238"/>
      <c r="U515" s="238"/>
      <c r="V515" s="238"/>
      <c r="W515" s="238"/>
      <c r="X515" s="238"/>
      <c r="Y515" s="238"/>
      <c r="Z515" s="238"/>
    </row>
    <row r="516" spans="1:26" ht="16.5" customHeight="1">
      <c r="A516" s="238"/>
      <c r="B516" s="238"/>
      <c r="C516" s="238"/>
      <c r="D516" s="238"/>
      <c r="E516" s="238"/>
      <c r="F516" s="238"/>
      <c r="G516" s="238"/>
      <c r="H516" s="238"/>
      <c r="I516" s="238"/>
      <c r="J516" s="238"/>
      <c r="K516" s="238"/>
      <c r="L516" s="238"/>
      <c r="M516" s="238"/>
      <c r="N516" s="238"/>
      <c r="O516" s="238"/>
      <c r="P516" s="238"/>
      <c r="Q516" s="238"/>
      <c r="R516" s="238"/>
      <c r="S516" s="238"/>
      <c r="T516" s="238"/>
      <c r="U516" s="238"/>
      <c r="V516" s="238"/>
      <c r="W516" s="238"/>
      <c r="X516" s="238"/>
      <c r="Y516" s="238"/>
      <c r="Z516" s="238"/>
    </row>
    <row r="517" spans="1:26" ht="16.5" customHeight="1">
      <c r="A517" s="238"/>
      <c r="B517" s="238"/>
      <c r="C517" s="238"/>
      <c r="D517" s="238"/>
      <c r="E517" s="238"/>
      <c r="F517" s="238"/>
      <c r="G517" s="238"/>
      <c r="H517" s="238"/>
      <c r="I517" s="238"/>
      <c r="J517" s="238"/>
      <c r="K517" s="238"/>
      <c r="L517" s="238"/>
      <c r="M517" s="238"/>
      <c r="N517" s="238"/>
      <c r="O517" s="238"/>
      <c r="P517" s="238"/>
      <c r="Q517" s="238"/>
      <c r="R517" s="238"/>
      <c r="S517" s="238"/>
      <c r="T517" s="238"/>
      <c r="U517" s="238"/>
      <c r="V517" s="238"/>
      <c r="W517" s="238"/>
      <c r="X517" s="238"/>
      <c r="Y517" s="238"/>
      <c r="Z517" s="238"/>
    </row>
    <row r="518" spans="1:26" ht="16.5" customHeight="1">
      <c r="A518" s="238"/>
      <c r="B518" s="238"/>
      <c r="C518" s="238"/>
      <c r="D518" s="238"/>
      <c r="E518" s="238"/>
      <c r="F518" s="238"/>
      <c r="G518" s="238"/>
      <c r="H518" s="238"/>
      <c r="I518" s="238"/>
      <c r="J518" s="238"/>
      <c r="K518" s="238"/>
      <c r="L518" s="238"/>
      <c r="M518" s="238"/>
      <c r="N518" s="238"/>
      <c r="O518" s="238"/>
      <c r="P518" s="238"/>
      <c r="Q518" s="238"/>
      <c r="R518" s="238"/>
      <c r="S518" s="238"/>
      <c r="T518" s="238"/>
      <c r="U518" s="238"/>
      <c r="V518" s="238"/>
      <c r="W518" s="238"/>
      <c r="X518" s="238"/>
      <c r="Y518" s="238"/>
      <c r="Z518" s="238"/>
    </row>
    <row r="519" spans="1:26" ht="16.5" customHeight="1">
      <c r="A519" s="238"/>
      <c r="B519" s="238"/>
      <c r="C519" s="238"/>
      <c r="D519" s="238"/>
      <c r="E519" s="238"/>
      <c r="F519" s="238"/>
      <c r="G519" s="238"/>
      <c r="H519" s="238"/>
      <c r="I519" s="238"/>
      <c r="J519" s="238"/>
      <c r="K519" s="238"/>
      <c r="L519" s="238"/>
      <c r="M519" s="238"/>
      <c r="N519" s="238"/>
      <c r="O519" s="238"/>
      <c r="P519" s="238"/>
      <c r="Q519" s="238"/>
      <c r="R519" s="238"/>
      <c r="S519" s="238"/>
      <c r="T519" s="238"/>
      <c r="U519" s="238"/>
      <c r="V519" s="238"/>
      <c r="W519" s="238"/>
      <c r="X519" s="238"/>
      <c r="Y519" s="238"/>
      <c r="Z519" s="238"/>
    </row>
    <row r="520" spans="1:26" ht="16.5" customHeight="1">
      <c r="A520" s="238"/>
      <c r="B520" s="238"/>
      <c r="C520" s="238"/>
      <c r="D520" s="238"/>
      <c r="E520" s="238"/>
      <c r="F520" s="238"/>
      <c r="G520" s="238"/>
      <c r="H520" s="238"/>
      <c r="I520" s="238"/>
      <c r="J520" s="238"/>
      <c r="K520" s="238"/>
      <c r="L520" s="238"/>
      <c r="M520" s="238"/>
      <c r="N520" s="238"/>
      <c r="O520" s="238"/>
      <c r="P520" s="238"/>
      <c r="Q520" s="238"/>
      <c r="R520" s="238"/>
      <c r="S520" s="238"/>
      <c r="T520" s="238"/>
      <c r="U520" s="238"/>
      <c r="V520" s="238"/>
      <c r="W520" s="238"/>
      <c r="X520" s="238"/>
      <c r="Y520" s="238"/>
      <c r="Z520" s="238"/>
    </row>
    <row r="521" spans="1:26" ht="16.5" customHeight="1">
      <c r="A521" s="238"/>
      <c r="B521" s="238"/>
      <c r="C521" s="238"/>
      <c r="D521" s="238"/>
      <c r="E521" s="238"/>
      <c r="F521" s="238"/>
      <c r="G521" s="238"/>
      <c r="H521" s="238"/>
      <c r="I521" s="238"/>
      <c r="J521" s="238"/>
      <c r="K521" s="238"/>
      <c r="L521" s="238"/>
      <c r="M521" s="238"/>
      <c r="N521" s="238"/>
      <c r="O521" s="238"/>
      <c r="P521" s="238"/>
      <c r="Q521" s="238"/>
      <c r="R521" s="238"/>
      <c r="S521" s="238"/>
      <c r="T521" s="238"/>
      <c r="U521" s="238"/>
      <c r="V521" s="238"/>
      <c r="W521" s="238"/>
      <c r="X521" s="238"/>
      <c r="Y521" s="238"/>
      <c r="Z521" s="238"/>
    </row>
    <row r="522" spans="1:26" ht="16.5" customHeight="1">
      <c r="A522" s="238"/>
      <c r="B522" s="238"/>
      <c r="C522" s="238"/>
      <c r="D522" s="238"/>
      <c r="E522" s="238"/>
      <c r="F522" s="238"/>
      <c r="G522" s="238"/>
      <c r="H522" s="238"/>
      <c r="I522" s="238"/>
      <c r="J522" s="238"/>
      <c r="K522" s="238"/>
      <c r="L522" s="238"/>
      <c r="M522" s="238"/>
      <c r="N522" s="238"/>
      <c r="O522" s="238"/>
      <c r="P522" s="238"/>
      <c r="Q522" s="238"/>
      <c r="R522" s="238"/>
      <c r="S522" s="238"/>
      <c r="T522" s="238"/>
      <c r="U522" s="238"/>
      <c r="V522" s="238"/>
      <c r="W522" s="238"/>
      <c r="X522" s="238"/>
      <c r="Y522" s="238"/>
      <c r="Z522" s="238"/>
    </row>
    <row r="523" spans="1:26" ht="16.5" customHeight="1">
      <c r="A523" s="238"/>
      <c r="B523" s="238"/>
      <c r="C523" s="238"/>
      <c r="D523" s="238"/>
      <c r="E523" s="238"/>
      <c r="F523" s="238"/>
      <c r="G523" s="238"/>
      <c r="H523" s="238"/>
      <c r="I523" s="238"/>
      <c r="J523" s="238"/>
      <c r="K523" s="238"/>
      <c r="L523" s="238"/>
      <c r="M523" s="238"/>
      <c r="N523" s="238"/>
      <c r="O523" s="238"/>
      <c r="P523" s="238"/>
      <c r="Q523" s="238"/>
      <c r="R523" s="238"/>
      <c r="S523" s="238"/>
      <c r="T523" s="238"/>
      <c r="U523" s="238"/>
      <c r="V523" s="238"/>
      <c r="W523" s="238"/>
      <c r="X523" s="238"/>
      <c r="Y523" s="238"/>
      <c r="Z523" s="238"/>
    </row>
    <row r="524" spans="1:26" ht="16.5" customHeight="1">
      <c r="A524" s="238"/>
      <c r="B524" s="238"/>
      <c r="C524" s="238"/>
      <c r="D524" s="238"/>
      <c r="E524" s="238"/>
      <c r="F524" s="238"/>
      <c r="G524" s="238"/>
      <c r="H524" s="238"/>
      <c r="I524" s="238"/>
      <c r="J524" s="238"/>
      <c r="K524" s="238"/>
      <c r="L524" s="238"/>
      <c r="M524" s="238"/>
      <c r="N524" s="238"/>
      <c r="O524" s="238"/>
      <c r="P524" s="238"/>
      <c r="Q524" s="238"/>
      <c r="R524" s="238"/>
      <c r="S524" s="238"/>
      <c r="T524" s="238"/>
      <c r="U524" s="238"/>
      <c r="V524" s="238"/>
      <c r="W524" s="238"/>
      <c r="X524" s="238"/>
      <c r="Y524" s="238"/>
      <c r="Z524" s="238"/>
    </row>
    <row r="525" spans="1:26" ht="16.5" customHeight="1">
      <c r="A525" s="238"/>
      <c r="B525" s="238"/>
      <c r="C525" s="238"/>
      <c r="D525" s="238"/>
      <c r="E525" s="238"/>
      <c r="F525" s="238"/>
      <c r="G525" s="238"/>
      <c r="H525" s="238"/>
      <c r="I525" s="238"/>
      <c r="J525" s="238"/>
      <c r="K525" s="238"/>
      <c r="L525" s="238"/>
      <c r="M525" s="238"/>
      <c r="N525" s="238"/>
      <c r="O525" s="238"/>
      <c r="P525" s="238"/>
      <c r="Q525" s="238"/>
      <c r="R525" s="238"/>
      <c r="S525" s="238"/>
      <c r="T525" s="238"/>
      <c r="U525" s="238"/>
      <c r="V525" s="238"/>
      <c r="W525" s="238"/>
      <c r="X525" s="238"/>
      <c r="Y525" s="238"/>
      <c r="Z525" s="238"/>
    </row>
    <row r="526" spans="1:26" ht="16.5" customHeight="1">
      <c r="A526" s="238"/>
      <c r="B526" s="238"/>
      <c r="C526" s="238"/>
      <c r="D526" s="238"/>
      <c r="E526" s="238"/>
      <c r="F526" s="238"/>
      <c r="G526" s="238"/>
      <c r="H526" s="238"/>
      <c r="I526" s="238"/>
      <c r="J526" s="238"/>
      <c r="K526" s="238"/>
      <c r="L526" s="238"/>
      <c r="M526" s="238"/>
      <c r="N526" s="238"/>
      <c r="O526" s="238"/>
      <c r="P526" s="238"/>
      <c r="Q526" s="238"/>
      <c r="R526" s="238"/>
      <c r="S526" s="238"/>
      <c r="T526" s="238"/>
      <c r="U526" s="238"/>
      <c r="V526" s="238"/>
      <c r="W526" s="238"/>
      <c r="X526" s="238"/>
      <c r="Y526" s="238"/>
      <c r="Z526" s="238"/>
    </row>
    <row r="527" spans="1:26" ht="16.5" customHeight="1">
      <c r="A527" s="238"/>
      <c r="B527" s="238"/>
      <c r="C527" s="238"/>
      <c r="D527" s="238"/>
      <c r="E527" s="238"/>
      <c r="F527" s="238"/>
      <c r="G527" s="238"/>
      <c r="H527" s="238"/>
      <c r="I527" s="238"/>
      <c r="J527" s="238"/>
      <c r="K527" s="238"/>
      <c r="L527" s="238"/>
      <c r="M527" s="238"/>
      <c r="N527" s="238"/>
      <c r="O527" s="238"/>
      <c r="P527" s="238"/>
      <c r="Q527" s="238"/>
      <c r="R527" s="238"/>
      <c r="S527" s="238"/>
      <c r="T527" s="238"/>
      <c r="U527" s="238"/>
      <c r="V527" s="238"/>
      <c r="W527" s="238"/>
      <c r="X527" s="238"/>
      <c r="Y527" s="238"/>
      <c r="Z527" s="238"/>
    </row>
    <row r="528" spans="1:26" ht="16.5" customHeight="1">
      <c r="A528" s="238"/>
      <c r="B528" s="238"/>
      <c r="C528" s="238"/>
      <c r="D528" s="238"/>
      <c r="E528" s="238"/>
      <c r="F528" s="238"/>
      <c r="G528" s="238"/>
      <c r="H528" s="238"/>
      <c r="I528" s="238"/>
      <c r="J528" s="238"/>
      <c r="K528" s="238"/>
      <c r="L528" s="238"/>
      <c r="M528" s="238"/>
      <c r="N528" s="238"/>
      <c r="O528" s="238"/>
      <c r="P528" s="238"/>
      <c r="Q528" s="238"/>
      <c r="R528" s="238"/>
      <c r="S528" s="238"/>
      <c r="T528" s="238"/>
      <c r="U528" s="238"/>
      <c r="V528" s="238"/>
      <c r="W528" s="238"/>
      <c r="X528" s="238"/>
      <c r="Y528" s="238"/>
      <c r="Z528" s="238"/>
    </row>
    <row r="529" spans="1:26" ht="16.5" customHeight="1">
      <c r="A529" s="238"/>
      <c r="B529" s="238"/>
      <c r="C529" s="238"/>
      <c r="D529" s="238"/>
      <c r="E529" s="238"/>
      <c r="F529" s="238"/>
      <c r="G529" s="238"/>
      <c r="H529" s="238"/>
      <c r="I529" s="238"/>
      <c r="J529" s="238"/>
      <c r="K529" s="238"/>
      <c r="L529" s="238"/>
      <c r="M529" s="238"/>
      <c r="N529" s="238"/>
      <c r="O529" s="238"/>
      <c r="P529" s="238"/>
      <c r="Q529" s="238"/>
      <c r="R529" s="238"/>
      <c r="S529" s="238"/>
      <c r="T529" s="238"/>
      <c r="U529" s="238"/>
      <c r="V529" s="238"/>
      <c r="W529" s="238"/>
      <c r="X529" s="238"/>
      <c r="Y529" s="238"/>
      <c r="Z529" s="238"/>
    </row>
    <row r="530" spans="1:26" ht="16.5" customHeight="1">
      <c r="A530" s="238"/>
      <c r="B530" s="238"/>
      <c r="C530" s="238"/>
      <c r="D530" s="238"/>
      <c r="E530" s="238"/>
      <c r="F530" s="238"/>
      <c r="G530" s="238"/>
      <c r="H530" s="238"/>
      <c r="I530" s="238"/>
      <c r="J530" s="238"/>
      <c r="K530" s="238"/>
      <c r="L530" s="238"/>
      <c r="M530" s="238"/>
      <c r="N530" s="238"/>
      <c r="O530" s="238"/>
      <c r="P530" s="238"/>
      <c r="Q530" s="238"/>
      <c r="R530" s="238"/>
      <c r="S530" s="238"/>
      <c r="T530" s="238"/>
      <c r="U530" s="238"/>
      <c r="V530" s="238"/>
      <c r="W530" s="238"/>
      <c r="X530" s="238"/>
      <c r="Y530" s="238"/>
      <c r="Z530" s="238"/>
    </row>
    <row r="531" spans="1:26" ht="16.5" customHeight="1">
      <c r="A531" s="238"/>
      <c r="B531" s="238"/>
      <c r="C531" s="238"/>
      <c r="D531" s="238"/>
      <c r="E531" s="238"/>
      <c r="F531" s="238"/>
      <c r="G531" s="238"/>
      <c r="H531" s="238"/>
      <c r="I531" s="238"/>
      <c r="J531" s="238"/>
      <c r="K531" s="238"/>
      <c r="L531" s="238"/>
      <c r="M531" s="238"/>
      <c r="N531" s="238"/>
      <c r="O531" s="238"/>
      <c r="P531" s="238"/>
      <c r="Q531" s="238"/>
      <c r="R531" s="238"/>
      <c r="S531" s="238"/>
      <c r="T531" s="238"/>
      <c r="U531" s="238"/>
      <c r="V531" s="238"/>
      <c r="W531" s="238"/>
      <c r="X531" s="238"/>
      <c r="Y531" s="238"/>
      <c r="Z531" s="238"/>
    </row>
    <row r="532" spans="1:26" ht="16.5" customHeight="1">
      <c r="A532" s="238"/>
      <c r="B532" s="238"/>
      <c r="C532" s="238"/>
      <c r="D532" s="238"/>
      <c r="E532" s="238"/>
      <c r="F532" s="238"/>
      <c r="G532" s="238"/>
      <c r="H532" s="238"/>
      <c r="I532" s="238"/>
      <c r="J532" s="238"/>
      <c r="K532" s="238"/>
      <c r="L532" s="238"/>
      <c r="M532" s="238"/>
      <c r="N532" s="238"/>
      <c r="O532" s="238"/>
      <c r="P532" s="238"/>
      <c r="Q532" s="238"/>
      <c r="R532" s="238"/>
      <c r="S532" s="238"/>
      <c r="T532" s="238"/>
      <c r="U532" s="238"/>
      <c r="V532" s="238"/>
      <c r="W532" s="238"/>
      <c r="X532" s="238"/>
      <c r="Y532" s="238"/>
      <c r="Z532" s="238"/>
    </row>
    <row r="533" spans="1:26" ht="16.5" customHeight="1">
      <c r="A533" s="238"/>
      <c r="B533" s="238"/>
      <c r="C533" s="238"/>
      <c r="D533" s="238"/>
      <c r="E533" s="238"/>
      <c r="F533" s="238"/>
      <c r="G533" s="238"/>
      <c r="H533" s="238"/>
      <c r="I533" s="238"/>
      <c r="J533" s="238"/>
      <c r="K533" s="238"/>
      <c r="L533" s="238"/>
      <c r="M533" s="238"/>
      <c r="N533" s="238"/>
      <c r="O533" s="238"/>
      <c r="P533" s="238"/>
      <c r="Q533" s="238"/>
      <c r="R533" s="238"/>
      <c r="S533" s="238"/>
      <c r="T533" s="238"/>
      <c r="U533" s="238"/>
      <c r="V533" s="238"/>
      <c r="W533" s="238"/>
      <c r="X533" s="238"/>
      <c r="Y533" s="238"/>
      <c r="Z533" s="238"/>
    </row>
    <row r="534" spans="1:26" ht="16.5" customHeight="1">
      <c r="A534" s="238"/>
      <c r="B534" s="238"/>
      <c r="C534" s="238"/>
      <c r="D534" s="238"/>
      <c r="E534" s="238"/>
      <c r="F534" s="238"/>
      <c r="G534" s="238"/>
      <c r="H534" s="238"/>
      <c r="I534" s="238"/>
      <c r="J534" s="238"/>
      <c r="K534" s="238"/>
      <c r="L534" s="238"/>
      <c r="M534" s="238"/>
      <c r="N534" s="238"/>
      <c r="O534" s="238"/>
      <c r="P534" s="238"/>
      <c r="Q534" s="238"/>
      <c r="R534" s="238"/>
      <c r="S534" s="238"/>
      <c r="T534" s="238"/>
      <c r="U534" s="238"/>
      <c r="V534" s="238"/>
      <c r="W534" s="238"/>
      <c r="X534" s="238"/>
      <c r="Y534" s="238"/>
      <c r="Z534" s="238"/>
    </row>
    <row r="535" spans="1:26" ht="16.5" customHeight="1">
      <c r="A535" s="238"/>
      <c r="B535" s="238"/>
      <c r="C535" s="238"/>
      <c r="D535" s="238"/>
      <c r="E535" s="238"/>
      <c r="F535" s="238"/>
      <c r="G535" s="238"/>
      <c r="H535" s="238"/>
      <c r="I535" s="238"/>
      <c r="J535" s="238"/>
      <c r="K535" s="238"/>
      <c r="L535" s="238"/>
      <c r="M535" s="238"/>
      <c r="N535" s="238"/>
      <c r="O535" s="238"/>
      <c r="P535" s="238"/>
      <c r="Q535" s="238"/>
      <c r="R535" s="238"/>
      <c r="S535" s="238"/>
      <c r="T535" s="238"/>
      <c r="U535" s="238"/>
      <c r="V535" s="238"/>
      <c r="W535" s="238"/>
      <c r="X535" s="238"/>
      <c r="Y535" s="238"/>
      <c r="Z535" s="238"/>
    </row>
    <row r="536" spans="1:26" ht="16.5" customHeight="1">
      <c r="A536" s="238"/>
      <c r="B536" s="238"/>
      <c r="C536" s="238"/>
      <c r="D536" s="238"/>
      <c r="E536" s="238"/>
      <c r="F536" s="238"/>
      <c r="G536" s="238"/>
      <c r="H536" s="238"/>
      <c r="I536" s="238"/>
      <c r="J536" s="238"/>
      <c r="K536" s="238"/>
      <c r="L536" s="238"/>
      <c r="M536" s="238"/>
      <c r="N536" s="238"/>
      <c r="O536" s="238"/>
      <c r="P536" s="238"/>
      <c r="Q536" s="238"/>
      <c r="R536" s="238"/>
      <c r="S536" s="238"/>
      <c r="T536" s="238"/>
      <c r="U536" s="238"/>
      <c r="V536" s="238"/>
      <c r="W536" s="238"/>
      <c r="X536" s="238"/>
      <c r="Y536" s="238"/>
      <c r="Z536" s="238"/>
    </row>
    <row r="537" spans="1:26" ht="16.5" customHeight="1">
      <c r="A537" s="238"/>
      <c r="B537" s="238"/>
      <c r="C537" s="238"/>
      <c r="D537" s="238"/>
      <c r="E537" s="238"/>
      <c r="F537" s="238"/>
      <c r="G537" s="238"/>
      <c r="H537" s="238"/>
      <c r="I537" s="238"/>
      <c r="J537" s="238"/>
      <c r="K537" s="238"/>
      <c r="L537" s="238"/>
      <c r="M537" s="238"/>
      <c r="N537" s="238"/>
      <c r="O537" s="238"/>
      <c r="P537" s="238"/>
      <c r="Q537" s="238"/>
      <c r="R537" s="238"/>
      <c r="S537" s="238"/>
      <c r="T537" s="238"/>
      <c r="U537" s="238"/>
      <c r="V537" s="238"/>
      <c r="W537" s="238"/>
      <c r="X537" s="238"/>
      <c r="Y537" s="238"/>
      <c r="Z537" s="238"/>
    </row>
    <row r="538" spans="1:26" ht="16.5" customHeight="1">
      <c r="A538" s="238"/>
      <c r="B538" s="238"/>
      <c r="C538" s="238"/>
      <c r="D538" s="238"/>
      <c r="E538" s="238"/>
      <c r="F538" s="238"/>
      <c r="G538" s="238"/>
      <c r="H538" s="238"/>
      <c r="I538" s="238"/>
      <c r="J538" s="238"/>
      <c r="K538" s="238"/>
      <c r="L538" s="238"/>
      <c r="M538" s="238"/>
      <c r="N538" s="238"/>
      <c r="O538" s="238"/>
      <c r="P538" s="238"/>
      <c r="Q538" s="238"/>
      <c r="R538" s="238"/>
      <c r="S538" s="238"/>
      <c r="T538" s="238"/>
      <c r="U538" s="238"/>
      <c r="V538" s="238"/>
      <c r="W538" s="238"/>
      <c r="X538" s="238"/>
      <c r="Y538" s="238"/>
      <c r="Z538" s="238"/>
    </row>
    <row r="539" spans="1:26" ht="16.5" customHeight="1">
      <c r="A539" s="238"/>
      <c r="B539" s="238"/>
      <c r="C539" s="238"/>
      <c r="D539" s="238"/>
      <c r="E539" s="238"/>
      <c r="F539" s="238"/>
      <c r="G539" s="238"/>
      <c r="H539" s="238"/>
      <c r="I539" s="238"/>
      <c r="J539" s="238"/>
      <c r="K539" s="238"/>
      <c r="L539" s="238"/>
      <c r="M539" s="238"/>
      <c r="N539" s="238"/>
      <c r="O539" s="238"/>
      <c r="P539" s="238"/>
      <c r="Q539" s="238"/>
      <c r="R539" s="238"/>
      <c r="S539" s="238"/>
      <c r="T539" s="238"/>
      <c r="U539" s="238"/>
      <c r="V539" s="238"/>
      <c r="W539" s="238"/>
      <c r="X539" s="238"/>
      <c r="Y539" s="238"/>
      <c r="Z539" s="238"/>
    </row>
    <row r="540" spans="1:26" ht="16.5" customHeight="1">
      <c r="A540" s="238"/>
      <c r="B540" s="238"/>
      <c r="C540" s="238"/>
      <c r="D540" s="238"/>
      <c r="E540" s="238"/>
      <c r="F540" s="238"/>
      <c r="G540" s="238"/>
      <c r="H540" s="238"/>
      <c r="I540" s="238"/>
      <c r="J540" s="238"/>
      <c r="K540" s="238"/>
      <c r="L540" s="238"/>
      <c r="M540" s="238"/>
      <c r="N540" s="238"/>
      <c r="O540" s="238"/>
      <c r="P540" s="238"/>
      <c r="Q540" s="238"/>
      <c r="R540" s="238"/>
      <c r="S540" s="238"/>
      <c r="T540" s="238"/>
      <c r="U540" s="238"/>
      <c r="V540" s="238"/>
      <c r="W540" s="238"/>
      <c r="X540" s="238"/>
      <c r="Y540" s="238"/>
      <c r="Z540" s="238"/>
    </row>
    <row r="541" spans="1:26" ht="16.5" customHeight="1">
      <c r="A541" s="238"/>
      <c r="B541" s="238"/>
      <c r="C541" s="238"/>
      <c r="D541" s="238"/>
      <c r="E541" s="238"/>
      <c r="F541" s="238"/>
      <c r="G541" s="238"/>
      <c r="H541" s="238"/>
      <c r="I541" s="238"/>
      <c r="J541" s="238"/>
      <c r="K541" s="238"/>
      <c r="L541" s="238"/>
      <c r="M541" s="238"/>
      <c r="N541" s="238"/>
      <c r="O541" s="238"/>
      <c r="P541" s="238"/>
      <c r="Q541" s="238"/>
      <c r="R541" s="238"/>
      <c r="S541" s="238"/>
      <c r="T541" s="238"/>
      <c r="U541" s="238"/>
      <c r="V541" s="238"/>
      <c r="W541" s="238"/>
      <c r="X541" s="238"/>
      <c r="Y541" s="238"/>
      <c r="Z541" s="238"/>
    </row>
    <row r="542" spans="1:26" ht="16.5" customHeight="1">
      <c r="A542" s="238"/>
      <c r="B542" s="238"/>
      <c r="C542" s="238"/>
      <c r="D542" s="238"/>
      <c r="E542" s="238"/>
      <c r="F542" s="238"/>
      <c r="G542" s="238"/>
      <c r="H542" s="238"/>
      <c r="I542" s="238"/>
      <c r="J542" s="238"/>
      <c r="K542" s="238"/>
      <c r="L542" s="238"/>
      <c r="M542" s="238"/>
      <c r="N542" s="238"/>
      <c r="O542" s="238"/>
      <c r="P542" s="238"/>
      <c r="Q542" s="238"/>
      <c r="R542" s="238"/>
      <c r="S542" s="238"/>
      <c r="T542" s="238"/>
      <c r="U542" s="238"/>
      <c r="V542" s="238"/>
      <c r="W542" s="238"/>
      <c r="X542" s="238"/>
      <c r="Y542" s="238"/>
      <c r="Z542" s="238"/>
    </row>
    <row r="543" spans="1:26" ht="16.5" customHeight="1">
      <c r="A543" s="238"/>
      <c r="B543" s="238"/>
      <c r="C543" s="238"/>
      <c r="D543" s="238"/>
      <c r="E543" s="238"/>
      <c r="F543" s="238"/>
      <c r="G543" s="238"/>
      <c r="H543" s="238"/>
      <c r="I543" s="238"/>
      <c r="J543" s="238"/>
      <c r="K543" s="238"/>
      <c r="L543" s="238"/>
      <c r="M543" s="238"/>
      <c r="N543" s="238"/>
      <c r="O543" s="238"/>
      <c r="P543" s="238"/>
      <c r="Q543" s="238"/>
      <c r="R543" s="238"/>
      <c r="S543" s="238"/>
      <c r="T543" s="238"/>
      <c r="U543" s="238"/>
      <c r="V543" s="238"/>
      <c r="W543" s="238"/>
      <c r="X543" s="238"/>
      <c r="Y543" s="238"/>
      <c r="Z543" s="238"/>
    </row>
    <row r="544" spans="1:26" ht="16.5" customHeight="1">
      <c r="A544" s="238"/>
      <c r="B544" s="238"/>
      <c r="C544" s="238"/>
      <c r="D544" s="238"/>
      <c r="E544" s="238"/>
      <c r="F544" s="238"/>
      <c r="G544" s="238"/>
      <c r="H544" s="238"/>
      <c r="I544" s="238"/>
      <c r="J544" s="238"/>
      <c r="K544" s="238"/>
      <c r="L544" s="238"/>
      <c r="M544" s="238"/>
      <c r="N544" s="238"/>
      <c r="O544" s="238"/>
      <c r="P544" s="238"/>
      <c r="Q544" s="238"/>
      <c r="R544" s="238"/>
      <c r="S544" s="238"/>
      <c r="T544" s="238"/>
      <c r="U544" s="238"/>
      <c r="V544" s="238"/>
      <c r="W544" s="238"/>
      <c r="X544" s="238"/>
      <c r="Y544" s="238"/>
      <c r="Z544" s="238"/>
    </row>
    <row r="545" spans="1:26" ht="16.5" customHeight="1">
      <c r="A545" s="238"/>
      <c r="B545" s="238"/>
      <c r="C545" s="238"/>
      <c r="D545" s="238"/>
      <c r="E545" s="238"/>
      <c r="F545" s="238"/>
      <c r="G545" s="238"/>
      <c r="H545" s="238"/>
      <c r="I545" s="238"/>
      <c r="J545" s="238"/>
      <c r="K545" s="238"/>
      <c r="L545" s="238"/>
      <c r="M545" s="238"/>
      <c r="N545" s="238"/>
      <c r="O545" s="238"/>
      <c r="P545" s="238"/>
      <c r="Q545" s="238"/>
      <c r="R545" s="238"/>
      <c r="S545" s="238"/>
      <c r="T545" s="238"/>
      <c r="U545" s="238"/>
      <c r="V545" s="238"/>
      <c r="W545" s="238"/>
      <c r="X545" s="238"/>
      <c r="Y545" s="238"/>
      <c r="Z545" s="238"/>
    </row>
    <row r="546" spans="1:26" ht="16.5" customHeight="1">
      <c r="A546" s="238"/>
      <c r="B546" s="238"/>
      <c r="C546" s="238"/>
      <c r="D546" s="238"/>
      <c r="E546" s="238"/>
      <c r="F546" s="238"/>
      <c r="G546" s="238"/>
      <c r="H546" s="238"/>
      <c r="I546" s="238"/>
      <c r="J546" s="238"/>
      <c r="K546" s="238"/>
      <c r="L546" s="238"/>
      <c r="M546" s="238"/>
      <c r="N546" s="238"/>
      <c r="O546" s="238"/>
      <c r="P546" s="238"/>
      <c r="Q546" s="238"/>
      <c r="R546" s="238"/>
      <c r="S546" s="238"/>
      <c r="T546" s="238"/>
      <c r="U546" s="238"/>
      <c r="V546" s="238"/>
      <c r="W546" s="238"/>
      <c r="X546" s="238"/>
      <c r="Y546" s="238"/>
      <c r="Z546" s="238"/>
    </row>
    <row r="547" spans="1:26" ht="16.5" customHeight="1">
      <c r="A547" s="238"/>
      <c r="B547" s="238"/>
      <c r="C547" s="238"/>
      <c r="D547" s="238"/>
      <c r="E547" s="238"/>
      <c r="F547" s="238"/>
      <c r="G547" s="238"/>
      <c r="H547" s="238"/>
      <c r="I547" s="238"/>
      <c r="J547" s="238"/>
      <c r="K547" s="238"/>
      <c r="L547" s="238"/>
      <c r="M547" s="238"/>
      <c r="N547" s="238"/>
      <c r="O547" s="238"/>
      <c r="P547" s="238"/>
      <c r="Q547" s="238"/>
      <c r="R547" s="238"/>
      <c r="S547" s="238"/>
      <c r="T547" s="238"/>
      <c r="U547" s="238"/>
      <c r="V547" s="238"/>
      <c r="W547" s="238"/>
      <c r="X547" s="238"/>
      <c r="Y547" s="238"/>
      <c r="Z547" s="238"/>
    </row>
    <row r="548" spans="1:26" ht="16.5" customHeight="1">
      <c r="A548" s="238"/>
      <c r="B548" s="238"/>
      <c r="C548" s="238"/>
      <c r="D548" s="238"/>
      <c r="E548" s="238"/>
      <c r="F548" s="238"/>
      <c r="G548" s="238"/>
      <c r="H548" s="238"/>
      <c r="I548" s="238"/>
      <c r="J548" s="238"/>
      <c r="K548" s="238"/>
      <c r="L548" s="238"/>
      <c r="M548" s="238"/>
      <c r="N548" s="238"/>
      <c r="O548" s="238"/>
      <c r="P548" s="238"/>
      <c r="Q548" s="238"/>
      <c r="R548" s="238"/>
      <c r="S548" s="238"/>
      <c r="T548" s="238"/>
      <c r="U548" s="238"/>
      <c r="V548" s="238"/>
      <c r="W548" s="238"/>
      <c r="X548" s="238"/>
      <c r="Y548" s="238"/>
      <c r="Z548" s="238"/>
    </row>
    <row r="549" spans="1:26" ht="16.5" customHeight="1">
      <c r="A549" s="238"/>
      <c r="B549" s="238"/>
      <c r="C549" s="238"/>
      <c r="D549" s="238"/>
      <c r="E549" s="238"/>
      <c r="F549" s="238"/>
      <c r="G549" s="238"/>
      <c r="H549" s="238"/>
      <c r="I549" s="238"/>
      <c r="J549" s="238"/>
      <c r="K549" s="238"/>
      <c r="L549" s="238"/>
      <c r="M549" s="238"/>
      <c r="N549" s="238"/>
      <c r="O549" s="238"/>
      <c r="P549" s="238"/>
      <c r="Q549" s="238"/>
      <c r="R549" s="238"/>
      <c r="S549" s="238"/>
      <c r="T549" s="238"/>
      <c r="U549" s="238"/>
      <c r="V549" s="238"/>
      <c r="W549" s="238"/>
      <c r="X549" s="238"/>
      <c r="Y549" s="238"/>
      <c r="Z549" s="238"/>
    </row>
    <row r="550" spans="1:26" ht="16.5" customHeight="1">
      <c r="A550" s="238"/>
      <c r="B550" s="238"/>
      <c r="C550" s="238"/>
      <c r="D550" s="238"/>
      <c r="E550" s="238"/>
      <c r="F550" s="238"/>
      <c r="G550" s="238"/>
      <c r="H550" s="238"/>
      <c r="I550" s="238"/>
      <c r="J550" s="238"/>
      <c r="K550" s="238"/>
      <c r="L550" s="238"/>
      <c r="M550" s="238"/>
      <c r="N550" s="238"/>
      <c r="O550" s="238"/>
      <c r="P550" s="238"/>
      <c r="Q550" s="238"/>
      <c r="R550" s="238"/>
      <c r="S550" s="238"/>
      <c r="T550" s="238"/>
      <c r="U550" s="238"/>
      <c r="V550" s="238"/>
      <c r="W550" s="238"/>
      <c r="X550" s="238"/>
      <c r="Y550" s="238"/>
      <c r="Z550" s="238"/>
    </row>
    <row r="551" spans="1:26" ht="16.5" customHeight="1">
      <c r="A551" s="238"/>
      <c r="B551" s="238"/>
      <c r="C551" s="238"/>
      <c r="D551" s="238"/>
      <c r="E551" s="238"/>
      <c r="F551" s="238"/>
      <c r="G551" s="238"/>
      <c r="H551" s="238"/>
      <c r="I551" s="238"/>
      <c r="J551" s="238"/>
      <c r="K551" s="238"/>
      <c r="L551" s="238"/>
      <c r="M551" s="238"/>
      <c r="N551" s="238"/>
      <c r="O551" s="238"/>
      <c r="P551" s="238"/>
      <c r="Q551" s="238"/>
      <c r="R551" s="238"/>
      <c r="S551" s="238"/>
      <c r="T551" s="238"/>
      <c r="U551" s="238"/>
      <c r="V551" s="238"/>
      <c r="W551" s="238"/>
      <c r="X551" s="238"/>
      <c r="Y551" s="238"/>
      <c r="Z551" s="238"/>
    </row>
    <row r="552" spans="1:26" ht="16.5" customHeight="1">
      <c r="A552" s="238"/>
      <c r="B552" s="238"/>
      <c r="C552" s="238"/>
      <c r="D552" s="238"/>
      <c r="E552" s="238"/>
      <c r="F552" s="238"/>
      <c r="G552" s="238"/>
      <c r="H552" s="238"/>
      <c r="I552" s="238"/>
      <c r="J552" s="238"/>
      <c r="K552" s="238"/>
      <c r="L552" s="238"/>
      <c r="M552" s="238"/>
      <c r="N552" s="238"/>
      <c r="O552" s="238"/>
      <c r="P552" s="238"/>
      <c r="Q552" s="238"/>
      <c r="R552" s="238"/>
      <c r="S552" s="238"/>
      <c r="T552" s="238"/>
      <c r="U552" s="238"/>
      <c r="V552" s="238"/>
      <c r="W552" s="238"/>
      <c r="X552" s="238"/>
      <c r="Y552" s="238"/>
      <c r="Z552" s="238"/>
    </row>
    <row r="553" spans="1:26" ht="16.5" customHeight="1">
      <c r="A553" s="238"/>
      <c r="B553" s="238"/>
      <c r="C553" s="238"/>
      <c r="D553" s="238"/>
      <c r="E553" s="238"/>
      <c r="F553" s="238"/>
      <c r="G553" s="238"/>
      <c r="H553" s="238"/>
      <c r="I553" s="238"/>
      <c r="J553" s="238"/>
      <c r="K553" s="238"/>
      <c r="L553" s="238"/>
      <c r="M553" s="238"/>
      <c r="N553" s="238"/>
      <c r="O553" s="238"/>
      <c r="P553" s="238"/>
      <c r="Q553" s="238"/>
      <c r="R553" s="238"/>
      <c r="S553" s="238"/>
      <c r="T553" s="238"/>
      <c r="U553" s="238"/>
      <c r="V553" s="238"/>
      <c r="W553" s="238"/>
      <c r="X553" s="238"/>
      <c r="Y553" s="238"/>
      <c r="Z553" s="238"/>
    </row>
    <row r="554" spans="1:26" ht="16.5" customHeight="1">
      <c r="A554" s="238"/>
      <c r="B554" s="238"/>
      <c r="C554" s="238"/>
      <c r="D554" s="238"/>
      <c r="E554" s="238"/>
      <c r="F554" s="238"/>
      <c r="G554" s="238"/>
      <c r="H554" s="238"/>
      <c r="I554" s="238"/>
      <c r="J554" s="238"/>
      <c r="K554" s="238"/>
      <c r="L554" s="238"/>
      <c r="M554" s="238"/>
      <c r="N554" s="238"/>
      <c r="O554" s="238"/>
      <c r="P554" s="238"/>
      <c r="Q554" s="238"/>
      <c r="R554" s="238"/>
      <c r="S554" s="238"/>
      <c r="T554" s="238"/>
      <c r="U554" s="238"/>
      <c r="V554" s="238"/>
      <c r="W554" s="238"/>
      <c r="X554" s="238"/>
      <c r="Y554" s="238"/>
      <c r="Z554" s="238"/>
    </row>
    <row r="555" spans="1:26" ht="16.5" customHeight="1">
      <c r="A555" s="238"/>
      <c r="B555" s="238"/>
      <c r="C555" s="238"/>
      <c r="D555" s="238"/>
      <c r="E555" s="238"/>
      <c r="F555" s="238"/>
      <c r="G555" s="238"/>
      <c r="H555" s="238"/>
      <c r="I555" s="238"/>
      <c r="J555" s="238"/>
      <c r="K555" s="238"/>
      <c r="L555" s="238"/>
      <c r="M555" s="238"/>
      <c r="N555" s="238"/>
      <c r="O555" s="238"/>
      <c r="P555" s="238"/>
      <c r="Q555" s="238"/>
      <c r="R555" s="238"/>
      <c r="S555" s="238"/>
      <c r="T555" s="238"/>
      <c r="U555" s="238"/>
      <c r="V555" s="238"/>
      <c r="W555" s="238"/>
      <c r="X555" s="238"/>
      <c r="Y555" s="238"/>
      <c r="Z555" s="238"/>
    </row>
    <row r="556" spans="1:26" ht="16.5" customHeight="1">
      <c r="A556" s="238"/>
      <c r="B556" s="238"/>
      <c r="C556" s="238"/>
      <c r="D556" s="238"/>
      <c r="E556" s="238"/>
      <c r="F556" s="238"/>
      <c r="G556" s="238"/>
      <c r="H556" s="238"/>
      <c r="I556" s="238"/>
      <c r="J556" s="238"/>
      <c r="K556" s="238"/>
      <c r="L556" s="238"/>
      <c r="M556" s="238"/>
      <c r="N556" s="238"/>
      <c r="O556" s="238"/>
      <c r="P556" s="238"/>
      <c r="Q556" s="238"/>
      <c r="R556" s="238"/>
      <c r="S556" s="238"/>
      <c r="T556" s="238"/>
      <c r="U556" s="238"/>
      <c r="V556" s="238"/>
      <c r="W556" s="238"/>
      <c r="X556" s="238"/>
      <c r="Y556" s="238"/>
      <c r="Z556" s="238"/>
    </row>
    <row r="557" spans="1:26" ht="16.5" customHeight="1">
      <c r="A557" s="238"/>
      <c r="B557" s="238"/>
      <c r="C557" s="238"/>
      <c r="D557" s="238"/>
      <c r="E557" s="238"/>
      <c r="F557" s="238"/>
      <c r="G557" s="238"/>
      <c r="H557" s="238"/>
      <c r="I557" s="238"/>
      <c r="J557" s="238"/>
      <c r="K557" s="238"/>
      <c r="L557" s="238"/>
      <c r="M557" s="238"/>
      <c r="N557" s="238"/>
      <c r="O557" s="238"/>
      <c r="P557" s="238"/>
      <c r="Q557" s="238"/>
      <c r="R557" s="238"/>
      <c r="S557" s="238"/>
      <c r="T557" s="238"/>
      <c r="U557" s="238"/>
      <c r="V557" s="238"/>
      <c r="W557" s="238"/>
      <c r="X557" s="238"/>
      <c r="Y557" s="238"/>
      <c r="Z557" s="238"/>
    </row>
    <row r="558" spans="1:26" ht="16.5" customHeight="1">
      <c r="A558" s="238"/>
      <c r="B558" s="238"/>
      <c r="C558" s="238"/>
      <c r="D558" s="238"/>
      <c r="E558" s="238"/>
      <c r="F558" s="238"/>
      <c r="G558" s="238"/>
      <c r="H558" s="238"/>
      <c r="I558" s="238"/>
      <c r="J558" s="238"/>
      <c r="K558" s="238"/>
      <c r="L558" s="238"/>
      <c r="M558" s="238"/>
      <c r="N558" s="238"/>
      <c r="O558" s="238"/>
      <c r="P558" s="238"/>
      <c r="Q558" s="238"/>
      <c r="R558" s="238"/>
      <c r="S558" s="238"/>
      <c r="T558" s="238"/>
      <c r="U558" s="238"/>
      <c r="V558" s="238"/>
      <c r="W558" s="238"/>
      <c r="X558" s="238"/>
      <c r="Y558" s="238"/>
      <c r="Z558" s="238"/>
    </row>
    <row r="559" spans="1:26" ht="16.5" customHeight="1">
      <c r="A559" s="238"/>
      <c r="B559" s="238"/>
      <c r="C559" s="238"/>
      <c r="D559" s="238"/>
      <c r="E559" s="238"/>
      <c r="F559" s="238"/>
      <c r="G559" s="238"/>
      <c r="H559" s="238"/>
      <c r="I559" s="238"/>
      <c r="J559" s="238"/>
      <c r="K559" s="238"/>
      <c r="L559" s="238"/>
      <c r="M559" s="238"/>
      <c r="N559" s="238"/>
      <c r="O559" s="238"/>
      <c r="P559" s="238"/>
      <c r="Q559" s="238"/>
      <c r="R559" s="238"/>
      <c r="S559" s="238"/>
      <c r="T559" s="238"/>
      <c r="U559" s="238"/>
      <c r="V559" s="238"/>
      <c r="W559" s="238"/>
      <c r="X559" s="238"/>
      <c r="Y559" s="238"/>
      <c r="Z559" s="238"/>
    </row>
    <row r="560" spans="1:26" ht="16.5" customHeight="1">
      <c r="A560" s="238"/>
      <c r="B560" s="238"/>
      <c r="C560" s="238"/>
      <c r="D560" s="238"/>
      <c r="E560" s="238"/>
      <c r="F560" s="238"/>
      <c r="G560" s="238"/>
      <c r="H560" s="238"/>
      <c r="I560" s="238"/>
      <c r="J560" s="238"/>
      <c r="K560" s="238"/>
      <c r="L560" s="238"/>
      <c r="M560" s="238"/>
      <c r="N560" s="238"/>
      <c r="O560" s="238"/>
      <c r="P560" s="238"/>
      <c r="Q560" s="238"/>
      <c r="R560" s="238"/>
      <c r="S560" s="238"/>
      <c r="T560" s="238"/>
      <c r="U560" s="238"/>
      <c r="V560" s="238"/>
      <c r="W560" s="238"/>
      <c r="X560" s="238"/>
      <c r="Y560" s="238"/>
      <c r="Z560" s="238"/>
    </row>
    <row r="561" spans="1:26" ht="16.5" customHeight="1">
      <c r="A561" s="238"/>
      <c r="B561" s="238"/>
      <c r="C561" s="238"/>
      <c r="D561" s="238"/>
      <c r="E561" s="238"/>
      <c r="F561" s="238"/>
      <c r="G561" s="238"/>
      <c r="H561" s="238"/>
      <c r="I561" s="238"/>
      <c r="J561" s="238"/>
      <c r="K561" s="238"/>
      <c r="L561" s="238"/>
      <c r="M561" s="238"/>
      <c r="N561" s="238"/>
      <c r="O561" s="238"/>
      <c r="P561" s="238"/>
      <c r="Q561" s="238"/>
      <c r="R561" s="238"/>
      <c r="S561" s="238"/>
      <c r="T561" s="238"/>
      <c r="U561" s="238"/>
      <c r="V561" s="238"/>
      <c r="W561" s="238"/>
      <c r="X561" s="238"/>
      <c r="Y561" s="238"/>
      <c r="Z561" s="238"/>
    </row>
    <row r="562" spans="1:26" ht="16.5" customHeight="1">
      <c r="A562" s="238"/>
      <c r="B562" s="238"/>
      <c r="C562" s="238"/>
      <c r="D562" s="238"/>
      <c r="E562" s="238"/>
      <c r="F562" s="238"/>
      <c r="G562" s="238"/>
      <c r="H562" s="238"/>
      <c r="I562" s="238"/>
      <c r="J562" s="238"/>
      <c r="K562" s="238"/>
      <c r="L562" s="238"/>
      <c r="M562" s="238"/>
      <c r="N562" s="238"/>
      <c r="O562" s="238"/>
      <c r="P562" s="238"/>
      <c r="Q562" s="238"/>
      <c r="R562" s="238"/>
      <c r="S562" s="238"/>
      <c r="T562" s="238"/>
      <c r="U562" s="238"/>
      <c r="V562" s="238"/>
      <c r="W562" s="238"/>
      <c r="X562" s="238"/>
      <c r="Y562" s="238"/>
      <c r="Z562" s="238"/>
    </row>
    <row r="563" spans="1:26" ht="16.5" customHeight="1">
      <c r="A563" s="238"/>
      <c r="B563" s="238"/>
      <c r="C563" s="238"/>
      <c r="D563" s="238"/>
      <c r="E563" s="238"/>
      <c r="F563" s="238"/>
      <c r="G563" s="238"/>
      <c r="H563" s="238"/>
      <c r="I563" s="238"/>
      <c r="J563" s="238"/>
      <c r="K563" s="238"/>
      <c r="L563" s="238"/>
      <c r="M563" s="238"/>
      <c r="N563" s="238"/>
      <c r="O563" s="238"/>
      <c r="P563" s="238"/>
      <c r="Q563" s="238"/>
      <c r="R563" s="238"/>
      <c r="S563" s="238"/>
      <c r="T563" s="238"/>
      <c r="U563" s="238"/>
      <c r="V563" s="238"/>
      <c r="W563" s="238"/>
      <c r="X563" s="238"/>
      <c r="Y563" s="238"/>
      <c r="Z563" s="238"/>
    </row>
    <row r="564" spans="1:26" ht="16.5" customHeight="1">
      <c r="A564" s="238"/>
      <c r="B564" s="238"/>
      <c r="C564" s="238"/>
      <c r="D564" s="238"/>
      <c r="E564" s="238"/>
      <c r="F564" s="238"/>
      <c r="G564" s="238"/>
      <c r="H564" s="238"/>
      <c r="I564" s="238"/>
      <c r="J564" s="238"/>
      <c r="K564" s="238"/>
      <c r="L564" s="238"/>
      <c r="M564" s="238"/>
      <c r="N564" s="238"/>
      <c r="O564" s="238"/>
      <c r="P564" s="238"/>
      <c r="Q564" s="238"/>
      <c r="R564" s="238"/>
      <c r="S564" s="238"/>
      <c r="T564" s="238"/>
      <c r="U564" s="238"/>
      <c r="V564" s="238"/>
      <c r="W564" s="238"/>
      <c r="X564" s="238"/>
      <c r="Y564" s="238"/>
      <c r="Z564" s="238"/>
    </row>
    <row r="565" spans="1:26" ht="16.5" customHeight="1">
      <c r="A565" s="238"/>
      <c r="B565" s="238"/>
      <c r="C565" s="238"/>
      <c r="D565" s="238"/>
      <c r="E565" s="238"/>
      <c r="F565" s="238"/>
      <c r="G565" s="238"/>
      <c r="H565" s="238"/>
      <c r="I565" s="238"/>
      <c r="J565" s="238"/>
      <c r="K565" s="238"/>
      <c r="L565" s="238"/>
      <c r="M565" s="238"/>
      <c r="N565" s="238"/>
      <c r="O565" s="238"/>
      <c r="P565" s="238"/>
      <c r="Q565" s="238"/>
      <c r="R565" s="238"/>
      <c r="S565" s="238"/>
      <c r="T565" s="238"/>
      <c r="U565" s="238"/>
      <c r="V565" s="238"/>
      <c r="W565" s="238"/>
      <c r="X565" s="238"/>
      <c r="Y565" s="238"/>
      <c r="Z565" s="238"/>
    </row>
    <row r="566" spans="1:26" ht="16.5" customHeight="1">
      <c r="A566" s="238"/>
      <c r="B566" s="238"/>
      <c r="C566" s="238"/>
      <c r="D566" s="238"/>
      <c r="E566" s="238"/>
      <c r="F566" s="238"/>
      <c r="G566" s="238"/>
      <c r="H566" s="238"/>
      <c r="I566" s="238"/>
      <c r="J566" s="238"/>
      <c r="K566" s="238"/>
      <c r="L566" s="238"/>
      <c r="M566" s="238"/>
      <c r="N566" s="238"/>
      <c r="O566" s="238"/>
      <c r="P566" s="238"/>
      <c r="Q566" s="238"/>
      <c r="R566" s="238"/>
      <c r="S566" s="238"/>
      <c r="T566" s="238"/>
      <c r="U566" s="238"/>
      <c r="V566" s="238"/>
      <c r="W566" s="238"/>
      <c r="X566" s="238"/>
      <c r="Y566" s="238"/>
      <c r="Z566" s="238"/>
    </row>
    <row r="567" spans="1:26" ht="16.5" customHeight="1">
      <c r="A567" s="238"/>
      <c r="B567" s="238"/>
      <c r="C567" s="238"/>
      <c r="D567" s="238"/>
      <c r="E567" s="238"/>
      <c r="F567" s="238"/>
      <c r="G567" s="238"/>
      <c r="H567" s="238"/>
      <c r="I567" s="238"/>
      <c r="J567" s="238"/>
      <c r="K567" s="238"/>
      <c r="L567" s="238"/>
      <c r="M567" s="238"/>
      <c r="N567" s="238"/>
      <c r="O567" s="238"/>
      <c r="P567" s="238"/>
      <c r="Q567" s="238"/>
      <c r="R567" s="238"/>
      <c r="S567" s="238"/>
      <c r="T567" s="238"/>
      <c r="U567" s="238"/>
      <c r="V567" s="238"/>
      <c r="W567" s="238"/>
      <c r="X567" s="238"/>
      <c r="Y567" s="238"/>
      <c r="Z567" s="238"/>
    </row>
    <row r="568" spans="1:26" ht="16.5" customHeight="1">
      <c r="A568" s="238"/>
      <c r="B568" s="238"/>
      <c r="C568" s="238"/>
      <c r="D568" s="238"/>
      <c r="E568" s="238"/>
      <c r="F568" s="238"/>
      <c r="G568" s="238"/>
      <c r="H568" s="238"/>
      <c r="I568" s="238"/>
      <c r="J568" s="238"/>
      <c r="K568" s="238"/>
      <c r="L568" s="238"/>
      <c r="M568" s="238"/>
      <c r="N568" s="238"/>
      <c r="O568" s="238"/>
      <c r="P568" s="238"/>
      <c r="Q568" s="238"/>
      <c r="R568" s="238"/>
      <c r="S568" s="238"/>
      <c r="T568" s="238"/>
      <c r="U568" s="238"/>
      <c r="V568" s="238"/>
      <c r="W568" s="238"/>
      <c r="X568" s="238"/>
      <c r="Y568" s="238"/>
      <c r="Z568" s="238"/>
    </row>
    <row r="569" spans="1:26" ht="16.5" customHeight="1">
      <c r="A569" s="238"/>
      <c r="B569" s="238"/>
      <c r="C569" s="238"/>
      <c r="D569" s="238"/>
      <c r="E569" s="238"/>
      <c r="F569" s="238"/>
      <c r="G569" s="238"/>
      <c r="H569" s="238"/>
      <c r="I569" s="238"/>
      <c r="J569" s="238"/>
      <c r="K569" s="238"/>
      <c r="L569" s="238"/>
      <c r="M569" s="238"/>
      <c r="N569" s="238"/>
      <c r="O569" s="238"/>
      <c r="P569" s="238"/>
      <c r="Q569" s="238"/>
      <c r="R569" s="238"/>
      <c r="S569" s="238"/>
      <c r="T569" s="238"/>
      <c r="U569" s="238"/>
      <c r="V569" s="238"/>
      <c r="W569" s="238"/>
      <c r="X569" s="238"/>
      <c r="Y569" s="238"/>
      <c r="Z569" s="238"/>
    </row>
    <row r="570" spans="1:26" ht="16.5" customHeight="1">
      <c r="A570" s="238"/>
      <c r="B570" s="238"/>
      <c r="C570" s="238"/>
      <c r="D570" s="238"/>
      <c r="E570" s="238"/>
      <c r="F570" s="238"/>
      <c r="G570" s="238"/>
      <c r="H570" s="238"/>
      <c r="I570" s="238"/>
      <c r="J570" s="238"/>
      <c r="K570" s="238"/>
      <c r="L570" s="238"/>
      <c r="M570" s="238"/>
      <c r="N570" s="238"/>
      <c r="O570" s="238"/>
      <c r="P570" s="238"/>
      <c r="Q570" s="238"/>
      <c r="R570" s="238"/>
      <c r="S570" s="238"/>
      <c r="T570" s="238"/>
      <c r="U570" s="238"/>
      <c r="V570" s="238"/>
      <c r="W570" s="238"/>
      <c r="X570" s="238"/>
      <c r="Y570" s="238"/>
      <c r="Z570" s="238"/>
    </row>
    <row r="571" spans="1:26" ht="16.5" customHeight="1">
      <c r="A571" s="238"/>
      <c r="B571" s="238"/>
      <c r="C571" s="238"/>
      <c r="D571" s="238"/>
      <c r="E571" s="238"/>
      <c r="F571" s="238"/>
      <c r="G571" s="238"/>
      <c r="H571" s="238"/>
      <c r="I571" s="238"/>
      <c r="J571" s="238"/>
      <c r="K571" s="238"/>
      <c r="L571" s="238"/>
      <c r="M571" s="238"/>
      <c r="N571" s="238"/>
      <c r="O571" s="238"/>
      <c r="P571" s="238"/>
      <c r="Q571" s="238"/>
      <c r="R571" s="238"/>
      <c r="S571" s="238"/>
      <c r="T571" s="238"/>
      <c r="U571" s="238"/>
      <c r="V571" s="238"/>
      <c r="W571" s="238"/>
      <c r="X571" s="238"/>
      <c r="Y571" s="238"/>
      <c r="Z571" s="238"/>
    </row>
    <row r="572" spans="1:26" ht="16.5" customHeight="1">
      <c r="A572" s="238"/>
      <c r="B572" s="238"/>
      <c r="C572" s="238"/>
      <c r="D572" s="238"/>
      <c r="E572" s="238"/>
      <c r="F572" s="238"/>
      <c r="G572" s="238"/>
      <c r="H572" s="238"/>
      <c r="I572" s="238"/>
      <c r="J572" s="238"/>
      <c r="K572" s="238"/>
      <c r="L572" s="238"/>
      <c r="M572" s="238"/>
      <c r="N572" s="238"/>
      <c r="O572" s="238"/>
      <c r="P572" s="238"/>
      <c r="Q572" s="238"/>
      <c r="R572" s="238"/>
      <c r="S572" s="238"/>
      <c r="T572" s="238"/>
      <c r="U572" s="238"/>
      <c r="V572" s="238"/>
      <c r="W572" s="238"/>
      <c r="X572" s="238"/>
      <c r="Y572" s="238"/>
      <c r="Z572" s="238"/>
    </row>
    <row r="573" spans="1:26" ht="16.5" customHeight="1">
      <c r="A573" s="238"/>
      <c r="B573" s="238"/>
      <c r="C573" s="238"/>
      <c r="D573" s="238"/>
      <c r="E573" s="238"/>
      <c r="F573" s="238"/>
      <c r="G573" s="238"/>
      <c r="H573" s="238"/>
      <c r="I573" s="238"/>
      <c r="J573" s="238"/>
      <c r="K573" s="238"/>
      <c r="L573" s="238"/>
      <c r="M573" s="238"/>
      <c r="N573" s="238"/>
      <c r="O573" s="238"/>
      <c r="P573" s="238"/>
      <c r="Q573" s="238"/>
      <c r="R573" s="238"/>
      <c r="S573" s="238"/>
      <c r="T573" s="238"/>
      <c r="U573" s="238"/>
      <c r="V573" s="238"/>
      <c r="W573" s="238"/>
      <c r="X573" s="238"/>
      <c r="Y573" s="238"/>
      <c r="Z573" s="238"/>
    </row>
    <row r="574" spans="1:26" ht="16.5" customHeight="1">
      <c r="A574" s="238"/>
      <c r="B574" s="238"/>
      <c r="C574" s="238"/>
      <c r="D574" s="238"/>
      <c r="E574" s="238"/>
      <c r="F574" s="238"/>
      <c r="G574" s="238"/>
      <c r="H574" s="238"/>
      <c r="I574" s="238"/>
      <c r="J574" s="238"/>
      <c r="K574" s="238"/>
      <c r="L574" s="238"/>
      <c r="M574" s="238"/>
      <c r="N574" s="238"/>
      <c r="O574" s="238"/>
      <c r="P574" s="238"/>
      <c r="Q574" s="238"/>
      <c r="R574" s="238"/>
      <c r="S574" s="238"/>
      <c r="T574" s="238"/>
      <c r="U574" s="238"/>
      <c r="V574" s="238"/>
      <c r="W574" s="238"/>
      <c r="X574" s="238"/>
      <c r="Y574" s="238"/>
      <c r="Z574" s="238"/>
    </row>
    <row r="575" spans="1:26" ht="16.5" customHeight="1">
      <c r="A575" s="238"/>
      <c r="B575" s="238"/>
      <c r="C575" s="238"/>
      <c r="D575" s="238"/>
      <c r="E575" s="238"/>
      <c r="F575" s="238"/>
      <c r="G575" s="238"/>
      <c r="H575" s="238"/>
      <c r="I575" s="238"/>
      <c r="J575" s="238"/>
      <c r="K575" s="238"/>
      <c r="L575" s="238"/>
      <c r="M575" s="238"/>
      <c r="N575" s="238"/>
      <c r="O575" s="238"/>
      <c r="P575" s="238"/>
      <c r="Q575" s="238"/>
      <c r="R575" s="238"/>
      <c r="S575" s="238"/>
      <c r="T575" s="238"/>
      <c r="U575" s="238"/>
      <c r="V575" s="238"/>
      <c r="W575" s="238"/>
      <c r="X575" s="238"/>
      <c r="Y575" s="238"/>
      <c r="Z575" s="238"/>
    </row>
    <row r="576" spans="1:26" ht="16.5" customHeight="1">
      <c r="A576" s="238"/>
      <c r="B576" s="238"/>
      <c r="C576" s="238"/>
      <c r="D576" s="238"/>
      <c r="E576" s="238"/>
      <c r="F576" s="238"/>
      <c r="G576" s="238"/>
      <c r="H576" s="238"/>
      <c r="I576" s="238"/>
      <c r="J576" s="238"/>
      <c r="K576" s="238"/>
      <c r="L576" s="238"/>
      <c r="M576" s="238"/>
      <c r="N576" s="238"/>
      <c r="O576" s="238"/>
      <c r="P576" s="238"/>
      <c r="Q576" s="238"/>
      <c r="R576" s="238"/>
      <c r="S576" s="238"/>
      <c r="T576" s="238"/>
      <c r="U576" s="238"/>
      <c r="V576" s="238"/>
      <c r="W576" s="238"/>
      <c r="X576" s="238"/>
      <c r="Y576" s="238"/>
      <c r="Z576" s="238"/>
    </row>
    <row r="577" spans="1:26" ht="16.5" customHeight="1">
      <c r="A577" s="238"/>
      <c r="B577" s="238"/>
      <c r="C577" s="238"/>
      <c r="D577" s="238"/>
      <c r="E577" s="238"/>
      <c r="F577" s="238"/>
      <c r="G577" s="238"/>
      <c r="H577" s="238"/>
      <c r="I577" s="238"/>
      <c r="J577" s="238"/>
      <c r="K577" s="238"/>
      <c r="L577" s="238"/>
      <c r="M577" s="238"/>
      <c r="N577" s="238"/>
      <c r="O577" s="238"/>
      <c r="P577" s="238"/>
      <c r="Q577" s="238"/>
      <c r="R577" s="238"/>
      <c r="S577" s="238"/>
      <c r="T577" s="238"/>
      <c r="U577" s="238"/>
      <c r="V577" s="238"/>
      <c r="W577" s="238"/>
      <c r="X577" s="238"/>
      <c r="Y577" s="238"/>
      <c r="Z577" s="238"/>
    </row>
    <row r="578" spans="1:26" ht="16.5" customHeight="1">
      <c r="A578" s="238"/>
      <c r="B578" s="238"/>
      <c r="C578" s="238"/>
      <c r="D578" s="238"/>
      <c r="E578" s="238"/>
      <c r="F578" s="238"/>
      <c r="G578" s="238"/>
      <c r="H578" s="238"/>
      <c r="I578" s="238"/>
      <c r="J578" s="238"/>
      <c r="K578" s="238"/>
      <c r="L578" s="238"/>
      <c r="M578" s="238"/>
      <c r="N578" s="238"/>
      <c r="O578" s="238"/>
      <c r="P578" s="238"/>
      <c r="Q578" s="238"/>
      <c r="R578" s="238"/>
      <c r="S578" s="238"/>
      <c r="T578" s="238"/>
      <c r="U578" s="238"/>
      <c r="V578" s="238"/>
      <c r="W578" s="238"/>
      <c r="X578" s="238"/>
      <c r="Y578" s="238"/>
      <c r="Z578" s="238"/>
    </row>
    <row r="579" spans="1:26" ht="16.5" customHeight="1">
      <c r="A579" s="238"/>
      <c r="B579" s="238"/>
      <c r="C579" s="238"/>
      <c r="D579" s="238"/>
      <c r="E579" s="238"/>
      <c r="F579" s="238"/>
      <c r="G579" s="238"/>
      <c r="H579" s="238"/>
      <c r="I579" s="238"/>
      <c r="J579" s="238"/>
      <c r="K579" s="238"/>
      <c r="L579" s="238"/>
      <c r="M579" s="238"/>
      <c r="N579" s="238"/>
      <c r="O579" s="238"/>
      <c r="P579" s="238"/>
      <c r="Q579" s="238"/>
      <c r="R579" s="238"/>
      <c r="S579" s="238"/>
      <c r="T579" s="238"/>
      <c r="U579" s="238"/>
      <c r="V579" s="238"/>
      <c r="W579" s="238"/>
      <c r="X579" s="238"/>
      <c r="Y579" s="238"/>
      <c r="Z579" s="238"/>
    </row>
    <row r="580" spans="1:26" ht="16.5" customHeight="1">
      <c r="A580" s="238"/>
      <c r="B580" s="238"/>
      <c r="C580" s="238"/>
      <c r="D580" s="238"/>
      <c r="E580" s="238"/>
      <c r="F580" s="238"/>
      <c r="G580" s="238"/>
      <c r="H580" s="238"/>
      <c r="I580" s="238"/>
      <c r="J580" s="238"/>
      <c r="K580" s="238"/>
      <c r="L580" s="238"/>
      <c r="M580" s="238"/>
      <c r="N580" s="238"/>
      <c r="O580" s="238"/>
      <c r="P580" s="238"/>
      <c r="Q580" s="238"/>
      <c r="R580" s="238"/>
      <c r="S580" s="238"/>
      <c r="T580" s="238"/>
      <c r="U580" s="238"/>
      <c r="V580" s="238"/>
      <c r="W580" s="238"/>
      <c r="X580" s="238"/>
      <c r="Y580" s="238"/>
      <c r="Z580" s="238"/>
    </row>
    <row r="581" spans="1:26" ht="16.5" customHeight="1">
      <c r="A581" s="238"/>
      <c r="B581" s="238"/>
      <c r="C581" s="238"/>
      <c r="D581" s="238"/>
      <c r="E581" s="238"/>
      <c r="F581" s="238"/>
      <c r="G581" s="238"/>
      <c r="H581" s="238"/>
      <c r="I581" s="238"/>
      <c r="J581" s="238"/>
      <c r="K581" s="238"/>
      <c r="L581" s="238"/>
      <c r="M581" s="238"/>
      <c r="N581" s="238"/>
      <c r="O581" s="238"/>
      <c r="P581" s="238"/>
      <c r="Q581" s="238"/>
      <c r="R581" s="238"/>
      <c r="S581" s="238"/>
      <c r="T581" s="238"/>
      <c r="U581" s="238"/>
      <c r="V581" s="238"/>
      <c r="W581" s="238"/>
      <c r="X581" s="238"/>
      <c r="Y581" s="238"/>
      <c r="Z581" s="238"/>
    </row>
    <row r="582" spans="1:26" ht="16.5" customHeight="1">
      <c r="A582" s="238"/>
      <c r="B582" s="238"/>
      <c r="C582" s="238"/>
      <c r="D582" s="238"/>
      <c r="E582" s="238"/>
      <c r="F582" s="238"/>
      <c r="G582" s="238"/>
      <c r="H582" s="238"/>
      <c r="I582" s="238"/>
      <c r="J582" s="238"/>
      <c r="K582" s="238"/>
      <c r="L582" s="238"/>
      <c r="M582" s="238"/>
      <c r="N582" s="238"/>
      <c r="O582" s="238"/>
      <c r="P582" s="238"/>
      <c r="Q582" s="238"/>
      <c r="R582" s="238"/>
      <c r="S582" s="238"/>
      <c r="T582" s="238"/>
      <c r="U582" s="238"/>
      <c r="V582" s="238"/>
      <c r="W582" s="238"/>
      <c r="X582" s="238"/>
      <c r="Y582" s="238"/>
      <c r="Z582" s="238"/>
    </row>
    <row r="583" spans="1:26" ht="16.5" customHeight="1">
      <c r="A583" s="238"/>
      <c r="B583" s="238"/>
      <c r="C583" s="238"/>
      <c r="D583" s="238"/>
      <c r="E583" s="238"/>
      <c r="F583" s="238"/>
      <c r="G583" s="238"/>
      <c r="H583" s="238"/>
      <c r="I583" s="238"/>
      <c r="J583" s="238"/>
      <c r="K583" s="238"/>
      <c r="L583" s="238"/>
      <c r="M583" s="238"/>
      <c r="N583" s="238"/>
      <c r="O583" s="238"/>
      <c r="P583" s="238"/>
      <c r="Q583" s="238"/>
      <c r="R583" s="238"/>
      <c r="S583" s="238"/>
      <c r="T583" s="238"/>
      <c r="U583" s="238"/>
      <c r="V583" s="238"/>
      <c r="W583" s="238"/>
      <c r="X583" s="238"/>
      <c r="Y583" s="238"/>
      <c r="Z583" s="238"/>
    </row>
    <row r="584" spans="1:26" ht="16.5" customHeight="1">
      <c r="A584" s="238"/>
      <c r="B584" s="238"/>
      <c r="C584" s="238"/>
      <c r="D584" s="238"/>
      <c r="E584" s="238"/>
      <c r="F584" s="238"/>
      <c r="G584" s="238"/>
      <c r="H584" s="238"/>
      <c r="I584" s="238"/>
      <c r="J584" s="238"/>
      <c r="K584" s="238"/>
      <c r="L584" s="238"/>
      <c r="M584" s="238"/>
      <c r="N584" s="238"/>
      <c r="O584" s="238"/>
      <c r="P584" s="238"/>
      <c r="Q584" s="238"/>
      <c r="R584" s="238"/>
      <c r="S584" s="238"/>
      <c r="T584" s="238"/>
      <c r="U584" s="238"/>
      <c r="V584" s="238"/>
      <c r="W584" s="238"/>
      <c r="X584" s="238"/>
      <c r="Y584" s="238"/>
      <c r="Z584" s="238"/>
    </row>
    <row r="585" spans="1:26" ht="16.5" customHeight="1">
      <c r="A585" s="238"/>
      <c r="B585" s="238"/>
      <c r="C585" s="238"/>
      <c r="D585" s="238"/>
      <c r="E585" s="238"/>
      <c r="F585" s="238"/>
      <c r="G585" s="238"/>
      <c r="H585" s="238"/>
      <c r="I585" s="238"/>
      <c r="J585" s="238"/>
      <c r="K585" s="238"/>
      <c r="L585" s="238"/>
      <c r="M585" s="238"/>
      <c r="N585" s="238"/>
      <c r="O585" s="238"/>
      <c r="P585" s="238"/>
      <c r="Q585" s="238"/>
      <c r="R585" s="238"/>
      <c r="S585" s="238"/>
      <c r="T585" s="238"/>
      <c r="U585" s="238"/>
      <c r="V585" s="238"/>
      <c r="W585" s="238"/>
      <c r="X585" s="238"/>
      <c r="Y585" s="238"/>
      <c r="Z585" s="238"/>
    </row>
    <row r="586" spans="1:26" ht="16.5" customHeight="1">
      <c r="A586" s="238"/>
      <c r="B586" s="238"/>
      <c r="C586" s="238"/>
      <c r="D586" s="238"/>
      <c r="E586" s="238"/>
      <c r="F586" s="238"/>
      <c r="G586" s="238"/>
      <c r="H586" s="238"/>
      <c r="I586" s="238"/>
      <c r="J586" s="238"/>
      <c r="K586" s="238"/>
      <c r="L586" s="238"/>
      <c r="M586" s="238"/>
      <c r="N586" s="238"/>
      <c r="O586" s="238"/>
      <c r="P586" s="238"/>
      <c r="Q586" s="238"/>
      <c r="R586" s="238"/>
      <c r="S586" s="238"/>
      <c r="T586" s="238"/>
      <c r="U586" s="238"/>
      <c r="V586" s="238"/>
      <c r="W586" s="238"/>
      <c r="X586" s="238"/>
      <c r="Y586" s="238"/>
      <c r="Z586" s="238"/>
    </row>
    <row r="587" spans="1:26" ht="16.5" customHeight="1">
      <c r="A587" s="238"/>
      <c r="B587" s="238"/>
      <c r="C587" s="238"/>
      <c r="D587" s="238"/>
      <c r="E587" s="238"/>
      <c r="F587" s="238"/>
      <c r="G587" s="238"/>
      <c r="H587" s="238"/>
      <c r="I587" s="238"/>
      <c r="J587" s="238"/>
      <c r="K587" s="238"/>
      <c r="L587" s="238"/>
      <c r="M587" s="238"/>
      <c r="N587" s="238"/>
      <c r="O587" s="238"/>
      <c r="P587" s="238"/>
      <c r="Q587" s="238"/>
      <c r="R587" s="238"/>
      <c r="S587" s="238"/>
      <c r="T587" s="238"/>
      <c r="U587" s="238"/>
      <c r="V587" s="238"/>
      <c r="W587" s="238"/>
      <c r="X587" s="238"/>
      <c r="Y587" s="238"/>
      <c r="Z587" s="238"/>
    </row>
    <row r="588" spans="1:26" ht="16.5" customHeight="1">
      <c r="A588" s="238"/>
      <c r="B588" s="238"/>
      <c r="C588" s="238"/>
      <c r="D588" s="238"/>
      <c r="E588" s="238"/>
      <c r="F588" s="238"/>
      <c r="G588" s="238"/>
      <c r="H588" s="238"/>
      <c r="I588" s="238"/>
      <c r="J588" s="238"/>
      <c r="K588" s="238"/>
      <c r="L588" s="238"/>
      <c r="M588" s="238"/>
      <c r="N588" s="238"/>
      <c r="O588" s="238"/>
      <c r="P588" s="238"/>
      <c r="Q588" s="238"/>
      <c r="R588" s="238"/>
      <c r="S588" s="238"/>
      <c r="T588" s="238"/>
      <c r="U588" s="238"/>
      <c r="V588" s="238"/>
      <c r="W588" s="238"/>
      <c r="X588" s="238"/>
      <c r="Y588" s="238"/>
      <c r="Z588" s="238"/>
    </row>
    <row r="589" spans="1:26" ht="16.5" customHeight="1">
      <c r="A589" s="238"/>
      <c r="B589" s="238"/>
      <c r="C589" s="238"/>
      <c r="D589" s="238"/>
      <c r="E589" s="238"/>
      <c r="F589" s="238"/>
      <c r="G589" s="238"/>
      <c r="H589" s="238"/>
      <c r="I589" s="238"/>
      <c r="J589" s="238"/>
      <c r="K589" s="238"/>
      <c r="L589" s="238"/>
      <c r="M589" s="238"/>
      <c r="N589" s="238"/>
      <c r="O589" s="238"/>
      <c r="P589" s="238"/>
      <c r="Q589" s="238"/>
      <c r="R589" s="238"/>
      <c r="S589" s="238"/>
      <c r="T589" s="238"/>
      <c r="U589" s="238"/>
      <c r="V589" s="238"/>
      <c r="W589" s="238"/>
      <c r="X589" s="238"/>
      <c r="Y589" s="238"/>
      <c r="Z589" s="238"/>
    </row>
    <row r="590" spans="1:26" ht="16.5" customHeight="1">
      <c r="A590" s="238"/>
      <c r="B590" s="238"/>
      <c r="C590" s="238"/>
      <c r="D590" s="238"/>
      <c r="E590" s="238"/>
      <c r="F590" s="238"/>
      <c r="G590" s="238"/>
      <c r="H590" s="238"/>
      <c r="I590" s="238"/>
      <c r="J590" s="238"/>
      <c r="K590" s="238"/>
      <c r="L590" s="238"/>
      <c r="M590" s="238"/>
      <c r="N590" s="238"/>
      <c r="O590" s="238"/>
      <c r="P590" s="238"/>
      <c r="Q590" s="238"/>
      <c r="R590" s="238"/>
      <c r="S590" s="238"/>
      <c r="T590" s="238"/>
      <c r="U590" s="238"/>
      <c r="V590" s="238"/>
      <c r="W590" s="238"/>
      <c r="X590" s="238"/>
      <c r="Y590" s="238"/>
      <c r="Z590" s="238"/>
    </row>
    <row r="591" spans="1:26" ht="16.5" customHeight="1">
      <c r="A591" s="238"/>
      <c r="B591" s="238"/>
      <c r="C591" s="238"/>
      <c r="D591" s="238"/>
      <c r="E591" s="238"/>
      <c r="F591" s="238"/>
      <c r="G591" s="238"/>
      <c r="H591" s="238"/>
      <c r="I591" s="238"/>
      <c r="J591" s="238"/>
      <c r="K591" s="238"/>
      <c r="L591" s="238"/>
      <c r="M591" s="238"/>
      <c r="N591" s="238"/>
      <c r="O591" s="238"/>
      <c r="P591" s="238"/>
      <c r="Q591" s="238"/>
      <c r="R591" s="238"/>
      <c r="S591" s="238"/>
      <c r="T591" s="238"/>
      <c r="U591" s="238"/>
      <c r="V591" s="238"/>
      <c r="W591" s="238"/>
      <c r="X591" s="238"/>
      <c r="Y591" s="238"/>
      <c r="Z591" s="238"/>
    </row>
    <row r="592" spans="1:26" ht="16.5" customHeight="1">
      <c r="A592" s="238"/>
      <c r="B592" s="238"/>
      <c r="C592" s="238"/>
      <c r="D592" s="238"/>
      <c r="E592" s="238"/>
      <c r="F592" s="238"/>
      <c r="G592" s="238"/>
      <c r="H592" s="238"/>
      <c r="I592" s="238"/>
      <c r="J592" s="238"/>
      <c r="K592" s="238"/>
      <c r="L592" s="238"/>
      <c r="M592" s="238"/>
      <c r="N592" s="238"/>
      <c r="O592" s="238"/>
      <c r="P592" s="238"/>
      <c r="Q592" s="238"/>
      <c r="R592" s="238"/>
      <c r="S592" s="238"/>
      <c r="T592" s="238"/>
      <c r="U592" s="238"/>
      <c r="V592" s="238"/>
      <c r="W592" s="238"/>
      <c r="X592" s="238"/>
      <c r="Y592" s="238"/>
      <c r="Z592" s="238"/>
    </row>
    <row r="593" spans="1:26" ht="16.5" customHeight="1">
      <c r="A593" s="238"/>
      <c r="B593" s="238"/>
      <c r="C593" s="238"/>
      <c r="D593" s="238"/>
      <c r="E593" s="238"/>
      <c r="F593" s="238"/>
      <c r="G593" s="238"/>
      <c r="H593" s="238"/>
      <c r="I593" s="238"/>
      <c r="J593" s="238"/>
      <c r="K593" s="238"/>
      <c r="L593" s="238"/>
      <c r="M593" s="238"/>
      <c r="N593" s="238"/>
      <c r="O593" s="238"/>
      <c r="P593" s="238"/>
      <c r="Q593" s="238"/>
      <c r="R593" s="238"/>
      <c r="S593" s="238"/>
      <c r="T593" s="238"/>
      <c r="U593" s="238"/>
      <c r="V593" s="238"/>
      <c r="W593" s="238"/>
      <c r="X593" s="238"/>
      <c r="Y593" s="238"/>
      <c r="Z593" s="238"/>
    </row>
    <row r="594" spans="1:26" ht="16.5" customHeight="1">
      <c r="A594" s="238"/>
      <c r="B594" s="238"/>
      <c r="C594" s="238"/>
      <c r="D594" s="238"/>
      <c r="E594" s="238"/>
      <c r="F594" s="238"/>
      <c r="G594" s="238"/>
      <c r="H594" s="238"/>
      <c r="I594" s="238"/>
      <c r="J594" s="238"/>
      <c r="K594" s="238"/>
      <c r="L594" s="238"/>
      <c r="M594" s="238"/>
      <c r="N594" s="238"/>
      <c r="O594" s="238"/>
      <c r="P594" s="238"/>
      <c r="Q594" s="238"/>
      <c r="R594" s="238"/>
      <c r="S594" s="238"/>
      <c r="T594" s="238"/>
      <c r="U594" s="238"/>
      <c r="V594" s="238"/>
      <c r="W594" s="238"/>
      <c r="X594" s="238"/>
      <c r="Y594" s="238"/>
      <c r="Z594" s="238"/>
    </row>
    <row r="595" spans="1:26" ht="16.5" customHeight="1">
      <c r="A595" s="238"/>
      <c r="B595" s="238"/>
      <c r="C595" s="238"/>
      <c r="D595" s="238"/>
      <c r="E595" s="238"/>
      <c r="F595" s="238"/>
      <c r="G595" s="238"/>
      <c r="H595" s="238"/>
      <c r="I595" s="238"/>
      <c r="J595" s="238"/>
      <c r="K595" s="238"/>
      <c r="L595" s="238"/>
      <c r="M595" s="238"/>
      <c r="N595" s="238"/>
      <c r="O595" s="238"/>
      <c r="P595" s="238"/>
      <c r="Q595" s="238"/>
      <c r="R595" s="238"/>
      <c r="S595" s="238"/>
      <c r="T595" s="238"/>
      <c r="U595" s="238"/>
      <c r="V595" s="238"/>
      <c r="W595" s="238"/>
      <c r="X595" s="238"/>
      <c r="Y595" s="238"/>
      <c r="Z595" s="238"/>
    </row>
    <row r="596" spans="1:26" ht="16.5" customHeight="1">
      <c r="A596" s="238"/>
      <c r="B596" s="238"/>
      <c r="C596" s="238"/>
      <c r="D596" s="238"/>
      <c r="E596" s="238"/>
      <c r="F596" s="238"/>
      <c r="G596" s="238"/>
      <c r="H596" s="238"/>
      <c r="I596" s="238"/>
      <c r="J596" s="238"/>
      <c r="K596" s="238"/>
      <c r="L596" s="238"/>
      <c r="M596" s="238"/>
      <c r="N596" s="238"/>
      <c r="O596" s="238"/>
      <c r="P596" s="238"/>
      <c r="Q596" s="238"/>
      <c r="R596" s="238"/>
      <c r="S596" s="238"/>
      <c r="T596" s="238"/>
      <c r="U596" s="238"/>
      <c r="V596" s="238"/>
      <c r="W596" s="238"/>
      <c r="X596" s="238"/>
      <c r="Y596" s="238"/>
      <c r="Z596" s="238"/>
    </row>
    <row r="597" spans="1:26" ht="16.5" customHeight="1">
      <c r="A597" s="238"/>
      <c r="B597" s="238"/>
      <c r="C597" s="238"/>
      <c r="D597" s="238"/>
      <c r="E597" s="238"/>
      <c r="F597" s="238"/>
      <c r="G597" s="238"/>
      <c r="H597" s="238"/>
      <c r="I597" s="238"/>
      <c r="J597" s="238"/>
      <c r="K597" s="238"/>
      <c r="L597" s="238"/>
      <c r="M597" s="238"/>
      <c r="N597" s="238"/>
      <c r="O597" s="238"/>
      <c r="P597" s="238"/>
      <c r="Q597" s="238"/>
      <c r="R597" s="238"/>
      <c r="S597" s="238"/>
      <c r="T597" s="238"/>
      <c r="U597" s="238"/>
      <c r="V597" s="238"/>
      <c r="W597" s="238"/>
      <c r="X597" s="238"/>
      <c r="Y597" s="238"/>
      <c r="Z597" s="238"/>
    </row>
    <row r="598" spans="1:26" ht="16.5" customHeight="1">
      <c r="A598" s="238"/>
      <c r="B598" s="238"/>
      <c r="C598" s="238"/>
      <c r="D598" s="238"/>
      <c r="E598" s="238"/>
      <c r="F598" s="238"/>
      <c r="G598" s="238"/>
      <c r="H598" s="238"/>
      <c r="I598" s="238"/>
      <c r="J598" s="238"/>
      <c r="K598" s="238"/>
      <c r="L598" s="238"/>
      <c r="M598" s="238"/>
      <c r="N598" s="238"/>
      <c r="O598" s="238"/>
      <c r="P598" s="238"/>
      <c r="Q598" s="238"/>
      <c r="R598" s="238"/>
      <c r="S598" s="238"/>
      <c r="T598" s="238"/>
      <c r="U598" s="238"/>
      <c r="V598" s="238"/>
      <c r="W598" s="238"/>
      <c r="X598" s="238"/>
      <c r="Y598" s="238"/>
      <c r="Z598" s="238"/>
    </row>
    <row r="599" spans="1:26" ht="16.5" customHeight="1">
      <c r="A599" s="238"/>
      <c r="B599" s="238"/>
      <c r="C599" s="238"/>
      <c r="D599" s="238"/>
      <c r="E599" s="238"/>
      <c r="F599" s="238"/>
      <c r="G599" s="238"/>
      <c r="H599" s="238"/>
      <c r="I599" s="238"/>
      <c r="J599" s="238"/>
      <c r="K599" s="238"/>
      <c r="L599" s="238"/>
      <c r="M599" s="238"/>
      <c r="N599" s="238"/>
      <c r="O599" s="238"/>
      <c r="P599" s="238"/>
      <c r="Q599" s="238"/>
      <c r="R599" s="238"/>
      <c r="S599" s="238"/>
      <c r="T599" s="238"/>
      <c r="U599" s="238"/>
      <c r="V599" s="238"/>
      <c r="W599" s="238"/>
      <c r="X599" s="238"/>
      <c r="Y599" s="238"/>
      <c r="Z599" s="238"/>
    </row>
    <row r="600" spans="1:26" ht="16.5" customHeight="1">
      <c r="A600" s="238"/>
      <c r="B600" s="238"/>
      <c r="C600" s="238"/>
      <c r="D600" s="238"/>
      <c r="E600" s="238"/>
      <c r="F600" s="238"/>
      <c r="G600" s="238"/>
      <c r="H600" s="238"/>
      <c r="I600" s="238"/>
      <c r="J600" s="238"/>
      <c r="K600" s="238"/>
      <c r="L600" s="238"/>
      <c r="M600" s="238"/>
      <c r="N600" s="238"/>
      <c r="O600" s="238"/>
      <c r="P600" s="238"/>
      <c r="Q600" s="238"/>
      <c r="R600" s="238"/>
      <c r="S600" s="238"/>
      <c r="T600" s="238"/>
      <c r="U600" s="238"/>
      <c r="V600" s="238"/>
      <c r="W600" s="238"/>
      <c r="X600" s="238"/>
      <c r="Y600" s="238"/>
      <c r="Z600" s="238"/>
    </row>
    <row r="601" spans="1:26" ht="16.5" customHeight="1">
      <c r="A601" s="238"/>
      <c r="B601" s="238"/>
      <c r="C601" s="238"/>
      <c r="D601" s="238"/>
      <c r="E601" s="238"/>
      <c r="F601" s="238"/>
      <c r="G601" s="238"/>
      <c r="H601" s="238"/>
      <c r="I601" s="238"/>
      <c r="J601" s="238"/>
      <c r="K601" s="238"/>
      <c r="L601" s="238"/>
      <c r="M601" s="238"/>
      <c r="N601" s="238"/>
      <c r="O601" s="238"/>
      <c r="P601" s="238"/>
      <c r="Q601" s="238"/>
      <c r="R601" s="238"/>
      <c r="S601" s="238"/>
      <c r="T601" s="238"/>
      <c r="U601" s="238"/>
      <c r="V601" s="238"/>
      <c r="W601" s="238"/>
      <c r="X601" s="238"/>
      <c r="Y601" s="238"/>
      <c r="Z601" s="238"/>
    </row>
    <row r="602" spans="1:26" ht="16.5" customHeight="1">
      <c r="A602" s="238"/>
      <c r="B602" s="238"/>
      <c r="C602" s="238"/>
      <c r="D602" s="238"/>
      <c r="E602" s="238"/>
      <c r="F602" s="238"/>
      <c r="G602" s="238"/>
      <c r="H602" s="238"/>
      <c r="I602" s="238"/>
      <c r="J602" s="238"/>
      <c r="K602" s="238"/>
      <c r="L602" s="238"/>
      <c r="M602" s="238"/>
      <c r="N602" s="238"/>
      <c r="O602" s="238"/>
      <c r="P602" s="238"/>
      <c r="Q602" s="238"/>
      <c r="R602" s="238"/>
      <c r="S602" s="238"/>
      <c r="T602" s="238"/>
      <c r="U602" s="238"/>
      <c r="V602" s="238"/>
      <c r="W602" s="238"/>
      <c r="X602" s="238"/>
      <c r="Y602" s="238"/>
      <c r="Z602" s="238"/>
    </row>
    <row r="603" spans="1:26" ht="16.5" customHeight="1">
      <c r="A603" s="238"/>
      <c r="B603" s="238"/>
      <c r="C603" s="238"/>
      <c r="D603" s="238"/>
      <c r="E603" s="238"/>
      <c r="F603" s="238"/>
      <c r="G603" s="238"/>
      <c r="H603" s="238"/>
      <c r="I603" s="238"/>
      <c r="J603" s="238"/>
      <c r="K603" s="238"/>
      <c r="L603" s="238"/>
      <c r="M603" s="238"/>
      <c r="N603" s="238"/>
      <c r="O603" s="238"/>
      <c r="P603" s="238"/>
      <c r="Q603" s="238"/>
      <c r="R603" s="238"/>
      <c r="S603" s="238"/>
      <c r="T603" s="238"/>
      <c r="U603" s="238"/>
      <c r="V603" s="238"/>
      <c r="W603" s="238"/>
      <c r="X603" s="238"/>
      <c r="Y603" s="238"/>
      <c r="Z603" s="238"/>
    </row>
    <row r="604" spans="1:26" ht="16.5" customHeight="1">
      <c r="A604" s="238"/>
      <c r="B604" s="238"/>
      <c r="C604" s="238"/>
      <c r="D604" s="238"/>
      <c r="E604" s="238"/>
      <c r="F604" s="238"/>
      <c r="G604" s="238"/>
      <c r="H604" s="238"/>
      <c r="I604" s="238"/>
      <c r="J604" s="238"/>
      <c r="K604" s="238"/>
      <c r="L604" s="238"/>
      <c r="M604" s="238"/>
      <c r="N604" s="238"/>
      <c r="O604" s="238"/>
      <c r="P604" s="238"/>
      <c r="Q604" s="238"/>
      <c r="R604" s="238"/>
      <c r="S604" s="238"/>
      <c r="T604" s="238"/>
      <c r="U604" s="238"/>
      <c r="V604" s="238"/>
      <c r="W604" s="238"/>
      <c r="X604" s="238"/>
      <c r="Y604" s="238"/>
      <c r="Z604" s="238"/>
    </row>
    <row r="605" spans="1:26" ht="16.5" customHeight="1">
      <c r="A605" s="238"/>
      <c r="B605" s="238"/>
      <c r="C605" s="238"/>
      <c r="D605" s="238"/>
      <c r="E605" s="238"/>
      <c r="F605" s="238"/>
      <c r="G605" s="238"/>
      <c r="H605" s="238"/>
      <c r="I605" s="238"/>
      <c r="J605" s="238"/>
      <c r="K605" s="238"/>
      <c r="L605" s="238"/>
      <c r="M605" s="238"/>
      <c r="N605" s="238"/>
      <c r="O605" s="238"/>
      <c r="P605" s="238"/>
      <c r="Q605" s="238"/>
      <c r="R605" s="238"/>
      <c r="S605" s="238"/>
      <c r="T605" s="238"/>
      <c r="U605" s="238"/>
      <c r="V605" s="238"/>
      <c r="W605" s="238"/>
      <c r="X605" s="238"/>
      <c r="Y605" s="238"/>
      <c r="Z605" s="238"/>
    </row>
    <row r="606" spans="1:26" ht="16.5" customHeight="1">
      <c r="A606" s="238"/>
      <c r="B606" s="238"/>
      <c r="C606" s="238"/>
      <c r="D606" s="238"/>
      <c r="E606" s="238"/>
      <c r="F606" s="238"/>
      <c r="G606" s="238"/>
      <c r="H606" s="238"/>
      <c r="I606" s="238"/>
      <c r="J606" s="238"/>
      <c r="K606" s="238"/>
      <c r="L606" s="238"/>
      <c r="M606" s="238"/>
      <c r="N606" s="238"/>
      <c r="O606" s="238"/>
      <c r="P606" s="238"/>
      <c r="Q606" s="238"/>
      <c r="R606" s="238"/>
      <c r="S606" s="238"/>
      <c r="T606" s="238"/>
      <c r="U606" s="238"/>
      <c r="V606" s="238"/>
      <c r="W606" s="238"/>
      <c r="X606" s="238"/>
      <c r="Y606" s="238"/>
      <c r="Z606" s="238"/>
    </row>
    <row r="607" spans="1:26" ht="16.5" customHeight="1">
      <c r="A607" s="238"/>
      <c r="B607" s="238"/>
      <c r="C607" s="238"/>
      <c r="D607" s="238"/>
      <c r="E607" s="238"/>
      <c r="F607" s="238"/>
      <c r="G607" s="238"/>
      <c r="H607" s="238"/>
      <c r="I607" s="238"/>
      <c r="J607" s="238"/>
      <c r="K607" s="238"/>
      <c r="L607" s="238"/>
      <c r="M607" s="238"/>
      <c r="N607" s="238"/>
      <c r="O607" s="238"/>
      <c r="P607" s="238"/>
      <c r="Q607" s="238"/>
      <c r="R607" s="238"/>
      <c r="S607" s="238"/>
      <c r="T607" s="238"/>
      <c r="U607" s="238"/>
      <c r="V607" s="238"/>
      <c r="W607" s="238"/>
      <c r="X607" s="238"/>
      <c r="Y607" s="238"/>
      <c r="Z607" s="238"/>
    </row>
    <row r="608" spans="1:26" ht="16.5" customHeight="1">
      <c r="A608" s="238"/>
      <c r="B608" s="238"/>
      <c r="C608" s="238"/>
      <c r="D608" s="238"/>
      <c r="E608" s="238"/>
      <c r="F608" s="238"/>
      <c r="G608" s="238"/>
      <c r="H608" s="238"/>
      <c r="I608" s="238"/>
      <c r="J608" s="238"/>
      <c r="K608" s="238"/>
      <c r="L608" s="238"/>
      <c r="M608" s="238"/>
      <c r="N608" s="238"/>
      <c r="O608" s="238"/>
      <c r="P608" s="238"/>
      <c r="Q608" s="238"/>
      <c r="R608" s="238"/>
      <c r="S608" s="238"/>
      <c r="T608" s="238"/>
      <c r="U608" s="238"/>
      <c r="V608" s="238"/>
      <c r="W608" s="238"/>
      <c r="X608" s="238"/>
      <c r="Y608" s="238"/>
      <c r="Z608" s="238"/>
    </row>
    <row r="609" spans="1:26" ht="16.5" customHeight="1">
      <c r="A609" s="238"/>
      <c r="B609" s="238"/>
      <c r="C609" s="238"/>
      <c r="D609" s="238"/>
      <c r="E609" s="238"/>
      <c r="F609" s="238"/>
      <c r="G609" s="238"/>
      <c r="H609" s="238"/>
      <c r="I609" s="238"/>
      <c r="J609" s="238"/>
      <c r="K609" s="238"/>
      <c r="L609" s="238"/>
      <c r="M609" s="238"/>
      <c r="N609" s="238"/>
      <c r="O609" s="238"/>
      <c r="P609" s="238"/>
      <c r="Q609" s="238"/>
      <c r="R609" s="238"/>
      <c r="S609" s="238"/>
      <c r="T609" s="238"/>
      <c r="U609" s="238"/>
      <c r="V609" s="238"/>
      <c r="W609" s="238"/>
      <c r="X609" s="238"/>
      <c r="Y609" s="238"/>
      <c r="Z609" s="238"/>
    </row>
    <row r="610" spans="1:26" ht="16.5" customHeight="1">
      <c r="A610" s="238"/>
      <c r="B610" s="238"/>
      <c r="C610" s="238"/>
      <c r="D610" s="238"/>
      <c r="E610" s="238"/>
      <c r="F610" s="238"/>
      <c r="G610" s="238"/>
      <c r="H610" s="238"/>
      <c r="I610" s="238"/>
      <c r="J610" s="238"/>
      <c r="K610" s="238"/>
      <c r="L610" s="238"/>
      <c r="M610" s="238"/>
      <c r="N610" s="238"/>
      <c r="O610" s="238"/>
      <c r="P610" s="238"/>
      <c r="Q610" s="238"/>
      <c r="R610" s="238"/>
      <c r="S610" s="238"/>
      <c r="T610" s="238"/>
      <c r="U610" s="238"/>
      <c r="V610" s="238"/>
      <c r="W610" s="238"/>
      <c r="X610" s="238"/>
      <c r="Y610" s="238"/>
      <c r="Z610" s="238"/>
    </row>
    <row r="611" spans="1:26" ht="16.5" customHeight="1">
      <c r="A611" s="238"/>
      <c r="B611" s="238"/>
      <c r="C611" s="238"/>
      <c r="D611" s="238"/>
      <c r="E611" s="238"/>
      <c r="F611" s="238"/>
      <c r="G611" s="238"/>
      <c r="H611" s="238"/>
      <c r="I611" s="238"/>
      <c r="J611" s="238"/>
      <c r="K611" s="238"/>
      <c r="L611" s="238"/>
      <c r="M611" s="238"/>
      <c r="N611" s="238"/>
      <c r="O611" s="238"/>
      <c r="P611" s="238"/>
      <c r="Q611" s="238"/>
      <c r="R611" s="238"/>
      <c r="S611" s="238"/>
      <c r="T611" s="238"/>
      <c r="U611" s="238"/>
      <c r="V611" s="238"/>
      <c r="W611" s="238"/>
      <c r="X611" s="238"/>
      <c r="Y611" s="238"/>
      <c r="Z611" s="238"/>
    </row>
    <row r="612" spans="1:26" ht="16.5" customHeight="1">
      <c r="A612" s="238"/>
      <c r="B612" s="238"/>
      <c r="C612" s="238"/>
      <c r="D612" s="238"/>
      <c r="E612" s="238"/>
      <c r="F612" s="238"/>
      <c r="G612" s="238"/>
      <c r="H612" s="238"/>
      <c r="I612" s="238"/>
      <c r="J612" s="238"/>
      <c r="K612" s="238"/>
      <c r="L612" s="238"/>
      <c r="M612" s="238"/>
      <c r="N612" s="238"/>
      <c r="O612" s="238"/>
      <c r="P612" s="238"/>
      <c r="Q612" s="238"/>
      <c r="R612" s="238"/>
      <c r="S612" s="238"/>
      <c r="T612" s="238"/>
      <c r="U612" s="238"/>
      <c r="V612" s="238"/>
      <c r="W612" s="238"/>
      <c r="X612" s="238"/>
      <c r="Y612" s="238"/>
      <c r="Z612" s="238"/>
    </row>
    <row r="613" spans="1:26" ht="16.5" customHeight="1">
      <c r="A613" s="238"/>
      <c r="B613" s="238"/>
      <c r="C613" s="238"/>
      <c r="D613" s="238"/>
      <c r="E613" s="238"/>
      <c r="F613" s="238"/>
      <c r="G613" s="238"/>
      <c r="H613" s="238"/>
      <c r="I613" s="238"/>
      <c r="J613" s="238"/>
      <c r="K613" s="238"/>
      <c r="L613" s="238"/>
      <c r="M613" s="238"/>
      <c r="N613" s="238"/>
      <c r="O613" s="238"/>
      <c r="P613" s="238"/>
      <c r="Q613" s="238"/>
      <c r="R613" s="238"/>
      <c r="S613" s="238"/>
      <c r="T613" s="238"/>
      <c r="U613" s="238"/>
      <c r="V613" s="238"/>
      <c r="W613" s="238"/>
      <c r="X613" s="238"/>
      <c r="Y613" s="238"/>
      <c r="Z613" s="238"/>
    </row>
    <row r="614" spans="1:26" ht="16.5" customHeight="1">
      <c r="A614" s="238"/>
      <c r="B614" s="238"/>
      <c r="C614" s="238"/>
      <c r="D614" s="238"/>
      <c r="E614" s="238"/>
      <c r="F614" s="238"/>
      <c r="G614" s="238"/>
      <c r="H614" s="238"/>
      <c r="I614" s="238"/>
      <c r="J614" s="238"/>
      <c r="K614" s="238"/>
      <c r="L614" s="238"/>
      <c r="M614" s="238"/>
      <c r="N614" s="238"/>
      <c r="O614" s="238"/>
      <c r="P614" s="238"/>
      <c r="Q614" s="238"/>
      <c r="R614" s="238"/>
      <c r="S614" s="238"/>
      <c r="T614" s="238"/>
      <c r="U614" s="238"/>
      <c r="V614" s="238"/>
      <c r="W614" s="238"/>
      <c r="X614" s="238"/>
      <c r="Y614" s="238"/>
      <c r="Z614" s="238"/>
    </row>
    <row r="615" spans="1:26" ht="16.5" customHeight="1">
      <c r="A615" s="238"/>
      <c r="B615" s="238"/>
      <c r="C615" s="238"/>
      <c r="D615" s="238"/>
      <c r="E615" s="238"/>
      <c r="F615" s="238"/>
      <c r="G615" s="238"/>
      <c r="H615" s="238"/>
      <c r="I615" s="238"/>
      <c r="J615" s="238"/>
      <c r="K615" s="238"/>
      <c r="L615" s="238"/>
      <c r="M615" s="238"/>
      <c r="N615" s="238"/>
      <c r="O615" s="238"/>
      <c r="P615" s="238"/>
      <c r="Q615" s="238"/>
      <c r="R615" s="238"/>
      <c r="S615" s="238"/>
      <c r="T615" s="238"/>
      <c r="U615" s="238"/>
      <c r="V615" s="238"/>
      <c r="W615" s="238"/>
      <c r="X615" s="238"/>
      <c r="Y615" s="238"/>
      <c r="Z615" s="238"/>
    </row>
    <row r="616" spans="1:26" ht="16.5" customHeight="1">
      <c r="A616" s="238"/>
      <c r="B616" s="238"/>
      <c r="C616" s="238"/>
      <c r="D616" s="238"/>
      <c r="E616" s="238"/>
      <c r="F616" s="238"/>
      <c r="G616" s="238"/>
      <c r="H616" s="238"/>
      <c r="I616" s="238"/>
      <c r="J616" s="238"/>
      <c r="K616" s="238"/>
      <c r="L616" s="238"/>
      <c r="M616" s="238"/>
      <c r="N616" s="238"/>
      <c r="O616" s="238"/>
      <c r="P616" s="238"/>
      <c r="Q616" s="238"/>
      <c r="R616" s="238"/>
      <c r="S616" s="238"/>
      <c r="T616" s="238"/>
      <c r="U616" s="238"/>
      <c r="V616" s="238"/>
      <c r="W616" s="238"/>
      <c r="X616" s="238"/>
      <c r="Y616" s="238"/>
      <c r="Z616" s="238"/>
    </row>
    <row r="617" spans="1:26" ht="16.5" customHeight="1">
      <c r="A617" s="238"/>
      <c r="B617" s="238"/>
      <c r="C617" s="238"/>
      <c r="D617" s="238"/>
      <c r="E617" s="238"/>
      <c r="F617" s="238"/>
      <c r="G617" s="238"/>
      <c r="H617" s="238"/>
      <c r="I617" s="238"/>
      <c r="J617" s="238"/>
      <c r="K617" s="238"/>
      <c r="L617" s="238"/>
      <c r="M617" s="238"/>
      <c r="N617" s="238"/>
      <c r="O617" s="238"/>
      <c r="P617" s="238"/>
      <c r="Q617" s="238"/>
      <c r="R617" s="238"/>
      <c r="S617" s="238"/>
      <c r="T617" s="238"/>
      <c r="U617" s="238"/>
      <c r="V617" s="238"/>
      <c r="W617" s="238"/>
      <c r="X617" s="238"/>
      <c r="Y617" s="238"/>
      <c r="Z617" s="238"/>
    </row>
    <row r="618" spans="1:26" ht="16.5" customHeight="1">
      <c r="A618" s="238"/>
      <c r="B618" s="238"/>
      <c r="C618" s="238"/>
      <c r="D618" s="238"/>
      <c r="E618" s="238"/>
      <c r="F618" s="238"/>
      <c r="G618" s="238"/>
      <c r="H618" s="238"/>
      <c r="I618" s="238"/>
      <c r="J618" s="238"/>
      <c r="K618" s="238"/>
      <c r="L618" s="238"/>
      <c r="M618" s="238"/>
      <c r="N618" s="238"/>
      <c r="O618" s="238"/>
      <c r="P618" s="238"/>
      <c r="Q618" s="238"/>
      <c r="R618" s="238"/>
      <c r="S618" s="238"/>
      <c r="T618" s="238"/>
      <c r="U618" s="238"/>
      <c r="V618" s="238"/>
      <c r="W618" s="238"/>
      <c r="X618" s="238"/>
      <c r="Y618" s="238"/>
      <c r="Z618" s="238"/>
    </row>
    <row r="619" spans="1:26" ht="16.5" customHeight="1">
      <c r="A619" s="238"/>
      <c r="B619" s="238"/>
      <c r="C619" s="238"/>
      <c r="D619" s="238"/>
      <c r="E619" s="238"/>
      <c r="F619" s="238"/>
      <c r="G619" s="238"/>
      <c r="H619" s="238"/>
      <c r="I619" s="238"/>
      <c r="J619" s="238"/>
      <c r="K619" s="238"/>
      <c r="L619" s="238"/>
      <c r="M619" s="238"/>
      <c r="N619" s="238"/>
      <c r="O619" s="238"/>
      <c r="P619" s="238"/>
      <c r="Q619" s="238"/>
      <c r="R619" s="238"/>
      <c r="S619" s="238"/>
      <c r="T619" s="238"/>
      <c r="U619" s="238"/>
      <c r="V619" s="238"/>
      <c r="W619" s="238"/>
      <c r="X619" s="238"/>
      <c r="Y619" s="238"/>
      <c r="Z619" s="238"/>
    </row>
    <row r="620" spans="1:26" ht="16.5" customHeight="1">
      <c r="A620" s="238"/>
      <c r="B620" s="238"/>
      <c r="C620" s="238"/>
      <c r="D620" s="238"/>
      <c r="E620" s="238"/>
      <c r="F620" s="238"/>
      <c r="G620" s="238"/>
      <c r="H620" s="238"/>
      <c r="I620" s="238"/>
      <c r="J620" s="238"/>
      <c r="K620" s="238"/>
      <c r="L620" s="238"/>
      <c r="M620" s="238"/>
      <c r="N620" s="238"/>
      <c r="O620" s="238"/>
      <c r="P620" s="238"/>
      <c r="Q620" s="238"/>
      <c r="R620" s="238"/>
      <c r="S620" s="238"/>
      <c r="T620" s="238"/>
      <c r="U620" s="238"/>
      <c r="V620" s="238"/>
      <c r="W620" s="238"/>
      <c r="X620" s="238"/>
      <c r="Y620" s="238"/>
      <c r="Z620" s="238"/>
    </row>
    <row r="621" spans="1:26" ht="16.5" customHeight="1">
      <c r="A621" s="238"/>
      <c r="B621" s="238"/>
      <c r="C621" s="238"/>
      <c r="D621" s="238"/>
      <c r="E621" s="238"/>
      <c r="F621" s="238"/>
      <c r="G621" s="238"/>
      <c r="H621" s="238"/>
      <c r="I621" s="238"/>
      <c r="J621" s="238"/>
      <c r="K621" s="238"/>
      <c r="L621" s="238"/>
      <c r="M621" s="238"/>
      <c r="N621" s="238"/>
      <c r="O621" s="238"/>
      <c r="P621" s="238"/>
      <c r="Q621" s="238"/>
      <c r="R621" s="238"/>
      <c r="S621" s="238"/>
      <c r="T621" s="238"/>
      <c r="U621" s="238"/>
      <c r="V621" s="238"/>
      <c r="W621" s="238"/>
      <c r="X621" s="238"/>
      <c r="Y621" s="238"/>
      <c r="Z621" s="238"/>
    </row>
    <row r="622" spans="1:26" ht="16.5" customHeight="1">
      <c r="A622" s="238"/>
      <c r="B622" s="238"/>
      <c r="C622" s="238"/>
      <c r="D622" s="238"/>
      <c r="E622" s="238"/>
      <c r="F622" s="238"/>
      <c r="G622" s="238"/>
      <c r="H622" s="238"/>
      <c r="I622" s="238"/>
      <c r="J622" s="238"/>
      <c r="K622" s="238"/>
      <c r="L622" s="238"/>
      <c r="M622" s="238"/>
      <c r="N622" s="238"/>
      <c r="O622" s="238"/>
      <c r="P622" s="238"/>
      <c r="Q622" s="238"/>
      <c r="R622" s="238"/>
      <c r="S622" s="238"/>
      <c r="T622" s="238"/>
      <c r="U622" s="238"/>
      <c r="V622" s="238"/>
      <c r="W622" s="238"/>
      <c r="X622" s="238"/>
      <c r="Y622" s="238"/>
      <c r="Z622" s="238"/>
    </row>
    <row r="623" spans="1:26" ht="16.5" customHeight="1">
      <c r="A623" s="238"/>
      <c r="B623" s="238"/>
      <c r="C623" s="238"/>
      <c r="D623" s="238"/>
      <c r="E623" s="238"/>
      <c r="F623" s="238"/>
      <c r="G623" s="238"/>
      <c r="H623" s="238"/>
      <c r="I623" s="238"/>
      <c r="J623" s="238"/>
      <c r="K623" s="238"/>
      <c r="L623" s="238"/>
      <c r="M623" s="238"/>
      <c r="N623" s="238"/>
      <c r="O623" s="238"/>
      <c r="P623" s="238"/>
      <c r="Q623" s="238"/>
      <c r="R623" s="238"/>
      <c r="S623" s="238"/>
      <c r="T623" s="238"/>
      <c r="U623" s="238"/>
      <c r="V623" s="238"/>
      <c r="W623" s="238"/>
      <c r="X623" s="238"/>
      <c r="Y623" s="238"/>
      <c r="Z623" s="238"/>
    </row>
    <row r="624" spans="1:26" ht="16.5" customHeight="1">
      <c r="A624" s="238"/>
      <c r="B624" s="238"/>
      <c r="C624" s="238"/>
      <c r="D624" s="238"/>
      <c r="E624" s="238"/>
      <c r="F624" s="238"/>
      <c r="G624" s="238"/>
      <c r="H624" s="238"/>
      <c r="I624" s="238"/>
      <c r="J624" s="238"/>
      <c r="K624" s="238"/>
      <c r="L624" s="238"/>
      <c r="M624" s="238"/>
      <c r="N624" s="238"/>
      <c r="O624" s="238"/>
      <c r="P624" s="238"/>
      <c r="Q624" s="238"/>
      <c r="R624" s="238"/>
      <c r="S624" s="238"/>
      <c r="T624" s="238"/>
      <c r="U624" s="238"/>
      <c r="V624" s="238"/>
      <c r="W624" s="238"/>
      <c r="X624" s="238"/>
      <c r="Y624" s="238"/>
      <c r="Z624" s="238"/>
    </row>
    <row r="625" spans="1:26" ht="16.5" customHeight="1">
      <c r="A625" s="238"/>
      <c r="B625" s="238"/>
      <c r="C625" s="238"/>
      <c r="D625" s="238"/>
      <c r="E625" s="238"/>
      <c r="F625" s="238"/>
      <c r="G625" s="238"/>
      <c r="H625" s="238"/>
      <c r="I625" s="238"/>
      <c r="J625" s="238"/>
      <c r="K625" s="238"/>
      <c r="L625" s="238"/>
      <c r="M625" s="238"/>
      <c r="N625" s="238"/>
      <c r="O625" s="238"/>
      <c r="P625" s="238"/>
      <c r="Q625" s="238"/>
      <c r="R625" s="238"/>
      <c r="S625" s="238"/>
      <c r="T625" s="238"/>
      <c r="U625" s="238"/>
      <c r="V625" s="238"/>
      <c r="W625" s="238"/>
      <c r="X625" s="238"/>
      <c r="Y625" s="238"/>
      <c r="Z625" s="238"/>
    </row>
    <row r="626" spans="1:26" ht="16.5" customHeight="1">
      <c r="A626" s="238"/>
      <c r="B626" s="238"/>
      <c r="C626" s="238"/>
      <c r="D626" s="238"/>
      <c r="E626" s="238"/>
      <c r="F626" s="238"/>
      <c r="G626" s="238"/>
      <c r="H626" s="238"/>
      <c r="I626" s="238"/>
      <c r="J626" s="238"/>
      <c r="K626" s="238"/>
      <c r="L626" s="238"/>
      <c r="M626" s="238"/>
      <c r="N626" s="238"/>
      <c r="O626" s="238"/>
      <c r="P626" s="238"/>
      <c r="Q626" s="238"/>
      <c r="R626" s="238"/>
      <c r="S626" s="238"/>
      <c r="T626" s="238"/>
      <c r="U626" s="238"/>
      <c r="V626" s="238"/>
      <c r="W626" s="238"/>
      <c r="X626" s="238"/>
      <c r="Y626" s="238"/>
      <c r="Z626" s="238"/>
    </row>
    <row r="627" spans="1:26" ht="16.5" customHeight="1">
      <c r="A627" s="238"/>
      <c r="B627" s="238"/>
      <c r="C627" s="238"/>
      <c r="D627" s="238"/>
      <c r="E627" s="238"/>
      <c r="F627" s="238"/>
      <c r="G627" s="238"/>
      <c r="H627" s="238"/>
      <c r="I627" s="238"/>
      <c r="J627" s="238"/>
      <c r="K627" s="238"/>
      <c r="L627" s="238"/>
      <c r="M627" s="238"/>
      <c r="N627" s="238"/>
      <c r="O627" s="238"/>
      <c r="P627" s="238"/>
      <c r="Q627" s="238"/>
      <c r="R627" s="238"/>
      <c r="S627" s="238"/>
      <c r="T627" s="238"/>
      <c r="U627" s="238"/>
      <c r="V627" s="238"/>
      <c r="W627" s="238"/>
      <c r="X627" s="238"/>
      <c r="Y627" s="238"/>
      <c r="Z627" s="238"/>
    </row>
    <row r="628" spans="1:26" ht="16.5" customHeight="1">
      <c r="A628" s="238"/>
      <c r="B628" s="238"/>
      <c r="C628" s="238"/>
      <c r="D628" s="238"/>
      <c r="E628" s="238"/>
      <c r="F628" s="238"/>
      <c r="G628" s="238"/>
      <c r="H628" s="238"/>
      <c r="I628" s="238"/>
      <c r="J628" s="238"/>
      <c r="K628" s="238"/>
      <c r="L628" s="238"/>
      <c r="M628" s="238"/>
      <c r="N628" s="238"/>
      <c r="O628" s="238"/>
      <c r="P628" s="238"/>
      <c r="Q628" s="238"/>
      <c r="R628" s="238"/>
      <c r="S628" s="238"/>
      <c r="T628" s="238"/>
      <c r="U628" s="238"/>
      <c r="V628" s="238"/>
      <c r="W628" s="238"/>
      <c r="X628" s="238"/>
      <c r="Y628" s="238"/>
      <c r="Z628" s="238"/>
    </row>
    <row r="629" spans="1:26" ht="16.5" customHeight="1">
      <c r="A629" s="238"/>
      <c r="B629" s="238"/>
      <c r="C629" s="238"/>
      <c r="D629" s="238"/>
      <c r="E629" s="238"/>
      <c r="F629" s="238"/>
      <c r="G629" s="238"/>
      <c r="H629" s="238"/>
      <c r="I629" s="238"/>
      <c r="J629" s="238"/>
      <c r="K629" s="238"/>
      <c r="L629" s="238"/>
      <c r="M629" s="238"/>
      <c r="N629" s="238"/>
      <c r="O629" s="238"/>
      <c r="P629" s="238"/>
      <c r="Q629" s="238"/>
      <c r="R629" s="238"/>
      <c r="S629" s="238"/>
      <c r="T629" s="238"/>
      <c r="U629" s="238"/>
      <c r="V629" s="238"/>
      <c r="W629" s="238"/>
      <c r="X629" s="238"/>
      <c r="Y629" s="238"/>
      <c r="Z629" s="238"/>
    </row>
    <row r="630" spans="1:26" ht="16.5" customHeight="1">
      <c r="A630" s="238"/>
      <c r="B630" s="238"/>
      <c r="C630" s="238"/>
      <c r="D630" s="238"/>
      <c r="E630" s="238"/>
      <c r="F630" s="238"/>
      <c r="G630" s="238"/>
      <c r="H630" s="238"/>
      <c r="I630" s="238"/>
      <c r="J630" s="238"/>
      <c r="K630" s="238"/>
      <c r="L630" s="238"/>
      <c r="M630" s="238"/>
      <c r="N630" s="238"/>
      <c r="O630" s="238"/>
      <c r="P630" s="238"/>
      <c r="Q630" s="238"/>
      <c r="R630" s="238"/>
      <c r="S630" s="238"/>
      <c r="T630" s="238"/>
      <c r="U630" s="238"/>
      <c r="V630" s="238"/>
      <c r="W630" s="238"/>
      <c r="X630" s="238"/>
      <c r="Y630" s="238"/>
      <c r="Z630" s="238"/>
    </row>
    <row r="631" spans="1:26" ht="16.5" customHeight="1">
      <c r="A631" s="238"/>
      <c r="B631" s="238"/>
      <c r="C631" s="238"/>
      <c r="D631" s="238"/>
      <c r="E631" s="238"/>
      <c r="F631" s="238"/>
      <c r="G631" s="238"/>
      <c r="H631" s="238"/>
      <c r="I631" s="238"/>
      <c r="J631" s="238"/>
      <c r="K631" s="238"/>
      <c r="L631" s="238"/>
      <c r="M631" s="238"/>
      <c r="N631" s="238"/>
      <c r="O631" s="238"/>
      <c r="P631" s="238"/>
      <c r="Q631" s="238"/>
      <c r="R631" s="238"/>
      <c r="S631" s="238"/>
      <c r="T631" s="238"/>
      <c r="U631" s="238"/>
      <c r="V631" s="238"/>
      <c r="W631" s="238"/>
      <c r="X631" s="238"/>
      <c r="Y631" s="238"/>
      <c r="Z631" s="238"/>
    </row>
    <row r="632" spans="1:26" ht="16.5" customHeight="1">
      <c r="A632" s="238"/>
      <c r="B632" s="238"/>
      <c r="C632" s="238"/>
      <c r="D632" s="238"/>
      <c r="E632" s="238"/>
      <c r="F632" s="238"/>
      <c r="G632" s="238"/>
      <c r="H632" s="238"/>
      <c r="I632" s="238"/>
      <c r="J632" s="238"/>
      <c r="K632" s="238"/>
      <c r="L632" s="238"/>
      <c r="M632" s="238"/>
      <c r="N632" s="238"/>
      <c r="O632" s="238"/>
      <c r="P632" s="238"/>
      <c r="Q632" s="238"/>
      <c r="R632" s="238"/>
      <c r="S632" s="238"/>
      <c r="T632" s="238"/>
      <c r="U632" s="238"/>
      <c r="V632" s="238"/>
      <c r="W632" s="238"/>
      <c r="X632" s="238"/>
      <c r="Y632" s="238"/>
      <c r="Z632" s="238"/>
    </row>
    <row r="633" spans="1:26" ht="16.5" customHeight="1">
      <c r="A633" s="238"/>
      <c r="B633" s="238"/>
      <c r="C633" s="238"/>
      <c r="D633" s="238"/>
      <c r="E633" s="238"/>
      <c r="F633" s="238"/>
      <c r="G633" s="238"/>
      <c r="H633" s="238"/>
      <c r="I633" s="238"/>
      <c r="J633" s="238"/>
      <c r="K633" s="238"/>
      <c r="L633" s="238"/>
      <c r="M633" s="238"/>
      <c r="N633" s="238"/>
      <c r="O633" s="238"/>
      <c r="P633" s="238"/>
      <c r="Q633" s="238"/>
      <c r="R633" s="238"/>
      <c r="S633" s="238"/>
      <c r="T633" s="238"/>
      <c r="U633" s="238"/>
      <c r="V633" s="238"/>
      <c r="W633" s="238"/>
      <c r="X633" s="238"/>
      <c r="Y633" s="238"/>
      <c r="Z633" s="238"/>
    </row>
    <row r="634" spans="1:26" ht="16.5" customHeight="1">
      <c r="A634" s="238"/>
      <c r="B634" s="238"/>
      <c r="C634" s="238"/>
      <c r="D634" s="238"/>
      <c r="E634" s="238"/>
      <c r="F634" s="238"/>
      <c r="G634" s="238"/>
      <c r="H634" s="238"/>
      <c r="I634" s="238"/>
      <c r="J634" s="238"/>
      <c r="K634" s="238"/>
      <c r="L634" s="238"/>
      <c r="M634" s="238"/>
      <c r="N634" s="238"/>
      <c r="O634" s="238"/>
      <c r="P634" s="238"/>
      <c r="Q634" s="238"/>
      <c r="R634" s="238"/>
      <c r="S634" s="238"/>
      <c r="T634" s="238"/>
      <c r="U634" s="238"/>
      <c r="V634" s="238"/>
      <c r="W634" s="238"/>
      <c r="X634" s="238"/>
      <c r="Y634" s="238"/>
      <c r="Z634" s="238"/>
    </row>
    <row r="635" spans="1:26" ht="16.5" customHeight="1">
      <c r="A635" s="238"/>
      <c r="B635" s="238"/>
      <c r="C635" s="238"/>
      <c r="D635" s="238"/>
      <c r="E635" s="238"/>
      <c r="F635" s="238"/>
      <c r="G635" s="238"/>
      <c r="H635" s="238"/>
      <c r="I635" s="238"/>
      <c r="J635" s="238"/>
      <c r="K635" s="238"/>
      <c r="L635" s="238"/>
      <c r="M635" s="238"/>
      <c r="N635" s="238"/>
      <c r="O635" s="238"/>
      <c r="P635" s="238"/>
      <c r="Q635" s="238"/>
      <c r="R635" s="238"/>
      <c r="S635" s="238"/>
      <c r="T635" s="238"/>
      <c r="U635" s="238"/>
      <c r="V635" s="238"/>
      <c r="W635" s="238"/>
      <c r="X635" s="238"/>
      <c r="Y635" s="238"/>
      <c r="Z635" s="238"/>
    </row>
    <row r="636" spans="1:26" ht="16.5" customHeight="1">
      <c r="A636" s="238"/>
      <c r="B636" s="238"/>
      <c r="C636" s="238"/>
      <c r="D636" s="238"/>
      <c r="E636" s="238"/>
      <c r="F636" s="238"/>
      <c r="G636" s="238"/>
      <c r="H636" s="238"/>
      <c r="I636" s="238"/>
      <c r="J636" s="238"/>
      <c r="K636" s="238"/>
      <c r="L636" s="238"/>
      <c r="M636" s="238"/>
      <c r="N636" s="238"/>
      <c r="O636" s="238"/>
      <c r="P636" s="238"/>
      <c r="Q636" s="238"/>
      <c r="R636" s="238"/>
      <c r="S636" s="238"/>
      <c r="T636" s="238"/>
      <c r="U636" s="238"/>
      <c r="V636" s="238"/>
      <c r="W636" s="238"/>
      <c r="X636" s="238"/>
      <c r="Y636" s="238"/>
      <c r="Z636" s="238"/>
    </row>
    <row r="637" spans="1:26" ht="16.5" customHeight="1">
      <c r="A637" s="238"/>
      <c r="B637" s="238"/>
      <c r="C637" s="238"/>
      <c r="D637" s="238"/>
      <c r="E637" s="238"/>
      <c r="F637" s="238"/>
      <c r="G637" s="238"/>
      <c r="H637" s="238"/>
      <c r="I637" s="238"/>
      <c r="J637" s="238"/>
      <c r="K637" s="238"/>
      <c r="L637" s="238"/>
      <c r="M637" s="238"/>
      <c r="N637" s="238"/>
      <c r="O637" s="238"/>
      <c r="P637" s="238"/>
      <c r="Q637" s="238"/>
      <c r="R637" s="238"/>
      <c r="S637" s="238"/>
      <c r="T637" s="238"/>
      <c r="U637" s="238"/>
      <c r="V637" s="238"/>
      <c r="W637" s="238"/>
      <c r="X637" s="238"/>
      <c r="Y637" s="238"/>
      <c r="Z637" s="238"/>
    </row>
    <row r="638" spans="1:26" ht="16.5" customHeight="1">
      <c r="A638" s="238"/>
      <c r="B638" s="238"/>
      <c r="C638" s="238"/>
      <c r="D638" s="238"/>
      <c r="E638" s="238"/>
      <c r="F638" s="238"/>
      <c r="G638" s="238"/>
      <c r="H638" s="238"/>
      <c r="I638" s="238"/>
      <c r="J638" s="238"/>
      <c r="K638" s="238"/>
      <c r="L638" s="238"/>
      <c r="M638" s="238"/>
      <c r="N638" s="238"/>
      <c r="O638" s="238"/>
      <c r="P638" s="238"/>
      <c r="Q638" s="238"/>
      <c r="R638" s="238"/>
      <c r="S638" s="238"/>
      <c r="T638" s="238"/>
      <c r="U638" s="238"/>
      <c r="V638" s="238"/>
      <c r="W638" s="238"/>
      <c r="X638" s="238"/>
      <c r="Y638" s="238"/>
      <c r="Z638" s="238"/>
    </row>
    <row r="639" spans="1:26" ht="16.5" customHeight="1">
      <c r="A639" s="238"/>
      <c r="B639" s="238"/>
      <c r="C639" s="238"/>
      <c r="D639" s="238"/>
      <c r="E639" s="238"/>
      <c r="F639" s="238"/>
      <c r="G639" s="238"/>
      <c r="H639" s="238"/>
      <c r="I639" s="238"/>
      <c r="J639" s="238"/>
      <c r="K639" s="238"/>
      <c r="L639" s="238"/>
      <c r="M639" s="238"/>
      <c r="N639" s="238"/>
      <c r="O639" s="238"/>
      <c r="P639" s="238"/>
      <c r="Q639" s="238"/>
      <c r="R639" s="238"/>
      <c r="S639" s="238"/>
      <c r="T639" s="238"/>
      <c r="U639" s="238"/>
      <c r="V639" s="238"/>
      <c r="W639" s="238"/>
      <c r="X639" s="238"/>
      <c r="Y639" s="238"/>
      <c r="Z639" s="238"/>
    </row>
    <row r="640" spans="1:26" ht="16.5" customHeight="1">
      <c r="A640" s="238"/>
      <c r="B640" s="238"/>
      <c r="C640" s="238"/>
      <c r="D640" s="238"/>
      <c r="E640" s="238"/>
      <c r="F640" s="238"/>
      <c r="G640" s="238"/>
      <c r="H640" s="238"/>
      <c r="I640" s="238"/>
      <c r="J640" s="238"/>
      <c r="K640" s="238"/>
      <c r="L640" s="238"/>
      <c r="M640" s="238"/>
      <c r="N640" s="238"/>
      <c r="O640" s="238"/>
      <c r="P640" s="238"/>
      <c r="Q640" s="238"/>
      <c r="R640" s="238"/>
      <c r="S640" s="238"/>
      <c r="T640" s="238"/>
      <c r="U640" s="238"/>
      <c r="V640" s="238"/>
      <c r="W640" s="238"/>
      <c r="X640" s="238"/>
      <c r="Y640" s="238"/>
      <c r="Z640" s="238"/>
    </row>
    <row r="641" spans="1:26" ht="16.5" customHeight="1">
      <c r="A641" s="238"/>
      <c r="B641" s="238"/>
      <c r="C641" s="238"/>
      <c r="D641" s="238"/>
      <c r="E641" s="238"/>
      <c r="F641" s="238"/>
      <c r="G641" s="238"/>
      <c r="H641" s="238"/>
      <c r="I641" s="238"/>
      <c r="J641" s="238"/>
      <c r="K641" s="238"/>
      <c r="L641" s="238"/>
      <c r="M641" s="238"/>
      <c r="N641" s="238"/>
      <c r="O641" s="238"/>
      <c r="P641" s="238"/>
      <c r="Q641" s="238"/>
      <c r="R641" s="238"/>
      <c r="S641" s="238"/>
      <c r="T641" s="238"/>
      <c r="U641" s="238"/>
      <c r="V641" s="238"/>
      <c r="W641" s="238"/>
      <c r="X641" s="238"/>
      <c r="Y641" s="238"/>
      <c r="Z641" s="238"/>
    </row>
    <row r="642" spans="1:26" ht="16.5" customHeight="1">
      <c r="A642" s="238"/>
      <c r="B642" s="238"/>
      <c r="C642" s="238"/>
      <c r="D642" s="238"/>
      <c r="E642" s="238"/>
      <c r="F642" s="238"/>
      <c r="G642" s="238"/>
      <c r="H642" s="238"/>
      <c r="I642" s="238"/>
      <c r="J642" s="238"/>
      <c r="K642" s="238"/>
      <c r="L642" s="238"/>
      <c r="M642" s="238"/>
      <c r="N642" s="238"/>
      <c r="O642" s="238"/>
      <c r="P642" s="238"/>
      <c r="Q642" s="238"/>
      <c r="R642" s="238"/>
      <c r="S642" s="238"/>
      <c r="T642" s="238"/>
      <c r="U642" s="238"/>
      <c r="V642" s="238"/>
      <c r="W642" s="238"/>
      <c r="X642" s="238"/>
      <c r="Y642" s="238"/>
      <c r="Z642" s="238"/>
    </row>
    <row r="643" spans="1:26" ht="16.5" customHeight="1">
      <c r="A643" s="238"/>
      <c r="B643" s="238"/>
      <c r="C643" s="238"/>
      <c r="D643" s="238"/>
      <c r="E643" s="238"/>
      <c r="F643" s="238"/>
      <c r="G643" s="238"/>
      <c r="H643" s="238"/>
      <c r="I643" s="238"/>
      <c r="J643" s="238"/>
      <c r="K643" s="238"/>
      <c r="L643" s="238"/>
      <c r="M643" s="238"/>
      <c r="N643" s="238"/>
      <c r="O643" s="238"/>
      <c r="P643" s="238"/>
      <c r="Q643" s="238"/>
      <c r="R643" s="238"/>
      <c r="S643" s="238"/>
      <c r="T643" s="238"/>
      <c r="U643" s="238"/>
      <c r="V643" s="238"/>
      <c r="W643" s="238"/>
      <c r="X643" s="238"/>
      <c r="Y643" s="238"/>
      <c r="Z643" s="238"/>
    </row>
    <row r="644" spans="1:26" ht="16.5" customHeight="1">
      <c r="A644" s="238"/>
      <c r="B644" s="238"/>
      <c r="C644" s="238"/>
      <c r="D644" s="238"/>
      <c r="E644" s="238"/>
      <c r="F644" s="238"/>
      <c r="G644" s="238"/>
      <c r="H644" s="238"/>
      <c r="I644" s="238"/>
      <c r="J644" s="238"/>
      <c r="K644" s="238"/>
      <c r="L644" s="238"/>
      <c r="M644" s="238"/>
      <c r="N644" s="238"/>
      <c r="O644" s="238"/>
      <c r="P644" s="238"/>
      <c r="Q644" s="238"/>
      <c r="R644" s="238"/>
      <c r="S644" s="238"/>
      <c r="T644" s="238"/>
      <c r="U644" s="238"/>
      <c r="V644" s="238"/>
      <c r="W644" s="238"/>
      <c r="X644" s="238"/>
      <c r="Y644" s="238"/>
      <c r="Z644" s="238"/>
    </row>
    <row r="645" spans="1:26" ht="16.5" customHeight="1">
      <c r="A645" s="238"/>
      <c r="B645" s="238"/>
      <c r="C645" s="238"/>
      <c r="D645" s="238"/>
      <c r="E645" s="238"/>
      <c r="F645" s="238"/>
      <c r="G645" s="238"/>
      <c r="H645" s="238"/>
      <c r="I645" s="238"/>
      <c r="J645" s="238"/>
      <c r="K645" s="238"/>
      <c r="L645" s="238"/>
      <c r="M645" s="238"/>
      <c r="N645" s="238"/>
      <c r="O645" s="238"/>
      <c r="P645" s="238"/>
      <c r="Q645" s="238"/>
      <c r="R645" s="238"/>
      <c r="S645" s="238"/>
      <c r="T645" s="238"/>
      <c r="U645" s="238"/>
      <c r="V645" s="238"/>
      <c r="W645" s="238"/>
      <c r="X645" s="238"/>
      <c r="Y645" s="238"/>
      <c r="Z645" s="238"/>
    </row>
    <row r="646" spans="1:26" ht="16.5" customHeight="1">
      <c r="A646" s="238"/>
      <c r="B646" s="238"/>
      <c r="C646" s="238"/>
      <c r="D646" s="238"/>
      <c r="E646" s="238"/>
      <c r="F646" s="238"/>
      <c r="G646" s="238"/>
      <c r="H646" s="238"/>
      <c r="I646" s="238"/>
      <c r="J646" s="238"/>
      <c r="K646" s="238"/>
      <c r="L646" s="238"/>
      <c r="M646" s="238"/>
      <c r="N646" s="238"/>
      <c r="O646" s="238"/>
      <c r="P646" s="238"/>
      <c r="Q646" s="238"/>
      <c r="R646" s="238"/>
      <c r="S646" s="238"/>
      <c r="T646" s="238"/>
      <c r="U646" s="238"/>
      <c r="V646" s="238"/>
      <c r="W646" s="238"/>
      <c r="X646" s="238"/>
      <c r="Y646" s="238"/>
      <c r="Z646" s="238"/>
    </row>
    <row r="647" spans="1:26" ht="16.5" customHeight="1">
      <c r="A647" s="238"/>
      <c r="B647" s="238"/>
      <c r="C647" s="238"/>
      <c r="D647" s="238"/>
      <c r="E647" s="238"/>
      <c r="F647" s="238"/>
      <c r="G647" s="238"/>
      <c r="H647" s="238"/>
      <c r="I647" s="238"/>
      <c r="J647" s="238"/>
      <c r="K647" s="238"/>
      <c r="L647" s="238"/>
      <c r="M647" s="238"/>
      <c r="N647" s="238"/>
      <c r="O647" s="238"/>
      <c r="P647" s="238"/>
      <c r="Q647" s="238"/>
      <c r="R647" s="238"/>
      <c r="S647" s="238"/>
      <c r="T647" s="238"/>
      <c r="U647" s="238"/>
      <c r="V647" s="238"/>
      <c r="W647" s="238"/>
      <c r="X647" s="238"/>
      <c r="Y647" s="238"/>
      <c r="Z647" s="238"/>
    </row>
    <row r="648" spans="1:26" ht="16.5" customHeight="1">
      <c r="A648" s="238"/>
      <c r="B648" s="238"/>
      <c r="C648" s="238"/>
      <c r="D648" s="238"/>
      <c r="E648" s="238"/>
      <c r="F648" s="238"/>
      <c r="G648" s="238"/>
      <c r="H648" s="238"/>
      <c r="I648" s="238"/>
      <c r="J648" s="238"/>
      <c r="K648" s="238"/>
      <c r="L648" s="238"/>
      <c r="M648" s="238"/>
      <c r="N648" s="238"/>
      <c r="O648" s="238"/>
      <c r="P648" s="238"/>
      <c r="Q648" s="238"/>
      <c r="R648" s="238"/>
      <c r="S648" s="238"/>
      <c r="T648" s="238"/>
      <c r="U648" s="238"/>
      <c r="V648" s="238"/>
      <c r="W648" s="238"/>
      <c r="X648" s="238"/>
      <c r="Y648" s="238"/>
      <c r="Z648" s="238"/>
    </row>
    <row r="649" spans="1:26" ht="16.5" customHeight="1">
      <c r="A649" s="238"/>
      <c r="B649" s="238"/>
      <c r="C649" s="238"/>
      <c r="D649" s="238"/>
      <c r="E649" s="238"/>
      <c r="F649" s="238"/>
      <c r="G649" s="238"/>
      <c r="H649" s="238"/>
      <c r="I649" s="238"/>
      <c r="J649" s="238"/>
      <c r="K649" s="238"/>
      <c r="L649" s="238"/>
      <c r="M649" s="238"/>
      <c r="N649" s="238"/>
      <c r="O649" s="238"/>
      <c r="P649" s="238"/>
      <c r="Q649" s="238"/>
      <c r="R649" s="238"/>
      <c r="S649" s="238"/>
      <c r="T649" s="238"/>
      <c r="U649" s="238"/>
      <c r="V649" s="238"/>
      <c r="W649" s="238"/>
      <c r="X649" s="238"/>
      <c r="Y649" s="238"/>
      <c r="Z649" s="238"/>
    </row>
    <row r="650" spans="1:26" ht="16.5" customHeight="1">
      <c r="A650" s="238"/>
      <c r="B650" s="238"/>
      <c r="C650" s="238"/>
      <c r="D650" s="238"/>
      <c r="E650" s="238"/>
      <c r="F650" s="238"/>
      <c r="G650" s="238"/>
      <c r="H650" s="238"/>
      <c r="I650" s="238"/>
      <c r="J650" s="238"/>
      <c r="K650" s="238"/>
      <c r="L650" s="238"/>
      <c r="M650" s="238"/>
      <c r="N650" s="238"/>
      <c r="O650" s="238"/>
      <c r="P650" s="238"/>
      <c r="Q650" s="238"/>
      <c r="R650" s="238"/>
      <c r="S650" s="238"/>
      <c r="T650" s="238"/>
      <c r="U650" s="238"/>
      <c r="V650" s="238"/>
      <c r="W650" s="238"/>
      <c r="X650" s="238"/>
      <c r="Y650" s="238"/>
      <c r="Z650" s="238"/>
    </row>
    <row r="651" spans="1:26" ht="16.5" customHeight="1">
      <c r="A651" s="238"/>
      <c r="B651" s="238"/>
      <c r="C651" s="238"/>
      <c r="D651" s="238"/>
      <c r="E651" s="238"/>
      <c r="F651" s="238"/>
      <c r="G651" s="238"/>
      <c r="H651" s="238"/>
      <c r="I651" s="238"/>
      <c r="J651" s="238"/>
      <c r="K651" s="238"/>
      <c r="L651" s="238"/>
      <c r="M651" s="238"/>
      <c r="N651" s="238"/>
      <c r="O651" s="238"/>
      <c r="P651" s="238"/>
      <c r="Q651" s="238"/>
      <c r="R651" s="238"/>
      <c r="S651" s="238"/>
      <c r="T651" s="238"/>
      <c r="U651" s="238"/>
      <c r="V651" s="238"/>
      <c r="W651" s="238"/>
      <c r="X651" s="238"/>
      <c r="Y651" s="238"/>
      <c r="Z651" s="238"/>
    </row>
    <row r="652" spans="1:26" ht="16.5" customHeight="1">
      <c r="A652" s="238"/>
      <c r="B652" s="238"/>
      <c r="C652" s="238"/>
      <c r="D652" s="238"/>
      <c r="E652" s="238"/>
      <c r="F652" s="238"/>
      <c r="G652" s="238"/>
      <c r="H652" s="238"/>
      <c r="I652" s="238"/>
      <c r="J652" s="238"/>
      <c r="K652" s="238"/>
      <c r="L652" s="238"/>
      <c r="M652" s="238"/>
      <c r="N652" s="238"/>
      <c r="O652" s="238"/>
      <c r="P652" s="238"/>
      <c r="Q652" s="238"/>
      <c r="R652" s="238"/>
      <c r="S652" s="238"/>
      <c r="T652" s="238"/>
      <c r="U652" s="238"/>
      <c r="V652" s="238"/>
      <c r="W652" s="238"/>
      <c r="X652" s="238"/>
      <c r="Y652" s="238"/>
      <c r="Z652" s="238"/>
    </row>
    <row r="653" spans="1:26" ht="16.5" customHeight="1">
      <c r="A653" s="238"/>
      <c r="B653" s="238"/>
      <c r="C653" s="238"/>
      <c r="D653" s="238"/>
      <c r="E653" s="238"/>
      <c r="F653" s="238"/>
      <c r="G653" s="238"/>
      <c r="H653" s="238"/>
      <c r="I653" s="238"/>
      <c r="J653" s="238"/>
      <c r="K653" s="238"/>
      <c r="L653" s="238"/>
      <c r="M653" s="238"/>
      <c r="N653" s="238"/>
      <c r="O653" s="238"/>
      <c r="P653" s="238"/>
      <c r="Q653" s="238"/>
      <c r="R653" s="238"/>
      <c r="S653" s="238"/>
      <c r="T653" s="238"/>
      <c r="U653" s="238"/>
      <c r="V653" s="238"/>
      <c r="W653" s="238"/>
      <c r="X653" s="238"/>
      <c r="Y653" s="238"/>
      <c r="Z653" s="238"/>
    </row>
    <row r="654" spans="1:26" ht="16.5" customHeight="1">
      <c r="A654" s="238"/>
      <c r="B654" s="238"/>
      <c r="C654" s="238"/>
      <c r="D654" s="238"/>
      <c r="E654" s="238"/>
      <c r="F654" s="238"/>
      <c r="G654" s="238"/>
      <c r="H654" s="238"/>
      <c r="I654" s="238"/>
      <c r="J654" s="238"/>
      <c r="K654" s="238"/>
      <c r="L654" s="238"/>
      <c r="M654" s="238"/>
      <c r="N654" s="238"/>
      <c r="O654" s="238"/>
      <c r="P654" s="238"/>
      <c r="Q654" s="238"/>
      <c r="R654" s="238"/>
      <c r="S654" s="238"/>
      <c r="T654" s="238"/>
      <c r="U654" s="238"/>
      <c r="V654" s="238"/>
      <c r="W654" s="238"/>
      <c r="X654" s="238"/>
      <c r="Y654" s="238"/>
      <c r="Z654" s="238"/>
    </row>
    <row r="655" spans="1:26" ht="16.5" customHeight="1">
      <c r="A655" s="238"/>
      <c r="B655" s="238"/>
      <c r="C655" s="238"/>
      <c r="D655" s="238"/>
      <c r="E655" s="238"/>
      <c r="F655" s="238"/>
      <c r="G655" s="238"/>
      <c r="H655" s="238"/>
      <c r="I655" s="238"/>
      <c r="J655" s="238"/>
      <c r="K655" s="238"/>
      <c r="L655" s="238"/>
      <c r="M655" s="238"/>
      <c r="N655" s="238"/>
      <c r="O655" s="238"/>
      <c r="P655" s="238"/>
      <c r="Q655" s="238"/>
      <c r="R655" s="238"/>
      <c r="S655" s="238"/>
      <c r="T655" s="238"/>
      <c r="U655" s="238"/>
      <c r="V655" s="238"/>
      <c r="W655" s="238"/>
      <c r="X655" s="238"/>
      <c r="Y655" s="238"/>
      <c r="Z655" s="238"/>
    </row>
    <row r="656" spans="1:26" ht="16.5" customHeight="1">
      <c r="A656" s="238"/>
      <c r="B656" s="238"/>
      <c r="C656" s="238"/>
      <c r="D656" s="238"/>
      <c r="E656" s="238"/>
      <c r="F656" s="238"/>
      <c r="G656" s="238"/>
      <c r="H656" s="238"/>
      <c r="I656" s="238"/>
      <c r="J656" s="238"/>
      <c r="K656" s="238"/>
      <c r="L656" s="238"/>
      <c r="M656" s="238"/>
      <c r="N656" s="238"/>
      <c r="O656" s="238"/>
      <c r="P656" s="238"/>
      <c r="Q656" s="238"/>
      <c r="R656" s="238"/>
      <c r="S656" s="238"/>
      <c r="T656" s="238"/>
      <c r="U656" s="238"/>
      <c r="V656" s="238"/>
      <c r="W656" s="238"/>
      <c r="X656" s="238"/>
      <c r="Y656" s="238"/>
      <c r="Z656" s="238"/>
    </row>
    <row r="657" spans="1:26" ht="16.5" customHeight="1">
      <c r="A657" s="238"/>
      <c r="B657" s="238"/>
      <c r="C657" s="238"/>
      <c r="D657" s="238"/>
      <c r="E657" s="238"/>
      <c r="F657" s="238"/>
      <c r="G657" s="238"/>
      <c r="H657" s="238"/>
      <c r="I657" s="238"/>
      <c r="J657" s="238"/>
      <c r="K657" s="238"/>
      <c r="L657" s="238"/>
      <c r="M657" s="238"/>
      <c r="N657" s="238"/>
      <c r="O657" s="238"/>
      <c r="P657" s="238"/>
      <c r="Q657" s="238"/>
      <c r="R657" s="238"/>
      <c r="S657" s="238"/>
      <c r="T657" s="238"/>
      <c r="U657" s="238"/>
      <c r="V657" s="238"/>
      <c r="W657" s="238"/>
      <c r="X657" s="238"/>
      <c r="Y657" s="238"/>
      <c r="Z657" s="238"/>
    </row>
    <row r="658" spans="1:26" ht="16.5" customHeight="1">
      <c r="A658" s="238"/>
      <c r="B658" s="238"/>
      <c r="C658" s="238"/>
      <c r="D658" s="238"/>
      <c r="E658" s="238"/>
      <c r="F658" s="238"/>
      <c r="G658" s="238"/>
      <c r="H658" s="238"/>
      <c r="I658" s="238"/>
      <c r="J658" s="238"/>
      <c r="K658" s="238"/>
      <c r="L658" s="238"/>
      <c r="M658" s="238"/>
      <c r="N658" s="238"/>
      <c r="O658" s="238"/>
      <c r="P658" s="238"/>
      <c r="Q658" s="238"/>
      <c r="R658" s="238"/>
      <c r="S658" s="238"/>
      <c r="T658" s="238"/>
      <c r="U658" s="238"/>
      <c r="V658" s="238"/>
      <c r="W658" s="238"/>
      <c r="X658" s="238"/>
      <c r="Y658" s="238"/>
      <c r="Z658" s="238"/>
    </row>
    <row r="659" spans="1:26" ht="16.5" customHeight="1">
      <c r="A659" s="238"/>
      <c r="B659" s="238"/>
      <c r="C659" s="238"/>
      <c r="D659" s="238"/>
      <c r="E659" s="238"/>
      <c r="F659" s="238"/>
      <c r="G659" s="238"/>
      <c r="H659" s="238"/>
      <c r="I659" s="238"/>
      <c r="J659" s="238"/>
      <c r="K659" s="238"/>
      <c r="L659" s="238"/>
      <c r="M659" s="238"/>
      <c r="N659" s="238"/>
      <c r="O659" s="238"/>
      <c r="P659" s="238"/>
      <c r="Q659" s="238"/>
      <c r="R659" s="238"/>
      <c r="S659" s="238"/>
      <c r="T659" s="238"/>
      <c r="U659" s="238"/>
      <c r="V659" s="238"/>
      <c r="W659" s="238"/>
      <c r="X659" s="238"/>
      <c r="Y659" s="238"/>
      <c r="Z659" s="238"/>
    </row>
    <row r="660" spans="1:26" ht="16.5" customHeight="1">
      <c r="A660" s="238"/>
      <c r="B660" s="238"/>
      <c r="C660" s="238"/>
      <c r="D660" s="238"/>
      <c r="E660" s="238"/>
      <c r="F660" s="238"/>
      <c r="G660" s="238"/>
      <c r="H660" s="238"/>
      <c r="I660" s="238"/>
      <c r="J660" s="238"/>
      <c r="K660" s="238"/>
      <c r="L660" s="238"/>
      <c r="M660" s="238"/>
      <c r="N660" s="238"/>
      <c r="O660" s="238"/>
      <c r="P660" s="238"/>
      <c r="Q660" s="238"/>
      <c r="R660" s="238"/>
      <c r="S660" s="238"/>
      <c r="T660" s="238"/>
      <c r="U660" s="238"/>
      <c r="V660" s="238"/>
      <c r="W660" s="238"/>
      <c r="X660" s="238"/>
      <c r="Y660" s="238"/>
      <c r="Z660" s="238"/>
    </row>
    <row r="661" spans="1:26" ht="16.5" customHeight="1">
      <c r="A661" s="238"/>
      <c r="B661" s="238"/>
      <c r="C661" s="238"/>
      <c r="D661" s="238"/>
      <c r="E661" s="238"/>
      <c r="F661" s="238"/>
      <c r="G661" s="238"/>
      <c r="H661" s="238"/>
      <c r="I661" s="238"/>
      <c r="J661" s="238"/>
      <c r="K661" s="238"/>
      <c r="L661" s="238"/>
      <c r="M661" s="238"/>
      <c r="N661" s="238"/>
      <c r="O661" s="238"/>
      <c r="P661" s="238"/>
      <c r="Q661" s="238"/>
      <c r="R661" s="238"/>
      <c r="S661" s="238"/>
      <c r="T661" s="238"/>
      <c r="U661" s="238"/>
      <c r="V661" s="238"/>
      <c r="W661" s="238"/>
      <c r="X661" s="238"/>
      <c r="Y661" s="238"/>
      <c r="Z661" s="238"/>
    </row>
    <row r="662" spans="1:26" ht="16.5" customHeight="1">
      <c r="A662" s="238"/>
      <c r="B662" s="238"/>
      <c r="C662" s="238"/>
      <c r="D662" s="238"/>
      <c r="E662" s="238"/>
      <c r="F662" s="238"/>
      <c r="G662" s="238"/>
      <c r="H662" s="238"/>
      <c r="I662" s="238"/>
      <c r="J662" s="238"/>
      <c r="K662" s="238"/>
      <c r="L662" s="238"/>
      <c r="M662" s="238"/>
      <c r="N662" s="238"/>
      <c r="O662" s="238"/>
      <c r="P662" s="238"/>
      <c r="Q662" s="238"/>
      <c r="R662" s="238"/>
      <c r="S662" s="238"/>
      <c r="T662" s="238"/>
      <c r="U662" s="238"/>
      <c r="V662" s="238"/>
      <c r="W662" s="238"/>
      <c r="X662" s="238"/>
      <c r="Y662" s="238"/>
      <c r="Z662" s="238"/>
    </row>
    <row r="663" spans="1:26" ht="16.5" customHeight="1">
      <c r="A663" s="238"/>
      <c r="B663" s="238"/>
      <c r="C663" s="238"/>
      <c r="D663" s="238"/>
      <c r="E663" s="238"/>
      <c r="F663" s="238"/>
      <c r="G663" s="238"/>
      <c r="H663" s="238"/>
      <c r="I663" s="238"/>
      <c r="J663" s="238"/>
      <c r="K663" s="238"/>
      <c r="L663" s="238"/>
      <c r="M663" s="238"/>
      <c r="N663" s="238"/>
      <c r="O663" s="238"/>
      <c r="P663" s="238"/>
      <c r="Q663" s="238"/>
      <c r="R663" s="238"/>
      <c r="S663" s="238"/>
      <c r="T663" s="238"/>
      <c r="U663" s="238"/>
      <c r="V663" s="238"/>
      <c r="W663" s="238"/>
      <c r="X663" s="238"/>
      <c r="Y663" s="238"/>
      <c r="Z663" s="238"/>
    </row>
    <row r="664" spans="1:26" ht="16.5" customHeight="1">
      <c r="A664" s="238"/>
      <c r="B664" s="238"/>
      <c r="C664" s="238"/>
      <c r="D664" s="238"/>
      <c r="E664" s="238"/>
      <c r="F664" s="238"/>
      <c r="G664" s="238"/>
      <c r="H664" s="238"/>
      <c r="I664" s="238"/>
      <c r="J664" s="238"/>
      <c r="K664" s="238"/>
      <c r="L664" s="238"/>
      <c r="M664" s="238"/>
      <c r="N664" s="238"/>
      <c r="O664" s="238"/>
      <c r="P664" s="238"/>
      <c r="Q664" s="238"/>
      <c r="R664" s="238"/>
      <c r="S664" s="238"/>
      <c r="T664" s="238"/>
      <c r="U664" s="238"/>
      <c r="V664" s="238"/>
      <c r="W664" s="238"/>
      <c r="X664" s="238"/>
      <c r="Y664" s="238"/>
      <c r="Z664" s="238"/>
    </row>
    <row r="665" spans="1:26" ht="16.5" customHeight="1">
      <c r="A665" s="238"/>
      <c r="B665" s="238"/>
      <c r="C665" s="238"/>
      <c r="D665" s="238"/>
      <c r="E665" s="238"/>
      <c r="F665" s="238"/>
      <c r="G665" s="238"/>
      <c r="H665" s="238"/>
      <c r="I665" s="238"/>
      <c r="J665" s="238"/>
      <c r="K665" s="238"/>
      <c r="L665" s="238"/>
      <c r="M665" s="238"/>
      <c r="N665" s="238"/>
      <c r="O665" s="238"/>
      <c r="P665" s="238"/>
      <c r="Q665" s="238"/>
      <c r="R665" s="238"/>
      <c r="S665" s="238"/>
      <c r="T665" s="238"/>
      <c r="U665" s="238"/>
      <c r="V665" s="238"/>
      <c r="W665" s="238"/>
      <c r="X665" s="238"/>
      <c r="Y665" s="238"/>
      <c r="Z665" s="238"/>
    </row>
    <row r="666" spans="1:26" ht="16.5" customHeight="1">
      <c r="A666" s="238"/>
      <c r="B666" s="238"/>
      <c r="C666" s="238"/>
      <c r="D666" s="238"/>
      <c r="E666" s="238"/>
      <c r="F666" s="238"/>
      <c r="G666" s="238"/>
      <c r="H666" s="238"/>
      <c r="I666" s="238"/>
      <c r="J666" s="238"/>
      <c r="K666" s="238"/>
      <c r="L666" s="238"/>
      <c r="M666" s="238"/>
      <c r="N666" s="238"/>
      <c r="O666" s="238"/>
      <c r="P666" s="238"/>
      <c r="Q666" s="238"/>
      <c r="R666" s="238"/>
      <c r="S666" s="238"/>
      <c r="T666" s="238"/>
      <c r="U666" s="238"/>
      <c r="V666" s="238"/>
      <c r="W666" s="238"/>
      <c r="X666" s="238"/>
      <c r="Y666" s="238"/>
      <c r="Z666" s="238"/>
    </row>
    <row r="667" spans="1:26" ht="16.5" customHeight="1">
      <c r="A667" s="238"/>
      <c r="B667" s="238"/>
      <c r="C667" s="238"/>
      <c r="D667" s="238"/>
      <c r="E667" s="238"/>
      <c r="F667" s="238"/>
      <c r="G667" s="238"/>
      <c r="H667" s="238"/>
      <c r="I667" s="238"/>
      <c r="J667" s="238"/>
      <c r="K667" s="238"/>
      <c r="L667" s="238"/>
      <c r="M667" s="238"/>
      <c r="N667" s="238"/>
      <c r="O667" s="238"/>
      <c r="P667" s="238"/>
      <c r="Q667" s="238"/>
      <c r="R667" s="238"/>
      <c r="S667" s="238"/>
      <c r="T667" s="238"/>
      <c r="U667" s="238"/>
      <c r="V667" s="238"/>
      <c r="W667" s="238"/>
      <c r="X667" s="238"/>
      <c r="Y667" s="238"/>
      <c r="Z667" s="238"/>
    </row>
    <row r="668" spans="1:26" ht="16.5" customHeight="1">
      <c r="A668" s="238"/>
      <c r="B668" s="238"/>
      <c r="C668" s="238"/>
      <c r="D668" s="238"/>
      <c r="E668" s="238"/>
      <c r="F668" s="238"/>
      <c r="G668" s="238"/>
      <c r="H668" s="238"/>
      <c r="I668" s="238"/>
      <c r="J668" s="238"/>
      <c r="K668" s="238"/>
      <c r="L668" s="238"/>
      <c r="M668" s="238"/>
      <c r="N668" s="238"/>
      <c r="O668" s="238"/>
      <c r="P668" s="238"/>
      <c r="Q668" s="238"/>
      <c r="R668" s="238"/>
      <c r="S668" s="238"/>
      <c r="T668" s="238"/>
      <c r="U668" s="238"/>
      <c r="V668" s="238"/>
      <c r="W668" s="238"/>
      <c r="X668" s="238"/>
      <c r="Y668" s="238"/>
      <c r="Z668" s="238"/>
    </row>
    <row r="669" spans="1:26" ht="16.5" customHeight="1">
      <c r="A669" s="238"/>
      <c r="B669" s="238"/>
      <c r="C669" s="238"/>
      <c r="D669" s="238"/>
      <c r="E669" s="238"/>
      <c r="F669" s="238"/>
      <c r="G669" s="238"/>
      <c r="H669" s="238"/>
      <c r="I669" s="238"/>
      <c r="J669" s="238"/>
      <c r="K669" s="238"/>
      <c r="L669" s="238"/>
      <c r="M669" s="238"/>
      <c r="N669" s="238"/>
      <c r="O669" s="238"/>
      <c r="P669" s="238"/>
      <c r="Q669" s="238"/>
      <c r="R669" s="238"/>
      <c r="S669" s="238"/>
      <c r="T669" s="238"/>
      <c r="U669" s="238"/>
      <c r="V669" s="238"/>
      <c r="W669" s="238"/>
      <c r="X669" s="238"/>
      <c r="Y669" s="238"/>
      <c r="Z669" s="238"/>
    </row>
    <row r="670" spans="1:26" ht="16.5" customHeight="1">
      <c r="A670" s="238"/>
      <c r="B670" s="238"/>
      <c r="C670" s="238"/>
      <c r="D670" s="238"/>
      <c r="E670" s="238"/>
      <c r="F670" s="238"/>
      <c r="G670" s="238"/>
      <c r="H670" s="238"/>
      <c r="I670" s="238"/>
      <c r="J670" s="238"/>
      <c r="K670" s="238"/>
      <c r="L670" s="238"/>
      <c r="M670" s="238"/>
      <c r="N670" s="238"/>
      <c r="O670" s="238"/>
      <c r="P670" s="238"/>
      <c r="Q670" s="238"/>
      <c r="R670" s="238"/>
      <c r="S670" s="238"/>
      <c r="T670" s="238"/>
      <c r="U670" s="238"/>
      <c r="V670" s="238"/>
      <c r="W670" s="238"/>
      <c r="X670" s="238"/>
      <c r="Y670" s="238"/>
      <c r="Z670" s="238"/>
    </row>
    <row r="671" spans="1:26" ht="16.5" customHeight="1">
      <c r="A671" s="238"/>
      <c r="B671" s="238"/>
      <c r="C671" s="238"/>
      <c r="D671" s="238"/>
      <c r="E671" s="238"/>
      <c r="F671" s="238"/>
      <c r="G671" s="238"/>
      <c r="H671" s="238"/>
      <c r="I671" s="238"/>
      <c r="J671" s="238"/>
      <c r="K671" s="238"/>
      <c r="L671" s="238"/>
      <c r="M671" s="238"/>
      <c r="N671" s="238"/>
      <c r="O671" s="238"/>
      <c r="P671" s="238"/>
      <c r="Q671" s="238"/>
      <c r="R671" s="238"/>
      <c r="S671" s="238"/>
      <c r="T671" s="238"/>
      <c r="U671" s="238"/>
      <c r="V671" s="238"/>
      <c r="W671" s="238"/>
      <c r="X671" s="238"/>
      <c r="Y671" s="238"/>
      <c r="Z671" s="238"/>
    </row>
    <row r="672" spans="1:26" ht="16.5" customHeight="1">
      <c r="A672" s="238"/>
      <c r="B672" s="238"/>
      <c r="C672" s="238"/>
      <c r="D672" s="238"/>
      <c r="E672" s="238"/>
      <c r="F672" s="238"/>
      <c r="G672" s="238"/>
      <c r="H672" s="238"/>
      <c r="I672" s="238"/>
      <c r="J672" s="238"/>
      <c r="K672" s="238"/>
      <c r="L672" s="238"/>
      <c r="M672" s="238"/>
      <c r="N672" s="238"/>
      <c r="O672" s="238"/>
      <c r="P672" s="238"/>
      <c r="Q672" s="238"/>
      <c r="R672" s="238"/>
      <c r="S672" s="238"/>
      <c r="T672" s="238"/>
      <c r="U672" s="238"/>
      <c r="V672" s="238"/>
      <c r="W672" s="238"/>
      <c r="X672" s="238"/>
      <c r="Y672" s="238"/>
      <c r="Z672" s="238"/>
    </row>
    <row r="673" spans="1:26" ht="16.5" customHeight="1">
      <c r="A673" s="238"/>
      <c r="B673" s="238"/>
      <c r="C673" s="238"/>
      <c r="D673" s="238"/>
      <c r="E673" s="238"/>
      <c r="F673" s="238"/>
      <c r="G673" s="238"/>
      <c r="H673" s="238"/>
      <c r="I673" s="238"/>
      <c r="J673" s="238"/>
      <c r="K673" s="238"/>
      <c r="L673" s="238"/>
      <c r="M673" s="238"/>
      <c r="N673" s="238"/>
      <c r="O673" s="238"/>
      <c r="P673" s="238"/>
      <c r="Q673" s="238"/>
      <c r="R673" s="238"/>
      <c r="S673" s="238"/>
      <c r="T673" s="238"/>
      <c r="U673" s="238"/>
      <c r="V673" s="238"/>
      <c r="W673" s="238"/>
      <c r="X673" s="238"/>
      <c r="Y673" s="238"/>
      <c r="Z673" s="238"/>
    </row>
    <row r="674" spans="1:26" ht="16.5" customHeight="1">
      <c r="A674" s="238"/>
      <c r="B674" s="238"/>
      <c r="C674" s="238"/>
      <c r="D674" s="238"/>
      <c r="E674" s="238"/>
      <c r="F674" s="238"/>
      <c r="G674" s="238"/>
      <c r="H674" s="238"/>
      <c r="I674" s="238"/>
      <c r="J674" s="238"/>
      <c r="K674" s="238"/>
      <c r="L674" s="238"/>
      <c r="M674" s="238"/>
      <c r="N674" s="238"/>
      <c r="O674" s="238"/>
      <c r="P674" s="238"/>
      <c r="Q674" s="238"/>
      <c r="R674" s="238"/>
      <c r="S674" s="238"/>
      <c r="T674" s="238"/>
      <c r="U674" s="238"/>
      <c r="V674" s="238"/>
      <c r="W674" s="238"/>
      <c r="X674" s="238"/>
      <c r="Y674" s="238"/>
      <c r="Z674" s="238"/>
    </row>
    <row r="675" spans="1:26" ht="16.5" customHeight="1">
      <c r="A675" s="238"/>
      <c r="B675" s="238"/>
      <c r="C675" s="238"/>
      <c r="D675" s="238"/>
      <c r="E675" s="238"/>
      <c r="F675" s="238"/>
      <c r="G675" s="238"/>
      <c r="H675" s="238"/>
      <c r="I675" s="238"/>
      <c r="J675" s="238"/>
      <c r="K675" s="238"/>
      <c r="L675" s="238"/>
      <c r="M675" s="238"/>
      <c r="N675" s="238"/>
      <c r="O675" s="238"/>
      <c r="P675" s="238"/>
      <c r="Q675" s="238"/>
      <c r="R675" s="238"/>
      <c r="S675" s="238"/>
      <c r="T675" s="238"/>
      <c r="U675" s="238"/>
      <c r="V675" s="238"/>
      <c r="W675" s="238"/>
      <c r="X675" s="238"/>
      <c r="Y675" s="238"/>
      <c r="Z675" s="238"/>
    </row>
    <row r="676" spans="1:26" ht="16.5" customHeight="1">
      <c r="A676" s="238"/>
      <c r="B676" s="238"/>
      <c r="C676" s="238"/>
      <c r="D676" s="238"/>
      <c r="E676" s="238"/>
      <c r="F676" s="238"/>
      <c r="G676" s="238"/>
      <c r="H676" s="238"/>
      <c r="I676" s="238"/>
      <c r="J676" s="238"/>
      <c r="K676" s="238"/>
      <c r="L676" s="238"/>
      <c r="M676" s="238"/>
      <c r="N676" s="238"/>
      <c r="O676" s="238"/>
      <c r="P676" s="238"/>
      <c r="Q676" s="238"/>
      <c r="R676" s="238"/>
      <c r="S676" s="238"/>
      <c r="T676" s="238"/>
      <c r="U676" s="238"/>
      <c r="V676" s="238"/>
      <c r="W676" s="238"/>
      <c r="X676" s="238"/>
      <c r="Y676" s="238"/>
      <c r="Z676" s="238"/>
    </row>
    <row r="677" spans="1:26" ht="16.5" customHeight="1">
      <c r="A677" s="238"/>
      <c r="B677" s="238"/>
      <c r="C677" s="238"/>
      <c r="D677" s="238"/>
      <c r="E677" s="238"/>
      <c r="F677" s="238"/>
      <c r="G677" s="238"/>
      <c r="H677" s="238"/>
      <c r="I677" s="238"/>
      <c r="J677" s="238"/>
      <c r="K677" s="238"/>
      <c r="L677" s="238"/>
      <c r="M677" s="238"/>
      <c r="N677" s="238"/>
      <c r="O677" s="238"/>
      <c r="P677" s="238"/>
      <c r="Q677" s="238"/>
      <c r="R677" s="238"/>
      <c r="S677" s="238"/>
      <c r="T677" s="238"/>
      <c r="U677" s="238"/>
      <c r="V677" s="238"/>
      <c r="W677" s="238"/>
      <c r="X677" s="238"/>
      <c r="Y677" s="238"/>
      <c r="Z677" s="238"/>
    </row>
    <row r="678" spans="1:26" ht="16.5" customHeight="1">
      <c r="A678" s="238"/>
      <c r="B678" s="238"/>
      <c r="C678" s="238"/>
      <c r="D678" s="238"/>
      <c r="E678" s="238"/>
      <c r="F678" s="238"/>
      <c r="G678" s="238"/>
      <c r="H678" s="238"/>
      <c r="I678" s="238"/>
      <c r="J678" s="238"/>
      <c r="K678" s="238"/>
      <c r="L678" s="238"/>
      <c r="M678" s="238"/>
      <c r="N678" s="238"/>
      <c r="O678" s="238"/>
      <c r="P678" s="238"/>
      <c r="Q678" s="238"/>
      <c r="R678" s="238"/>
      <c r="S678" s="238"/>
      <c r="T678" s="238"/>
      <c r="U678" s="238"/>
      <c r="V678" s="238"/>
      <c r="W678" s="238"/>
      <c r="X678" s="238"/>
      <c r="Y678" s="238"/>
      <c r="Z678" s="238"/>
    </row>
    <row r="679" spans="1:26" ht="16.5" customHeight="1">
      <c r="A679" s="238"/>
      <c r="B679" s="238"/>
      <c r="C679" s="238"/>
      <c r="D679" s="238"/>
      <c r="E679" s="238"/>
      <c r="F679" s="238"/>
      <c r="G679" s="238"/>
      <c r="H679" s="238"/>
      <c r="I679" s="238"/>
      <c r="J679" s="238"/>
      <c r="K679" s="238"/>
      <c r="L679" s="238"/>
      <c r="M679" s="238"/>
      <c r="N679" s="238"/>
      <c r="O679" s="238"/>
      <c r="P679" s="238"/>
      <c r="Q679" s="238"/>
      <c r="R679" s="238"/>
      <c r="S679" s="238"/>
      <c r="T679" s="238"/>
      <c r="U679" s="238"/>
      <c r="V679" s="238"/>
      <c r="W679" s="238"/>
      <c r="X679" s="238"/>
      <c r="Y679" s="238"/>
      <c r="Z679" s="238"/>
    </row>
    <row r="680" spans="1:26" ht="16.5" customHeight="1">
      <c r="A680" s="238"/>
      <c r="B680" s="238"/>
      <c r="C680" s="238"/>
      <c r="D680" s="238"/>
      <c r="E680" s="238"/>
      <c r="F680" s="238"/>
      <c r="G680" s="238"/>
      <c r="H680" s="238"/>
      <c r="I680" s="238"/>
      <c r="J680" s="238"/>
      <c r="K680" s="238"/>
      <c r="L680" s="238"/>
      <c r="M680" s="238"/>
      <c r="N680" s="238"/>
      <c r="O680" s="238"/>
      <c r="P680" s="238"/>
      <c r="Q680" s="238"/>
      <c r="R680" s="238"/>
      <c r="S680" s="238"/>
      <c r="T680" s="238"/>
      <c r="U680" s="238"/>
      <c r="V680" s="238"/>
      <c r="W680" s="238"/>
      <c r="X680" s="238"/>
      <c r="Y680" s="238"/>
      <c r="Z680" s="238"/>
    </row>
    <row r="681" spans="1:26" ht="16.5" customHeight="1">
      <c r="A681" s="238"/>
      <c r="B681" s="238"/>
      <c r="C681" s="238"/>
      <c r="D681" s="238"/>
      <c r="E681" s="238"/>
      <c r="F681" s="238"/>
      <c r="G681" s="238"/>
      <c r="H681" s="238"/>
      <c r="I681" s="238"/>
      <c r="J681" s="238"/>
      <c r="K681" s="238"/>
      <c r="L681" s="238"/>
      <c r="M681" s="238"/>
      <c r="N681" s="238"/>
      <c r="O681" s="238"/>
      <c r="P681" s="238"/>
      <c r="Q681" s="238"/>
      <c r="R681" s="238"/>
      <c r="S681" s="238"/>
      <c r="T681" s="238"/>
      <c r="U681" s="238"/>
      <c r="V681" s="238"/>
      <c r="W681" s="238"/>
      <c r="X681" s="238"/>
      <c r="Y681" s="238"/>
      <c r="Z681" s="238"/>
    </row>
    <row r="682" spans="1:26" ht="16.5" customHeight="1">
      <c r="A682" s="238"/>
      <c r="B682" s="238"/>
      <c r="C682" s="238"/>
      <c r="D682" s="238"/>
      <c r="E682" s="238"/>
      <c r="F682" s="238"/>
      <c r="G682" s="238"/>
      <c r="H682" s="238"/>
      <c r="I682" s="238"/>
      <c r="J682" s="238"/>
      <c r="K682" s="238"/>
      <c r="L682" s="238"/>
      <c r="M682" s="238"/>
      <c r="N682" s="238"/>
      <c r="O682" s="238"/>
      <c r="P682" s="238"/>
      <c r="Q682" s="238"/>
      <c r="R682" s="238"/>
      <c r="S682" s="238"/>
      <c r="T682" s="238"/>
      <c r="U682" s="238"/>
      <c r="V682" s="238"/>
      <c r="W682" s="238"/>
      <c r="X682" s="238"/>
      <c r="Y682" s="238"/>
      <c r="Z682" s="238"/>
    </row>
    <row r="683" spans="1:26" ht="16.5" customHeight="1">
      <c r="A683" s="238"/>
      <c r="B683" s="238"/>
      <c r="C683" s="238"/>
      <c r="D683" s="238"/>
      <c r="E683" s="238"/>
      <c r="F683" s="238"/>
      <c r="G683" s="238"/>
      <c r="H683" s="238"/>
      <c r="I683" s="238"/>
      <c r="J683" s="238"/>
      <c r="K683" s="238"/>
      <c r="L683" s="238"/>
      <c r="M683" s="238"/>
      <c r="N683" s="238"/>
      <c r="O683" s="238"/>
      <c r="P683" s="238"/>
      <c r="Q683" s="238"/>
      <c r="R683" s="238"/>
      <c r="S683" s="238"/>
      <c r="T683" s="238"/>
      <c r="U683" s="238"/>
      <c r="V683" s="238"/>
      <c r="W683" s="238"/>
      <c r="X683" s="238"/>
      <c r="Y683" s="238"/>
      <c r="Z683" s="238"/>
    </row>
    <row r="684" spans="1:26" ht="16.5" customHeight="1">
      <c r="A684" s="238"/>
      <c r="B684" s="238"/>
      <c r="C684" s="238"/>
      <c r="D684" s="238"/>
      <c r="E684" s="238"/>
      <c r="F684" s="238"/>
      <c r="G684" s="238"/>
      <c r="H684" s="238"/>
      <c r="I684" s="238"/>
      <c r="J684" s="238"/>
      <c r="K684" s="238"/>
      <c r="L684" s="238"/>
      <c r="M684" s="238"/>
      <c r="N684" s="238"/>
      <c r="O684" s="238"/>
      <c r="P684" s="238"/>
      <c r="Q684" s="238"/>
      <c r="R684" s="238"/>
      <c r="S684" s="238"/>
      <c r="T684" s="238"/>
      <c r="U684" s="238"/>
      <c r="V684" s="238"/>
      <c r="W684" s="238"/>
      <c r="X684" s="238"/>
      <c r="Y684" s="238"/>
      <c r="Z684" s="238"/>
    </row>
    <row r="685" spans="1:26" ht="16.5" customHeight="1">
      <c r="A685" s="238"/>
      <c r="B685" s="238"/>
      <c r="C685" s="238"/>
      <c r="D685" s="238"/>
      <c r="E685" s="238"/>
      <c r="F685" s="238"/>
      <c r="G685" s="238"/>
      <c r="H685" s="238"/>
      <c r="I685" s="238"/>
      <c r="J685" s="238"/>
      <c r="K685" s="238"/>
      <c r="L685" s="238"/>
      <c r="M685" s="238"/>
      <c r="N685" s="238"/>
      <c r="O685" s="238"/>
      <c r="P685" s="238"/>
      <c r="Q685" s="238"/>
      <c r="R685" s="238"/>
      <c r="S685" s="238"/>
      <c r="T685" s="238"/>
      <c r="U685" s="238"/>
      <c r="V685" s="238"/>
      <c r="W685" s="238"/>
      <c r="X685" s="238"/>
      <c r="Y685" s="238"/>
      <c r="Z685" s="238"/>
    </row>
    <row r="686" spans="1:26" ht="16.5" customHeight="1">
      <c r="A686" s="238"/>
      <c r="B686" s="238"/>
      <c r="C686" s="238"/>
      <c r="D686" s="238"/>
      <c r="E686" s="238"/>
      <c r="F686" s="238"/>
      <c r="G686" s="238"/>
      <c r="H686" s="238"/>
      <c r="I686" s="238"/>
      <c r="J686" s="238"/>
      <c r="K686" s="238"/>
      <c r="L686" s="238"/>
      <c r="M686" s="238"/>
      <c r="N686" s="238"/>
      <c r="O686" s="238"/>
      <c r="P686" s="238"/>
      <c r="Q686" s="238"/>
      <c r="R686" s="238"/>
      <c r="S686" s="238"/>
      <c r="T686" s="238"/>
      <c r="U686" s="238"/>
      <c r="V686" s="238"/>
      <c r="W686" s="238"/>
      <c r="X686" s="238"/>
      <c r="Y686" s="238"/>
      <c r="Z686" s="238"/>
    </row>
    <row r="687" spans="1:26" ht="16.5" customHeight="1">
      <c r="A687" s="238"/>
      <c r="B687" s="238"/>
      <c r="C687" s="238"/>
      <c r="D687" s="238"/>
      <c r="E687" s="238"/>
      <c r="F687" s="238"/>
      <c r="G687" s="238"/>
      <c r="H687" s="238"/>
      <c r="I687" s="238"/>
      <c r="J687" s="238"/>
      <c r="K687" s="238"/>
      <c r="L687" s="238"/>
      <c r="M687" s="238"/>
      <c r="N687" s="238"/>
      <c r="O687" s="238"/>
      <c r="P687" s="238"/>
      <c r="Q687" s="238"/>
      <c r="R687" s="238"/>
      <c r="S687" s="238"/>
      <c r="T687" s="238"/>
      <c r="U687" s="238"/>
      <c r="V687" s="238"/>
      <c r="W687" s="238"/>
      <c r="X687" s="238"/>
      <c r="Y687" s="238"/>
      <c r="Z687" s="238"/>
    </row>
    <row r="688" spans="1:26" ht="16.5" customHeight="1">
      <c r="A688" s="238"/>
      <c r="B688" s="238"/>
      <c r="C688" s="238"/>
      <c r="D688" s="238"/>
      <c r="E688" s="238"/>
      <c r="F688" s="238"/>
      <c r="G688" s="238"/>
      <c r="H688" s="238"/>
      <c r="I688" s="238"/>
      <c r="J688" s="238"/>
      <c r="K688" s="238"/>
      <c r="L688" s="238"/>
      <c r="M688" s="238"/>
      <c r="N688" s="238"/>
      <c r="O688" s="238"/>
      <c r="P688" s="238"/>
      <c r="Q688" s="238"/>
      <c r="R688" s="238"/>
      <c r="S688" s="238"/>
      <c r="T688" s="238"/>
      <c r="U688" s="238"/>
      <c r="V688" s="238"/>
      <c r="W688" s="238"/>
      <c r="X688" s="238"/>
      <c r="Y688" s="238"/>
      <c r="Z688" s="238"/>
    </row>
    <row r="689" spans="1:26" ht="16.5" customHeight="1">
      <c r="A689" s="238"/>
      <c r="B689" s="238"/>
      <c r="C689" s="238"/>
      <c r="D689" s="238"/>
      <c r="E689" s="238"/>
      <c r="F689" s="238"/>
      <c r="G689" s="238"/>
      <c r="H689" s="238"/>
      <c r="I689" s="238"/>
      <c r="J689" s="238"/>
      <c r="K689" s="238"/>
      <c r="L689" s="238"/>
      <c r="M689" s="238"/>
      <c r="N689" s="238"/>
      <c r="O689" s="238"/>
      <c r="P689" s="238"/>
      <c r="Q689" s="238"/>
      <c r="R689" s="238"/>
      <c r="S689" s="238"/>
      <c r="T689" s="238"/>
      <c r="U689" s="238"/>
      <c r="V689" s="238"/>
      <c r="W689" s="238"/>
      <c r="X689" s="238"/>
      <c r="Y689" s="238"/>
      <c r="Z689" s="238"/>
    </row>
    <row r="690" spans="1:26" ht="16.5" customHeight="1">
      <c r="A690" s="238"/>
      <c r="B690" s="238"/>
      <c r="C690" s="238"/>
      <c r="D690" s="238"/>
      <c r="E690" s="238"/>
      <c r="F690" s="238"/>
      <c r="G690" s="238"/>
      <c r="H690" s="238"/>
      <c r="I690" s="238"/>
      <c r="J690" s="238"/>
      <c r="K690" s="238"/>
      <c r="L690" s="238"/>
      <c r="M690" s="238"/>
      <c r="N690" s="238"/>
      <c r="O690" s="238"/>
      <c r="P690" s="238"/>
      <c r="Q690" s="238"/>
      <c r="R690" s="238"/>
      <c r="S690" s="238"/>
      <c r="T690" s="238"/>
      <c r="U690" s="238"/>
      <c r="V690" s="238"/>
      <c r="W690" s="238"/>
      <c r="X690" s="238"/>
      <c r="Y690" s="238"/>
      <c r="Z690" s="238"/>
    </row>
    <row r="691" spans="1:26" ht="16.5" customHeight="1">
      <c r="A691" s="238"/>
      <c r="B691" s="238"/>
      <c r="C691" s="238"/>
      <c r="D691" s="238"/>
      <c r="E691" s="238"/>
      <c r="F691" s="238"/>
      <c r="G691" s="238"/>
      <c r="H691" s="238"/>
      <c r="I691" s="238"/>
      <c r="J691" s="238"/>
      <c r="K691" s="238"/>
      <c r="L691" s="238"/>
      <c r="M691" s="238"/>
      <c r="N691" s="238"/>
      <c r="O691" s="238"/>
      <c r="P691" s="238"/>
      <c r="Q691" s="238"/>
      <c r="R691" s="238"/>
      <c r="S691" s="238"/>
      <c r="T691" s="238"/>
      <c r="U691" s="238"/>
      <c r="V691" s="238"/>
      <c r="W691" s="238"/>
      <c r="X691" s="238"/>
      <c r="Y691" s="238"/>
      <c r="Z691" s="238"/>
    </row>
    <row r="692" spans="1:26" ht="16.5" customHeight="1">
      <c r="A692" s="238"/>
      <c r="B692" s="238"/>
      <c r="C692" s="238"/>
      <c r="D692" s="238"/>
      <c r="E692" s="238"/>
      <c r="F692" s="238"/>
      <c r="G692" s="238"/>
      <c r="H692" s="238"/>
      <c r="I692" s="238"/>
      <c r="J692" s="238"/>
      <c r="K692" s="238"/>
      <c r="L692" s="238"/>
      <c r="M692" s="238"/>
      <c r="N692" s="238"/>
      <c r="O692" s="238"/>
      <c r="P692" s="238"/>
      <c r="Q692" s="238"/>
      <c r="R692" s="238"/>
      <c r="S692" s="238"/>
      <c r="T692" s="238"/>
      <c r="U692" s="238"/>
      <c r="V692" s="238"/>
      <c r="W692" s="238"/>
      <c r="X692" s="238"/>
      <c r="Y692" s="238"/>
      <c r="Z692" s="238"/>
    </row>
    <row r="693" spans="1:26" ht="16.5" customHeight="1">
      <c r="A693" s="238"/>
      <c r="B693" s="238"/>
      <c r="C693" s="238"/>
      <c r="D693" s="238"/>
      <c r="E693" s="238"/>
      <c r="F693" s="238"/>
      <c r="G693" s="238"/>
      <c r="H693" s="238"/>
      <c r="I693" s="238"/>
      <c r="J693" s="238"/>
      <c r="K693" s="238"/>
      <c r="L693" s="238"/>
      <c r="M693" s="238"/>
      <c r="N693" s="238"/>
      <c r="O693" s="238"/>
      <c r="P693" s="238"/>
      <c r="Q693" s="238"/>
      <c r="R693" s="238"/>
      <c r="S693" s="238"/>
      <c r="T693" s="238"/>
      <c r="U693" s="238"/>
      <c r="V693" s="238"/>
      <c r="W693" s="238"/>
      <c r="X693" s="238"/>
      <c r="Y693" s="238"/>
      <c r="Z693" s="238"/>
    </row>
    <row r="694" spans="1:26" ht="16.5" customHeight="1">
      <c r="A694" s="238"/>
      <c r="B694" s="238"/>
      <c r="C694" s="238"/>
      <c r="D694" s="238"/>
      <c r="E694" s="238"/>
      <c r="F694" s="238"/>
      <c r="G694" s="238"/>
      <c r="H694" s="238"/>
      <c r="I694" s="238"/>
      <c r="J694" s="238"/>
      <c r="K694" s="238"/>
      <c r="L694" s="238"/>
      <c r="M694" s="238"/>
      <c r="N694" s="238"/>
      <c r="O694" s="238"/>
      <c r="P694" s="238"/>
      <c r="Q694" s="238"/>
      <c r="R694" s="238"/>
      <c r="S694" s="238"/>
      <c r="T694" s="238"/>
      <c r="U694" s="238"/>
      <c r="V694" s="238"/>
      <c r="W694" s="238"/>
      <c r="X694" s="238"/>
      <c r="Y694" s="238"/>
      <c r="Z694" s="238"/>
    </row>
    <row r="695" spans="1:26" ht="16.5" customHeight="1">
      <c r="A695" s="238"/>
      <c r="B695" s="238"/>
      <c r="C695" s="238"/>
      <c r="D695" s="238"/>
      <c r="E695" s="238"/>
      <c r="F695" s="238"/>
      <c r="G695" s="238"/>
      <c r="H695" s="238"/>
      <c r="I695" s="238"/>
      <c r="J695" s="238"/>
      <c r="K695" s="238"/>
      <c r="L695" s="238"/>
      <c r="M695" s="238"/>
      <c r="N695" s="238"/>
      <c r="O695" s="238"/>
      <c r="P695" s="238"/>
      <c r="Q695" s="238"/>
      <c r="R695" s="238"/>
      <c r="S695" s="238"/>
      <c r="T695" s="238"/>
      <c r="U695" s="238"/>
      <c r="V695" s="238"/>
      <c r="W695" s="238"/>
      <c r="X695" s="238"/>
      <c r="Y695" s="238"/>
      <c r="Z695" s="238"/>
    </row>
    <row r="696" spans="1:26" ht="16.5" customHeight="1">
      <c r="A696" s="238"/>
      <c r="B696" s="238"/>
      <c r="C696" s="238"/>
      <c r="D696" s="238"/>
      <c r="E696" s="238"/>
      <c r="F696" s="238"/>
      <c r="G696" s="238"/>
      <c r="H696" s="238"/>
      <c r="I696" s="238"/>
      <c r="J696" s="238"/>
      <c r="K696" s="238"/>
      <c r="L696" s="238"/>
      <c r="M696" s="238"/>
      <c r="N696" s="238"/>
      <c r="O696" s="238"/>
      <c r="P696" s="238"/>
      <c r="Q696" s="238"/>
      <c r="R696" s="238"/>
      <c r="S696" s="238"/>
      <c r="T696" s="238"/>
      <c r="U696" s="238"/>
      <c r="V696" s="238"/>
      <c r="W696" s="238"/>
      <c r="X696" s="238"/>
      <c r="Y696" s="238"/>
      <c r="Z696" s="238"/>
    </row>
    <row r="697" spans="1:26" ht="16.5" customHeight="1">
      <c r="A697" s="238"/>
      <c r="B697" s="238"/>
      <c r="C697" s="238"/>
      <c r="D697" s="238"/>
      <c r="E697" s="238"/>
      <c r="F697" s="238"/>
      <c r="G697" s="238"/>
      <c r="H697" s="238"/>
      <c r="I697" s="238"/>
      <c r="J697" s="238"/>
      <c r="K697" s="238"/>
      <c r="L697" s="238"/>
      <c r="M697" s="238"/>
      <c r="N697" s="238"/>
      <c r="O697" s="238"/>
      <c r="P697" s="238"/>
      <c r="Q697" s="238"/>
      <c r="R697" s="238"/>
      <c r="S697" s="238"/>
      <c r="T697" s="238"/>
      <c r="U697" s="238"/>
      <c r="V697" s="238"/>
      <c r="W697" s="238"/>
      <c r="X697" s="238"/>
      <c r="Y697" s="238"/>
      <c r="Z697" s="238"/>
    </row>
    <row r="698" spans="1:26" ht="16.5" customHeight="1">
      <c r="A698" s="238"/>
      <c r="B698" s="238"/>
      <c r="C698" s="238"/>
      <c r="D698" s="238"/>
      <c r="E698" s="238"/>
      <c r="F698" s="238"/>
      <c r="G698" s="238"/>
      <c r="H698" s="238"/>
      <c r="I698" s="238"/>
      <c r="J698" s="238"/>
      <c r="K698" s="238"/>
      <c r="L698" s="238"/>
      <c r="M698" s="238"/>
      <c r="N698" s="238"/>
      <c r="O698" s="238"/>
      <c r="P698" s="238"/>
      <c r="Q698" s="238"/>
      <c r="R698" s="238"/>
      <c r="S698" s="238"/>
      <c r="T698" s="238"/>
      <c r="U698" s="238"/>
      <c r="V698" s="238"/>
      <c r="W698" s="238"/>
      <c r="X698" s="238"/>
      <c r="Y698" s="238"/>
      <c r="Z698" s="238"/>
    </row>
    <row r="699" spans="1:26" ht="16.5" customHeight="1">
      <c r="A699" s="238"/>
      <c r="B699" s="238"/>
      <c r="C699" s="238"/>
      <c r="D699" s="238"/>
      <c r="E699" s="238"/>
      <c r="F699" s="238"/>
      <c r="G699" s="238"/>
      <c r="H699" s="238"/>
      <c r="I699" s="238"/>
      <c r="J699" s="238"/>
      <c r="K699" s="238"/>
      <c r="L699" s="238"/>
      <c r="M699" s="238"/>
      <c r="N699" s="238"/>
      <c r="O699" s="238"/>
      <c r="P699" s="238"/>
      <c r="Q699" s="238"/>
      <c r="R699" s="238"/>
      <c r="S699" s="238"/>
      <c r="T699" s="238"/>
      <c r="U699" s="238"/>
      <c r="V699" s="238"/>
      <c r="W699" s="238"/>
      <c r="X699" s="238"/>
      <c r="Y699" s="238"/>
      <c r="Z699" s="238"/>
    </row>
    <row r="700" spans="1:26" ht="16.5" customHeight="1">
      <c r="A700" s="238"/>
      <c r="B700" s="238"/>
      <c r="C700" s="238"/>
      <c r="D700" s="238"/>
      <c r="E700" s="238"/>
      <c r="F700" s="238"/>
      <c r="G700" s="238"/>
      <c r="H700" s="238"/>
      <c r="I700" s="238"/>
      <c r="J700" s="238"/>
      <c r="K700" s="238"/>
      <c r="L700" s="238"/>
      <c r="M700" s="238"/>
      <c r="N700" s="238"/>
      <c r="O700" s="238"/>
      <c r="P700" s="238"/>
      <c r="Q700" s="238"/>
      <c r="R700" s="238"/>
      <c r="S700" s="238"/>
      <c r="T700" s="238"/>
      <c r="U700" s="238"/>
      <c r="V700" s="238"/>
      <c r="W700" s="238"/>
      <c r="X700" s="238"/>
      <c r="Y700" s="238"/>
      <c r="Z700" s="238"/>
    </row>
    <row r="701" spans="1:26" ht="16.5" customHeight="1">
      <c r="A701" s="238"/>
      <c r="B701" s="238"/>
      <c r="C701" s="238"/>
      <c r="D701" s="238"/>
      <c r="E701" s="238"/>
      <c r="F701" s="238"/>
      <c r="G701" s="238"/>
      <c r="H701" s="238"/>
      <c r="I701" s="238"/>
      <c r="J701" s="238"/>
      <c r="K701" s="238"/>
      <c r="L701" s="238"/>
      <c r="M701" s="238"/>
      <c r="N701" s="238"/>
      <c r="O701" s="238"/>
      <c r="P701" s="238"/>
      <c r="Q701" s="238"/>
      <c r="R701" s="238"/>
      <c r="S701" s="238"/>
      <c r="T701" s="238"/>
      <c r="U701" s="238"/>
      <c r="V701" s="238"/>
      <c r="W701" s="238"/>
      <c r="X701" s="238"/>
      <c r="Y701" s="238"/>
      <c r="Z701" s="238"/>
    </row>
    <row r="702" spans="1:26" ht="16.5" customHeight="1">
      <c r="A702" s="238"/>
      <c r="B702" s="238"/>
      <c r="C702" s="238"/>
      <c r="D702" s="238"/>
      <c r="E702" s="238"/>
      <c r="F702" s="238"/>
      <c r="G702" s="238"/>
      <c r="H702" s="238"/>
      <c r="I702" s="238"/>
      <c r="J702" s="238"/>
      <c r="K702" s="238"/>
      <c r="L702" s="238"/>
      <c r="M702" s="238"/>
      <c r="N702" s="238"/>
      <c r="O702" s="238"/>
      <c r="P702" s="238"/>
      <c r="Q702" s="238"/>
      <c r="R702" s="238"/>
      <c r="S702" s="238"/>
      <c r="T702" s="238"/>
      <c r="U702" s="238"/>
      <c r="V702" s="238"/>
      <c r="W702" s="238"/>
      <c r="X702" s="238"/>
      <c r="Y702" s="238"/>
      <c r="Z702" s="238"/>
    </row>
    <row r="703" spans="1:26" ht="16.5" customHeight="1">
      <c r="A703" s="238"/>
      <c r="B703" s="238"/>
      <c r="C703" s="238"/>
      <c r="D703" s="238"/>
      <c r="E703" s="238"/>
      <c r="F703" s="238"/>
      <c r="G703" s="238"/>
      <c r="H703" s="238"/>
      <c r="I703" s="238"/>
      <c r="J703" s="238"/>
      <c r="K703" s="238"/>
      <c r="L703" s="238"/>
      <c r="M703" s="238"/>
      <c r="N703" s="238"/>
      <c r="O703" s="238"/>
      <c r="P703" s="238"/>
      <c r="Q703" s="238"/>
      <c r="R703" s="238"/>
      <c r="S703" s="238"/>
      <c r="T703" s="238"/>
      <c r="U703" s="238"/>
      <c r="V703" s="238"/>
      <c r="W703" s="238"/>
      <c r="X703" s="238"/>
      <c r="Y703" s="238"/>
      <c r="Z703" s="238"/>
    </row>
    <row r="704" spans="1:26" ht="16.5" customHeight="1">
      <c r="A704" s="238"/>
      <c r="B704" s="238"/>
      <c r="C704" s="238"/>
      <c r="D704" s="238"/>
      <c r="E704" s="238"/>
      <c r="F704" s="238"/>
      <c r="G704" s="238"/>
      <c r="H704" s="238"/>
      <c r="I704" s="238"/>
      <c r="J704" s="238"/>
      <c r="K704" s="238"/>
      <c r="L704" s="238"/>
      <c r="M704" s="238"/>
      <c r="N704" s="238"/>
      <c r="O704" s="238"/>
      <c r="P704" s="238"/>
      <c r="Q704" s="238"/>
      <c r="R704" s="238"/>
      <c r="S704" s="238"/>
      <c r="T704" s="238"/>
      <c r="U704" s="238"/>
      <c r="V704" s="238"/>
      <c r="W704" s="238"/>
      <c r="X704" s="238"/>
      <c r="Y704" s="238"/>
      <c r="Z704" s="238"/>
    </row>
    <row r="705" spans="1:26" ht="16.5" customHeight="1">
      <c r="A705" s="238"/>
      <c r="B705" s="238"/>
      <c r="C705" s="238"/>
      <c r="D705" s="238"/>
      <c r="E705" s="238"/>
      <c r="F705" s="238"/>
      <c r="G705" s="238"/>
      <c r="H705" s="238"/>
      <c r="I705" s="238"/>
      <c r="J705" s="238"/>
      <c r="K705" s="238"/>
      <c r="L705" s="238"/>
      <c r="M705" s="238"/>
      <c r="N705" s="238"/>
      <c r="O705" s="238"/>
      <c r="P705" s="238"/>
      <c r="Q705" s="238"/>
      <c r="R705" s="238"/>
      <c r="S705" s="238"/>
      <c r="T705" s="238"/>
      <c r="U705" s="238"/>
      <c r="V705" s="238"/>
      <c r="W705" s="238"/>
      <c r="X705" s="238"/>
      <c r="Y705" s="238"/>
      <c r="Z705" s="238"/>
    </row>
    <row r="706" spans="1:26" ht="16.5" customHeight="1">
      <c r="A706" s="238"/>
      <c r="B706" s="238"/>
      <c r="C706" s="238"/>
      <c r="D706" s="238"/>
      <c r="E706" s="238"/>
      <c r="F706" s="238"/>
      <c r="G706" s="238"/>
      <c r="H706" s="238"/>
      <c r="I706" s="238"/>
      <c r="J706" s="238"/>
      <c r="K706" s="238"/>
      <c r="L706" s="238"/>
      <c r="M706" s="238"/>
      <c r="N706" s="238"/>
      <c r="O706" s="238"/>
      <c r="P706" s="238"/>
      <c r="Q706" s="238"/>
      <c r="R706" s="238"/>
      <c r="S706" s="238"/>
      <c r="T706" s="238"/>
      <c r="U706" s="238"/>
      <c r="V706" s="238"/>
      <c r="W706" s="238"/>
      <c r="X706" s="238"/>
      <c r="Y706" s="238"/>
      <c r="Z706" s="238"/>
    </row>
    <row r="707" spans="1:26" ht="16.5" customHeight="1">
      <c r="A707" s="238"/>
      <c r="B707" s="238"/>
      <c r="C707" s="238"/>
      <c r="D707" s="238"/>
      <c r="E707" s="238"/>
      <c r="F707" s="238"/>
      <c r="G707" s="238"/>
      <c r="H707" s="238"/>
      <c r="I707" s="238"/>
      <c r="J707" s="238"/>
      <c r="K707" s="238"/>
      <c r="L707" s="238"/>
      <c r="M707" s="238"/>
      <c r="N707" s="238"/>
      <c r="O707" s="238"/>
      <c r="P707" s="238"/>
      <c r="Q707" s="238"/>
      <c r="R707" s="238"/>
      <c r="S707" s="238"/>
      <c r="T707" s="238"/>
      <c r="U707" s="238"/>
      <c r="V707" s="238"/>
      <c r="W707" s="238"/>
      <c r="X707" s="238"/>
      <c r="Y707" s="238"/>
      <c r="Z707" s="238"/>
    </row>
    <row r="708" spans="1:26" ht="16.5" customHeight="1">
      <c r="A708" s="238"/>
      <c r="B708" s="238"/>
      <c r="C708" s="238"/>
      <c r="D708" s="238"/>
      <c r="E708" s="238"/>
      <c r="F708" s="238"/>
      <c r="G708" s="238"/>
      <c r="H708" s="238"/>
      <c r="I708" s="238"/>
      <c r="J708" s="238"/>
      <c r="K708" s="238"/>
      <c r="L708" s="238"/>
      <c r="M708" s="238"/>
      <c r="N708" s="238"/>
      <c r="O708" s="238"/>
      <c r="P708" s="238"/>
      <c r="Q708" s="238"/>
      <c r="R708" s="238"/>
      <c r="S708" s="238"/>
      <c r="T708" s="238"/>
      <c r="U708" s="238"/>
      <c r="V708" s="238"/>
      <c r="W708" s="238"/>
      <c r="X708" s="238"/>
      <c r="Y708" s="238"/>
      <c r="Z708" s="238"/>
    </row>
    <row r="709" spans="1:26" ht="16.5" customHeight="1">
      <c r="A709" s="238"/>
      <c r="B709" s="238"/>
      <c r="C709" s="238"/>
      <c r="D709" s="238"/>
      <c r="E709" s="238"/>
      <c r="F709" s="238"/>
      <c r="G709" s="238"/>
      <c r="H709" s="238"/>
      <c r="I709" s="238"/>
      <c r="J709" s="238"/>
      <c r="K709" s="238"/>
      <c r="L709" s="238"/>
      <c r="M709" s="238"/>
      <c r="N709" s="238"/>
      <c r="O709" s="238"/>
      <c r="P709" s="238"/>
      <c r="Q709" s="238"/>
      <c r="R709" s="238"/>
      <c r="S709" s="238"/>
      <c r="T709" s="238"/>
      <c r="U709" s="238"/>
      <c r="V709" s="238"/>
      <c r="W709" s="238"/>
      <c r="X709" s="238"/>
      <c r="Y709" s="238"/>
      <c r="Z709" s="238"/>
    </row>
    <row r="710" spans="1:26" ht="16.5" customHeight="1">
      <c r="A710" s="238"/>
      <c r="B710" s="238"/>
      <c r="C710" s="238"/>
      <c r="D710" s="238"/>
      <c r="E710" s="238"/>
      <c r="F710" s="238"/>
      <c r="G710" s="238"/>
      <c r="H710" s="238"/>
      <c r="I710" s="238"/>
      <c r="J710" s="238"/>
      <c r="K710" s="238"/>
      <c r="L710" s="238"/>
      <c r="M710" s="238"/>
      <c r="N710" s="238"/>
      <c r="O710" s="238"/>
      <c r="P710" s="238"/>
      <c r="Q710" s="238"/>
      <c r="R710" s="238"/>
      <c r="S710" s="238"/>
      <c r="T710" s="238"/>
      <c r="U710" s="238"/>
      <c r="V710" s="238"/>
      <c r="W710" s="238"/>
      <c r="X710" s="238"/>
      <c r="Y710" s="238"/>
      <c r="Z710" s="238"/>
    </row>
    <row r="711" spans="1:26" ht="16.5" customHeight="1">
      <c r="A711" s="238"/>
      <c r="B711" s="238"/>
      <c r="C711" s="238"/>
      <c r="D711" s="238"/>
      <c r="E711" s="238"/>
      <c r="F711" s="238"/>
      <c r="G711" s="238"/>
      <c r="H711" s="238"/>
      <c r="I711" s="238"/>
      <c r="J711" s="238"/>
      <c r="K711" s="238"/>
      <c r="L711" s="238"/>
      <c r="M711" s="238"/>
      <c r="N711" s="238"/>
      <c r="O711" s="238"/>
      <c r="P711" s="238"/>
      <c r="Q711" s="238"/>
      <c r="R711" s="238"/>
      <c r="S711" s="238"/>
      <c r="T711" s="238"/>
      <c r="U711" s="238"/>
      <c r="V711" s="238"/>
      <c r="W711" s="238"/>
      <c r="X711" s="238"/>
      <c r="Y711" s="238"/>
      <c r="Z711" s="238"/>
    </row>
    <row r="712" spans="1:26" ht="16.5" customHeight="1">
      <c r="A712" s="238"/>
      <c r="B712" s="238"/>
      <c r="C712" s="238"/>
      <c r="D712" s="238"/>
      <c r="E712" s="238"/>
      <c r="F712" s="238"/>
      <c r="G712" s="238"/>
      <c r="H712" s="238"/>
      <c r="I712" s="238"/>
      <c r="J712" s="238"/>
      <c r="K712" s="238"/>
      <c r="L712" s="238"/>
      <c r="M712" s="238"/>
      <c r="N712" s="238"/>
      <c r="O712" s="238"/>
      <c r="P712" s="238"/>
      <c r="Q712" s="238"/>
      <c r="R712" s="238"/>
      <c r="S712" s="238"/>
      <c r="T712" s="238"/>
      <c r="U712" s="238"/>
      <c r="V712" s="238"/>
      <c r="W712" s="238"/>
      <c r="X712" s="238"/>
      <c r="Y712" s="238"/>
      <c r="Z712" s="238"/>
    </row>
    <row r="713" spans="1:26" ht="16.5" customHeight="1">
      <c r="A713" s="238"/>
      <c r="B713" s="238"/>
      <c r="C713" s="238"/>
      <c r="D713" s="238"/>
      <c r="E713" s="238"/>
      <c r="F713" s="238"/>
      <c r="G713" s="238"/>
      <c r="H713" s="238"/>
      <c r="I713" s="238"/>
      <c r="J713" s="238"/>
      <c r="K713" s="238"/>
      <c r="L713" s="238"/>
      <c r="M713" s="238"/>
      <c r="N713" s="238"/>
      <c r="O713" s="238"/>
      <c r="P713" s="238"/>
      <c r="Q713" s="238"/>
      <c r="R713" s="238"/>
      <c r="S713" s="238"/>
      <c r="T713" s="238"/>
      <c r="U713" s="238"/>
      <c r="V713" s="238"/>
      <c r="W713" s="238"/>
      <c r="X713" s="238"/>
      <c r="Y713" s="238"/>
      <c r="Z713" s="238"/>
    </row>
    <row r="714" spans="1:26" ht="16.5" customHeight="1">
      <c r="A714" s="238"/>
      <c r="B714" s="238"/>
      <c r="C714" s="238"/>
      <c r="D714" s="238"/>
      <c r="E714" s="238"/>
      <c r="F714" s="238"/>
      <c r="G714" s="238"/>
      <c r="H714" s="238"/>
      <c r="I714" s="238"/>
      <c r="J714" s="238"/>
      <c r="K714" s="238"/>
      <c r="L714" s="238"/>
      <c r="M714" s="238"/>
      <c r="N714" s="238"/>
      <c r="O714" s="238"/>
      <c r="P714" s="238"/>
      <c r="Q714" s="238"/>
      <c r="R714" s="238"/>
      <c r="S714" s="238"/>
      <c r="T714" s="238"/>
      <c r="U714" s="238"/>
      <c r="V714" s="238"/>
      <c r="W714" s="238"/>
      <c r="X714" s="238"/>
      <c r="Y714" s="238"/>
      <c r="Z714" s="238"/>
    </row>
    <row r="715" spans="1:26" ht="16.5" customHeight="1">
      <c r="A715" s="238"/>
      <c r="B715" s="238"/>
      <c r="C715" s="238"/>
      <c r="D715" s="238"/>
      <c r="E715" s="238"/>
      <c r="F715" s="238"/>
      <c r="G715" s="238"/>
      <c r="H715" s="238"/>
      <c r="I715" s="238"/>
      <c r="J715" s="238"/>
      <c r="K715" s="238"/>
      <c r="L715" s="238"/>
      <c r="M715" s="238"/>
      <c r="N715" s="238"/>
      <c r="O715" s="238"/>
      <c r="P715" s="238"/>
      <c r="Q715" s="238"/>
      <c r="R715" s="238"/>
      <c r="S715" s="238"/>
      <c r="T715" s="238"/>
      <c r="U715" s="238"/>
      <c r="V715" s="238"/>
      <c r="W715" s="238"/>
      <c r="X715" s="238"/>
      <c r="Y715" s="238"/>
      <c r="Z715" s="238"/>
    </row>
    <row r="716" spans="1:26" ht="16.5" customHeight="1">
      <c r="A716" s="238"/>
      <c r="B716" s="238"/>
      <c r="C716" s="238"/>
      <c r="D716" s="238"/>
      <c r="E716" s="238"/>
      <c r="F716" s="238"/>
      <c r="G716" s="238"/>
      <c r="H716" s="238"/>
      <c r="I716" s="238"/>
      <c r="J716" s="238"/>
      <c r="K716" s="238"/>
      <c r="L716" s="238"/>
      <c r="M716" s="238"/>
      <c r="N716" s="238"/>
      <c r="O716" s="238"/>
      <c r="P716" s="238"/>
      <c r="Q716" s="238"/>
      <c r="R716" s="238"/>
      <c r="S716" s="238"/>
      <c r="T716" s="238"/>
      <c r="U716" s="238"/>
      <c r="V716" s="238"/>
      <c r="W716" s="238"/>
      <c r="X716" s="238"/>
      <c r="Y716" s="238"/>
      <c r="Z716" s="238"/>
    </row>
    <row r="717" spans="1:26" ht="16.5" customHeight="1">
      <c r="A717" s="238"/>
      <c r="B717" s="238"/>
      <c r="C717" s="238"/>
      <c r="D717" s="238"/>
      <c r="E717" s="238"/>
      <c r="F717" s="238"/>
      <c r="G717" s="238"/>
      <c r="H717" s="238"/>
      <c r="I717" s="238"/>
      <c r="J717" s="238"/>
      <c r="K717" s="238"/>
      <c r="L717" s="238"/>
      <c r="M717" s="238"/>
      <c r="N717" s="238"/>
      <c r="O717" s="238"/>
      <c r="P717" s="238"/>
      <c r="Q717" s="238"/>
      <c r="R717" s="238"/>
      <c r="S717" s="238"/>
      <c r="T717" s="238"/>
      <c r="U717" s="238"/>
      <c r="V717" s="238"/>
      <c r="W717" s="238"/>
      <c r="X717" s="238"/>
      <c r="Y717" s="238"/>
      <c r="Z717" s="238"/>
    </row>
    <row r="718" spans="1:26" ht="16.5" customHeight="1">
      <c r="A718" s="238"/>
      <c r="B718" s="238"/>
      <c r="C718" s="238"/>
      <c r="D718" s="238"/>
      <c r="E718" s="238"/>
      <c r="F718" s="238"/>
      <c r="G718" s="238"/>
      <c r="H718" s="238"/>
      <c r="I718" s="238"/>
      <c r="J718" s="238"/>
      <c r="K718" s="238"/>
      <c r="L718" s="238"/>
      <c r="M718" s="238"/>
      <c r="N718" s="238"/>
      <c r="O718" s="238"/>
      <c r="P718" s="238"/>
      <c r="Q718" s="238"/>
      <c r="R718" s="238"/>
      <c r="S718" s="238"/>
      <c r="T718" s="238"/>
      <c r="U718" s="238"/>
      <c r="V718" s="238"/>
      <c r="W718" s="238"/>
      <c r="X718" s="238"/>
      <c r="Y718" s="238"/>
      <c r="Z718" s="238"/>
    </row>
    <row r="719" spans="1:26" ht="16.5" customHeight="1">
      <c r="A719" s="238"/>
      <c r="B719" s="238"/>
      <c r="C719" s="238"/>
      <c r="D719" s="238"/>
      <c r="E719" s="238"/>
      <c r="F719" s="238"/>
      <c r="G719" s="238"/>
      <c r="H719" s="238"/>
      <c r="I719" s="238"/>
      <c r="J719" s="238"/>
      <c r="K719" s="238"/>
      <c r="L719" s="238"/>
      <c r="M719" s="238"/>
      <c r="N719" s="238"/>
      <c r="O719" s="238"/>
      <c r="P719" s="238"/>
      <c r="Q719" s="238"/>
      <c r="R719" s="238"/>
      <c r="S719" s="238"/>
      <c r="T719" s="238"/>
      <c r="U719" s="238"/>
      <c r="V719" s="238"/>
      <c r="W719" s="238"/>
      <c r="X719" s="238"/>
      <c r="Y719" s="238"/>
      <c r="Z719" s="238"/>
    </row>
    <row r="720" spans="1:26" ht="16.5" customHeight="1">
      <c r="A720" s="238"/>
      <c r="B720" s="238"/>
      <c r="C720" s="238"/>
      <c r="D720" s="238"/>
      <c r="E720" s="238"/>
      <c r="F720" s="238"/>
      <c r="G720" s="238"/>
      <c r="H720" s="238"/>
      <c r="I720" s="238"/>
      <c r="J720" s="238"/>
      <c r="K720" s="238"/>
      <c r="L720" s="238"/>
      <c r="M720" s="238"/>
      <c r="N720" s="238"/>
      <c r="O720" s="238"/>
      <c r="P720" s="238"/>
      <c r="Q720" s="238"/>
      <c r="R720" s="238"/>
      <c r="S720" s="238"/>
      <c r="T720" s="238"/>
      <c r="U720" s="238"/>
      <c r="V720" s="238"/>
      <c r="W720" s="238"/>
      <c r="X720" s="238"/>
      <c r="Y720" s="238"/>
      <c r="Z720" s="238"/>
    </row>
    <row r="721" spans="1:26" ht="16.5" customHeight="1">
      <c r="A721" s="238"/>
      <c r="B721" s="238"/>
      <c r="C721" s="238"/>
      <c r="D721" s="238"/>
      <c r="E721" s="238"/>
      <c r="F721" s="238"/>
      <c r="G721" s="238"/>
      <c r="H721" s="238"/>
      <c r="I721" s="238"/>
      <c r="J721" s="238"/>
      <c r="K721" s="238"/>
      <c r="L721" s="238"/>
      <c r="M721" s="238"/>
      <c r="N721" s="238"/>
      <c r="O721" s="238"/>
      <c r="P721" s="238"/>
      <c r="Q721" s="238"/>
      <c r="R721" s="238"/>
      <c r="S721" s="238"/>
      <c r="T721" s="238"/>
      <c r="U721" s="238"/>
      <c r="V721" s="238"/>
      <c r="W721" s="238"/>
      <c r="X721" s="238"/>
      <c r="Y721" s="238"/>
      <c r="Z721" s="238"/>
    </row>
    <row r="722" spans="1:26" ht="16.5" customHeight="1">
      <c r="A722" s="238"/>
      <c r="B722" s="238"/>
      <c r="C722" s="238"/>
      <c r="D722" s="238"/>
      <c r="E722" s="238"/>
      <c r="F722" s="238"/>
      <c r="G722" s="238"/>
      <c r="H722" s="238"/>
      <c r="I722" s="238"/>
      <c r="J722" s="238"/>
      <c r="K722" s="238"/>
      <c r="L722" s="238"/>
      <c r="M722" s="238"/>
      <c r="N722" s="238"/>
      <c r="O722" s="238"/>
      <c r="P722" s="238"/>
      <c r="Q722" s="238"/>
      <c r="R722" s="238"/>
      <c r="S722" s="238"/>
      <c r="T722" s="238"/>
      <c r="U722" s="238"/>
      <c r="V722" s="238"/>
      <c r="W722" s="238"/>
      <c r="X722" s="238"/>
      <c r="Y722" s="238"/>
      <c r="Z722" s="238"/>
    </row>
    <row r="723" spans="1:26" ht="16.5" customHeight="1">
      <c r="A723" s="238"/>
      <c r="B723" s="238"/>
      <c r="C723" s="238"/>
      <c r="D723" s="238"/>
      <c r="E723" s="238"/>
      <c r="F723" s="238"/>
      <c r="G723" s="238"/>
      <c r="H723" s="238"/>
      <c r="I723" s="238"/>
      <c r="J723" s="238"/>
      <c r="K723" s="238"/>
      <c r="L723" s="238"/>
      <c r="M723" s="238"/>
      <c r="N723" s="238"/>
      <c r="O723" s="238"/>
      <c r="P723" s="238"/>
      <c r="Q723" s="238"/>
      <c r="R723" s="238"/>
      <c r="S723" s="238"/>
      <c r="T723" s="238"/>
      <c r="U723" s="238"/>
      <c r="V723" s="238"/>
      <c r="W723" s="238"/>
      <c r="X723" s="238"/>
      <c r="Y723" s="238"/>
      <c r="Z723" s="238"/>
    </row>
    <row r="724" spans="1:26" ht="16.5" customHeight="1">
      <c r="A724" s="238"/>
      <c r="B724" s="238"/>
      <c r="C724" s="238"/>
      <c r="D724" s="238"/>
      <c r="E724" s="238"/>
      <c r="F724" s="238"/>
      <c r="G724" s="238"/>
      <c r="H724" s="238"/>
      <c r="I724" s="238"/>
      <c r="J724" s="238"/>
      <c r="K724" s="238"/>
      <c r="L724" s="238"/>
      <c r="M724" s="238"/>
      <c r="N724" s="238"/>
      <c r="O724" s="238"/>
      <c r="P724" s="238"/>
      <c r="Q724" s="238"/>
      <c r="R724" s="238"/>
      <c r="S724" s="238"/>
      <c r="T724" s="238"/>
      <c r="U724" s="238"/>
      <c r="V724" s="238"/>
      <c r="W724" s="238"/>
      <c r="X724" s="238"/>
      <c r="Y724" s="238"/>
      <c r="Z724" s="238"/>
    </row>
    <row r="725" spans="1:26" ht="16.5" customHeight="1">
      <c r="A725" s="238"/>
      <c r="B725" s="238"/>
      <c r="C725" s="238"/>
      <c r="D725" s="238"/>
      <c r="E725" s="238"/>
      <c r="F725" s="238"/>
      <c r="G725" s="238"/>
      <c r="H725" s="238"/>
      <c r="I725" s="238"/>
      <c r="J725" s="238"/>
      <c r="K725" s="238"/>
      <c r="L725" s="238"/>
      <c r="M725" s="238"/>
      <c r="N725" s="238"/>
      <c r="O725" s="238"/>
      <c r="P725" s="238"/>
      <c r="Q725" s="238"/>
      <c r="R725" s="238"/>
      <c r="S725" s="238"/>
      <c r="T725" s="238"/>
      <c r="U725" s="238"/>
      <c r="V725" s="238"/>
      <c r="W725" s="238"/>
      <c r="X725" s="238"/>
      <c r="Y725" s="238"/>
      <c r="Z725" s="238"/>
    </row>
    <row r="726" spans="1:26" ht="16.5" customHeight="1">
      <c r="A726" s="238"/>
      <c r="B726" s="238"/>
      <c r="C726" s="238"/>
      <c r="D726" s="238"/>
      <c r="E726" s="238"/>
      <c r="F726" s="238"/>
      <c r="G726" s="238"/>
      <c r="H726" s="238"/>
      <c r="I726" s="238"/>
      <c r="J726" s="238"/>
      <c r="K726" s="238"/>
      <c r="L726" s="238"/>
      <c r="M726" s="238"/>
      <c r="N726" s="238"/>
      <c r="O726" s="238"/>
      <c r="P726" s="238"/>
      <c r="Q726" s="238"/>
      <c r="R726" s="238"/>
      <c r="S726" s="238"/>
      <c r="T726" s="238"/>
      <c r="U726" s="238"/>
      <c r="V726" s="238"/>
      <c r="W726" s="238"/>
      <c r="X726" s="238"/>
      <c r="Y726" s="238"/>
      <c r="Z726" s="238"/>
    </row>
    <row r="727" spans="1:26" ht="16.5" customHeight="1">
      <c r="A727" s="238"/>
      <c r="B727" s="238"/>
      <c r="C727" s="238"/>
      <c r="D727" s="238"/>
      <c r="E727" s="238"/>
      <c r="F727" s="238"/>
      <c r="G727" s="238"/>
      <c r="H727" s="238"/>
      <c r="I727" s="238"/>
      <c r="J727" s="238"/>
      <c r="K727" s="238"/>
      <c r="L727" s="238"/>
      <c r="M727" s="238"/>
      <c r="N727" s="238"/>
      <c r="O727" s="238"/>
      <c r="P727" s="238"/>
      <c r="Q727" s="238"/>
      <c r="R727" s="238"/>
      <c r="S727" s="238"/>
      <c r="T727" s="238"/>
      <c r="U727" s="238"/>
      <c r="V727" s="238"/>
      <c r="W727" s="238"/>
      <c r="X727" s="238"/>
      <c r="Y727" s="238"/>
      <c r="Z727" s="238"/>
    </row>
    <row r="728" spans="1:26" ht="16.5" customHeight="1">
      <c r="A728" s="238"/>
      <c r="B728" s="238"/>
      <c r="C728" s="238"/>
      <c r="D728" s="238"/>
      <c r="E728" s="238"/>
      <c r="F728" s="238"/>
      <c r="G728" s="238"/>
      <c r="H728" s="238"/>
      <c r="I728" s="238"/>
      <c r="J728" s="238"/>
      <c r="K728" s="238"/>
      <c r="L728" s="238"/>
      <c r="M728" s="238"/>
      <c r="N728" s="238"/>
      <c r="O728" s="238"/>
      <c r="P728" s="238"/>
      <c r="Q728" s="238"/>
      <c r="R728" s="238"/>
      <c r="S728" s="238"/>
      <c r="T728" s="238"/>
      <c r="U728" s="238"/>
      <c r="V728" s="238"/>
      <c r="W728" s="238"/>
      <c r="X728" s="238"/>
      <c r="Y728" s="238"/>
      <c r="Z728" s="238"/>
    </row>
    <row r="729" spans="1:26" ht="16.5" customHeight="1">
      <c r="A729" s="238"/>
      <c r="B729" s="238"/>
      <c r="C729" s="238"/>
      <c r="D729" s="238"/>
      <c r="E729" s="238"/>
      <c r="F729" s="238"/>
      <c r="G729" s="238"/>
      <c r="H729" s="238"/>
      <c r="I729" s="238"/>
      <c r="J729" s="238"/>
      <c r="K729" s="238"/>
      <c r="L729" s="238"/>
      <c r="M729" s="238"/>
      <c r="N729" s="238"/>
      <c r="O729" s="238"/>
      <c r="P729" s="238"/>
      <c r="Q729" s="238"/>
      <c r="R729" s="238"/>
      <c r="S729" s="238"/>
      <c r="T729" s="238"/>
      <c r="U729" s="238"/>
      <c r="V729" s="238"/>
      <c r="W729" s="238"/>
      <c r="X729" s="238"/>
      <c r="Y729" s="238"/>
      <c r="Z729" s="238"/>
    </row>
    <row r="730" spans="1:26" ht="16.5" customHeight="1">
      <c r="A730" s="238"/>
      <c r="B730" s="238"/>
      <c r="C730" s="238"/>
      <c r="D730" s="238"/>
      <c r="E730" s="238"/>
      <c r="F730" s="238"/>
      <c r="G730" s="238"/>
      <c r="H730" s="238"/>
      <c r="I730" s="238"/>
      <c r="J730" s="238"/>
      <c r="K730" s="238"/>
      <c r="L730" s="238"/>
      <c r="M730" s="238"/>
      <c r="N730" s="238"/>
      <c r="O730" s="238"/>
      <c r="P730" s="238"/>
      <c r="Q730" s="238"/>
      <c r="R730" s="238"/>
      <c r="S730" s="238"/>
      <c r="T730" s="238"/>
      <c r="U730" s="238"/>
      <c r="V730" s="238"/>
      <c r="W730" s="238"/>
      <c r="X730" s="238"/>
      <c r="Y730" s="238"/>
      <c r="Z730" s="238"/>
    </row>
    <row r="731" spans="1:26" ht="16.5" customHeight="1">
      <c r="A731" s="238"/>
      <c r="B731" s="238"/>
      <c r="C731" s="238"/>
      <c r="D731" s="238"/>
      <c r="E731" s="238"/>
      <c r="F731" s="238"/>
      <c r="G731" s="238"/>
      <c r="H731" s="238"/>
      <c r="I731" s="238"/>
      <c r="J731" s="238"/>
      <c r="K731" s="238"/>
      <c r="L731" s="238"/>
      <c r="M731" s="238"/>
      <c r="N731" s="238"/>
      <c r="O731" s="238"/>
      <c r="P731" s="238"/>
      <c r="Q731" s="238"/>
      <c r="R731" s="238"/>
      <c r="S731" s="238"/>
      <c r="T731" s="238"/>
      <c r="U731" s="238"/>
      <c r="V731" s="238"/>
      <c r="W731" s="238"/>
      <c r="X731" s="238"/>
      <c r="Y731" s="238"/>
      <c r="Z731" s="238"/>
    </row>
    <row r="732" spans="1:26" ht="16.5" customHeight="1">
      <c r="A732" s="238"/>
      <c r="B732" s="238"/>
      <c r="C732" s="238"/>
      <c r="D732" s="238"/>
      <c r="E732" s="238"/>
      <c r="F732" s="238"/>
      <c r="G732" s="238"/>
      <c r="H732" s="238"/>
      <c r="I732" s="238"/>
      <c r="J732" s="238"/>
      <c r="K732" s="238"/>
      <c r="L732" s="238"/>
      <c r="M732" s="238"/>
      <c r="N732" s="238"/>
      <c r="O732" s="238"/>
      <c r="P732" s="238"/>
      <c r="Q732" s="238"/>
      <c r="R732" s="238"/>
      <c r="S732" s="238"/>
      <c r="T732" s="238"/>
      <c r="U732" s="238"/>
      <c r="V732" s="238"/>
      <c r="W732" s="238"/>
      <c r="X732" s="238"/>
      <c r="Y732" s="238"/>
      <c r="Z732" s="238"/>
    </row>
    <row r="733" spans="1:26" ht="16.5" customHeight="1">
      <c r="A733" s="238"/>
      <c r="B733" s="238"/>
      <c r="C733" s="238"/>
      <c r="D733" s="238"/>
      <c r="E733" s="238"/>
      <c r="F733" s="238"/>
      <c r="G733" s="238"/>
      <c r="H733" s="238"/>
      <c r="I733" s="238"/>
      <c r="J733" s="238"/>
      <c r="K733" s="238"/>
      <c r="L733" s="238"/>
      <c r="M733" s="238"/>
      <c r="N733" s="238"/>
      <c r="O733" s="238"/>
      <c r="P733" s="238"/>
      <c r="Q733" s="238"/>
      <c r="R733" s="238"/>
      <c r="S733" s="238"/>
      <c r="T733" s="238"/>
      <c r="U733" s="238"/>
      <c r="V733" s="238"/>
      <c r="W733" s="238"/>
      <c r="X733" s="238"/>
      <c r="Y733" s="238"/>
      <c r="Z733" s="238"/>
    </row>
    <row r="734" spans="1:26" ht="16.5" customHeight="1">
      <c r="A734" s="238"/>
      <c r="B734" s="238"/>
      <c r="C734" s="238"/>
      <c r="D734" s="238"/>
      <c r="E734" s="238"/>
      <c r="F734" s="238"/>
      <c r="G734" s="238"/>
      <c r="H734" s="238"/>
      <c r="I734" s="238"/>
      <c r="J734" s="238"/>
      <c r="K734" s="238"/>
      <c r="L734" s="238"/>
      <c r="M734" s="238"/>
      <c r="N734" s="238"/>
      <c r="O734" s="238"/>
      <c r="P734" s="238"/>
      <c r="Q734" s="238"/>
      <c r="R734" s="238"/>
      <c r="S734" s="238"/>
      <c r="T734" s="238"/>
      <c r="U734" s="238"/>
      <c r="V734" s="238"/>
      <c r="W734" s="238"/>
      <c r="X734" s="238"/>
      <c r="Y734" s="238"/>
      <c r="Z734" s="238"/>
    </row>
    <row r="735" spans="1:26" ht="16.5" customHeight="1">
      <c r="A735" s="238"/>
      <c r="B735" s="238"/>
      <c r="C735" s="238"/>
      <c r="D735" s="238"/>
      <c r="E735" s="238"/>
      <c r="F735" s="238"/>
      <c r="G735" s="238"/>
      <c r="H735" s="238"/>
      <c r="I735" s="238"/>
      <c r="J735" s="238"/>
      <c r="K735" s="238"/>
      <c r="L735" s="238"/>
      <c r="M735" s="238"/>
      <c r="N735" s="238"/>
      <c r="O735" s="238"/>
      <c r="P735" s="238"/>
      <c r="Q735" s="238"/>
      <c r="R735" s="238"/>
      <c r="S735" s="238"/>
      <c r="T735" s="238"/>
      <c r="U735" s="238"/>
      <c r="V735" s="238"/>
      <c r="W735" s="238"/>
      <c r="X735" s="238"/>
      <c r="Y735" s="238"/>
      <c r="Z735" s="238"/>
    </row>
    <row r="736" spans="1:26" ht="16.5" customHeight="1">
      <c r="A736" s="238"/>
      <c r="B736" s="238"/>
      <c r="C736" s="238"/>
      <c r="D736" s="238"/>
      <c r="E736" s="238"/>
      <c r="F736" s="238"/>
      <c r="G736" s="238"/>
      <c r="H736" s="238"/>
      <c r="I736" s="238"/>
      <c r="J736" s="238"/>
      <c r="K736" s="238"/>
      <c r="L736" s="238"/>
      <c r="M736" s="238"/>
      <c r="N736" s="238"/>
      <c r="O736" s="238"/>
      <c r="P736" s="238"/>
      <c r="Q736" s="238"/>
      <c r="R736" s="238"/>
      <c r="S736" s="238"/>
      <c r="T736" s="238"/>
      <c r="U736" s="238"/>
      <c r="V736" s="238"/>
      <c r="W736" s="238"/>
      <c r="X736" s="238"/>
      <c r="Y736" s="238"/>
      <c r="Z736" s="238"/>
    </row>
    <row r="737" spans="1:26" ht="16.5" customHeight="1">
      <c r="A737" s="238"/>
      <c r="B737" s="238"/>
      <c r="C737" s="238"/>
      <c r="D737" s="238"/>
      <c r="E737" s="238"/>
      <c r="F737" s="238"/>
      <c r="G737" s="238"/>
      <c r="H737" s="238"/>
      <c r="I737" s="238"/>
      <c r="J737" s="238"/>
      <c r="K737" s="238"/>
      <c r="L737" s="238"/>
      <c r="M737" s="238"/>
      <c r="N737" s="238"/>
      <c r="O737" s="238"/>
      <c r="P737" s="238"/>
      <c r="Q737" s="238"/>
      <c r="R737" s="238"/>
      <c r="S737" s="238"/>
      <c r="T737" s="238"/>
      <c r="U737" s="238"/>
      <c r="V737" s="238"/>
      <c r="W737" s="238"/>
      <c r="X737" s="238"/>
      <c r="Y737" s="238"/>
      <c r="Z737" s="238"/>
    </row>
    <row r="738" spans="1:26" ht="16.5" customHeight="1">
      <c r="A738" s="238"/>
      <c r="B738" s="238"/>
      <c r="C738" s="238"/>
      <c r="D738" s="238"/>
      <c r="E738" s="238"/>
      <c r="F738" s="238"/>
      <c r="G738" s="238"/>
      <c r="H738" s="238"/>
      <c r="I738" s="238"/>
      <c r="J738" s="238"/>
      <c r="K738" s="238"/>
      <c r="L738" s="238"/>
      <c r="M738" s="238"/>
      <c r="N738" s="238"/>
      <c r="O738" s="238"/>
      <c r="P738" s="238"/>
      <c r="Q738" s="238"/>
      <c r="R738" s="238"/>
      <c r="S738" s="238"/>
      <c r="T738" s="238"/>
      <c r="U738" s="238"/>
      <c r="V738" s="238"/>
      <c r="W738" s="238"/>
      <c r="X738" s="238"/>
      <c r="Y738" s="238"/>
      <c r="Z738" s="238"/>
    </row>
    <row r="739" spans="1:26" ht="16.5" customHeight="1">
      <c r="A739" s="238"/>
      <c r="B739" s="238"/>
      <c r="C739" s="238"/>
      <c r="D739" s="238"/>
      <c r="E739" s="238"/>
      <c r="F739" s="238"/>
      <c r="G739" s="238"/>
      <c r="H739" s="238"/>
      <c r="I739" s="238"/>
      <c r="J739" s="238"/>
      <c r="K739" s="238"/>
      <c r="L739" s="238"/>
      <c r="M739" s="238"/>
      <c r="N739" s="238"/>
      <c r="O739" s="238"/>
      <c r="P739" s="238"/>
      <c r="Q739" s="238"/>
      <c r="R739" s="238"/>
      <c r="S739" s="238"/>
      <c r="T739" s="238"/>
      <c r="U739" s="238"/>
      <c r="V739" s="238"/>
      <c r="W739" s="238"/>
      <c r="X739" s="238"/>
      <c r="Y739" s="238"/>
      <c r="Z739" s="238"/>
    </row>
    <row r="740" spans="1:26" ht="16.5" customHeight="1">
      <c r="A740" s="238"/>
      <c r="B740" s="238"/>
      <c r="C740" s="238"/>
      <c r="D740" s="238"/>
      <c r="E740" s="238"/>
      <c r="F740" s="238"/>
      <c r="G740" s="238"/>
      <c r="H740" s="238"/>
      <c r="I740" s="238"/>
      <c r="J740" s="238"/>
      <c r="K740" s="238"/>
      <c r="L740" s="238"/>
      <c r="M740" s="238"/>
      <c r="N740" s="238"/>
      <c r="O740" s="238"/>
      <c r="P740" s="238"/>
      <c r="Q740" s="238"/>
      <c r="R740" s="238"/>
      <c r="S740" s="238"/>
      <c r="T740" s="238"/>
      <c r="U740" s="238"/>
      <c r="V740" s="238"/>
      <c r="W740" s="238"/>
      <c r="X740" s="238"/>
      <c r="Y740" s="238"/>
      <c r="Z740" s="238"/>
    </row>
    <row r="741" spans="1:26" ht="16.5" customHeight="1">
      <c r="A741" s="238"/>
      <c r="B741" s="238"/>
      <c r="C741" s="238"/>
      <c r="D741" s="238"/>
      <c r="E741" s="238"/>
      <c r="F741" s="238"/>
      <c r="G741" s="238"/>
      <c r="H741" s="238"/>
      <c r="I741" s="238"/>
      <c r="J741" s="238"/>
      <c r="K741" s="238"/>
      <c r="L741" s="238"/>
      <c r="M741" s="238"/>
      <c r="N741" s="238"/>
      <c r="O741" s="238"/>
      <c r="P741" s="238"/>
      <c r="Q741" s="238"/>
      <c r="R741" s="238"/>
      <c r="S741" s="238"/>
      <c r="T741" s="238"/>
      <c r="U741" s="238"/>
      <c r="V741" s="238"/>
      <c r="W741" s="238"/>
      <c r="X741" s="238"/>
      <c r="Y741" s="238"/>
      <c r="Z741" s="238"/>
    </row>
    <row r="742" spans="1:26" ht="16.5" customHeight="1">
      <c r="A742" s="238"/>
      <c r="B742" s="238"/>
      <c r="C742" s="238"/>
      <c r="D742" s="238"/>
      <c r="E742" s="238"/>
      <c r="F742" s="238"/>
      <c r="G742" s="238"/>
      <c r="H742" s="238"/>
      <c r="I742" s="238"/>
      <c r="J742" s="238"/>
      <c r="K742" s="238"/>
      <c r="L742" s="238"/>
      <c r="M742" s="238"/>
      <c r="N742" s="238"/>
      <c r="O742" s="238"/>
      <c r="P742" s="238"/>
      <c r="Q742" s="238"/>
      <c r="R742" s="238"/>
      <c r="S742" s="238"/>
      <c r="T742" s="238"/>
      <c r="U742" s="238"/>
      <c r="V742" s="238"/>
      <c r="W742" s="238"/>
      <c r="X742" s="238"/>
      <c r="Y742" s="238"/>
      <c r="Z742" s="238"/>
    </row>
    <row r="743" spans="1:26" ht="16.5" customHeight="1">
      <c r="A743" s="238"/>
      <c r="B743" s="238"/>
      <c r="C743" s="238"/>
      <c r="D743" s="238"/>
      <c r="E743" s="238"/>
      <c r="F743" s="238"/>
      <c r="G743" s="238"/>
      <c r="H743" s="238"/>
      <c r="I743" s="238"/>
      <c r="J743" s="238"/>
      <c r="K743" s="238"/>
      <c r="L743" s="238"/>
      <c r="M743" s="238"/>
      <c r="N743" s="238"/>
      <c r="O743" s="238"/>
      <c r="P743" s="238"/>
      <c r="Q743" s="238"/>
      <c r="R743" s="238"/>
      <c r="S743" s="238"/>
      <c r="T743" s="238"/>
      <c r="U743" s="238"/>
      <c r="V743" s="238"/>
      <c r="W743" s="238"/>
      <c r="X743" s="238"/>
      <c r="Y743" s="238"/>
      <c r="Z743" s="238"/>
    </row>
    <row r="744" spans="1:26" ht="16.5" customHeight="1">
      <c r="A744" s="238"/>
      <c r="B744" s="238"/>
      <c r="C744" s="238"/>
      <c r="D744" s="238"/>
      <c r="E744" s="238"/>
      <c r="F744" s="238"/>
      <c r="G744" s="238"/>
      <c r="H744" s="238"/>
      <c r="I744" s="238"/>
      <c r="J744" s="238"/>
      <c r="K744" s="238"/>
      <c r="L744" s="238"/>
      <c r="M744" s="238"/>
      <c r="N744" s="238"/>
      <c r="O744" s="238"/>
      <c r="P744" s="238"/>
      <c r="Q744" s="238"/>
      <c r="R744" s="238"/>
      <c r="S744" s="238"/>
      <c r="T744" s="238"/>
      <c r="U744" s="238"/>
      <c r="V744" s="238"/>
      <c r="W744" s="238"/>
      <c r="X744" s="238"/>
      <c r="Y744" s="238"/>
      <c r="Z744" s="238"/>
    </row>
    <row r="745" spans="1:26" ht="16.5" customHeight="1">
      <c r="A745" s="238"/>
      <c r="B745" s="238"/>
      <c r="C745" s="238"/>
      <c r="D745" s="238"/>
      <c r="E745" s="238"/>
      <c r="F745" s="238"/>
      <c r="G745" s="238"/>
      <c r="H745" s="238"/>
      <c r="I745" s="238"/>
      <c r="J745" s="238"/>
      <c r="K745" s="238"/>
      <c r="L745" s="238"/>
      <c r="M745" s="238"/>
      <c r="N745" s="238"/>
      <c r="O745" s="238"/>
      <c r="P745" s="238"/>
      <c r="Q745" s="238"/>
      <c r="R745" s="238"/>
      <c r="S745" s="238"/>
      <c r="T745" s="238"/>
      <c r="U745" s="238"/>
      <c r="V745" s="238"/>
      <c r="W745" s="238"/>
      <c r="X745" s="238"/>
      <c r="Y745" s="238"/>
      <c r="Z745" s="238"/>
    </row>
    <row r="746" spans="1:26" ht="16.5" customHeight="1">
      <c r="A746" s="238"/>
      <c r="B746" s="238"/>
      <c r="C746" s="238"/>
      <c r="D746" s="238"/>
      <c r="E746" s="238"/>
      <c r="F746" s="238"/>
      <c r="G746" s="238"/>
      <c r="H746" s="238"/>
      <c r="I746" s="238"/>
      <c r="J746" s="238"/>
      <c r="K746" s="238"/>
      <c r="L746" s="238"/>
      <c r="M746" s="238"/>
      <c r="N746" s="238"/>
      <c r="O746" s="238"/>
      <c r="P746" s="238"/>
      <c r="Q746" s="238"/>
      <c r="R746" s="238"/>
      <c r="S746" s="238"/>
      <c r="T746" s="238"/>
      <c r="U746" s="238"/>
      <c r="V746" s="238"/>
      <c r="W746" s="238"/>
      <c r="X746" s="238"/>
      <c r="Y746" s="238"/>
      <c r="Z746" s="238"/>
    </row>
    <row r="747" spans="1:26" ht="16.5" customHeight="1">
      <c r="A747" s="238"/>
      <c r="B747" s="238"/>
      <c r="C747" s="238"/>
      <c r="D747" s="238"/>
      <c r="E747" s="238"/>
      <c r="F747" s="238"/>
      <c r="G747" s="238"/>
      <c r="H747" s="238"/>
      <c r="I747" s="238"/>
      <c r="J747" s="238"/>
      <c r="K747" s="238"/>
      <c r="L747" s="238"/>
      <c r="M747" s="238"/>
      <c r="N747" s="238"/>
      <c r="O747" s="238"/>
      <c r="P747" s="238"/>
      <c r="Q747" s="238"/>
      <c r="R747" s="238"/>
      <c r="S747" s="238"/>
      <c r="T747" s="238"/>
      <c r="U747" s="238"/>
      <c r="V747" s="238"/>
      <c r="W747" s="238"/>
      <c r="X747" s="238"/>
      <c r="Y747" s="238"/>
      <c r="Z747" s="238"/>
    </row>
    <row r="748" spans="1:26" ht="16.5" customHeight="1">
      <c r="A748" s="238"/>
      <c r="B748" s="238"/>
      <c r="C748" s="238"/>
      <c r="D748" s="238"/>
      <c r="E748" s="238"/>
      <c r="F748" s="238"/>
      <c r="G748" s="238"/>
      <c r="H748" s="238"/>
      <c r="I748" s="238"/>
      <c r="J748" s="238"/>
      <c r="K748" s="238"/>
      <c r="L748" s="238"/>
      <c r="M748" s="238"/>
      <c r="N748" s="238"/>
      <c r="O748" s="238"/>
      <c r="P748" s="238"/>
      <c r="Q748" s="238"/>
      <c r="R748" s="238"/>
      <c r="S748" s="238"/>
      <c r="T748" s="238"/>
      <c r="U748" s="238"/>
      <c r="V748" s="238"/>
      <c r="W748" s="238"/>
      <c r="X748" s="238"/>
      <c r="Y748" s="238"/>
      <c r="Z748" s="238"/>
    </row>
    <row r="749" spans="1:26" ht="16.5" customHeight="1">
      <c r="A749" s="238"/>
      <c r="B749" s="238"/>
      <c r="C749" s="238"/>
      <c r="D749" s="238"/>
      <c r="E749" s="238"/>
      <c r="F749" s="238"/>
      <c r="G749" s="238"/>
      <c r="H749" s="238"/>
      <c r="I749" s="238"/>
      <c r="J749" s="238"/>
      <c r="K749" s="238"/>
      <c r="L749" s="238"/>
      <c r="M749" s="238"/>
      <c r="N749" s="238"/>
      <c r="O749" s="238"/>
      <c r="P749" s="238"/>
      <c r="Q749" s="238"/>
      <c r="R749" s="238"/>
      <c r="S749" s="238"/>
      <c r="T749" s="238"/>
      <c r="U749" s="238"/>
      <c r="V749" s="238"/>
      <c r="W749" s="238"/>
      <c r="X749" s="238"/>
      <c r="Y749" s="238"/>
      <c r="Z749" s="238"/>
    </row>
    <row r="750" spans="1:26" ht="16.5" customHeight="1">
      <c r="A750" s="238"/>
      <c r="B750" s="238"/>
      <c r="C750" s="238"/>
      <c r="D750" s="238"/>
      <c r="E750" s="238"/>
      <c r="F750" s="238"/>
      <c r="G750" s="238"/>
      <c r="H750" s="238"/>
      <c r="I750" s="238"/>
      <c r="J750" s="238"/>
      <c r="K750" s="238"/>
      <c r="L750" s="238"/>
      <c r="M750" s="238"/>
      <c r="N750" s="238"/>
      <c r="O750" s="238"/>
      <c r="P750" s="238"/>
      <c r="Q750" s="238"/>
      <c r="R750" s="238"/>
      <c r="S750" s="238"/>
      <c r="T750" s="238"/>
      <c r="U750" s="238"/>
      <c r="V750" s="238"/>
      <c r="W750" s="238"/>
      <c r="X750" s="238"/>
      <c r="Y750" s="238"/>
      <c r="Z750" s="238"/>
    </row>
    <row r="751" spans="1:26" ht="16.5" customHeight="1">
      <c r="A751" s="238"/>
      <c r="B751" s="238"/>
      <c r="C751" s="238"/>
      <c r="D751" s="238"/>
      <c r="E751" s="238"/>
      <c r="F751" s="238"/>
      <c r="G751" s="238"/>
      <c r="H751" s="238"/>
      <c r="I751" s="238"/>
      <c r="J751" s="238"/>
      <c r="K751" s="238"/>
      <c r="L751" s="238"/>
      <c r="M751" s="238"/>
      <c r="N751" s="238"/>
      <c r="O751" s="238"/>
      <c r="P751" s="238"/>
      <c r="Q751" s="238"/>
      <c r="R751" s="238"/>
      <c r="S751" s="238"/>
      <c r="T751" s="238"/>
      <c r="U751" s="238"/>
      <c r="V751" s="238"/>
      <c r="W751" s="238"/>
      <c r="X751" s="238"/>
      <c r="Y751" s="238"/>
      <c r="Z751" s="238"/>
    </row>
    <row r="752" spans="1:26" ht="16.5" customHeight="1">
      <c r="A752" s="238"/>
      <c r="B752" s="238"/>
      <c r="C752" s="238"/>
      <c r="D752" s="238"/>
      <c r="E752" s="238"/>
      <c r="F752" s="238"/>
      <c r="G752" s="238"/>
      <c r="H752" s="238"/>
      <c r="I752" s="238"/>
      <c r="J752" s="238"/>
      <c r="K752" s="238"/>
      <c r="L752" s="238"/>
      <c r="M752" s="238"/>
      <c r="N752" s="238"/>
      <c r="O752" s="238"/>
      <c r="P752" s="238"/>
      <c r="Q752" s="238"/>
      <c r="R752" s="238"/>
      <c r="S752" s="238"/>
      <c r="T752" s="238"/>
      <c r="U752" s="238"/>
      <c r="V752" s="238"/>
      <c r="W752" s="238"/>
      <c r="X752" s="238"/>
      <c r="Y752" s="238"/>
      <c r="Z752" s="238"/>
    </row>
    <row r="753" spans="1:26" ht="16.5" customHeight="1">
      <c r="A753" s="238"/>
      <c r="B753" s="238"/>
      <c r="C753" s="238"/>
      <c r="D753" s="238"/>
      <c r="E753" s="238"/>
      <c r="F753" s="238"/>
      <c r="G753" s="238"/>
      <c r="H753" s="238"/>
      <c r="I753" s="238"/>
      <c r="J753" s="238"/>
      <c r="K753" s="238"/>
      <c r="L753" s="238"/>
      <c r="M753" s="238"/>
      <c r="N753" s="238"/>
      <c r="O753" s="238"/>
      <c r="P753" s="238"/>
      <c r="Q753" s="238"/>
      <c r="R753" s="238"/>
      <c r="S753" s="238"/>
      <c r="T753" s="238"/>
      <c r="U753" s="238"/>
      <c r="V753" s="238"/>
      <c r="W753" s="238"/>
      <c r="X753" s="238"/>
      <c r="Y753" s="238"/>
      <c r="Z753" s="238"/>
    </row>
    <row r="754" spans="1:26" ht="16.5" customHeight="1">
      <c r="A754" s="238"/>
      <c r="B754" s="238"/>
      <c r="C754" s="238"/>
      <c r="D754" s="238"/>
      <c r="E754" s="238"/>
      <c r="F754" s="238"/>
      <c r="G754" s="238"/>
      <c r="H754" s="238"/>
      <c r="I754" s="238"/>
      <c r="J754" s="238"/>
      <c r="K754" s="238"/>
      <c r="L754" s="238"/>
      <c r="M754" s="238"/>
      <c r="N754" s="238"/>
      <c r="O754" s="238"/>
      <c r="P754" s="238"/>
      <c r="Q754" s="238"/>
      <c r="R754" s="238"/>
      <c r="S754" s="238"/>
      <c r="T754" s="238"/>
      <c r="U754" s="238"/>
      <c r="V754" s="238"/>
      <c r="W754" s="238"/>
      <c r="X754" s="238"/>
      <c r="Y754" s="238"/>
      <c r="Z754" s="238"/>
    </row>
    <row r="755" spans="1:26" ht="16.5" customHeight="1">
      <c r="A755" s="238"/>
      <c r="B755" s="238"/>
      <c r="C755" s="238"/>
      <c r="D755" s="238"/>
      <c r="E755" s="238"/>
      <c r="F755" s="238"/>
      <c r="G755" s="238"/>
      <c r="H755" s="238"/>
      <c r="I755" s="238"/>
      <c r="J755" s="238"/>
      <c r="K755" s="238"/>
      <c r="L755" s="238"/>
      <c r="M755" s="238"/>
      <c r="N755" s="238"/>
      <c r="O755" s="238"/>
      <c r="P755" s="238"/>
      <c r="Q755" s="238"/>
      <c r="R755" s="238"/>
      <c r="S755" s="238"/>
      <c r="T755" s="238"/>
      <c r="U755" s="238"/>
      <c r="V755" s="238"/>
      <c r="W755" s="238"/>
      <c r="X755" s="238"/>
      <c r="Y755" s="238"/>
      <c r="Z755" s="238"/>
    </row>
    <row r="756" spans="1:26" ht="16.5" customHeight="1">
      <c r="A756" s="238"/>
      <c r="B756" s="238"/>
      <c r="C756" s="238"/>
      <c r="D756" s="238"/>
      <c r="E756" s="238"/>
      <c r="F756" s="238"/>
      <c r="G756" s="238"/>
      <c r="H756" s="238"/>
      <c r="I756" s="238"/>
      <c r="J756" s="238"/>
      <c r="K756" s="238"/>
      <c r="L756" s="238"/>
      <c r="M756" s="238"/>
      <c r="N756" s="238"/>
      <c r="O756" s="238"/>
      <c r="P756" s="238"/>
      <c r="Q756" s="238"/>
      <c r="R756" s="238"/>
      <c r="S756" s="238"/>
      <c r="T756" s="238"/>
      <c r="U756" s="238"/>
      <c r="V756" s="238"/>
      <c r="W756" s="238"/>
      <c r="X756" s="238"/>
      <c r="Y756" s="238"/>
      <c r="Z756" s="238"/>
    </row>
    <row r="757" spans="1:26" ht="16.5" customHeight="1">
      <c r="A757" s="238"/>
      <c r="B757" s="238"/>
      <c r="C757" s="238"/>
      <c r="D757" s="238"/>
      <c r="E757" s="238"/>
      <c r="F757" s="238"/>
      <c r="G757" s="238"/>
      <c r="H757" s="238"/>
      <c r="I757" s="238"/>
      <c r="J757" s="238"/>
      <c r="K757" s="238"/>
      <c r="L757" s="238"/>
      <c r="M757" s="238"/>
      <c r="N757" s="238"/>
      <c r="O757" s="238"/>
      <c r="P757" s="238"/>
      <c r="Q757" s="238"/>
      <c r="R757" s="238"/>
      <c r="S757" s="238"/>
      <c r="T757" s="238"/>
      <c r="U757" s="238"/>
      <c r="V757" s="238"/>
      <c r="W757" s="238"/>
      <c r="X757" s="238"/>
      <c r="Y757" s="238"/>
      <c r="Z757" s="238"/>
    </row>
    <row r="758" spans="1:26" ht="16.5" customHeight="1">
      <c r="A758" s="238"/>
      <c r="B758" s="238"/>
      <c r="C758" s="238"/>
      <c r="D758" s="238"/>
      <c r="E758" s="238"/>
      <c r="F758" s="238"/>
      <c r="G758" s="238"/>
      <c r="H758" s="238"/>
      <c r="I758" s="238"/>
      <c r="J758" s="238"/>
      <c r="K758" s="238"/>
      <c r="L758" s="238"/>
      <c r="M758" s="238"/>
      <c r="N758" s="238"/>
      <c r="O758" s="238"/>
      <c r="P758" s="238"/>
      <c r="Q758" s="238"/>
      <c r="R758" s="238"/>
      <c r="S758" s="238"/>
      <c r="T758" s="238"/>
      <c r="U758" s="238"/>
      <c r="V758" s="238"/>
      <c r="W758" s="238"/>
      <c r="X758" s="238"/>
      <c r="Y758" s="238"/>
      <c r="Z758" s="238"/>
    </row>
    <row r="759" spans="1:26" ht="16.5" customHeight="1">
      <c r="A759" s="238"/>
      <c r="B759" s="238"/>
      <c r="C759" s="238"/>
      <c r="D759" s="238"/>
      <c r="E759" s="238"/>
      <c r="F759" s="238"/>
      <c r="G759" s="238"/>
      <c r="H759" s="238"/>
      <c r="I759" s="238"/>
      <c r="J759" s="238"/>
      <c r="K759" s="238"/>
      <c r="L759" s="238"/>
      <c r="M759" s="238"/>
      <c r="N759" s="238"/>
      <c r="O759" s="238"/>
      <c r="P759" s="238"/>
      <c r="Q759" s="238"/>
      <c r="R759" s="238"/>
      <c r="S759" s="238"/>
      <c r="T759" s="238"/>
      <c r="U759" s="238"/>
      <c r="V759" s="238"/>
      <c r="W759" s="238"/>
      <c r="X759" s="238"/>
      <c r="Y759" s="238"/>
      <c r="Z759" s="238"/>
    </row>
    <row r="760" spans="1:26" ht="16.5" customHeight="1">
      <c r="A760" s="238"/>
      <c r="B760" s="238"/>
      <c r="C760" s="238"/>
      <c r="D760" s="238"/>
      <c r="E760" s="238"/>
      <c r="F760" s="238"/>
      <c r="G760" s="238"/>
      <c r="H760" s="238"/>
      <c r="I760" s="238"/>
      <c r="J760" s="238"/>
      <c r="K760" s="238"/>
      <c r="L760" s="238"/>
      <c r="M760" s="238"/>
      <c r="N760" s="238"/>
      <c r="O760" s="238"/>
      <c r="P760" s="238"/>
      <c r="Q760" s="238"/>
      <c r="R760" s="238"/>
      <c r="S760" s="238"/>
      <c r="T760" s="238"/>
      <c r="U760" s="238"/>
      <c r="V760" s="238"/>
      <c r="W760" s="238"/>
      <c r="X760" s="238"/>
      <c r="Y760" s="238"/>
      <c r="Z760" s="238"/>
    </row>
    <row r="761" spans="1:26" ht="16.5" customHeight="1">
      <c r="A761" s="238"/>
      <c r="B761" s="238"/>
      <c r="C761" s="238"/>
      <c r="D761" s="238"/>
      <c r="E761" s="238"/>
      <c r="F761" s="238"/>
      <c r="G761" s="238"/>
      <c r="H761" s="238"/>
      <c r="I761" s="238"/>
      <c r="J761" s="238"/>
      <c r="K761" s="238"/>
      <c r="L761" s="238"/>
      <c r="M761" s="238"/>
      <c r="N761" s="238"/>
      <c r="O761" s="238"/>
      <c r="P761" s="238"/>
      <c r="Q761" s="238"/>
      <c r="R761" s="238"/>
      <c r="S761" s="238"/>
      <c r="T761" s="238"/>
      <c r="U761" s="238"/>
      <c r="V761" s="238"/>
      <c r="W761" s="238"/>
      <c r="X761" s="238"/>
      <c r="Y761" s="238"/>
      <c r="Z761" s="238"/>
    </row>
    <row r="762" spans="1:26" ht="16.5" customHeight="1">
      <c r="A762" s="238"/>
      <c r="B762" s="238"/>
      <c r="C762" s="238"/>
      <c r="D762" s="238"/>
      <c r="E762" s="238"/>
      <c r="F762" s="238"/>
      <c r="G762" s="238"/>
      <c r="H762" s="238"/>
      <c r="I762" s="238"/>
      <c r="J762" s="238"/>
      <c r="K762" s="238"/>
      <c r="L762" s="238"/>
      <c r="M762" s="238"/>
      <c r="N762" s="238"/>
      <c r="O762" s="238"/>
      <c r="P762" s="238"/>
      <c r="Q762" s="238"/>
      <c r="R762" s="238"/>
      <c r="S762" s="238"/>
      <c r="T762" s="238"/>
      <c r="U762" s="238"/>
      <c r="V762" s="238"/>
      <c r="W762" s="238"/>
      <c r="X762" s="238"/>
      <c r="Y762" s="238"/>
      <c r="Z762" s="238"/>
    </row>
    <row r="763" spans="1:26" ht="16.5" customHeight="1">
      <c r="A763" s="238"/>
      <c r="B763" s="238"/>
      <c r="C763" s="238"/>
      <c r="D763" s="238"/>
      <c r="E763" s="238"/>
      <c r="F763" s="238"/>
      <c r="G763" s="238"/>
      <c r="H763" s="238"/>
      <c r="I763" s="238"/>
      <c r="J763" s="238"/>
      <c r="K763" s="238"/>
      <c r="L763" s="238"/>
      <c r="M763" s="238"/>
      <c r="N763" s="238"/>
      <c r="O763" s="238"/>
      <c r="P763" s="238"/>
      <c r="Q763" s="238"/>
      <c r="R763" s="238"/>
      <c r="S763" s="238"/>
      <c r="T763" s="238"/>
      <c r="U763" s="238"/>
      <c r="V763" s="238"/>
      <c r="W763" s="238"/>
      <c r="X763" s="238"/>
      <c r="Y763" s="238"/>
      <c r="Z763" s="238"/>
    </row>
    <row r="764" spans="1:26" ht="16.5" customHeight="1">
      <c r="A764" s="238"/>
      <c r="B764" s="238"/>
      <c r="C764" s="238"/>
      <c r="D764" s="238"/>
      <c r="E764" s="238"/>
      <c r="F764" s="238"/>
      <c r="G764" s="238"/>
      <c r="H764" s="238"/>
      <c r="I764" s="238"/>
      <c r="J764" s="238"/>
      <c r="K764" s="238"/>
      <c r="L764" s="238"/>
      <c r="M764" s="238"/>
      <c r="N764" s="238"/>
      <c r="O764" s="238"/>
      <c r="P764" s="238"/>
      <c r="Q764" s="238"/>
      <c r="R764" s="238"/>
      <c r="S764" s="238"/>
      <c r="T764" s="238"/>
      <c r="U764" s="238"/>
      <c r="V764" s="238"/>
      <c r="W764" s="238"/>
      <c r="X764" s="238"/>
      <c r="Y764" s="238"/>
      <c r="Z764" s="238"/>
    </row>
    <row r="765" spans="1:26" ht="16.5" customHeight="1">
      <c r="A765" s="238"/>
      <c r="B765" s="238"/>
      <c r="C765" s="238"/>
      <c r="D765" s="238"/>
      <c r="E765" s="238"/>
      <c r="F765" s="238"/>
      <c r="G765" s="238"/>
      <c r="H765" s="238"/>
      <c r="I765" s="238"/>
      <c r="J765" s="238"/>
      <c r="K765" s="238"/>
      <c r="L765" s="238"/>
      <c r="M765" s="238"/>
      <c r="N765" s="238"/>
      <c r="O765" s="238"/>
      <c r="P765" s="238"/>
      <c r="Q765" s="238"/>
      <c r="R765" s="238"/>
      <c r="S765" s="238"/>
      <c r="T765" s="238"/>
      <c r="U765" s="238"/>
      <c r="V765" s="238"/>
      <c r="W765" s="238"/>
      <c r="X765" s="238"/>
      <c r="Y765" s="238"/>
      <c r="Z765" s="238"/>
    </row>
    <row r="766" spans="1:26" ht="16.5" customHeight="1">
      <c r="A766" s="238"/>
      <c r="B766" s="238"/>
      <c r="C766" s="238"/>
      <c r="D766" s="238"/>
      <c r="E766" s="238"/>
      <c r="F766" s="238"/>
      <c r="G766" s="238"/>
      <c r="H766" s="238"/>
      <c r="I766" s="238"/>
      <c r="J766" s="238"/>
      <c r="K766" s="238"/>
      <c r="L766" s="238"/>
      <c r="M766" s="238"/>
      <c r="N766" s="238"/>
      <c r="O766" s="238"/>
      <c r="P766" s="238"/>
      <c r="Q766" s="238"/>
      <c r="R766" s="238"/>
      <c r="S766" s="238"/>
      <c r="T766" s="238"/>
      <c r="U766" s="238"/>
      <c r="V766" s="238"/>
      <c r="W766" s="238"/>
      <c r="X766" s="238"/>
      <c r="Y766" s="238"/>
      <c r="Z766" s="238"/>
    </row>
    <row r="767" spans="1:26" ht="16.5" customHeight="1">
      <c r="A767" s="238"/>
      <c r="B767" s="238"/>
      <c r="C767" s="238"/>
      <c r="D767" s="238"/>
      <c r="E767" s="238"/>
      <c r="F767" s="238"/>
      <c r="G767" s="238"/>
      <c r="H767" s="238"/>
      <c r="I767" s="238"/>
      <c r="J767" s="238"/>
      <c r="K767" s="238"/>
      <c r="L767" s="238"/>
      <c r="M767" s="238"/>
      <c r="N767" s="238"/>
      <c r="O767" s="238"/>
      <c r="P767" s="238"/>
      <c r="Q767" s="238"/>
      <c r="R767" s="238"/>
      <c r="S767" s="238"/>
      <c r="T767" s="238"/>
      <c r="U767" s="238"/>
      <c r="V767" s="238"/>
      <c r="W767" s="238"/>
      <c r="X767" s="238"/>
      <c r="Y767" s="238"/>
      <c r="Z767" s="238"/>
    </row>
    <row r="768" spans="1:26" ht="16.5" customHeight="1">
      <c r="A768" s="238"/>
      <c r="B768" s="238"/>
      <c r="C768" s="238"/>
      <c r="D768" s="238"/>
      <c r="E768" s="238"/>
      <c r="F768" s="238"/>
      <c r="G768" s="238"/>
      <c r="H768" s="238"/>
      <c r="I768" s="238"/>
      <c r="J768" s="238"/>
      <c r="K768" s="238"/>
      <c r="L768" s="238"/>
      <c r="M768" s="238"/>
      <c r="N768" s="238"/>
      <c r="O768" s="238"/>
      <c r="P768" s="238"/>
      <c r="Q768" s="238"/>
      <c r="R768" s="238"/>
      <c r="S768" s="238"/>
      <c r="T768" s="238"/>
      <c r="U768" s="238"/>
      <c r="V768" s="238"/>
      <c r="W768" s="238"/>
      <c r="X768" s="238"/>
      <c r="Y768" s="238"/>
      <c r="Z768" s="238"/>
    </row>
    <row r="769" spans="1:26" ht="16.5" customHeight="1">
      <c r="A769" s="238"/>
      <c r="B769" s="238"/>
      <c r="C769" s="238"/>
      <c r="D769" s="238"/>
      <c r="E769" s="238"/>
      <c r="F769" s="238"/>
      <c r="G769" s="238"/>
      <c r="H769" s="238"/>
      <c r="I769" s="238"/>
      <c r="J769" s="238"/>
      <c r="K769" s="238"/>
      <c r="L769" s="238"/>
      <c r="M769" s="238"/>
      <c r="N769" s="238"/>
      <c r="O769" s="238"/>
      <c r="P769" s="238"/>
      <c r="Q769" s="238"/>
      <c r="R769" s="238"/>
      <c r="S769" s="238"/>
      <c r="T769" s="238"/>
      <c r="U769" s="238"/>
      <c r="V769" s="238"/>
      <c r="W769" s="238"/>
      <c r="X769" s="238"/>
      <c r="Y769" s="238"/>
      <c r="Z769" s="238"/>
    </row>
    <row r="770" spans="1:26" ht="16.5" customHeight="1">
      <c r="A770" s="238"/>
      <c r="B770" s="238"/>
      <c r="C770" s="238"/>
      <c r="D770" s="238"/>
      <c r="E770" s="238"/>
      <c r="F770" s="238"/>
      <c r="G770" s="238"/>
      <c r="H770" s="238"/>
      <c r="I770" s="238"/>
      <c r="J770" s="238"/>
      <c r="K770" s="238"/>
      <c r="L770" s="238"/>
      <c r="M770" s="238"/>
      <c r="N770" s="238"/>
      <c r="O770" s="238"/>
      <c r="P770" s="238"/>
      <c r="Q770" s="238"/>
      <c r="R770" s="238"/>
      <c r="S770" s="238"/>
      <c r="T770" s="238"/>
      <c r="U770" s="238"/>
      <c r="V770" s="238"/>
      <c r="W770" s="238"/>
      <c r="X770" s="238"/>
      <c r="Y770" s="238"/>
      <c r="Z770" s="238"/>
    </row>
    <row r="771" spans="1:26" ht="16.5" customHeight="1">
      <c r="A771" s="238"/>
      <c r="B771" s="238"/>
      <c r="C771" s="238"/>
      <c r="D771" s="238"/>
      <c r="E771" s="238"/>
      <c r="F771" s="238"/>
      <c r="G771" s="238"/>
      <c r="H771" s="238"/>
      <c r="I771" s="238"/>
      <c r="J771" s="238"/>
      <c r="K771" s="238"/>
      <c r="L771" s="238"/>
      <c r="M771" s="238"/>
      <c r="N771" s="238"/>
      <c r="O771" s="238"/>
      <c r="P771" s="238"/>
      <c r="Q771" s="238"/>
      <c r="R771" s="238"/>
      <c r="S771" s="238"/>
      <c r="T771" s="238"/>
      <c r="U771" s="238"/>
      <c r="V771" s="238"/>
      <c r="W771" s="238"/>
      <c r="X771" s="238"/>
      <c r="Y771" s="238"/>
      <c r="Z771" s="238"/>
    </row>
    <row r="772" spans="1:26" ht="16.5" customHeight="1">
      <c r="A772" s="238"/>
      <c r="B772" s="238"/>
      <c r="C772" s="238"/>
      <c r="D772" s="238"/>
      <c r="E772" s="238"/>
      <c r="F772" s="238"/>
      <c r="G772" s="238"/>
      <c r="H772" s="238"/>
      <c r="I772" s="238"/>
      <c r="J772" s="238"/>
      <c r="K772" s="238"/>
      <c r="L772" s="238"/>
      <c r="M772" s="238"/>
      <c r="N772" s="238"/>
      <c r="O772" s="238"/>
      <c r="P772" s="238"/>
      <c r="Q772" s="238"/>
      <c r="R772" s="238"/>
      <c r="S772" s="238"/>
      <c r="T772" s="238"/>
      <c r="U772" s="238"/>
      <c r="V772" s="238"/>
      <c r="W772" s="238"/>
      <c r="X772" s="238"/>
      <c r="Y772" s="238"/>
      <c r="Z772" s="238"/>
    </row>
    <row r="773" spans="1:26" ht="16.5" customHeight="1">
      <c r="A773" s="238"/>
      <c r="B773" s="238"/>
      <c r="C773" s="238"/>
      <c r="D773" s="238"/>
      <c r="E773" s="238"/>
      <c r="F773" s="238"/>
      <c r="G773" s="238"/>
      <c r="H773" s="238"/>
      <c r="I773" s="238"/>
      <c r="J773" s="238"/>
      <c r="K773" s="238"/>
      <c r="L773" s="238"/>
      <c r="M773" s="238"/>
      <c r="N773" s="238"/>
      <c r="O773" s="238"/>
      <c r="P773" s="238"/>
      <c r="Q773" s="238"/>
      <c r="R773" s="238"/>
      <c r="S773" s="238"/>
      <c r="T773" s="238"/>
      <c r="U773" s="238"/>
      <c r="V773" s="238"/>
      <c r="W773" s="238"/>
      <c r="X773" s="238"/>
      <c r="Y773" s="238"/>
      <c r="Z773" s="238"/>
    </row>
    <row r="774" spans="1:26" ht="16.5" customHeight="1">
      <c r="A774" s="238"/>
      <c r="B774" s="238"/>
      <c r="C774" s="238"/>
      <c r="D774" s="238"/>
      <c r="E774" s="238"/>
      <c r="F774" s="238"/>
      <c r="G774" s="238"/>
      <c r="H774" s="238"/>
      <c r="I774" s="238"/>
      <c r="J774" s="238"/>
      <c r="K774" s="238"/>
      <c r="L774" s="238"/>
      <c r="M774" s="238"/>
      <c r="N774" s="238"/>
      <c r="O774" s="238"/>
      <c r="P774" s="238"/>
      <c r="Q774" s="238"/>
      <c r="R774" s="238"/>
      <c r="S774" s="238"/>
      <c r="T774" s="238"/>
      <c r="U774" s="238"/>
      <c r="V774" s="238"/>
      <c r="W774" s="238"/>
      <c r="X774" s="238"/>
      <c r="Y774" s="238"/>
      <c r="Z774" s="238"/>
    </row>
    <row r="775" spans="1:26" ht="16.5" customHeight="1">
      <c r="A775" s="238"/>
      <c r="B775" s="238"/>
      <c r="C775" s="238"/>
      <c r="D775" s="238"/>
      <c r="E775" s="238"/>
      <c r="F775" s="238"/>
      <c r="G775" s="238"/>
      <c r="H775" s="238"/>
      <c r="I775" s="238"/>
      <c r="J775" s="238"/>
      <c r="K775" s="238"/>
      <c r="L775" s="238"/>
      <c r="M775" s="238"/>
      <c r="N775" s="238"/>
      <c r="O775" s="238"/>
      <c r="P775" s="238"/>
      <c r="Q775" s="238"/>
      <c r="R775" s="238"/>
      <c r="S775" s="238"/>
      <c r="T775" s="238"/>
      <c r="U775" s="238"/>
      <c r="V775" s="238"/>
      <c r="W775" s="238"/>
      <c r="X775" s="238"/>
      <c r="Y775" s="238"/>
      <c r="Z775" s="238"/>
    </row>
    <row r="776" spans="1:26" ht="16.5" customHeight="1">
      <c r="A776" s="238"/>
      <c r="B776" s="238"/>
      <c r="C776" s="238"/>
      <c r="D776" s="238"/>
      <c r="E776" s="238"/>
      <c r="F776" s="238"/>
      <c r="G776" s="238"/>
      <c r="H776" s="238"/>
      <c r="I776" s="238"/>
      <c r="J776" s="238"/>
      <c r="K776" s="238"/>
      <c r="L776" s="238"/>
      <c r="M776" s="238"/>
      <c r="N776" s="238"/>
      <c r="O776" s="238"/>
      <c r="P776" s="238"/>
      <c r="Q776" s="238"/>
      <c r="R776" s="238"/>
      <c r="S776" s="238"/>
      <c r="T776" s="238"/>
      <c r="U776" s="238"/>
      <c r="V776" s="238"/>
      <c r="W776" s="238"/>
      <c r="X776" s="238"/>
      <c r="Y776" s="238"/>
      <c r="Z776" s="238"/>
    </row>
    <row r="777" spans="1:26" ht="16.5" customHeight="1">
      <c r="A777" s="238"/>
      <c r="B777" s="238"/>
      <c r="C777" s="238"/>
      <c r="D777" s="238"/>
      <c r="E777" s="238"/>
      <c r="F777" s="238"/>
      <c r="G777" s="238"/>
      <c r="H777" s="238"/>
      <c r="I777" s="238"/>
      <c r="J777" s="238"/>
      <c r="K777" s="238"/>
      <c r="L777" s="238"/>
      <c r="M777" s="238"/>
      <c r="N777" s="238"/>
      <c r="O777" s="238"/>
      <c r="P777" s="238"/>
      <c r="Q777" s="238"/>
      <c r="R777" s="238"/>
      <c r="S777" s="238"/>
      <c r="T777" s="238"/>
      <c r="U777" s="238"/>
      <c r="V777" s="238"/>
      <c r="W777" s="238"/>
      <c r="X777" s="238"/>
      <c r="Y777" s="238"/>
      <c r="Z777" s="238"/>
    </row>
    <row r="778" spans="1:26" ht="16.5" customHeight="1">
      <c r="A778" s="238"/>
      <c r="B778" s="238"/>
      <c r="C778" s="238"/>
      <c r="D778" s="238"/>
      <c r="E778" s="238"/>
      <c r="F778" s="238"/>
      <c r="G778" s="238"/>
      <c r="H778" s="238"/>
      <c r="I778" s="238"/>
      <c r="J778" s="238"/>
      <c r="K778" s="238"/>
      <c r="L778" s="238"/>
      <c r="M778" s="238"/>
      <c r="N778" s="238"/>
      <c r="O778" s="238"/>
      <c r="P778" s="238"/>
      <c r="Q778" s="238"/>
      <c r="R778" s="238"/>
      <c r="S778" s="238"/>
      <c r="T778" s="238"/>
      <c r="U778" s="238"/>
      <c r="V778" s="238"/>
      <c r="W778" s="238"/>
      <c r="X778" s="238"/>
      <c r="Y778" s="238"/>
      <c r="Z778" s="238"/>
    </row>
    <row r="779" spans="1:26" ht="16.5" customHeight="1">
      <c r="A779" s="238"/>
      <c r="B779" s="238"/>
      <c r="C779" s="238"/>
      <c r="D779" s="238"/>
      <c r="E779" s="238"/>
      <c r="F779" s="238"/>
      <c r="G779" s="238"/>
      <c r="H779" s="238"/>
      <c r="I779" s="238"/>
      <c r="J779" s="238"/>
      <c r="K779" s="238"/>
      <c r="L779" s="238"/>
      <c r="M779" s="238"/>
      <c r="N779" s="238"/>
      <c r="O779" s="238"/>
      <c r="P779" s="238"/>
      <c r="Q779" s="238"/>
      <c r="R779" s="238"/>
      <c r="S779" s="238"/>
      <c r="T779" s="238"/>
      <c r="U779" s="238"/>
      <c r="V779" s="238"/>
      <c r="W779" s="238"/>
      <c r="X779" s="238"/>
      <c r="Y779" s="238"/>
      <c r="Z779" s="238"/>
    </row>
    <row r="780" spans="1:26" ht="16.5" customHeight="1">
      <c r="A780" s="238"/>
      <c r="B780" s="238"/>
      <c r="C780" s="238"/>
      <c r="D780" s="238"/>
      <c r="E780" s="238"/>
      <c r="F780" s="238"/>
      <c r="G780" s="238"/>
      <c r="H780" s="238"/>
      <c r="I780" s="238"/>
      <c r="J780" s="238"/>
      <c r="K780" s="238"/>
      <c r="L780" s="238"/>
      <c r="M780" s="238"/>
      <c r="N780" s="238"/>
      <c r="O780" s="238"/>
      <c r="P780" s="238"/>
      <c r="Q780" s="238"/>
      <c r="R780" s="238"/>
      <c r="S780" s="238"/>
      <c r="T780" s="238"/>
      <c r="U780" s="238"/>
      <c r="V780" s="238"/>
      <c r="W780" s="238"/>
      <c r="X780" s="238"/>
      <c r="Y780" s="238"/>
      <c r="Z780" s="238"/>
    </row>
    <row r="781" spans="1:26" ht="16.5" customHeight="1">
      <c r="A781" s="238"/>
      <c r="B781" s="238"/>
      <c r="C781" s="238"/>
      <c r="D781" s="238"/>
      <c r="E781" s="238"/>
      <c r="F781" s="238"/>
      <c r="G781" s="238"/>
      <c r="H781" s="238"/>
      <c r="I781" s="238"/>
      <c r="J781" s="238"/>
      <c r="K781" s="238"/>
      <c r="L781" s="238"/>
      <c r="M781" s="238"/>
      <c r="N781" s="238"/>
      <c r="O781" s="238"/>
      <c r="P781" s="238"/>
      <c r="Q781" s="238"/>
      <c r="R781" s="238"/>
      <c r="S781" s="238"/>
      <c r="T781" s="238"/>
      <c r="U781" s="238"/>
      <c r="V781" s="238"/>
      <c r="W781" s="238"/>
      <c r="X781" s="238"/>
      <c r="Y781" s="238"/>
      <c r="Z781" s="238"/>
    </row>
    <row r="782" spans="1:26" ht="16.5" customHeight="1">
      <c r="A782" s="238"/>
      <c r="B782" s="238"/>
      <c r="C782" s="238"/>
      <c r="D782" s="238"/>
      <c r="E782" s="238"/>
      <c r="F782" s="238"/>
      <c r="G782" s="238"/>
      <c r="H782" s="238"/>
      <c r="I782" s="238"/>
      <c r="J782" s="238"/>
      <c r="K782" s="238"/>
      <c r="L782" s="238"/>
      <c r="M782" s="238"/>
      <c r="N782" s="238"/>
      <c r="O782" s="238"/>
      <c r="P782" s="238"/>
      <c r="Q782" s="238"/>
      <c r="R782" s="238"/>
      <c r="S782" s="238"/>
      <c r="T782" s="238"/>
      <c r="U782" s="238"/>
      <c r="V782" s="238"/>
      <c r="W782" s="238"/>
      <c r="X782" s="238"/>
      <c r="Y782" s="238"/>
      <c r="Z782" s="238"/>
    </row>
    <row r="783" spans="1:26" ht="16.5" customHeight="1">
      <c r="A783" s="238"/>
      <c r="B783" s="238"/>
      <c r="C783" s="238"/>
      <c r="D783" s="238"/>
      <c r="E783" s="238"/>
      <c r="F783" s="238"/>
      <c r="G783" s="238"/>
      <c r="H783" s="238"/>
      <c r="I783" s="238"/>
      <c r="J783" s="238"/>
      <c r="K783" s="238"/>
      <c r="L783" s="238"/>
      <c r="M783" s="238"/>
      <c r="N783" s="238"/>
      <c r="O783" s="238"/>
      <c r="P783" s="238"/>
      <c r="Q783" s="238"/>
      <c r="R783" s="238"/>
      <c r="S783" s="238"/>
      <c r="T783" s="238"/>
      <c r="U783" s="238"/>
      <c r="V783" s="238"/>
      <c r="W783" s="238"/>
      <c r="X783" s="238"/>
      <c r="Y783" s="238"/>
      <c r="Z783" s="238"/>
    </row>
    <row r="784" spans="1:26" ht="16.5" customHeight="1">
      <c r="A784" s="238"/>
      <c r="B784" s="238"/>
      <c r="C784" s="238"/>
      <c r="D784" s="238"/>
      <c r="E784" s="238"/>
      <c r="F784" s="238"/>
      <c r="G784" s="238"/>
      <c r="H784" s="238"/>
      <c r="I784" s="238"/>
      <c r="J784" s="238"/>
      <c r="K784" s="238"/>
      <c r="L784" s="238"/>
      <c r="M784" s="238"/>
      <c r="N784" s="238"/>
      <c r="O784" s="238"/>
      <c r="P784" s="238"/>
      <c r="Q784" s="238"/>
      <c r="R784" s="238"/>
      <c r="S784" s="238"/>
      <c r="T784" s="238"/>
      <c r="U784" s="238"/>
      <c r="V784" s="238"/>
      <c r="W784" s="238"/>
      <c r="X784" s="238"/>
      <c r="Y784" s="238"/>
      <c r="Z784" s="238"/>
    </row>
    <row r="785" spans="1:26" ht="16.5" customHeight="1">
      <c r="A785" s="238"/>
      <c r="B785" s="238"/>
      <c r="C785" s="238"/>
      <c r="D785" s="238"/>
      <c r="E785" s="238"/>
      <c r="F785" s="238"/>
      <c r="G785" s="238"/>
      <c r="H785" s="238"/>
      <c r="I785" s="238"/>
      <c r="J785" s="238"/>
      <c r="K785" s="238"/>
      <c r="L785" s="238"/>
      <c r="M785" s="238"/>
      <c r="N785" s="238"/>
      <c r="O785" s="238"/>
      <c r="P785" s="238"/>
      <c r="Q785" s="238"/>
      <c r="R785" s="238"/>
      <c r="S785" s="238"/>
      <c r="T785" s="238"/>
      <c r="U785" s="238"/>
      <c r="V785" s="238"/>
      <c r="W785" s="238"/>
      <c r="X785" s="238"/>
      <c r="Y785" s="238"/>
      <c r="Z785" s="238"/>
    </row>
    <row r="786" spans="1:26" ht="16.5" customHeight="1">
      <c r="A786" s="238"/>
      <c r="B786" s="238"/>
      <c r="C786" s="238"/>
      <c r="D786" s="238"/>
      <c r="E786" s="238"/>
      <c r="F786" s="238"/>
      <c r="G786" s="238"/>
      <c r="H786" s="238"/>
      <c r="I786" s="238"/>
      <c r="J786" s="238"/>
      <c r="K786" s="238"/>
      <c r="L786" s="238"/>
      <c r="M786" s="238"/>
      <c r="N786" s="238"/>
      <c r="O786" s="238"/>
      <c r="P786" s="238"/>
      <c r="Q786" s="238"/>
      <c r="R786" s="238"/>
      <c r="S786" s="238"/>
      <c r="T786" s="238"/>
      <c r="U786" s="238"/>
      <c r="V786" s="238"/>
      <c r="W786" s="238"/>
      <c r="X786" s="238"/>
      <c r="Y786" s="238"/>
      <c r="Z786" s="238"/>
    </row>
    <row r="787" spans="1:26" ht="16.5" customHeight="1">
      <c r="A787" s="238"/>
      <c r="B787" s="238"/>
      <c r="C787" s="238"/>
      <c r="D787" s="238"/>
      <c r="E787" s="238"/>
      <c r="F787" s="238"/>
      <c r="G787" s="238"/>
      <c r="H787" s="238"/>
      <c r="I787" s="238"/>
      <c r="J787" s="238"/>
      <c r="K787" s="238"/>
      <c r="L787" s="238"/>
      <c r="M787" s="238"/>
      <c r="N787" s="238"/>
      <c r="O787" s="238"/>
      <c r="P787" s="238"/>
      <c r="Q787" s="238"/>
      <c r="R787" s="238"/>
      <c r="S787" s="238"/>
      <c r="T787" s="238"/>
      <c r="U787" s="238"/>
      <c r="V787" s="238"/>
      <c r="W787" s="238"/>
      <c r="X787" s="238"/>
      <c r="Y787" s="238"/>
      <c r="Z787" s="238"/>
    </row>
    <row r="788" spans="1:26" ht="16.5" customHeight="1">
      <c r="A788" s="238"/>
      <c r="B788" s="238"/>
      <c r="C788" s="238"/>
      <c r="D788" s="238"/>
      <c r="E788" s="238"/>
      <c r="F788" s="238"/>
      <c r="G788" s="238"/>
      <c r="H788" s="238"/>
      <c r="I788" s="238"/>
      <c r="J788" s="238"/>
      <c r="K788" s="238"/>
      <c r="L788" s="238"/>
      <c r="M788" s="238"/>
      <c r="N788" s="238"/>
      <c r="O788" s="238"/>
      <c r="P788" s="238"/>
      <c r="Q788" s="238"/>
      <c r="R788" s="238"/>
      <c r="S788" s="238"/>
      <c r="T788" s="238"/>
      <c r="U788" s="238"/>
      <c r="V788" s="238"/>
      <c r="W788" s="238"/>
      <c r="X788" s="238"/>
      <c r="Y788" s="238"/>
      <c r="Z788" s="238"/>
    </row>
    <row r="789" spans="1:26" ht="16.5" customHeight="1">
      <c r="A789" s="238"/>
      <c r="B789" s="238"/>
      <c r="C789" s="238"/>
      <c r="D789" s="238"/>
      <c r="E789" s="238"/>
      <c r="F789" s="238"/>
      <c r="G789" s="238"/>
      <c r="H789" s="238"/>
      <c r="I789" s="238"/>
      <c r="J789" s="238"/>
      <c r="K789" s="238"/>
      <c r="L789" s="238"/>
      <c r="M789" s="238"/>
      <c r="N789" s="238"/>
      <c r="O789" s="238"/>
      <c r="P789" s="238"/>
      <c r="Q789" s="238"/>
      <c r="R789" s="238"/>
      <c r="S789" s="238"/>
      <c r="T789" s="238"/>
      <c r="U789" s="238"/>
      <c r="V789" s="238"/>
      <c r="W789" s="238"/>
      <c r="X789" s="238"/>
      <c r="Y789" s="238"/>
      <c r="Z789" s="238"/>
    </row>
    <row r="790" spans="1:26" ht="16.5" customHeight="1">
      <c r="A790" s="238"/>
      <c r="B790" s="238"/>
      <c r="C790" s="238"/>
      <c r="D790" s="238"/>
      <c r="E790" s="238"/>
      <c r="F790" s="238"/>
      <c r="G790" s="238"/>
      <c r="H790" s="238"/>
      <c r="I790" s="238"/>
      <c r="J790" s="238"/>
      <c r="K790" s="238"/>
      <c r="L790" s="238"/>
      <c r="M790" s="238"/>
      <c r="N790" s="238"/>
      <c r="O790" s="238"/>
      <c r="P790" s="238"/>
      <c r="Q790" s="238"/>
      <c r="R790" s="238"/>
      <c r="S790" s="238"/>
      <c r="T790" s="238"/>
      <c r="U790" s="238"/>
      <c r="V790" s="238"/>
      <c r="W790" s="238"/>
      <c r="X790" s="238"/>
      <c r="Y790" s="238"/>
      <c r="Z790" s="238"/>
    </row>
    <row r="791" spans="1:26" ht="16.5" customHeight="1">
      <c r="A791" s="238"/>
      <c r="B791" s="238"/>
      <c r="C791" s="238"/>
      <c r="D791" s="238"/>
      <c r="E791" s="238"/>
      <c r="F791" s="238"/>
      <c r="G791" s="238"/>
      <c r="H791" s="238"/>
      <c r="I791" s="238"/>
      <c r="J791" s="238"/>
      <c r="K791" s="238"/>
      <c r="L791" s="238"/>
      <c r="M791" s="238"/>
      <c r="N791" s="238"/>
      <c r="O791" s="238"/>
      <c r="P791" s="238"/>
      <c r="Q791" s="238"/>
      <c r="R791" s="238"/>
      <c r="S791" s="238"/>
      <c r="T791" s="238"/>
      <c r="U791" s="238"/>
      <c r="V791" s="238"/>
      <c r="W791" s="238"/>
      <c r="X791" s="238"/>
      <c r="Y791" s="238"/>
      <c r="Z791" s="238"/>
    </row>
    <row r="792" spans="1:26" ht="16.5" customHeight="1">
      <c r="A792" s="238"/>
      <c r="B792" s="238"/>
      <c r="C792" s="238"/>
      <c r="D792" s="238"/>
      <c r="E792" s="238"/>
      <c r="F792" s="238"/>
      <c r="G792" s="238"/>
      <c r="H792" s="238"/>
      <c r="I792" s="238"/>
      <c r="J792" s="238"/>
      <c r="K792" s="238"/>
      <c r="L792" s="238"/>
      <c r="M792" s="238"/>
      <c r="N792" s="238"/>
      <c r="O792" s="238"/>
      <c r="P792" s="238"/>
      <c r="Q792" s="238"/>
      <c r="R792" s="238"/>
      <c r="S792" s="238"/>
      <c r="T792" s="238"/>
      <c r="U792" s="238"/>
      <c r="V792" s="238"/>
      <c r="W792" s="238"/>
      <c r="X792" s="238"/>
      <c r="Y792" s="238"/>
      <c r="Z792" s="238"/>
    </row>
    <row r="793" spans="1:26" ht="16.5" customHeight="1">
      <c r="A793" s="238"/>
      <c r="B793" s="238"/>
      <c r="C793" s="238"/>
      <c r="D793" s="238"/>
      <c r="E793" s="238"/>
      <c r="F793" s="238"/>
      <c r="G793" s="238"/>
      <c r="H793" s="238"/>
      <c r="I793" s="238"/>
      <c r="J793" s="238"/>
      <c r="K793" s="238"/>
      <c r="L793" s="238"/>
      <c r="M793" s="238"/>
      <c r="N793" s="238"/>
      <c r="O793" s="238"/>
      <c r="P793" s="238"/>
      <c r="Q793" s="238"/>
      <c r="R793" s="238"/>
      <c r="S793" s="238"/>
      <c r="T793" s="238"/>
      <c r="U793" s="238"/>
      <c r="V793" s="238"/>
      <c r="W793" s="238"/>
      <c r="X793" s="238"/>
      <c r="Y793" s="238"/>
      <c r="Z793" s="238"/>
    </row>
    <row r="794" spans="1:26" ht="16.5" customHeight="1">
      <c r="A794" s="238"/>
      <c r="B794" s="238"/>
      <c r="C794" s="238"/>
      <c r="D794" s="238"/>
      <c r="E794" s="238"/>
      <c r="F794" s="238"/>
      <c r="G794" s="238"/>
      <c r="H794" s="238"/>
      <c r="I794" s="238"/>
      <c r="J794" s="238"/>
      <c r="K794" s="238"/>
      <c r="L794" s="238"/>
      <c r="M794" s="238"/>
      <c r="N794" s="238"/>
      <c r="O794" s="238"/>
      <c r="P794" s="238"/>
      <c r="Q794" s="238"/>
      <c r="R794" s="238"/>
      <c r="S794" s="238"/>
      <c r="T794" s="238"/>
      <c r="U794" s="238"/>
      <c r="V794" s="238"/>
      <c r="W794" s="238"/>
      <c r="X794" s="238"/>
      <c r="Y794" s="238"/>
      <c r="Z794" s="238"/>
    </row>
    <row r="795" spans="1:26" ht="16.5" customHeight="1">
      <c r="A795" s="238"/>
      <c r="B795" s="238"/>
      <c r="C795" s="238"/>
      <c r="D795" s="238"/>
      <c r="E795" s="238"/>
      <c r="F795" s="238"/>
      <c r="G795" s="238"/>
      <c r="H795" s="238"/>
      <c r="I795" s="238"/>
      <c r="J795" s="238"/>
      <c r="K795" s="238"/>
      <c r="L795" s="238"/>
      <c r="M795" s="238"/>
      <c r="N795" s="238"/>
      <c r="O795" s="238"/>
      <c r="P795" s="238"/>
      <c r="Q795" s="238"/>
      <c r="R795" s="238"/>
      <c r="S795" s="238"/>
      <c r="T795" s="238"/>
      <c r="U795" s="238"/>
      <c r="V795" s="238"/>
      <c r="W795" s="238"/>
      <c r="X795" s="238"/>
      <c r="Y795" s="238"/>
      <c r="Z795" s="238"/>
    </row>
    <row r="796" spans="1:26" ht="16.5" customHeight="1">
      <c r="A796" s="238"/>
      <c r="B796" s="238"/>
      <c r="C796" s="238"/>
      <c r="D796" s="238"/>
      <c r="E796" s="238"/>
      <c r="F796" s="238"/>
      <c r="G796" s="238"/>
      <c r="H796" s="238"/>
      <c r="I796" s="238"/>
      <c r="J796" s="238"/>
      <c r="K796" s="238"/>
      <c r="L796" s="238"/>
      <c r="M796" s="238"/>
      <c r="N796" s="238"/>
      <c r="O796" s="238"/>
      <c r="P796" s="238"/>
      <c r="Q796" s="238"/>
      <c r="R796" s="238"/>
      <c r="S796" s="238"/>
      <c r="T796" s="238"/>
      <c r="U796" s="238"/>
      <c r="V796" s="238"/>
      <c r="W796" s="238"/>
      <c r="X796" s="238"/>
      <c r="Y796" s="238"/>
      <c r="Z796" s="238"/>
    </row>
    <row r="797" spans="1:26" ht="16.5" customHeight="1">
      <c r="A797" s="238"/>
      <c r="B797" s="238"/>
      <c r="C797" s="238"/>
      <c r="D797" s="238"/>
      <c r="E797" s="238"/>
      <c r="F797" s="238"/>
      <c r="G797" s="238"/>
      <c r="H797" s="238"/>
      <c r="I797" s="238"/>
      <c r="J797" s="238"/>
      <c r="K797" s="238"/>
      <c r="L797" s="238"/>
      <c r="M797" s="238"/>
      <c r="N797" s="238"/>
      <c r="O797" s="238"/>
      <c r="P797" s="238"/>
      <c r="Q797" s="238"/>
      <c r="R797" s="238"/>
      <c r="S797" s="238"/>
      <c r="T797" s="238"/>
      <c r="U797" s="238"/>
      <c r="V797" s="238"/>
      <c r="W797" s="238"/>
      <c r="X797" s="238"/>
      <c r="Y797" s="238"/>
      <c r="Z797" s="238"/>
    </row>
    <row r="798" spans="1:26" ht="16.5" customHeight="1">
      <c r="A798" s="238"/>
      <c r="B798" s="238"/>
      <c r="C798" s="238"/>
      <c r="D798" s="238"/>
      <c r="E798" s="238"/>
      <c r="F798" s="238"/>
      <c r="G798" s="238"/>
      <c r="H798" s="238"/>
      <c r="I798" s="238"/>
      <c r="J798" s="238"/>
      <c r="K798" s="238"/>
      <c r="L798" s="238"/>
      <c r="M798" s="238"/>
      <c r="N798" s="238"/>
      <c r="O798" s="238"/>
      <c r="P798" s="238"/>
      <c r="Q798" s="238"/>
      <c r="R798" s="238"/>
      <c r="S798" s="238"/>
      <c r="T798" s="238"/>
      <c r="U798" s="238"/>
      <c r="V798" s="238"/>
      <c r="W798" s="238"/>
      <c r="X798" s="238"/>
      <c r="Y798" s="238"/>
      <c r="Z798" s="238"/>
    </row>
    <row r="799" spans="1:26" ht="16.5" customHeight="1">
      <c r="A799" s="238"/>
      <c r="B799" s="238"/>
      <c r="C799" s="238"/>
      <c r="D799" s="238"/>
      <c r="E799" s="238"/>
      <c r="F799" s="238"/>
      <c r="G799" s="238"/>
      <c r="H799" s="238"/>
      <c r="I799" s="238"/>
      <c r="J799" s="238"/>
      <c r="K799" s="238"/>
      <c r="L799" s="238"/>
      <c r="M799" s="238"/>
      <c r="N799" s="238"/>
      <c r="O799" s="238"/>
      <c r="P799" s="238"/>
      <c r="Q799" s="238"/>
      <c r="R799" s="238"/>
      <c r="S799" s="238"/>
      <c r="T799" s="238"/>
      <c r="U799" s="238"/>
      <c r="V799" s="238"/>
      <c r="W799" s="238"/>
      <c r="X799" s="238"/>
      <c r="Y799" s="238"/>
      <c r="Z799" s="238"/>
    </row>
    <row r="800" spans="1:26" ht="16.5" customHeight="1">
      <c r="A800" s="238"/>
      <c r="B800" s="238"/>
      <c r="C800" s="238"/>
      <c r="D800" s="238"/>
      <c r="E800" s="238"/>
      <c r="F800" s="238"/>
      <c r="G800" s="238"/>
      <c r="H800" s="238"/>
      <c r="I800" s="238"/>
      <c r="J800" s="238"/>
      <c r="K800" s="238"/>
      <c r="L800" s="238"/>
      <c r="M800" s="238"/>
      <c r="N800" s="238"/>
      <c r="O800" s="238"/>
      <c r="P800" s="238"/>
      <c r="Q800" s="238"/>
      <c r="R800" s="238"/>
      <c r="S800" s="238"/>
      <c r="T800" s="238"/>
      <c r="U800" s="238"/>
      <c r="V800" s="238"/>
      <c r="W800" s="238"/>
      <c r="X800" s="238"/>
      <c r="Y800" s="238"/>
      <c r="Z800" s="238"/>
    </row>
    <row r="801" spans="1:26" ht="16.5" customHeight="1">
      <c r="A801" s="238"/>
      <c r="B801" s="238"/>
      <c r="C801" s="238"/>
      <c r="D801" s="238"/>
      <c r="E801" s="238"/>
      <c r="F801" s="238"/>
      <c r="G801" s="238"/>
      <c r="H801" s="238"/>
      <c r="I801" s="238"/>
      <c r="J801" s="238"/>
      <c r="K801" s="238"/>
      <c r="L801" s="238"/>
      <c r="M801" s="238"/>
      <c r="N801" s="238"/>
      <c r="O801" s="238"/>
      <c r="P801" s="238"/>
      <c r="Q801" s="238"/>
      <c r="R801" s="238"/>
      <c r="S801" s="238"/>
      <c r="T801" s="238"/>
      <c r="U801" s="238"/>
      <c r="V801" s="238"/>
      <c r="W801" s="238"/>
      <c r="X801" s="238"/>
      <c r="Y801" s="238"/>
      <c r="Z801" s="238"/>
    </row>
    <row r="802" spans="1:26" ht="16.5" customHeight="1">
      <c r="A802" s="238"/>
      <c r="B802" s="238"/>
      <c r="C802" s="238"/>
      <c r="D802" s="238"/>
      <c r="E802" s="238"/>
      <c r="F802" s="238"/>
      <c r="G802" s="238"/>
      <c r="H802" s="238"/>
      <c r="I802" s="238"/>
      <c r="J802" s="238"/>
      <c r="K802" s="238"/>
      <c r="L802" s="238"/>
      <c r="M802" s="238"/>
      <c r="N802" s="238"/>
      <c r="O802" s="238"/>
      <c r="P802" s="238"/>
      <c r="Q802" s="238"/>
      <c r="R802" s="238"/>
      <c r="S802" s="238"/>
      <c r="T802" s="238"/>
      <c r="U802" s="238"/>
      <c r="V802" s="238"/>
      <c r="W802" s="238"/>
      <c r="X802" s="238"/>
      <c r="Y802" s="238"/>
      <c r="Z802" s="238"/>
    </row>
    <row r="803" spans="1:26" ht="16.5" customHeight="1">
      <c r="A803" s="238"/>
      <c r="B803" s="238"/>
      <c r="C803" s="238"/>
      <c r="D803" s="238"/>
      <c r="E803" s="238"/>
      <c r="F803" s="238"/>
      <c r="G803" s="238"/>
      <c r="H803" s="238"/>
      <c r="I803" s="238"/>
      <c r="J803" s="238"/>
      <c r="K803" s="238"/>
      <c r="L803" s="238"/>
      <c r="M803" s="238"/>
      <c r="N803" s="238"/>
      <c r="O803" s="238"/>
      <c r="P803" s="238"/>
      <c r="Q803" s="238"/>
      <c r="R803" s="238"/>
      <c r="S803" s="238"/>
      <c r="T803" s="238"/>
      <c r="U803" s="238"/>
      <c r="V803" s="238"/>
      <c r="W803" s="238"/>
      <c r="X803" s="238"/>
      <c r="Y803" s="238"/>
      <c r="Z803" s="238"/>
    </row>
    <row r="804" spans="1:26" ht="16.5" customHeight="1">
      <c r="A804" s="238"/>
      <c r="B804" s="238"/>
      <c r="C804" s="238"/>
      <c r="D804" s="238"/>
      <c r="E804" s="238"/>
      <c r="F804" s="238"/>
      <c r="G804" s="238"/>
      <c r="H804" s="238"/>
      <c r="I804" s="238"/>
      <c r="J804" s="238"/>
      <c r="K804" s="238"/>
      <c r="L804" s="238"/>
      <c r="M804" s="238"/>
      <c r="N804" s="238"/>
      <c r="O804" s="238"/>
      <c r="P804" s="238"/>
      <c r="Q804" s="238"/>
      <c r="R804" s="238"/>
      <c r="S804" s="238"/>
      <c r="T804" s="238"/>
      <c r="U804" s="238"/>
      <c r="V804" s="238"/>
      <c r="W804" s="238"/>
      <c r="X804" s="238"/>
      <c r="Y804" s="238"/>
      <c r="Z804" s="238"/>
    </row>
    <row r="805" spans="1:26" ht="16.5" customHeight="1">
      <c r="A805" s="238"/>
      <c r="B805" s="238"/>
      <c r="C805" s="238"/>
      <c r="D805" s="238"/>
      <c r="E805" s="238"/>
      <c r="F805" s="238"/>
      <c r="G805" s="238"/>
      <c r="H805" s="238"/>
      <c r="I805" s="238"/>
      <c r="J805" s="238"/>
      <c r="K805" s="238"/>
      <c r="L805" s="238"/>
      <c r="M805" s="238"/>
      <c r="N805" s="238"/>
      <c r="O805" s="238"/>
      <c r="P805" s="238"/>
      <c r="Q805" s="238"/>
      <c r="R805" s="238"/>
      <c r="S805" s="238"/>
      <c r="T805" s="238"/>
      <c r="U805" s="238"/>
      <c r="V805" s="238"/>
      <c r="W805" s="238"/>
      <c r="X805" s="238"/>
      <c r="Y805" s="238"/>
      <c r="Z805" s="238"/>
    </row>
    <row r="806" spans="1:26" ht="16.5" customHeight="1">
      <c r="A806" s="238"/>
      <c r="B806" s="238"/>
      <c r="C806" s="238"/>
      <c r="D806" s="238"/>
      <c r="E806" s="238"/>
      <c r="F806" s="238"/>
      <c r="G806" s="238"/>
      <c r="H806" s="238"/>
      <c r="I806" s="238"/>
      <c r="J806" s="238"/>
      <c r="K806" s="238"/>
      <c r="L806" s="238"/>
      <c r="M806" s="238"/>
      <c r="N806" s="238"/>
      <c r="O806" s="238"/>
      <c r="P806" s="238"/>
      <c r="Q806" s="238"/>
      <c r="R806" s="238"/>
      <c r="S806" s="238"/>
      <c r="T806" s="238"/>
      <c r="U806" s="238"/>
      <c r="V806" s="238"/>
      <c r="W806" s="238"/>
      <c r="X806" s="238"/>
      <c r="Y806" s="238"/>
      <c r="Z806" s="238"/>
    </row>
    <row r="807" spans="1:26" ht="16.5" customHeight="1">
      <c r="A807" s="238"/>
      <c r="B807" s="238"/>
      <c r="C807" s="238"/>
      <c r="D807" s="238"/>
      <c r="E807" s="238"/>
      <c r="F807" s="238"/>
      <c r="G807" s="238"/>
      <c r="H807" s="238"/>
      <c r="I807" s="238"/>
      <c r="J807" s="238"/>
      <c r="K807" s="238"/>
      <c r="L807" s="238"/>
      <c r="M807" s="238"/>
      <c r="N807" s="238"/>
      <c r="O807" s="238"/>
      <c r="P807" s="238"/>
      <c r="Q807" s="238"/>
      <c r="R807" s="238"/>
      <c r="S807" s="238"/>
      <c r="T807" s="238"/>
      <c r="U807" s="238"/>
      <c r="V807" s="238"/>
      <c r="W807" s="238"/>
      <c r="X807" s="238"/>
      <c r="Y807" s="238"/>
      <c r="Z807" s="238"/>
    </row>
    <row r="808" spans="1:26" ht="16.5" customHeight="1">
      <c r="A808" s="238"/>
      <c r="B808" s="238"/>
      <c r="C808" s="238"/>
      <c r="D808" s="238"/>
      <c r="E808" s="238"/>
      <c r="F808" s="238"/>
      <c r="G808" s="238"/>
      <c r="H808" s="238"/>
      <c r="I808" s="238"/>
      <c r="J808" s="238"/>
      <c r="K808" s="238"/>
      <c r="L808" s="238"/>
      <c r="M808" s="238"/>
      <c r="N808" s="238"/>
      <c r="O808" s="238"/>
      <c r="P808" s="238"/>
      <c r="Q808" s="238"/>
      <c r="R808" s="238"/>
      <c r="S808" s="238"/>
      <c r="T808" s="238"/>
      <c r="U808" s="238"/>
      <c r="V808" s="238"/>
      <c r="W808" s="238"/>
      <c r="X808" s="238"/>
      <c r="Y808" s="238"/>
      <c r="Z808" s="238"/>
    </row>
    <row r="809" spans="1:26" ht="16.5" customHeight="1">
      <c r="A809" s="238"/>
      <c r="B809" s="238"/>
      <c r="C809" s="238"/>
      <c r="D809" s="238"/>
      <c r="E809" s="238"/>
      <c r="F809" s="238"/>
      <c r="G809" s="238"/>
      <c r="H809" s="238"/>
      <c r="I809" s="238"/>
      <c r="J809" s="238"/>
      <c r="K809" s="238"/>
      <c r="L809" s="238"/>
      <c r="M809" s="238"/>
      <c r="N809" s="238"/>
      <c r="O809" s="238"/>
      <c r="P809" s="238"/>
      <c r="Q809" s="238"/>
      <c r="R809" s="238"/>
      <c r="S809" s="238"/>
      <c r="T809" s="238"/>
      <c r="U809" s="238"/>
      <c r="V809" s="238"/>
      <c r="W809" s="238"/>
      <c r="X809" s="238"/>
      <c r="Y809" s="238"/>
      <c r="Z809" s="238"/>
    </row>
    <row r="810" spans="1:26" ht="16.5" customHeight="1">
      <c r="A810" s="238"/>
      <c r="B810" s="238"/>
      <c r="C810" s="238"/>
      <c r="D810" s="238"/>
      <c r="E810" s="238"/>
      <c r="F810" s="238"/>
      <c r="G810" s="238"/>
      <c r="H810" s="238"/>
      <c r="I810" s="238"/>
      <c r="J810" s="238"/>
      <c r="K810" s="238"/>
      <c r="L810" s="238"/>
      <c r="M810" s="238"/>
      <c r="N810" s="238"/>
      <c r="O810" s="238"/>
      <c r="P810" s="238"/>
      <c r="Q810" s="238"/>
      <c r="R810" s="238"/>
      <c r="S810" s="238"/>
      <c r="T810" s="238"/>
      <c r="U810" s="238"/>
      <c r="V810" s="238"/>
      <c r="W810" s="238"/>
      <c r="X810" s="238"/>
      <c r="Y810" s="238"/>
      <c r="Z810" s="238"/>
    </row>
    <row r="811" spans="1:26" ht="16.5" customHeight="1">
      <c r="A811" s="238"/>
      <c r="B811" s="238"/>
      <c r="C811" s="238"/>
      <c r="D811" s="238"/>
      <c r="E811" s="238"/>
      <c r="F811" s="238"/>
      <c r="G811" s="238"/>
      <c r="H811" s="238"/>
      <c r="I811" s="238"/>
      <c r="J811" s="238"/>
      <c r="K811" s="238"/>
      <c r="L811" s="238"/>
      <c r="M811" s="238"/>
      <c r="N811" s="238"/>
      <c r="O811" s="238"/>
      <c r="P811" s="238"/>
      <c r="Q811" s="238"/>
      <c r="R811" s="238"/>
      <c r="S811" s="238"/>
      <c r="T811" s="238"/>
      <c r="U811" s="238"/>
      <c r="V811" s="238"/>
      <c r="W811" s="238"/>
      <c r="X811" s="238"/>
      <c r="Y811" s="238"/>
      <c r="Z811" s="238"/>
    </row>
    <row r="812" spans="1:26" ht="16.5" customHeight="1">
      <c r="A812" s="238"/>
      <c r="B812" s="238"/>
      <c r="C812" s="238"/>
      <c r="D812" s="238"/>
      <c r="E812" s="238"/>
      <c r="F812" s="238"/>
      <c r="G812" s="238"/>
      <c r="H812" s="238"/>
      <c r="I812" s="238"/>
      <c r="J812" s="238"/>
      <c r="K812" s="238"/>
      <c r="L812" s="238"/>
      <c r="M812" s="238"/>
      <c r="N812" s="238"/>
      <c r="O812" s="238"/>
      <c r="P812" s="238"/>
      <c r="Q812" s="238"/>
      <c r="R812" s="238"/>
      <c r="S812" s="238"/>
      <c r="T812" s="238"/>
      <c r="U812" s="238"/>
      <c r="V812" s="238"/>
      <c r="W812" s="238"/>
      <c r="X812" s="238"/>
      <c r="Y812" s="238"/>
      <c r="Z812" s="238"/>
    </row>
    <row r="813" spans="1:26" ht="16.5" customHeight="1">
      <c r="A813" s="238"/>
      <c r="B813" s="238"/>
      <c r="C813" s="238"/>
      <c r="D813" s="238"/>
      <c r="E813" s="238"/>
      <c r="F813" s="238"/>
      <c r="G813" s="238"/>
      <c r="H813" s="238"/>
      <c r="I813" s="238"/>
      <c r="J813" s="238"/>
      <c r="K813" s="238"/>
      <c r="L813" s="238"/>
      <c r="M813" s="238"/>
      <c r="N813" s="238"/>
      <c r="O813" s="238"/>
      <c r="P813" s="238"/>
      <c r="Q813" s="238"/>
      <c r="R813" s="238"/>
      <c r="S813" s="238"/>
      <c r="T813" s="238"/>
      <c r="U813" s="238"/>
      <c r="V813" s="238"/>
      <c r="W813" s="238"/>
      <c r="X813" s="238"/>
      <c r="Y813" s="238"/>
      <c r="Z813" s="238"/>
    </row>
    <row r="814" spans="1:26" ht="16.5" customHeight="1">
      <c r="A814" s="238"/>
      <c r="B814" s="238"/>
      <c r="C814" s="238"/>
      <c r="D814" s="238"/>
      <c r="E814" s="238"/>
      <c r="F814" s="238"/>
      <c r="G814" s="238"/>
      <c r="H814" s="238"/>
      <c r="I814" s="238"/>
      <c r="J814" s="238"/>
      <c r="K814" s="238"/>
      <c r="L814" s="238"/>
      <c r="M814" s="238"/>
      <c r="N814" s="238"/>
      <c r="O814" s="238"/>
      <c r="P814" s="238"/>
      <c r="Q814" s="238"/>
      <c r="R814" s="238"/>
      <c r="S814" s="238"/>
      <c r="T814" s="238"/>
      <c r="U814" s="238"/>
      <c r="V814" s="238"/>
      <c r="W814" s="238"/>
      <c r="X814" s="238"/>
      <c r="Y814" s="238"/>
      <c r="Z814" s="238"/>
    </row>
    <row r="815" spans="1:26" ht="16.5" customHeight="1">
      <c r="A815" s="238"/>
      <c r="B815" s="238"/>
      <c r="C815" s="238"/>
      <c r="D815" s="238"/>
      <c r="E815" s="238"/>
      <c r="F815" s="238"/>
      <c r="G815" s="238"/>
      <c r="H815" s="238"/>
      <c r="I815" s="238"/>
      <c r="J815" s="238"/>
      <c r="K815" s="238"/>
      <c r="L815" s="238"/>
      <c r="M815" s="238"/>
      <c r="N815" s="238"/>
      <c r="O815" s="238"/>
      <c r="P815" s="238"/>
      <c r="Q815" s="238"/>
      <c r="R815" s="238"/>
      <c r="S815" s="238"/>
      <c r="T815" s="238"/>
      <c r="U815" s="238"/>
      <c r="V815" s="238"/>
      <c r="W815" s="238"/>
      <c r="X815" s="238"/>
      <c r="Y815" s="238"/>
      <c r="Z815" s="238"/>
    </row>
    <row r="816" spans="1:26" ht="16.5" customHeight="1">
      <c r="A816" s="238"/>
      <c r="B816" s="238"/>
      <c r="C816" s="238"/>
      <c r="D816" s="238"/>
      <c r="E816" s="238"/>
      <c r="F816" s="238"/>
      <c r="G816" s="238"/>
      <c r="H816" s="238"/>
      <c r="I816" s="238"/>
      <c r="J816" s="238"/>
      <c r="K816" s="238"/>
      <c r="L816" s="238"/>
      <c r="M816" s="238"/>
      <c r="N816" s="238"/>
      <c r="O816" s="238"/>
      <c r="P816" s="238"/>
      <c r="Q816" s="238"/>
      <c r="R816" s="238"/>
      <c r="S816" s="238"/>
      <c r="T816" s="238"/>
      <c r="U816" s="238"/>
      <c r="V816" s="238"/>
      <c r="W816" s="238"/>
      <c r="X816" s="238"/>
      <c r="Y816" s="238"/>
      <c r="Z816" s="238"/>
    </row>
    <row r="817" spans="1:26" ht="16.5" customHeight="1">
      <c r="A817" s="238"/>
      <c r="B817" s="238"/>
      <c r="C817" s="238"/>
      <c r="D817" s="238"/>
      <c r="E817" s="238"/>
      <c r="F817" s="238"/>
      <c r="G817" s="238"/>
      <c r="H817" s="238"/>
      <c r="I817" s="238"/>
      <c r="J817" s="238"/>
      <c r="K817" s="238"/>
      <c r="L817" s="238"/>
      <c r="M817" s="238"/>
      <c r="N817" s="238"/>
      <c r="O817" s="238"/>
      <c r="P817" s="238"/>
      <c r="Q817" s="238"/>
      <c r="R817" s="238"/>
      <c r="S817" s="238"/>
      <c r="T817" s="238"/>
      <c r="U817" s="238"/>
      <c r="V817" s="238"/>
      <c r="W817" s="238"/>
      <c r="X817" s="238"/>
      <c r="Y817" s="238"/>
      <c r="Z817" s="238"/>
    </row>
    <row r="818" spans="1:26" ht="16.5" customHeight="1">
      <c r="A818" s="238"/>
      <c r="B818" s="238"/>
      <c r="C818" s="238"/>
      <c r="D818" s="238"/>
      <c r="E818" s="238"/>
      <c r="F818" s="238"/>
      <c r="G818" s="238"/>
      <c r="H818" s="238"/>
      <c r="I818" s="238"/>
      <c r="J818" s="238"/>
      <c r="K818" s="238"/>
      <c r="L818" s="238"/>
      <c r="M818" s="238"/>
      <c r="N818" s="238"/>
      <c r="O818" s="238"/>
      <c r="P818" s="238"/>
      <c r="Q818" s="238"/>
      <c r="R818" s="238"/>
      <c r="S818" s="238"/>
      <c r="T818" s="238"/>
      <c r="U818" s="238"/>
      <c r="V818" s="238"/>
      <c r="W818" s="238"/>
      <c r="X818" s="238"/>
      <c r="Y818" s="238"/>
      <c r="Z818" s="238"/>
    </row>
    <row r="819" spans="1:26" ht="16.5" customHeight="1">
      <c r="A819" s="238"/>
      <c r="B819" s="238"/>
      <c r="C819" s="238"/>
      <c r="D819" s="238"/>
      <c r="E819" s="238"/>
      <c r="F819" s="238"/>
      <c r="G819" s="238"/>
      <c r="H819" s="238"/>
      <c r="I819" s="238"/>
      <c r="J819" s="238"/>
      <c r="K819" s="238"/>
      <c r="L819" s="238"/>
      <c r="M819" s="238"/>
      <c r="N819" s="238"/>
      <c r="O819" s="238"/>
      <c r="P819" s="238"/>
      <c r="Q819" s="238"/>
      <c r="R819" s="238"/>
      <c r="S819" s="238"/>
      <c r="T819" s="238"/>
      <c r="U819" s="238"/>
      <c r="V819" s="238"/>
      <c r="W819" s="238"/>
      <c r="X819" s="238"/>
      <c r="Y819" s="238"/>
      <c r="Z819" s="238"/>
    </row>
    <row r="820" spans="1:26" ht="16.5" customHeight="1">
      <c r="A820" s="238"/>
      <c r="B820" s="238"/>
      <c r="C820" s="238"/>
      <c r="D820" s="238"/>
      <c r="E820" s="238"/>
      <c r="F820" s="238"/>
      <c r="G820" s="238"/>
      <c r="H820" s="238"/>
      <c r="I820" s="238"/>
      <c r="J820" s="238"/>
      <c r="K820" s="238"/>
      <c r="L820" s="238"/>
      <c r="M820" s="238"/>
      <c r="N820" s="238"/>
      <c r="O820" s="238"/>
      <c r="P820" s="238"/>
      <c r="Q820" s="238"/>
      <c r="R820" s="238"/>
      <c r="S820" s="238"/>
      <c r="T820" s="238"/>
      <c r="U820" s="238"/>
      <c r="V820" s="238"/>
      <c r="W820" s="238"/>
      <c r="X820" s="238"/>
      <c r="Y820" s="238"/>
      <c r="Z820" s="238"/>
    </row>
    <row r="821" spans="1:26" ht="16.5" customHeight="1">
      <c r="A821" s="238"/>
      <c r="B821" s="238"/>
      <c r="C821" s="238"/>
      <c r="D821" s="238"/>
      <c r="E821" s="238"/>
      <c r="F821" s="238"/>
      <c r="G821" s="238"/>
      <c r="H821" s="238"/>
      <c r="I821" s="238"/>
      <c r="J821" s="238"/>
      <c r="K821" s="238"/>
      <c r="L821" s="238"/>
      <c r="M821" s="238"/>
      <c r="N821" s="238"/>
      <c r="O821" s="238"/>
      <c r="P821" s="238"/>
      <c r="Q821" s="238"/>
      <c r="R821" s="238"/>
      <c r="S821" s="238"/>
      <c r="T821" s="238"/>
      <c r="U821" s="238"/>
      <c r="V821" s="238"/>
      <c r="W821" s="238"/>
      <c r="X821" s="238"/>
      <c r="Y821" s="238"/>
      <c r="Z821" s="238"/>
    </row>
    <row r="822" spans="1:26" ht="16.5" customHeight="1">
      <c r="A822" s="238"/>
      <c r="B822" s="238"/>
      <c r="C822" s="238"/>
      <c r="D822" s="238"/>
      <c r="E822" s="238"/>
      <c r="F822" s="238"/>
      <c r="G822" s="238"/>
      <c r="H822" s="238"/>
      <c r="I822" s="238"/>
      <c r="J822" s="238"/>
      <c r="K822" s="238"/>
      <c r="L822" s="238"/>
      <c r="M822" s="238"/>
      <c r="N822" s="238"/>
      <c r="O822" s="238"/>
      <c r="P822" s="238"/>
      <c r="Q822" s="238"/>
      <c r="R822" s="238"/>
      <c r="S822" s="238"/>
      <c r="T822" s="238"/>
      <c r="U822" s="238"/>
      <c r="V822" s="238"/>
      <c r="W822" s="238"/>
      <c r="X822" s="238"/>
      <c r="Y822" s="238"/>
      <c r="Z822" s="238"/>
    </row>
    <row r="823" spans="1:26" ht="16.5" customHeight="1">
      <c r="A823" s="238"/>
      <c r="B823" s="238"/>
      <c r="C823" s="238"/>
      <c r="D823" s="238"/>
      <c r="E823" s="238"/>
      <c r="F823" s="238"/>
      <c r="G823" s="238"/>
      <c r="H823" s="238"/>
      <c r="I823" s="238"/>
      <c r="J823" s="238"/>
      <c r="K823" s="238"/>
      <c r="L823" s="238"/>
      <c r="M823" s="238"/>
      <c r="N823" s="238"/>
      <c r="O823" s="238"/>
      <c r="P823" s="238"/>
      <c r="Q823" s="238"/>
      <c r="R823" s="238"/>
      <c r="S823" s="238"/>
      <c r="T823" s="238"/>
      <c r="U823" s="238"/>
      <c r="V823" s="238"/>
      <c r="W823" s="238"/>
      <c r="X823" s="238"/>
      <c r="Y823" s="238"/>
      <c r="Z823" s="238"/>
    </row>
    <row r="824" spans="1:26" ht="16.5" customHeight="1">
      <c r="A824" s="238"/>
      <c r="B824" s="238"/>
      <c r="C824" s="238"/>
      <c r="D824" s="238"/>
      <c r="E824" s="238"/>
      <c r="F824" s="238"/>
      <c r="G824" s="238"/>
      <c r="H824" s="238"/>
      <c r="I824" s="238"/>
      <c r="J824" s="238"/>
      <c r="K824" s="238"/>
      <c r="L824" s="238"/>
      <c r="M824" s="238"/>
      <c r="N824" s="238"/>
      <c r="O824" s="238"/>
      <c r="P824" s="238"/>
      <c r="Q824" s="238"/>
      <c r="R824" s="238"/>
      <c r="S824" s="238"/>
      <c r="T824" s="238"/>
      <c r="U824" s="238"/>
      <c r="V824" s="238"/>
      <c r="W824" s="238"/>
      <c r="X824" s="238"/>
      <c r="Y824" s="238"/>
      <c r="Z824" s="238"/>
    </row>
    <row r="825" spans="1:26" ht="16.5" customHeight="1">
      <c r="A825" s="238"/>
      <c r="B825" s="238"/>
      <c r="C825" s="238"/>
      <c r="D825" s="238"/>
      <c r="E825" s="238"/>
      <c r="F825" s="238"/>
      <c r="G825" s="238"/>
      <c r="H825" s="238"/>
      <c r="I825" s="238"/>
      <c r="J825" s="238"/>
      <c r="K825" s="238"/>
      <c r="L825" s="238"/>
      <c r="M825" s="238"/>
      <c r="N825" s="238"/>
      <c r="O825" s="238"/>
      <c r="P825" s="238"/>
      <c r="Q825" s="238"/>
      <c r="R825" s="238"/>
      <c r="S825" s="238"/>
      <c r="T825" s="238"/>
      <c r="U825" s="238"/>
      <c r="V825" s="238"/>
      <c r="W825" s="238"/>
      <c r="X825" s="238"/>
      <c r="Y825" s="238"/>
      <c r="Z825" s="238"/>
    </row>
    <row r="826" spans="1:26" ht="16.5" customHeight="1">
      <c r="A826" s="238"/>
      <c r="B826" s="238"/>
      <c r="C826" s="238"/>
      <c r="D826" s="238"/>
      <c r="E826" s="238"/>
      <c r="F826" s="238"/>
      <c r="G826" s="238"/>
      <c r="H826" s="238"/>
      <c r="I826" s="238"/>
      <c r="J826" s="238"/>
      <c r="K826" s="238"/>
      <c r="L826" s="238"/>
      <c r="M826" s="238"/>
      <c r="N826" s="238"/>
      <c r="O826" s="238"/>
      <c r="P826" s="238"/>
      <c r="Q826" s="238"/>
      <c r="R826" s="238"/>
      <c r="S826" s="238"/>
      <c r="T826" s="238"/>
      <c r="U826" s="238"/>
      <c r="V826" s="238"/>
      <c r="W826" s="238"/>
      <c r="X826" s="238"/>
      <c r="Y826" s="238"/>
      <c r="Z826" s="238"/>
    </row>
    <row r="827" spans="1:26" ht="16.5" customHeight="1">
      <c r="A827" s="238"/>
      <c r="B827" s="238"/>
      <c r="C827" s="238"/>
      <c r="D827" s="238"/>
      <c r="E827" s="238"/>
      <c r="F827" s="238"/>
      <c r="G827" s="238"/>
      <c r="H827" s="238"/>
      <c r="I827" s="238"/>
      <c r="J827" s="238"/>
      <c r="K827" s="238"/>
      <c r="L827" s="238"/>
      <c r="M827" s="238"/>
      <c r="N827" s="238"/>
      <c r="O827" s="238"/>
      <c r="P827" s="238"/>
      <c r="Q827" s="238"/>
      <c r="R827" s="238"/>
      <c r="S827" s="238"/>
      <c r="T827" s="238"/>
      <c r="U827" s="238"/>
      <c r="V827" s="238"/>
      <c r="W827" s="238"/>
      <c r="X827" s="238"/>
      <c r="Y827" s="238"/>
      <c r="Z827" s="238"/>
    </row>
    <row r="828" spans="1:26" ht="16.5" customHeight="1">
      <c r="A828" s="238"/>
      <c r="B828" s="238"/>
      <c r="C828" s="238"/>
      <c r="D828" s="238"/>
      <c r="E828" s="238"/>
      <c r="F828" s="238"/>
      <c r="G828" s="238"/>
      <c r="H828" s="238"/>
      <c r="I828" s="238"/>
      <c r="J828" s="238"/>
      <c r="K828" s="238"/>
      <c r="L828" s="238"/>
      <c r="M828" s="238"/>
      <c r="N828" s="238"/>
      <c r="O828" s="238"/>
      <c r="P828" s="238"/>
      <c r="Q828" s="238"/>
      <c r="R828" s="238"/>
      <c r="S828" s="238"/>
      <c r="T828" s="238"/>
      <c r="U828" s="238"/>
      <c r="V828" s="238"/>
      <c r="W828" s="238"/>
      <c r="X828" s="238"/>
      <c r="Y828" s="238"/>
      <c r="Z828" s="238"/>
    </row>
    <row r="829" spans="1:26" ht="16.5" customHeight="1">
      <c r="A829" s="238"/>
      <c r="B829" s="238"/>
      <c r="C829" s="238"/>
      <c r="D829" s="238"/>
      <c r="E829" s="238"/>
      <c r="F829" s="238"/>
      <c r="G829" s="238"/>
      <c r="H829" s="238"/>
      <c r="I829" s="238"/>
      <c r="J829" s="238"/>
      <c r="K829" s="238"/>
      <c r="L829" s="238"/>
      <c r="M829" s="238"/>
      <c r="N829" s="238"/>
      <c r="O829" s="238"/>
      <c r="P829" s="238"/>
      <c r="Q829" s="238"/>
      <c r="R829" s="238"/>
      <c r="S829" s="238"/>
      <c r="T829" s="238"/>
      <c r="U829" s="238"/>
      <c r="V829" s="238"/>
      <c r="W829" s="238"/>
      <c r="X829" s="238"/>
      <c r="Y829" s="238"/>
      <c r="Z829" s="238"/>
    </row>
    <row r="830" spans="1:26" ht="16.5" customHeight="1">
      <c r="A830" s="238"/>
      <c r="B830" s="238"/>
      <c r="C830" s="238"/>
      <c r="D830" s="238"/>
      <c r="E830" s="238"/>
      <c r="F830" s="238"/>
      <c r="G830" s="238"/>
      <c r="H830" s="238"/>
      <c r="I830" s="238"/>
      <c r="J830" s="238"/>
      <c r="K830" s="238"/>
      <c r="L830" s="238"/>
      <c r="M830" s="238"/>
      <c r="N830" s="238"/>
      <c r="O830" s="238"/>
      <c r="P830" s="238"/>
      <c r="Q830" s="238"/>
      <c r="R830" s="238"/>
      <c r="S830" s="238"/>
      <c r="T830" s="238"/>
      <c r="U830" s="238"/>
      <c r="V830" s="238"/>
      <c r="W830" s="238"/>
      <c r="X830" s="238"/>
      <c r="Y830" s="238"/>
      <c r="Z830" s="238"/>
    </row>
    <row r="831" spans="1:26" ht="16.5" customHeight="1">
      <c r="A831" s="238"/>
      <c r="B831" s="238"/>
      <c r="C831" s="238"/>
      <c r="D831" s="238"/>
      <c r="E831" s="238"/>
      <c r="F831" s="238"/>
      <c r="G831" s="238"/>
      <c r="H831" s="238"/>
      <c r="I831" s="238"/>
      <c r="J831" s="238"/>
      <c r="K831" s="238"/>
      <c r="L831" s="238"/>
      <c r="M831" s="238"/>
      <c r="N831" s="238"/>
      <c r="O831" s="238"/>
      <c r="P831" s="238"/>
      <c r="Q831" s="238"/>
      <c r="R831" s="238"/>
      <c r="S831" s="238"/>
      <c r="T831" s="238"/>
      <c r="U831" s="238"/>
      <c r="V831" s="238"/>
      <c r="W831" s="238"/>
      <c r="X831" s="238"/>
      <c r="Y831" s="238"/>
      <c r="Z831" s="238"/>
    </row>
    <row r="832" spans="1:26" ht="16.5" customHeight="1">
      <c r="A832" s="238"/>
      <c r="B832" s="238"/>
      <c r="C832" s="238"/>
      <c r="D832" s="238"/>
      <c r="E832" s="238"/>
      <c r="F832" s="238"/>
      <c r="G832" s="238"/>
      <c r="H832" s="238"/>
      <c r="I832" s="238"/>
      <c r="J832" s="238"/>
      <c r="K832" s="238"/>
      <c r="L832" s="238"/>
      <c r="M832" s="238"/>
      <c r="N832" s="238"/>
      <c r="O832" s="238"/>
      <c r="P832" s="238"/>
      <c r="Q832" s="238"/>
      <c r="R832" s="238"/>
      <c r="S832" s="238"/>
      <c r="T832" s="238"/>
      <c r="U832" s="238"/>
      <c r="V832" s="238"/>
      <c r="W832" s="238"/>
      <c r="X832" s="238"/>
      <c r="Y832" s="238"/>
      <c r="Z832" s="238"/>
    </row>
    <row r="833" spans="1:26" ht="16.5" customHeight="1">
      <c r="A833" s="238"/>
      <c r="B833" s="238"/>
      <c r="C833" s="238"/>
      <c r="D833" s="238"/>
      <c r="E833" s="238"/>
      <c r="F833" s="238"/>
      <c r="G833" s="238"/>
      <c r="H833" s="238"/>
      <c r="I833" s="238"/>
      <c r="J833" s="238"/>
      <c r="K833" s="238"/>
      <c r="L833" s="238"/>
      <c r="M833" s="238"/>
      <c r="N833" s="238"/>
      <c r="O833" s="238"/>
      <c r="P833" s="238"/>
      <c r="Q833" s="238"/>
      <c r="R833" s="238"/>
      <c r="S833" s="238"/>
      <c r="T833" s="238"/>
      <c r="U833" s="238"/>
      <c r="V833" s="238"/>
      <c r="W833" s="238"/>
      <c r="X833" s="238"/>
      <c r="Y833" s="238"/>
      <c r="Z833" s="238"/>
    </row>
    <row r="834" spans="1:26" ht="16.5" customHeight="1">
      <c r="A834" s="238"/>
      <c r="B834" s="238"/>
      <c r="C834" s="238"/>
      <c r="D834" s="238"/>
      <c r="E834" s="238"/>
      <c r="F834" s="238"/>
      <c r="G834" s="238"/>
      <c r="H834" s="238"/>
      <c r="I834" s="238"/>
      <c r="J834" s="238"/>
      <c r="K834" s="238"/>
      <c r="L834" s="238"/>
      <c r="M834" s="238"/>
      <c r="N834" s="238"/>
      <c r="O834" s="238"/>
      <c r="P834" s="238"/>
      <c r="Q834" s="238"/>
      <c r="R834" s="238"/>
      <c r="S834" s="238"/>
      <c r="T834" s="238"/>
      <c r="U834" s="238"/>
      <c r="V834" s="238"/>
      <c r="W834" s="238"/>
      <c r="X834" s="238"/>
      <c r="Y834" s="238"/>
      <c r="Z834" s="238"/>
    </row>
    <row r="835" spans="1:26" ht="16.5" customHeight="1">
      <c r="A835" s="238"/>
      <c r="B835" s="238"/>
      <c r="C835" s="238"/>
      <c r="D835" s="238"/>
      <c r="E835" s="238"/>
      <c r="F835" s="238"/>
      <c r="G835" s="238"/>
      <c r="H835" s="238"/>
      <c r="I835" s="238"/>
      <c r="J835" s="238"/>
      <c r="K835" s="238"/>
      <c r="L835" s="238"/>
      <c r="M835" s="238"/>
      <c r="N835" s="238"/>
      <c r="O835" s="238"/>
      <c r="P835" s="238"/>
      <c r="Q835" s="238"/>
      <c r="R835" s="238"/>
      <c r="S835" s="238"/>
      <c r="T835" s="238"/>
      <c r="U835" s="238"/>
      <c r="V835" s="238"/>
      <c r="W835" s="238"/>
      <c r="X835" s="238"/>
      <c r="Y835" s="238"/>
      <c r="Z835" s="238"/>
    </row>
    <row r="836" spans="1:26" ht="16.5" customHeight="1">
      <c r="A836" s="238"/>
      <c r="B836" s="238"/>
      <c r="C836" s="238"/>
      <c r="D836" s="238"/>
      <c r="E836" s="238"/>
      <c r="F836" s="238"/>
      <c r="G836" s="238"/>
      <c r="H836" s="238"/>
      <c r="I836" s="238"/>
      <c r="J836" s="238"/>
      <c r="K836" s="238"/>
      <c r="L836" s="238"/>
      <c r="M836" s="238"/>
      <c r="N836" s="238"/>
      <c r="O836" s="238"/>
      <c r="P836" s="238"/>
      <c r="Q836" s="238"/>
      <c r="R836" s="238"/>
      <c r="S836" s="238"/>
      <c r="T836" s="238"/>
      <c r="U836" s="238"/>
      <c r="V836" s="238"/>
      <c r="W836" s="238"/>
      <c r="X836" s="238"/>
      <c r="Y836" s="238"/>
      <c r="Z836" s="238"/>
    </row>
    <row r="837" spans="1:26" ht="16.5" customHeight="1">
      <c r="A837" s="238"/>
      <c r="B837" s="238"/>
      <c r="C837" s="238"/>
      <c r="D837" s="238"/>
      <c r="E837" s="238"/>
      <c r="F837" s="238"/>
      <c r="G837" s="238"/>
      <c r="H837" s="238"/>
      <c r="I837" s="238"/>
      <c r="J837" s="238"/>
      <c r="K837" s="238"/>
      <c r="L837" s="238"/>
      <c r="M837" s="238"/>
      <c r="N837" s="238"/>
      <c r="O837" s="238"/>
      <c r="P837" s="238"/>
      <c r="Q837" s="238"/>
      <c r="R837" s="238"/>
      <c r="S837" s="238"/>
      <c r="T837" s="238"/>
      <c r="U837" s="238"/>
      <c r="V837" s="238"/>
      <c r="W837" s="238"/>
      <c r="X837" s="238"/>
      <c r="Y837" s="238"/>
      <c r="Z837" s="238"/>
    </row>
    <row r="838" spans="1:26" ht="16.5" customHeight="1">
      <c r="A838" s="238"/>
      <c r="B838" s="238"/>
      <c r="C838" s="238"/>
      <c r="D838" s="238"/>
      <c r="E838" s="238"/>
      <c r="F838" s="238"/>
      <c r="G838" s="238"/>
      <c r="H838" s="238"/>
      <c r="I838" s="238"/>
      <c r="J838" s="238"/>
      <c r="K838" s="238"/>
      <c r="L838" s="238"/>
      <c r="M838" s="238"/>
      <c r="N838" s="238"/>
      <c r="O838" s="238"/>
      <c r="P838" s="238"/>
      <c r="Q838" s="238"/>
      <c r="R838" s="238"/>
      <c r="S838" s="238"/>
      <c r="T838" s="238"/>
      <c r="U838" s="238"/>
      <c r="V838" s="238"/>
      <c r="W838" s="238"/>
      <c r="X838" s="238"/>
      <c r="Y838" s="238"/>
      <c r="Z838" s="238"/>
    </row>
    <row r="839" spans="1:26" ht="16.5" customHeight="1">
      <c r="A839" s="238"/>
      <c r="B839" s="238"/>
      <c r="C839" s="238"/>
      <c r="D839" s="238"/>
      <c r="E839" s="238"/>
      <c r="F839" s="238"/>
      <c r="G839" s="238"/>
      <c r="H839" s="238"/>
      <c r="I839" s="238"/>
      <c r="J839" s="238"/>
      <c r="K839" s="238"/>
      <c r="L839" s="238"/>
      <c r="M839" s="238"/>
      <c r="N839" s="238"/>
      <c r="O839" s="238"/>
      <c r="P839" s="238"/>
      <c r="Q839" s="238"/>
      <c r="R839" s="238"/>
      <c r="S839" s="238"/>
      <c r="T839" s="238"/>
      <c r="U839" s="238"/>
      <c r="V839" s="238"/>
      <c r="W839" s="238"/>
      <c r="X839" s="238"/>
      <c r="Y839" s="238"/>
      <c r="Z839" s="238"/>
    </row>
    <row r="840" spans="1:26" ht="16.5" customHeight="1">
      <c r="A840" s="238"/>
      <c r="B840" s="238"/>
      <c r="C840" s="238"/>
      <c r="D840" s="238"/>
      <c r="E840" s="238"/>
      <c r="F840" s="238"/>
      <c r="G840" s="238"/>
      <c r="H840" s="238"/>
      <c r="I840" s="238"/>
      <c r="J840" s="238"/>
      <c r="K840" s="238"/>
      <c r="L840" s="238"/>
      <c r="M840" s="238"/>
      <c r="N840" s="238"/>
      <c r="O840" s="238"/>
      <c r="P840" s="238"/>
      <c r="Q840" s="238"/>
      <c r="R840" s="238"/>
      <c r="S840" s="238"/>
      <c r="T840" s="238"/>
      <c r="U840" s="238"/>
      <c r="V840" s="238"/>
      <c r="W840" s="238"/>
      <c r="X840" s="238"/>
      <c r="Y840" s="238"/>
      <c r="Z840" s="238"/>
    </row>
    <row r="841" spans="1:26" ht="16.5" customHeight="1">
      <c r="A841" s="238"/>
      <c r="B841" s="238"/>
      <c r="C841" s="238"/>
      <c r="D841" s="238"/>
      <c r="E841" s="238"/>
      <c r="F841" s="238"/>
      <c r="G841" s="238"/>
      <c r="H841" s="238"/>
      <c r="I841" s="238"/>
      <c r="J841" s="238"/>
      <c r="K841" s="238"/>
      <c r="L841" s="238"/>
      <c r="M841" s="238"/>
      <c r="N841" s="238"/>
      <c r="O841" s="238"/>
      <c r="P841" s="238"/>
      <c r="Q841" s="238"/>
      <c r="R841" s="238"/>
      <c r="S841" s="238"/>
      <c r="T841" s="238"/>
      <c r="U841" s="238"/>
      <c r="V841" s="238"/>
      <c r="W841" s="238"/>
      <c r="X841" s="238"/>
      <c r="Y841" s="238"/>
      <c r="Z841" s="238"/>
    </row>
    <row r="842" spans="1:26" ht="16.5" customHeight="1">
      <c r="A842" s="238"/>
      <c r="B842" s="238"/>
      <c r="C842" s="238"/>
      <c r="D842" s="238"/>
      <c r="E842" s="238"/>
      <c r="F842" s="238"/>
      <c r="G842" s="238"/>
      <c r="H842" s="238"/>
      <c r="I842" s="238"/>
      <c r="J842" s="238"/>
      <c r="K842" s="238"/>
      <c r="L842" s="238"/>
      <c r="M842" s="238"/>
      <c r="N842" s="238"/>
      <c r="O842" s="238"/>
      <c r="P842" s="238"/>
      <c r="Q842" s="238"/>
      <c r="R842" s="238"/>
      <c r="S842" s="238"/>
      <c r="T842" s="238"/>
      <c r="U842" s="238"/>
      <c r="V842" s="238"/>
      <c r="W842" s="238"/>
      <c r="X842" s="238"/>
      <c r="Y842" s="238"/>
      <c r="Z842" s="238"/>
    </row>
    <row r="843" spans="1:26" ht="16.5" customHeight="1">
      <c r="A843" s="238"/>
      <c r="B843" s="238"/>
      <c r="C843" s="238"/>
      <c r="D843" s="238"/>
      <c r="E843" s="238"/>
      <c r="F843" s="238"/>
      <c r="G843" s="238"/>
      <c r="H843" s="238"/>
      <c r="I843" s="238"/>
      <c r="J843" s="238"/>
      <c r="K843" s="238"/>
      <c r="L843" s="238"/>
      <c r="M843" s="238"/>
      <c r="N843" s="238"/>
      <c r="O843" s="238"/>
      <c r="P843" s="238"/>
      <c r="Q843" s="238"/>
      <c r="R843" s="238"/>
      <c r="S843" s="238"/>
      <c r="T843" s="238"/>
      <c r="U843" s="238"/>
      <c r="V843" s="238"/>
      <c r="W843" s="238"/>
      <c r="X843" s="238"/>
      <c r="Y843" s="238"/>
      <c r="Z843" s="238"/>
    </row>
    <row r="844" spans="1:26" ht="16.5" customHeight="1">
      <c r="A844" s="238"/>
      <c r="B844" s="238"/>
      <c r="C844" s="238"/>
      <c r="D844" s="238"/>
      <c r="E844" s="238"/>
      <c r="F844" s="238"/>
      <c r="G844" s="238"/>
      <c r="H844" s="238"/>
      <c r="I844" s="238"/>
      <c r="J844" s="238"/>
      <c r="K844" s="238"/>
      <c r="L844" s="238"/>
      <c r="M844" s="238"/>
      <c r="N844" s="238"/>
      <c r="O844" s="238"/>
      <c r="P844" s="238"/>
      <c r="Q844" s="238"/>
      <c r="R844" s="238"/>
      <c r="S844" s="238"/>
      <c r="T844" s="238"/>
      <c r="U844" s="238"/>
      <c r="V844" s="238"/>
      <c r="W844" s="238"/>
      <c r="X844" s="238"/>
      <c r="Y844" s="238"/>
      <c r="Z844" s="238"/>
    </row>
    <row r="845" spans="1:26" ht="16.5" customHeight="1">
      <c r="A845" s="238"/>
      <c r="B845" s="238"/>
      <c r="C845" s="238"/>
      <c r="D845" s="238"/>
      <c r="E845" s="238"/>
      <c r="F845" s="238"/>
      <c r="G845" s="238"/>
      <c r="H845" s="238"/>
      <c r="I845" s="238"/>
      <c r="J845" s="238"/>
      <c r="K845" s="238"/>
      <c r="L845" s="238"/>
      <c r="M845" s="238"/>
      <c r="N845" s="238"/>
      <c r="O845" s="238"/>
      <c r="P845" s="238"/>
      <c r="Q845" s="238"/>
      <c r="R845" s="238"/>
      <c r="S845" s="238"/>
      <c r="T845" s="238"/>
      <c r="U845" s="238"/>
      <c r="V845" s="238"/>
      <c r="W845" s="238"/>
      <c r="X845" s="238"/>
      <c r="Y845" s="238"/>
      <c r="Z845" s="238"/>
    </row>
    <row r="846" spans="1:26" ht="16.5" customHeight="1">
      <c r="A846" s="238"/>
      <c r="B846" s="238"/>
      <c r="C846" s="238"/>
      <c r="D846" s="238"/>
      <c r="E846" s="238"/>
      <c r="F846" s="238"/>
      <c r="G846" s="238"/>
      <c r="H846" s="238"/>
      <c r="I846" s="238"/>
      <c r="J846" s="238"/>
      <c r="K846" s="238"/>
      <c r="L846" s="238"/>
      <c r="M846" s="238"/>
      <c r="N846" s="238"/>
      <c r="O846" s="238"/>
      <c r="P846" s="238"/>
      <c r="Q846" s="238"/>
      <c r="R846" s="238"/>
      <c r="S846" s="238"/>
      <c r="T846" s="238"/>
      <c r="U846" s="238"/>
      <c r="V846" s="238"/>
      <c r="W846" s="238"/>
      <c r="X846" s="238"/>
      <c r="Y846" s="238"/>
      <c r="Z846" s="238"/>
    </row>
    <row r="847" spans="1:26" ht="16.5" customHeight="1">
      <c r="A847" s="238"/>
      <c r="B847" s="238"/>
      <c r="C847" s="238"/>
      <c r="D847" s="238"/>
      <c r="E847" s="238"/>
      <c r="F847" s="238"/>
      <c r="G847" s="238"/>
      <c r="H847" s="238"/>
      <c r="I847" s="238"/>
      <c r="J847" s="238"/>
      <c r="K847" s="238"/>
      <c r="L847" s="238"/>
      <c r="M847" s="238"/>
      <c r="N847" s="238"/>
      <c r="O847" s="238"/>
      <c r="P847" s="238"/>
      <c r="Q847" s="238"/>
      <c r="R847" s="238"/>
      <c r="S847" s="238"/>
      <c r="T847" s="238"/>
      <c r="U847" s="238"/>
      <c r="V847" s="238"/>
      <c r="W847" s="238"/>
      <c r="X847" s="238"/>
      <c r="Y847" s="238"/>
      <c r="Z847" s="238"/>
    </row>
    <row r="848" spans="1:26" ht="16.5" customHeight="1">
      <c r="A848" s="238"/>
      <c r="B848" s="238"/>
      <c r="C848" s="238"/>
      <c r="D848" s="238"/>
      <c r="E848" s="238"/>
      <c r="F848" s="238"/>
      <c r="G848" s="238"/>
      <c r="H848" s="238"/>
      <c r="I848" s="238"/>
      <c r="J848" s="238"/>
      <c r="K848" s="238"/>
      <c r="L848" s="238"/>
      <c r="M848" s="238"/>
      <c r="N848" s="238"/>
      <c r="O848" s="238"/>
      <c r="P848" s="238"/>
      <c r="Q848" s="238"/>
      <c r="R848" s="238"/>
      <c r="S848" s="238"/>
      <c r="T848" s="238"/>
      <c r="U848" s="238"/>
      <c r="V848" s="238"/>
      <c r="W848" s="238"/>
      <c r="X848" s="238"/>
      <c r="Y848" s="238"/>
      <c r="Z848" s="238"/>
    </row>
    <row r="849" spans="1:26" ht="16.5" customHeight="1">
      <c r="A849" s="238"/>
      <c r="B849" s="238"/>
      <c r="C849" s="238"/>
      <c r="D849" s="238"/>
      <c r="E849" s="238"/>
      <c r="F849" s="238"/>
      <c r="G849" s="238"/>
      <c r="H849" s="238"/>
      <c r="I849" s="238"/>
      <c r="J849" s="238"/>
      <c r="K849" s="238"/>
      <c r="L849" s="238"/>
      <c r="M849" s="238"/>
      <c r="N849" s="238"/>
      <c r="O849" s="238"/>
      <c r="P849" s="238"/>
      <c r="Q849" s="238"/>
      <c r="R849" s="238"/>
      <c r="S849" s="238"/>
      <c r="T849" s="238"/>
      <c r="U849" s="238"/>
      <c r="V849" s="238"/>
      <c r="W849" s="238"/>
      <c r="X849" s="238"/>
      <c r="Y849" s="238"/>
      <c r="Z849" s="238"/>
    </row>
    <row r="850" spans="1:26" ht="16.5" customHeight="1">
      <c r="A850" s="238"/>
      <c r="B850" s="238"/>
      <c r="C850" s="238"/>
      <c r="D850" s="238"/>
      <c r="E850" s="238"/>
      <c r="F850" s="238"/>
      <c r="G850" s="238"/>
      <c r="H850" s="238"/>
      <c r="I850" s="238"/>
      <c r="J850" s="238"/>
      <c r="K850" s="238"/>
      <c r="L850" s="238"/>
      <c r="M850" s="238"/>
      <c r="N850" s="238"/>
      <c r="O850" s="238"/>
      <c r="P850" s="238"/>
      <c r="Q850" s="238"/>
      <c r="R850" s="238"/>
      <c r="S850" s="238"/>
      <c r="T850" s="238"/>
      <c r="U850" s="238"/>
      <c r="V850" s="238"/>
      <c r="W850" s="238"/>
      <c r="X850" s="238"/>
      <c r="Y850" s="238"/>
      <c r="Z850" s="238"/>
    </row>
    <row r="851" spans="1:26" ht="16.5" customHeight="1">
      <c r="A851" s="238"/>
      <c r="B851" s="238"/>
      <c r="C851" s="238"/>
      <c r="D851" s="238"/>
      <c r="E851" s="238"/>
      <c r="F851" s="238"/>
      <c r="G851" s="238"/>
      <c r="H851" s="238"/>
      <c r="I851" s="238"/>
      <c r="J851" s="238"/>
      <c r="K851" s="238"/>
      <c r="L851" s="238"/>
      <c r="M851" s="238"/>
      <c r="N851" s="238"/>
      <c r="O851" s="238"/>
      <c r="P851" s="238"/>
      <c r="Q851" s="238"/>
      <c r="R851" s="238"/>
      <c r="S851" s="238"/>
      <c r="T851" s="238"/>
      <c r="U851" s="238"/>
      <c r="V851" s="238"/>
      <c r="W851" s="238"/>
      <c r="X851" s="238"/>
      <c r="Y851" s="238"/>
      <c r="Z851" s="238"/>
    </row>
    <row r="852" spans="1:26" ht="16.5" customHeight="1">
      <c r="A852" s="238"/>
      <c r="B852" s="238"/>
      <c r="C852" s="238"/>
      <c r="D852" s="238"/>
      <c r="E852" s="238"/>
      <c r="F852" s="238"/>
      <c r="G852" s="238"/>
      <c r="H852" s="238"/>
      <c r="I852" s="238"/>
      <c r="J852" s="238"/>
      <c r="K852" s="238"/>
      <c r="L852" s="238"/>
      <c r="M852" s="238"/>
      <c r="N852" s="238"/>
      <c r="O852" s="238"/>
      <c r="P852" s="238"/>
      <c r="Q852" s="238"/>
      <c r="R852" s="238"/>
      <c r="S852" s="238"/>
      <c r="T852" s="238"/>
      <c r="U852" s="238"/>
      <c r="V852" s="238"/>
      <c r="W852" s="238"/>
      <c r="X852" s="238"/>
      <c r="Y852" s="238"/>
      <c r="Z852" s="238"/>
    </row>
    <row r="853" spans="1:26" ht="16.5" customHeight="1">
      <c r="A853" s="238"/>
      <c r="B853" s="238"/>
      <c r="C853" s="238"/>
      <c r="D853" s="238"/>
      <c r="E853" s="238"/>
      <c r="F853" s="238"/>
      <c r="G853" s="238"/>
      <c r="H853" s="238"/>
      <c r="I853" s="238"/>
      <c r="J853" s="238"/>
      <c r="K853" s="238"/>
      <c r="L853" s="238"/>
      <c r="M853" s="238"/>
      <c r="N853" s="238"/>
      <c r="O853" s="238"/>
      <c r="P853" s="238"/>
      <c r="Q853" s="238"/>
      <c r="R853" s="238"/>
      <c r="S853" s="238"/>
      <c r="T853" s="238"/>
      <c r="U853" s="238"/>
      <c r="V853" s="238"/>
      <c r="W853" s="238"/>
      <c r="X853" s="238"/>
      <c r="Y853" s="238"/>
      <c r="Z853" s="238"/>
    </row>
    <row r="854" spans="1:26" ht="16.5" customHeight="1">
      <c r="A854" s="238"/>
      <c r="B854" s="238"/>
      <c r="C854" s="238"/>
      <c r="D854" s="238"/>
      <c r="E854" s="238"/>
      <c r="F854" s="238"/>
      <c r="G854" s="238"/>
      <c r="H854" s="238"/>
      <c r="I854" s="238"/>
      <c r="J854" s="238"/>
      <c r="K854" s="238"/>
      <c r="L854" s="238"/>
      <c r="M854" s="238"/>
      <c r="N854" s="238"/>
      <c r="O854" s="238"/>
      <c r="P854" s="238"/>
      <c r="Q854" s="238"/>
      <c r="R854" s="238"/>
      <c r="S854" s="238"/>
      <c r="T854" s="238"/>
      <c r="U854" s="238"/>
      <c r="V854" s="238"/>
      <c r="W854" s="238"/>
      <c r="X854" s="238"/>
      <c r="Y854" s="238"/>
      <c r="Z854" s="238"/>
    </row>
    <row r="855" spans="1:26" ht="16.5" customHeight="1">
      <c r="A855" s="238"/>
      <c r="B855" s="238"/>
      <c r="C855" s="238"/>
      <c r="D855" s="238"/>
      <c r="E855" s="238"/>
      <c r="F855" s="238"/>
      <c r="G855" s="238"/>
      <c r="H855" s="238"/>
      <c r="I855" s="238"/>
      <c r="J855" s="238"/>
      <c r="K855" s="238"/>
      <c r="L855" s="238"/>
      <c r="M855" s="238"/>
      <c r="N855" s="238"/>
      <c r="O855" s="238"/>
      <c r="P855" s="238"/>
      <c r="Q855" s="238"/>
      <c r="R855" s="238"/>
      <c r="S855" s="238"/>
      <c r="T855" s="238"/>
      <c r="U855" s="238"/>
      <c r="V855" s="238"/>
      <c r="W855" s="238"/>
      <c r="X855" s="238"/>
      <c r="Y855" s="238"/>
      <c r="Z855" s="238"/>
    </row>
    <row r="856" spans="1:26" ht="16.5" customHeight="1">
      <c r="A856" s="238"/>
      <c r="B856" s="238"/>
      <c r="C856" s="238"/>
      <c r="D856" s="238"/>
      <c r="E856" s="238"/>
      <c r="F856" s="238"/>
      <c r="G856" s="238"/>
      <c r="H856" s="238"/>
      <c r="I856" s="238"/>
      <c r="J856" s="238"/>
      <c r="K856" s="238"/>
      <c r="L856" s="238"/>
      <c r="M856" s="238"/>
      <c r="N856" s="238"/>
      <c r="O856" s="238"/>
      <c r="P856" s="238"/>
      <c r="Q856" s="238"/>
      <c r="R856" s="238"/>
      <c r="S856" s="238"/>
      <c r="T856" s="238"/>
      <c r="U856" s="238"/>
      <c r="V856" s="238"/>
      <c r="W856" s="238"/>
      <c r="X856" s="238"/>
      <c r="Y856" s="238"/>
      <c r="Z856" s="238"/>
    </row>
    <row r="857" spans="1:26" ht="16.5" customHeight="1">
      <c r="A857" s="238"/>
      <c r="B857" s="238"/>
      <c r="C857" s="238"/>
      <c r="D857" s="238"/>
      <c r="E857" s="238"/>
      <c r="F857" s="238"/>
      <c r="G857" s="238"/>
      <c r="H857" s="238"/>
      <c r="I857" s="238"/>
      <c r="J857" s="238"/>
      <c r="K857" s="238"/>
      <c r="L857" s="238"/>
      <c r="M857" s="238"/>
      <c r="N857" s="238"/>
      <c r="O857" s="238"/>
      <c r="P857" s="238"/>
      <c r="Q857" s="238"/>
      <c r="R857" s="238"/>
      <c r="S857" s="238"/>
      <c r="T857" s="238"/>
      <c r="U857" s="238"/>
      <c r="V857" s="238"/>
      <c r="W857" s="238"/>
      <c r="X857" s="238"/>
      <c r="Y857" s="238"/>
      <c r="Z857" s="238"/>
    </row>
    <row r="858" spans="1:26" ht="16.5" customHeight="1">
      <c r="A858" s="238"/>
      <c r="B858" s="238"/>
      <c r="C858" s="238"/>
      <c r="D858" s="238"/>
      <c r="E858" s="238"/>
      <c r="F858" s="238"/>
      <c r="G858" s="238"/>
      <c r="H858" s="238"/>
      <c r="I858" s="238"/>
      <c r="J858" s="238"/>
      <c r="K858" s="238"/>
      <c r="L858" s="238"/>
      <c r="M858" s="238"/>
      <c r="N858" s="238"/>
      <c r="O858" s="238"/>
      <c r="P858" s="238"/>
      <c r="Q858" s="238"/>
      <c r="R858" s="238"/>
      <c r="S858" s="238"/>
      <c r="T858" s="238"/>
      <c r="U858" s="238"/>
      <c r="V858" s="238"/>
      <c r="W858" s="238"/>
      <c r="X858" s="238"/>
      <c r="Y858" s="238"/>
      <c r="Z858" s="238"/>
    </row>
    <row r="859" spans="1:26" ht="16.5" customHeight="1">
      <c r="A859" s="238"/>
      <c r="B859" s="238"/>
      <c r="C859" s="238"/>
      <c r="D859" s="238"/>
      <c r="E859" s="238"/>
      <c r="F859" s="238"/>
      <c r="G859" s="238"/>
      <c r="H859" s="238"/>
      <c r="I859" s="238"/>
      <c r="J859" s="238"/>
      <c r="K859" s="238"/>
      <c r="L859" s="238"/>
      <c r="M859" s="238"/>
      <c r="N859" s="238"/>
      <c r="O859" s="238"/>
      <c r="P859" s="238"/>
      <c r="Q859" s="238"/>
      <c r="R859" s="238"/>
      <c r="S859" s="238"/>
      <c r="T859" s="238"/>
      <c r="U859" s="238"/>
      <c r="V859" s="238"/>
      <c r="W859" s="238"/>
      <c r="X859" s="238"/>
      <c r="Y859" s="238"/>
      <c r="Z859" s="238"/>
    </row>
    <row r="860" spans="1:26" ht="16.5" customHeight="1">
      <c r="A860" s="238"/>
      <c r="B860" s="238"/>
      <c r="C860" s="238"/>
      <c r="D860" s="238"/>
      <c r="E860" s="238"/>
      <c r="F860" s="238"/>
      <c r="G860" s="238"/>
      <c r="H860" s="238"/>
      <c r="I860" s="238"/>
      <c r="J860" s="238"/>
      <c r="K860" s="238"/>
      <c r="L860" s="238"/>
      <c r="M860" s="238"/>
      <c r="N860" s="238"/>
      <c r="O860" s="238"/>
      <c r="P860" s="238"/>
      <c r="Q860" s="238"/>
      <c r="R860" s="238"/>
      <c r="S860" s="238"/>
      <c r="T860" s="238"/>
      <c r="U860" s="238"/>
      <c r="V860" s="238"/>
      <c r="W860" s="238"/>
      <c r="X860" s="238"/>
      <c r="Y860" s="238"/>
      <c r="Z860" s="238"/>
    </row>
    <row r="861" spans="1:26" ht="16.5" customHeight="1">
      <c r="A861" s="238"/>
      <c r="B861" s="238"/>
      <c r="C861" s="238"/>
      <c r="D861" s="238"/>
      <c r="E861" s="238"/>
      <c r="F861" s="238"/>
      <c r="G861" s="238"/>
      <c r="H861" s="238"/>
      <c r="I861" s="238"/>
      <c r="J861" s="238"/>
      <c r="K861" s="238"/>
      <c r="L861" s="238"/>
      <c r="M861" s="238"/>
      <c r="N861" s="238"/>
      <c r="O861" s="238"/>
      <c r="P861" s="238"/>
      <c r="Q861" s="238"/>
      <c r="R861" s="238"/>
      <c r="S861" s="238"/>
      <c r="T861" s="238"/>
      <c r="U861" s="238"/>
      <c r="V861" s="238"/>
      <c r="W861" s="238"/>
      <c r="X861" s="238"/>
      <c r="Y861" s="238"/>
      <c r="Z861" s="238"/>
    </row>
    <row r="862" spans="1:26" ht="16.5" customHeight="1">
      <c r="A862" s="238"/>
      <c r="B862" s="238"/>
      <c r="C862" s="238"/>
      <c r="D862" s="238"/>
      <c r="E862" s="238"/>
      <c r="F862" s="238"/>
      <c r="G862" s="238"/>
      <c r="H862" s="238"/>
      <c r="I862" s="238"/>
      <c r="J862" s="238"/>
      <c r="K862" s="238"/>
      <c r="L862" s="238"/>
      <c r="M862" s="238"/>
      <c r="N862" s="238"/>
      <c r="O862" s="238"/>
      <c r="P862" s="238"/>
      <c r="Q862" s="238"/>
      <c r="R862" s="238"/>
      <c r="S862" s="238"/>
      <c r="T862" s="238"/>
      <c r="U862" s="238"/>
      <c r="V862" s="238"/>
      <c r="W862" s="238"/>
      <c r="X862" s="238"/>
      <c r="Y862" s="238"/>
      <c r="Z862" s="238"/>
    </row>
    <row r="863" spans="1:26" ht="16.5" customHeight="1">
      <c r="A863" s="238"/>
      <c r="B863" s="238"/>
      <c r="C863" s="238"/>
      <c r="D863" s="238"/>
      <c r="E863" s="238"/>
      <c r="F863" s="238"/>
      <c r="G863" s="238"/>
      <c r="H863" s="238"/>
      <c r="I863" s="238"/>
      <c r="J863" s="238"/>
      <c r="K863" s="238"/>
      <c r="L863" s="238"/>
      <c r="M863" s="238"/>
      <c r="N863" s="238"/>
      <c r="O863" s="238"/>
      <c r="P863" s="238"/>
      <c r="Q863" s="238"/>
      <c r="R863" s="238"/>
      <c r="S863" s="238"/>
      <c r="T863" s="238"/>
      <c r="U863" s="238"/>
      <c r="V863" s="238"/>
      <c r="W863" s="238"/>
      <c r="X863" s="238"/>
      <c r="Y863" s="238"/>
      <c r="Z863" s="238"/>
    </row>
    <row r="864" spans="1:26" ht="16.5" customHeight="1">
      <c r="A864" s="238"/>
      <c r="B864" s="238"/>
      <c r="C864" s="238"/>
      <c r="D864" s="238"/>
      <c r="E864" s="238"/>
      <c r="F864" s="238"/>
      <c r="G864" s="238"/>
      <c r="H864" s="238"/>
      <c r="I864" s="238"/>
      <c r="J864" s="238"/>
      <c r="K864" s="238"/>
      <c r="L864" s="238"/>
      <c r="M864" s="238"/>
      <c r="N864" s="238"/>
      <c r="O864" s="238"/>
      <c r="P864" s="238"/>
      <c r="Q864" s="238"/>
      <c r="R864" s="238"/>
      <c r="S864" s="238"/>
      <c r="T864" s="238"/>
      <c r="U864" s="238"/>
      <c r="V864" s="238"/>
      <c r="W864" s="238"/>
      <c r="X864" s="238"/>
      <c r="Y864" s="238"/>
      <c r="Z864" s="238"/>
    </row>
    <row r="865" spans="1:26" ht="16.5" customHeight="1">
      <c r="A865" s="238"/>
      <c r="B865" s="238"/>
      <c r="C865" s="238"/>
      <c r="D865" s="238"/>
      <c r="E865" s="238"/>
      <c r="F865" s="238"/>
      <c r="G865" s="238"/>
      <c r="H865" s="238"/>
      <c r="I865" s="238"/>
      <c r="J865" s="238"/>
      <c r="K865" s="238"/>
      <c r="L865" s="238"/>
      <c r="M865" s="238"/>
      <c r="N865" s="238"/>
      <c r="O865" s="238"/>
      <c r="P865" s="238"/>
      <c r="Q865" s="238"/>
      <c r="R865" s="238"/>
      <c r="S865" s="238"/>
      <c r="T865" s="238"/>
      <c r="U865" s="238"/>
      <c r="V865" s="238"/>
      <c r="W865" s="238"/>
      <c r="X865" s="238"/>
      <c r="Y865" s="238"/>
      <c r="Z865" s="238"/>
    </row>
    <row r="866" spans="1:26" ht="16.5" customHeight="1">
      <c r="A866" s="238"/>
      <c r="B866" s="238"/>
      <c r="C866" s="238"/>
      <c r="D866" s="238"/>
      <c r="E866" s="238"/>
      <c r="F866" s="238"/>
      <c r="G866" s="238"/>
      <c r="H866" s="238"/>
      <c r="I866" s="238"/>
      <c r="J866" s="238"/>
      <c r="K866" s="238"/>
      <c r="L866" s="238"/>
      <c r="M866" s="238"/>
      <c r="N866" s="238"/>
      <c r="O866" s="238"/>
      <c r="P866" s="238"/>
      <c r="Q866" s="238"/>
      <c r="R866" s="238"/>
      <c r="S866" s="238"/>
      <c r="T866" s="238"/>
      <c r="U866" s="238"/>
      <c r="V866" s="238"/>
      <c r="W866" s="238"/>
      <c r="X866" s="238"/>
      <c r="Y866" s="238"/>
      <c r="Z866" s="238"/>
    </row>
    <row r="867" spans="1:26" ht="16.5" customHeight="1">
      <c r="A867" s="238"/>
      <c r="B867" s="238"/>
      <c r="C867" s="238"/>
      <c r="D867" s="238"/>
      <c r="E867" s="238"/>
      <c r="F867" s="238"/>
      <c r="G867" s="238"/>
      <c r="H867" s="238"/>
      <c r="I867" s="238"/>
      <c r="J867" s="238"/>
      <c r="K867" s="238"/>
      <c r="L867" s="238"/>
      <c r="M867" s="238"/>
      <c r="N867" s="238"/>
      <c r="O867" s="238"/>
      <c r="P867" s="238"/>
      <c r="Q867" s="238"/>
      <c r="R867" s="238"/>
      <c r="S867" s="238"/>
      <c r="T867" s="238"/>
      <c r="U867" s="238"/>
      <c r="V867" s="238"/>
      <c r="W867" s="238"/>
      <c r="X867" s="238"/>
      <c r="Y867" s="238"/>
      <c r="Z867" s="238"/>
    </row>
    <row r="868" spans="1:26" ht="16.5" customHeight="1">
      <c r="A868" s="238"/>
      <c r="B868" s="238"/>
      <c r="C868" s="238"/>
      <c r="D868" s="238"/>
      <c r="E868" s="238"/>
      <c r="F868" s="238"/>
      <c r="G868" s="238"/>
      <c r="H868" s="238"/>
      <c r="I868" s="238"/>
      <c r="J868" s="238"/>
      <c r="K868" s="238"/>
      <c r="L868" s="238"/>
      <c r="M868" s="238"/>
      <c r="N868" s="238"/>
      <c r="O868" s="238"/>
      <c r="P868" s="238"/>
      <c r="Q868" s="238"/>
      <c r="R868" s="238"/>
      <c r="S868" s="238"/>
      <c r="T868" s="238"/>
      <c r="U868" s="238"/>
      <c r="V868" s="238"/>
      <c r="W868" s="238"/>
      <c r="X868" s="238"/>
      <c r="Y868" s="238"/>
      <c r="Z868" s="238"/>
    </row>
    <row r="869" spans="1:26" ht="16.5" customHeight="1">
      <c r="A869" s="238"/>
      <c r="B869" s="238"/>
      <c r="C869" s="238"/>
      <c r="D869" s="238"/>
      <c r="E869" s="238"/>
      <c r="F869" s="238"/>
      <c r="G869" s="238"/>
      <c r="H869" s="238"/>
      <c r="I869" s="238"/>
      <c r="J869" s="238"/>
      <c r="K869" s="238"/>
      <c r="L869" s="238"/>
      <c r="M869" s="238"/>
      <c r="N869" s="238"/>
      <c r="O869" s="238"/>
      <c r="P869" s="238"/>
      <c r="Q869" s="238"/>
      <c r="R869" s="238"/>
      <c r="S869" s="238"/>
      <c r="T869" s="238"/>
      <c r="U869" s="238"/>
      <c r="V869" s="238"/>
      <c r="W869" s="238"/>
      <c r="X869" s="238"/>
      <c r="Y869" s="238"/>
      <c r="Z869" s="238"/>
    </row>
    <row r="870" spans="1:26" ht="16.5" customHeight="1">
      <c r="A870" s="238"/>
      <c r="B870" s="238"/>
      <c r="C870" s="238"/>
      <c r="D870" s="238"/>
      <c r="E870" s="238"/>
      <c r="F870" s="238"/>
      <c r="G870" s="238"/>
      <c r="H870" s="238"/>
      <c r="I870" s="238"/>
      <c r="J870" s="238"/>
      <c r="K870" s="238"/>
      <c r="L870" s="238"/>
      <c r="M870" s="238"/>
      <c r="N870" s="238"/>
      <c r="O870" s="238"/>
      <c r="P870" s="238"/>
      <c r="Q870" s="238"/>
      <c r="R870" s="238"/>
      <c r="S870" s="238"/>
      <c r="T870" s="238"/>
      <c r="U870" s="238"/>
      <c r="V870" s="238"/>
      <c r="W870" s="238"/>
      <c r="X870" s="238"/>
      <c r="Y870" s="238"/>
      <c r="Z870" s="238"/>
    </row>
    <row r="871" spans="1:26" ht="16.5" customHeight="1">
      <c r="A871" s="238"/>
      <c r="B871" s="238"/>
      <c r="C871" s="238"/>
      <c r="D871" s="238"/>
      <c r="E871" s="238"/>
      <c r="F871" s="238"/>
      <c r="G871" s="238"/>
      <c r="H871" s="238"/>
      <c r="I871" s="238"/>
      <c r="J871" s="238"/>
      <c r="K871" s="238"/>
      <c r="L871" s="238"/>
      <c r="M871" s="238"/>
      <c r="N871" s="238"/>
      <c r="O871" s="238"/>
      <c r="P871" s="238"/>
      <c r="Q871" s="238"/>
      <c r="R871" s="238"/>
      <c r="S871" s="238"/>
      <c r="T871" s="238"/>
      <c r="U871" s="238"/>
      <c r="V871" s="238"/>
      <c r="W871" s="238"/>
      <c r="X871" s="238"/>
      <c r="Y871" s="238"/>
      <c r="Z871" s="238"/>
    </row>
    <row r="872" spans="1:26" ht="16.5" customHeight="1">
      <c r="A872" s="238"/>
      <c r="B872" s="238"/>
      <c r="C872" s="238"/>
      <c r="D872" s="238"/>
      <c r="E872" s="238"/>
      <c r="F872" s="238"/>
      <c r="G872" s="238"/>
      <c r="H872" s="238"/>
      <c r="I872" s="238"/>
      <c r="J872" s="238"/>
      <c r="K872" s="238"/>
      <c r="L872" s="238"/>
      <c r="M872" s="238"/>
      <c r="N872" s="238"/>
      <c r="O872" s="238"/>
      <c r="P872" s="238"/>
      <c r="Q872" s="238"/>
      <c r="R872" s="238"/>
      <c r="S872" s="238"/>
      <c r="T872" s="238"/>
      <c r="U872" s="238"/>
      <c r="V872" s="238"/>
      <c r="W872" s="238"/>
      <c r="X872" s="238"/>
      <c r="Y872" s="238"/>
      <c r="Z872" s="238"/>
    </row>
    <row r="873" spans="1:26" ht="16.5" customHeight="1">
      <c r="A873" s="238"/>
      <c r="B873" s="238"/>
      <c r="C873" s="238"/>
      <c r="D873" s="238"/>
      <c r="E873" s="238"/>
      <c r="F873" s="238"/>
      <c r="G873" s="238"/>
      <c r="H873" s="238"/>
      <c r="I873" s="238"/>
      <c r="J873" s="238"/>
      <c r="K873" s="238"/>
      <c r="L873" s="238"/>
      <c r="M873" s="238"/>
      <c r="N873" s="238"/>
      <c r="O873" s="238"/>
      <c r="P873" s="238"/>
      <c r="Q873" s="238"/>
      <c r="R873" s="238"/>
      <c r="S873" s="238"/>
      <c r="T873" s="238"/>
      <c r="U873" s="238"/>
      <c r="V873" s="238"/>
      <c r="W873" s="238"/>
      <c r="X873" s="238"/>
      <c r="Y873" s="238"/>
      <c r="Z873" s="238"/>
    </row>
    <row r="874" spans="1:26" ht="16.5" customHeight="1">
      <c r="A874" s="238"/>
      <c r="B874" s="238"/>
      <c r="C874" s="238"/>
      <c r="D874" s="238"/>
      <c r="E874" s="238"/>
      <c r="F874" s="238"/>
      <c r="G874" s="238"/>
      <c r="H874" s="238"/>
      <c r="I874" s="238"/>
      <c r="J874" s="238"/>
      <c r="K874" s="238"/>
      <c r="L874" s="238"/>
      <c r="M874" s="238"/>
      <c r="N874" s="238"/>
      <c r="O874" s="238"/>
      <c r="P874" s="238"/>
      <c r="Q874" s="238"/>
      <c r="R874" s="238"/>
      <c r="S874" s="238"/>
      <c r="T874" s="238"/>
      <c r="U874" s="238"/>
      <c r="V874" s="238"/>
      <c r="W874" s="238"/>
      <c r="X874" s="238"/>
      <c r="Y874" s="238"/>
      <c r="Z874" s="238"/>
    </row>
    <row r="875" spans="1:26" ht="16.5" customHeight="1">
      <c r="A875" s="238"/>
      <c r="B875" s="238"/>
      <c r="C875" s="238"/>
      <c r="D875" s="238"/>
      <c r="E875" s="238"/>
      <c r="F875" s="238"/>
      <c r="G875" s="238"/>
      <c r="H875" s="238"/>
      <c r="I875" s="238"/>
      <c r="J875" s="238"/>
      <c r="K875" s="238"/>
      <c r="L875" s="238"/>
      <c r="M875" s="238"/>
      <c r="N875" s="238"/>
      <c r="O875" s="238"/>
      <c r="P875" s="238"/>
      <c r="Q875" s="238"/>
      <c r="R875" s="238"/>
      <c r="S875" s="238"/>
      <c r="T875" s="238"/>
      <c r="U875" s="238"/>
      <c r="V875" s="238"/>
      <c r="W875" s="238"/>
      <c r="X875" s="238"/>
      <c r="Y875" s="238"/>
      <c r="Z875" s="238"/>
    </row>
    <row r="876" spans="1:26" ht="16.5" customHeight="1">
      <c r="A876" s="238"/>
      <c r="B876" s="238"/>
      <c r="C876" s="238"/>
      <c r="D876" s="238"/>
      <c r="E876" s="238"/>
      <c r="F876" s="238"/>
      <c r="G876" s="238"/>
      <c r="H876" s="238"/>
      <c r="I876" s="238"/>
      <c r="J876" s="238"/>
      <c r="K876" s="238"/>
      <c r="L876" s="238"/>
      <c r="M876" s="238"/>
      <c r="N876" s="238"/>
      <c r="O876" s="238"/>
      <c r="P876" s="238"/>
      <c r="Q876" s="238"/>
      <c r="R876" s="238"/>
      <c r="S876" s="238"/>
      <c r="T876" s="238"/>
      <c r="U876" s="238"/>
      <c r="V876" s="238"/>
      <c r="W876" s="238"/>
      <c r="X876" s="238"/>
      <c r="Y876" s="238"/>
      <c r="Z876" s="238"/>
    </row>
    <row r="877" spans="1:26" ht="16.5" customHeight="1">
      <c r="A877" s="238"/>
      <c r="B877" s="238"/>
      <c r="C877" s="238"/>
      <c r="D877" s="238"/>
      <c r="E877" s="238"/>
      <c r="F877" s="238"/>
      <c r="G877" s="238"/>
      <c r="H877" s="238"/>
      <c r="I877" s="238"/>
      <c r="J877" s="238"/>
      <c r="K877" s="238"/>
      <c r="L877" s="238"/>
      <c r="M877" s="238"/>
      <c r="N877" s="238"/>
      <c r="O877" s="238"/>
      <c r="P877" s="238"/>
      <c r="Q877" s="238"/>
      <c r="R877" s="238"/>
      <c r="S877" s="238"/>
      <c r="T877" s="238"/>
      <c r="U877" s="238"/>
      <c r="V877" s="238"/>
      <c r="W877" s="238"/>
      <c r="X877" s="238"/>
      <c r="Y877" s="238"/>
      <c r="Z877" s="238"/>
    </row>
    <row r="878" spans="1:26" ht="16.5" customHeight="1">
      <c r="A878" s="238"/>
      <c r="B878" s="238"/>
      <c r="C878" s="238"/>
      <c r="D878" s="238"/>
      <c r="E878" s="238"/>
      <c r="F878" s="238"/>
      <c r="G878" s="238"/>
      <c r="H878" s="238"/>
      <c r="I878" s="238"/>
      <c r="J878" s="238"/>
      <c r="K878" s="238"/>
      <c r="L878" s="238"/>
      <c r="M878" s="238"/>
      <c r="N878" s="238"/>
      <c r="O878" s="238"/>
      <c r="P878" s="238"/>
      <c r="Q878" s="238"/>
      <c r="R878" s="238"/>
      <c r="S878" s="238"/>
      <c r="T878" s="238"/>
      <c r="U878" s="238"/>
      <c r="V878" s="238"/>
      <c r="W878" s="238"/>
      <c r="X878" s="238"/>
      <c r="Y878" s="238"/>
      <c r="Z878" s="238"/>
    </row>
    <row r="879" spans="1:26" ht="16.5" customHeight="1">
      <c r="A879" s="238"/>
      <c r="B879" s="238"/>
      <c r="C879" s="238"/>
      <c r="D879" s="238"/>
      <c r="E879" s="238"/>
      <c r="F879" s="238"/>
      <c r="G879" s="238"/>
      <c r="H879" s="238"/>
      <c r="I879" s="238"/>
      <c r="J879" s="238"/>
      <c r="K879" s="238"/>
      <c r="L879" s="238"/>
      <c r="M879" s="238"/>
      <c r="N879" s="238"/>
      <c r="O879" s="238"/>
      <c r="P879" s="238"/>
      <c r="Q879" s="238"/>
      <c r="R879" s="238"/>
      <c r="S879" s="238"/>
      <c r="T879" s="238"/>
      <c r="U879" s="238"/>
      <c r="V879" s="238"/>
      <c r="W879" s="238"/>
      <c r="X879" s="238"/>
      <c r="Y879" s="238"/>
      <c r="Z879" s="238"/>
    </row>
    <row r="880" spans="1:26" ht="16.5" customHeight="1">
      <c r="A880" s="238"/>
      <c r="B880" s="238"/>
      <c r="C880" s="238"/>
      <c r="D880" s="238"/>
      <c r="E880" s="238"/>
      <c r="F880" s="238"/>
      <c r="G880" s="238"/>
      <c r="H880" s="238"/>
      <c r="I880" s="238"/>
      <c r="J880" s="238"/>
      <c r="K880" s="238"/>
      <c r="L880" s="238"/>
      <c r="M880" s="238"/>
      <c r="N880" s="238"/>
      <c r="O880" s="238"/>
      <c r="P880" s="238"/>
      <c r="Q880" s="238"/>
      <c r="R880" s="238"/>
      <c r="S880" s="238"/>
      <c r="T880" s="238"/>
      <c r="U880" s="238"/>
      <c r="V880" s="238"/>
      <c r="W880" s="238"/>
      <c r="X880" s="238"/>
      <c r="Y880" s="238"/>
      <c r="Z880" s="238"/>
    </row>
    <row r="881" spans="1:26" ht="16.5" customHeight="1">
      <c r="A881" s="238"/>
      <c r="B881" s="238"/>
      <c r="C881" s="238"/>
      <c r="D881" s="238"/>
      <c r="E881" s="238"/>
      <c r="F881" s="238"/>
      <c r="G881" s="238"/>
      <c r="H881" s="238"/>
      <c r="I881" s="238"/>
      <c r="J881" s="238"/>
      <c r="K881" s="238"/>
      <c r="L881" s="238"/>
      <c r="M881" s="238"/>
      <c r="N881" s="238"/>
      <c r="O881" s="238"/>
      <c r="P881" s="238"/>
      <c r="Q881" s="238"/>
      <c r="R881" s="238"/>
      <c r="S881" s="238"/>
      <c r="T881" s="238"/>
      <c r="U881" s="238"/>
      <c r="V881" s="238"/>
      <c r="W881" s="238"/>
      <c r="X881" s="238"/>
      <c r="Y881" s="238"/>
      <c r="Z881" s="238"/>
    </row>
    <row r="882" spans="1:26" ht="16.5" customHeight="1">
      <c r="A882" s="238"/>
      <c r="B882" s="238"/>
      <c r="C882" s="238"/>
      <c r="D882" s="238"/>
      <c r="E882" s="238"/>
      <c r="F882" s="238"/>
      <c r="G882" s="238"/>
      <c r="H882" s="238"/>
      <c r="I882" s="238"/>
      <c r="J882" s="238"/>
      <c r="K882" s="238"/>
      <c r="L882" s="238"/>
      <c r="M882" s="238"/>
      <c r="N882" s="238"/>
      <c r="O882" s="238"/>
      <c r="P882" s="238"/>
      <c r="Q882" s="238"/>
      <c r="R882" s="238"/>
      <c r="S882" s="238"/>
      <c r="T882" s="238"/>
      <c r="U882" s="238"/>
      <c r="V882" s="238"/>
      <c r="W882" s="238"/>
      <c r="X882" s="238"/>
      <c r="Y882" s="238"/>
      <c r="Z882" s="238"/>
    </row>
    <row r="883" spans="1:26" ht="16.5" customHeight="1">
      <c r="A883" s="238"/>
      <c r="B883" s="238"/>
      <c r="C883" s="238"/>
      <c r="D883" s="238"/>
      <c r="E883" s="238"/>
      <c r="F883" s="238"/>
      <c r="G883" s="238"/>
      <c r="H883" s="238"/>
      <c r="I883" s="238"/>
      <c r="J883" s="238"/>
      <c r="K883" s="238"/>
      <c r="L883" s="238"/>
      <c r="M883" s="238"/>
      <c r="N883" s="238"/>
      <c r="O883" s="238"/>
      <c r="P883" s="238"/>
      <c r="Q883" s="238"/>
      <c r="R883" s="238"/>
      <c r="S883" s="238"/>
      <c r="T883" s="238"/>
      <c r="U883" s="238"/>
      <c r="V883" s="238"/>
      <c r="W883" s="238"/>
      <c r="X883" s="238"/>
      <c r="Y883" s="238"/>
      <c r="Z883" s="238"/>
    </row>
    <row r="884" spans="1:26" ht="16.5" customHeight="1">
      <c r="A884" s="238"/>
      <c r="B884" s="238"/>
      <c r="C884" s="238"/>
      <c r="D884" s="238"/>
      <c r="E884" s="238"/>
      <c r="F884" s="238"/>
      <c r="G884" s="238"/>
      <c r="H884" s="238"/>
      <c r="I884" s="238"/>
      <c r="J884" s="238"/>
      <c r="K884" s="238"/>
      <c r="L884" s="238"/>
      <c r="M884" s="238"/>
      <c r="N884" s="238"/>
      <c r="O884" s="238"/>
      <c r="P884" s="238"/>
      <c r="Q884" s="238"/>
      <c r="R884" s="238"/>
      <c r="S884" s="238"/>
      <c r="T884" s="238"/>
      <c r="U884" s="238"/>
      <c r="V884" s="238"/>
      <c r="W884" s="238"/>
      <c r="X884" s="238"/>
      <c r="Y884" s="238"/>
      <c r="Z884" s="238"/>
    </row>
    <row r="885" spans="1:26" ht="16.5" customHeight="1">
      <c r="A885" s="238"/>
      <c r="B885" s="238"/>
      <c r="C885" s="238"/>
      <c r="D885" s="238"/>
      <c r="E885" s="238"/>
      <c r="F885" s="238"/>
      <c r="G885" s="238"/>
      <c r="H885" s="238"/>
      <c r="I885" s="238"/>
      <c r="J885" s="238"/>
      <c r="K885" s="238"/>
      <c r="L885" s="238"/>
      <c r="M885" s="238"/>
      <c r="N885" s="238"/>
      <c r="O885" s="238"/>
      <c r="P885" s="238"/>
      <c r="Q885" s="238"/>
      <c r="R885" s="238"/>
      <c r="S885" s="238"/>
      <c r="T885" s="238"/>
      <c r="U885" s="238"/>
      <c r="V885" s="238"/>
      <c r="W885" s="238"/>
      <c r="X885" s="238"/>
      <c r="Y885" s="238"/>
      <c r="Z885" s="238"/>
    </row>
    <row r="886" spans="1:26" ht="16.5" customHeight="1">
      <c r="A886" s="238"/>
      <c r="B886" s="238"/>
      <c r="C886" s="238"/>
      <c r="D886" s="238"/>
      <c r="E886" s="238"/>
      <c r="F886" s="238"/>
      <c r="G886" s="238"/>
      <c r="H886" s="238"/>
      <c r="I886" s="238"/>
      <c r="J886" s="238"/>
      <c r="K886" s="238"/>
      <c r="L886" s="238"/>
      <c r="M886" s="238"/>
      <c r="N886" s="238"/>
      <c r="O886" s="238"/>
      <c r="P886" s="238"/>
      <c r="Q886" s="238"/>
      <c r="R886" s="238"/>
      <c r="S886" s="238"/>
      <c r="T886" s="238"/>
      <c r="U886" s="238"/>
      <c r="V886" s="238"/>
      <c r="W886" s="238"/>
      <c r="X886" s="238"/>
      <c r="Y886" s="238"/>
      <c r="Z886" s="238"/>
    </row>
    <row r="887" spans="1:26" ht="16.5" customHeight="1">
      <c r="A887" s="238"/>
      <c r="B887" s="238"/>
      <c r="C887" s="238"/>
      <c r="D887" s="238"/>
      <c r="E887" s="238"/>
      <c r="F887" s="238"/>
      <c r="G887" s="238"/>
      <c r="H887" s="238"/>
      <c r="I887" s="238"/>
      <c r="J887" s="238"/>
      <c r="K887" s="238"/>
      <c r="L887" s="238"/>
      <c r="M887" s="238"/>
      <c r="N887" s="238"/>
      <c r="O887" s="238"/>
      <c r="P887" s="238"/>
      <c r="Q887" s="238"/>
      <c r="R887" s="238"/>
      <c r="S887" s="238"/>
      <c r="T887" s="238"/>
      <c r="U887" s="238"/>
      <c r="V887" s="238"/>
      <c r="W887" s="238"/>
      <c r="X887" s="238"/>
      <c r="Y887" s="238"/>
      <c r="Z887" s="238"/>
    </row>
    <row r="888" spans="1:26" ht="16.5" customHeight="1">
      <c r="A888" s="238"/>
      <c r="B888" s="238"/>
      <c r="C888" s="238"/>
      <c r="D888" s="238"/>
      <c r="E888" s="238"/>
      <c r="F888" s="238"/>
      <c r="G888" s="238"/>
      <c r="H888" s="238"/>
      <c r="I888" s="238"/>
      <c r="J888" s="238"/>
      <c r="K888" s="238"/>
      <c r="L888" s="238"/>
      <c r="M888" s="238"/>
      <c r="N888" s="238"/>
      <c r="O888" s="238"/>
      <c r="P888" s="238"/>
      <c r="Q888" s="238"/>
      <c r="R888" s="238"/>
      <c r="S888" s="238"/>
      <c r="T888" s="238"/>
      <c r="U888" s="238"/>
      <c r="V888" s="238"/>
      <c r="W888" s="238"/>
      <c r="X888" s="238"/>
      <c r="Y888" s="238"/>
      <c r="Z888" s="238"/>
    </row>
    <row r="889" spans="1:26" ht="16.5" customHeight="1">
      <c r="A889" s="238"/>
      <c r="B889" s="238"/>
      <c r="C889" s="238"/>
      <c r="D889" s="238"/>
      <c r="E889" s="238"/>
      <c r="F889" s="238"/>
      <c r="G889" s="238"/>
      <c r="H889" s="238"/>
      <c r="I889" s="238"/>
      <c r="J889" s="238"/>
      <c r="K889" s="238"/>
      <c r="L889" s="238"/>
      <c r="M889" s="238"/>
      <c r="N889" s="238"/>
      <c r="O889" s="238"/>
      <c r="P889" s="238"/>
      <c r="Q889" s="238"/>
      <c r="R889" s="238"/>
      <c r="S889" s="238"/>
      <c r="T889" s="238"/>
      <c r="U889" s="238"/>
      <c r="V889" s="238"/>
      <c r="W889" s="238"/>
      <c r="X889" s="238"/>
      <c r="Y889" s="238"/>
      <c r="Z889" s="238"/>
    </row>
    <row r="890" spans="1:26" ht="16.5" customHeight="1">
      <c r="A890" s="238"/>
      <c r="B890" s="238"/>
      <c r="C890" s="238"/>
      <c r="D890" s="238"/>
      <c r="E890" s="238"/>
      <c r="F890" s="238"/>
      <c r="G890" s="238"/>
      <c r="H890" s="238"/>
      <c r="I890" s="238"/>
      <c r="J890" s="238"/>
      <c r="K890" s="238"/>
      <c r="L890" s="238"/>
      <c r="M890" s="238"/>
      <c r="N890" s="238"/>
      <c r="O890" s="238"/>
      <c r="P890" s="238"/>
      <c r="Q890" s="238"/>
      <c r="R890" s="238"/>
      <c r="S890" s="238"/>
      <c r="T890" s="238"/>
      <c r="U890" s="238"/>
      <c r="V890" s="238"/>
      <c r="W890" s="238"/>
      <c r="X890" s="238"/>
      <c r="Y890" s="238"/>
      <c r="Z890" s="238"/>
    </row>
    <row r="891" spans="1:26" ht="16.5" customHeight="1">
      <c r="A891" s="238"/>
      <c r="B891" s="238"/>
      <c r="C891" s="238"/>
      <c r="D891" s="238"/>
      <c r="E891" s="238"/>
      <c r="F891" s="238"/>
      <c r="G891" s="238"/>
      <c r="H891" s="238"/>
      <c r="I891" s="238"/>
      <c r="J891" s="238"/>
      <c r="K891" s="238"/>
      <c r="L891" s="238"/>
      <c r="M891" s="238"/>
      <c r="N891" s="238"/>
      <c r="O891" s="238"/>
      <c r="P891" s="238"/>
      <c r="Q891" s="238"/>
      <c r="R891" s="238"/>
      <c r="S891" s="238"/>
      <c r="T891" s="238"/>
      <c r="U891" s="238"/>
      <c r="V891" s="238"/>
      <c r="W891" s="238"/>
      <c r="X891" s="238"/>
      <c r="Y891" s="238"/>
      <c r="Z891" s="238"/>
    </row>
    <row r="892" spans="1:26" ht="16.5" customHeight="1">
      <c r="A892" s="238"/>
      <c r="B892" s="238"/>
      <c r="C892" s="238"/>
      <c r="D892" s="238"/>
      <c r="E892" s="238"/>
      <c r="F892" s="238"/>
      <c r="G892" s="238"/>
      <c r="H892" s="238"/>
      <c r="I892" s="238"/>
      <c r="J892" s="238"/>
      <c r="K892" s="238"/>
      <c r="L892" s="238"/>
      <c r="M892" s="238"/>
      <c r="N892" s="238"/>
      <c r="O892" s="238"/>
      <c r="P892" s="238"/>
      <c r="Q892" s="238"/>
      <c r="R892" s="238"/>
      <c r="S892" s="238"/>
      <c r="T892" s="238"/>
      <c r="U892" s="238"/>
      <c r="V892" s="238"/>
      <c r="W892" s="238"/>
      <c r="X892" s="238"/>
      <c r="Y892" s="238"/>
      <c r="Z892" s="238"/>
    </row>
    <row r="893" spans="1:26" ht="16.5" customHeight="1">
      <c r="A893" s="238"/>
      <c r="B893" s="238"/>
      <c r="C893" s="238"/>
      <c r="D893" s="238"/>
      <c r="E893" s="238"/>
      <c r="F893" s="238"/>
      <c r="G893" s="238"/>
      <c r="H893" s="238"/>
      <c r="I893" s="238"/>
      <c r="J893" s="238"/>
      <c r="K893" s="238"/>
      <c r="L893" s="238"/>
      <c r="M893" s="238"/>
      <c r="N893" s="238"/>
      <c r="O893" s="238"/>
      <c r="P893" s="238"/>
      <c r="Q893" s="238"/>
      <c r="R893" s="238"/>
      <c r="S893" s="238"/>
      <c r="T893" s="238"/>
      <c r="U893" s="238"/>
      <c r="V893" s="238"/>
      <c r="W893" s="238"/>
      <c r="X893" s="238"/>
      <c r="Y893" s="238"/>
      <c r="Z893" s="238"/>
    </row>
    <row r="894" spans="1:26" ht="16.5" customHeight="1">
      <c r="A894" s="238"/>
      <c r="B894" s="238"/>
      <c r="C894" s="238"/>
      <c r="D894" s="238"/>
      <c r="E894" s="238"/>
      <c r="F894" s="238"/>
      <c r="G894" s="238"/>
      <c r="H894" s="238"/>
      <c r="I894" s="238"/>
      <c r="J894" s="238"/>
      <c r="K894" s="238"/>
      <c r="L894" s="238"/>
      <c r="M894" s="238"/>
      <c r="N894" s="238"/>
      <c r="O894" s="238"/>
      <c r="P894" s="238"/>
      <c r="Q894" s="238"/>
      <c r="R894" s="238"/>
      <c r="S894" s="238"/>
      <c r="T894" s="238"/>
      <c r="U894" s="238"/>
      <c r="V894" s="238"/>
      <c r="W894" s="238"/>
      <c r="X894" s="238"/>
      <c r="Y894" s="238"/>
      <c r="Z894" s="238"/>
    </row>
    <row r="895" spans="1:26" ht="16.5" customHeight="1">
      <c r="A895" s="238"/>
      <c r="B895" s="238"/>
      <c r="C895" s="238"/>
      <c r="D895" s="238"/>
      <c r="E895" s="238"/>
      <c r="F895" s="238"/>
      <c r="G895" s="238"/>
      <c r="H895" s="238"/>
      <c r="I895" s="238"/>
      <c r="J895" s="238"/>
      <c r="K895" s="238"/>
      <c r="L895" s="238"/>
      <c r="M895" s="238"/>
      <c r="N895" s="238"/>
      <c r="O895" s="238"/>
      <c r="P895" s="238"/>
      <c r="Q895" s="238"/>
      <c r="R895" s="238"/>
      <c r="S895" s="238"/>
      <c r="T895" s="238"/>
      <c r="U895" s="238"/>
      <c r="V895" s="238"/>
      <c r="W895" s="238"/>
      <c r="X895" s="238"/>
      <c r="Y895" s="238"/>
      <c r="Z895" s="238"/>
    </row>
    <row r="896" spans="1:26" ht="16.5" customHeight="1">
      <c r="A896" s="238"/>
      <c r="B896" s="238"/>
      <c r="C896" s="238"/>
      <c r="D896" s="238"/>
      <c r="E896" s="238"/>
      <c r="F896" s="238"/>
      <c r="G896" s="238"/>
      <c r="H896" s="238"/>
      <c r="I896" s="238"/>
      <c r="J896" s="238"/>
      <c r="K896" s="238"/>
      <c r="L896" s="238"/>
      <c r="M896" s="238"/>
      <c r="N896" s="238"/>
      <c r="O896" s="238"/>
      <c r="P896" s="238"/>
      <c r="Q896" s="238"/>
      <c r="R896" s="238"/>
      <c r="S896" s="238"/>
      <c r="T896" s="238"/>
      <c r="U896" s="238"/>
      <c r="V896" s="238"/>
      <c r="W896" s="238"/>
      <c r="X896" s="238"/>
      <c r="Y896" s="238"/>
      <c r="Z896" s="238"/>
    </row>
    <row r="897" spans="1:26" ht="16.5" customHeight="1">
      <c r="A897" s="238"/>
      <c r="B897" s="238"/>
      <c r="C897" s="238"/>
      <c r="D897" s="238"/>
      <c r="E897" s="238"/>
      <c r="F897" s="238"/>
      <c r="G897" s="238"/>
      <c r="H897" s="238"/>
      <c r="I897" s="238"/>
      <c r="J897" s="238"/>
      <c r="K897" s="238"/>
      <c r="L897" s="238"/>
      <c r="M897" s="238"/>
      <c r="N897" s="238"/>
      <c r="O897" s="238"/>
      <c r="P897" s="238"/>
      <c r="Q897" s="238"/>
      <c r="R897" s="238"/>
      <c r="S897" s="238"/>
      <c r="T897" s="238"/>
      <c r="U897" s="238"/>
      <c r="V897" s="238"/>
      <c r="W897" s="238"/>
      <c r="X897" s="238"/>
      <c r="Y897" s="238"/>
      <c r="Z897" s="238"/>
    </row>
    <row r="898" spans="1:26" ht="16.5" customHeight="1">
      <c r="A898" s="238"/>
      <c r="B898" s="238"/>
      <c r="C898" s="238"/>
      <c r="D898" s="238"/>
      <c r="E898" s="238"/>
      <c r="F898" s="238"/>
      <c r="G898" s="238"/>
      <c r="H898" s="238"/>
      <c r="I898" s="238"/>
      <c r="J898" s="238"/>
      <c r="K898" s="238"/>
      <c r="L898" s="238"/>
      <c r="M898" s="238"/>
      <c r="N898" s="238"/>
      <c r="O898" s="238"/>
      <c r="P898" s="238"/>
      <c r="Q898" s="238"/>
      <c r="R898" s="238"/>
      <c r="S898" s="238"/>
      <c r="T898" s="238"/>
      <c r="U898" s="238"/>
      <c r="V898" s="238"/>
      <c r="W898" s="238"/>
      <c r="X898" s="238"/>
      <c r="Y898" s="238"/>
      <c r="Z898" s="238"/>
    </row>
    <row r="899" spans="1:26" ht="16.5" customHeight="1">
      <c r="A899" s="238"/>
      <c r="B899" s="238"/>
      <c r="C899" s="238"/>
      <c r="D899" s="238"/>
      <c r="E899" s="238"/>
      <c r="F899" s="238"/>
      <c r="G899" s="238"/>
      <c r="H899" s="238"/>
      <c r="I899" s="238"/>
      <c r="J899" s="238"/>
      <c r="K899" s="238"/>
      <c r="L899" s="238"/>
      <c r="M899" s="238"/>
      <c r="N899" s="238"/>
      <c r="O899" s="238"/>
      <c r="P899" s="238"/>
      <c r="Q899" s="238"/>
      <c r="R899" s="238"/>
      <c r="S899" s="238"/>
      <c r="T899" s="238"/>
      <c r="U899" s="238"/>
      <c r="V899" s="238"/>
      <c r="W899" s="238"/>
      <c r="X899" s="238"/>
      <c r="Y899" s="238"/>
      <c r="Z899" s="238"/>
    </row>
    <row r="900" spans="1:26" ht="16.5" customHeight="1">
      <c r="A900" s="238"/>
      <c r="B900" s="238"/>
      <c r="C900" s="238"/>
      <c r="D900" s="238"/>
      <c r="E900" s="238"/>
      <c r="F900" s="238"/>
      <c r="G900" s="238"/>
      <c r="H900" s="238"/>
      <c r="I900" s="238"/>
      <c r="J900" s="238"/>
      <c r="K900" s="238"/>
      <c r="L900" s="238"/>
      <c r="M900" s="238"/>
      <c r="N900" s="238"/>
      <c r="O900" s="238"/>
      <c r="P900" s="238"/>
      <c r="Q900" s="238"/>
      <c r="R900" s="238"/>
      <c r="S900" s="238"/>
      <c r="T900" s="238"/>
      <c r="U900" s="238"/>
      <c r="V900" s="238"/>
      <c r="W900" s="238"/>
      <c r="X900" s="238"/>
      <c r="Y900" s="238"/>
      <c r="Z900" s="238"/>
    </row>
    <row r="901" spans="1:26" ht="16.5" customHeight="1">
      <c r="A901" s="238"/>
      <c r="B901" s="238"/>
      <c r="C901" s="238"/>
      <c r="D901" s="238"/>
      <c r="E901" s="238"/>
      <c r="F901" s="238"/>
      <c r="G901" s="238"/>
      <c r="H901" s="238"/>
      <c r="I901" s="238"/>
      <c r="J901" s="238"/>
      <c r="K901" s="238"/>
      <c r="L901" s="238"/>
      <c r="M901" s="238"/>
      <c r="N901" s="238"/>
      <c r="O901" s="238"/>
      <c r="P901" s="238"/>
      <c r="Q901" s="238"/>
      <c r="R901" s="238"/>
      <c r="S901" s="238"/>
      <c r="T901" s="238"/>
      <c r="U901" s="238"/>
      <c r="V901" s="238"/>
      <c r="W901" s="238"/>
      <c r="X901" s="238"/>
      <c r="Y901" s="238"/>
      <c r="Z901" s="238"/>
    </row>
    <row r="902" spans="1:26" ht="16.5" customHeight="1">
      <c r="A902" s="238"/>
      <c r="B902" s="238"/>
      <c r="C902" s="238"/>
      <c r="D902" s="238"/>
      <c r="E902" s="238"/>
      <c r="F902" s="238"/>
      <c r="G902" s="238"/>
      <c r="H902" s="238"/>
      <c r="I902" s="238"/>
      <c r="J902" s="238"/>
      <c r="K902" s="238"/>
      <c r="L902" s="238"/>
      <c r="M902" s="238"/>
      <c r="N902" s="238"/>
      <c r="O902" s="238"/>
      <c r="P902" s="238"/>
      <c r="Q902" s="238"/>
      <c r="R902" s="238"/>
      <c r="S902" s="238"/>
      <c r="T902" s="238"/>
      <c r="U902" s="238"/>
      <c r="V902" s="238"/>
      <c r="W902" s="238"/>
      <c r="X902" s="238"/>
      <c r="Y902" s="238"/>
      <c r="Z902" s="238"/>
    </row>
    <row r="903" spans="1:26" ht="16.5" customHeight="1">
      <c r="A903" s="238"/>
      <c r="B903" s="238"/>
      <c r="C903" s="238"/>
      <c r="D903" s="238"/>
      <c r="E903" s="238"/>
      <c r="F903" s="238"/>
      <c r="G903" s="238"/>
      <c r="H903" s="238"/>
      <c r="I903" s="238"/>
      <c r="J903" s="238"/>
      <c r="K903" s="238"/>
      <c r="L903" s="238"/>
      <c r="M903" s="238"/>
      <c r="N903" s="238"/>
      <c r="O903" s="238"/>
      <c r="P903" s="238"/>
      <c r="Q903" s="238"/>
      <c r="R903" s="238"/>
      <c r="S903" s="238"/>
      <c r="T903" s="238"/>
      <c r="U903" s="238"/>
      <c r="V903" s="238"/>
      <c r="W903" s="238"/>
      <c r="X903" s="238"/>
      <c r="Y903" s="238"/>
      <c r="Z903" s="238"/>
    </row>
    <row r="904" spans="1:26" ht="16.5" customHeight="1">
      <c r="A904" s="238"/>
      <c r="B904" s="238"/>
      <c r="C904" s="238"/>
      <c r="D904" s="238"/>
      <c r="E904" s="238"/>
      <c r="F904" s="238"/>
      <c r="G904" s="238"/>
      <c r="H904" s="238"/>
      <c r="I904" s="238"/>
      <c r="J904" s="238"/>
      <c r="K904" s="238"/>
      <c r="L904" s="238"/>
      <c r="M904" s="238"/>
      <c r="N904" s="238"/>
      <c r="O904" s="238"/>
      <c r="P904" s="238"/>
      <c r="Q904" s="238"/>
      <c r="R904" s="238"/>
      <c r="S904" s="238"/>
      <c r="T904" s="238"/>
      <c r="U904" s="238"/>
      <c r="V904" s="238"/>
      <c r="W904" s="238"/>
      <c r="X904" s="238"/>
      <c r="Y904" s="238"/>
      <c r="Z904" s="238"/>
    </row>
    <row r="905" spans="1:26" ht="16.5" customHeight="1">
      <c r="A905" s="238"/>
      <c r="B905" s="238"/>
      <c r="C905" s="238"/>
      <c r="D905" s="238"/>
      <c r="E905" s="238"/>
      <c r="F905" s="238"/>
      <c r="G905" s="238"/>
      <c r="H905" s="238"/>
      <c r="I905" s="238"/>
      <c r="J905" s="238"/>
      <c r="K905" s="238"/>
      <c r="L905" s="238"/>
      <c r="M905" s="238"/>
      <c r="N905" s="238"/>
      <c r="O905" s="238"/>
      <c r="P905" s="238"/>
      <c r="Q905" s="238"/>
      <c r="R905" s="238"/>
      <c r="S905" s="238"/>
      <c r="T905" s="238"/>
      <c r="U905" s="238"/>
      <c r="V905" s="238"/>
      <c r="W905" s="238"/>
      <c r="X905" s="238"/>
      <c r="Y905" s="238"/>
      <c r="Z905" s="238"/>
    </row>
    <row r="906" spans="1:26" ht="16.5" customHeight="1">
      <c r="A906" s="238"/>
      <c r="B906" s="238"/>
      <c r="C906" s="238"/>
      <c r="D906" s="238"/>
      <c r="E906" s="238"/>
      <c r="F906" s="238"/>
      <c r="G906" s="238"/>
      <c r="H906" s="238"/>
      <c r="I906" s="238"/>
      <c r="J906" s="238"/>
      <c r="K906" s="238"/>
      <c r="L906" s="238"/>
      <c r="M906" s="238"/>
      <c r="N906" s="238"/>
      <c r="O906" s="238"/>
      <c r="P906" s="238"/>
      <c r="Q906" s="238"/>
      <c r="R906" s="238"/>
      <c r="S906" s="238"/>
      <c r="T906" s="238"/>
      <c r="U906" s="238"/>
      <c r="V906" s="238"/>
      <c r="W906" s="238"/>
      <c r="X906" s="238"/>
      <c r="Y906" s="238"/>
      <c r="Z906" s="238"/>
    </row>
    <row r="907" spans="1:26" ht="16.5" customHeight="1">
      <c r="A907" s="238"/>
      <c r="B907" s="238"/>
      <c r="C907" s="238"/>
      <c r="D907" s="238"/>
      <c r="E907" s="238"/>
      <c r="F907" s="238"/>
      <c r="G907" s="238"/>
      <c r="H907" s="238"/>
      <c r="I907" s="238"/>
      <c r="J907" s="238"/>
      <c r="K907" s="238"/>
      <c r="L907" s="238"/>
      <c r="M907" s="238"/>
      <c r="N907" s="238"/>
      <c r="O907" s="238"/>
      <c r="P907" s="238"/>
      <c r="Q907" s="238"/>
      <c r="R907" s="238"/>
      <c r="S907" s="238"/>
      <c r="T907" s="238"/>
      <c r="U907" s="238"/>
      <c r="V907" s="238"/>
      <c r="W907" s="238"/>
      <c r="X907" s="238"/>
      <c r="Y907" s="238"/>
      <c r="Z907" s="238"/>
    </row>
    <row r="908" spans="1:26" ht="16.5" customHeight="1">
      <c r="A908" s="238"/>
      <c r="B908" s="238"/>
      <c r="C908" s="238"/>
      <c r="D908" s="238"/>
      <c r="E908" s="238"/>
      <c r="F908" s="238"/>
      <c r="G908" s="238"/>
      <c r="H908" s="238"/>
      <c r="I908" s="238"/>
      <c r="J908" s="238"/>
      <c r="K908" s="238"/>
      <c r="L908" s="238"/>
      <c r="M908" s="238"/>
      <c r="N908" s="238"/>
      <c r="O908" s="238"/>
      <c r="P908" s="238"/>
      <c r="Q908" s="238"/>
      <c r="R908" s="238"/>
      <c r="S908" s="238"/>
      <c r="T908" s="238"/>
      <c r="U908" s="238"/>
      <c r="V908" s="238"/>
      <c r="W908" s="238"/>
      <c r="X908" s="238"/>
      <c r="Y908" s="238"/>
      <c r="Z908" s="238"/>
    </row>
    <row r="909" spans="1:26" ht="16.5" customHeight="1">
      <c r="A909" s="238"/>
      <c r="B909" s="238"/>
      <c r="C909" s="238"/>
      <c r="D909" s="238"/>
      <c r="E909" s="238"/>
      <c r="F909" s="238"/>
      <c r="G909" s="238"/>
      <c r="H909" s="238"/>
      <c r="I909" s="238"/>
      <c r="J909" s="238"/>
      <c r="K909" s="238"/>
      <c r="L909" s="238"/>
      <c r="M909" s="238"/>
      <c r="N909" s="238"/>
      <c r="O909" s="238"/>
      <c r="P909" s="238"/>
      <c r="Q909" s="238"/>
      <c r="R909" s="238"/>
      <c r="S909" s="238"/>
      <c r="T909" s="238"/>
      <c r="U909" s="238"/>
      <c r="V909" s="238"/>
      <c r="W909" s="238"/>
      <c r="X909" s="238"/>
      <c r="Y909" s="238"/>
      <c r="Z909" s="238"/>
    </row>
    <row r="910" spans="1:26" ht="16.5" customHeight="1">
      <c r="A910" s="238"/>
      <c r="B910" s="238"/>
      <c r="C910" s="238"/>
      <c r="D910" s="238"/>
      <c r="E910" s="238"/>
      <c r="F910" s="238"/>
      <c r="G910" s="238"/>
      <c r="H910" s="238"/>
      <c r="I910" s="238"/>
      <c r="J910" s="238"/>
      <c r="K910" s="238"/>
      <c r="L910" s="238"/>
      <c r="M910" s="238"/>
      <c r="N910" s="238"/>
      <c r="O910" s="238"/>
      <c r="P910" s="238"/>
      <c r="Q910" s="238"/>
      <c r="R910" s="238"/>
      <c r="S910" s="238"/>
      <c r="T910" s="238"/>
      <c r="U910" s="238"/>
      <c r="V910" s="238"/>
      <c r="W910" s="238"/>
      <c r="X910" s="238"/>
      <c r="Y910" s="238"/>
      <c r="Z910" s="238"/>
    </row>
    <row r="911" spans="1:26" ht="16.5" customHeight="1">
      <c r="A911" s="238"/>
      <c r="B911" s="238"/>
      <c r="C911" s="238"/>
      <c r="D911" s="238"/>
      <c r="E911" s="238"/>
      <c r="F911" s="238"/>
      <c r="G911" s="238"/>
      <c r="H911" s="238"/>
      <c r="I911" s="238"/>
      <c r="J911" s="238"/>
      <c r="K911" s="238"/>
      <c r="L911" s="238"/>
      <c r="M911" s="238"/>
      <c r="N911" s="238"/>
      <c r="O911" s="238"/>
      <c r="P911" s="238"/>
      <c r="Q911" s="238"/>
      <c r="R911" s="238"/>
      <c r="S911" s="238"/>
      <c r="T911" s="238"/>
      <c r="U911" s="238"/>
      <c r="V911" s="238"/>
      <c r="W911" s="238"/>
      <c r="X911" s="238"/>
      <c r="Y911" s="238"/>
      <c r="Z911" s="238"/>
    </row>
    <row r="912" spans="1:26" ht="16.5" customHeight="1">
      <c r="A912" s="238"/>
      <c r="B912" s="238"/>
      <c r="C912" s="238"/>
      <c r="D912" s="238"/>
      <c r="E912" s="238"/>
      <c r="F912" s="238"/>
      <c r="G912" s="238"/>
      <c r="H912" s="238"/>
      <c r="I912" s="238"/>
      <c r="J912" s="238"/>
      <c r="K912" s="238"/>
      <c r="L912" s="238"/>
      <c r="M912" s="238"/>
      <c r="N912" s="238"/>
      <c r="O912" s="238"/>
      <c r="P912" s="238"/>
      <c r="Q912" s="238"/>
      <c r="R912" s="238"/>
      <c r="S912" s="238"/>
      <c r="T912" s="238"/>
      <c r="U912" s="238"/>
      <c r="V912" s="238"/>
      <c r="W912" s="238"/>
      <c r="X912" s="238"/>
      <c r="Y912" s="238"/>
      <c r="Z912" s="238"/>
    </row>
    <row r="913" spans="1:26" ht="16.5" customHeight="1">
      <c r="A913" s="238"/>
      <c r="B913" s="238"/>
      <c r="C913" s="238"/>
      <c r="D913" s="238"/>
      <c r="E913" s="238"/>
      <c r="F913" s="238"/>
      <c r="G913" s="238"/>
      <c r="H913" s="238"/>
      <c r="I913" s="238"/>
      <c r="J913" s="238"/>
      <c r="K913" s="238"/>
      <c r="L913" s="238"/>
      <c r="M913" s="238"/>
      <c r="N913" s="238"/>
      <c r="O913" s="238"/>
      <c r="P913" s="238"/>
      <c r="Q913" s="238"/>
      <c r="R913" s="238"/>
      <c r="S913" s="238"/>
      <c r="T913" s="238"/>
      <c r="U913" s="238"/>
      <c r="V913" s="238"/>
      <c r="W913" s="238"/>
      <c r="X913" s="238"/>
      <c r="Y913" s="238"/>
      <c r="Z913" s="238"/>
    </row>
    <row r="914" spans="1:26" ht="16.5" customHeight="1">
      <c r="A914" s="238"/>
      <c r="B914" s="238"/>
      <c r="C914" s="238"/>
      <c r="D914" s="238"/>
      <c r="E914" s="238"/>
      <c r="F914" s="238"/>
      <c r="G914" s="238"/>
      <c r="H914" s="238"/>
      <c r="I914" s="238"/>
      <c r="J914" s="238"/>
      <c r="K914" s="238"/>
      <c r="L914" s="238"/>
      <c r="M914" s="238"/>
      <c r="N914" s="238"/>
      <c r="O914" s="238"/>
      <c r="P914" s="238"/>
      <c r="Q914" s="238"/>
      <c r="R914" s="238"/>
      <c r="S914" s="238"/>
      <c r="T914" s="238"/>
      <c r="U914" s="238"/>
      <c r="V914" s="238"/>
      <c r="W914" s="238"/>
      <c r="X914" s="238"/>
      <c r="Y914" s="238"/>
      <c r="Z914" s="238"/>
    </row>
    <row r="915" spans="1:26" ht="16.5" customHeight="1">
      <c r="A915" s="238"/>
      <c r="B915" s="238"/>
      <c r="C915" s="238"/>
      <c r="D915" s="238"/>
      <c r="E915" s="238"/>
      <c r="F915" s="238"/>
      <c r="G915" s="238"/>
      <c r="H915" s="238"/>
      <c r="I915" s="238"/>
      <c r="J915" s="238"/>
      <c r="K915" s="238"/>
      <c r="L915" s="238"/>
      <c r="M915" s="238"/>
      <c r="N915" s="238"/>
      <c r="O915" s="238"/>
      <c r="P915" s="238"/>
      <c r="Q915" s="238"/>
      <c r="R915" s="238"/>
      <c r="S915" s="238"/>
      <c r="T915" s="238"/>
      <c r="U915" s="238"/>
      <c r="V915" s="238"/>
      <c r="W915" s="238"/>
      <c r="X915" s="238"/>
      <c r="Y915" s="238"/>
      <c r="Z915" s="238"/>
    </row>
    <row r="916" spans="1:26" ht="16.5" customHeight="1">
      <c r="A916" s="238"/>
      <c r="B916" s="238"/>
      <c r="C916" s="238"/>
      <c r="D916" s="238"/>
      <c r="E916" s="238"/>
      <c r="F916" s="238"/>
      <c r="G916" s="238"/>
      <c r="H916" s="238"/>
      <c r="I916" s="238"/>
      <c r="J916" s="238"/>
      <c r="K916" s="238"/>
      <c r="L916" s="238"/>
      <c r="M916" s="238"/>
      <c r="N916" s="238"/>
      <c r="O916" s="238"/>
      <c r="P916" s="238"/>
      <c r="Q916" s="238"/>
      <c r="R916" s="238"/>
      <c r="S916" s="238"/>
      <c r="T916" s="238"/>
      <c r="U916" s="238"/>
      <c r="V916" s="238"/>
      <c r="W916" s="238"/>
      <c r="X916" s="238"/>
      <c r="Y916" s="238"/>
      <c r="Z916" s="238"/>
    </row>
    <row r="917" spans="1:26" ht="16.5" customHeight="1">
      <c r="A917" s="238"/>
      <c r="B917" s="238"/>
      <c r="C917" s="238"/>
      <c r="D917" s="238"/>
      <c r="E917" s="238"/>
      <c r="F917" s="238"/>
      <c r="G917" s="238"/>
      <c r="H917" s="238"/>
      <c r="I917" s="238"/>
      <c r="J917" s="238"/>
      <c r="K917" s="238"/>
      <c r="L917" s="238"/>
      <c r="M917" s="238"/>
      <c r="N917" s="238"/>
      <c r="O917" s="238"/>
      <c r="P917" s="238"/>
      <c r="Q917" s="238"/>
      <c r="R917" s="238"/>
      <c r="S917" s="238"/>
      <c r="T917" s="238"/>
      <c r="U917" s="238"/>
      <c r="V917" s="238"/>
      <c r="W917" s="238"/>
      <c r="X917" s="238"/>
      <c r="Y917" s="238"/>
      <c r="Z917" s="238"/>
    </row>
    <row r="918" spans="1:26" ht="16.5" customHeight="1">
      <c r="A918" s="238"/>
      <c r="B918" s="238"/>
      <c r="C918" s="238"/>
      <c r="D918" s="238"/>
      <c r="E918" s="238"/>
      <c r="F918" s="238"/>
      <c r="G918" s="238"/>
      <c r="H918" s="238"/>
      <c r="I918" s="238"/>
      <c r="J918" s="238"/>
      <c r="K918" s="238"/>
      <c r="L918" s="238"/>
      <c r="M918" s="238"/>
      <c r="N918" s="238"/>
      <c r="O918" s="238"/>
      <c r="P918" s="238"/>
      <c r="Q918" s="238"/>
      <c r="R918" s="238"/>
      <c r="S918" s="238"/>
      <c r="T918" s="238"/>
      <c r="U918" s="238"/>
      <c r="V918" s="238"/>
      <c r="W918" s="238"/>
      <c r="X918" s="238"/>
      <c r="Y918" s="238"/>
      <c r="Z918" s="238"/>
    </row>
    <row r="919" spans="1:26" ht="16.5" customHeight="1">
      <c r="A919" s="238"/>
      <c r="B919" s="238"/>
      <c r="C919" s="238"/>
      <c r="D919" s="238"/>
      <c r="E919" s="238"/>
      <c r="F919" s="238"/>
      <c r="G919" s="238"/>
      <c r="H919" s="238"/>
      <c r="I919" s="238"/>
      <c r="J919" s="238"/>
      <c r="K919" s="238"/>
      <c r="L919" s="238"/>
      <c r="M919" s="238"/>
      <c r="N919" s="238"/>
      <c r="O919" s="238"/>
      <c r="P919" s="238"/>
      <c r="Q919" s="238"/>
      <c r="R919" s="238"/>
      <c r="S919" s="238"/>
      <c r="T919" s="238"/>
      <c r="U919" s="238"/>
      <c r="V919" s="238"/>
      <c r="W919" s="238"/>
      <c r="X919" s="238"/>
      <c r="Y919" s="238"/>
      <c r="Z919" s="238"/>
    </row>
    <row r="920" spans="1:26" ht="16.5" customHeight="1">
      <c r="A920" s="238"/>
      <c r="B920" s="238"/>
      <c r="C920" s="238"/>
      <c r="D920" s="238"/>
      <c r="E920" s="238"/>
      <c r="F920" s="238"/>
      <c r="G920" s="238"/>
      <c r="H920" s="238"/>
      <c r="I920" s="238"/>
      <c r="J920" s="238"/>
      <c r="K920" s="238"/>
      <c r="L920" s="238"/>
      <c r="M920" s="238"/>
      <c r="N920" s="238"/>
      <c r="O920" s="238"/>
      <c r="P920" s="238"/>
      <c r="Q920" s="238"/>
      <c r="R920" s="238"/>
      <c r="S920" s="238"/>
      <c r="T920" s="238"/>
      <c r="U920" s="238"/>
      <c r="V920" s="238"/>
      <c r="W920" s="238"/>
      <c r="X920" s="238"/>
      <c r="Y920" s="238"/>
      <c r="Z920" s="238"/>
    </row>
    <row r="921" spans="1:26" ht="16.5" customHeight="1">
      <c r="A921" s="238"/>
      <c r="B921" s="238"/>
      <c r="C921" s="238"/>
      <c r="D921" s="238"/>
      <c r="E921" s="238"/>
      <c r="F921" s="238"/>
      <c r="G921" s="238"/>
      <c r="H921" s="238"/>
      <c r="I921" s="238"/>
      <c r="J921" s="238"/>
      <c r="K921" s="238"/>
      <c r="L921" s="238"/>
      <c r="M921" s="238"/>
      <c r="N921" s="238"/>
      <c r="O921" s="238"/>
      <c r="P921" s="238"/>
      <c r="Q921" s="238"/>
      <c r="R921" s="238"/>
      <c r="S921" s="238"/>
      <c r="T921" s="238"/>
      <c r="U921" s="238"/>
      <c r="V921" s="238"/>
      <c r="W921" s="238"/>
      <c r="X921" s="238"/>
      <c r="Y921" s="238"/>
      <c r="Z921" s="238"/>
    </row>
    <row r="922" spans="1:26" ht="16.5" customHeight="1">
      <c r="A922" s="238"/>
      <c r="B922" s="238"/>
      <c r="C922" s="238"/>
      <c r="D922" s="238"/>
      <c r="E922" s="238"/>
      <c r="F922" s="238"/>
      <c r="G922" s="238"/>
      <c r="H922" s="238"/>
      <c r="I922" s="238"/>
      <c r="J922" s="238"/>
      <c r="K922" s="238"/>
      <c r="L922" s="238"/>
      <c r="M922" s="238"/>
      <c r="N922" s="238"/>
      <c r="O922" s="238"/>
      <c r="P922" s="238"/>
      <c r="Q922" s="238"/>
      <c r="R922" s="238"/>
      <c r="S922" s="238"/>
      <c r="T922" s="238"/>
      <c r="U922" s="238"/>
      <c r="V922" s="238"/>
      <c r="W922" s="238"/>
      <c r="X922" s="238"/>
      <c r="Y922" s="238"/>
      <c r="Z922" s="238"/>
    </row>
    <row r="923" spans="1:26" ht="16.5" customHeight="1">
      <c r="A923" s="238"/>
      <c r="B923" s="238"/>
      <c r="C923" s="238"/>
      <c r="D923" s="238"/>
      <c r="E923" s="238"/>
      <c r="F923" s="238"/>
      <c r="G923" s="238"/>
      <c r="H923" s="238"/>
      <c r="I923" s="238"/>
      <c r="J923" s="238"/>
      <c r="K923" s="238"/>
      <c r="L923" s="238"/>
      <c r="M923" s="238"/>
      <c r="N923" s="238"/>
      <c r="O923" s="238"/>
      <c r="P923" s="238"/>
      <c r="Q923" s="238"/>
      <c r="R923" s="238"/>
      <c r="S923" s="238"/>
      <c r="T923" s="238"/>
      <c r="U923" s="238"/>
      <c r="V923" s="238"/>
      <c r="W923" s="238"/>
      <c r="X923" s="238"/>
      <c r="Y923" s="238"/>
      <c r="Z923" s="238"/>
    </row>
    <row r="924" spans="1:26" ht="16.5" customHeight="1">
      <c r="A924" s="238"/>
      <c r="B924" s="238"/>
      <c r="C924" s="238"/>
      <c r="D924" s="238"/>
      <c r="E924" s="238"/>
      <c r="F924" s="238"/>
      <c r="G924" s="238"/>
      <c r="H924" s="238"/>
      <c r="I924" s="238"/>
      <c r="J924" s="238"/>
      <c r="K924" s="238"/>
      <c r="L924" s="238"/>
      <c r="M924" s="238"/>
      <c r="N924" s="238"/>
      <c r="O924" s="238"/>
      <c r="P924" s="238"/>
      <c r="Q924" s="238"/>
      <c r="R924" s="238"/>
      <c r="S924" s="238"/>
      <c r="T924" s="238"/>
      <c r="U924" s="238"/>
      <c r="V924" s="238"/>
      <c r="W924" s="238"/>
      <c r="X924" s="238"/>
      <c r="Y924" s="238"/>
      <c r="Z924" s="238"/>
    </row>
    <row r="925" spans="1:26" ht="16.5" customHeight="1">
      <c r="A925" s="238"/>
      <c r="B925" s="238"/>
      <c r="C925" s="238"/>
      <c r="D925" s="238"/>
      <c r="E925" s="238"/>
      <c r="F925" s="238"/>
      <c r="G925" s="238"/>
      <c r="H925" s="238"/>
      <c r="I925" s="238"/>
      <c r="J925" s="238"/>
      <c r="K925" s="238"/>
      <c r="L925" s="238"/>
      <c r="M925" s="238"/>
      <c r="N925" s="238"/>
      <c r="O925" s="238"/>
      <c r="P925" s="238"/>
      <c r="Q925" s="238"/>
      <c r="R925" s="238"/>
      <c r="S925" s="238"/>
      <c r="T925" s="238"/>
      <c r="U925" s="238"/>
      <c r="V925" s="238"/>
      <c r="W925" s="238"/>
      <c r="X925" s="238"/>
      <c r="Y925" s="238"/>
      <c r="Z925" s="238"/>
    </row>
    <row r="926" spans="1:26" ht="16.5" customHeight="1">
      <c r="A926" s="238"/>
      <c r="B926" s="238"/>
      <c r="C926" s="238"/>
      <c r="D926" s="238"/>
      <c r="E926" s="238"/>
      <c r="F926" s="238"/>
      <c r="G926" s="238"/>
      <c r="H926" s="238"/>
      <c r="I926" s="238"/>
      <c r="J926" s="238"/>
      <c r="K926" s="238"/>
      <c r="L926" s="238"/>
      <c r="M926" s="238"/>
      <c r="N926" s="238"/>
      <c r="O926" s="238"/>
      <c r="P926" s="238"/>
      <c r="Q926" s="238"/>
      <c r="R926" s="238"/>
      <c r="S926" s="238"/>
      <c r="T926" s="238"/>
      <c r="U926" s="238"/>
      <c r="V926" s="238"/>
      <c r="W926" s="238"/>
      <c r="X926" s="238"/>
      <c r="Y926" s="238"/>
      <c r="Z926" s="238"/>
    </row>
    <row r="927" spans="1:26" ht="16.5" customHeight="1">
      <c r="A927" s="238"/>
      <c r="B927" s="238"/>
      <c r="C927" s="238"/>
      <c r="D927" s="238"/>
      <c r="E927" s="238"/>
      <c r="F927" s="238"/>
      <c r="G927" s="238"/>
      <c r="H927" s="238"/>
      <c r="I927" s="238"/>
      <c r="J927" s="238"/>
      <c r="K927" s="238"/>
      <c r="L927" s="238"/>
      <c r="M927" s="238"/>
      <c r="N927" s="238"/>
      <c r="O927" s="238"/>
      <c r="P927" s="238"/>
      <c r="Q927" s="238"/>
      <c r="R927" s="238"/>
      <c r="S927" s="238"/>
      <c r="T927" s="238"/>
      <c r="U927" s="238"/>
      <c r="V927" s="238"/>
      <c r="W927" s="238"/>
      <c r="X927" s="238"/>
      <c r="Y927" s="238"/>
      <c r="Z927" s="238"/>
    </row>
    <row r="928" spans="1:26" ht="16.5" customHeight="1">
      <c r="A928" s="238"/>
      <c r="B928" s="238"/>
      <c r="C928" s="238"/>
      <c r="D928" s="238"/>
      <c r="E928" s="238"/>
      <c r="F928" s="238"/>
      <c r="G928" s="238"/>
      <c r="H928" s="238"/>
      <c r="I928" s="238"/>
      <c r="J928" s="238"/>
      <c r="K928" s="238"/>
      <c r="L928" s="238"/>
      <c r="M928" s="238"/>
      <c r="N928" s="238"/>
      <c r="O928" s="238"/>
      <c r="P928" s="238"/>
      <c r="Q928" s="238"/>
      <c r="R928" s="238"/>
      <c r="S928" s="238"/>
      <c r="T928" s="238"/>
      <c r="U928" s="238"/>
      <c r="V928" s="238"/>
      <c r="W928" s="238"/>
      <c r="X928" s="238"/>
      <c r="Y928" s="238"/>
      <c r="Z928" s="238"/>
    </row>
    <row r="929" spans="1:26" ht="16.5" customHeight="1">
      <c r="A929" s="238"/>
      <c r="B929" s="238"/>
      <c r="C929" s="238"/>
      <c r="D929" s="238"/>
      <c r="E929" s="238"/>
      <c r="F929" s="238"/>
      <c r="G929" s="238"/>
      <c r="H929" s="238"/>
      <c r="I929" s="238"/>
      <c r="J929" s="238"/>
      <c r="K929" s="238"/>
      <c r="L929" s="238"/>
      <c r="M929" s="238"/>
      <c r="N929" s="238"/>
      <c r="O929" s="238"/>
      <c r="P929" s="238"/>
      <c r="Q929" s="238"/>
      <c r="R929" s="238"/>
      <c r="S929" s="238"/>
      <c r="T929" s="238"/>
      <c r="U929" s="238"/>
      <c r="V929" s="238"/>
      <c r="W929" s="238"/>
      <c r="X929" s="238"/>
      <c r="Y929" s="238"/>
      <c r="Z929" s="238"/>
    </row>
    <row r="930" spans="1:26" ht="16.5" customHeight="1">
      <c r="A930" s="238"/>
      <c r="B930" s="238"/>
      <c r="C930" s="238"/>
      <c r="D930" s="238"/>
      <c r="E930" s="238"/>
      <c r="F930" s="238"/>
      <c r="G930" s="238"/>
      <c r="H930" s="238"/>
      <c r="I930" s="238"/>
      <c r="J930" s="238"/>
      <c r="K930" s="238"/>
      <c r="L930" s="238"/>
      <c r="M930" s="238"/>
      <c r="N930" s="238"/>
      <c r="O930" s="238"/>
      <c r="P930" s="238"/>
      <c r="Q930" s="238"/>
      <c r="R930" s="238"/>
      <c r="S930" s="238"/>
      <c r="T930" s="238"/>
      <c r="U930" s="238"/>
      <c r="V930" s="238"/>
      <c r="W930" s="238"/>
      <c r="X930" s="238"/>
      <c r="Y930" s="238"/>
      <c r="Z930" s="238"/>
    </row>
    <row r="931" spans="1:26" ht="16.5" customHeight="1">
      <c r="A931" s="238"/>
      <c r="B931" s="238"/>
      <c r="C931" s="238"/>
      <c r="D931" s="238"/>
      <c r="E931" s="238"/>
      <c r="F931" s="238"/>
      <c r="G931" s="238"/>
      <c r="H931" s="238"/>
      <c r="I931" s="238"/>
      <c r="J931" s="238"/>
      <c r="K931" s="238"/>
      <c r="L931" s="238"/>
      <c r="M931" s="238"/>
      <c r="N931" s="238"/>
      <c r="O931" s="238"/>
      <c r="P931" s="238"/>
      <c r="Q931" s="238"/>
      <c r="R931" s="238"/>
      <c r="S931" s="238"/>
      <c r="T931" s="238"/>
      <c r="U931" s="238"/>
      <c r="V931" s="238"/>
      <c r="W931" s="238"/>
      <c r="X931" s="238"/>
      <c r="Y931" s="238"/>
      <c r="Z931" s="238"/>
    </row>
    <row r="932" spans="1:26" ht="16.5" customHeight="1">
      <c r="A932" s="238"/>
      <c r="B932" s="238"/>
      <c r="C932" s="238"/>
      <c r="D932" s="238"/>
      <c r="E932" s="238"/>
      <c r="F932" s="238"/>
      <c r="G932" s="238"/>
      <c r="H932" s="238"/>
      <c r="I932" s="238"/>
      <c r="J932" s="238"/>
      <c r="K932" s="238"/>
      <c r="L932" s="238"/>
      <c r="M932" s="238"/>
      <c r="N932" s="238"/>
      <c r="O932" s="238"/>
      <c r="P932" s="238"/>
      <c r="Q932" s="238"/>
      <c r="R932" s="238"/>
      <c r="S932" s="238"/>
      <c r="T932" s="238"/>
      <c r="U932" s="238"/>
      <c r="V932" s="238"/>
      <c r="W932" s="238"/>
      <c r="X932" s="238"/>
      <c r="Y932" s="238"/>
      <c r="Z932" s="238"/>
    </row>
    <row r="933" spans="1:26" ht="16.5" customHeight="1">
      <c r="A933" s="238"/>
      <c r="B933" s="238"/>
      <c r="C933" s="238"/>
      <c r="D933" s="238"/>
      <c r="E933" s="238"/>
      <c r="F933" s="238"/>
      <c r="G933" s="238"/>
      <c r="H933" s="238"/>
      <c r="I933" s="238"/>
      <c r="J933" s="238"/>
      <c r="K933" s="238"/>
      <c r="L933" s="238"/>
      <c r="M933" s="238"/>
      <c r="N933" s="238"/>
      <c r="O933" s="238"/>
      <c r="P933" s="238"/>
      <c r="Q933" s="238"/>
      <c r="R933" s="238"/>
      <c r="S933" s="238"/>
      <c r="T933" s="238"/>
      <c r="U933" s="238"/>
      <c r="V933" s="238"/>
      <c r="W933" s="238"/>
      <c r="X933" s="238"/>
      <c r="Y933" s="238"/>
      <c r="Z933" s="238"/>
    </row>
    <row r="934" spans="1:26" ht="16.5" customHeight="1">
      <c r="A934" s="238"/>
      <c r="B934" s="238"/>
      <c r="C934" s="238"/>
      <c r="D934" s="238"/>
      <c r="E934" s="238"/>
      <c r="F934" s="238"/>
      <c r="G934" s="238"/>
      <c r="H934" s="238"/>
      <c r="I934" s="238"/>
      <c r="J934" s="238"/>
      <c r="K934" s="238"/>
      <c r="L934" s="238"/>
      <c r="M934" s="238"/>
      <c r="N934" s="238"/>
      <c r="O934" s="238"/>
      <c r="P934" s="238"/>
      <c r="Q934" s="238"/>
      <c r="R934" s="238"/>
      <c r="S934" s="238"/>
      <c r="T934" s="238"/>
      <c r="U934" s="238"/>
      <c r="V934" s="238"/>
      <c r="W934" s="238"/>
      <c r="X934" s="238"/>
      <c r="Y934" s="238"/>
      <c r="Z934" s="238"/>
    </row>
    <row r="935" spans="1:26" ht="16.5" customHeight="1">
      <c r="A935" s="238"/>
      <c r="B935" s="238"/>
      <c r="C935" s="238"/>
      <c r="D935" s="238"/>
      <c r="E935" s="238"/>
      <c r="F935" s="238"/>
      <c r="G935" s="238"/>
      <c r="H935" s="238"/>
      <c r="I935" s="238"/>
      <c r="J935" s="238"/>
      <c r="K935" s="238"/>
      <c r="L935" s="238"/>
      <c r="M935" s="238"/>
      <c r="N935" s="238"/>
      <c r="O935" s="238"/>
      <c r="P935" s="238"/>
      <c r="Q935" s="238"/>
      <c r="R935" s="238"/>
      <c r="S935" s="238"/>
      <c r="T935" s="238"/>
      <c r="U935" s="238"/>
      <c r="V935" s="238"/>
      <c r="W935" s="238"/>
      <c r="X935" s="238"/>
      <c r="Y935" s="238"/>
      <c r="Z935" s="238"/>
    </row>
    <row r="936" spans="1:26" ht="16.5" customHeight="1">
      <c r="A936" s="238"/>
      <c r="B936" s="238"/>
      <c r="C936" s="238"/>
      <c r="D936" s="238"/>
      <c r="E936" s="238"/>
      <c r="F936" s="238"/>
      <c r="G936" s="238"/>
      <c r="H936" s="238"/>
      <c r="I936" s="238"/>
      <c r="J936" s="238"/>
      <c r="K936" s="238"/>
      <c r="L936" s="238"/>
      <c r="M936" s="238"/>
      <c r="N936" s="238"/>
      <c r="O936" s="238"/>
      <c r="P936" s="238"/>
      <c r="Q936" s="238"/>
      <c r="R936" s="238"/>
      <c r="S936" s="238"/>
      <c r="T936" s="238"/>
      <c r="U936" s="238"/>
      <c r="V936" s="238"/>
      <c r="W936" s="238"/>
      <c r="X936" s="238"/>
      <c r="Y936" s="238"/>
      <c r="Z936" s="238"/>
    </row>
    <row r="937" spans="1:26" ht="16.5" customHeight="1">
      <c r="A937" s="238"/>
      <c r="B937" s="238"/>
      <c r="C937" s="238"/>
      <c r="D937" s="238"/>
      <c r="E937" s="238"/>
      <c r="F937" s="238"/>
      <c r="G937" s="238"/>
      <c r="H937" s="238"/>
      <c r="I937" s="238"/>
      <c r="J937" s="238"/>
      <c r="K937" s="238"/>
      <c r="L937" s="238"/>
      <c r="M937" s="238"/>
      <c r="N937" s="238"/>
      <c r="O937" s="238"/>
      <c r="P937" s="238"/>
      <c r="Q937" s="238"/>
      <c r="R937" s="238"/>
      <c r="S937" s="238"/>
      <c r="T937" s="238"/>
      <c r="U937" s="238"/>
      <c r="V937" s="238"/>
      <c r="W937" s="238"/>
      <c r="X937" s="238"/>
      <c r="Y937" s="238"/>
      <c r="Z937" s="238"/>
    </row>
    <row r="938" spans="1:26" ht="16.5" customHeight="1">
      <c r="A938" s="238"/>
      <c r="B938" s="238"/>
      <c r="C938" s="238"/>
      <c r="D938" s="238"/>
      <c r="E938" s="238"/>
      <c r="F938" s="238"/>
      <c r="G938" s="238"/>
      <c r="H938" s="238"/>
      <c r="I938" s="238"/>
      <c r="J938" s="238"/>
      <c r="K938" s="238"/>
      <c r="L938" s="238"/>
      <c r="M938" s="238"/>
      <c r="N938" s="238"/>
      <c r="O938" s="238"/>
      <c r="P938" s="238"/>
      <c r="Q938" s="238"/>
      <c r="R938" s="238"/>
      <c r="S938" s="238"/>
      <c r="T938" s="238"/>
      <c r="U938" s="238"/>
      <c r="V938" s="238"/>
      <c r="W938" s="238"/>
      <c r="X938" s="238"/>
      <c r="Y938" s="238"/>
      <c r="Z938" s="238"/>
    </row>
    <row r="939" spans="1:26" ht="16.5" customHeight="1">
      <c r="A939" s="238"/>
      <c r="B939" s="238"/>
      <c r="C939" s="238"/>
      <c r="D939" s="238"/>
      <c r="E939" s="238"/>
      <c r="F939" s="238"/>
      <c r="G939" s="238"/>
      <c r="H939" s="238"/>
      <c r="I939" s="238"/>
      <c r="J939" s="238"/>
      <c r="K939" s="238"/>
      <c r="L939" s="238"/>
      <c r="M939" s="238"/>
      <c r="N939" s="238"/>
      <c r="O939" s="238"/>
      <c r="P939" s="238"/>
      <c r="Q939" s="238"/>
      <c r="R939" s="238"/>
      <c r="S939" s="238"/>
      <c r="T939" s="238"/>
      <c r="U939" s="238"/>
      <c r="V939" s="238"/>
      <c r="W939" s="238"/>
      <c r="X939" s="238"/>
      <c r="Y939" s="238"/>
      <c r="Z939" s="238"/>
    </row>
    <row r="940" spans="1:26" ht="16.5" customHeight="1">
      <c r="A940" s="238"/>
      <c r="B940" s="238"/>
      <c r="C940" s="238"/>
      <c r="D940" s="238"/>
      <c r="E940" s="238"/>
      <c r="F940" s="238"/>
      <c r="G940" s="238"/>
      <c r="H940" s="238"/>
      <c r="I940" s="238"/>
      <c r="J940" s="238"/>
      <c r="K940" s="238"/>
      <c r="L940" s="238"/>
      <c r="M940" s="238"/>
      <c r="N940" s="238"/>
      <c r="O940" s="238"/>
      <c r="P940" s="238"/>
      <c r="Q940" s="238"/>
      <c r="R940" s="238"/>
      <c r="S940" s="238"/>
      <c r="T940" s="238"/>
      <c r="U940" s="238"/>
      <c r="V940" s="238"/>
      <c r="W940" s="238"/>
      <c r="X940" s="238"/>
      <c r="Y940" s="238"/>
      <c r="Z940" s="238"/>
    </row>
    <row r="941" spans="1:26" ht="16.5" customHeight="1">
      <c r="A941" s="238"/>
      <c r="B941" s="238"/>
      <c r="C941" s="238"/>
      <c r="D941" s="238"/>
      <c r="E941" s="238"/>
      <c r="F941" s="238"/>
      <c r="G941" s="238"/>
      <c r="H941" s="238"/>
      <c r="I941" s="238"/>
      <c r="J941" s="238"/>
      <c r="K941" s="238"/>
      <c r="L941" s="238"/>
      <c r="M941" s="238"/>
      <c r="N941" s="238"/>
      <c r="O941" s="238"/>
      <c r="P941" s="238"/>
      <c r="Q941" s="238"/>
      <c r="R941" s="238"/>
      <c r="S941" s="238"/>
      <c r="T941" s="238"/>
      <c r="U941" s="238"/>
      <c r="V941" s="238"/>
      <c r="W941" s="238"/>
      <c r="X941" s="238"/>
      <c r="Y941" s="238"/>
      <c r="Z941" s="238"/>
    </row>
    <row r="942" spans="1:26" ht="16.5" customHeight="1">
      <c r="A942" s="238"/>
      <c r="B942" s="238"/>
      <c r="C942" s="238"/>
      <c r="D942" s="238"/>
      <c r="E942" s="238"/>
      <c r="F942" s="238"/>
      <c r="G942" s="238"/>
      <c r="H942" s="238"/>
      <c r="I942" s="238"/>
      <c r="J942" s="238"/>
      <c r="K942" s="238"/>
      <c r="L942" s="238"/>
      <c r="M942" s="238"/>
      <c r="N942" s="238"/>
      <c r="O942" s="238"/>
      <c r="P942" s="238"/>
      <c r="Q942" s="238"/>
      <c r="R942" s="238"/>
      <c r="S942" s="238"/>
      <c r="T942" s="238"/>
      <c r="U942" s="238"/>
      <c r="V942" s="238"/>
      <c r="W942" s="238"/>
      <c r="X942" s="238"/>
      <c r="Y942" s="238"/>
      <c r="Z942" s="238"/>
    </row>
    <row r="943" spans="1:26" ht="16.5" customHeight="1">
      <c r="A943" s="238"/>
      <c r="B943" s="238"/>
      <c r="C943" s="238"/>
      <c r="D943" s="238"/>
      <c r="E943" s="238"/>
      <c r="F943" s="238"/>
      <c r="G943" s="238"/>
      <c r="H943" s="238"/>
      <c r="I943" s="238"/>
      <c r="J943" s="238"/>
      <c r="K943" s="238"/>
      <c r="L943" s="238"/>
      <c r="M943" s="238"/>
      <c r="N943" s="238"/>
      <c r="O943" s="238"/>
      <c r="P943" s="238"/>
      <c r="Q943" s="238"/>
      <c r="R943" s="238"/>
      <c r="S943" s="238"/>
      <c r="T943" s="238"/>
      <c r="U943" s="238"/>
      <c r="V943" s="238"/>
      <c r="W943" s="238"/>
      <c r="X943" s="238"/>
      <c r="Y943" s="238"/>
      <c r="Z943" s="238"/>
    </row>
    <row r="944" spans="1:26" ht="16.5" customHeight="1">
      <c r="A944" s="238"/>
      <c r="B944" s="238"/>
      <c r="C944" s="238"/>
      <c r="D944" s="238"/>
      <c r="E944" s="238"/>
      <c r="F944" s="238"/>
      <c r="G944" s="238"/>
      <c r="H944" s="238"/>
      <c r="I944" s="238"/>
      <c r="J944" s="238"/>
      <c r="K944" s="238"/>
      <c r="L944" s="238"/>
      <c r="M944" s="238"/>
      <c r="N944" s="238"/>
      <c r="O944" s="238"/>
      <c r="P944" s="238"/>
      <c r="Q944" s="238"/>
      <c r="R944" s="238"/>
      <c r="S944" s="238"/>
      <c r="T944" s="238"/>
      <c r="U944" s="238"/>
      <c r="V944" s="238"/>
      <c r="W944" s="238"/>
      <c r="X944" s="238"/>
      <c r="Y944" s="238"/>
      <c r="Z944" s="238"/>
    </row>
    <row r="945" spans="1:26" ht="16.5" customHeight="1">
      <c r="A945" s="238"/>
      <c r="B945" s="238"/>
      <c r="C945" s="238"/>
      <c r="D945" s="238"/>
      <c r="E945" s="238"/>
      <c r="F945" s="238"/>
      <c r="G945" s="238"/>
      <c r="H945" s="238"/>
      <c r="I945" s="238"/>
      <c r="J945" s="238"/>
      <c r="K945" s="238"/>
      <c r="L945" s="238"/>
      <c r="M945" s="238"/>
      <c r="N945" s="238"/>
      <c r="O945" s="238"/>
      <c r="P945" s="238"/>
      <c r="Q945" s="238"/>
      <c r="R945" s="238"/>
      <c r="S945" s="238"/>
      <c r="T945" s="238"/>
      <c r="U945" s="238"/>
      <c r="V945" s="238"/>
      <c r="W945" s="238"/>
      <c r="X945" s="238"/>
      <c r="Y945" s="238"/>
      <c r="Z945" s="238"/>
    </row>
    <row r="946" spans="1:26" ht="16.5" customHeight="1">
      <c r="A946" s="238"/>
      <c r="B946" s="238"/>
      <c r="C946" s="238"/>
      <c r="D946" s="238"/>
      <c r="E946" s="238"/>
      <c r="F946" s="238"/>
      <c r="G946" s="238"/>
      <c r="H946" s="238"/>
      <c r="I946" s="238"/>
      <c r="J946" s="238"/>
      <c r="K946" s="238"/>
      <c r="L946" s="238"/>
      <c r="M946" s="238"/>
      <c r="N946" s="238"/>
      <c r="O946" s="238"/>
      <c r="P946" s="238"/>
      <c r="Q946" s="238"/>
      <c r="R946" s="238"/>
      <c r="S946" s="238"/>
      <c r="T946" s="238"/>
      <c r="U946" s="238"/>
      <c r="V946" s="238"/>
      <c r="W946" s="238"/>
      <c r="X946" s="238"/>
      <c r="Y946" s="238"/>
      <c r="Z946" s="238"/>
    </row>
    <row r="947" spans="1:26" ht="16.5" customHeight="1">
      <c r="A947" s="238"/>
      <c r="B947" s="238"/>
      <c r="C947" s="238"/>
      <c r="D947" s="238"/>
      <c r="E947" s="238"/>
      <c r="F947" s="238"/>
      <c r="G947" s="238"/>
      <c r="H947" s="238"/>
      <c r="I947" s="238"/>
      <c r="J947" s="238"/>
      <c r="K947" s="238"/>
      <c r="L947" s="238"/>
      <c r="M947" s="238"/>
      <c r="N947" s="238"/>
      <c r="O947" s="238"/>
      <c r="P947" s="238"/>
      <c r="Q947" s="238"/>
      <c r="R947" s="238"/>
      <c r="S947" s="238"/>
      <c r="T947" s="238"/>
      <c r="U947" s="238"/>
      <c r="V947" s="238"/>
      <c r="W947" s="238"/>
      <c r="X947" s="238"/>
      <c r="Y947" s="238"/>
      <c r="Z947" s="238"/>
    </row>
    <row r="948" spans="1:26" ht="16.5" customHeight="1">
      <c r="A948" s="238"/>
      <c r="B948" s="238"/>
      <c r="C948" s="238"/>
      <c r="D948" s="238"/>
      <c r="E948" s="238"/>
      <c r="F948" s="238"/>
      <c r="G948" s="238"/>
      <c r="H948" s="238"/>
      <c r="I948" s="238"/>
      <c r="J948" s="238"/>
      <c r="K948" s="238"/>
      <c r="L948" s="238"/>
      <c r="M948" s="238"/>
      <c r="N948" s="238"/>
      <c r="O948" s="238"/>
      <c r="P948" s="238"/>
      <c r="Q948" s="238"/>
      <c r="R948" s="238"/>
      <c r="S948" s="238"/>
      <c r="T948" s="238"/>
      <c r="U948" s="238"/>
      <c r="V948" s="238"/>
      <c r="W948" s="238"/>
      <c r="X948" s="238"/>
      <c r="Y948" s="238"/>
      <c r="Z948" s="238"/>
    </row>
    <row r="949" spans="1:26" ht="16.5" customHeight="1">
      <c r="A949" s="238"/>
      <c r="B949" s="238"/>
      <c r="C949" s="238"/>
      <c r="D949" s="238"/>
      <c r="E949" s="238"/>
      <c r="F949" s="238"/>
      <c r="G949" s="238"/>
      <c r="H949" s="238"/>
      <c r="I949" s="238"/>
      <c r="J949" s="238"/>
      <c r="K949" s="238"/>
      <c r="L949" s="238"/>
      <c r="M949" s="238"/>
      <c r="N949" s="238"/>
      <c r="O949" s="238"/>
      <c r="P949" s="238"/>
      <c r="Q949" s="238"/>
      <c r="R949" s="238"/>
      <c r="S949" s="238"/>
      <c r="T949" s="238"/>
      <c r="U949" s="238"/>
      <c r="V949" s="238"/>
      <c r="W949" s="238"/>
      <c r="X949" s="238"/>
      <c r="Y949" s="238"/>
      <c r="Z949" s="238"/>
    </row>
    <row r="950" spans="1:26" ht="16.5" customHeight="1">
      <c r="A950" s="238"/>
      <c r="B950" s="238"/>
      <c r="C950" s="238"/>
      <c r="D950" s="238"/>
      <c r="E950" s="238"/>
      <c r="F950" s="238"/>
      <c r="G950" s="238"/>
      <c r="H950" s="238"/>
      <c r="I950" s="238"/>
      <c r="J950" s="238"/>
      <c r="K950" s="238"/>
      <c r="L950" s="238"/>
      <c r="M950" s="238"/>
      <c r="N950" s="238"/>
      <c r="O950" s="238"/>
      <c r="P950" s="238"/>
      <c r="Q950" s="238"/>
      <c r="R950" s="238"/>
      <c r="S950" s="238"/>
      <c r="T950" s="238"/>
      <c r="U950" s="238"/>
      <c r="V950" s="238"/>
      <c r="W950" s="238"/>
      <c r="X950" s="238"/>
      <c r="Y950" s="238"/>
      <c r="Z950" s="238"/>
    </row>
    <row r="951" spans="1:26" ht="16.5" customHeight="1">
      <c r="A951" s="238"/>
      <c r="B951" s="238"/>
      <c r="C951" s="238"/>
      <c r="D951" s="238"/>
      <c r="E951" s="238"/>
      <c r="F951" s="238"/>
      <c r="G951" s="238"/>
      <c r="H951" s="238"/>
      <c r="I951" s="238"/>
      <c r="J951" s="238"/>
      <c r="K951" s="238"/>
      <c r="L951" s="238"/>
      <c r="M951" s="238"/>
      <c r="N951" s="238"/>
      <c r="O951" s="238"/>
      <c r="P951" s="238"/>
      <c r="Q951" s="238"/>
      <c r="R951" s="238"/>
      <c r="S951" s="238"/>
      <c r="T951" s="238"/>
      <c r="U951" s="238"/>
      <c r="V951" s="238"/>
      <c r="W951" s="238"/>
      <c r="X951" s="238"/>
      <c r="Y951" s="238"/>
      <c r="Z951" s="238"/>
    </row>
    <row r="952" spans="1:26" ht="16.5" customHeight="1">
      <c r="A952" s="238"/>
      <c r="B952" s="238"/>
      <c r="C952" s="238"/>
      <c r="D952" s="238"/>
      <c r="E952" s="238"/>
      <c r="F952" s="238"/>
      <c r="G952" s="238"/>
      <c r="H952" s="238"/>
      <c r="I952" s="238"/>
      <c r="J952" s="238"/>
      <c r="K952" s="238"/>
      <c r="L952" s="238"/>
      <c r="M952" s="238"/>
      <c r="N952" s="238"/>
      <c r="O952" s="238"/>
      <c r="P952" s="238"/>
      <c r="Q952" s="238"/>
      <c r="R952" s="238"/>
      <c r="S952" s="238"/>
      <c r="T952" s="238"/>
      <c r="U952" s="238"/>
      <c r="V952" s="238"/>
      <c r="W952" s="238"/>
      <c r="X952" s="238"/>
      <c r="Y952" s="238"/>
      <c r="Z952" s="238"/>
    </row>
    <row r="953" spans="1:26" ht="16.5" customHeight="1">
      <c r="A953" s="238"/>
      <c r="B953" s="238"/>
      <c r="C953" s="238"/>
      <c r="D953" s="238"/>
      <c r="E953" s="238"/>
      <c r="F953" s="238"/>
      <c r="G953" s="238"/>
      <c r="H953" s="238"/>
      <c r="I953" s="238"/>
      <c r="J953" s="238"/>
      <c r="K953" s="238"/>
      <c r="L953" s="238"/>
      <c r="M953" s="238"/>
      <c r="N953" s="238"/>
      <c r="O953" s="238"/>
      <c r="P953" s="238"/>
      <c r="Q953" s="238"/>
      <c r="R953" s="238"/>
      <c r="S953" s="238"/>
      <c r="T953" s="238"/>
      <c r="U953" s="238"/>
      <c r="V953" s="238"/>
      <c r="W953" s="238"/>
      <c r="X953" s="238"/>
      <c r="Y953" s="238"/>
      <c r="Z953" s="238"/>
    </row>
    <row r="954" spans="1:26" ht="16.5" customHeight="1">
      <c r="A954" s="238"/>
      <c r="B954" s="238"/>
      <c r="C954" s="238"/>
      <c r="D954" s="238"/>
      <c r="E954" s="238"/>
      <c r="F954" s="238"/>
      <c r="G954" s="238"/>
      <c r="H954" s="238"/>
      <c r="I954" s="238"/>
      <c r="J954" s="238"/>
      <c r="K954" s="238"/>
      <c r="L954" s="238"/>
      <c r="M954" s="238"/>
      <c r="N954" s="238"/>
      <c r="O954" s="238"/>
      <c r="P954" s="238"/>
      <c r="Q954" s="238"/>
      <c r="R954" s="238"/>
      <c r="S954" s="238"/>
      <c r="T954" s="238"/>
      <c r="U954" s="238"/>
      <c r="V954" s="238"/>
      <c r="W954" s="238"/>
      <c r="X954" s="238"/>
      <c r="Y954" s="238"/>
      <c r="Z954" s="238"/>
    </row>
    <row r="955" spans="1:26" ht="16.5" customHeight="1">
      <c r="A955" s="238"/>
      <c r="B955" s="238"/>
      <c r="C955" s="238"/>
      <c r="D955" s="238"/>
      <c r="E955" s="238"/>
      <c r="F955" s="238"/>
      <c r="G955" s="238"/>
      <c r="H955" s="238"/>
      <c r="I955" s="238"/>
      <c r="J955" s="238"/>
      <c r="K955" s="238"/>
      <c r="L955" s="238"/>
      <c r="M955" s="238"/>
      <c r="N955" s="238"/>
      <c r="O955" s="238"/>
      <c r="P955" s="238"/>
      <c r="Q955" s="238"/>
      <c r="R955" s="238"/>
      <c r="S955" s="238"/>
      <c r="T955" s="238"/>
      <c r="U955" s="238"/>
      <c r="V955" s="238"/>
      <c r="W955" s="238"/>
      <c r="X955" s="238"/>
      <c r="Y955" s="238"/>
      <c r="Z955" s="238"/>
    </row>
    <row r="956" spans="1:26" ht="16.5" customHeight="1">
      <c r="A956" s="238"/>
      <c r="B956" s="238"/>
      <c r="C956" s="238"/>
      <c r="D956" s="238"/>
      <c r="E956" s="238"/>
      <c r="F956" s="238"/>
      <c r="G956" s="238"/>
      <c r="H956" s="238"/>
      <c r="I956" s="238"/>
      <c r="J956" s="238"/>
      <c r="K956" s="238"/>
      <c r="L956" s="238"/>
      <c r="M956" s="238"/>
      <c r="N956" s="238"/>
      <c r="O956" s="238"/>
      <c r="P956" s="238"/>
      <c r="Q956" s="238"/>
      <c r="R956" s="238"/>
      <c r="S956" s="238"/>
      <c r="T956" s="238"/>
      <c r="U956" s="238"/>
      <c r="V956" s="238"/>
      <c r="W956" s="238"/>
      <c r="X956" s="238"/>
      <c r="Y956" s="238"/>
      <c r="Z956" s="238"/>
    </row>
    <row r="957" spans="1:26" ht="16.5" customHeight="1">
      <c r="A957" s="238"/>
      <c r="B957" s="238"/>
      <c r="C957" s="238"/>
      <c r="D957" s="238"/>
      <c r="E957" s="238"/>
      <c r="F957" s="238"/>
      <c r="G957" s="238"/>
      <c r="H957" s="238"/>
      <c r="I957" s="238"/>
      <c r="J957" s="238"/>
      <c r="K957" s="238"/>
      <c r="L957" s="238"/>
      <c r="M957" s="238"/>
      <c r="N957" s="238"/>
      <c r="O957" s="238"/>
      <c r="P957" s="238"/>
      <c r="Q957" s="238"/>
      <c r="R957" s="238"/>
      <c r="S957" s="238"/>
      <c r="T957" s="238"/>
      <c r="U957" s="238"/>
      <c r="V957" s="238"/>
      <c r="W957" s="238"/>
      <c r="X957" s="238"/>
      <c r="Y957" s="238"/>
      <c r="Z957" s="238"/>
    </row>
    <row r="958" spans="1:26" ht="16.5" customHeight="1">
      <c r="A958" s="238"/>
      <c r="B958" s="238"/>
      <c r="C958" s="238"/>
      <c r="D958" s="238"/>
      <c r="E958" s="238"/>
      <c r="F958" s="238"/>
      <c r="G958" s="238"/>
      <c r="H958" s="238"/>
      <c r="I958" s="238"/>
      <c r="J958" s="238"/>
      <c r="K958" s="238"/>
      <c r="L958" s="238"/>
      <c r="M958" s="238"/>
      <c r="N958" s="238"/>
      <c r="O958" s="238"/>
      <c r="P958" s="238"/>
      <c r="Q958" s="238"/>
      <c r="R958" s="238"/>
      <c r="S958" s="238"/>
      <c r="T958" s="238"/>
      <c r="U958" s="238"/>
      <c r="V958" s="238"/>
      <c r="W958" s="238"/>
      <c r="X958" s="238"/>
      <c r="Y958" s="238"/>
      <c r="Z958" s="238"/>
    </row>
    <row r="959" spans="1:26" ht="16.5" customHeight="1">
      <c r="A959" s="238"/>
      <c r="B959" s="238"/>
      <c r="C959" s="238"/>
      <c r="D959" s="238"/>
      <c r="E959" s="238"/>
      <c r="F959" s="238"/>
      <c r="G959" s="238"/>
      <c r="H959" s="238"/>
      <c r="I959" s="238"/>
      <c r="J959" s="238"/>
      <c r="K959" s="238"/>
      <c r="L959" s="238"/>
      <c r="M959" s="238"/>
      <c r="N959" s="238"/>
      <c r="O959" s="238"/>
      <c r="P959" s="238"/>
      <c r="Q959" s="238"/>
      <c r="R959" s="238"/>
      <c r="S959" s="238"/>
      <c r="T959" s="238"/>
      <c r="U959" s="238"/>
      <c r="V959" s="238"/>
      <c r="W959" s="238"/>
      <c r="X959" s="238"/>
      <c r="Y959" s="238"/>
      <c r="Z959" s="238"/>
    </row>
    <row r="960" spans="1:26" ht="16.5" customHeight="1">
      <c r="A960" s="238"/>
      <c r="B960" s="238"/>
      <c r="C960" s="238"/>
      <c r="D960" s="238"/>
      <c r="E960" s="238"/>
      <c r="F960" s="238"/>
      <c r="G960" s="238"/>
      <c r="H960" s="238"/>
      <c r="I960" s="238"/>
      <c r="J960" s="238"/>
      <c r="K960" s="238"/>
      <c r="L960" s="238"/>
      <c r="M960" s="238"/>
      <c r="N960" s="238"/>
      <c r="O960" s="238"/>
      <c r="P960" s="238"/>
      <c r="Q960" s="238"/>
      <c r="R960" s="238"/>
      <c r="S960" s="238"/>
      <c r="T960" s="238"/>
      <c r="U960" s="238"/>
      <c r="V960" s="238"/>
      <c r="W960" s="238"/>
      <c r="X960" s="238"/>
      <c r="Y960" s="238"/>
      <c r="Z960" s="238"/>
    </row>
    <row r="961" spans="1:26" ht="16.5" customHeight="1">
      <c r="A961" s="238"/>
      <c r="B961" s="238"/>
      <c r="C961" s="238"/>
      <c r="D961" s="238"/>
      <c r="E961" s="238"/>
      <c r="F961" s="238"/>
      <c r="G961" s="238"/>
      <c r="H961" s="238"/>
      <c r="I961" s="238"/>
      <c r="J961" s="238"/>
      <c r="K961" s="238"/>
      <c r="L961" s="238"/>
      <c r="M961" s="238"/>
      <c r="N961" s="238"/>
      <c r="O961" s="238"/>
      <c r="P961" s="238"/>
      <c r="Q961" s="238"/>
      <c r="R961" s="238"/>
      <c r="S961" s="238"/>
      <c r="T961" s="238"/>
      <c r="U961" s="238"/>
      <c r="V961" s="238"/>
      <c r="W961" s="238"/>
      <c r="X961" s="238"/>
      <c r="Y961" s="238"/>
      <c r="Z961" s="238"/>
    </row>
    <row r="962" spans="1:26" ht="16.5" customHeight="1">
      <c r="A962" s="238"/>
      <c r="B962" s="238"/>
      <c r="C962" s="238"/>
      <c r="D962" s="238"/>
      <c r="E962" s="238"/>
      <c r="F962" s="238"/>
      <c r="G962" s="238"/>
      <c r="H962" s="238"/>
      <c r="I962" s="238"/>
      <c r="J962" s="238"/>
      <c r="K962" s="238"/>
      <c r="L962" s="238"/>
      <c r="M962" s="238"/>
      <c r="N962" s="238"/>
      <c r="O962" s="238"/>
      <c r="P962" s="238"/>
      <c r="Q962" s="238"/>
      <c r="R962" s="238"/>
      <c r="S962" s="238"/>
      <c r="T962" s="238"/>
      <c r="U962" s="238"/>
      <c r="V962" s="238"/>
      <c r="W962" s="238"/>
      <c r="X962" s="238"/>
      <c r="Y962" s="238"/>
      <c r="Z962" s="238"/>
    </row>
    <row r="963" spans="1:26" ht="16.5" customHeight="1">
      <c r="A963" s="238"/>
      <c r="B963" s="238"/>
      <c r="C963" s="238"/>
      <c r="D963" s="238"/>
      <c r="E963" s="238"/>
      <c r="F963" s="238"/>
      <c r="G963" s="238"/>
      <c r="H963" s="238"/>
      <c r="I963" s="238"/>
      <c r="J963" s="238"/>
      <c r="K963" s="238"/>
      <c r="L963" s="238"/>
      <c r="M963" s="238"/>
      <c r="N963" s="238"/>
      <c r="O963" s="238"/>
      <c r="P963" s="238"/>
      <c r="Q963" s="238"/>
      <c r="R963" s="238"/>
      <c r="S963" s="238"/>
      <c r="T963" s="238"/>
      <c r="U963" s="238"/>
      <c r="V963" s="238"/>
      <c r="W963" s="238"/>
      <c r="X963" s="238"/>
      <c r="Y963" s="238"/>
      <c r="Z963" s="238"/>
    </row>
    <row r="964" spans="1:26" ht="16.5" customHeight="1">
      <c r="A964" s="238"/>
      <c r="B964" s="238"/>
      <c r="C964" s="238"/>
      <c r="D964" s="238"/>
      <c r="E964" s="238"/>
      <c r="F964" s="238"/>
      <c r="G964" s="238"/>
      <c r="H964" s="238"/>
      <c r="I964" s="238"/>
      <c r="J964" s="238"/>
      <c r="K964" s="238"/>
      <c r="L964" s="238"/>
      <c r="M964" s="238"/>
      <c r="N964" s="238"/>
      <c r="O964" s="238"/>
      <c r="P964" s="238"/>
      <c r="Q964" s="238"/>
      <c r="R964" s="238"/>
      <c r="S964" s="238"/>
      <c r="T964" s="238"/>
      <c r="U964" s="238"/>
      <c r="V964" s="238"/>
      <c r="W964" s="238"/>
      <c r="X964" s="238"/>
      <c r="Y964" s="238"/>
      <c r="Z964" s="238"/>
    </row>
    <row r="965" spans="1:26" ht="16.5" customHeight="1">
      <c r="A965" s="238"/>
      <c r="B965" s="238"/>
      <c r="C965" s="238"/>
      <c r="D965" s="238"/>
      <c r="E965" s="238"/>
      <c r="F965" s="238"/>
      <c r="G965" s="238"/>
      <c r="H965" s="238"/>
      <c r="I965" s="238"/>
      <c r="J965" s="238"/>
      <c r="K965" s="238"/>
      <c r="L965" s="238"/>
      <c r="M965" s="238"/>
      <c r="N965" s="238"/>
      <c r="O965" s="238"/>
      <c r="P965" s="238"/>
      <c r="Q965" s="238"/>
      <c r="R965" s="238"/>
      <c r="S965" s="238"/>
      <c r="T965" s="238"/>
      <c r="U965" s="238"/>
      <c r="V965" s="238"/>
      <c r="W965" s="238"/>
      <c r="X965" s="238"/>
      <c r="Y965" s="238"/>
      <c r="Z965" s="238"/>
    </row>
    <row r="966" spans="1:26" ht="16.5" customHeight="1">
      <c r="A966" s="238"/>
      <c r="B966" s="238"/>
      <c r="C966" s="238"/>
      <c r="D966" s="238"/>
      <c r="E966" s="238"/>
      <c r="F966" s="238"/>
      <c r="G966" s="238"/>
      <c r="H966" s="238"/>
      <c r="I966" s="238"/>
      <c r="J966" s="238"/>
      <c r="K966" s="238"/>
      <c r="L966" s="238"/>
      <c r="M966" s="238"/>
      <c r="N966" s="238"/>
      <c r="O966" s="238"/>
      <c r="P966" s="238"/>
      <c r="Q966" s="238"/>
      <c r="R966" s="238"/>
      <c r="S966" s="238"/>
      <c r="T966" s="238"/>
      <c r="U966" s="238"/>
      <c r="V966" s="238"/>
      <c r="W966" s="238"/>
      <c r="X966" s="238"/>
      <c r="Y966" s="238"/>
      <c r="Z966" s="238"/>
    </row>
    <row r="967" spans="1:26" ht="16.5" customHeight="1">
      <c r="A967" s="238"/>
      <c r="B967" s="238"/>
      <c r="C967" s="238"/>
      <c r="D967" s="238"/>
      <c r="E967" s="238"/>
      <c r="F967" s="238"/>
      <c r="G967" s="238"/>
      <c r="H967" s="238"/>
      <c r="I967" s="238"/>
      <c r="J967" s="238"/>
      <c r="K967" s="238"/>
      <c r="L967" s="238"/>
      <c r="M967" s="238"/>
      <c r="N967" s="238"/>
      <c r="O967" s="238"/>
      <c r="P967" s="238"/>
      <c r="Q967" s="238"/>
      <c r="R967" s="238"/>
      <c r="S967" s="238"/>
      <c r="T967" s="238"/>
      <c r="U967" s="238"/>
      <c r="V967" s="238"/>
      <c r="W967" s="238"/>
      <c r="X967" s="238"/>
      <c r="Y967" s="238"/>
      <c r="Z967" s="238"/>
    </row>
    <row r="968" spans="1:26" ht="16.5" customHeight="1">
      <c r="A968" s="238"/>
      <c r="B968" s="238"/>
      <c r="C968" s="238"/>
      <c r="D968" s="238"/>
      <c r="E968" s="238"/>
      <c r="F968" s="238"/>
      <c r="G968" s="238"/>
      <c r="H968" s="238"/>
      <c r="I968" s="238"/>
      <c r="J968" s="238"/>
      <c r="K968" s="238"/>
      <c r="L968" s="238"/>
      <c r="M968" s="238"/>
      <c r="N968" s="238"/>
      <c r="O968" s="238"/>
      <c r="P968" s="238"/>
      <c r="Q968" s="238"/>
      <c r="R968" s="238"/>
      <c r="S968" s="238"/>
      <c r="T968" s="238"/>
      <c r="U968" s="238"/>
      <c r="V968" s="238"/>
      <c r="W968" s="238"/>
      <c r="X968" s="238"/>
      <c r="Y968" s="238"/>
      <c r="Z968" s="238"/>
    </row>
    <row r="969" spans="1:26" ht="16.5" customHeight="1">
      <c r="A969" s="238"/>
      <c r="B969" s="238"/>
      <c r="C969" s="238"/>
      <c r="D969" s="238"/>
      <c r="E969" s="238"/>
      <c r="F969" s="238"/>
      <c r="G969" s="238"/>
      <c r="H969" s="238"/>
      <c r="I969" s="238"/>
      <c r="J969" s="238"/>
      <c r="K969" s="238"/>
      <c r="L969" s="238"/>
      <c r="M969" s="238"/>
      <c r="N969" s="238"/>
      <c r="O969" s="238"/>
      <c r="P969" s="238"/>
      <c r="Q969" s="238"/>
      <c r="R969" s="238"/>
      <c r="S969" s="238"/>
      <c r="T969" s="238"/>
      <c r="U969" s="238"/>
      <c r="V969" s="238"/>
      <c r="W969" s="238"/>
      <c r="X969" s="238"/>
      <c r="Y969" s="238"/>
      <c r="Z969" s="238"/>
    </row>
    <row r="970" spans="1:26" ht="16.5" customHeight="1">
      <c r="A970" s="238"/>
      <c r="B970" s="238"/>
      <c r="C970" s="238"/>
      <c r="D970" s="238"/>
      <c r="E970" s="238"/>
      <c r="F970" s="238"/>
      <c r="G970" s="238"/>
      <c r="H970" s="238"/>
      <c r="I970" s="238"/>
      <c r="J970" s="238"/>
      <c r="K970" s="238"/>
      <c r="L970" s="238"/>
      <c r="M970" s="238"/>
      <c r="N970" s="238"/>
      <c r="O970" s="238"/>
      <c r="P970" s="238"/>
      <c r="Q970" s="238"/>
      <c r="R970" s="238"/>
      <c r="S970" s="238"/>
      <c r="T970" s="238"/>
      <c r="U970" s="238"/>
      <c r="V970" s="238"/>
      <c r="W970" s="238"/>
      <c r="X970" s="238"/>
      <c r="Y970" s="238"/>
      <c r="Z970" s="238"/>
    </row>
    <row r="971" spans="1:26" ht="16.5" customHeight="1">
      <c r="A971" s="238"/>
      <c r="B971" s="238"/>
      <c r="C971" s="238"/>
      <c r="D971" s="238"/>
      <c r="E971" s="238"/>
      <c r="F971" s="238"/>
      <c r="G971" s="238"/>
      <c r="H971" s="238"/>
      <c r="I971" s="238"/>
      <c r="J971" s="238"/>
      <c r="K971" s="238"/>
      <c r="L971" s="238"/>
      <c r="M971" s="238"/>
      <c r="N971" s="238"/>
      <c r="O971" s="238"/>
      <c r="P971" s="238"/>
      <c r="Q971" s="238"/>
      <c r="R971" s="238"/>
      <c r="S971" s="238"/>
      <c r="T971" s="238"/>
      <c r="U971" s="238"/>
      <c r="V971" s="238"/>
      <c r="W971" s="238"/>
      <c r="X971" s="238"/>
      <c r="Y971" s="238"/>
      <c r="Z971" s="238"/>
    </row>
    <row r="972" spans="1:26" ht="16.5" customHeight="1">
      <c r="A972" s="238"/>
      <c r="B972" s="238"/>
      <c r="C972" s="238"/>
      <c r="D972" s="238"/>
      <c r="E972" s="238"/>
      <c r="F972" s="238"/>
      <c r="G972" s="238"/>
      <c r="H972" s="238"/>
      <c r="I972" s="238"/>
      <c r="J972" s="238"/>
      <c r="K972" s="238"/>
      <c r="L972" s="238"/>
      <c r="M972" s="238"/>
      <c r="N972" s="238"/>
      <c r="O972" s="238"/>
      <c r="P972" s="238"/>
      <c r="Q972" s="238"/>
      <c r="R972" s="238"/>
      <c r="S972" s="238"/>
      <c r="T972" s="238"/>
      <c r="U972" s="238"/>
      <c r="V972" s="238"/>
      <c r="W972" s="238"/>
      <c r="X972" s="238"/>
      <c r="Y972" s="238"/>
      <c r="Z972" s="238"/>
    </row>
    <row r="973" spans="1:26" ht="16.5" customHeight="1">
      <c r="A973" s="238"/>
      <c r="B973" s="238"/>
      <c r="C973" s="238"/>
      <c r="D973" s="238"/>
      <c r="E973" s="238"/>
      <c r="F973" s="238"/>
      <c r="G973" s="238"/>
      <c r="H973" s="238"/>
      <c r="I973" s="238"/>
      <c r="J973" s="238"/>
      <c r="K973" s="238"/>
      <c r="L973" s="238"/>
      <c r="M973" s="238"/>
      <c r="N973" s="238"/>
      <c r="O973" s="238"/>
      <c r="P973" s="238"/>
      <c r="Q973" s="238"/>
      <c r="R973" s="238"/>
      <c r="S973" s="238"/>
      <c r="T973" s="238"/>
      <c r="U973" s="238"/>
      <c r="V973" s="238"/>
      <c r="W973" s="238"/>
      <c r="X973" s="238"/>
      <c r="Y973" s="238"/>
      <c r="Z973" s="238"/>
    </row>
    <row r="974" spans="1:26" ht="16.5" customHeight="1">
      <c r="A974" s="238"/>
      <c r="B974" s="238"/>
      <c r="C974" s="238"/>
      <c r="D974" s="238"/>
      <c r="E974" s="238"/>
      <c r="F974" s="238"/>
      <c r="G974" s="238"/>
      <c r="H974" s="238"/>
      <c r="I974" s="238"/>
      <c r="J974" s="238"/>
      <c r="K974" s="238"/>
      <c r="L974" s="238"/>
      <c r="M974" s="238"/>
      <c r="N974" s="238"/>
      <c r="O974" s="238"/>
      <c r="P974" s="238"/>
      <c r="Q974" s="238"/>
      <c r="R974" s="238"/>
      <c r="S974" s="238"/>
      <c r="T974" s="238"/>
      <c r="U974" s="238"/>
      <c r="V974" s="238"/>
      <c r="W974" s="238"/>
      <c r="X974" s="238"/>
      <c r="Y974" s="238"/>
      <c r="Z974" s="238"/>
    </row>
    <row r="975" spans="1:26" ht="16.5" customHeight="1">
      <c r="A975" s="238"/>
      <c r="B975" s="238"/>
      <c r="C975" s="238"/>
      <c r="D975" s="238"/>
      <c r="E975" s="238"/>
      <c r="F975" s="238"/>
      <c r="G975" s="238"/>
      <c r="H975" s="238"/>
      <c r="I975" s="238"/>
      <c r="J975" s="238"/>
      <c r="K975" s="238"/>
      <c r="L975" s="238"/>
      <c r="M975" s="238"/>
      <c r="N975" s="238"/>
      <c r="O975" s="238"/>
      <c r="P975" s="238"/>
      <c r="Q975" s="238"/>
      <c r="R975" s="238"/>
      <c r="S975" s="238"/>
      <c r="T975" s="238"/>
      <c r="U975" s="238"/>
      <c r="V975" s="238"/>
      <c r="W975" s="238"/>
      <c r="X975" s="238"/>
      <c r="Y975" s="238"/>
      <c r="Z975" s="238"/>
    </row>
    <row r="976" spans="1:26" ht="16.5" customHeight="1">
      <c r="A976" s="238"/>
      <c r="B976" s="238"/>
      <c r="C976" s="238"/>
      <c r="D976" s="238"/>
      <c r="E976" s="238"/>
      <c r="F976" s="238"/>
      <c r="G976" s="238"/>
      <c r="H976" s="238"/>
      <c r="I976" s="238"/>
      <c r="J976" s="238"/>
      <c r="K976" s="238"/>
      <c r="L976" s="238"/>
      <c r="M976" s="238"/>
      <c r="N976" s="238"/>
      <c r="O976" s="238"/>
      <c r="P976" s="238"/>
      <c r="Q976" s="238"/>
      <c r="R976" s="238"/>
      <c r="S976" s="238"/>
      <c r="T976" s="238"/>
      <c r="U976" s="238"/>
      <c r="V976" s="238"/>
      <c r="W976" s="238"/>
      <c r="X976" s="238"/>
      <c r="Y976" s="238"/>
      <c r="Z976" s="238"/>
    </row>
    <row r="977" spans="1:26" ht="16.5" customHeight="1">
      <c r="A977" s="238"/>
      <c r="B977" s="238"/>
      <c r="C977" s="238"/>
      <c r="D977" s="238"/>
      <c r="E977" s="238"/>
      <c r="F977" s="238"/>
      <c r="G977" s="238"/>
      <c r="H977" s="238"/>
      <c r="I977" s="238"/>
      <c r="J977" s="238"/>
      <c r="K977" s="238"/>
      <c r="L977" s="238"/>
      <c r="M977" s="238"/>
      <c r="N977" s="238"/>
      <c r="O977" s="238"/>
      <c r="P977" s="238"/>
      <c r="Q977" s="238"/>
      <c r="R977" s="238"/>
      <c r="S977" s="238"/>
      <c r="T977" s="238"/>
      <c r="U977" s="238"/>
      <c r="V977" s="238"/>
      <c r="W977" s="238"/>
      <c r="X977" s="238"/>
      <c r="Y977" s="238"/>
      <c r="Z977" s="238"/>
    </row>
    <row r="978" spans="1:26" ht="16.5" customHeight="1">
      <c r="A978" s="238"/>
      <c r="B978" s="238"/>
      <c r="C978" s="238"/>
      <c r="D978" s="238"/>
      <c r="E978" s="238"/>
      <c r="F978" s="238"/>
      <c r="G978" s="238"/>
      <c r="H978" s="238"/>
      <c r="I978" s="238"/>
      <c r="J978" s="238"/>
      <c r="K978" s="238"/>
      <c r="L978" s="238"/>
      <c r="M978" s="238"/>
      <c r="N978" s="238"/>
      <c r="O978" s="238"/>
      <c r="P978" s="238"/>
      <c r="Q978" s="238"/>
      <c r="R978" s="238"/>
      <c r="S978" s="238"/>
      <c r="T978" s="238"/>
      <c r="U978" s="238"/>
      <c r="V978" s="238"/>
      <c r="W978" s="238"/>
      <c r="X978" s="238"/>
      <c r="Y978" s="238"/>
      <c r="Z978" s="238"/>
    </row>
    <row r="979" spans="1:26" ht="16.5" customHeight="1">
      <c r="A979" s="238"/>
      <c r="B979" s="238"/>
      <c r="C979" s="238"/>
      <c r="D979" s="238"/>
      <c r="E979" s="238"/>
      <c r="F979" s="238"/>
      <c r="G979" s="238"/>
      <c r="H979" s="238"/>
      <c r="I979" s="238"/>
      <c r="J979" s="238"/>
      <c r="K979" s="238"/>
      <c r="L979" s="238"/>
      <c r="M979" s="238"/>
      <c r="N979" s="238"/>
      <c r="O979" s="238"/>
      <c r="P979" s="238"/>
      <c r="Q979" s="238"/>
      <c r="R979" s="238"/>
      <c r="S979" s="238"/>
      <c r="T979" s="238"/>
      <c r="U979" s="238"/>
      <c r="V979" s="238"/>
      <c r="W979" s="238"/>
      <c r="X979" s="238"/>
      <c r="Y979" s="238"/>
      <c r="Z979" s="238"/>
    </row>
    <row r="980" spans="1:26" ht="16.5" customHeight="1">
      <c r="A980" s="238"/>
      <c r="B980" s="238"/>
      <c r="C980" s="238"/>
      <c r="D980" s="238"/>
      <c r="E980" s="238"/>
      <c r="F980" s="238"/>
      <c r="G980" s="238"/>
      <c r="H980" s="238"/>
      <c r="I980" s="238"/>
      <c r="J980" s="238"/>
      <c r="K980" s="238"/>
      <c r="L980" s="238"/>
      <c r="M980" s="238"/>
      <c r="N980" s="238"/>
      <c r="O980" s="238"/>
      <c r="P980" s="238"/>
      <c r="Q980" s="238"/>
      <c r="R980" s="238"/>
      <c r="S980" s="238"/>
      <c r="T980" s="238"/>
      <c r="U980" s="238"/>
      <c r="V980" s="238"/>
      <c r="W980" s="238"/>
      <c r="X980" s="238"/>
      <c r="Y980" s="238"/>
      <c r="Z980" s="238"/>
    </row>
    <row r="981" spans="1:26" ht="16.5" customHeight="1">
      <c r="A981" s="238"/>
      <c r="B981" s="238"/>
      <c r="C981" s="238"/>
      <c r="D981" s="238"/>
      <c r="E981" s="238"/>
      <c r="F981" s="238"/>
      <c r="G981" s="238"/>
      <c r="H981" s="238"/>
      <c r="I981" s="238"/>
      <c r="J981" s="238"/>
      <c r="K981" s="238"/>
      <c r="L981" s="238"/>
      <c r="M981" s="238"/>
      <c r="N981" s="238"/>
      <c r="O981" s="238"/>
      <c r="P981" s="238"/>
      <c r="Q981" s="238"/>
      <c r="R981" s="238"/>
      <c r="S981" s="238"/>
      <c r="T981" s="238"/>
      <c r="U981" s="238"/>
      <c r="V981" s="238"/>
      <c r="W981" s="238"/>
      <c r="X981" s="238"/>
      <c r="Y981" s="238"/>
      <c r="Z981" s="238"/>
    </row>
    <row r="982" spans="1:26" ht="16.5" customHeight="1">
      <c r="A982" s="238"/>
      <c r="B982" s="238"/>
      <c r="C982" s="238"/>
      <c r="D982" s="238"/>
      <c r="E982" s="238"/>
      <c r="F982" s="238"/>
      <c r="G982" s="238"/>
      <c r="H982" s="238"/>
      <c r="I982" s="238"/>
      <c r="J982" s="238"/>
      <c r="K982" s="238"/>
      <c r="L982" s="238"/>
      <c r="M982" s="238"/>
      <c r="N982" s="238"/>
      <c r="O982" s="238"/>
      <c r="P982" s="238"/>
      <c r="Q982" s="238"/>
      <c r="R982" s="238"/>
      <c r="S982" s="238"/>
      <c r="T982" s="238"/>
      <c r="U982" s="238"/>
      <c r="V982" s="238"/>
      <c r="W982" s="238"/>
      <c r="X982" s="238"/>
      <c r="Y982" s="238"/>
      <c r="Z982" s="238"/>
    </row>
    <row r="983" spans="1:26" ht="16.5" customHeight="1">
      <c r="A983" s="238"/>
      <c r="B983" s="238"/>
      <c r="C983" s="238"/>
      <c r="D983" s="238"/>
      <c r="E983" s="238"/>
      <c r="F983" s="238"/>
      <c r="G983" s="238"/>
      <c r="H983" s="238"/>
      <c r="I983" s="238"/>
      <c r="J983" s="238"/>
      <c r="K983" s="238"/>
      <c r="L983" s="238"/>
      <c r="M983" s="238"/>
      <c r="N983" s="238"/>
      <c r="O983" s="238"/>
      <c r="P983" s="238"/>
      <c r="Q983" s="238"/>
      <c r="R983" s="238"/>
      <c r="S983" s="238"/>
      <c r="T983" s="238"/>
      <c r="U983" s="238"/>
      <c r="V983" s="238"/>
      <c r="W983" s="238"/>
      <c r="X983" s="238"/>
      <c r="Y983" s="238"/>
      <c r="Z983" s="238"/>
    </row>
    <row r="984" spans="1:26" ht="16.5" customHeight="1">
      <c r="A984" s="238"/>
      <c r="B984" s="238"/>
      <c r="C984" s="238"/>
      <c r="D984" s="238"/>
      <c r="E984" s="238"/>
      <c r="F984" s="238"/>
      <c r="G984" s="238"/>
      <c r="H984" s="238"/>
      <c r="I984" s="238"/>
      <c r="J984" s="238"/>
      <c r="K984" s="238"/>
      <c r="L984" s="238"/>
      <c r="M984" s="238"/>
      <c r="N984" s="238"/>
      <c r="O984" s="238"/>
      <c r="P984" s="238"/>
      <c r="Q984" s="238"/>
      <c r="R984" s="238"/>
      <c r="S984" s="238"/>
      <c r="T984" s="238"/>
      <c r="U984" s="238"/>
      <c r="V984" s="238"/>
      <c r="W984" s="238"/>
      <c r="X984" s="238"/>
      <c r="Y984" s="238"/>
      <c r="Z984" s="238"/>
    </row>
    <row r="985" spans="1:26" ht="16.5" customHeight="1">
      <c r="A985" s="238"/>
      <c r="B985" s="238"/>
      <c r="C985" s="238"/>
      <c r="D985" s="238"/>
      <c r="E985" s="238"/>
      <c r="F985" s="238"/>
      <c r="G985" s="238"/>
      <c r="H985" s="238"/>
      <c r="I985" s="238"/>
      <c r="J985" s="238"/>
      <c r="K985" s="238"/>
      <c r="L985" s="238"/>
      <c r="M985" s="238"/>
      <c r="N985" s="238"/>
      <c r="O985" s="238"/>
      <c r="P985" s="238"/>
      <c r="Q985" s="238"/>
      <c r="R985" s="238"/>
      <c r="S985" s="238"/>
      <c r="T985" s="238"/>
      <c r="U985" s="238"/>
      <c r="V985" s="238"/>
      <c r="W985" s="238"/>
      <c r="X985" s="238"/>
      <c r="Y985" s="238"/>
      <c r="Z985" s="238"/>
    </row>
    <row r="986" spans="1:26" ht="16.5" customHeight="1">
      <c r="A986" s="238"/>
      <c r="B986" s="238"/>
      <c r="C986" s="238"/>
      <c r="D986" s="238"/>
      <c r="E986" s="238"/>
      <c r="F986" s="238"/>
      <c r="G986" s="238"/>
      <c r="H986" s="238"/>
      <c r="I986" s="238"/>
      <c r="J986" s="238"/>
      <c r="K986" s="238"/>
      <c r="L986" s="238"/>
      <c r="M986" s="238"/>
      <c r="N986" s="238"/>
      <c r="O986" s="238"/>
      <c r="P986" s="238"/>
      <c r="Q986" s="238"/>
      <c r="R986" s="238"/>
      <c r="S986" s="238"/>
      <c r="T986" s="238"/>
      <c r="U986" s="238"/>
      <c r="V986" s="238"/>
      <c r="W986" s="238"/>
      <c r="X986" s="238"/>
      <c r="Y986" s="238"/>
      <c r="Z986" s="238"/>
    </row>
    <row r="987" spans="1:26" ht="16.5" customHeight="1">
      <c r="A987" s="238"/>
      <c r="B987" s="238"/>
      <c r="C987" s="238"/>
      <c r="D987" s="238"/>
      <c r="E987" s="238"/>
      <c r="F987" s="238"/>
      <c r="G987" s="238"/>
      <c r="H987" s="238"/>
      <c r="I987" s="238"/>
      <c r="J987" s="238"/>
      <c r="K987" s="238"/>
      <c r="L987" s="238"/>
      <c r="M987" s="238"/>
      <c r="N987" s="238"/>
      <c r="O987" s="238"/>
      <c r="P987" s="238"/>
      <c r="Q987" s="238"/>
      <c r="R987" s="238"/>
      <c r="S987" s="238"/>
      <c r="T987" s="238"/>
      <c r="U987" s="238"/>
      <c r="V987" s="238"/>
      <c r="W987" s="238"/>
      <c r="X987" s="238"/>
      <c r="Y987" s="238"/>
      <c r="Z987" s="238"/>
    </row>
    <row r="988" spans="1:26" ht="16.5" customHeight="1">
      <c r="A988" s="238"/>
      <c r="B988" s="238"/>
      <c r="C988" s="238"/>
      <c r="D988" s="238"/>
      <c r="E988" s="238"/>
      <c r="F988" s="238"/>
      <c r="G988" s="238"/>
      <c r="H988" s="238"/>
      <c r="I988" s="238"/>
      <c r="J988" s="238"/>
      <c r="K988" s="238"/>
      <c r="L988" s="238"/>
      <c r="M988" s="238"/>
      <c r="N988" s="238"/>
      <c r="O988" s="238"/>
      <c r="P988" s="238"/>
      <c r="Q988" s="238"/>
      <c r="R988" s="238"/>
      <c r="S988" s="238"/>
      <c r="T988" s="238"/>
      <c r="U988" s="238"/>
      <c r="V988" s="238"/>
      <c r="W988" s="238"/>
      <c r="X988" s="238"/>
      <c r="Y988" s="238"/>
      <c r="Z988" s="238"/>
    </row>
    <row r="989" spans="1:26" ht="16.5" customHeight="1">
      <c r="A989" s="238"/>
      <c r="B989" s="238"/>
      <c r="C989" s="238"/>
      <c r="D989" s="238"/>
      <c r="E989" s="238"/>
      <c r="F989" s="238"/>
      <c r="G989" s="238"/>
      <c r="H989" s="238"/>
      <c r="I989" s="238"/>
      <c r="J989" s="238"/>
      <c r="K989" s="238"/>
      <c r="L989" s="238"/>
      <c r="M989" s="238"/>
      <c r="N989" s="238"/>
      <c r="O989" s="238"/>
      <c r="P989" s="238"/>
      <c r="Q989" s="238"/>
      <c r="R989" s="238"/>
      <c r="S989" s="238"/>
      <c r="T989" s="238"/>
      <c r="U989" s="238"/>
      <c r="V989" s="238"/>
      <c r="W989" s="238"/>
      <c r="X989" s="238"/>
      <c r="Y989" s="238"/>
      <c r="Z989" s="238"/>
    </row>
    <row r="990" spans="1:26" ht="16.5" customHeight="1">
      <c r="A990" s="238"/>
      <c r="B990" s="238"/>
      <c r="C990" s="238"/>
      <c r="D990" s="238"/>
      <c r="E990" s="238"/>
      <c r="F990" s="238"/>
      <c r="G990" s="238"/>
      <c r="H990" s="238"/>
      <c r="I990" s="238"/>
      <c r="J990" s="238"/>
      <c r="K990" s="238"/>
      <c r="L990" s="238"/>
      <c r="M990" s="238"/>
      <c r="N990" s="238"/>
      <c r="O990" s="238"/>
      <c r="P990" s="238"/>
      <c r="Q990" s="238"/>
      <c r="R990" s="238"/>
      <c r="S990" s="238"/>
      <c r="T990" s="238"/>
      <c r="U990" s="238"/>
      <c r="V990" s="238"/>
      <c r="W990" s="238"/>
      <c r="X990" s="238"/>
      <c r="Y990" s="238"/>
      <c r="Z990" s="238"/>
    </row>
    <row r="991" spans="1:26" ht="16.5" customHeight="1">
      <c r="A991" s="238"/>
      <c r="B991" s="238"/>
      <c r="C991" s="238"/>
      <c r="D991" s="238"/>
      <c r="E991" s="238"/>
      <c r="F991" s="238"/>
      <c r="G991" s="238"/>
      <c r="H991" s="238"/>
      <c r="I991" s="238"/>
      <c r="J991" s="238"/>
      <c r="K991" s="238"/>
      <c r="L991" s="238"/>
      <c r="M991" s="238"/>
      <c r="N991" s="238"/>
      <c r="O991" s="238"/>
      <c r="P991" s="238"/>
      <c r="Q991" s="238"/>
      <c r="R991" s="238"/>
      <c r="S991" s="238"/>
      <c r="T991" s="238"/>
      <c r="U991" s="238"/>
      <c r="V991" s="238"/>
      <c r="W991" s="238"/>
      <c r="X991" s="238"/>
      <c r="Y991" s="238"/>
      <c r="Z991" s="238"/>
    </row>
    <row r="992" spans="1:26" ht="16.5" customHeight="1">
      <c r="A992" s="238"/>
      <c r="B992" s="238"/>
      <c r="C992" s="238"/>
      <c r="D992" s="238"/>
      <c r="E992" s="238"/>
      <c r="F992" s="238"/>
      <c r="G992" s="238"/>
      <c r="H992" s="238"/>
      <c r="I992" s="238"/>
      <c r="J992" s="238"/>
      <c r="K992" s="238"/>
      <c r="L992" s="238"/>
      <c r="M992" s="238"/>
      <c r="N992" s="238"/>
      <c r="O992" s="238"/>
      <c r="P992" s="238"/>
      <c r="Q992" s="238"/>
      <c r="R992" s="238"/>
      <c r="S992" s="238"/>
      <c r="T992" s="238"/>
      <c r="U992" s="238"/>
      <c r="V992" s="238"/>
      <c r="W992" s="238"/>
      <c r="X992" s="238"/>
      <c r="Y992" s="238"/>
      <c r="Z992" s="238"/>
    </row>
    <row r="993" spans="1:26" ht="16.5" customHeight="1">
      <c r="A993" s="238"/>
      <c r="B993" s="238"/>
      <c r="C993" s="238"/>
      <c r="D993" s="238"/>
      <c r="E993" s="238"/>
      <c r="F993" s="238"/>
      <c r="G993" s="238"/>
      <c r="H993" s="238"/>
      <c r="I993" s="238"/>
      <c r="J993" s="238"/>
      <c r="K993" s="238"/>
      <c r="L993" s="238"/>
      <c r="M993" s="238"/>
      <c r="N993" s="238"/>
      <c r="O993" s="238"/>
      <c r="P993" s="238"/>
      <c r="Q993" s="238"/>
      <c r="R993" s="238"/>
      <c r="S993" s="238"/>
      <c r="T993" s="238"/>
      <c r="U993" s="238"/>
      <c r="V993" s="238"/>
      <c r="W993" s="238"/>
      <c r="X993" s="238"/>
      <c r="Y993" s="238"/>
      <c r="Z993" s="238"/>
    </row>
    <row r="994" spans="1:26" ht="16.5" customHeight="1">
      <c r="A994" s="238"/>
      <c r="B994" s="238"/>
      <c r="C994" s="238"/>
      <c r="D994" s="238"/>
      <c r="E994" s="238"/>
      <c r="F994" s="238"/>
      <c r="G994" s="238"/>
      <c r="H994" s="238"/>
      <c r="I994" s="238"/>
      <c r="J994" s="238"/>
      <c r="K994" s="238"/>
      <c r="L994" s="238"/>
      <c r="M994" s="238"/>
      <c r="N994" s="238"/>
      <c r="O994" s="238"/>
      <c r="P994" s="238"/>
      <c r="Q994" s="238"/>
      <c r="R994" s="238"/>
      <c r="S994" s="238"/>
      <c r="T994" s="238"/>
      <c r="U994" s="238"/>
      <c r="V994" s="238"/>
      <c r="W994" s="238"/>
      <c r="X994" s="238"/>
      <c r="Y994" s="238"/>
      <c r="Z994" s="238"/>
    </row>
    <row r="995" spans="1:26" ht="16.5" customHeight="1">
      <c r="A995" s="238"/>
      <c r="B995" s="238"/>
      <c r="C995" s="238"/>
      <c r="D995" s="238"/>
      <c r="E995" s="238"/>
      <c r="F995" s="238"/>
      <c r="G995" s="238"/>
      <c r="H995" s="238"/>
      <c r="I995" s="238"/>
      <c r="J995" s="238"/>
      <c r="K995" s="238"/>
      <c r="L995" s="238"/>
      <c r="M995" s="238"/>
      <c r="N995" s="238"/>
      <c r="O995" s="238"/>
      <c r="P995" s="238"/>
      <c r="Q995" s="238"/>
      <c r="R995" s="238"/>
      <c r="S995" s="238"/>
      <c r="T995" s="238"/>
      <c r="U995" s="238"/>
      <c r="V995" s="238"/>
      <c r="W995" s="238"/>
      <c r="X995" s="238"/>
      <c r="Y995" s="238"/>
      <c r="Z995" s="238"/>
    </row>
    <row r="996" spans="1:26" ht="16.5" customHeight="1">
      <c r="A996" s="238"/>
      <c r="B996" s="238"/>
      <c r="C996" s="238"/>
      <c r="D996" s="238"/>
      <c r="E996" s="238"/>
      <c r="F996" s="238"/>
      <c r="G996" s="238"/>
      <c r="H996" s="238"/>
      <c r="I996" s="238"/>
      <c r="J996" s="238"/>
      <c r="K996" s="238"/>
      <c r="L996" s="238"/>
      <c r="M996" s="238"/>
      <c r="N996" s="238"/>
      <c r="O996" s="238"/>
      <c r="P996" s="238"/>
      <c r="Q996" s="238"/>
      <c r="R996" s="238"/>
      <c r="S996" s="238"/>
      <c r="T996" s="238"/>
      <c r="U996" s="238"/>
      <c r="V996" s="238"/>
      <c r="W996" s="238"/>
      <c r="X996" s="238"/>
      <c r="Y996" s="238"/>
      <c r="Z996" s="238"/>
    </row>
    <row r="997" spans="1:26" ht="16.5" customHeight="1">
      <c r="A997" s="238"/>
      <c r="B997" s="238"/>
      <c r="C997" s="238"/>
      <c r="D997" s="238"/>
      <c r="E997" s="238"/>
      <c r="F997" s="238"/>
      <c r="G997" s="238"/>
      <c r="H997" s="238"/>
      <c r="I997" s="238"/>
      <c r="J997" s="238"/>
      <c r="K997" s="238"/>
      <c r="L997" s="238"/>
      <c r="M997" s="238"/>
      <c r="N997" s="238"/>
      <c r="O997" s="238"/>
      <c r="P997" s="238"/>
      <c r="Q997" s="238"/>
      <c r="R997" s="238"/>
      <c r="S997" s="238"/>
      <c r="T997" s="238"/>
      <c r="U997" s="238"/>
      <c r="V997" s="238"/>
      <c r="W997" s="238"/>
      <c r="X997" s="238"/>
      <c r="Y997" s="238"/>
      <c r="Z997" s="238"/>
    </row>
    <row r="998" spans="1:26" ht="16.5" customHeight="1">
      <c r="A998" s="238"/>
      <c r="B998" s="238"/>
      <c r="C998" s="238"/>
      <c r="D998" s="238"/>
      <c r="E998" s="238"/>
      <c r="F998" s="238"/>
      <c r="G998" s="238"/>
      <c r="H998" s="238"/>
      <c r="I998" s="238"/>
      <c r="J998" s="238"/>
      <c r="K998" s="238"/>
      <c r="L998" s="238"/>
      <c r="M998" s="238"/>
      <c r="N998" s="238"/>
      <c r="O998" s="238"/>
      <c r="P998" s="238"/>
      <c r="Q998" s="238"/>
      <c r="R998" s="238"/>
      <c r="S998" s="238"/>
      <c r="T998" s="238"/>
      <c r="U998" s="238"/>
      <c r="V998" s="238"/>
      <c r="W998" s="238"/>
      <c r="X998" s="238"/>
      <c r="Y998" s="238"/>
      <c r="Z998" s="238"/>
    </row>
    <row r="999" spans="1:26" ht="16.5" customHeight="1">
      <c r="A999" s="238"/>
      <c r="B999" s="238"/>
      <c r="C999" s="238"/>
      <c r="D999" s="238"/>
      <c r="E999" s="238"/>
      <c r="F999" s="238"/>
      <c r="G999" s="238"/>
      <c r="H999" s="238"/>
      <c r="I999" s="238"/>
      <c r="J999" s="238"/>
      <c r="K999" s="238"/>
      <c r="L999" s="238"/>
      <c r="M999" s="238"/>
      <c r="N999" s="238"/>
      <c r="O999" s="238"/>
      <c r="P999" s="238"/>
      <c r="Q999" s="238"/>
      <c r="R999" s="238"/>
      <c r="S999" s="238"/>
      <c r="T999" s="238"/>
      <c r="U999" s="238"/>
      <c r="V999" s="238"/>
      <c r="W999" s="238"/>
      <c r="X999" s="238"/>
      <c r="Y999" s="238"/>
      <c r="Z999" s="238"/>
    </row>
    <row r="1000" spans="1:26" ht="16.5" customHeight="1">
      <c r="A1000" s="238"/>
      <c r="B1000" s="238"/>
      <c r="C1000" s="238"/>
      <c r="D1000" s="238"/>
      <c r="E1000" s="238"/>
      <c r="F1000" s="238"/>
      <c r="G1000" s="238"/>
      <c r="H1000" s="238"/>
      <c r="I1000" s="238"/>
      <c r="J1000" s="238"/>
      <c r="K1000" s="238"/>
      <c r="L1000" s="238"/>
      <c r="M1000" s="238"/>
      <c r="N1000" s="238"/>
      <c r="O1000" s="238"/>
      <c r="P1000" s="238"/>
      <c r="Q1000" s="238"/>
      <c r="R1000" s="238"/>
      <c r="S1000" s="238"/>
      <c r="T1000" s="238"/>
      <c r="U1000" s="238"/>
      <c r="V1000" s="238"/>
      <c r="W1000" s="238"/>
      <c r="X1000" s="238"/>
      <c r="Y1000" s="238"/>
      <c r="Z1000" s="238"/>
    </row>
  </sheetData>
  <mergeCells count="1">
    <mergeCell ref="A1:U1"/>
  </mergeCells>
  <phoneticPr fontId="50" type="noConversion"/>
  <pageMargins left="0.7" right="0.7" top="0.75" bottom="0.75" header="0" footer="0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1.28515625" defaultRowHeight="15" customHeight="1" x14ac:dyDescent="0"/>
  <cols>
    <col min="1" max="1" width="4.7109375" customWidth="1"/>
    <col min="2" max="2" width="9.42578125" customWidth="1"/>
    <col min="3" max="3" width="8.85546875" customWidth="1"/>
    <col min="4" max="5" width="10.85546875" customWidth="1"/>
    <col min="6" max="6" width="17.85546875" customWidth="1"/>
    <col min="7" max="7" width="15.140625" customWidth="1"/>
    <col min="8" max="9" width="17.85546875" customWidth="1"/>
    <col min="10" max="10" width="17.85546875" hidden="1" customWidth="1"/>
    <col min="11" max="13" width="17.85546875" customWidth="1"/>
    <col min="14" max="14" width="14.5703125" customWidth="1"/>
    <col min="15" max="15" width="19.5703125" customWidth="1"/>
    <col min="16" max="16" width="14.85546875" customWidth="1"/>
    <col min="17" max="17" width="29.28515625" customWidth="1"/>
    <col min="18" max="18" width="7" customWidth="1"/>
    <col min="19" max="19" width="18.85546875" customWidth="1"/>
    <col min="20" max="20" width="4.7109375" customWidth="1"/>
    <col min="21" max="26" width="17.85546875" hidden="1" customWidth="1"/>
  </cols>
  <sheetData>
    <row r="1" spans="1:26" ht="24.75" customHeight="1">
      <c r="A1" s="268"/>
      <c r="B1" s="268"/>
      <c r="C1" s="440" t="s">
        <v>5181</v>
      </c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268"/>
      <c r="S1" s="438" t="s">
        <v>4780</v>
      </c>
      <c r="T1" s="439"/>
      <c r="U1" s="296"/>
      <c r="V1" s="296"/>
      <c r="W1" s="296"/>
      <c r="X1" s="296"/>
      <c r="Y1" s="296"/>
      <c r="Z1" s="296"/>
    </row>
    <row r="2" spans="1:26" ht="46.5" customHeight="1">
      <c r="A2" s="297" t="s">
        <v>7</v>
      </c>
      <c r="B2" s="298" t="s">
        <v>9</v>
      </c>
      <c r="C2" s="232" t="s">
        <v>11</v>
      </c>
      <c r="D2" s="299" t="s">
        <v>13</v>
      </c>
      <c r="E2" s="299" t="s">
        <v>4573</v>
      </c>
      <c r="F2" s="300" t="s">
        <v>4574</v>
      </c>
      <c r="G2" s="301" t="s">
        <v>19</v>
      </c>
      <c r="H2" s="301" t="s">
        <v>4782</v>
      </c>
      <c r="I2" s="301" t="s">
        <v>4576</v>
      </c>
      <c r="J2" s="302" t="s">
        <v>1</v>
      </c>
      <c r="K2" s="299" t="s">
        <v>24</v>
      </c>
      <c r="L2" s="232" t="s">
        <v>34</v>
      </c>
      <c r="M2" s="232" t="s">
        <v>4783</v>
      </c>
      <c r="N2" s="232" t="s">
        <v>4784</v>
      </c>
      <c r="O2" s="237" t="s">
        <v>4577</v>
      </c>
      <c r="P2" s="232" t="s">
        <v>4578</v>
      </c>
      <c r="Q2" s="232" t="s">
        <v>44</v>
      </c>
      <c r="R2" s="268"/>
      <c r="S2" s="303" t="s">
        <v>4579</v>
      </c>
      <c r="T2" s="303" t="s">
        <v>4580</v>
      </c>
      <c r="U2" s="302" t="s">
        <v>4785</v>
      </c>
      <c r="V2" s="302" t="s">
        <v>4786</v>
      </c>
      <c r="W2" s="304" t="s">
        <v>4787</v>
      </c>
      <c r="X2" s="302" t="s">
        <v>4788</v>
      </c>
      <c r="Y2" s="302" t="s">
        <v>4789</v>
      </c>
      <c r="Z2" s="302" t="s">
        <v>4790</v>
      </c>
    </row>
    <row r="3" spans="1:26" ht="24.75" customHeight="1">
      <c r="A3" t="s">
        <v>5182</v>
      </c>
      <c r="B3" s="263" t="s">
        <v>5183</v>
      </c>
      <c r="C3" s="269">
        <v>42866</v>
      </c>
      <c r="D3" s="269">
        <v>42851</v>
      </c>
      <c r="E3" s="269">
        <v>42863</v>
      </c>
      <c r="F3" s="269" t="s">
        <v>5184</v>
      </c>
      <c r="G3" s="24" t="s">
        <v>5185</v>
      </c>
      <c r="H3" s="270" t="s">
        <v>4585</v>
      </c>
      <c r="I3" s="238" t="s">
        <v>51</v>
      </c>
      <c r="J3" s="238" t="s">
        <v>4795</v>
      </c>
      <c r="K3" s="238" t="s">
        <v>5186</v>
      </c>
      <c r="L3" s="238"/>
      <c r="M3" s="238" t="s">
        <v>4795</v>
      </c>
      <c r="N3" s="238" t="s">
        <v>4795</v>
      </c>
      <c r="O3" s="305" t="s">
        <v>5187</v>
      </c>
      <c r="P3" s="306" t="s">
        <v>5188</v>
      </c>
      <c r="Q3" s="307" t="s">
        <v>5189</v>
      </c>
      <c r="R3" s="268"/>
      <c r="S3" s="308" t="s">
        <v>4585</v>
      </c>
      <c r="T3" s="303">
        <v>1</v>
      </c>
      <c r="U3" s="268"/>
      <c r="V3" s="309"/>
      <c r="W3" s="310"/>
      <c r="X3" s="268"/>
      <c r="Y3" s="268"/>
      <c r="Z3" s="268"/>
    </row>
    <row r="4" spans="1:26" ht="24.75" customHeight="1">
      <c r="A4" s="268"/>
      <c r="B4" s="263" t="s">
        <v>5190</v>
      </c>
      <c r="C4" s="311" t="s">
        <v>1374</v>
      </c>
      <c r="D4" s="240">
        <v>42863</v>
      </c>
      <c r="E4" s="240">
        <v>42872</v>
      </c>
      <c r="F4" s="230" t="s">
        <v>5191</v>
      </c>
      <c r="G4" s="230" t="s">
        <v>5192</v>
      </c>
      <c r="H4" s="241" t="s">
        <v>4585</v>
      </c>
      <c r="I4" s="230" t="s">
        <v>62</v>
      </c>
      <c r="J4" s="238" t="s">
        <v>4795</v>
      </c>
      <c r="K4" s="230" t="s">
        <v>5193</v>
      </c>
      <c r="L4" s="256" t="s">
        <v>5194</v>
      </c>
      <c r="M4" s="238" t="s">
        <v>4795</v>
      </c>
      <c r="N4" s="238" t="s">
        <v>4795</v>
      </c>
      <c r="O4" s="257"/>
      <c r="P4" s="238"/>
      <c r="Q4" s="256" t="s">
        <v>5195</v>
      </c>
      <c r="R4" s="259"/>
      <c r="S4" s="312" t="s">
        <v>4811</v>
      </c>
      <c r="T4" s="303">
        <v>0</v>
      </c>
      <c r="V4" s="259"/>
      <c r="W4" s="259"/>
      <c r="X4" s="263"/>
      <c r="Y4" s="263"/>
      <c r="Z4" s="263"/>
    </row>
    <row r="5" spans="1:26" ht="24.75" customHeight="1">
      <c r="A5" s="432" t="s">
        <v>5043</v>
      </c>
      <c r="B5" s="433"/>
      <c r="C5" s="433"/>
      <c r="D5" s="433"/>
      <c r="E5" s="433"/>
      <c r="F5" s="433"/>
      <c r="G5" s="433"/>
      <c r="H5" s="433"/>
      <c r="I5" s="433"/>
      <c r="J5" s="433"/>
      <c r="K5" s="433"/>
      <c r="L5" s="433"/>
      <c r="M5" s="433"/>
      <c r="N5" s="433"/>
      <c r="O5" s="433"/>
      <c r="P5" s="433"/>
      <c r="Q5" s="433"/>
      <c r="R5" s="433"/>
      <c r="S5" s="433"/>
      <c r="T5" s="433"/>
      <c r="U5" s="433"/>
      <c r="V5" s="433"/>
      <c r="W5" s="433"/>
      <c r="X5" s="433"/>
      <c r="Y5" s="433"/>
      <c r="Z5" s="434"/>
    </row>
    <row r="6" spans="1:26" ht="24.75" customHeight="1">
      <c r="A6" s="268"/>
      <c r="B6" s="268"/>
      <c r="C6" s="268"/>
      <c r="D6" s="268"/>
      <c r="E6" s="268"/>
      <c r="F6" s="268"/>
      <c r="G6" s="268"/>
      <c r="H6" s="268"/>
      <c r="I6" s="268"/>
      <c r="J6" s="268"/>
      <c r="K6" s="268"/>
      <c r="L6" s="309"/>
      <c r="M6" s="268"/>
      <c r="N6" s="268"/>
      <c r="O6" s="310"/>
      <c r="P6" s="268"/>
      <c r="Q6" s="309"/>
      <c r="R6" s="313"/>
      <c r="S6" s="314" t="s">
        <v>4821</v>
      </c>
      <c r="T6" s="303">
        <v>1</v>
      </c>
      <c r="U6" s="268"/>
      <c r="V6" s="309"/>
      <c r="W6" s="310"/>
      <c r="X6" s="268"/>
      <c r="Y6" s="268"/>
      <c r="Z6" s="268"/>
    </row>
    <row r="7" spans="1:26" ht="24.75" customHeight="1">
      <c r="A7" s="268"/>
      <c r="B7" s="268"/>
      <c r="C7" s="268"/>
      <c r="D7" s="268"/>
      <c r="E7" s="268"/>
      <c r="F7" s="268"/>
      <c r="G7" s="268"/>
      <c r="H7" s="268"/>
      <c r="I7" s="268"/>
      <c r="J7" s="268"/>
      <c r="K7" s="268"/>
      <c r="L7" s="309"/>
      <c r="M7" s="268"/>
      <c r="N7" s="268"/>
      <c r="O7" s="310"/>
      <c r="P7" s="268"/>
      <c r="Q7" s="309"/>
      <c r="R7" s="268"/>
      <c r="S7" s="315" t="s">
        <v>4826</v>
      </c>
      <c r="T7" s="316" t="s">
        <v>4795</v>
      </c>
      <c r="U7" s="268"/>
      <c r="X7" s="268"/>
      <c r="Y7" s="268"/>
      <c r="Z7" s="268"/>
    </row>
    <row r="8" spans="1:26" ht="24.75" customHeight="1">
      <c r="A8" s="268"/>
      <c r="B8" s="268"/>
      <c r="C8" s="268"/>
      <c r="D8" s="268"/>
      <c r="E8" s="268"/>
      <c r="F8" s="268"/>
      <c r="G8" s="268"/>
      <c r="H8" s="268"/>
      <c r="I8" s="268"/>
      <c r="J8" s="268"/>
      <c r="K8" s="268"/>
      <c r="L8" s="309"/>
      <c r="M8" s="268"/>
      <c r="N8" s="268"/>
      <c r="O8" s="310"/>
      <c r="P8" s="268"/>
      <c r="Q8" s="309"/>
      <c r="R8" s="268"/>
      <c r="S8" s="317" t="s">
        <v>4833</v>
      </c>
      <c r="T8" s="266">
        <v>0</v>
      </c>
      <c r="U8" s="268"/>
      <c r="X8" s="268"/>
      <c r="Y8" s="268"/>
      <c r="Z8" s="268"/>
    </row>
    <row r="9" spans="1:26" ht="24.75" customHeight="1">
      <c r="A9" s="268"/>
      <c r="B9" s="268"/>
      <c r="C9" s="268"/>
      <c r="D9" s="268"/>
      <c r="E9" s="268"/>
      <c r="F9" s="268"/>
      <c r="G9" s="268"/>
      <c r="H9" s="268"/>
      <c r="I9" s="268"/>
      <c r="J9" s="268"/>
      <c r="K9" s="268"/>
      <c r="L9" s="309"/>
      <c r="M9" s="268"/>
      <c r="N9" s="268"/>
      <c r="O9" s="310"/>
      <c r="P9" s="268"/>
      <c r="Q9" s="309"/>
      <c r="R9" s="268"/>
      <c r="S9" s="318" t="s">
        <v>4840</v>
      </c>
      <c r="T9" s="319" t="s">
        <v>4795</v>
      </c>
      <c r="Z9" s="268"/>
    </row>
    <row r="10" spans="1:26" ht="24.75" customHeight="1">
      <c r="A10" s="268"/>
      <c r="B10" s="268"/>
      <c r="C10" s="268"/>
      <c r="D10" s="268"/>
      <c r="E10" s="268"/>
      <c r="F10" s="268"/>
      <c r="G10" s="268"/>
      <c r="H10" s="268"/>
      <c r="I10" s="268"/>
      <c r="J10" s="268"/>
      <c r="K10" s="268"/>
      <c r="L10" s="309"/>
      <c r="M10" s="268"/>
      <c r="N10" s="268"/>
      <c r="O10" s="310"/>
      <c r="P10" s="268"/>
      <c r="Q10" s="309"/>
      <c r="R10" s="268"/>
      <c r="S10" s="318" t="s">
        <v>5196</v>
      </c>
      <c r="T10" s="319" t="s">
        <v>4795</v>
      </c>
      <c r="Z10" s="268"/>
    </row>
    <row r="11" spans="1:26" ht="24.75" customHeight="1">
      <c r="A11" s="268" t="s">
        <v>5182</v>
      </c>
      <c r="B11" s="268" t="s">
        <v>5197</v>
      </c>
      <c r="C11" s="268"/>
      <c r="D11" s="268"/>
      <c r="E11" s="268"/>
      <c r="F11" s="268"/>
      <c r="G11" s="230" t="s">
        <v>5198</v>
      </c>
      <c r="H11" s="241" t="s">
        <v>4585</v>
      </c>
      <c r="I11" s="268"/>
      <c r="J11" s="268"/>
      <c r="K11" s="268"/>
      <c r="L11" s="309"/>
      <c r="M11" s="268"/>
      <c r="N11" s="309"/>
      <c r="O11" s="268"/>
      <c r="P11" s="268"/>
      <c r="Q11" s="309"/>
      <c r="R11" s="268"/>
      <c r="T11" s="268"/>
      <c r="W11" s="268"/>
      <c r="Z11" s="268"/>
    </row>
    <row r="12" spans="1:26" ht="24.75" customHeight="1">
      <c r="A12" s="268" t="s">
        <v>5182</v>
      </c>
      <c r="B12" s="268" t="s">
        <v>5197</v>
      </c>
      <c r="C12" s="268"/>
      <c r="D12" s="268"/>
      <c r="E12" s="268"/>
      <c r="F12" s="268"/>
      <c r="G12" s="320" t="s">
        <v>5199</v>
      </c>
      <c r="H12" s="241" t="s">
        <v>4585</v>
      </c>
      <c r="I12" s="268"/>
      <c r="J12" s="268"/>
      <c r="K12" s="268"/>
      <c r="L12" s="309"/>
      <c r="M12" s="268"/>
      <c r="N12" s="268"/>
      <c r="O12" s="310"/>
      <c r="P12" s="268"/>
      <c r="Q12" s="309"/>
      <c r="R12" s="268"/>
      <c r="S12" s="309"/>
      <c r="T12" s="268"/>
      <c r="U12" s="313"/>
      <c r="V12" s="313"/>
      <c r="W12" s="268"/>
      <c r="X12" s="309"/>
      <c r="Y12" s="310"/>
      <c r="Z12" s="268"/>
    </row>
    <row r="13" spans="1:26" ht="24.75" customHeight="1">
      <c r="A13" s="437" t="s">
        <v>5182</v>
      </c>
      <c r="B13" s="437" t="s">
        <v>5197</v>
      </c>
      <c r="C13" s="268"/>
      <c r="D13" s="268"/>
      <c r="E13" s="268"/>
      <c r="F13" s="268"/>
      <c r="G13" s="230" t="s">
        <v>5200</v>
      </c>
      <c r="H13" s="241" t="s">
        <v>4585</v>
      </c>
      <c r="I13" s="268"/>
      <c r="J13" s="268"/>
      <c r="K13" s="268"/>
      <c r="L13" s="309"/>
      <c r="M13" s="268"/>
      <c r="N13" s="268"/>
      <c r="O13" s="310"/>
      <c r="P13" s="268"/>
      <c r="Q13" s="309"/>
      <c r="R13" s="268"/>
      <c r="S13" s="268"/>
      <c r="T13" s="268"/>
      <c r="U13" s="253" t="s">
        <v>4806</v>
      </c>
      <c r="V13" s="254" t="s">
        <v>4807</v>
      </c>
      <c r="W13" s="248">
        <v>175</v>
      </c>
      <c r="X13" s="248">
        <v>80</v>
      </c>
      <c r="Y13" s="248">
        <v>26.12</v>
      </c>
      <c r="Z13" s="268"/>
    </row>
    <row r="14" spans="1:26" ht="25.5" customHeight="1">
      <c r="A14" s="437"/>
      <c r="B14" s="437"/>
      <c r="C14" s="268"/>
      <c r="D14" s="268"/>
      <c r="E14" s="268"/>
      <c r="F14" s="268"/>
      <c r="G14" s="230" t="s">
        <v>5201</v>
      </c>
      <c r="H14" s="241" t="s">
        <v>4585</v>
      </c>
      <c r="I14" s="268"/>
      <c r="J14" s="268"/>
      <c r="K14" s="268"/>
      <c r="L14" s="309"/>
      <c r="M14" s="268"/>
      <c r="N14" s="268"/>
      <c r="O14" s="310"/>
      <c r="P14" s="268"/>
      <c r="Q14" s="309"/>
      <c r="R14" s="268"/>
      <c r="S14" s="268"/>
      <c r="T14" s="268"/>
      <c r="U14" s="253" t="s">
        <v>4806</v>
      </c>
      <c r="V14" s="254" t="s">
        <v>4807</v>
      </c>
      <c r="W14" s="248">
        <v>175</v>
      </c>
      <c r="X14" s="248">
        <v>80</v>
      </c>
      <c r="Y14" s="248">
        <v>26.12</v>
      </c>
      <c r="Z14" s="268"/>
    </row>
    <row r="15" spans="1:26" ht="24.75" customHeight="1">
      <c r="A15" t="s">
        <v>5182</v>
      </c>
      <c r="B15" t="s">
        <v>5197</v>
      </c>
      <c r="C15" s="268"/>
      <c r="D15" s="268"/>
      <c r="E15" s="268"/>
      <c r="F15" s="268"/>
      <c r="G15" s="230" t="s">
        <v>5202</v>
      </c>
      <c r="H15" s="241" t="s">
        <v>4585</v>
      </c>
      <c r="I15" s="268"/>
      <c r="J15" s="268"/>
      <c r="K15" s="268"/>
      <c r="L15" s="256" t="s">
        <v>5203</v>
      </c>
      <c r="M15" s="268"/>
      <c r="N15" s="268"/>
      <c r="O15" s="268"/>
      <c r="P15" s="268"/>
      <c r="Q15" s="309"/>
      <c r="R15" s="268"/>
      <c r="S15" s="268"/>
      <c r="T15" s="268"/>
      <c r="U15" s="253" t="s">
        <v>4806</v>
      </c>
      <c r="V15" s="254" t="s">
        <v>4807</v>
      </c>
      <c r="W15" s="248">
        <v>175</v>
      </c>
      <c r="X15" s="248">
        <v>80</v>
      </c>
      <c r="Y15" s="248">
        <v>26.12</v>
      </c>
      <c r="Z15" s="268"/>
    </row>
    <row r="16" spans="1:26" ht="24.75" customHeight="1">
      <c r="A16" s="268"/>
      <c r="B16" s="441" t="s">
        <v>5197</v>
      </c>
      <c r="C16" s="268"/>
      <c r="D16" s="268"/>
      <c r="E16" s="268"/>
      <c r="F16" s="268"/>
      <c r="G16" s="230" t="s">
        <v>5204</v>
      </c>
      <c r="H16" s="321" t="s">
        <v>4585</v>
      </c>
      <c r="I16" s="268"/>
      <c r="J16" s="268"/>
      <c r="K16" s="268"/>
      <c r="L16" s="309"/>
      <c r="M16" s="268"/>
      <c r="N16" s="268"/>
      <c r="O16" s="310"/>
      <c r="P16" s="268"/>
      <c r="Q16" s="309"/>
      <c r="R16" s="268"/>
      <c r="S16" s="313"/>
      <c r="T16" s="313"/>
      <c r="U16" s="256"/>
      <c r="V16" s="257"/>
      <c r="W16" s="230"/>
      <c r="X16" s="230"/>
      <c r="Y16" s="230"/>
      <c r="Z16" s="268"/>
    </row>
    <row r="17" spans="1:26" ht="24.75" customHeight="1">
      <c r="A17" s="268"/>
      <c r="B17" s="437"/>
      <c r="C17" s="268"/>
      <c r="D17" s="268"/>
      <c r="E17" s="268"/>
      <c r="F17" s="268"/>
      <c r="G17" s="230" t="s">
        <v>5205</v>
      </c>
      <c r="H17" s="321" t="s">
        <v>4585</v>
      </c>
      <c r="I17" s="268"/>
      <c r="J17" s="268"/>
      <c r="K17" s="268"/>
      <c r="L17" s="309"/>
      <c r="M17" s="268"/>
      <c r="N17" s="268"/>
      <c r="O17" s="310"/>
      <c r="P17" s="268"/>
      <c r="Q17" s="309"/>
      <c r="R17" s="268"/>
      <c r="S17" s="268"/>
      <c r="T17" s="268"/>
      <c r="U17" s="253" t="s">
        <v>4806</v>
      </c>
      <c r="V17" s="254" t="s">
        <v>4807</v>
      </c>
      <c r="W17" s="248">
        <v>175</v>
      </c>
      <c r="X17" s="248">
        <v>80</v>
      </c>
      <c r="Y17" s="248">
        <v>26.12</v>
      </c>
      <c r="Z17" s="268"/>
    </row>
    <row r="18" spans="1:26" ht="25.5" customHeight="1">
      <c r="A18" s="268"/>
      <c r="B18" s="268" t="s">
        <v>5197</v>
      </c>
      <c r="C18" s="268"/>
      <c r="D18" s="268"/>
      <c r="E18" s="268"/>
      <c r="F18" s="268"/>
      <c r="G18" s="322" t="s">
        <v>5206</v>
      </c>
      <c r="H18" s="321" t="s">
        <v>4585</v>
      </c>
      <c r="I18" s="268"/>
      <c r="J18" s="268"/>
      <c r="K18" s="268"/>
      <c r="L18" s="309"/>
      <c r="M18" s="268"/>
      <c r="N18" s="268"/>
      <c r="O18" s="268"/>
      <c r="P18" s="268"/>
      <c r="Q18" s="309"/>
      <c r="R18" s="268"/>
      <c r="S18" s="268"/>
      <c r="T18" s="268"/>
      <c r="U18" s="253" t="s">
        <v>4806</v>
      </c>
      <c r="V18" s="254" t="s">
        <v>4807</v>
      </c>
      <c r="W18" s="248">
        <v>175</v>
      </c>
      <c r="X18" s="248">
        <v>80</v>
      </c>
      <c r="Y18" s="248">
        <v>26.12</v>
      </c>
      <c r="Z18" s="268"/>
    </row>
    <row r="19" spans="1:26" ht="24.75" customHeight="1">
      <c r="A19" s="268"/>
      <c r="B19" s="268" t="s">
        <v>5197</v>
      </c>
      <c r="C19" s="268"/>
      <c r="D19" s="268"/>
      <c r="E19" s="268"/>
      <c r="F19" s="268"/>
      <c r="G19" s="230" t="s">
        <v>5207</v>
      </c>
      <c r="H19" s="321" t="s">
        <v>4585</v>
      </c>
      <c r="I19" s="268"/>
      <c r="J19" s="268"/>
      <c r="K19" s="268"/>
      <c r="L19" s="309"/>
      <c r="M19" s="268"/>
      <c r="N19" s="268"/>
      <c r="O19" s="310"/>
      <c r="P19" s="268"/>
      <c r="Q19" s="309"/>
      <c r="R19" s="268"/>
      <c r="S19" s="313"/>
      <c r="T19" s="313"/>
      <c r="U19" s="256"/>
      <c r="V19" s="257"/>
      <c r="W19" s="230"/>
      <c r="X19" s="230"/>
      <c r="Y19" s="230"/>
      <c r="Z19" s="268"/>
    </row>
    <row r="20" spans="1:26" ht="24.75" customHeight="1">
      <c r="A20" s="268"/>
      <c r="B20" s="268"/>
      <c r="C20" s="268"/>
      <c r="D20" s="268"/>
      <c r="E20" s="268"/>
      <c r="F20" s="268"/>
      <c r="G20" s="268"/>
      <c r="H20" s="268"/>
      <c r="I20" s="268"/>
      <c r="J20" s="268"/>
      <c r="K20" s="268"/>
      <c r="L20" s="309"/>
      <c r="M20" s="268"/>
      <c r="N20" s="268"/>
      <c r="O20" s="310"/>
      <c r="P20" s="268"/>
      <c r="Q20" s="309"/>
      <c r="R20" s="268"/>
      <c r="S20" s="268"/>
      <c r="T20" s="268"/>
      <c r="U20" s="245">
        <v>25409</v>
      </c>
      <c r="V20" s="246" t="s">
        <v>5161</v>
      </c>
      <c r="W20" s="247" t="s">
        <v>5162</v>
      </c>
      <c r="X20" s="248">
        <v>158</v>
      </c>
      <c r="Y20" s="248">
        <v>63</v>
      </c>
      <c r="Z20" s="248">
        <v>25.24</v>
      </c>
    </row>
    <row r="21" spans="1:26" ht="24.75" customHeight="1">
      <c r="A21" s="268"/>
      <c r="B21" s="268"/>
      <c r="C21" s="268"/>
      <c r="D21" s="268"/>
      <c r="E21" s="268"/>
      <c r="F21" s="268"/>
      <c r="G21" s="268"/>
      <c r="H21" s="268"/>
      <c r="I21" s="268"/>
      <c r="J21" s="268"/>
      <c r="K21" s="268"/>
      <c r="L21" s="309"/>
      <c r="M21" s="268"/>
      <c r="N21" s="268"/>
      <c r="O21" s="268"/>
      <c r="P21" s="268"/>
      <c r="Q21" s="309"/>
      <c r="R21" s="268"/>
      <c r="S21" s="313"/>
      <c r="T21" s="313"/>
      <c r="U21" s="268"/>
      <c r="V21" s="309"/>
      <c r="W21" s="310"/>
      <c r="X21" s="268"/>
      <c r="Y21" s="268"/>
      <c r="Z21" s="268"/>
    </row>
    <row r="22" spans="1:26" ht="24.75" customHeight="1">
      <c r="A22" s="268"/>
      <c r="B22" s="268"/>
      <c r="C22" s="268"/>
      <c r="D22" s="268"/>
      <c r="E22" s="268"/>
      <c r="F22" s="268"/>
      <c r="G22" s="268"/>
      <c r="H22" s="268"/>
      <c r="I22" s="268"/>
      <c r="J22" s="268"/>
      <c r="K22" s="268"/>
      <c r="L22" s="309"/>
      <c r="M22" s="268"/>
      <c r="N22" s="268"/>
      <c r="O22" s="268"/>
      <c r="P22" s="268"/>
      <c r="Q22" s="309"/>
      <c r="R22" s="313"/>
      <c r="S22" s="313"/>
      <c r="T22" s="313"/>
      <c r="U22" s="256"/>
      <c r="V22" s="257"/>
      <c r="W22" s="230"/>
      <c r="X22" s="230"/>
      <c r="Y22" s="230"/>
      <c r="Z22" s="268"/>
    </row>
    <row r="23" spans="1:26" ht="24.75" customHeight="1">
      <c r="A23" s="268"/>
      <c r="B23" s="268"/>
      <c r="C23" s="268"/>
      <c r="D23" s="268"/>
      <c r="E23" s="268"/>
      <c r="F23" s="268"/>
      <c r="G23" s="268"/>
      <c r="H23" s="268"/>
      <c r="I23" s="268"/>
      <c r="J23" s="268"/>
      <c r="K23" s="268"/>
      <c r="L23" s="309"/>
      <c r="M23" s="268"/>
      <c r="N23" s="268"/>
      <c r="O23" s="268"/>
      <c r="P23" s="268"/>
      <c r="Q23" s="309"/>
      <c r="R23" s="268"/>
      <c r="S23" s="268"/>
      <c r="T23" s="268"/>
      <c r="U23" s="253" t="s">
        <v>4806</v>
      </c>
      <c r="V23" s="254" t="s">
        <v>4807</v>
      </c>
      <c r="W23" s="248">
        <v>175</v>
      </c>
      <c r="X23" s="248">
        <v>80</v>
      </c>
      <c r="Y23" s="248">
        <v>26.12</v>
      </c>
      <c r="Z23" s="268"/>
    </row>
    <row r="24" spans="1:26" ht="24.75" customHeight="1">
      <c r="A24" s="268"/>
      <c r="B24" s="268"/>
      <c r="C24" s="268"/>
      <c r="D24" s="268"/>
      <c r="E24" s="268"/>
      <c r="F24" s="268"/>
      <c r="G24" s="268"/>
      <c r="H24" s="268"/>
      <c r="I24" s="268"/>
      <c r="J24" s="268"/>
      <c r="K24" s="268"/>
      <c r="L24" s="309"/>
      <c r="M24" s="268"/>
      <c r="N24" s="268"/>
      <c r="O24" s="268"/>
      <c r="P24" s="268"/>
      <c r="Q24" s="309"/>
      <c r="R24" s="268"/>
      <c r="S24" s="268"/>
      <c r="T24" s="268"/>
      <c r="U24" s="245">
        <v>25409</v>
      </c>
      <c r="V24" s="246" t="s">
        <v>5161</v>
      </c>
      <c r="W24" s="247" t="s">
        <v>5162</v>
      </c>
      <c r="X24" s="248">
        <v>158</v>
      </c>
      <c r="Y24" s="248">
        <v>63</v>
      </c>
      <c r="Z24" s="248">
        <v>25.24</v>
      </c>
    </row>
    <row r="25" spans="1:26" ht="24.75" customHeight="1">
      <c r="A25" s="268"/>
      <c r="B25" s="268"/>
      <c r="C25" s="268"/>
      <c r="D25" s="268"/>
      <c r="E25" s="268"/>
      <c r="F25" s="268"/>
      <c r="G25" s="268"/>
      <c r="H25" s="268"/>
      <c r="I25" s="268"/>
      <c r="J25" s="268"/>
      <c r="K25" s="268"/>
      <c r="L25" s="309"/>
      <c r="M25" s="268"/>
      <c r="N25" s="268"/>
      <c r="O25" s="310"/>
      <c r="P25" s="268"/>
      <c r="Q25" s="309"/>
      <c r="R25" s="268"/>
      <c r="S25" s="268"/>
      <c r="T25" s="268"/>
      <c r="U25" s="245">
        <v>29125</v>
      </c>
      <c r="V25" s="246" t="s">
        <v>4799</v>
      </c>
      <c r="W25" s="247" t="s">
        <v>4800</v>
      </c>
      <c r="X25" s="248">
        <v>157</v>
      </c>
      <c r="Y25" s="248">
        <v>59</v>
      </c>
      <c r="Z25" s="248">
        <v>23.94</v>
      </c>
    </row>
    <row r="26" spans="1:26" ht="24.75" customHeight="1">
      <c r="A26" s="268"/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309"/>
      <c r="M26" s="268"/>
      <c r="N26" s="268"/>
      <c r="O26" s="310"/>
      <c r="P26" s="268"/>
      <c r="Q26" s="309"/>
      <c r="R26" s="268"/>
      <c r="S26" s="313"/>
      <c r="T26" s="313"/>
      <c r="U26" s="268"/>
      <c r="V26" s="309"/>
      <c r="W26" s="310"/>
      <c r="X26" s="268"/>
      <c r="Y26" s="268"/>
      <c r="Z26" s="268"/>
    </row>
    <row r="27" spans="1:26" ht="24.75" customHeight="1">
      <c r="A27" s="268"/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309"/>
      <c r="M27" s="268"/>
      <c r="N27" s="268"/>
      <c r="O27" s="310"/>
      <c r="P27" s="268"/>
      <c r="Q27" s="309"/>
      <c r="R27" s="268"/>
      <c r="S27" s="268"/>
      <c r="T27" s="268"/>
      <c r="U27" s="253" t="s">
        <v>4806</v>
      </c>
      <c r="V27" s="254" t="s">
        <v>4807</v>
      </c>
      <c r="W27" s="248">
        <v>175</v>
      </c>
      <c r="X27" s="248">
        <v>80</v>
      </c>
      <c r="Y27" s="248">
        <v>26.12</v>
      </c>
      <c r="Z27" s="268"/>
    </row>
    <row r="28" spans="1:26" ht="24.75" customHeight="1">
      <c r="A28" s="268"/>
      <c r="B28" s="268"/>
      <c r="C28" s="268"/>
      <c r="D28" s="268"/>
      <c r="E28" s="268"/>
      <c r="F28" s="268"/>
      <c r="G28" s="268"/>
      <c r="H28" s="268"/>
      <c r="I28" s="268"/>
      <c r="J28" s="268"/>
      <c r="K28" s="268"/>
      <c r="L28" s="309"/>
      <c r="M28" s="268"/>
      <c r="N28" s="268"/>
      <c r="O28" s="310"/>
      <c r="P28" s="268"/>
      <c r="Q28" s="309"/>
      <c r="R28" s="268"/>
      <c r="S28" s="268"/>
      <c r="T28" s="268"/>
      <c r="U28" s="245">
        <v>25409</v>
      </c>
      <c r="V28" s="246" t="s">
        <v>5161</v>
      </c>
      <c r="W28" s="247" t="s">
        <v>5162</v>
      </c>
      <c r="X28" s="248">
        <v>158</v>
      </c>
      <c r="Y28" s="248">
        <v>63</v>
      </c>
      <c r="Z28" s="248">
        <v>25.24</v>
      </c>
    </row>
    <row r="29" spans="1:26" ht="24.75" customHeight="1">
      <c r="A29" s="268"/>
      <c r="B29" s="268"/>
      <c r="C29" s="268"/>
      <c r="D29" s="268"/>
      <c r="E29" s="268"/>
      <c r="F29" s="268"/>
      <c r="G29" s="268"/>
      <c r="H29" s="268"/>
      <c r="I29" s="268"/>
      <c r="J29" s="268"/>
      <c r="K29" s="268"/>
      <c r="L29" s="309"/>
      <c r="M29" s="268"/>
      <c r="N29" s="268"/>
      <c r="O29" s="310"/>
      <c r="P29" s="268"/>
      <c r="Q29" s="309"/>
      <c r="R29" s="268"/>
      <c r="S29" s="268"/>
      <c r="T29" s="268"/>
      <c r="U29" s="245">
        <v>29125</v>
      </c>
      <c r="V29" s="246" t="s">
        <v>4799</v>
      </c>
      <c r="W29" s="247" t="s">
        <v>4800</v>
      </c>
      <c r="X29" s="248">
        <v>157</v>
      </c>
      <c r="Y29" s="248">
        <v>59</v>
      </c>
      <c r="Z29" s="248">
        <v>23.94</v>
      </c>
    </row>
    <row r="30" spans="1:26" ht="24.75" customHeight="1">
      <c r="A30" s="268"/>
      <c r="B30" s="268"/>
      <c r="C30" s="268"/>
      <c r="D30" s="268"/>
      <c r="E30" s="268"/>
      <c r="F30" s="268"/>
      <c r="G30" s="268"/>
      <c r="H30" s="268"/>
      <c r="I30" s="268"/>
      <c r="J30" s="268"/>
      <c r="K30" s="268"/>
      <c r="L30" s="309"/>
      <c r="M30" s="268"/>
      <c r="N30" s="268"/>
      <c r="O30" s="310"/>
      <c r="P30" s="268"/>
      <c r="Q30" s="309"/>
      <c r="R30" s="268"/>
      <c r="S30" s="313"/>
      <c r="T30" s="313"/>
      <c r="U30" s="268"/>
      <c r="V30" s="309"/>
      <c r="W30" s="310"/>
      <c r="X30" s="268"/>
      <c r="Y30" s="268"/>
      <c r="Z30" s="268"/>
    </row>
    <row r="31" spans="1:26" ht="24.75" customHeight="1">
      <c r="A31" s="268"/>
      <c r="B31" s="268"/>
      <c r="C31" s="268"/>
      <c r="D31" s="268"/>
      <c r="E31" s="268"/>
      <c r="F31" s="268"/>
      <c r="G31" s="268"/>
      <c r="H31" s="268"/>
      <c r="I31" s="268"/>
      <c r="J31" s="268"/>
      <c r="K31" s="268"/>
      <c r="L31" s="309"/>
      <c r="M31" s="268"/>
      <c r="N31" s="268"/>
      <c r="O31" s="310"/>
      <c r="P31" s="268"/>
      <c r="Q31" s="309"/>
      <c r="R31" s="268"/>
      <c r="S31" s="313"/>
      <c r="T31" s="313"/>
      <c r="U31" s="268"/>
      <c r="V31" s="309"/>
      <c r="W31" s="310"/>
      <c r="X31" s="268"/>
      <c r="Y31" s="268"/>
      <c r="Z31" s="268"/>
    </row>
    <row r="32" spans="1:26" ht="24.75" customHeight="1">
      <c r="A32" s="268"/>
      <c r="B32" s="268"/>
      <c r="C32" s="268"/>
      <c r="D32" s="268"/>
      <c r="E32" s="268"/>
      <c r="F32" s="268"/>
      <c r="G32" s="268"/>
      <c r="H32" s="268"/>
      <c r="I32" s="268"/>
      <c r="J32" s="268"/>
      <c r="K32" s="268"/>
      <c r="L32" s="309"/>
      <c r="M32" s="268"/>
      <c r="N32" s="268"/>
      <c r="O32" s="310"/>
      <c r="P32" s="268"/>
      <c r="Q32" s="309"/>
      <c r="R32" s="268"/>
      <c r="S32" s="313"/>
      <c r="T32" s="313"/>
      <c r="U32" s="268"/>
      <c r="V32" s="309"/>
      <c r="W32" s="310"/>
      <c r="X32" s="268"/>
      <c r="Y32" s="268"/>
      <c r="Z32" s="268"/>
    </row>
    <row r="33" spans="1:26" ht="24.75" customHeight="1">
      <c r="A33" s="268"/>
      <c r="B33" s="268"/>
      <c r="C33" s="268"/>
      <c r="D33" s="268"/>
      <c r="E33" s="268"/>
      <c r="F33" s="268"/>
      <c r="G33" s="268"/>
      <c r="H33" s="268"/>
      <c r="I33" s="268"/>
      <c r="J33" s="268"/>
      <c r="K33" s="268"/>
      <c r="L33" s="309"/>
      <c r="M33" s="268"/>
      <c r="N33" s="268"/>
      <c r="O33" s="310"/>
      <c r="P33" s="268"/>
      <c r="Q33" s="309"/>
      <c r="R33" s="268"/>
      <c r="S33" s="313"/>
      <c r="T33" s="313"/>
      <c r="U33" s="268"/>
      <c r="V33" s="309"/>
      <c r="W33" s="310"/>
      <c r="X33" s="268"/>
      <c r="Y33" s="268"/>
      <c r="Z33" s="268"/>
    </row>
    <row r="34" spans="1:26" ht="24.75" customHeight="1">
      <c r="A34" s="268"/>
      <c r="B34" s="268"/>
      <c r="C34" s="268"/>
      <c r="D34" s="268"/>
      <c r="E34" s="268"/>
      <c r="F34" s="268"/>
      <c r="G34" s="268"/>
      <c r="H34" s="268"/>
      <c r="I34" s="268"/>
      <c r="J34" s="268"/>
      <c r="K34" s="268"/>
      <c r="L34" s="309"/>
      <c r="M34" s="268"/>
      <c r="N34" s="268"/>
      <c r="O34" s="310"/>
      <c r="P34" s="268"/>
      <c r="Q34" s="309"/>
      <c r="R34" s="268"/>
      <c r="S34" s="313"/>
      <c r="T34" s="313"/>
      <c r="U34" s="268"/>
      <c r="V34" s="309"/>
      <c r="W34" s="310"/>
      <c r="X34" s="268"/>
      <c r="Y34" s="268"/>
      <c r="Z34" s="268"/>
    </row>
    <row r="35" spans="1:26" ht="24.75" customHeight="1">
      <c r="A35" s="268"/>
      <c r="B35" s="268"/>
      <c r="C35" s="268"/>
      <c r="D35" s="268"/>
      <c r="E35" s="268"/>
      <c r="F35" s="268"/>
      <c r="G35" s="268"/>
      <c r="H35" s="268"/>
      <c r="I35" s="268"/>
      <c r="J35" s="268"/>
      <c r="K35" s="268"/>
      <c r="L35" s="309"/>
      <c r="M35" s="268"/>
      <c r="N35" s="268"/>
      <c r="O35" s="310"/>
      <c r="P35" s="268"/>
      <c r="Q35" s="309"/>
      <c r="R35" s="268"/>
      <c r="S35" s="313"/>
      <c r="T35" s="313"/>
      <c r="U35" s="302"/>
      <c r="V35" s="302"/>
      <c r="W35" s="304"/>
      <c r="X35" s="302"/>
      <c r="Y35" s="302"/>
      <c r="Z35" s="302"/>
    </row>
    <row r="36" spans="1:26" ht="24.75" customHeight="1">
      <c r="A36" s="268"/>
      <c r="B36" s="268"/>
      <c r="C36" s="268"/>
      <c r="D36" s="268"/>
      <c r="E36" s="268"/>
      <c r="F36" s="268"/>
      <c r="G36" s="268"/>
      <c r="H36" s="268"/>
      <c r="I36" s="268"/>
      <c r="J36" s="268"/>
      <c r="K36" s="268"/>
      <c r="L36" s="309"/>
      <c r="M36" s="268"/>
      <c r="N36" s="268"/>
      <c r="O36" s="310"/>
      <c r="P36" s="268"/>
      <c r="Q36" s="309"/>
      <c r="R36" s="268"/>
      <c r="S36" s="268"/>
      <c r="T36" s="268"/>
      <c r="U36" s="253" t="s">
        <v>4806</v>
      </c>
      <c r="V36" s="254" t="s">
        <v>4807</v>
      </c>
      <c r="W36" s="248">
        <v>175</v>
      </c>
      <c r="X36" s="248">
        <v>80</v>
      </c>
      <c r="Y36" s="248">
        <v>26.12</v>
      </c>
      <c r="Z36" s="268"/>
    </row>
    <row r="37" spans="1:26" ht="24.75" customHeight="1">
      <c r="A37" s="268"/>
      <c r="B37" s="268"/>
      <c r="C37" s="268"/>
      <c r="D37" s="268"/>
      <c r="E37" s="268"/>
      <c r="F37" s="268"/>
      <c r="G37" s="268"/>
      <c r="H37" s="268"/>
      <c r="I37" s="268"/>
      <c r="J37" s="268"/>
      <c r="K37" s="268"/>
      <c r="L37" s="309"/>
      <c r="M37" s="268"/>
      <c r="N37" s="268"/>
      <c r="O37" s="310"/>
      <c r="P37" s="268"/>
      <c r="Q37" s="309"/>
      <c r="R37" s="268"/>
      <c r="S37" s="313"/>
      <c r="T37" s="313"/>
      <c r="U37" s="256"/>
      <c r="V37" s="257"/>
      <c r="W37" s="230"/>
      <c r="X37" s="230"/>
      <c r="Y37" s="230"/>
      <c r="Z37" s="268"/>
    </row>
    <row r="38" spans="1:26" ht="24.75" customHeight="1">
      <c r="A38" s="268"/>
      <c r="B38" s="268"/>
      <c r="C38" s="268"/>
      <c r="D38" s="268"/>
      <c r="E38" s="268"/>
      <c r="F38" s="268"/>
      <c r="G38" s="268"/>
      <c r="H38" s="268"/>
      <c r="I38" s="268"/>
      <c r="J38" s="268"/>
      <c r="K38" s="268"/>
      <c r="L38" s="309"/>
      <c r="M38" s="268"/>
      <c r="N38" s="268"/>
      <c r="O38" s="310"/>
      <c r="P38" s="268"/>
      <c r="Q38" s="309"/>
      <c r="R38" s="268"/>
      <c r="S38" s="268"/>
      <c r="T38" s="268"/>
      <c r="U38" s="253" t="s">
        <v>4806</v>
      </c>
      <c r="V38" s="254" t="s">
        <v>4807</v>
      </c>
      <c r="W38" s="248">
        <v>175</v>
      </c>
      <c r="X38" s="248">
        <v>80</v>
      </c>
      <c r="Y38" s="248">
        <v>26.12</v>
      </c>
      <c r="Z38" s="268"/>
    </row>
    <row r="39" spans="1:26" ht="24.75" customHeight="1">
      <c r="A39" s="268"/>
      <c r="B39" s="268"/>
      <c r="C39" s="268"/>
      <c r="D39" s="268"/>
      <c r="E39" s="268"/>
      <c r="F39" s="268"/>
      <c r="G39" s="268"/>
      <c r="H39" s="268"/>
      <c r="I39" s="268"/>
      <c r="J39" s="268"/>
      <c r="K39" s="268"/>
      <c r="L39" s="309"/>
      <c r="M39" s="268"/>
      <c r="N39" s="268"/>
      <c r="O39" s="310"/>
      <c r="P39" s="268"/>
      <c r="Q39" s="309"/>
      <c r="R39" s="268"/>
      <c r="S39" s="313"/>
      <c r="T39" s="313"/>
      <c r="U39" s="256"/>
      <c r="V39" s="257"/>
      <c r="W39" s="230"/>
      <c r="X39" s="230"/>
      <c r="Y39" s="230"/>
      <c r="Z39" s="268"/>
    </row>
    <row r="40" spans="1:26" ht="24.75" customHeight="1">
      <c r="A40" s="268"/>
      <c r="B40" s="268"/>
      <c r="C40" s="268"/>
      <c r="D40" s="268"/>
      <c r="E40" s="268"/>
      <c r="F40" s="268"/>
      <c r="G40" s="268"/>
      <c r="H40" s="268"/>
      <c r="I40" s="268"/>
      <c r="J40" s="268"/>
      <c r="K40" s="268"/>
      <c r="L40" s="309"/>
      <c r="M40" s="268"/>
      <c r="N40" s="268"/>
      <c r="O40" s="310"/>
      <c r="P40" s="268"/>
      <c r="Q40" s="309"/>
      <c r="R40" s="313"/>
      <c r="S40" s="313"/>
      <c r="T40" s="313"/>
      <c r="U40" s="268"/>
      <c r="V40" s="309"/>
      <c r="W40" s="310"/>
      <c r="X40" s="268"/>
      <c r="Y40" s="268"/>
      <c r="Z40" s="268"/>
    </row>
    <row r="41" spans="1:26" ht="24.75" customHeight="1">
      <c r="A41" s="268"/>
      <c r="B41" s="268"/>
      <c r="C41" s="268"/>
      <c r="D41" s="268"/>
      <c r="E41" s="268"/>
      <c r="F41" s="268"/>
      <c r="G41" s="268"/>
      <c r="H41" s="268"/>
      <c r="I41" s="268"/>
      <c r="J41" s="268"/>
      <c r="K41" s="268"/>
      <c r="L41" s="309"/>
      <c r="M41" s="268"/>
      <c r="N41" s="268"/>
      <c r="O41" s="310"/>
      <c r="P41" s="268"/>
      <c r="Q41" s="309"/>
      <c r="R41" s="268"/>
      <c r="S41" s="268"/>
      <c r="T41" s="268"/>
      <c r="U41" s="288">
        <v>26964</v>
      </c>
      <c r="V41" s="246" t="s">
        <v>5167</v>
      </c>
      <c r="W41" s="254" t="s">
        <v>5168</v>
      </c>
      <c r="X41" s="248">
        <v>150</v>
      </c>
      <c r="Y41" s="248">
        <v>84</v>
      </c>
      <c r="Z41" s="248">
        <v>37.33</v>
      </c>
    </row>
    <row r="42" spans="1:26" ht="24.75" customHeight="1">
      <c r="A42" s="268"/>
      <c r="B42" s="268"/>
      <c r="C42" s="268"/>
      <c r="D42" s="268"/>
      <c r="E42" s="268"/>
      <c r="F42" s="268"/>
      <c r="G42" s="268"/>
      <c r="H42" s="268"/>
      <c r="I42" s="268"/>
      <c r="J42" s="268"/>
      <c r="K42" s="268"/>
      <c r="L42" s="309"/>
      <c r="M42" s="268"/>
      <c r="N42" s="268"/>
      <c r="O42" s="310"/>
      <c r="P42" s="268"/>
      <c r="Q42" s="309"/>
      <c r="R42" s="268"/>
      <c r="S42" s="313"/>
      <c r="T42" s="313"/>
      <c r="U42" s="256"/>
      <c r="V42" s="257"/>
      <c r="W42" s="230"/>
      <c r="X42" s="230"/>
      <c r="Y42" s="230"/>
      <c r="Z42" s="268"/>
    </row>
    <row r="43" spans="1:26" ht="24.75" customHeight="1">
      <c r="A43" s="268"/>
      <c r="B43" s="268"/>
      <c r="C43" s="268"/>
      <c r="D43" s="268"/>
      <c r="E43" s="268"/>
      <c r="F43" s="268"/>
      <c r="G43" s="268"/>
      <c r="H43" s="268"/>
      <c r="I43" s="268"/>
      <c r="J43" s="268"/>
      <c r="K43" s="268"/>
      <c r="L43" s="309"/>
      <c r="M43" s="268"/>
      <c r="N43" s="268"/>
      <c r="O43" s="268"/>
      <c r="P43" s="268"/>
      <c r="Q43" s="309"/>
      <c r="R43" s="268"/>
      <c r="S43" s="313"/>
      <c r="T43" s="313"/>
      <c r="U43" s="302"/>
      <c r="V43" s="302"/>
      <c r="W43" s="304"/>
      <c r="X43" s="302"/>
      <c r="Y43" s="302"/>
      <c r="Z43" s="302"/>
    </row>
    <row r="44" spans="1:26" ht="24.75" customHeight="1">
      <c r="A44" s="268"/>
      <c r="B44" s="268"/>
      <c r="C44" s="268"/>
      <c r="D44" s="268"/>
      <c r="E44" s="268"/>
      <c r="F44" s="268"/>
      <c r="G44" s="268"/>
      <c r="H44" s="268"/>
      <c r="I44" s="268"/>
      <c r="J44" s="268"/>
      <c r="K44" s="268"/>
      <c r="L44" s="309"/>
      <c r="M44" s="268"/>
      <c r="N44" s="268"/>
      <c r="O44" s="268"/>
      <c r="P44" s="268"/>
      <c r="Q44" s="309"/>
      <c r="R44" s="268"/>
      <c r="S44" s="313"/>
      <c r="T44" s="313"/>
      <c r="U44" s="268"/>
      <c r="V44" s="309"/>
      <c r="W44" s="310"/>
      <c r="X44" s="268"/>
      <c r="Y44" s="268"/>
      <c r="Z44" s="268"/>
    </row>
    <row r="45" spans="1:26" ht="24.75" customHeight="1">
      <c r="A45" s="268"/>
      <c r="B45" s="268"/>
      <c r="C45" s="268"/>
      <c r="D45" s="268"/>
      <c r="E45" s="268"/>
      <c r="F45" s="268"/>
      <c r="G45" s="268"/>
      <c r="H45" s="268"/>
      <c r="I45" s="268"/>
      <c r="J45" s="268"/>
      <c r="K45" s="268"/>
      <c r="L45" s="309"/>
      <c r="M45" s="268"/>
      <c r="N45" s="268"/>
      <c r="O45" s="310"/>
      <c r="P45" s="268"/>
      <c r="Q45" s="309"/>
      <c r="R45" s="268"/>
      <c r="S45" s="268"/>
      <c r="T45" s="268"/>
      <c r="U45" s="245">
        <v>29125</v>
      </c>
      <c r="V45" s="246" t="s">
        <v>4799</v>
      </c>
      <c r="W45" s="247" t="s">
        <v>4800</v>
      </c>
      <c r="X45" s="248">
        <v>157</v>
      </c>
      <c r="Y45" s="248">
        <v>59</v>
      </c>
      <c r="Z45" s="248">
        <v>23.94</v>
      </c>
    </row>
    <row r="46" spans="1:26" ht="24.75" customHeight="1">
      <c r="A46" s="268"/>
      <c r="B46" s="268"/>
      <c r="C46" s="268"/>
      <c r="D46" s="268"/>
      <c r="E46" s="268"/>
      <c r="F46" s="268"/>
      <c r="G46" s="268"/>
      <c r="H46" s="268"/>
      <c r="I46" s="268"/>
      <c r="J46" s="268"/>
      <c r="K46" s="268"/>
      <c r="L46" s="309"/>
      <c r="M46" s="268"/>
      <c r="N46" s="268"/>
      <c r="O46" s="310"/>
      <c r="P46" s="268"/>
      <c r="Q46" s="309"/>
      <c r="R46" s="268"/>
      <c r="S46" s="313"/>
      <c r="T46" s="313"/>
      <c r="U46" s="268"/>
      <c r="V46" s="309"/>
      <c r="W46" s="310"/>
      <c r="X46" s="268"/>
      <c r="Y46" s="268"/>
      <c r="Z46" s="268"/>
    </row>
    <row r="47" spans="1:26" ht="24.75" customHeight="1">
      <c r="A47" s="268"/>
      <c r="B47" s="268"/>
      <c r="C47" s="268"/>
      <c r="D47" s="268"/>
      <c r="E47" s="268"/>
      <c r="F47" s="268"/>
      <c r="G47" s="268"/>
      <c r="H47" s="268"/>
      <c r="I47" s="268"/>
      <c r="J47" s="268"/>
      <c r="K47" s="268"/>
      <c r="L47" s="309"/>
      <c r="M47" s="268"/>
      <c r="N47" s="268"/>
      <c r="O47" s="310"/>
      <c r="P47" s="268"/>
      <c r="Q47" s="309"/>
      <c r="R47" s="268"/>
      <c r="S47" s="268"/>
      <c r="T47" s="268"/>
      <c r="U47" s="288">
        <v>26964</v>
      </c>
      <c r="V47" s="246" t="s">
        <v>5167</v>
      </c>
      <c r="W47" s="254" t="s">
        <v>5168</v>
      </c>
      <c r="X47" s="248">
        <v>150</v>
      </c>
      <c r="Y47" s="248">
        <v>84</v>
      </c>
      <c r="Z47" s="248">
        <v>37.33</v>
      </c>
    </row>
    <row r="48" spans="1:26" ht="24.75" customHeight="1">
      <c r="A48" s="268"/>
      <c r="B48" s="268"/>
      <c r="C48" s="268"/>
      <c r="D48" s="268"/>
      <c r="E48" s="268"/>
      <c r="F48" s="268"/>
      <c r="G48" s="268"/>
      <c r="H48" s="268"/>
      <c r="I48" s="268"/>
      <c r="J48" s="268"/>
      <c r="K48" s="268"/>
      <c r="L48" s="309"/>
      <c r="M48" s="268"/>
      <c r="N48" s="268"/>
      <c r="O48" s="268"/>
      <c r="P48" s="268"/>
      <c r="Q48" s="309"/>
      <c r="R48" s="268"/>
      <c r="S48" s="268"/>
      <c r="T48" s="268"/>
      <c r="U48" s="288">
        <v>26964</v>
      </c>
      <c r="V48" s="246" t="s">
        <v>5167</v>
      </c>
      <c r="W48" s="254" t="s">
        <v>5168</v>
      </c>
      <c r="X48" s="248">
        <v>150</v>
      </c>
      <c r="Y48" s="248">
        <v>84</v>
      </c>
      <c r="Z48" s="248">
        <v>37.33</v>
      </c>
    </row>
    <row r="49" spans="1:26" ht="24.75" customHeight="1">
      <c r="A49" s="268"/>
      <c r="B49" s="268"/>
      <c r="C49" s="268"/>
      <c r="D49" s="268"/>
      <c r="E49" s="268"/>
      <c r="F49" s="268"/>
      <c r="G49" s="268"/>
      <c r="H49" s="268"/>
      <c r="I49" s="268"/>
      <c r="J49" s="268"/>
      <c r="K49" s="268"/>
      <c r="L49" s="309"/>
      <c r="M49" s="268"/>
      <c r="N49" s="268"/>
      <c r="O49" s="268"/>
      <c r="P49" s="268"/>
      <c r="Q49" s="309"/>
      <c r="R49" s="268"/>
      <c r="S49" s="268"/>
      <c r="T49" s="268"/>
      <c r="U49" s="246" t="s">
        <v>4899</v>
      </c>
      <c r="V49" s="254" t="s">
        <v>4900</v>
      </c>
      <c r="W49" s="248">
        <v>160</v>
      </c>
      <c r="X49" s="248">
        <v>66</v>
      </c>
      <c r="Y49" s="248">
        <v>25.78</v>
      </c>
      <c r="Z49" s="268"/>
    </row>
    <row r="50" spans="1:26" ht="24.75" customHeight="1">
      <c r="A50" s="268"/>
      <c r="B50" s="268"/>
      <c r="C50" s="268"/>
      <c r="D50" s="268"/>
      <c r="E50" s="268"/>
      <c r="F50" s="268"/>
      <c r="G50" s="268"/>
      <c r="H50" s="268"/>
      <c r="I50" s="268"/>
      <c r="J50" s="268"/>
      <c r="K50" s="268"/>
      <c r="L50" s="309"/>
      <c r="M50" s="268"/>
      <c r="N50" s="268"/>
      <c r="O50" s="310"/>
      <c r="P50" s="268"/>
      <c r="Q50" s="309"/>
      <c r="R50" s="268"/>
      <c r="S50" s="268"/>
      <c r="T50" s="268"/>
      <c r="U50" s="268"/>
      <c r="V50" s="309"/>
      <c r="W50" s="310"/>
      <c r="X50" s="268"/>
      <c r="Y50" s="268"/>
      <c r="Z50" s="268"/>
    </row>
    <row r="51" spans="1:26" ht="24.75" customHeight="1">
      <c r="A51" s="268"/>
      <c r="B51" s="268"/>
      <c r="C51" s="268"/>
      <c r="D51" s="268"/>
      <c r="E51" s="268"/>
      <c r="F51" s="268"/>
      <c r="G51" s="268"/>
      <c r="H51" s="268"/>
      <c r="I51" s="268"/>
      <c r="J51" s="268"/>
      <c r="K51" s="268"/>
      <c r="L51" s="309"/>
      <c r="M51" s="268"/>
      <c r="N51" s="268"/>
      <c r="O51" s="310"/>
      <c r="P51" s="268"/>
      <c r="Q51" s="309"/>
      <c r="R51" s="268"/>
      <c r="S51" s="268"/>
      <c r="T51" s="268"/>
      <c r="U51" s="288">
        <v>26964</v>
      </c>
      <c r="V51" s="246" t="s">
        <v>5167</v>
      </c>
      <c r="W51" s="254" t="s">
        <v>5168</v>
      </c>
      <c r="X51" s="248">
        <v>150</v>
      </c>
      <c r="Y51" s="248">
        <v>84</v>
      </c>
      <c r="Z51" s="248">
        <v>37.33</v>
      </c>
    </row>
    <row r="52" spans="1:26" ht="24.75" customHeight="1">
      <c r="A52" s="268"/>
      <c r="B52" s="268"/>
      <c r="C52" s="268"/>
      <c r="D52" s="268"/>
      <c r="E52" s="268"/>
      <c r="F52" s="268"/>
      <c r="G52" s="268"/>
      <c r="H52" s="268"/>
      <c r="I52" s="268"/>
      <c r="J52" s="268"/>
      <c r="K52" s="268"/>
      <c r="L52" s="309"/>
      <c r="M52" s="268"/>
      <c r="N52" s="268"/>
      <c r="O52" s="310"/>
      <c r="P52" s="268"/>
      <c r="Q52" s="309"/>
      <c r="R52" s="268"/>
      <c r="S52" s="268"/>
      <c r="T52" s="268"/>
      <c r="U52" s="288">
        <v>26964</v>
      </c>
      <c r="V52" s="246" t="s">
        <v>5167</v>
      </c>
      <c r="W52" s="254" t="s">
        <v>5168</v>
      </c>
      <c r="X52" s="248">
        <v>150</v>
      </c>
      <c r="Y52" s="248">
        <v>84</v>
      </c>
      <c r="Z52" s="248">
        <v>37.33</v>
      </c>
    </row>
    <row r="53" spans="1:26" ht="24.75" customHeight="1">
      <c r="A53" s="268"/>
      <c r="B53" s="268"/>
      <c r="C53" s="268"/>
      <c r="D53" s="268"/>
      <c r="E53" s="268"/>
      <c r="F53" s="268"/>
      <c r="G53" s="268"/>
      <c r="H53" s="268"/>
      <c r="I53" s="268"/>
      <c r="J53" s="268"/>
      <c r="K53" s="268"/>
      <c r="L53" s="309"/>
      <c r="M53" s="268"/>
      <c r="N53" s="268"/>
      <c r="O53" s="268"/>
      <c r="P53" s="268"/>
      <c r="Q53" s="309"/>
      <c r="R53" s="268"/>
      <c r="S53" s="268"/>
      <c r="T53" s="268"/>
      <c r="U53" s="246" t="s">
        <v>4899</v>
      </c>
      <c r="V53" s="254" t="s">
        <v>4900</v>
      </c>
      <c r="W53" s="248">
        <v>160</v>
      </c>
      <c r="X53" s="248">
        <v>66</v>
      </c>
      <c r="Y53" s="248">
        <v>25.78</v>
      </c>
      <c r="Z53" s="268"/>
    </row>
    <row r="54" spans="1:26" ht="24.75" customHeight="1">
      <c r="A54" s="268"/>
      <c r="B54" s="268"/>
      <c r="C54" s="268"/>
      <c r="D54" s="268"/>
      <c r="E54" s="268"/>
      <c r="F54" s="268"/>
      <c r="G54" s="268"/>
      <c r="H54" s="268"/>
      <c r="I54" s="268"/>
      <c r="J54" s="268"/>
      <c r="K54" s="268"/>
      <c r="L54" s="309"/>
      <c r="M54" s="268"/>
      <c r="N54" s="268"/>
      <c r="O54" s="310"/>
      <c r="P54" s="268"/>
      <c r="Q54" s="309"/>
      <c r="R54" s="268"/>
      <c r="S54" s="268"/>
      <c r="T54" s="268"/>
      <c r="U54" s="268"/>
      <c r="V54" s="309"/>
      <c r="W54" s="310"/>
      <c r="X54" s="268"/>
      <c r="Y54" s="268"/>
      <c r="Z54" s="268"/>
    </row>
    <row r="55" spans="1:26" ht="24.75" customHeight="1">
      <c r="A55" s="268"/>
      <c r="B55" s="268"/>
      <c r="C55" s="268"/>
      <c r="D55" s="268"/>
      <c r="E55" s="268"/>
      <c r="F55" s="268"/>
      <c r="G55" s="268"/>
      <c r="H55" s="268"/>
      <c r="I55" s="268"/>
      <c r="J55" s="268"/>
      <c r="K55" s="268"/>
      <c r="L55" s="309"/>
      <c r="M55" s="268"/>
      <c r="N55" s="268"/>
      <c r="O55" s="310"/>
      <c r="P55" s="268"/>
      <c r="Q55" s="309"/>
      <c r="R55" s="268"/>
      <c r="S55" s="268"/>
      <c r="T55" s="268"/>
      <c r="U55" s="268"/>
      <c r="V55" s="309"/>
      <c r="W55" s="310"/>
      <c r="X55" s="268"/>
      <c r="Y55" s="268"/>
      <c r="Z55" s="268"/>
    </row>
    <row r="56" spans="1:26" ht="24.75" customHeight="1">
      <c r="A56" s="268"/>
      <c r="B56" s="268"/>
      <c r="C56" s="268"/>
      <c r="D56" s="268"/>
      <c r="E56" s="268"/>
      <c r="F56" s="268"/>
      <c r="G56" s="268"/>
      <c r="H56" s="268"/>
      <c r="I56" s="268"/>
      <c r="J56" s="268"/>
      <c r="K56" s="268"/>
      <c r="L56" s="309"/>
      <c r="M56" s="268"/>
      <c r="N56" s="268"/>
      <c r="O56" s="310"/>
      <c r="P56" s="268"/>
      <c r="Q56" s="309"/>
      <c r="R56" s="268"/>
      <c r="S56" s="268"/>
      <c r="T56" s="268"/>
      <c r="U56" s="268"/>
      <c r="V56" s="309"/>
      <c r="W56" s="310"/>
      <c r="X56" s="268"/>
      <c r="Y56" s="268"/>
      <c r="Z56" s="268"/>
    </row>
    <row r="57" spans="1:26" ht="24.75" customHeight="1">
      <c r="A57" s="268"/>
      <c r="B57" s="268"/>
      <c r="C57" s="268"/>
      <c r="D57" s="268"/>
      <c r="E57" s="268"/>
      <c r="F57" s="268"/>
      <c r="G57" s="268"/>
      <c r="H57" s="268"/>
      <c r="I57" s="268"/>
      <c r="J57" s="268"/>
      <c r="K57" s="268"/>
      <c r="L57" s="309"/>
      <c r="M57" s="268"/>
      <c r="N57" s="268"/>
      <c r="O57" s="310"/>
      <c r="P57" s="268"/>
      <c r="Q57" s="309"/>
      <c r="R57" s="268"/>
      <c r="S57" s="313"/>
      <c r="T57" s="313"/>
      <c r="U57" s="268"/>
      <c r="V57" s="309"/>
      <c r="W57" s="310"/>
      <c r="X57" s="268"/>
      <c r="Y57" s="268"/>
      <c r="Z57" s="268"/>
    </row>
    <row r="58" spans="1:26" ht="24.75" customHeight="1">
      <c r="A58" s="268"/>
      <c r="B58" s="268"/>
      <c r="C58" s="268"/>
      <c r="D58" s="268"/>
      <c r="E58" s="268"/>
      <c r="F58" s="268"/>
      <c r="G58" s="268"/>
      <c r="H58" s="268"/>
      <c r="I58" s="268"/>
      <c r="J58" s="268"/>
      <c r="K58" s="268"/>
      <c r="L58" s="309"/>
      <c r="M58" s="268"/>
      <c r="N58" s="268"/>
      <c r="O58" s="310"/>
      <c r="P58" s="268"/>
      <c r="Q58" s="309"/>
      <c r="R58" s="268"/>
      <c r="S58" s="313"/>
      <c r="T58" s="313"/>
      <c r="U58" s="230"/>
      <c r="V58" s="256"/>
      <c r="W58" s="257"/>
      <c r="X58" s="230"/>
      <c r="Y58" s="230"/>
      <c r="Z58" s="230"/>
    </row>
    <row r="59" spans="1:26" ht="24.75" customHeight="1">
      <c r="A59" s="268"/>
      <c r="B59" s="268"/>
      <c r="C59" s="268"/>
      <c r="D59" s="268"/>
      <c r="E59" s="268"/>
      <c r="F59" s="268"/>
      <c r="G59" s="268"/>
      <c r="H59" s="268"/>
      <c r="I59" s="268"/>
      <c r="J59" s="268"/>
      <c r="K59" s="268"/>
      <c r="L59" s="309"/>
      <c r="M59" s="268"/>
      <c r="N59" s="268"/>
      <c r="O59" s="310"/>
      <c r="P59" s="268"/>
      <c r="Q59" s="309"/>
      <c r="R59" s="268"/>
      <c r="S59" s="313"/>
      <c r="T59" s="313"/>
      <c r="U59" s="302"/>
      <c r="V59" s="302"/>
      <c r="W59" s="304"/>
      <c r="X59" s="302"/>
      <c r="Y59" s="302"/>
      <c r="Z59" s="302"/>
    </row>
    <row r="60" spans="1:26" ht="24.75" customHeight="1">
      <c r="A60" s="268"/>
      <c r="B60" s="268"/>
      <c r="C60" s="268"/>
      <c r="D60" s="268"/>
      <c r="E60" s="268"/>
      <c r="F60" s="268"/>
      <c r="G60" s="268"/>
      <c r="H60" s="268"/>
      <c r="I60" s="268"/>
      <c r="J60" s="268"/>
      <c r="K60" s="268"/>
      <c r="L60" s="309"/>
      <c r="M60" s="268"/>
      <c r="N60" s="268"/>
      <c r="O60" s="310"/>
      <c r="P60" s="268"/>
      <c r="Q60" s="309"/>
      <c r="R60" s="268"/>
      <c r="S60" s="313"/>
      <c r="T60" s="313"/>
      <c r="U60" s="302"/>
      <c r="V60" s="302"/>
      <c r="W60" s="304"/>
      <c r="X60" s="302"/>
      <c r="Y60" s="302"/>
      <c r="Z60" s="302"/>
    </row>
    <row r="61" spans="1:26" ht="24.75" customHeight="1">
      <c r="A61" s="268"/>
      <c r="B61" s="268"/>
      <c r="C61" s="268"/>
      <c r="D61" s="268"/>
      <c r="E61" s="268"/>
      <c r="F61" s="268"/>
      <c r="G61" s="268"/>
      <c r="H61" s="268"/>
      <c r="I61" s="268"/>
      <c r="J61" s="268"/>
      <c r="K61" s="268"/>
      <c r="L61" s="309"/>
      <c r="M61" s="268"/>
      <c r="N61" s="268"/>
      <c r="O61" s="310"/>
      <c r="P61" s="268"/>
      <c r="Q61" s="309"/>
      <c r="R61" s="268"/>
      <c r="S61" s="268"/>
      <c r="T61" s="268"/>
      <c r="U61" s="245">
        <v>29125</v>
      </c>
      <c r="V61" s="246" t="s">
        <v>4799</v>
      </c>
      <c r="W61" s="247" t="s">
        <v>4800</v>
      </c>
      <c r="X61" s="248">
        <v>157</v>
      </c>
      <c r="Y61" s="248">
        <v>59</v>
      </c>
      <c r="Z61" s="248">
        <v>23.94</v>
      </c>
    </row>
    <row r="62" spans="1:26" ht="24.75" customHeight="1">
      <c r="A62" s="268"/>
      <c r="B62" s="268"/>
      <c r="C62" s="268"/>
      <c r="D62" s="268"/>
      <c r="E62" s="268"/>
      <c r="F62" s="268"/>
      <c r="G62" s="268"/>
      <c r="H62" s="268"/>
      <c r="I62" s="268"/>
      <c r="J62" s="268"/>
      <c r="K62" s="268"/>
      <c r="L62" s="309"/>
      <c r="M62" s="268"/>
      <c r="N62" s="268"/>
      <c r="O62" s="310"/>
      <c r="P62" s="268"/>
      <c r="Q62" s="309"/>
      <c r="R62" s="268"/>
      <c r="S62" s="268"/>
      <c r="T62" s="268"/>
      <c r="U62" s="245">
        <v>25409</v>
      </c>
      <c r="V62" s="246" t="s">
        <v>5161</v>
      </c>
      <c r="W62" s="247" t="s">
        <v>5162</v>
      </c>
      <c r="X62" s="248">
        <v>158</v>
      </c>
      <c r="Y62" s="248">
        <v>63</v>
      </c>
      <c r="Z62" s="248">
        <v>25.24</v>
      </c>
    </row>
    <row r="63" spans="1:26" ht="24.75" customHeight="1">
      <c r="A63" s="268"/>
      <c r="B63" s="268"/>
      <c r="C63" s="268"/>
      <c r="D63" s="268"/>
      <c r="E63" s="268"/>
      <c r="F63" s="268"/>
      <c r="G63" s="268"/>
      <c r="H63" s="268"/>
      <c r="I63" s="268"/>
      <c r="J63" s="268"/>
      <c r="K63" s="268"/>
      <c r="L63" s="309"/>
      <c r="M63" s="268"/>
      <c r="N63" s="268"/>
      <c r="O63" s="310"/>
      <c r="P63" s="268"/>
      <c r="Q63" s="309"/>
      <c r="R63" s="268"/>
      <c r="S63" s="268"/>
      <c r="T63" s="268"/>
      <c r="U63" s="245">
        <v>29125</v>
      </c>
      <c r="V63" s="246" t="s">
        <v>4799</v>
      </c>
      <c r="W63" s="247" t="s">
        <v>4800</v>
      </c>
      <c r="X63" s="248">
        <v>157</v>
      </c>
      <c r="Y63" s="248">
        <v>59</v>
      </c>
      <c r="Z63" s="248">
        <v>23.94</v>
      </c>
    </row>
    <row r="64" spans="1:26" ht="24.75" customHeight="1">
      <c r="A64" s="268"/>
      <c r="B64" s="268"/>
      <c r="C64" s="268"/>
      <c r="D64" s="268"/>
      <c r="E64" s="268"/>
      <c r="F64" s="268"/>
      <c r="G64" s="268"/>
      <c r="H64" s="268"/>
      <c r="I64" s="268"/>
      <c r="J64" s="268"/>
      <c r="K64" s="268"/>
      <c r="L64" s="309"/>
      <c r="M64" s="268"/>
      <c r="N64" s="268"/>
      <c r="O64" s="310"/>
      <c r="P64" s="268"/>
      <c r="Q64" s="309"/>
      <c r="R64" s="268"/>
      <c r="S64" s="268"/>
      <c r="T64" s="268"/>
      <c r="U64" s="245">
        <v>29125</v>
      </c>
      <c r="V64" s="246" t="s">
        <v>4799</v>
      </c>
      <c r="W64" s="247" t="s">
        <v>4800</v>
      </c>
      <c r="X64" s="248">
        <v>157</v>
      </c>
      <c r="Y64" s="248">
        <v>59</v>
      </c>
      <c r="Z64" s="248">
        <v>23.94</v>
      </c>
    </row>
    <row r="65" spans="1:26" ht="24.75" customHeight="1">
      <c r="A65" s="268"/>
      <c r="B65" s="268"/>
      <c r="C65" s="268"/>
      <c r="D65" s="268"/>
      <c r="E65" s="268"/>
      <c r="F65" s="268"/>
      <c r="G65" s="268"/>
      <c r="H65" s="268"/>
      <c r="I65" s="268"/>
      <c r="J65" s="268"/>
      <c r="K65" s="268"/>
      <c r="L65" s="309"/>
      <c r="M65" s="268"/>
      <c r="N65" s="268"/>
      <c r="O65" s="268"/>
      <c r="P65" s="268"/>
      <c r="Q65" s="309"/>
      <c r="R65" s="268"/>
      <c r="S65" s="313"/>
      <c r="T65" s="313"/>
      <c r="U65" s="268"/>
      <c r="V65" s="309"/>
      <c r="W65" s="310"/>
      <c r="X65" s="268"/>
      <c r="Y65" s="268"/>
      <c r="Z65" s="268"/>
    </row>
    <row r="66" spans="1:26" ht="24.75" customHeight="1">
      <c r="A66" s="268"/>
      <c r="B66" s="268"/>
      <c r="C66" s="268"/>
      <c r="D66" s="268"/>
      <c r="E66" s="268"/>
      <c r="F66" s="268"/>
      <c r="G66" s="268"/>
      <c r="H66" s="268"/>
      <c r="I66" s="268"/>
      <c r="J66" s="268"/>
      <c r="K66" s="268"/>
      <c r="L66" s="309"/>
      <c r="M66" s="268"/>
      <c r="N66" s="268"/>
      <c r="O66" s="310"/>
      <c r="P66" s="268"/>
      <c r="Q66" s="309"/>
      <c r="R66" s="268"/>
      <c r="S66" s="313"/>
      <c r="T66" s="313"/>
      <c r="U66" s="268"/>
      <c r="V66" s="309"/>
      <c r="W66" s="310"/>
      <c r="X66" s="268"/>
      <c r="Y66" s="268"/>
      <c r="Z66" s="268"/>
    </row>
    <row r="67" spans="1:26" ht="24.75" customHeight="1">
      <c r="A67" s="268"/>
      <c r="B67" s="268"/>
      <c r="C67" s="268"/>
      <c r="D67" s="268"/>
      <c r="E67" s="268"/>
      <c r="F67" s="268"/>
      <c r="G67" s="268"/>
      <c r="H67" s="268"/>
      <c r="I67" s="268"/>
      <c r="J67" s="268"/>
      <c r="K67" s="268"/>
      <c r="L67" s="309"/>
      <c r="M67" s="268"/>
      <c r="N67" s="268"/>
      <c r="O67" s="310"/>
      <c r="P67" s="268"/>
      <c r="Q67" s="309"/>
      <c r="R67" s="313"/>
      <c r="S67" s="268"/>
      <c r="T67" s="268"/>
      <c r="U67" s="245">
        <v>29125</v>
      </c>
      <c r="V67" s="246" t="s">
        <v>4799</v>
      </c>
      <c r="W67" s="247" t="s">
        <v>4800</v>
      </c>
      <c r="X67" s="248">
        <v>157</v>
      </c>
      <c r="Y67" s="248">
        <v>59</v>
      </c>
      <c r="Z67" s="248">
        <v>23.94</v>
      </c>
    </row>
    <row r="68" spans="1:26" ht="24.75" customHeight="1">
      <c r="A68" s="268"/>
      <c r="B68" s="268"/>
      <c r="C68" s="268"/>
      <c r="D68" s="268"/>
      <c r="E68" s="268"/>
      <c r="F68" s="268"/>
      <c r="G68" s="268"/>
      <c r="H68" s="268"/>
      <c r="I68" s="268"/>
      <c r="J68" s="268"/>
      <c r="K68" s="268"/>
      <c r="L68" s="309"/>
      <c r="M68" s="268"/>
      <c r="N68" s="268"/>
      <c r="O68" s="268"/>
      <c r="P68" s="268"/>
      <c r="Q68" s="309"/>
      <c r="R68" s="268"/>
      <c r="S68" s="313"/>
      <c r="T68" s="313"/>
      <c r="U68" s="268"/>
      <c r="V68" s="309"/>
      <c r="W68" s="310"/>
      <c r="X68" s="268"/>
      <c r="Y68" s="268"/>
      <c r="Z68" s="268"/>
    </row>
    <row r="69" spans="1:26" ht="24.75" customHeight="1">
      <c r="A69" s="268"/>
      <c r="B69" s="268"/>
      <c r="C69" s="268"/>
      <c r="D69" s="268"/>
      <c r="E69" s="268"/>
      <c r="F69" s="268"/>
      <c r="G69" s="268"/>
      <c r="H69" s="268"/>
      <c r="I69" s="268"/>
      <c r="J69" s="268"/>
      <c r="K69" s="268"/>
      <c r="L69" s="309"/>
      <c r="M69" s="268"/>
      <c r="N69" s="268"/>
      <c r="O69" s="268"/>
      <c r="P69" s="268"/>
      <c r="Q69" s="309"/>
      <c r="R69" s="268"/>
      <c r="S69" s="313"/>
      <c r="T69" s="313"/>
      <c r="U69" s="268"/>
      <c r="V69" s="309"/>
      <c r="W69" s="310"/>
      <c r="X69" s="268"/>
      <c r="Y69" s="268"/>
      <c r="Z69" s="268"/>
    </row>
    <row r="70" spans="1:26" ht="24.75" customHeight="1">
      <c r="A70" s="268"/>
      <c r="B70" s="268"/>
      <c r="C70" s="268"/>
      <c r="D70" s="268"/>
      <c r="E70" s="268"/>
      <c r="F70" s="268"/>
      <c r="G70" s="268"/>
      <c r="H70" s="268"/>
      <c r="I70" s="268"/>
      <c r="J70" s="268"/>
      <c r="K70" s="268"/>
      <c r="L70" s="309"/>
      <c r="M70" s="268"/>
      <c r="N70" s="268"/>
      <c r="O70" s="310"/>
      <c r="P70" s="268"/>
      <c r="Q70" s="309"/>
      <c r="R70" s="268"/>
      <c r="S70" s="268"/>
      <c r="T70" s="268"/>
      <c r="U70" s="245">
        <v>25409</v>
      </c>
      <c r="V70" s="246" t="s">
        <v>5161</v>
      </c>
      <c r="W70" s="247" t="s">
        <v>5162</v>
      </c>
      <c r="X70" s="248">
        <v>158</v>
      </c>
      <c r="Y70" s="248">
        <v>63</v>
      </c>
      <c r="Z70" s="248">
        <v>25.24</v>
      </c>
    </row>
    <row r="71" spans="1:26" ht="24.75" customHeight="1">
      <c r="A71" s="268"/>
      <c r="B71" s="268"/>
      <c r="C71" s="268"/>
      <c r="D71" s="268"/>
      <c r="E71" s="268"/>
      <c r="F71" s="268"/>
      <c r="G71" s="268"/>
      <c r="H71" s="268"/>
      <c r="I71" s="268"/>
      <c r="J71" s="268"/>
      <c r="K71" s="268"/>
      <c r="L71" s="309"/>
      <c r="M71" s="268"/>
      <c r="N71" s="268"/>
      <c r="O71" s="268"/>
      <c r="P71" s="268"/>
      <c r="Q71" s="309"/>
      <c r="R71" s="268"/>
      <c r="S71" s="313"/>
      <c r="T71" s="313"/>
      <c r="U71" s="302"/>
      <c r="V71" s="302"/>
      <c r="W71" s="304"/>
      <c r="X71" s="302"/>
      <c r="Y71" s="302"/>
      <c r="Z71" s="302"/>
    </row>
    <row r="72" spans="1:26" ht="24.75" customHeight="1">
      <c r="A72" s="268"/>
      <c r="B72" s="268"/>
      <c r="C72" s="268"/>
      <c r="D72" s="268"/>
      <c r="E72" s="268"/>
      <c r="F72" s="268"/>
      <c r="G72" s="268"/>
      <c r="H72" s="268"/>
      <c r="I72" s="268"/>
      <c r="J72" s="268"/>
      <c r="K72" s="268"/>
      <c r="L72" s="309"/>
      <c r="M72" s="268"/>
      <c r="N72" s="268"/>
      <c r="O72" s="268"/>
      <c r="P72" s="268"/>
      <c r="Q72" s="309"/>
      <c r="R72" s="268"/>
      <c r="S72" s="313"/>
      <c r="T72" s="313"/>
      <c r="U72" s="268"/>
      <c r="V72" s="309"/>
      <c r="W72" s="310"/>
      <c r="X72" s="268"/>
      <c r="Y72" s="268"/>
      <c r="Z72" s="268"/>
    </row>
    <row r="73" spans="1:26" ht="24.75" customHeight="1">
      <c r="A73" s="268"/>
      <c r="B73" s="268"/>
      <c r="C73" s="268"/>
      <c r="D73" s="268"/>
      <c r="E73" s="268"/>
      <c r="F73" s="268"/>
      <c r="G73" s="268"/>
      <c r="H73" s="268"/>
      <c r="I73" s="268"/>
      <c r="J73" s="268"/>
      <c r="K73" s="268"/>
      <c r="L73" s="309"/>
      <c r="M73" s="268"/>
      <c r="N73" s="268"/>
      <c r="O73" s="310"/>
      <c r="P73" s="268"/>
      <c r="Q73" s="309"/>
      <c r="R73" s="268"/>
      <c r="S73" s="268"/>
      <c r="T73" s="268"/>
      <c r="U73" s="288">
        <v>26964</v>
      </c>
      <c r="V73" s="246" t="s">
        <v>5167</v>
      </c>
      <c r="W73" s="254" t="s">
        <v>5168</v>
      </c>
      <c r="X73" s="248">
        <v>150</v>
      </c>
      <c r="Y73" s="248">
        <v>84</v>
      </c>
      <c r="Z73" s="248">
        <v>37.33</v>
      </c>
    </row>
    <row r="74" spans="1:26" ht="24.75" customHeight="1">
      <c r="A74" s="268"/>
      <c r="B74" s="268"/>
      <c r="C74" s="268"/>
      <c r="D74" s="268"/>
      <c r="E74" s="268"/>
      <c r="F74" s="268"/>
      <c r="G74" s="268"/>
      <c r="H74" s="268"/>
      <c r="I74" s="268"/>
      <c r="J74" s="268"/>
      <c r="K74" s="268"/>
      <c r="L74" s="309"/>
      <c r="M74" s="268"/>
      <c r="N74" s="268"/>
      <c r="O74" s="310"/>
      <c r="P74" s="268"/>
      <c r="Q74" s="309"/>
      <c r="R74" s="268"/>
      <c r="S74" s="268"/>
      <c r="T74" s="268"/>
      <c r="U74" s="246" t="s">
        <v>4899</v>
      </c>
      <c r="V74" s="254" t="s">
        <v>4900</v>
      </c>
      <c r="W74" s="248">
        <v>160</v>
      </c>
      <c r="X74" s="248">
        <v>66</v>
      </c>
      <c r="Y74" s="248">
        <v>25.78</v>
      </c>
      <c r="Z74" s="268"/>
    </row>
    <row r="75" spans="1:26" ht="24.75" customHeight="1">
      <c r="A75" s="268"/>
      <c r="B75" s="268"/>
      <c r="C75" s="268"/>
      <c r="D75" s="268"/>
      <c r="E75" s="268"/>
      <c r="F75" s="268"/>
      <c r="G75" s="268"/>
      <c r="H75" s="268"/>
      <c r="I75" s="268"/>
      <c r="J75" s="268"/>
      <c r="K75" s="268"/>
      <c r="L75" s="309"/>
      <c r="M75" s="268"/>
      <c r="N75" s="268"/>
      <c r="O75" s="310"/>
      <c r="P75" s="268"/>
      <c r="Q75" s="309"/>
      <c r="R75" s="268"/>
      <c r="S75" s="313"/>
      <c r="T75" s="313"/>
      <c r="U75" s="256"/>
      <c r="V75" s="257"/>
      <c r="W75" s="230"/>
      <c r="X75" s="230"/>
      <c r="Y75" s="230"/>
      <c r="Z75" s="268"/>
    </row>
    <row r="76" spans="1:26" ht="24.75" customHeight="1">
      <c r="A76" s="268"/>
      <c r="B76" s="268"/>
      <c r="C76" s="268"/>
      <c r="D76" s="268"/>
      <c r="E76" s="268"/>
      <c r="F76" s="268"/>
      <c r="G76" s="268"/>
      <c r="H76" s="268"/>
      <c r="I76" s="268"/>
      <c r="J76" s="268"/>
      <c r="K76" s="268"/>
      <c r="L76" s="309"/>
      <c r="M76" s="268"/>
      <c r="N76" s="268"/>
      <c r="O76" s="310"/>
      <c r="P76" s="268"/>
      <c r="Q76" s="309"/>
      <c r="R76" s="313"/>
      <c r="S76" s="313"/>
      <c r="T76" s="313"/>
      <c r="U76" s="268"/>
      <c r="V76" s="309"/>
      <c r="W76" s="310"/>
      <c r="X76" s="268"/>
      <c r="Y76" s="268"/>
      <c r="Z76" s="268"/>
    </row>
    <row r="77" spans="1:26" ht="24.75" customHeight="1">
      <c r="A77" s="268"/>
      <c r="B77" s="268"/>
      <c r="C77" s="268"/>
      <c r="D77" s="268"/>
      <c r="E77" s="268"/>
      <c r="F77" s="268"/>
      <c r="G77" s="268"/>
      <c r="H77" s="268"/>
      <c r="I77" s="268"/>
      <c r="J77" s="268"/>
      <c r="K77" s="268"/>
      <c r="L77" s="309"/>
      <c r="M77" s="268"/>
      <c r="N77" s="268"/>
      <c r="O77" s="310"/>
      <c r="P77" s="268"/>
      <c r="Q77" s="309"/>
      <c r="R77" s="268"/>
      <c r="S77" s="268"/>
      <c r="T77" s="268"/>
      <c r="U77" s="253" t="s">
        <v>4899</v>
      </c>
      <c r="V77" s="254" t="s">
        <v>4900</v>
      </c>
      <c r="W77" s="248">
        <v>160</v>
      </c>
      <c r="X77" s="248">
        <v>66</v>
      </c>
      <c r="Y77" s="248">
        <v>25.78</v>
      </c>
      <c r="Z77" s="268"/>
    </row>
    <row r="78" spans="1:26" ht="24.75" customHeight="1">
      <c r="A78" s="268"/>
      <c r="B78" s="268"/>
      <c r="C78" s="268"/>
      <c r="D78" s="268"/>
      <c r="E78" s="268"/>
      <c r="F78" s="268"/>
      <c r="G78" s="268"/>
      <c r="H78" s="268"/>
      <c r="I78" s="268"/>
      <c r="J78" s="268"/>
      <c r="K78" s="268"/>
      <c r="L78" s="309"/>
      <c r="M78" s="268"/>
      <c r="N78" s="268"/>
      <c r="O78" s="268"/>
      <c r="P78" s="268"/>
      <c r="Q78" s="309"/>
      <c r="R78" s="268"/>
      <c r="S78" s="313"/>
      <c r="T78" s="313"/>
      <c r="U78" s="268"/>
      <c r="V78" s="309"/>
      <c r="W78" s="310"/>
      <c r="X78" s="268"/>
      <c r="Y78" s="268"/>
      <c r="Z78" s="268"/>
    </row>
    <row r="79" spans="1:26" ht="24.75" customHeight="1">
      <c r="A79" s="268"/>
      <c r="B79" s="268"/>
      <c r="C79" s="268"/>
      <c r="D79" s="268"/>
      <c r="E79" s="268"/>
      <c r="F79" s="268"/>
      <c r="G79" s="268"/>
      <c r="H79" s="268"/>
      <c r="I79" s="268"/>
      <c r="J79" s="268"/>
      <c r="K79" s="268"/>
      <c r="L79" s="309"/>
      <c r="M79" s="268"/>
      <c r="N79" s="268"/>
      <c r="O79" s="310"/>
      <c r="P79" s="268"/>
      <c r="Q79" s="309"/>
      <c r="R79" s="313"/>
      <c r="S79" s="268"/>
      <c r="T79" s="268"/>
      <c r="U79" s="245">
        <v>25409</v>
      </c>
      <c r="V79" s="246" t="s">
        <v>5161</v>
      </c>
      <c r="W79" s="247" t="s">
        <v>5162</v>
      </c>
      <c r="X79" s="248">
        <v>158</v>
      </c>
      <c r="Y79" s="248">
        <v>63</v>
      </c>
      <c r="Z79" s="248">
        <v>25.24</v>
      </c>
    </row>
    <row r="80" spans="1:26" ht="24.75" customHeight="1">
      <c r="A80" s="268"/>
      <c r="B80" s="268"/>
      <c r="C80" s="268"/>
      <c r="D80" s="268"/>
      <c r="E80" s="268"/>
      <c r="F80" s="268"/>
      <c r="G80" s="268"/>
      <c r="H80" s="268"/>
      <c r="I80" s="268"/>
      <c r="J80" s="268"/>
      <c r="K80" s="268"/>
      <c r="L80" s="309"/>
      <c r="M80" s="268"/>
      <c r="N80" s="268"/>
      <c r="O80" s="310"/>
      <c r="P80" s="268"/>
      <c r="Q80" s="309"/>
      <c r="R80" s="268"/>
      <c r="S80" s="313"/>
      <c r="T80" s="313"/>
      <c r="U80" s="268"/>
      <c r="V80" s="309"/>
      <c r="W80" s="310"/>
      <c r="X80" s="268"/>
      <c r="Y80" s="268"/>
      <c r="Z80" s="268"/>
    </row>
    <row r="81" spans="1:26" ht="24.75" customHeight="1">
      <c r="A81" s="268"/>
      <c r="B81" s="268"/>
      <c r="C81" s="268"/>
      <c r="D81" s="268"/>
      <c r="E81" s="268"/>
      <c r="F81" s="268"/>
      <c r="G81" s="268"/>
      <c r="H81" s="268"/>
      <c r="I81" s="268"/>
      <c r="J81" s="268"/>
      <c r="K81" s="268"/>
      <c r="L81" s="309"/>
      <c r="M81" s="268"/>
      <c r="N81" s="268"/>
      <c r="O81" s="310"/>
      <c r="P81" s="268"/>
      <c r="Q81" s="309"/>
      <c r="R81" s="313"/>
      <c r="S81" s="313"/>
      <c r="T81" s="313"/>
      <c r="U81" s="268"/>
      <c r="V81" s="309"/>
      <c r="W81" s="310"/>
      <c r="X81" s="268"/>
      <c r="Y81" s="268"/>
      <c r="Z81" s="268"/>
    </row>
    <row r="82" spans="1:26" ht="24.75" customHeight="1">
      <c r="A82" s="268"/>
      <c r="B82" s="268"/>
      <c r="C82" s="268"/>
      <c r="D82" s="268"/>
      <c r="E82" s="268"/>
      <c r="F82" s="268"/>
      <c r="G82" s="268"/>
      <c r="H82" s="268"/>
      <c r="I82" s="268"/>
      <c r="J82" s="268"/>
      <c r="K82" s="268"/>
      <c r="L82" s="309"/>
      <c r="M82" s="268"/>
      <c r="N82" s="268"/>
      <c r="O82" s="310"/>
      <c r="P82" s="268"/>
      <c r="Q82" s="309"/>
      <c r="R82" s="268"/>
      <c r="S82" s="313"/>
      <c r="T82" s="313"/>
      <c r="U82" s="268"/>
      <c r="V82" s="309"/>
      <c r="W82" s="310"/>
      <c r="X82" s="268"/>
      <c r="Y82" s="268"/>
      <c r="Z82" s="268"/>
    </row>
    <row r="83" spans="1:26" ht="24.75" customHeight="1">
      <c r="A83" s="268"/>
      <c r="B83" s="268"/>
      <c r="C83" s="268"/>
      <c r="D83" s="268"/>
      <c r="E83" s="268"/>
      <c r="F83" s="268"/>
      <c r="G83" s="268"/>
      <c r="H83" s="268"/>
      <c r="I83" s="268"/>
      <c r="J83" s="268"/>
      <c r="K83" s="268"/>
      <c r="L83" s="309"/>
      <c r="M83" s="268"/>
      <c r="N83" s="268"/>
      <c r="O83" s="268"/>
      <c r="P83" s="268"/>
      <c r="Q83" s="309"/>
      <c r="R83" s="268"/>
      <c r="S83" s="313"/>
      <c r="T83" s="313"/>
      <c r="U83" s="268"/>
      <c r="V83" s="309"/>
      <c r="W83" s="310"/>
      <c r="X83" s="268"/>
      <c r="Y83" s="268"/>
      <c r="Z83" s="268"/>
    </row>
    <row r="84" spans="1:26" ht="24.75" customHeight="1">
      <c r="A84" s="268"/>
      <c r="B84" s="268"/>
      <c r="C84" s="268"/>
      <c r="D84" s="268"/>
      <c r="E84" s="268"/>
      <c r="F84" s="268"/>
      <c r="G84" s="268"/>
      <c r="H84" s="268"/>
      <c r="I84" s="268"/>
      <c r="J84" s="268"/>
      <c r="K84" s="268"/>
      <c r="L84" s="309"/>
      <c r="M84" s="268"/>
      <c r="N84" s="268"/>
      <c r="O84" s="268"/>
      <c r="P84" s="268"/>
      <c r="Q84" s="309"/>
      <c r="R84" s="313"/>
      <c r="S84" s="313"/>
      <c r="T84" s="313"/>
      <c r="U84" s="268"/>
      <c r="V84" s="309"/>
      <c r="W84" s="310"/>
      <c r="X84" s="268"/>
      <c r="Y84" s="268"/>
      <c r="Z84" s="268"/>
    </row>
    <row r="85" spans="1:26" ht="24.75" customHeight="1">
      <c r="A85" s="268"/>
      <c r="B85" s="268"/>
      <c r="C85" s="268"/>
      <c r="D85" s="268"/>
      <c r="E85" s="268"/>
      <c r="F85" s="268"/>
      <c r="G85" s="268"/>
      <c r="H85" s="268"/>
      <c r="I85" s="268"/>
      <c r="J85" s="268"/>
      <c r="K85" s="268"/>
      <c r="L85" s="309"/>
      <c r="M85" s="268"/>
      <c r="N85" s="268"/>
      <c r="O85" s="268"/>
      <c r="P85" s="268"/>
      <c r="Q85" s="309"/>
      <c r="R85" s="268"/>
      <c r="S85" s="313"/>
      <c r="T85" s="313"/>
      <c r="U85" s="268"/>
      <c r="V85" s="309"/>
      <c r="W85" s="310"/>
      <c r="X85" s="268"/>
      <c r="Y85" s="268"/>
      <c r="Z85" s="268"/>
    </row>
    <row r="86" spans="1:26" ht="24.75" customHeight="1">
      <c r="A86" s="268"/>
      <c r="B86" s="268"/>
      <c r="C86" s="268"/>
      <c r="D86" s="268"/>
      <c r="E86" s="268"/>
      <c r="F86" s="268"/>
      <c r="G86" s="268"/>
      <c r="H86" s="268"/>
      <c r="I86" s="268"/>
      <c r="J86" s="268"/>
      <c r="K86" s="268"/>
      <c r="L86" s="309"/>
      <c r="M86" s="268"/>
      <c r="N86" s="268"/>
      <c r="O86" s="310"/>
      <c r="P86" s="268"/>
      <c r="Q86" s="309"/>
      <c r="R86" s="268"/>
      <c r="S86" s="313"/>
      <c r="T86" s="313"/>
      <c r="U86" s="256"/>
      <c r="V86" s="257"/>
      <c r="W86" s="230"/>
      <c r="X86" s="230"/>
      <c r="Y86" s="230"/>
      <c r="Z86" s="268"/>
    </row>
    <row r="87" spans="1:26" ht="24.75" customHeight="1">
      <c r="A87" s="268"/>
      <c r="B87" s="268"/>
      <c r="C87" s="268"/>
      <c r="D87" s="268"/>
      <c r="E87" s="268"/>
      <c r="F87" s="268"/>
      <c r="G87" s="268"/>
      <c r="H87" s="268"/>
      <c r="I87" s="268"/>
      <c r="J87" s="268"/>
      <c r="K87" s="268"/>
      <c r="L87" s="309"/>
      <c r="M87" s="268"/>
      <c r="N87" s="268"/>
      <c r="O87" s="310"/>
      <c r="P87" s="268"/>
      <c r="Q87" s="309"/>
      <c r="R87" s="268"/>
      <c r="S87" s="313"/>
      <c r="T87" s="313"/>
      <c r="U87" s="268"/>
      <c r="V87" s="309"/>
      <c r="W87" s="310"/>
      <c r="X87" s="268"/>
      <c r="Y87" s="268"/>
      <c r="Z87" s="268"/>
    </row>
    <row r="88" spans="1:26" ht="24.75" customHeight="1">
      <c r="A88" s="268"/>
      <c r="B88" s="268"/>
      <c r="C88" s="268"/>
      <c r="D88" s="268"/>
      <c r="E88" s="268"/>
      <c r="F88" s="268"/>
      <c r="G88" s="268"/>
      <c r="H88" s="268"/>
      <c r="I88" s="268"/>
      <c r="J88" s="268"/>
      <c r="K88" s="268"/>
      <c r="L88" s="309"/>
      <c r="M88" s="268"/>
      <c r="N88" s="268"/>
      <c r="O88" s="310"/>
      <c r="P88" s="268"/>
      <c r="Q88" s="309"/>
      <c r="R88" s="268"/>
      <c r="S88" s="268"/>
      <c r="T88" s="268"/>
      <c r="U88" s="245">
        <v>25409</v>
      </c>
      <c r="V88" s="246" t="s">
        <v>5161</v>
      </c>
      <c r="W88" s="247" t="s">
        <v>5162</v>
      </c>
      <c r="X88" s="248">
        <v>158</v>
      </c>
      <c r="Y88" s="248">
        <v>63</v>
      </c>
      <c r="Z88" s="248">
        <v>25.24</v>
      </c>
    </row>
    <row r="89" spans="1:26" ht="24.75" customHeight="1">
      <c r="A89" s="268"/>
      <c r="B89" s="268"/>
      <c r="C89" s="268"/>
      <c r="D89" s="268"/>
      <c r="E89" s="268"/>
      <c r="F89" s="268"/>
      <c r="G89" s="268"/>
      <c r="H89" s="268"/>
      <c r="I89" s="268"/>
      <c r="J89" s="268"/>
      <c r="K89" s="268"/>
      <c r="L89" s="309"/>
      <c r="M89" s="268"/>
      <c r="N89" s="268"/>
      <c r="O89" s="268"/>
      <c r="P89" s="268"/>
      <c r="Q89" s="309"/>
      <c r="R89" s="268"/>
      <c r="S89" s="268"/>
      <c r="T89" s="268"/>
      <c r="U89" s="245">
        <v>25409</v>
      </c>
      <c r="V89" s="246" t="s">
        <v>5161</v>
      </c>
      <c r="W89" s="247" t="s">
        <v>5162</v>
      </c>
      <c r="X89" s="248">
        <v>158</v>
      </c>
      <c r="Y89" s="248">
        <v>63</v>
      </c>
      <c r="Z89" s="248">
        <v>25.24</v>
      </c>
    </row>
    <row r="90" spans="1:26" ht="24.75" customHeight="1">
      <c r="A90" s="268"/>
      <c r="B90" s="268"/>
      <c r="C90" s="268"/>
      <c r="D90" s="268"/>
      <c r="E90" s="268"/>
      <c r="F90" s="268"/>
      <c r="G90" s="268"/>
      <c r="H90" s="268"/>
      <c r="I90" s="268"/>
      <c r="J90" s="268"/>
      <c r="K90" s="268"/>
      <c r="L90" s="309"/>
      <c r="M90" s="268"/>
      <c r="N90" s="268"/>
      <c r="O90" s="268"/>
      <c r="P90" s="268"/>
      <c r="Q90" s="309"/>
      <c r="R90" s="268"/>
      <c r="S90" s="268"/>
      <c r="T90" s="268"/>
      <c r="U90" s="245">
        <v>29125</v>
      </c>
      <c r="V90" s="246" t="s">
        <v>4799</v>
      </c>
      <c r="W90" s="247" t="s">
        <v>4800</v>
      </c>
      <c r="X90" s="248">
        <v>157</v>
      </c>
      <c r="Y90" s="248">
        <v>59</v>
      </c>
      <c r="Z90" s="248">
        <v>23.94</v>
      </c>
    </row>
    <row r="91" spans="1:26" ht="24.75" customHeight="1">
      <c r="A91" s="268"/>
      <c r="B91" s="268"/>
      <c r="C91" s="268"/>
      <c r="D91" s="268"/>
      <c r="E91" s="268"/>
      <c r="F91" s="268"/>
      <c r="G91" s="268"/>
      <c r="H91" s="268"/>
      <c r="I91" s="268"/>
      <c r="J91" s="268"/>
      <c r="K91" s="268"/>
      <c r="L91" s="309"/>
      <c r="M91" s="268"/>
      <c r="N91" s="268"/>
      <c r="O91" s="310"/>
      <c r="P91" s="268"/>
      <c r="Q91" s="309"/>
      <c r="R91" s="313"/>
      <c r="S91" s="268"/>
      <c r="T91" s="268"/>
      <c r="U91" s="245">
        <v>25409</v>
      </c>
      <c r="V91" s="246" t="s">
        <v>5161</v>
      </c>
      <c r="W91" s="247" t="s">
        <v>5162</v>
      </c>
      <c r="X91" s="248">
        <v>158</v>
      </c>
      <c r="Y91" s="248">
        <v>63</v>
      </c>
      <c r="Z91" s="248">
        <v>25.24</v>
      </c>
    </row>
    <row r="92" spans="1:26" ht="24.75" customHeight="1">
      <c r="A92" s="268"/>
      <c r="B92" s="268"/>
      <c r="C92" s="268"/>
      <c r="D92" s="268"/>
      <c r="E92" s="268"/>
      <c r="F92" s="268"/>
      <c r="G92" s="268"/>
      <c r="H92" s="268"/>
      <c r="I92" s="268"/>
      <c r="J92" s="268"/>
      <c r="K92" s="268"/>
      <c r="L92" s="309"/>
      <c r="M92" s="268"/>
      <c r="N92" s="268"/>
      <c r="O92" s="268"/>
      <c r="P92" s="268"/>
      <c r="Q92" s="309"/>
      <c r="R92" s="268"/>
      <c r="S92" s="268"/>
      <c r="T92" s="268"/>
      <c r="U92" s="245">
        <v>29125</v>
      </c>
      <c r="V92" s="246" t="s">
        <v>4799</v>
      </c>
      <c r="W92" s="247" t="s">
        <v>4800</v>
      </c>
      <c r="X92" s="248">
        <v>157</v>
      </c>
      <c r="Y92" s="248">
        <v>59</v>
      </c>
      <c r="Z92" s="248">
        <v>23.94</v>
      </c>
    </row>
    <row r="93" spans="1:26" ht="24.75" customHeight="1">
      <c r="A93" s="268"/>
      <c r="B93" s="268"/>
      <c r="C93" s="268"/>
      <c r="D93" s="268"/>
      <c r="E93" s="268"/>
      <c r="F93" s="268"/>
      <c r="G93" s="268"/>
      <c r="H93" s="268"/>
      <c r="I93" s="268"/>
      <c r="J93" s="268"/>
      <c r="K93" s="268"/>
      <c r="L93" s="309"/>
      <c r="M93" s="268"/>
      <c r="N93" s="268"/>
      <c r="O93" s="268"/>
      <c r="P93" s="268"/>
      <c r="Q93" s="309"/>
      <c r="R93" s="268"/>
      <c r="S93" s="268"/>
      <c r="T93" s="268"/>
      <c r="U93" s="246" t="s">
        <v>4899</v>
      </c>
      <c r="V93" s="254" t="s">
        <v>4900</v>
      </c>
      <c r="W93" s="248">
        <v>160</v>
      </c>
      <c r="X93" s="248">
        <v>66</v>
      </c>
      <c r="Y93" s="248">
        <v>25.78</v>
      </c>
      <c r="Z93" s="268"/>
    </row>
    <row r="94" spans="1:26" ht="24.75" customHeight="1">
      <c r="A94" s="268"/>
      <c r="B94" s="268"/>
      <c r="C94" s="268"/>
      <c r="D94" s="268"/>
      <c r="E94" s="268"/>
      <c r="F94" s="268"/>
      <c r="G94" s="268"/>
      <c r="H94" s="268"/>
      <c r="I94" s="268"/>
      <c r="J94" s="268"/>
      <c r="K94" s="268"/>
      <c r="L94" s="309"/>
      <c r="M94" s="268"/>
      <c r="N94" s="268"/>
      <c r="O94" s="310"/>
      <c r="P94" s="268"/>
      <c r="Q94" s="309"/>
      <c r="R94" s="268"/>
      <c r="S94" s="268"/>
      <c r="T94" s="268"/>
      <c r="U94" s="253" t="s">
        <v>4806</v>
      </c>
      <c r="V94" s="254" t="s">
        <v>4807</v>
      </c>
      <c r="W94" s="248">
        <v>175</v>
      </c>
      <c r="X94" s="248">
        <v>80</v>
      </c>
      <c r="Y94" s="248">
        <v>26.12</v>
      </c>
      <c r="Z94" s="268"/>
    </row>
    <row r="95" spans="1:26" ht="24.75" customHeight="1">
      <c r="A95" s="268"/>
      <c r="B95" s="268"/>
      <c r="C95" s="268"/>
      <c r="D95" s="268"/>
      <c r="E95" s="268"/>
      <c r="F95" s="268"/>
      <c r="G95" s="268"/>
      <c r="H95" s="268"/>
      <c r="I95" s="268"/>
      <c r="J95" s="268"/>
      <c r="K95" s="268"/>
      <c r="L95" s="309"/>
      <c r="M95" s="268"/>
      <c r="N95" s="268"/>
      <c r="O95" s="268"/>
      <c r="P95" s="268"/>
      <c r="Q95" s="309"/>
      <c r="R95" s="268"/>
      <c r="S95" s="313"/>
      <c r="T95" s="313"/>
      <c r="U95" s="256"/>
      <c r="V95" s="257"/>
      <c r="W95" s="230"/>
      <c r="X95" s="230"/>
      <c r="Y95" s="230"/>
      <c r="Z95" s="268"/>
    </row>
    <row r="96" spans="1:26" ht="24.75" customHeight="1">
      <c r="A96" s="268"/>
      <c r="B96" s="268"/>
      <c r="C96" s="268"/>
      <c r="D96" s="268"/>
      <c r="E96" s="268"/>
      <c r="F96" s="268"/>
      <c r="G96" s="268"/>
      <c r="H96" s="268"/>
      <c r="I96" s="268"/>
      <c r="J96" s="268"/>
      <c r="K96" s="268"/>
      <c r="L96" s="309"/>
      <c r="M96" s="268"/>
      <c r="N96" s="268"/>
      <c r="O96" s="310"/>
      <c r="P96" s="268"/>
      <c r="Q96" s="309"/>
      <c r="R96" s="268"/>
      <c r="S96" s="268"/>
      <c r="T96" s="268"/>
      <c r="U96" s="246" t="s">
        <v>4899</v>
      </c>
      <c r="V96" s="254" t="s">
        <v>4900</v>
      </c>
      <c r="W96" s="248">
        <v>160</v>
      </c>
      <c r="X96" s="248">
        <v>66</v>
      </c>
      <c r="Y96" s="248">
        <v>25.78</v>
      </c>
      <c r="Z96" s="268"/>
    </row>
    <row r="97" spans="1:26" ht="24.75" customHeight="1">
      <c r="A97" s="268"/>
      <c r="B97" s="268"/>
      <c r="C97" s="268"/>
      <c r="D97" s="268"/>
      <c r="E97" s="268"/>
      <c r="F97" s="268"/>
      <c r="G97" s="268"/>
      <c r="H97" s="268"/>
      <c r="I97" s="268"/>
      <c r="J97" s="268"/>
      <c r="K97" s="268"/>
      <c r="L97" s="309"/>
      <c r="M97" s="268"/>
      <c r="N97" s="268"/>
      <c r="O97" s="310"/>
      <c r="P97" s="268"/>
      <c r="Q97" s="309"/>
      <c r="R97" s="268"/>
      <c r="S97" s="268"/>
      <c r="T97" s="268"/>
      <c r="U97" s="245">
        <v>25409</v>
      </c>
      <c r="V97" s="246" t="s">
        <v>5161</v>
      </c>
      <c r="W97" s="247" t="s">
        <v>5162</v>
      </c>
      <c r="X97" s="248">
        <v>158</v>
      </c>
      <c r="Y97" s="248">
        <v>63</v>
      </c>
      <c r="Z97" s="248">
        <v>25.24</v>
      </c>
    </row>
    <row r="98" spans="1:26" ht="24.75" customHeight="1">
      <c r="A98" s="268"/>
      <c r="B98" s="268"/>
      <c r="C98" s="268"/>
      <c r="D98" s="268"/>
      <c r="E98" s="268"/>
      <c r="F98" s="268"/>
      <c r="G98" s="268"/>
      <c r="H98" s="268"/>
      <c r="I98" s="268"/>
      <c r="J98" s="268"/>
      <c r="K98" s="268"/>
      <c r="L98" s="309"/>
      <c r="M98" s="268"/>
      <c r="N98" s="268"/>
      <c r="O98" s="310"/>
      <c r="P98" s="268"/>
      <c r="Q98" s="309"/>
      <c r="R98" s="268"/>
      <c r="S98" s="268"/>
      <c r="T98" s="268"/>
      <c r="U98" s="245">
        <v>25409</v>
      </c>
      <c r="V98" s="246" t="s">
        <v>5161</v>
      </c>
      <c r="W98" s="247" t="s">
        <v>5162</v>
      </c>
      <c r="X98" s="248">
        <v>158</v>
      </c>
      <c r="Y98" s="248">
        <v>63</v>
      </c>
      <c r="Z98" s="248">
        <v>25.24</v>
      </c>
    </row>
    <row r="99" spans="1:26" ht="24.75" customHeight="1">
      <c r="A99" s="268"/>
      <c r="B99" s="268"/>
      <c r="C99" s="268"/>
      <c r="D99" s="268"/>
      <c r="E99" s="268"/>
      <c r="F99" s="268"/>
      <c r="G99" s="268"/>
      <c r="H99" s="268"/>
      <c r="I99" s="268"/>
      <c r="J99" s="268"/>
      <c r="K99" s="268"/>
      <c r="L99" s="309"/>
      <c r="M99" s="268"/>
      <c r="N99" s="268"/>
      <c r="O99" s="310"/>
      <c r="P99" s="268"/>
      <c r="Q99" s="309"/>
      <c r="R99" s="268"/>
      <c r="S99" s="268"/>
      <c r="T99" s="268"/>
      <c r="U99" s="245">
        <v>29125</v>
      </c>
      <c r="V99" s="246" t="s">
        <v>4799</v>
      </c>
      <c r="W99" s="247" t="s">
        <v>4800</v>
      </c>
      <c r="X99" s="248">
        <v>157</v>
      </c>
      <c r="Y99" s="248">
        <v>59</v>
      </c>
      <c r="Z99" s="248">
        <v>23.94</v>
      </c>
    </row>
    <row r="100" spans="1:26" ht="24.75" customHeight="1">
      <c r="A100" s="268"/>
      <c r="B100" s="268"/>
      <c r="C100" s="268"/>
      <c r="D100" s="268"/>
      <c r="E100" s="268"/>
      <c r="F100" s="268"/>
      <c r="G100" s="268"/>
      <c r="H100" s="268"/>
      <c r="I100" s="268"/>
      <c r="J100" s="268"/>
      <c r="K100" s="268"/>
      <c r="L100" s="309"/>
      <c r="M100" s="268"/>
      <c r="N100" s="268"/>
      <c r="O100" s="310"/>
      <c r="P100" s="268"/>
      <c r="Q100" s="309"/>
      <c r="R100" s="268"/>
      <c r="S100" s="268"/>
      <c r="T100" s="268"/>
      <c r="U100" s="245">
        <v>25409</v>
      </c>
      <c r="V100" s="246" t="s">
        <v>5161</v>
      </c>
      <c r="W100" s="247" t="s">
        <v>5162</v>
      </c>
      <c r="X100" s="248">
        <v>158</v>
      </c>
      <c r="Y100" s="248">
        <v>63</v>
      </c>
      <c r="Z100" s="248">
        <v>25.24</v>
      </c>
    </row>
    <row r="101" spans="1:26" ht="24.75" customHeight="1">
      <c r="A101" s="268"/>
      <c r="B101" s="268"/>
      <c r="C101" s="268"/>
      <c r="D101" s="268"/>
      <c r="E101" s="268"/>
      <c r="F101" s="268"/>
      <c r="G101" s="268"/>
      <c r="H101" s="268"/>
      <c r="I101" s="268"/>
      <c r="J101" s="268"/>
      <c r="K101" s="268"/>
      <c r="L101" s="309"/>
      <c r="M101" s="268"/>
      <c r="N101" s="268"/>
      <c r="O101" s="310"/>
      <c r="P101" s="268"/>
      <c r="Q101" s="309"/>
      <c r="R101" s="268"/>
      <c r="S101" s="313"/>
      <c r="T101" s="313"/>
      <c r="U101" s="302"/>
      <c r="V101" s="302"/>
      <c r="W101" s="304"/>
      <c r="X101" s="302"/>
      <c r="Y101" s="302"/>
      <c r="Z101" s="302"/>
    </row>
    <row r="102" spans="1:26" ht="24.75" customHeight="1">
      <c r="A102" s="268"/>
      <c r="B102" s="268"/>
      <c r="C102" s="268"/>
      <c r="D102" s="268"/>
      <c r="E102" s="268"/>
      <c r="F102" s="268"/>
      <c r="G102" s="268"/>
      <c r="H102" s="268"/>
      <c r="I102" s="268"/>
      <c r="J102" s="268"/>
      <c r="K102" s="268"/>
      <c r="L102" s="309"/>
      <c r="M102" s="268"/>
      <c r="N102" s="268"/>
      <c r="O102" s="310"/>
      <c r="P102" s="268"/>
      <c r="Q102" s="309"/>
      <c r="R102" s="268"/>
      <c r="S102" s="313"/>
      <c r="T102" s="313"/>
      <c r="U102" s="302"/>
      <c r="V102" s="302"/>
      <c r="W102" s="304"/>
      <c r="X102" s="302"/>
      <c r="Y102" s="302"/>
      <c r="Z102" s="302"/>
    </row>
    <row r="103" spans="1:26" ht="24.75" customHeight="1">
      <c r="A103" s="268"/>
      <c r="B103" s="268"/>
      <c r="C103" s="268"/>
      <c r="D103" s="268"/>
      <c r="E103" s="268"/>
      <c r="F103" s="268"/>
      <c r="G103" s="268"/>
      <c r="H103" s="268"/>
      <c r="I103" s="268"/>
      <c r="J103" s="268"/>
      <c r="K103" s="268"/>
      <c r="L103" s="309"/>
      <c r="M103" s="268"/>
      <c r="N103" s="268"/>
      <c r="O103" s="310"/>
      <c r="P103" s="268"/>
      <c r="Q103" s="309"/>
      <c r="R103" s="268"/>
      <c r="S103" s="268"/>
      <c r="T103" s="268"/>
      <c r="U103" s="245">
        <v>25409</v>
      </c>
      <c r="V103" s="246" t="s">
        <v>5161</v>
      </c>
      <c r="W103" s="247" t="s">
        <v>5162</v>
      </c>
      <c r="X103" s="248">
        <v>158</v>
      </c>
      <c r="Y103" s="248">
        <v>63</v>
      </c>
      <c r="Z103" s="248">
        <v>25.24</v>
      </c>
    </row>
    <row r="104" spans="1:26" ht="24.75" customHeight="1">
      <c r="A104" s="268"/>
      <c r="B104" s="268"/>
      <c r="C104" s="268"/>
      <c r="D104" s="268"/>
      <c r="E104" s="268"/>
      <c r="F104" s="268"/>
      <c r="G104" s="268"/>
      <c r="H104" s="268"/>
      <c r="I104" s="268"/>
      <c r="J104" s="268"/>
      <c r="K104" s="268"/>
      <c r="L104" s="309"/>
      <c r="M104" s="268"/>
      <c r="N104" s="268"/>
      <c r="O104" s="310"/>
      <c r="P104" s="268"/>
      <c r="Q104" s="309"/>
      <c r="R104" s="268"/>
      <c r="S104" s="313"/>
      <c r="T104" s="313"/>
      <c r="U104" s="302"/>
      <c r="V104" s="302"/>
      <c r="W104" s="304"/>
      <c r="X104" s="302"/>
      <c r="Y104" s="302"/>
      <c r="Z104" s="302"/>
    </row>
    <row r="105" spans="1:26" ht="24.75" customHeight="1">
      <c r="A105" s="268"/>
      <c r="B105" s="268"/>
      <c r="C105" s="268"/>
      <c r="D105" s="268"/>
      <c r="E105" s="268"/>
      <c r="F105" s="268"/>
      <c r="G105" s="268"/>
      <c r="H105" s="268"/>
      <c r="I105" s="268"/>
      <c r="J105" s="268"/>
      <c r="K105" s="268"/>
      <c r="L105" s="309"/>
      <c r="M105" s="268"/>
      <c r="N105" s="268"/>
      <c r="O105" s="268"/>
      <c r="P105" s="268"/>
      <c r="Q105" s="309"/>
      <c r="R105" s="268"/>
      <c r="S105" s="313"/>
      <c r="T105" s="313"/>
      <c r="U105" s="302"/>
      <c r="V105" s="302"/>
      <c r="W105" s="304"/>
      <c r="X105" s="302"/>
      <c r="Y105" s="302"/>
      <c r="Z105" s="302"/>
    </row>
    <row r="106" spans="1:26" ht="24.75" customHeight="1">
      <c r="A106" s="268"/>
      <c r="B106" s="268"/>
      <c r="C106" s="268"/>
      <c r="D106" s="268"/>
      <c r="E106" s="268"/>
      <c r="F106" s="268"/>
      <c r="G106" s="268"/>
      <c r="H106" s="268"/>
      <c r="I106" s="268"/>
      <c r="J106" s="268"/>
      <c r="K106" s="268"/>
      <c r="L106" s="309"/>
      <c r="M106" s="268"/>
      <c r="N106" s="268"/>
      <c r="O106" s="268"/>
      <c r="P106" s="268"/>
      <c r="Q106" s="309"/>
      <c r="R106" s="268"/>
      <c r="S106" s="313"/>
      <c r="T106" s="313"/>
      <c r="U106" s="256"/>
      <c r="V106" s="257"/>
      <c r="W106" s="230"/>
      <c r="X106" s="230"/>
      <c r="Y106" s="230"/>
      <c r="Z106" s="268"/>
    </row>
    <row r="107" spans="1:26" ht="24.75" customHeight="1">
      <c r="A107" s="268"/>
      <c r="B107" s="268"/>
      <c r="C107" s="268"/>
      <c r="D107" s="268"/>
      <c r="E107" s="268"/>
      <c r="F107" s="268"/>
      <c r="G107" s="268"/>
      <c r="H107" s="268"/>
      <c r="I107" s="268"/>
      <c r="J107" s="268"/>
      <c r="K107" s="268"/>
      <c r="L107" s="309"/>
      <c r="M107" s="268"/>
      <c r="N107" s="268"/>
      <c r="O107" s="268"/>
      <c r="P107" s="268"/>
      <c r="Q107" s="309"/>
      <c r="R107" s="268"/>
      <c r="S107" s="268"/>
      <c r="T107" s="268"/>
      <c r="U107" s="245">
        <v>29125</v>
      </c>
      <c r="V107" s="246" t="s">
        <v>4799</v>
      </c>
      <c r="W107" s="247" t="s">
        <v>4800</v>
      </c>
      <c r="X107" s="248">
        <v>157</v>
      </c>
      <c r="Y107" s="248">
        <v>59</v>
      </c>
      <c r="Z107" s="248">
        <v>23.94</v>
      </c>
    </row>
    <row r="108" spans="1:26" ht="24.75" customHeight="1">
      <c r="A108" s="268"/>
      <c r="B108" s="268"/>
      <c r="C108" s="268"/>
      <c r="D108" s="268"/>
      <c r="E108" s="268"/>
      <c r="F108" s="268"/>
      <c r="G108" s="268"/>
      <c r="H108" s="268"/>
      <c r="I108" s="268"/>
      <c r="J108" s="268"/>
      <c r="K108" s="268"/>
      <c r="L108" s="309"/>
      <c r="M108" s="268"/>
      <c r="N108" s="268"/>
      <c r="O108" s="310"/>
      <c r="P108" s="268"/>
      <c r="Q108" s="309"/>
      <c r="R108" s="268"/>
      <c r="S108" s="268"/>
      <c r="T108" s="268"/>
      <c r="U108" s="245">
        <v>25409</v>
      </c>
      <c r="V108" s="246" t="s">
        <v>5161</v>
      </c>
      <c r="W108" s="247" t="s">
        <v>5162</v>
      </c>
      <c r="X108" s="248">
        <v>158</v>
      </c>
      <c r="Y108" s="248">
        <v>63</v>
      </c>
      <c r="Z108" s="248">
        <v>25.24</v>
      </c>
    </row>
    <row r="109" spans="1:26" ht="24.75" customHeight="1">
      <c r="A109" s="268"/>
      <c r="B109" s="268"/>
      <c r="C109" s="268"/>
      <c r="D109" s="268"/>
      <c r="E109" s="268"/>
      <c r="F109" s="268"/>
      <c r="G109" s="268"/>
      <c r="H109" s="268"/>
      <c r="I109" s="268"/>
      <c r="J109" s="268"/>
      <c r="K109" s="268"/>
      <c r="L109" s="309"/>
      <c r="M109" s="268"/>
      <c r="N109" s="268"/>
      <c r="O109" s="268"/>
      <c r="P109" s="268"/>
      <c r="Q109" s="309"/>
      <c r="R109" s="268"/>
      <c r="S109" s="313"/>
      <c r="T109" s="313"/>
      <c r="U109" s="302"/>
      <c r="V109" s="302"/>
      <c r="W109" s="304"/>
      <c r="X109" s="302"/>
      <c r="Y109" s="302"/>
      <c r="Z109" s="302"/>
    </row>
    <row r="110" spans="1:26" ht="24.75" customHeight="1">
      <c r="A110" s="268"/>
      <c r="B110" s="268"/>
      <c r="C110" s="268"/>
      <c r="D110" s="268"/>
      <c r="E110" s="268"/>
      <c r="F110" s="268"/>
      <c r="G110" s="268"/>
      <c r="H110" s="268"/>
      <c r="I110" s="268"/>
      <c r="J110" s="268"/>
      <c r="K110" s="268"/>
      <c r="L110" s="309"/>
      <c r="M110" s="268"/>
      <c r="N110" s="268"/>
      <c r="O110" s="268"/>
      <c r="P110" s="268"/>
      <c r="Q110" s="309"/>
      <c r="R110" s="268"/>
      <c r="S110" s="268"/>
      <c r="T110" s="268"/>
      <c r="U110" s="253" t="s">
        <v>4806</v>
      </c>
      <c r="V110" s="254" t="s">
        <v>4807</v>
      </c>
      <c r="W110" s="248">
        <v>175</v>
      </c>
      <c r="X110" s="248">
        <v>80</v>
      </c>
      <c r="Y110" s="248">
        <v>26.12</v>
      </c>
      <c r="Z110" s="268"/>
    </row>
    <row r="111" spans="1:26" ht="24.75" customHeight="1">
      <c r="A111" s="268"/>
      <c r="B111" s="268"/>
      <c r="C111" s="268"/>
      <c r="D111" s="268"/>
      <c r="E111" s="268"/>
      <c r="F111" s="268"/>
      <c r="G111" s="268"/>
      <c r="H111" s="268"/>
      <c r="I111" s="268"/>
      <c r="J111" s="268"/>
      <c r="K111" s="268"/>
      <c r="L111" s="309"/>
      <c r="M111" s="268"/>
      <c r="N111" s="268"/>
      <c r="O111" s="310"/>
      <c r="P111" s="268"/>
      <c r="Q111" s="309"/>
      <c r="R111" s="268"/>
      <c r="S111" s="313"/>
      <c r="T111" s="313"/>
      <c r="U111" s="256"/>
      <c r="V111" s="257"/>
      <c r="W111" s="230"/>
      <c r="X111" s="230"/>
      <c r="Y111" s="230"/>
      <c r="Z111" s="268"/>
    </row>
    <row r="112" spans="1:26" ht="24.75" customHeight="1">
      <c r="A112" s="268"/>
      <c r="B112" s="268"/>
      <c r="C112" s="268"/>
      <c r="D112" s="268"/>
      <c r="E112" s="268"/>
      <c r="F112" s="268"/>
      <c r="G112" s="268"/>
      <c r="H112" s="268"/>
      <c r="I112" s="268"/>
      <c r="J112" s="268"/>
      <c r="K112" s="268"/>
      <c r="L112" s="309"/>
      <c r="M112" s="268"/>
      <c r="N112" s="268"/>
      <c r="O112" s="268"/>
      <c r="P112" s="268"/>
      <c r="Q112" s="309"/>
      <c r="R112" s="268"/>
      <c r="S112" s="268"/>
      <c r="T112" s="268"/>
      <c r="U112" s="245">
        <v>25409</v>
      </c>
      <c r="V112" s="246" t="s">
        <v>5161</v>
      </c>
      <c r="W112" s="247" t="s">
        <v>5162</v>
      </c>
      <c r="X112" s="248">
        <v>158</v>
      </c>
      <c r="Y112" s="248">
        <v>63</v>
      </c>
      <c r="Z112" s="248">
        <v>25.24</v>
      </c>
    </row>
    <row r="113" spans="1:26" ht="24.75" customHeight="1">
      <c r="A113" s="268"/>
      <c r="B113" s="268"/>
      <c r="C113" s="268"/>
      <c r="D113" s="268"/>
      <c r="E113" s="268"/>
      <c r="F113" s="268"/>
      <c r="G113" s="268"/>
      <c r="H113" s="268"/>
      <c r="I113" s="268"/>
      <c r="J113" s="268"/>
      <c r="K113" s="268"/>
      <c r="L113" s="309"/>
      <c r="M113" s="268"/>
      <c r="N113" s="268"/>
      <c r="O113" s="268"/>
      <c r="P113" s="268"/>
      <c r="Q113" s="309"/>
      <c r="R113" s="268"/>
      <c r="S113" s="313"/>
      <c r="T113" s="313"/>
      <c r="U113" s="268"/>
      <c r="V113" s="309"/>
      <c r="W113" s="310"/>
      <c r="X113" s="268"/>
      <c r="Y113" s="268"/>
      <c r="Z113" s="268"/>
    </row>
    <row r="114" spans="1:26" ht="24.75" customHeight="1">
      <c r="A114" s="268"/>
      <c r="B114" s="268"/>
      <c r="C114" s="268"/>
      <c r="D114" s="268"/>
      <c r="E114" s="268"/>
      <c r="F114" s="268"/>
      <c r="G114" s="268"/>
      <c r="H114" s="268"/>
      <c r="I114" s="268"/>
      <c r="J114" s="268"/>
      <c r="K114" s="268"/>
      <c r="L114" s="309"/>
      <c r="M114" s="268"/>
      <c r="N114" s="268"/>
      <c r="O114" s="268"/>
      <c r="P114" s="268"/>
      <c r="Q114" s="309"/>
      <c r="R114" s="268"/>
      <c r="S114" s="313"/>
      <c r="T114" s="313"/>
      <c r="U114" s="268"/>
      <c r="V114" s="309"/>
      <c r="W114" s="310"/>
      <c r="X114" s="268"/>
      <c r="Y114" s="268"/>
      <c r="Z114" s="268"/>
    </row>
    <row r="115" spans="1:26" ht="24.75" customHeight="1">
      <c r="A115" s="268"/>
      <c r="B115" s="268"/>
      <c r="C115" s="268"/>
      <c r="D115" s="268"/>
      <c r="E115" s="268"/>
      <c r="F115" s="268"/>
      <c r="G115" s="268"/>
      <c r="H115" s="268"/>
      <c r="I115" s="268"/>
      <c r="J115" s="268"/>
      <c r="K115" s="268"/>
      <c r="L115" s="309"/>
      <c r="M115" s="268"/>
      <c r="N115" s="268"/>
      <c r="O115" s="310"/>
      <c r="P115" s="268"/>
      <c r="Q115" s="309"/>
      <c r="R115" s="268"/>
      <c r="S115" s="313"/>
      <c r="T115" s="313"/>
      <c r="U115" s="268"/>
      <c r="V115" s="309"/>
      <c r="W115" s="310"/>
      <c r="X115" s="268"/>
      <c r="Y115" s="268"/>
      <c r="Z115" s="268"/>
    </row>
    <row r="116" spans="1:26" ht="24.75" customHeight="1">
      <c r="A116" s="268"/>
      <c r="B116" s="268"/>
      <c r="C116" s="268"/>
      <c r="D116" s="268"/>
      <c r="E116" s="268"/>
      <c r="F116" s="268"/>
      <c r="G116" s="268"/>
      <c r="H116" s="268"/>
      <c r="I116" s="268"/>
      <c r="J116" s="268"/>
      <c r="K116" s="268"/>
      <c r="L116" s="309"/>
      <c r="M116" s="268"/>
      <c r="N116" s="268"/>
      <c r="O116" s="268"/>
      <c r="P116" s="268"/>
      <c r="Q116" s="309"/>
      <c r="R116" s="268"/>
      <c r="S116" s="313"/>
      <c r="T116" s="313"/>
      <c r="U116" s="268"/>
      <c r="V116" s="309"/>
      <c r="W116" s="310"/>
      <c r="X116" s="268"/>
      <c r="Y116" s="268"/>
      <c r="Z116" s="268"/>
    </row>
    <row r="117" spans="1:26" ht="24.75" customHeight="1">
      <c r="A117" s="268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309"/>
      <c r="M117" s="268"/>
      <c r="N117" s="268"/>
      <c r="O117" s="268"/>
      <c r="P117" s="268"/>
      <c r="Q117" s="309"/>
      <c r="R117" s="268"/>
      <c r="S117" s="268"/>
      <c r="T117" s="268"/>
      <c r="U117" s="246" t="s">
        <v>4899</v>
      </c>
      <c r="V117" s="254" t="s">
        <v>4900</v>
      </c>
      <c r="W117" s="248">
        <v>160</v>
      </c>
      <c r="X117" s="248">
        <v>66</v>
      </c>
      <c r="Y117" s="248">
        <v>25.78</v>
      </c>
      <c r="Z117" s="268"/>
    </row>
    <row r="118" spans="1:26" ht="24.75" customHeight="1">
      <c r="A118" s="268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309"/>
      <c r="M118" s="268"/>
      <c r="N118" s="268"/>
      <c r="O118" s="310"/>
      <c r="P118" s="268"/>
      <c r="Q118" s="309"/>
      <c r="R118" s="268"/>
      <c r="S118" s="313"/>
      <c r="T118" s="313"/>
      <c r="U118" s="268"/>
      <c r="V118" s="309"/>
      <c r="W118" s="310"/>
      <c r="X118" s="268"/>
      <c r="Y118" s="268"/>
      <c r="Z118" s="268"/>
    </row>
    <row r="119" spans="1:26" ht="24.75" customHeight="1">
      <c r="A119" s="268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309"/>
      <c r="M119" s="268"/>
      <c r="N119" s="268"/>
      <c r="O119" s="268"/>
      <c r="P119" s="268"/>
      <c r="Q119" s="309"/>
      <c r="R119" s="268"/>
      <c r="S119" s="313"/>
      <c r="T119" s="313"/>
      <c r="U119" s="268"/>
      <c r="V119" s="309"/>
      <c r="W119" s="310"/>
      <c r="X119" s="268"/>
      <c r="Y119" s="268"/>
      <c r="Z119" s="268"/>
    </row>
    <row r="120" spans="1:26" ht="24.75" customHeight="1">
      <c r="A120" s="268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309"/>
      <c r="M120" s="268"/>
      <c r="N120" s="268"/>
      <c r="O120" s="268"/>
      <c r="P120" s="268"/>
      <c r="Q120" s="309"/>
      <c r="R120" s="268"/>
      <c r="S120" s="313"/>
      <c r="T120" s="313"/>
      <c r="U120" s="256"/>
      <c r="V120" s="257"/>
      <c r="W120" s="230"/>
      <c r="X120" s="230"/>
      <c r="Y120" s="230"/>
      <c r="Z120" s="268"/>
    </row>
    <row r="121" spans="1:26" ht="24.75" customHeight="1">
      <c r="A121" s="268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309"/>
      <c r="M121" s="268"/>
      <c r="N121" s="268"/>
      <c r="O121" s="268"/>
      <c r="P121" s="268"/>
      <c r="Q121" s="309"/>
      <c r="R121" s="268"/>
      <c r="S121" s="268"/>
      <c r="T121" s="268"/>
      <c r="U121" s="253" t="s">
        <v>4806</v>
      </c>
      <c r="V121" s="254" t="s">
        <v>4807</v>
      </c>
      <c r="W121" s="248">
        <v>175</v>
      </c>
      <c r="X121" s="248">
        <v>80</v>
      </c>
      <c r="Y121" s="248">
        <v>26.12</v>
      </c>
      <c r="Z121" s="268"/>
    </row>
    <row r="122" spans="1:26" ht="24.75" customHeight="1">
      <c r="A122" s="268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309"/>
      <c r="M122" s="268"/>
      <c r="N122" s="268"/>
      <c r="O122" s="268"/>
      <c r="P122" s="268"/>
      <c r="Q122" s="309"/>
      <c r="R122" s="268"/>
      <c r="S122" s="313"/>
      <c r="T122" s="313"/>
      <c r="U122" s="256"/>
      <c r="V122" s="257"/>
      <c r="W122" s="230"/>
      <c r="X122" s="230"/>
      <c r="Y122" s="230"/>
      <c r="Z122" s="268"/>
    </row>
    <row r="123" spans="1:26" ht="24.75" customHeight="1">
      <c r="A123" s="268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309"/>
      <c r="M123" s="268"/>
      <c r="N123" s="268"/>
      <c r="O123" s="310"/>
      <c r="P123" s="268"/>
      <c r="Q123" s="309"/>
      <c r="R123" s="268"/>
      <c r="S123" s="268"/>
      <c r="T123" s="268"/>
      <c r="U123" s="288">
        <v>26964</v>
      </c>
      <c r="V123" s="246" t="s">
        <v>5167</v>
      </c>
      <c r="W123" s="254" t="s">
        <v>5168</v>
      </c>
      <c r="X123" s="248">
        <v>150</v>
      </c>
      <c r="Y123" s="248">
        <v>84</v>
      </c>
      <c r="Z123" s="248">
        <v>37.33</v>
      </c>
    </row>
    <row r="124" spans="1:26" ht="24.75" customHeight="1">
      <c r="A124" s="268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309"/>
      <c r="M124" s="268"/>
      <c r="N124" s="268"/>
      <c r="O124" s="268"/>
      <c r="P124" s="268"/>
      <c r="Q124" s="309"/>
      <c r="R124" s="268"/>
      <c r="S124" s="268"/>
      <c r="T124" s="268"/>
      <c r="U124" s="288">
        <v>26964</v>
      </c>
      <c r="V124" s="246" t="s">
        <v>5167</v>
      </c>
      <c r="W124" s="254" t="s">
        <v>5168</v>
      </c>
      <c r="X124" s="248">
        <v>150</v>
      </c>
      <c r="Y124" s="248">
        <v>84</v>
      </c>
      <c r="Z124" s="248">
        <v>37.33</v>
      </c>
    </row>
    <row r="125" spans="1:26" ht="24.75" customHeight="1">
      <c r="A125" s="268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309"/>
      <c r="M125" s="268"/>
      <c r="N125" s="268"/>
      <c r="O125" s="268"/>
      <c r="P125" s="268"/>
      <c r="Q125" s="309"/>
      <c r="R125" s="268"/>
      <c r="S125" s="268"/>
      <c r="T125" s="268"/>
      <c r="U125" s="246" t="s">
        <v>4899</v>
      </c>
      <c r="V125" s="254" t="s">
        <v>4900</v>
      </c>
      <c r="W125" s="248">
        <v>160</v>
      </c>
      <c r="X125" s="248">
        <v>66</v>
      </c>
      <c r="Y125" s="248">
        <v>25.78</v>
      </c>
      <c r="Z125" s="268"/>
    </row>
    <row r="126" spans="1:26" ht="24.75" customHeight="1">
      <c r="A126" s="268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309"/>
      <c r="M126" s="268"/>
      <c r="N126" s="268"/>
      <c r="O126" s="310"/>
      <c r="P126" s="268"/>
      <c r="Q126" s="309"/>
      <c r="R126" s="268"/>
      <c r="S126" s="268"/>
      <c r="T126" s="268"/>
      <c r="U126" s="246" t="s">
        <v>4899</v>
      </c>
      <c r="V126" s="254" t="s">
        <v>4900</v>
      </c>
      <c r="W126" s="248">
        <v>160</v>
      </c>
      <c r="X126" s="248">
        <v>66</v>
      </c>
      <c r="Y126" s="248">
        <v>25.78</v>
      </c>
      <c r="Z126" s="268"/>
    </row>
    <row r="127" spans="1:26" ht="24.75" customHeight="1">
      <c r="A127" s="268"/>
      <c r="B127" s="268"/>
      <c r="C127" s="268"/>
      <c r="D127" s="268"/>
      <c r="E127" s="268"/>
      <c r="F127" s="268"/>
      <c r="G127" s="268"/>
      <c r="H127" s="268"/>
      <c r="I127" s="268"/>
      <c r="J127" s="268"/>
      <c r="K127" s="268"/>
      <c r="L127" s="309"/>
      <c r="M127" s="268"/>
      <c r="N127" s="268"/>
      <c r="O127" s="268"/>
      <c r="P127" s="268"/>
      <c r="Q127" s="309"/>
      <c r="R127" s="268"/>
      <c r="S127" s="313"/>
      <c r="T127" s="313"/>
      <c r="U127" s="256"/>
      <c r="V127" s="257"/>
      <c r="W127" s="230"/>
      <c r="X127" s="230"/>
      <c r="Y127" s="230"/>
      <c r="Z127" s="268"/>
    </row>
    <row r="128" spans="1:26" ht="24.75" customHeight="1">
      <c r="A128" s="268"/>
      <c r="B128" s="268"/>
      <c r="C128" s="268"/>
      <c r="D128" s="268"/>
      <c r="E128" s="268"/>
      <c r="F128" s="268"/>
      <c r="G128" s="268"/>
      <c r="H128" s="268"/>
      <c r="I128" s="268"/>
      <c r="J128" s="268"/>
      <c r="K128" s="268"/>
      <c r="L128" s="309"/>
      <c r="M128" s="268"/>
      <c r="N128" s="268"/>
      <c r="O128" s="268"/>
      <c r="P128" s="268"/>
      <c r="Q128" s="309"/>
      <c r="R128" s="268"/>
      <c r="S128" s="268"/>
      <c r="T128" s="268"/>
      <c r="U128" s="288">
        <v>26964</v>
      </c>
      <c r="V128" s="246" t="s">
        <v>5167</v>
      </c>
      <c r="W128" s="254" t="s">
        <v>5168</v>
      </c>
      <c r="X128" s="248">
        <v>150</v>
      </c>
      <c r="Y128" s="248">
        <v>84</v>
      </c>
      <c r="Z128" s="248">
        <v>37.33</v>
      </c>
    </row>
    <row r="129" spans="1:26" ht="24.75" customHeight="1">
      <c r="A129" s="268"/>
      <c r="B129" s="268"/>
      <c r="C129" s="268"/>
      <c r="D129" s="268"/>
      <c r="E129" s="268"/>
      <c r="F129" s="268"/>
      <c r="G129" s="268"/>
      <c r="H129" s="268"/>
      <c r="I129" s="268"/>
      <c r="J129" s="268"/>
      <c r="K129" s="268"/>
      <c r="L129" s="309"/>
      <c r="M129" s="268"/>
      <c r="N129" s="268"/>
      <c r="O129" s="268"/>
      <c r="P129" s="268"/>
      <c r="Q129" s="309"/>
      <c r="R129" s="268"/>
      <c r="S129" s="268"/>
      <c r="T129" s="268"/>
      <c r="U129" s="246" t="s">
        <v>4899</v>
      </c>
      <c r="V129" s="254" t="s">
        <v>4900</v>
      </c>
      <c r="W129" s="248">
        <v>160</v>
      </c>
      <c r="X129" s="248">
        <v>66</v>
      </c>
      <c r="Y129" s="248">
        <v>25.78</v>
      </c>
      <c r="Z129" s="268"/>
    </row>
    <row r="130" spans="1:26" ht="24.75" customHeight="1">
      <c r="A130" s="268"/>
      <c r="B130" s="268"/>
      <c r="C130" s="268"/>
      <c r="D130" s="268"/>
      <c r="E130" s="268"/>
      <c r="F130" s="268"/>
      <c r="G130" s="268"/>
      <c r="H130" s="268"/>
      <c r="I130" s="268"/>
      <c r="J130" s="268"/>
      <c r="K130" s="268"/>
      <c r="L130" s="309"/>
      <c r="M130" s="268"/>
      <c r="N130" s="268"/>
      <c r="O130" s="310"/>
      <c r="P130" s="268"/>
      <c r="Q130" s="309"/>
      <c r="R130" s="268"/>
      <c r="S130" s="268"/>
      <c r="T130" s="268"/>
      <c r="U130" s="253" t="s">
        <v>4806</v>
      </c>
      <c r="V130" s="254" t="s">
        <v>4807</v>
      </c>
      <c r="W130" s="248">
        <v>175</v>
      </c>
      <c r="X130" s="248">
        <v>80</v>
      </c>
      <c r="Y130" s="248">
        <v>26.12</v>
      </c>
      <c r="Z130" s="268"/>
    </row>
    <row r="131" spans="1:26" ht="24.75" customHeight="1">
      <c r="A131" s="268"/>
      <c r="B131" s="268"/>
      <c r="C131" s="268"/>
      <c r="D131" s="268"/>
      <c r="E131" s="268"/>
      <c r="F131" s="268"/>
      <c r="G131" s="268"/>
      <c r="H131" s="268"/>
      <c r="I131" s="268"/>
      <c r="J131" s="268"/>
      <c r="K131" s="268"/>
      <c r="L131" s="309"/>
      <c r="M131" s="268"/>
      <c r="N131" s="268"/>
      <c r="O131" s="268"/>
      <c r="P131" s="268"/>
      <c r="Q131" s="309"/>
      <c r="R131" s="268"/>
      <c r="S131" s="313"/>
      <c r="T131" s="313"/>
      <c r="U131" s="256"/>
      <c r="V131" s="257"/>
      <c r="W131" s="230"/>
      <c r="X131" s="230"/>
      <c r="Y131" s="230"/>
      <c r="Z131" s="268"/>
    </row>
    <row r="132" spans="1:26" ht="24.75" customHeight="1">
      <c r="A132" s="268"/>
      <c r="B132" s="268"/>
      <c r="C132" s="268"/>
      <c r="D132" s="268"/>
      <c r="E132" s="268"/>
      <c r="F132" s="268"/>
      <c r="G132" s="268"/>
      <c r="H132" s="268"/>
      <c r="I132" s="268"/>
      <c r="J132" s="268"/>
      <c r="K132" s="268"/>
      <c r="L132" s="309"/>
      <c r="M132" s="268"/>
      <c r="N132" s="268"/>
      <c r="O132" s="268"/>
      <c r="P132" s="268"/>
      <c r="Q132" s="309"/>
      <c r="R132" s="268"/>
      <c r="S132" s="313"/>
      <c r="T132" s="313"/>
      <c r="U132" s="256"/>
      <c r="V132" s="257"/>
      <c r="W132" s="230"/>
      <c r="X132" s="230"/>
      <c r="Y132" s="230"/>
      <c r="Z132" s="268"/>
    </row>
    <row r="133" spans="1:26" ht="24.75" customHeight="1">
      <c r="A133" s="268"/>
      <c r="B133" s="268"/>
      <c r="C133" s="268"/>
      <c r="D133" s="268"/>
      <c r="E133" s="268"/>
      <c r="F133" s="268"/>
      <c r="G133" s="268"/>
      <c r="H133" s="268"/>
      <c r="I133" s="268"/>
      <c r="J133" s="268"/>
      <c r="K133" s="268"/>
      <c r="L133" s="309"/>
      <c r="M133" s="268"/>
      <c r="N133" s="268"/>
      <c r="O133" s="310"/>
      <c r="P133" s="268"/>
      <c r="Q133" s="309"/>
      <c r="R133" s="268"/>
      <c r="S133" s="313"/>
      <c r="T133" s="313"/>
      <c r="U133" s="309"/>
      <c r="V133" s="310"/>
      <c r="W133" s="268"/>
      <c r="X133" s="268"/>
      <c r="Y133" s="268"/>
      <c r="Z133" s="268"/>
    </row>
    <row r="134" spans="1:26" ht="24.75" customHeight="1">
      <c r="A134" s="268"/>
      <c r="B134" s="268"/>
      <c r="C134" s="268"/>
      <c r="D134" s="268"/>
      <c r="E134" s="268"/>
      <c r="F134" s="268"/>
      <c r="G134" s="268"/>
      <c r="H134" s="268"/>
      <c r="I134" s="268"/>
      <c r="J134" s="268"/>
      <c r="K134" s="268"/>
      <c r="L134" s="309"/>
      <c r="M134" s="268"/>
      <c r="N134" s="268"/>
      <c r="O134" s="268"/>
      <c r="P134" s="268"/>
      <c r="Q134" s="309"/>
      <c r="R134" s="268"/>
      <c r="S134" s="313"/>
      <c r="T134" s="313"/>
      <c r="U134" s="268"/>
      <c r="V134" s="309"/>
      <c r="W134" s="310"/>
      <c r="X134" s="268"/>
      <c r="Y134" s="268"/>
      <c r="Z134" s="268"/>
    </row>
    <row r="135" spans="1:26" ht="24.75" customHeight="1">
      <c r="A135" s="268"/>
      <c r="B135" s="268"/>
      <c r="C135" s="268"/>
      <c r="D135" s="268"/>
      <c r="E135" s="268"/>
      <c r="F135" s="268"/>
      <c r="G135" s="268"/>
      <c r="H135" s="268"/>
      <c r="I135" s="268"/>
      <c r="J135" s="268"/>
      <c r="K135" s="268"/>
      <c r="L135" s="309"/>
      <c r="M135" s="268"/>
      <c r="N135" s="268"/>
      <c r="O135" s="268"/>
      <c r="P135" s="268"/>
      <c r="Q135" s="309"/>
      <c r="R135" s="268"/>
      <c r="S135" s="313"/>
      <c r="T135" s="313"/>
      <c r="U135" s="309"/>
      <c r="V135" s="310"/>
      <c r="W135" s="268"/>
      <c r="X135" s="268"/>
      <c r="Y135" s="268"/>
      <c r="Z135" s="268"/>
    </row>
    <row r="136" spans="1:26" ht="24.75" customHeight="1">
      <c r="A136" s="268"/>
      <c r="B136" s="268"/>
      <c r="C136" s="268"/>
      <c r="D136" s="268"/>
      <c r="E136" s="268"/>
      <c r="F136" s="268"/>
      <c r="G136" s="268"/>
      <c r="H136" s="268"/>
      <c r="I136" s="268"/>
      <c r="J136" s="268"/>
      <c r="K136" s="268"/>
      <c r="L136" s="309"/>
      <c r="M136" s="268"/>
      <c r="N136" s="268"/>
      <c r="O136" s="268"/>
      <c r="P136" s="268"/>
      <c r="Q136" s="309"/>
      <c r="R136" s="268"/>
      <c r="S136" s="313"/>
      <c r="T136" s="313"/>
      <c r="U136" s="309"/>
      <c r="V136" s="310"/>
      <c r="W136" s="268"/>
      <c r="X136" s="268"/>
      <c r="Y136" s="268"/>
      <c r="Z136" s="268"/>
    </row>
    <row r="137" spans="1:26" ht="24.75" customHeight="1">
      <c r="A137" s="268"/>
      <c r="B137" s="268"/>
      <c r="C137" s="268"/>
      <c r="D137" s="268"/>
      <c r="E137" s="268"/>
      <c r="F137" s="268"/>
      <c r="G137" s="268"/>
      <c r="H137" s="268"/>
      <c r="I137" s="268"/>
      <c r="J137" s="268"/>
      <c r="K137" s="268"/>
      <c r="L137" s="309"/>
      <c r="M137" s="268"/>
      <c r="N137" s="268"/>
      <c r="O137" s="268"/>
      <c r="P137" s="268"/>
      <c r="Q137" s="309"/>
      <c r="R137" s="268"/>
      <c r="S137" s="313"/>
      <c r="T137" s="313"/>
      <c r="U137" s="256"/>
      <c r="V137" s="257"/>
      <c r="W137" s="230"/>
      <c r="X137" s="230"/>
      <c r="Y137" s="230"/>
      <c r="Z137" s="268"/>
    </row>
    <row r="138" spans="1:26" ht="24.75" customHeight="1">
      <c r="A138" s="268"/>
      <c r="B138" s="268"/>
      <c r="C138" s="268"/>
      <c r="D138" s="268"/>
      <c r="E138" s="268"/>
      <c r="F138" s="268"/>
      <c r="G138" s="268"/>
      <c r="H138" s="268"/>
      <c r="I138" s="268"/>
      <c r="J138" s="268"/>
      <c r="K138" s="268"/>
      <c r="L138" s="309"/>
      <c r="M138" s="268"/>
      <c r="N138" s="268"/>
      <c r="O138" s="268"/>
      <c r="P138" s="268"/>
      <c r="Q138" s="309"/>
      <c r="R138" s="268"/>
      <c r="S138" s="268"/>
      <c r="T138" s="268"/>
      <c r="U138" s="253"/>
      <c r="V138" s="254"/>
      <c r="W138" s="248"/>
      <c r="X138" s="248"/>
      <c r="Y138" s="248"/>
      <c r="Z138" s="268"/>
    </row>
    <row r="139" spans="1:26" ht="24.75" customHeight="1">
      <c r="A139" s="268"/>
      <c r="B139" s="268"/>
      <c r="C139" s="268"/>
      <c r="D139" s="268"/>
      <c r="E139" s="268"/>
      <c r="F139" s="268"/>
      <c r="G139" s="268"/>
      <c r="H139" s="268"/>
      <c r="I139" s="268"/>
      <c r="J139" s="268"/>
      <c r="K139" s="268"/>
      <c r="L139" s="309"/>
      <c r="M139" s="268"/>
      <c r="N139" s="268"/>
      <c r="O139" s="310"/>
      <c r="P139" s="268"/>
      <c r="Q139" s="309"/>
      <c r="R139" s="268"/>
      <c r="S139" s="268"/>
      <c r="T139" s="268"/>
      <c r="U139" s="253"/>
      <c r="V139" s="254"/>
      <c r="W139" s="248"/>
      <c r="X139" s="248"/>
      <c r="Y139" s="248"/>
      <c r="Z139" s="268"/>
    </row>
    <row r="140" spans="1:26" ht="24.75" customHeight="1">
      <c r="A140" s="268"/>
      <c r="B140" s="268"/>
      <c r="C140" s="268"/>
      <c r="D140" s="268"/>
      <c r="E140" s="268"/>
      <c r="F140" s="268"/>
      <c r="G140" s="268"/>
      <c r="H140" s="268"/>
      <c r="I140" s="268"/>
      <c r="J140" s="268"/>
      <c r="K140" s="268"/>
      <c r="L140" s="309"/>
      <c r="M140" s="268"/>
      <c r="N140" s="268"/>
      <c r="O140" s="268"/>
      <c r="P140" s="268"/>
      <c r="Q140" s="309"/>
      <c r="R140" s="268"/>
      <c r="S140" s="313"/>
      <c r="T140" s="313"/>
      <c r="U140" s="256"/>
      <c r="V140" s="257"/>
      <c r="W140" s="230"/>
      <c r="X140" s="230"/>
      <c r="Y140" s="230"/>
      <c r="Z140" s="268"/>
    </row>
    <row r="141" spans="1:26" ht="24.75" customHeight="1">
      <c r="A141" s="268"/>
      <c r="B141" s="268"/>
      <c r="C141" s="268"/>
      <c r="D141" s="268"/>
      <c r="E141" s="268"/>
      <c r="F141" s="268"/>
      <c r="G141" s="268"/>
      <c r="H141" s="268"/>
      <c r="I141" s="268"/>
      <c r="J141" s="268"/>
      <c r="K141" s="268"/>
      <c r="L141" s="309"/>
      <c r="M141" s="268"/>
      <c r="N141" s="268"/>
      <c r="O141" s="268"/>
      <c r="P141" s="268"/>
      <c r="Q141" s="309"/>
      <c r="R141" s="268"/>
      <c r="S141" s="313"/>
      <c r="T141" s="313"/>
      <c r="U141" s="268"/>
      <c r="V141" s="309"/>
      <c r="W141" s="310"/>
      <c r="X141" s="268"/>
      <c r="Y141" s="268"/>
      <c r="Z141" s="268"/>
    </row>
    <row r="142" spans="1:26" ht="24.75" customHeight="1">
      <c r="A142" s="268"/>
      <c r="B142" s="268"/>
      <c r="C142" s="268"/>
      <c r="D142" s="268"/>
      <c r="E142" s="268"/>
      <c r="F142" s="268"/>
      <c r="G142" s="268"/>
      <c r="H142" s="268"/>
      <c r="I142" s="268"/>
      <c r="J142" s="268"/>
      <c r="K142" s="268"/>
      <c r="L142" s="309"/>
      <c r="M142" s="268"/>
      <c r="N142" s="268"/>
      <c r="O142" s="268"/>
      <c r="P142" s="268"/>
      <c r="Q142" s="309"/>
      <c r="R142" s="268"/>
      <c r="S142" s="313"/>
      <c r="T142" s="313"/>
      <c r="U142" s="268"/>
      <c r="V142" s="309"/>
      <c r="W142" s="310"/>
      <c r="X142" s="268"/>
      <c r="Y142" s="268"/>
      <c r="Z142" s="268"/>
    </row>
    <row r="143" spans="1:26" ht="24.75" customHeight="1">
      <c r="A143" s="268"/>
      <c r="B143" s="268"/>
      <c r="C143" s="268"/>
      <c r="D143" s="268"/>
      <c r="E143" s="268"/>
      <c r="F143" s="268"/>
      <c r="G143" s="268"/>
      <c r="H143" s="268"/>
      <c r="I143" s="268"/>
      <c r="J143" s="268"/>
      <c r="K143" s="268"/>
      <c r="L143" s="309"/>
      <c r="M143" s="268"/>
      <c r="N143" s="268"/>
      <c r="O143" s="268"/>
      <c r="P143" s="268"/>
      <c r="Q143" s="309"/>
      <c r="R143" s="268"/>
      <c r="S143" s="268"/>
      <c r="T143" s="268"/>
      <c r="U143" s="246" t="s">
        <v>4899</v>
      </c>
      <c r="V143" s="254" t="s">
        <v>4900</v>
      </c>
      <c r="W143" s="248">
        <v>160</v>
      </c>
      <c r="X143" s="248">
        <v>66</v>
      </c>
      <c r="Y143" s="248">
        <v>25.78</v>
      </c>
      <c r="Z143" s="268"/>
    </row>
    <row r="144" spans="1:26" ht="24.75" customHeight="1">
      <c r="A144" s="268"/>
      <c r="B144" s="268"/>
      <c r="C144" s="268"/>
      <c r="D144" s="268"/>
      <c r="E144" s="268"/>
      <c r="F144" s="268"/>
      <c r="G144" s="268"/>
      <c r="H144" s="268"/>
      <c r="I144" s="268"/>
      <c r="J144" s="268"/>
      <c r="K144" s="268"/>
      <c r="L144" s="309"/>
      <c r="M144" s="268"/>
      <c r="N144" s="268"/>
      <c r="O144" s="268"/>
      <c r="P144" s="268"/>
      <c r="Q144" s="309"/>
      <c r="R144" s="268"/>
      <c r="S144" s="313"/>
      <c r="T144" s="313"/>
      <c r="U144" s="230"/>
      <c r="V144" s="256"/>
      <c r="W144" s="257"/>
      <c r="X144" s="230"/>
      <c r="Y144" s="230"/>
      <c r="Z144" s="230"/>
    </row>
    <row r="145" spans="1:26" ht="24.75" customHeight="1">
      <c r="A145" s="268"/>
      <c r="B145" s="268"/>
      <c r="C145" s="268"/>
      <c r="D145" s="268"/>
      <c r="E145" s="268"/>
      <c r="F145" s="268"/>
      <c r="G145" s="268"/>
      <c r="H145" s="268"/>
      <c r="I145" s="268"/>
      <c r="J145" s="268"/>
      <c r="K145" s="268"/>
      <c r="L145" s="309"/>
      <c r="M145" s="268"/>
      <c r="N145" s="268"/>
      <c r="O145" s="268"/>
      <c r="P145" s="268"/>
      <c r="Q145" s="309"/>
      <c r="R145" s="268"/>
      <c r="S145" s="313"/>
      <c r="T145" s="313"/>
      <c r="U145" s="268"/>
      <c r="V145" s="309"/>
      <c r="W145" s="310"/>
      <c r="X145" s="268"/>
      <c r="Y145" s="268"/>
      <c r="Z145" s="268"/>
    </row>
    <row r="146" spans="1:26" ht="24.75" customHeight="1">
      <c r="A146" s="268"/>
      <c r="B146" s="268"/>
      <c r="C146" s="268"/>
      <c r="D146" s="268"/>
      <c r="E146" s="268"/>
      <c r="F146" s="268"/>
      <c r="G146" s="268"/>
      <c r="H146" s="268"/>
      <c r="I146" s="268"/>
      <c r="J146" s="268"/>
      <c r="K146" s="268"/>
      <c r="L146" s="309"/>
      <c r="M146" s="268"/>
      <c r="N146" s="268"/>
      <c r="O146" s="268"/>
      <c r="P146" s="268"/>
      <c r="Q146" s="309"/>
      <c r="R146" s="268"/>
      <c r="S146" s="313"/>
      <c r="T146" s="313"/>
      <c r="U146" s="256"/>
      <c r="V146" s="257"/>
      <c r="W146" s="230"/>
      <c r="X146" s="230"/>
      <c r="Y146" s="230"/>
      <c r="Z146" s="268"/>
    </row>
    <row r="147" spans="1:26" ht="24.75" customHeight="1">
      <c r="A147" s="268"/>
      <c r="B147" s="268"/>
      <c r="C147" s="268"/>
      <c r="D147" s="268"/>
      <c r="E147" s="268"/>
      <c r="F147" s="268"/>
      <c r="G147" s="268"/>
      <c r="H147" s="268"/>
      <c r="I147" s="268"/>
      <c r="J147" s="268"/>
      <c r="K147" s="268"/>
      <c r="L147" s="309"/>
      <c r="M147" s="268"/>
      <c r="N147" s="268"/>
      <c r="O147" s="268"/>
      <c r="P147" s="268"/>
      <c r="Q147" s="309"/>
      <c r="R147" s="268"/>
      <c r="S147" s="268"/>
      <c r="T147" s="268"/>
      <c r="U147" s="253" t="s">
        <v>4806</v>
      </c>
      <c r="V147" s="254" t="s">
        <v>4807</v>
      </c>
      <c r="W147" s="248">
        <v>175</v>
      </c>
      <c r="X147" s="248">
        <v>80</v>
      </c>
      <c r="Y147" s="248">
        <v>26.12</v>
      </c>
      <c r="Z147" s="268"/>
    </row>
    <row r="148" spans="1:26" ht="24.75" customHeight="1">
      <c r="A148" s="268"/>
      <c r="B148" s="268"/>
      <c r="C148" s="268"/>
      <c r="D148" s="268"/>
      <c r="E148" s="268"/>
      <c r="F148" s="268"/>
      <c r="G148" s="268"/>
      <c r="H148" s="268"/>
      <c r="I148" s="268"/>
      <c r="J148" s="268"/>
      <c r="K148" s="268"/>
      <c r="L148" s="309"/>
      <c r="M148" s="268"/>
      <c r="N148" s="268"/>
      <c r="O148" s="268"/>
      <c r="P148" s="268"/>
      <c r="Q148" s="309"/>
      <c r="R148" s="268"/>
      <c r="S148" s="268"/>
      <c r="T148" s="268"/>
      <c r="U148" s="246" t="s">
        <v>4899</v>
      </c>
      <c r="V148" s="254" t="s">
        <v>4900</v>
      </c>
      <c r="W148" s="248">
        <v>160</v>
      </c>
      <c r="X148" s="248">
        <v>66</v>
      </c>
      <c r="Y148" s="248">
        <v>25.78</v>
      </c>
      <c r="Z148" s="268"/>
    </row>
    <row r="149" spans="1:26" ht="24.75" customHeight="1">
      <c r="A149" s="268"/>
      <c r="B149" s="268"/>
      <c r="C149" s="268"/>
      <c r="D149" s="268"/>
      <c r="E149" s="268"/>
      <c r="F149" s="268"/>
      <c r="G149" s="268"/>
      <c r="H149" s="268"/>
      <c r="I149" s="268"/>
      <c r="J149" s="268"/>
      <c r="K149" s="268"/>
      <c r="L149" s="309"/>
      <c r="M149" s="268"/>
      <c r="N149" s="268"/>
      <c r="O149" s="268"/>
      <c r="P149" s="268"/>
      <c r="Q149" s="309"/>
      <c r="R149" s="268"/>
      <c r="S149" s="268"/>
      <c r="T149" s="268"/>
      <c r="U149" s="253" t="s">
        <v>4806</v>
      </c>
      <c r="V149" s="254" t="s">
        <v>4807</v>
      </c>
      <c r="W149" s="248">
        <v>175</v>
      </c>
      <c r="X149" s="248">
        <v>80</v>
      </c>
      <c r="Y149" s="248">
        <v>26.12</v>
      </c>
      <c r="Z149" s="268"/>
    </row>
    <row r="150" spans="1:26" ht="24.75" customHeight="1">
      <c r="A150" s="268"/>
      <c r="B150" s="268"/>
      <c r="C150" s="268"/>
      <c r="D150" s="268"/>
      <c r="E150" s="268"/>
      <c r="F150" s="268"/>
      <c r="G150" s="268"/>
      <c r="H150" s="268"/>
      <c r="I150" s="268"/>
      <c r="J150" s="268"/>
      <c r="K150" s="268"/>
      <c r="L150" s="309"/>
      <c r="M150" s="268"/>
      <c r="N150" s="268"/>
      <c r="O150" s="268"/>
      <c r="P150" s="268"/>
      <c r="Q150" s="309"/>
      <c r="R150" s="268"/>
      <c r="S150" s="268"/>
      <c r="T150" s="268"/>
      <c r="U150" s="253"/>
      <c r="V150" s="254"/>
      <c r="W150" s="248"/>
      <c r="X150" s="248"/>
      <c r="Y150" s="248"/>
      <c r="Z150" s="268"/>
    </row>
    <row r="151" spans="1:26" ht="24.75" customHeight="1">
      <c r="A151" s="268"/>
      <c r="B151" s="268"/>
      <c r="C151" s="268"/>
      <c r="D151" s="268"/>
      <c r="E151" s="268"/>
      <c r="F151" s="268"/>
      <c r="G151" s="268"/>
      <c r="H151" s="268"/>
      <c r="I151" s="268"/>
      <c r="J151" s="268"/>
      <c r="K151" s="268"/>
      <c r="L151" s="309"/>
      <c r="M151" s="268"/>
      <c r="N151" s="268"/>
      <c r="O151" s="268"/>
      <c r="P151" s="268"/>
      <c r="Q151" s="309"/>
      <c r="R151" s="268"/>
      <c r="S151" s="268"/>
      <c r="T151" s="268"/>
      <c r="U151" s="253" t="s">
        <v>4806</v>
      </c>
      <c r="V151" s="254" t="s">
        <v>4807</v>
      </c>
      <c r="W151" s="248">
        <v>175</v>
      </c>
      <c r="X151" s="248">
        <v>80</v>
      </c>
      <c r="Y151" s="248">
        <v>26.12</v>
      </c>
      <c r="Z151" s="268"/>
    </row>
    <row r="152" spans="1:26" ht="24.75" customHeight="1">
      <c r="A152" s="268"/>
      <c r="B152" s="268"/>
      <c r="C152" s="268"/>
      <c r="D152" s="268"/>
      <c r="E152" s="268"/>
      <c r="F152" s="268"/>
      <c r="G152" s="268"/>
      <c r="H152" s="268"/>
      <c r="I152" s="268"/>
      <c r="J152" s="268"/>
      <c r="K152" s="268"/>
      <c r="L152" s="309"/>
      <c r="M152" s="268"/>
      <c r="N152" s="268"/>
      <c r="O152" s="268"/>
      <c r="P152" s="268"/>
      <c r="Q152" s="309"/>
      <c r="R152" s="268"/>
      <c r="S152" s="313"/>
      <c r="T152" s="313"/>
      <c r="U152" s="256"/>
      <c r="V152" s="257"/>
      <c r="W152" s="230"/>
      <c r="X152" s="230"/>
      <c r="Y152" s="230"/>
      <c r="Z152" s="268"/>
    </row>
    <row r="153" spans="1:26" ht="24.75" customHeight="1">
      <c r="A153" s="268"/>
      <c r="B153" s="268"/>
      <c r="C153" s="268"/>
      <c r="D153" s="268"/>
      <c r="E153" s="268"/>
      <c r="F153" s="268"/>
      <c r="G153" s="268"/>
      <c r="H153" s="268"/>
      <c r="I153" s="268"/>
      <c r="J153" s="268"/>
      <c r="K153" s="268"/>
      <c r="L153" s="309"/>
      <c r="M153" s="268"/>
      <c r="N153" s="268"/>
      <c r="O153" s="268"/>
      <c r="P153" s="268"/>
      <c r="Q153" s="309"/>
      <c r="R153" s="268"/>
      <c r="S153" s="268"/>
      <c r="T153" s="268"/>
      <c r="U153" s="246" t="s">
        <v>4899</v>
      </c>
      <c r="V153" s="254" t="s">
        <v>4900</v>
      </c>
      <c r="W153" s="248">
        <v>160</v>
      </c>
      <c r="X153" s="248">
        <v>66</v>
      </c>
      <c r="Y153" s="248">
        <v>25.78</v>
      </c>
      <c r="Z153" s="268"/>
    </row>
    <row r="154" spans="1:26" ht="24.75" customHeight="1">
      <c r="A154" s="268"/>
      <c r="B154" s="268"/>
      <c r="C154" s="268"/>
      <c r="D154" s="268"/>
      <c r="E154" s="268"/>
      <c r="F154" s="268"/>
      <c r="G154" s="268"/>
      <c r="H154" s="268"/>
      <c r="I154" s="268"/>
      <c r="J154" s="268"/>
      <c r="K154" s="268"/>
      <c r="L154" s="309"/>
      <c r="M154" s="268"/>
      <c r="N154" s="268"/>
      <c r="O154" s="268"/>
      <c r="P154" s="268"/>
      <c r="Q154" s="309"/>
      <c r="R154" s="268"/>
      <c r="S154" s="268"/>
      <c r="T154" s="268"/>
      <c r="U154" s="253" t="s">
        <v>4806</v>
      </c>
      <c r="V154" s="254" t="s">
        <v>4807</v>
      </c>
      <c r="W154" s="248">
        <v>175</v>
      </c>
      <c r="X154" s="248">
        <v>80</v>
      </c>
      <c r="Y154" s="248">
        <v>26.12</v>
      </c>
      <c r="Z154" s="268"/>
    </row>
    <row r="155" spans="1:26" ht="24.75" customHeight="1">
      <c r="A155" s="268"/>
      <c r="B155" s="268"/>
      <c r="C155" s="268"/>
      <c r="D155" s="268"/>
      <c r="E155" s="268"/>
      <c r="F155" s="268"/>
      <c r="G155" s="268"/>
      <c r="H155" s="268"/>
      <c r="I155" s="268"/>
      <c r="J155" s="268"/>
      <c r="K155" s="268"/>
      <c r="L155" s="309"/>
      <c r="M155" s="268"/>
      <c r="N155" s="268"/>
      <c r="O155" s="268"/>
      <c r="P155" s="268"/>
      <c r="Q155" s="309"/>
      <c r="R155" s="268"/>
      <c r="S155" s="313"/>
      <c r="T155" s="313"/>
      <c r="U155" s="256"/>
      <c r="V155" s="257"/>
      <c r="W155" s="230"/>
      <c r="X155" s="230"/>
      <c r="Y155" s="230"/>
      <c r="Z155" s="268"/>
    </row>
    <row r="156" spans="1:26" ht="24.75" customHeight="1">
      <c r="A156" s="268"/>
      <c r="B156" s="268"/>
      <c r="C156" s="268"/>
      <c r="D156" s="268"/>
      <c r="E156" s="268"/>
      <c r="F156" s="268"/>
      <c r="G156" s="268"/>
      <c r="H156" s="268"/>
      <c r="I156" s="268"/>
      <c r="J156" s="268"/>
      <c r="K156" s="268"/>
      <c r="L156" s="309"/>
      <c r="M156" s="268"/>
      <c r="N156" s="268"/>
      <c r="O156" s="268"/>
      <c r="P156" s="268"/>
      <c r="Q156" s="309"/>
      <c r="R156" s="268"/>
      <c r="S156" s="313"/>
      <c r="T156" s="313"/>
      <c r="U156" s="268"/>
      <c r="V156" s="309"/>
      <c r="W156" s="310"/>
      <c r="X156" s="268"/>
      <c r="Y156" s="268"/>
      <c r="Z156" s="268"/>
    </row>
    <row r="157" spans="1:26" ht="24.75" customHeight="1">
      <c r="A157" s="268"/>
      <c r="B157" s="268"/>
      <c r="C157" s="268"/>
      <c r="D157" s="268"/>
      <c r="E157" s="268"/>
      <c r="F157" s="268"/>
      <c r="G157" s="268"/>
      <c r="H157" s="268"/>
      <c r="I157" s="268"/>
      <c r="J157" s="268"/>
      <c r="K157" s="268"/>
      <c r="L157" s="309"/>
      <c r="M157" s="268"/>
      <c r="N157" s="268"/>
      <c r="O157" s="268"/>
      <c r="P157" s="268"/>
      <c r="Q157" s="309"/>
      <c r="R157" s="268"/>
      <c r="S157" s="268"/>
      <c r="T157" s="268"/>
      <c r="U157" s="313"/>
      <c r="V157" s="313"/>
      <c r="W157" s="268"/>
      <c r="X157" s="309"/>
      <c r="Y157" s="310"/>
      <c r="Z157" s="268"/>
    </row>
    <row r="158" spans="1:26" ht="24.75" customHeight="1">
      <c r="A158" s="268"/>
      <c r="B158" s="268"/>
      <c r="C158" s="268"/>
      <c r="D158" s="268"/>
      <c r="E158" s="268"/>
      <c r="F158" s="268"/>
      <c r="G158" s="268"/>
      <c r="H158" s="268"/>
      <c r="I158" s="268"/>
      <c r="J158" s="268"/>
      <c r="K158" s="268"/>
      <c r="L158" s="309"/>
      <c r="M158" s="268"/>
      <c r="N158" s="268"/>
      <c r="O158" s="268"/>
      <c r="P158" s="268"/>
      <c r="Q158" s="309"/>
      <c r="R158" s="268"/>
      <c r="S158" s="263"/>
      <c r="T158" s="268"/>
      <c r="U158" s="263"/>
      <c r="V158" s="313"/>
      <c r="W158" s="313"/>
      <c r="X158" s="263"/>
      <c r="Y158" s="263"/>
      <c r="Z158" s="263"/>
    </row>
    <row r="159" spans="1:26" ht="24.75" customHeight="1">
      <c r="A159" s="268"/>
      <c r="B159" s="268"/>
      <c r="C159" s="268"/>
      <c r="D159" s="268"/>
      <c r="E159" s="268"/>
      <c r="F159" s="268"/>
      <c r="G159" s="268"/>
      <c r="H159" s="268"/>
      <c r="I159" s="268"/>
      <c r="J159" s="268"/>
      <c r="K159" s="268"/>
      <c r="L159" s="309"/>
      <c r="M159" s="268"/>
      <c r="N159" s="268"/>
      <c r="O159" s="268"/>
      <c r="P159" s="268"/>
      <c r="Q159" s="309"/>
      <c r="R159" s="268"/>
      <c r="S159" s="313"/>
      <c r="T159" s="313"/>
      <c r="U159" s="256"/>
      <c r="V159" s="257"/>
      <c r="W159" s="230"/>
      <c r="X159" s="230"/>
      <c r="Y159" s="230"/>
      <c r="Z159" s="268"/>
    </row>
    <row r="160" spans="1:26" ht="24.75" customHeight="1">
      <c r="A160" s="268"/>
      <c r="B160" s="268"/>
      <c r="C160" s="268"/>
      <c r="D160" s="268"/>
      <c r="E160" s="268"/>
      <c r="F160" s="268"/>
      <c r="G160" s="268"/>
      <c r="H160" s="268"/>
      <c r="I160" s="268"/>
      <c r="J160" s="268"/>
      <c r="K160" s="268"/>
      <c r="L160" s="309"/>
      <c r="M160" s="268"/>
      <c r="N160" s="268"/>
      <c r="O160" s="268"/>
      <c r="P160" s="268"/>
      <c r="Q160" s="309"/>
      <c r="R160" s="268"/>
      <c r="S160" s="313"/>
      <c r="T160" s="313"/>
      <c r="U160" s="256"/>
      <c r="V160" s="257"/>
      <c r="W160" s="230"/>
      <c r="X160" s="230"/>
      <c r="Y160" s="230"/>
      <c r="Z160" s="268"/>
    </row>
    <row r="161" spans="1:26" ht="24.75" customHeight="1">
      <c r="A161" s="268"/>
      <c r="B161" s="268"/>
      <c r="C161" s="268"/>
      <c r="D161" s="268"/>
      <c r="E161" s="268"/>
      <c r="F161" s="268"/>
      <c r="G161" s="268"/>
      <c r="H161" s="268"/>
      <c r="I161" s="268"/>
      <c r="J161" s="268"/>
      <c r="K161" s="268"/>
      <c r="L161" s="309"/>
      <c r="M161" s="268"/>
      <c r="N161" s="268"/>
      <c r="O161" s="268"/>
      <c r="P161" s="268"/>
      <c r="Q161" s="309"/>
      <c r="R161" s="268"/>
      <c r="S161" s="268"/>
      <c r="T161" s="268"/>
      <c r="U161" s="253" t="s">
        <v>4806</v>
      </c>
      <c r="V161" s="254" t="s">
        <v>4807</v>
      </c>
      <c r="W161" s="248">
        <v>175</v>
      </c>
      <c r="X161" s="248">
        <v>80</v>
      </c>
      <c r="Y161" s="248">
        <v>26.12</v>
      </c>
      <c r="Z161" s="268"/>
    </row>
    <row r="162" spans="1:26" ht="24.75" customHeight="1">
      <c r="A162" s="268"/>
      <c r="B162" s="268"/>
      <c r="C162" s="268"/>
      <c r="D162" s="268"/>
      <c r="E162" s="268"/>
      <c r="F162" s="268"/>
      <c r="G162" s="268"/>
      <c r="H162" s="268"/>
      <c r="I162" s="268"/>
      <c r="J162" s="268"/>
      <c r="K162" s="268"/>
      <c r="L162" s="309"/>
      <c r="M162" s="268"/>
      <c r="N162" s="268"/>
      <c r="O162" s="268"/>
      <c r="P162" s="268"/>
      <c r="Q162" s="309"/>
      <c r="R162" s="268"/>
      <c r="S162" s="313"/>
      <c r="T162" s="313"/>
      <c r="U162" s="256"/>
      <c r="V162" s="257"/>
      <c r="W162" s="230"/>
      <c r="X162" s="230"/>
      <c r="Y162" s="230"/>
      <c r="Z162" s="268"/>
    </row>
    <row r="163" spans="1:26" ht="24.75" customHeight="1">
      <c r="A163" s="268"/>
      <c r="B163" s="268"/>
      <c r="C163" s="268"/>
      <c r="D163" s="268"/>
      <c r="E163" s="268"/>
      <c r="F163" s="268"/>
      <c r="G163" s="268"/>
      <c r="H163" s="268"/>
      <c r="I163" s="268"/>
      <c r="J163" s="268"/>
      <c r="K163" s="268"/>
      <c r="L163" s="309"/>
      <c r="M163" s="268"/>
      <c r="N163" s="268"/>
      <c r="O163" s="268"/>
      <c r="P163" s="268"/>
      <c r="Q163" s="309"/>
      <c r="R163" s="268"/>
      <c r="S163" s="313"/>
      <c r="T163" s="313"/>
      <c r="U163" s="268"/>
      <c r="V163" s="309"/>
      <c r="W163" s="310"/>
      <c r="X163" s="268"/>
      <c r="Y163" s="268"/>
      <c r="Z163" s="268"/>
    </row>
    <row r="164" spans="1:26" ht="24.75" customHeight="1">
      <c r="A164" s="268"/>
      <c r="B164" s="268"/>
      <c r="C164" s="268"/>
      <c r="D164" s="268"/>
      <c r="E164" s="268"/>
      <c r="F164" s="268"/>
      <c r="G164" s="268"/>
      <c r="H164" s="268"/>
      <c r="I164" s="268"/>
      <c r="J164" s="268"/>
      <c r="K164" s="268"/>
      <c r="L164" s="309"/>
      <c r="M164" s="268"/>
      <c r="N164" s="268"/>
      <c r="O164" s="268"/>
      <c r="P164" s="268"/>
      <c r="Q164" s="309"/>
      <c r="R164" s="268"/>
      <c r="S164" s="313"/>
      <c r="T164" s="313"/>
      <c r="U164" s="268"/>
      <c r="V164" s="309"/>
      <c r="W164" s="310"/>
      <c r="X164" s="268"/>
      <c r="Y164" s="268"/>
      <c r="Z164" s="268"/>
    </row>
    <row r="165" spans="1:26" ht="24.75" customHeight="1">
      <c r="A165" s="268"/>
      <c r="B165" s="268"/>
      <c r="C165" s="268"/>
      <c r="D165" s="268"/>
      <c r="E165" s="268"/>
      <c r="F165" s="268"/>
      <c r="G165" s="268"/>
      <c r="H165" s="268"/>
      <c r="I165" s="268"/>
      <c r="J165" s="268"/>
      <c r="K165" s="268"/>
      <c r="L165" s="309"/>
      <c r="M165" s="268"/>
      <c r="N165" s="268"/>
      <c r="O165" s="268"/>
      <c r="P165" s="268"/>
      <c r="Q165" s="309"/>
      <c r="R165" s="268"/>
      <c r="S165" s="313"/>
      <c r="T165" s="313"/>
      <c r="U165" s="268"/>
      <c r="V165" s="309"/>
      <c r="W165" s="310"/>
      <c r="X165" s="268"/>
      <c r="Y165" s="268"/>
      <c r="Z165" s="268"/>
    </row>
    <row r="166" spans="1:26" ht="24.75" customHeight="1">
      <c r="A166" s="268"/>
      <c r="B166" s="268"/>
      <c r="C166" s="268"/>
      <c r="D166" s="268"/>
      <c r="E166" s="268"/>
      <c r="F166" s="268"/>
      <c r="G166" s="268"/>
      <c r="H166" s="268"/>
      <c r="I166" s="268"/>
      <c r="J166" s="268"/>
      <c r="K166" s="268"/>
      <c r="L166" s="309"/>
      <c r="M166" s="268"/>
      <c r="N166" s="268"/>
      <c r="O166" s="268"/>
      <c r="P166" s="268"/>
      <c r="Q166" s="309"/>
      <c r="R166" s="268"/>
      <c r="S166" s="313"/>
      <c r="T166" s="313"/>
      <c r="U166" s="268"/>
      <c r="V166" s="309"/>
      <c r="W166" s="310"/>
      <c r="X166" s="268"/>
      <c r="Y166" s="268"/>
      <c r="Z166" s="268"/>
    </row>
    <row r="167" spans="1:26" ht="24.75" customHeight="1">
      <c r="A167" s="268"/>
      <c r="B167" s="268"/>
      <c r="C167" s="268"/>
      <c r="D167" s="268"/>
      <c r="E167" s="268"/>
      <c r="F167" s="268"/>
      <c r="G167" s="268"/>
      <c r="H167" s="268"/>
      <c r="I167" s="268"/>
      <c r="J167" s="268"/>
      <c r="K167" s="268"/>
      <c r="L167" s="309"/>
      <c r="M167" s="268"/>
      <c r="N167" s="268"/>
      <c r="O167" s="310"/>
      <c r="P167" s="268"/>
      <c r="Q167" s="309"/>
      <c r="R167" s="268"/>
      <c r="S167" s="313"/>
      <c r="T167" s="313"/>
      <c r="U167" s="268"/>
      <c r="V167" s="309"/>
      <c r="W167" s="310"/>
      <c r="X167" s="268"/>
      <c r="Y167" s="268"/>
      <c r="Z167" s="268"/>
    </row>
    <row r="168" spans="1:26" ht="24.75" customHeight="1">
      <c r="A168" s="268"/>
      <c r="B168" s="268"/>
      <c r="C168" s="268"/>
      <c r="D168" s="268"/>
      <c r="E168" s="268"/>
      <c r="F168" s="268"/>
      <c r="G168" s="268"/>
      <c r="H168" s="268"/>
      <c r="I168" s="268"/>
      <c r="J168" s="268"/>
      <c r="K168" s="268"/>
      <c r="L168" s="309"/>
      <c r="M168" s="268"/>
      <c r="N168" s="268"/>
      <c r="O168" s="310"/>
      <c r="P168" s="268"/>
      <c r="Q168" s="309"/>
      <c r="R168" s="268"/>
      <c r="S168" s="313"/>
      <c r="T168" s="313"/>
      <c r="U168" s="268"/>
      <c r="V168" s="309"/>
      <c r="W168" s="310"/>
      <c r="X168" s="268"/>
      <c r="Y168" s="268"/>
      <c r="Z168" s="268"/>
    </row>
    <row r="169" spans="1:26" ht="24.75" customHeight="1">
      <c r="A169" s="268"/>
      <c r="B169" s="268"/>
      <c r="C169" s="268"/>
      <c r="D169" s="268"/>
      <c r="E169" s="268"/>
      <c r="F169" s="268"/>
      <c r="G169" s="268"/>
      <c r="H169" s="268"/>
      <c r="I169" s="268"/>
      <c r="J169" s="268"/>
      <c r="K169" s="268"/>
      <c r="L169" s="309"/>
      <c r="M169" s="268"/>
      <c r="N169" s="268"/>
      <c r="O169" s="268"/>
      <c r="P169" s="268"/>
      <c r="Q169" s="309"/>
      <c r="R169" s="268"/>
      <c r="S169" s="268"/>
      <c r="T169" s="268"/>
      <c r="U169" s="313"/>
      <c r="V169" s="313"/>
      <c r="W169" s="268"/>
      <c r="X169" s="309"/>
      <c r="Y169" s="310"/>
      <c r="Z169" s="268"/>
    </row>
    <row r="170" spans="1:26" ht="24.75" customHeight="1">
      <c r="A170" s="268"/>
      <c r="B170" s="268"/>
      <c r="C170" s="268"/>
      <c r="D170" s="268"/>
      <c r="E170" s="268"/>
      <c r="F170" s="268"/>
      <c r="G170" s="268"/>
      <c r="H170" s="268"/>
      <c r="I170" s="268"/>
      <c r="J170" s="268"/>
      <c r="K170" s="268"/>
      <c r="L170" s="309"/>
      <c r="M170" s="268"/>
      <c r="N170" s="268"/>
      <c r="O170" s="310"/>
      <c r="P170" s="268"/>
      <c r="Q170" s="309"/>
      <c r="R170" s="268"/>
      <c r="S170" s="268"/>
      <c r="T170" s="268"/>
      <c r="U170" s="313"/>
      <c r="V170" s="313"/>
      <c r="W170" s="268"/>
      <c r="X170" s="309"/>
      <c r="Y170" s="310"/>
      <c r="Z170" s="268"/>
    </row>
    <row r="171" spans="1:26" ht="24.75" customHeight="1">
      <c r="A171" s="268"/>
      <c r="B171" s="268"/>
      <c r="C171" s="268"/>
      <c r="D171" s="268"/>
      <c r="E171" s="268"/>
      <c r="F171" s="268"/>
      <c r="G171" s="268"/>
      <c r="H171" s="268"/>
      <c r="I171" s="268"/>
      <c r="J171" s="268"/>
      <c r="K171" s="268"/>
      <c r="L171" s="309"/>
      <c r="M171" s="268"/>
      <c r="N171" s="268"/>
      <c r="O171" s="310"/>
      <c r="P171" s="268"/>
      <c r="Q171" s="309"/>
      <c r="R171" s="268"/>
      <c r="S171" s="313"/>
      <c r="T171" s="313"/>
      <c r="U171" s="268"/>
      <c r="V171" s="309"/>
      <c r="W171" s="310"/>
      <c r="X171" s="268"/>
      <c r="Y171" s="268"/>
      <c r="Z171" s="268"/>
    </row>
    <row r="172" spans="1:26" ht="24.75" customHeight="1">
      <c r="A172" s="268"/>
      <c r="B172" s="268"/>
      <c r="C172" s="268"/>
      <c r="D172" s="268"/>
      <c r="E172" s="268"/>
      <c r="F172" s="268"/>
      <c r="G172" s="268"/>
      <c r="H172" s="268"/>
      <c r="I172" s="268"/>
      <c r="J172" s="268"/>
      <c r="K172" s="268"/>
      <c r="L172" s="309"/>
      <c r="M172" s="268"/>
      <c r="N172" s="268"/>
      <c r="O172" s="268"/>
      <c r="P172" s="268"/>
      <c r="Q172" s="309"/>
      <c r="R172" s="268"/>
      <c r="S172" s="313"/>
      <c r="T172" s="313"/>
      <c r="U172" s="268"/>
      <c r="V172" s="309"/>
      <c r="W172" s="310"/>
      <c r="X172" s="268"/>
      <c r="Y172" s="268"/>
      <c r="Z172" s="268"/>
    </row>
    <row r="173" spans="1:26" ht="24.75" customHeight="1">
      <c r="A173" s="268"/>
      <c r="B173" s="268"/>
      <c r="C173" s="268"/>
      <c r="D173" s="268"/>
      <c r="E173" s="268"/>
      <c r="F173" s="268"/>
      <c r="G173" s="268"/>
      <c r="H173" s="268"/>
      <c r="I173" s="268"/>
      <c r="J173" s="268"/>
      <c r="K173" s="268"/>
      <c r="L173" s="309"/>
      <c r="M173" s="268"/>
      <c r="N173" s="268"/>
      <c r="O173" s="310"/>
      <c r="P173" s="268"/>
      <c r="Q173" s="309"/>
      <c r="R173" s="268"/>
      <c r="S173" s="313"/>
      <c r="T173" s="313"/>
      <c r="U173" s="268"/>
      <c r="V173" s="309"/>
      <c r="W173" s="310"/>
      <c r="X173" s="268"/>
      <c r="Y173" s="268"/>
      <c r="Z173" s="268"/>
    </row>
    <row r="174" spans="1:26" ht="24.75" customHeight="1">
      <c r="A174" s="268"/>
      <c r="B174" s="268"/>
      <c r="C174" s="268"/>
      <c r="D174" s="268"/>
      <c r="E174" s="268"/>
      <c r="F174" s="268"/>
      <c r="G174" s="268"/>
      <c r="H174" s="268"/>
      <c r="I174" s="268"/>
      <c r="J174" s="268"/>
      <c r="K174" s="268"/>
      <c r="L174" s="309"/>
      <c r="M174" s="268"/>
      <c r="N174" s="268"/>
      <c r="O174" s="268"/>
      <c r="P174" s="268"/>
      <c r="Q174" s="309"/>
      <c r="R174" s="268"/>
      <c r="S174" s="313"/>
      <c r="T174" s="313"/>
      <c r="U174" s="289"/>
      <c r="V174" s="290"/>
      <c r="W174" s="291"/>
      <c r="X174" s="289"/>
      <c r="Y174" s="289"/>
      <c r="Z174" s="289"/>
    </row>
    <row r="175" spans="1:26" ht="24.75" customHeight="1">
      <c r="A175" s="268"/>
      <c r="B175" s="268"/>
      <c r="C175" s="268"/>
      <c r="D175" s="268"/>
      <c r="E175" s="268"/>
      <c r="F175" s="268"/>
      <c r="G175" s="268"/>
      <c r="H175" s="268"/>
      <c r="I175" s="268"/>
      <c r="J175" s="268"/>
      <c r="K175" s="268"/>
      <c r="L175" s="309"/>
      <c r="M175" s="268"/>
      <c r="N175" s="268"/>
      <c r="O175" s="268"/>
      <c r="P175" s="268"/>
      <c r="Q175" s="309"/>
      <c r="R175" s="268"/>
      <c r="S175" s="313"/>
      <c r="T175" s="313"/>
      <c r="U175" s="343"/>
      <c r="V175" s="344"/>
      <c r="W175" s="345"/>
      <c r="X175" s="343"/>
      <c r="Y175" s="343"/>
      <c r="Z175" s="343"/>
    </row>
    <row r="176" spans="1:26" ht="24.75" customHeight="1">
      <c r="A176" s="268"/>
      <c r="B176" s="268"/>
      <c r="C176" s="268"/>
      <c r="D176" s="268"/>
      <c r="E176" s="268"/>
      <c r="F176" s="268"/>
      <c r="G176" s="268"/>
      <c r="H176" s="268"/>
      <c r="I176" s="268"/>
      <c r="J176" s="268"/>
      <c r="K176" s="268"/>
      <c r="L176" s="309"/>
      <c r="M176" s="268"/>
      <c r="N176" s="268"/>
      <c r="O176" s="310"/>
      <c r="P176" s="268"/>
      <c r="Q176" s="309"/>
      <c r="R176" s="268"/>
      <c r="S176" s="313"/>
      <c r="T176" s="313"/>
      <c r="U176" s="268"/>
      <c r="V176" s="309"/>
      <c r="W176" s="310"/>
      <c r="X176" s="268"/>
      <c r="Y176" s="268"/>
      <c r="Z176" s="268"/>
    </row>
    <row r="177" spans="1:26" ht="24.75" customHeight="1">
      <c r="A177" s="268"/>
      <c r="B177" s="268"/>
      <c r="C177" s="268"/>
      <c r="D177" s="268"/>
      <c r="E177" s="268"/>
      <c r="F177" s="268"/>
      <c r="G177" s="268"/>
      <c r="H177" s="268"/>
      <c r="I177" s="268"/>
      <c r="J177" s="268"/>
      <c r="K177" s="268"/>
      <c r="L177" s="309"/>
      <c r="M177" s="268"/>
      <c r="N177" s="268"/>
      <c r="O177" s="268"/>
      <c r="P177" s="268"/>
      <c r="Q177" s="309"/>
      <c r="R177" s="268"/>
      <c r="S177" s="313"/>
      <c r="T177" s="313"/>
      <c r="U177" s="268"/>
      <c r="V177" s="309"/>
      <c r="W177" s="310"/>
      <c r="X177" s="268"/>
      <c r="Y177" s="268"/>
      <c r="Z177" s="268"/>
    </row>
    <row r="178" spans="1:26" ht="24.75" customHeight="1">
      <c r="A178" s="268"/>
      <c r="B178" s="268"/>
      <c r="C178" s="268"/>
      <c r="D178" s="268"/>
      <c r="E178" s="268"/>
      <c r="F178" s="268"/>
      <c r="G178" s="268"/>
      <c r="H178" s="268"/>
      <c r="I178" s="268"/>
      <c r="J178" s="268"/>
      <c r="K178" s="268"/>
      <c r="L178" s="309"/>
      <c r="M178" s="268"/>
      <c r="N178" s="268"/>
      <c r="O178" s="268"/>
      <c r="P178" s="268"/>
      <c r="Q178" s="309"/>
      <c r="R178" s="268"/>
      <c r="S178" s="313"/>
      <c r="T178" s="313"/>
      <c r="U178" s="268"/>
      <c r="V178" s="309"/>
      <c r="W178" s="310"/>
      <c r="X178" s="268"/>
      <c r="Y178" s="268"/>
      <c r="Z178" s="268"/>
    </row>
    <row r="179" spans="1:26" ht="24.75" customHeight="1">
      <c r="A179" s="268"/>
      <c r="B179" s="268"/>
      <c r="C179" s="268"/>
      <c r="D179" s="268"/>
      <c r="E179" s="268"/>
      <c r="F179" s="268"/>
      <c r="G179" s="268"/>
      <c r="H179" s="268"/>
      <c r="I179" s="268"/>
      <c r="J179" s="268"/>
      <c r="K179" s="268"/>
      <c r="L179" s="309"/>
      <c r="M179" s="268"/>
      <c r="N179" s="268"/>
      <c r="O179" s="268"/>
      <c r="P179" s="268"/>
      <c r="Q179" s="309"/>
      <c r="R179" s="268"/>
      <c r="S179" s="313"/>
      <c r="T179" s="313"/>
      <c r="U179" s="248"/>
      <c r="V179" s="253"/>
      <c r="W179" s="254"/>
      <c r="X179" s="248"/>
      <c r="Y179" s="248"/>
      <c r="Z179" s="248"/>
    </row>
    <row r="180" spans="1:26" ht="24.75" customHeight="1">
      <c r="A180" s="268"/>
      <c r="B180" s="268"/>
      <c r="C180" s="268"/>
      <c r="D180" s="268"/>
      <c r="E180" s="268"/>
      <c r="F180" s="268"/>
      <c r="G180" s="268"/>
      <c r="H180" s="268"/>
      <c r="I180" s="268"/>
      <c r="J180" s="268"/>
      <c r="K180" s="268"/>
      <c r="L180" s="309"/>
      <c r="M180" s="268"/>
      <c r="N180" s="268"/>
      <c r="O180" s="310"/>
      <c r="P180" s="268"/>
      <c r="Q180" s="309"/>
      <c r="R180" s="268"/>
      <c r="S180" s="313"/>
      <c r="T180" s="313"/>
      <c r="U180" s="268"/>
      <c r="V180" s="309"/>
      <c r="W180" s="310"/>
      <c r="X180" s="268"/>
      <c r="Y180" s="268"/>
      <c r="Z180" s="268"/>
    </row>
    <row r="181" spans="1:26" ht="24.75" customHeight="1">
      <c r="A181" s="268"/>
      <c r="B181" s="268"/>
      <c r="C181" s="268"/>
      <c r="D181" s="268"/>
      <c r="E181" s="268"/>
      <c r="F181" s="268"/>
      <c r="G181" s="268"/>
      <c r="H181" s="268"/>
      <c r="I181" s="268"/>
      <c r="J181" s="268"/>
      <c r="K181" s="268"/>
      <c r="L181" s="309"/>
      <c r="M181" s="268"/>
      <c r="N181" s="268"/>
      <c r="O181" s="310"/>
      <c r="P181" s="268"/>
      <c r="Q181" s="309"/>
      <c r="R181" s="268"/>
      <c r="S181" s="313"/>
      <c r="T181" s="313"/>
      <c r="U181" s="268"/>
      <c r="V181" s="309"/>
      <c r="W181" s="310"/>
      <c r="X181" s="268"/>
      <c r="Y181" s="268"/>
      <c r="Z181" s="268"/>
    </row>
    <row r="182" spans="1:26" ht="24.75" customHeight="1">
      <c r="A182" s="268"/>
      <c r="B182" s="268"/>
      <c r="C182" s="268"/>
      <c r="D182" s="268"/>
      <c r="E182" s="268"/>
      <c r="F182" s="268"/>
      <c r="G182" s="268"/>
      <c r="H182" s="268"/>
      <c r="I182" s="268"/>
      <c r="J182" s="268"/>
      <c r="K182" s="268"/>
      <c r="L182" s="309"/>
      <c r="M182" s="268"/>
      <c r="N182" s="268"/>
      <c r="O182" s="310"/>
      <c r="P182" s="268"/>
      <c r="Q182" s="309"/>
      <c r="R182" s="268"/>
      <c r="S182" s="313"/>
      <c r="T182" s="313"/>
      <c r="U182" s="268"/>
      <c r="V182" s="309"/>
      <c r="W182" s="310"/>
      <c r="X182" s="268"/>
      <c r="Y182" s="268"/>
      <c r="Z182" s="268"/>
    </row>
    <row r="183" spans="1:26" ht="24.75" customHeight="1">
      <c r="A183" s="268"/>
      <c r="B183" s="268"/>
      <c r="C183" s="268"/>
      <c r="D183" s="268"/>
      <c r="E183" s="268"/>
      <c r="F183" s="268"/>
      <c r="G183" s="268"/>
      <c r="H183" s="268"/>
      <c r="I183" s="268"/>
      <c r="J183" s="268"/>
      <c r="K183" s="268"/>
      <c r="L183" s="309"/>
      <c r="M183" s="268"/>
      <c r="N183" s="268"/>
      <c r="O183" s="310"/>
      <c r="P183" s="268"/>
      <c r="Q183" s="309"/>
      <c r="R183" s="268"/>
      <c r="S183" s="313"/>
      <c r="T183" s="313"/>
      <c r="U183" s="268"/>
      <c r="V183" s="309"/>
      <c r="W183" s="310"/>
      <c r="X183" s="268"/>
      <c r="Y183" s="268"/>
      <c r="Z183" s="268"/>
    </row>
    <row r="184" spans="1:26" ht="24.75" customHeight="1">
      <c r="A184" s="268"/>
      <c r="B184" s="268"/>
      <c r="C184" s="268"/>
      <c r="D184" s="268"/>
      <c r="E184" s="268"/>
      <c r="F184" s="268"/>
      <c r="G184" s="268"/>
      <c r="H184" s="268"/>
      <c r="I184" s="268"/>
      <c r="J184" s="268"/>
      <c r="K184" s="268"/>
      <c r="L184" s="309"/>
      <c r="M184" s="268"/>
      <c r="N184" s="268"/>
      <c r="O184" s="268"/>
      <c r="P184" s="268"/>
      <c r="Q184" s="309"/>
      <c r="R184" s="268"/>
      <c r="S184" s="313"/>
      <c r="T184" s="313"/>
      <c r="U184" s="268"/>
      <c r="V184" s="309"/>
      <c r="W184" s="310"/>
      <c r="X184" s="268"/>
      <c r="Y184" s="268"/>
      <c r="Z184" s="268"/>
    </row>
    <row r="185" spans="1:26" ht="24.75" customHeight="1">
      <c r="A185" s="268"/>
      <c r="B185" s="268"/>
      <c r="C185" s="268"/>
      <c r="D185" s="268"/>
      <c r="E185" s="268"/>
      <c r="F185" s="268"/>
      <c r="G185" s="268"/>
      <c r="H185" s="268"/>
      <c r="I185" s="268"/>
      <c r="J185" s="268"/>
      <c r="K185" s="268"/>
      <c r="L185" s="309"/>
      <c r="M185" s="268"/>
      <c r="N185" s="268"/>
      <c r="O185" s="268"/>
      <c r="P185" s="268"/>
      <c r="Q185" s="309"/>
      <c r="R185" s="268"/>
      <c r="S185" s="313"/>
      <c r="T185" s="313"/>
      <c r="U185" s="268"/>
      <c r="V185" s="309"/>
      <c r="W185" s="310"/>
      <c r="X185" s="268"/>
      <c r="Y185" s="268"/>
      <c r="Z185" s="268"/>
    </row>
    <row r="186" spans="1:26" ht="24.75" customHeight="1">
      <c r="A186" s="268"/>
      <c r="B186" s="268"/>
      <c r="C186" s="268"/>
      <c r="D186" s="268"/>
      <c r="E186" s="268"/>
      <c r="F186" s="268"/>
      <c r="G186" s="268"/>
      <c r="H186" s="268"/>
      <c r="I186" s="268"/>
      <c r="J186" s="268"/>
      <c r="K186" s="268"/>
      <c r="L186" s="309"/>
      <c r="M186" s="268"/>
      <c r="N186" s="268"/>
      <c r="O186" s="310"/>
      <c r="P186" s="268"/>
      <c r="Q186" s="309"/>
      <c r="R186" s="268"/>
      <c r="S186" s="313"/>
      <c r="T186" s="313"/>
      <c r="U186" s="268"/>
      <c r="V186" s="309"/>
      <c r="W186" s="310"/>
      <c r="X186" s="268"/>
      <c r="Y186" s="268"/>
      <c r="Z186" s="268"/>
    </row>
    <row r="187" spans="1:26" ht="24.75" customHeight="1">
      <c r="A187" s="268"/>
      <c r="B187" s="268"/>
      <c r="C187" s="268"/>
      <c r="D187" s="268"/>
      <c r="E187" s="268"/>
      <c r="F187" s="268"/>
      <c r="G187" s="268"/>
      <c r="H187" s="268"/>
      <c r="I187" s="268"/>
      <c r="J187" s="268"/>
      <c r="K187" s="268"/>
      <c r="L187" s="309"/>
      <c r="M187" s="268"/>
      <c r="N187" s="268"/>
      <c r="O187" s="310"/>
      <c r="P187" s="268"/>
      <c r="Q187" s="309"/>
      <c r="R187" s="268"/>
      <c r="S187" s="313"/>
      <c r="T187" s="313"/>
      <c r="U187" s="268"/>
      <c r="V187" s="309"/>
      <c r="W187" s="310"/>
      <c r="X187" s="268"/>
      <c r="Y187" s="268"/>
      <c r="Z187" s="268"/>
    </row>
    <row r="188" spans="1:26" ht="24.75" customHeight="1">
      <c r="A188" s="268"/>
      <c r="B188" s="268"/>
      <c r="C188" s="268"/>
      <c r="D188" s="268"/>
      <c r="E188" s="268"/>
      <c r="F188" s="268"/>
      <c r="G188" s="268"/>
      <c r="H188" s="268"/>
      <c r="I188" s="268"/>
      <c r="J188" s="268"/>
      <c r="K188" s="268"/>
      <c r="L188" s="309"/>
      <c r="M188" s="268"/>
      <c r="N188" s="268"/>
      <c r="O188" s="268"/>
      <c r="P188" s="268"/>
      <c r="Q188" s="309"/>
      <c r="R188" s="268"/>
      <c r="S188" s="313"/>
      <c r="T188" s="313"/>
      <c r="U188" s="268"/>
      <c r="V188" s="309"/>
      <c r="W188" s="310"/>
      <c r="X188" s="268"/>
      <c r="Y188" s="268"/>
      <c r="Z188" s="268"/>
    </row>
    <row r="189" spans="1:26" ht="24.75" customHeight="1">
      <c r="A189" s="268"/>
      <c r="B189" s="268"/>
      <c r="C189" s="268"/>
      <c r="D189" s="268"/>
      <c r="E189" s="268"/>
      <c r="F189" s="268"/>
      <c r="G189" s="268"/>
      <c r="H189" s="268"/>
      <c r="I189" s="268"/>
      <c r="J189" s="268"/>
      <c r="K189" s="268"/>
      <c r="L189" s="309"/>
      <c r="M189" s="268"/>
      <c r="N189" s="268"/>
      <c r="O189" s="310"/>
      <c r="P189" s="268"/>
      <c r="Q189" s="309"/>
      <c r="R189" s="268"/>
      <c r="S189" s="313"/>
      <c r="T189" s="313"/>
      <c r="U189" s="268"/>
      <c r="V189" s="309"/>
      <c r="W189" s="310"/>
      <c r="X189" s="268"/>
      <c r="Y189" s="268"/>
      <c r="Z189" s="268"/>
    </row>
    <row r="190" spans="1:26" ht="24.75" customHeight="1">
      <c r="A190" s="268"/>
      <c r="B190" s="268"/>
      <c r="C190" s="268"/>
      <c r="D190" s="268"/>
      <c r="E190" s="268"/>
      <c r="F190" s="268"/>
      <c r="G190" s="268"/>
      <c r="H190" s="268"/>
      <c r="I190" s="268"/>
      <c r="J190" s="268"/>
      <c r="K190" s="268"/>
      <c r="L190" s="309"/>
      <c r="M190" s="268"/>
      <c r="N190" s="268"/>
      <c r="O190" s="310"/>
      <c r="P190" s="268"/>
      <c r="Q190" s="309"/>
      <c r="R190" s="268"/>
      <c r="S190" s="313"/>
      <c r="T190" s="313"/>
      <c r="U190" s="268"/>
      <c r="V190" s="309"/>
      <c r="W190" s="310"/>
      <c r="X190" s="268"/>
      <c r="Y190" s="268"/>
      <c r="Z190" s="268"/>
    </row>
    <row r="191" spans="1:26" ht="24.75" customHeight="1">
      <c r="A191" s="268"/>
      <c r="B191" s="268"/>
      <c r="C191" s="268"/>
      <c r="D191" s="268"/>
      <c r="E191" s="268"/>
      <c r="F191" s="268"/>
      <c r="G191" s="268"/>
      <c r="H191" s="268"/>
      <c r="I191" s="268"/>
      <c r="J191" s="268"/>
      <c r="K191" s="268"/>
      <c r="L191" s="309"/>
      <c r="M191" s="268"/>
      <c r="N191" s="268"/>
      <c r="O191" s="310"/>
      <c r="P191" s="268"/>
      <c r="Q191" s="309"/>
      <c r="R191" s="268"/>
      <c r="S191" s="268"/>
      <c r="T191" s="313"/>
      <c r="U191" s="230"/>
      <c r="V191" s="256"/>
      <c r="W191" s="257"/>
      <c r="X191" s="230"/>
      <c r="Y191" s="230"/>
      <c r="Z191" s="230"/>
    </row>
    <row r="192" spans="1:26" ht="24.75" customHeight="1">
      <c r="A192" s="268"/>
      <c r="B192" s="268"/>
      <c r="C192" s="268"/>
      <c r="D192" s="268"/>
      <c r="E192" s="268"/>
      <c r="F192" s="268"/>
      <c r="G192" s="268"/>
      <c r="H192" s="268"/>
      <c r="I192" s="268"/>
      <c r="J192" s="268"/>
      <c r="K192" s="268"/>
      <c r="L192" s="309"/>
      <c r="M192" s="268"/>
      <c r="N192" s="268"/>
      <c r="O192" s="310"/>
      <c r="P192" s="268"/>
      <c r="Q192" s="309"/>
      <c r="R192" s="268"/>
      <c r="S192" s="313"/>
      <c r="T192" s="313"/>
      <c r="U192" s="268"/>
      <c r="V192" s="309"/>
      <c r="W192" s="310"/>
      <c r="X192" s="268"/>
      <c r="Y192" s="268"/>
      <c r="Z192" s="268"/>
    </row>
    <row r="193" spans="1:26" ht="24.75" customHeight="1">
      <c r="A193" s="268"/>
      <c r="B193" s="268"/>
      <c r="C193" s="268"/>
      <c r="D193" s="268"/>
      <c r="E193" s="268"/>
      <c r="F193" s="268"/>
      <c r="G193" s="268"/>
      <c r="H193" s="268"/>
      <c r="I193" s="268"/>
      <c r="J193" s="268"/>
      <c r="K193" s="268"/>
      <c r="L193" s="309"/>
      <c r="M193" s="268"/>
      <c r="N193" s="268"/>
      <c r="O193" s="310"/>
      <c r="P193" s="268"/>
      <c r="Q193" s="309"/>
      <c r="R193" s="268"/>
      <c r="S193" s="313"/>
      <c r="T193" s="313"/>
      <c r="U193" s="268"/>
      <c r="V193" s="309"/>
      <c r="W193" s="310"/>
      <c r="X193" s="268"/>
      <c r="Y193" s="268"/>
      <c r="Z193" s="268"/>
    </row>
    <row r="194" spans="1:26" ht="24.75" customHeight="1">
      <c r="A194" s="268"/>
      <c r="B194" s="268"/>
      <c r="C194" s="268"/>
      <c r="D194" s="268"/>
      <c r="E194" s="268"/>
      <c r="F194" s="268"/>
      <c r="G194" s="268"/>
      <c r="H194" s="268"/>
      <c r="I194" s="268"/>
      <c r="J194" s="268"/>
      <c r="K194" s="268"/>
      <c r="L194" s="309"/>
      <c r="M194" s="268"/>
      <c r="N194" s="268"/>
      <c r="O194" s="310"/>
      <c r="P194" s="268"/>
      <c r="Q194" s="309"/>
      <c r="R194" s="268"/>
      <c r="S194" s="268"/>
      <c r="T194" s="313"/>
      <c r="U194" s="230"/>
      <c r="V194" s="256"/>
      <c r="W194" s="257"/>
      <c r="X194" s="230"/>
      <c r="Y194" s="230"/>
      <c r="Z194" s="230"/>
    </row>
    <row r="195" spans="1:26" ht="24.75" customHeight="1">
      <c r="A195" s="268"/>
      <c r="B195" s="268"/>
      <c r="C195" s="268"/>
      <c r="D195" s="268"/>
      <c r="E195" s="268"/>
      <c r="F195" s="268"/>
      <c r="G195" s="268"/>
      <c r="H195" s="268"/>
      <c r="I195" s="268"/>
      <c r="J195" s="268"/>
      <c r="K195" s="268"/>
      <c r="L195" s="309"/>
      <c r="M195" s="268"/>
      <c r="N195" s="268"/>
      <c r="O195" s="310"/>
      <c r="P195" s="268"/>
      <c r="Q195" s="309"/>
      <c r="R195" s="268"/>
      <c r="S195" s="268"/>
      <c r="T195" s="313"/>
      <c r="U195" s="230"/>
      <c r="V195" s="256"/>
      <c r="W195" s="257"/>
      <c r="X195" s="230"/>
      <c r="Y195" s="230"/>
      <c r="Z195" s="230"/>
    </row>
    <row r="196" spans="1:26" ht="24.75" customHeight="1">
      <c r="A196" s="268"/>
      <c r="B196" s="268"/>
      <c r="C196" s="268"/>
      <c r="D196" s="268"/>
      <c r="E196" s="268"/>
      <c r="F196" s="268"/>
      <c r="G196" s="268"/>
      <c r="H196" s="268"/>
      <c r="I196" s="268"/>
      <c r="J196" s="268"/>
      <c r="K196" s="268"/>
      <c r="L196" s="309"/>
      <c r="M196" s="268"/>
      <c r="N196" s="268"/>
      <c r="O196" s="310"/>
      <c r="P196" s="268"/>
      <c r="Q196" s="309"/>
      <c r="R196" s="268"/>
      <c r="S196" s="313"/>
      <c r="T196" s="313"/>
      <c r="U196" s="268"/>
      <c r="V196" s="309"/>
      <c r="W196" s="310"/>
      <c r="X196" s="268"/>
      <c r="Y196" s="268"/>
      <c r="Z196" s="268"/>
    </row>
    <row r="197" spans="1:26" ht="24.75" customHeight="1">
      <c r="A197" s="268"/>
      <c r="B197" s="268"/>
      <c r="C197" s="268"/>
      <c r="D197" s="268"/>
      <c r="E197" s="268"/>
      <c r="F197" s="268"/>
      <c r="G197" s="268"/>
      <c r="H197" s="268"/>
      <c r="I197" s="268"/>
      <c r="J197" s="268"/>
      <c r="K197" s="268"/>
      <c r="L197" s="309"/>
      <c r="M197" s="268"/>
      <c r="N197" s="268"/>
      <c r="O197" s="310"/>
      <c r="P197" s="268"/>
      <c r="Q197" s="309"/>
      <c r="R197" s="268"/>
      <c r="S197" s="268"/>
      <c r="T197" s="268"/>
      <c r="U197" s="288">
        <v>24454</v>
      </c>
      <c r="V197" s="253" t="s">
        <v>5171</v>
      </c>
      <c r="W197" s="254" t="s">
        <v>5172</v>
      </c>
      <c r="X197" s="248">
        <v>155</v>
      </c>
      <c r="Y197" s="248">
        <v>59</v>
      </c>
      <c r="Z197" s="248">
        <v>24.56</v>
      </c>
    </row>
    <row r="198" spans="1:26" ht="24.75" customHeight="1">
      <c r="A198" s="268"/>
      <c r="B198" s="268"/>
      <c r="C198" s="268"/>
      <c r="D198" s="268"/>
      <c r="E198" s="268"/>
      <c r="F198" s="268"/>
      <c r="G198" s="268"/>
      <c r="H198" s="268"/>
      <c r="I198" s="268"/>
      <c r="J198" s="268"/>
      <c r="K198" s="268"/>
      <c r="L198" s="309"/>
      <c r="M198" s="268"/>
      <c r="N198" s="268"/>
      <c r="O198" s="310"/>
      <c r="P198" s="268"/>
      <c r="Q198" s="309"/>
      <c r="R198" s="268"/>
      <c r="S198" s="268"/>
      <c r="T198" s="268"/>
      <c r="U198" s="288">
        <v>26663</v>
      </c>
      <c r="V198" s="253" t="s">
        <v>5179</v>
      </c>
      <c r="W198" s="254" t="s">
        <v>5180</v>
      </c>
      <c r="X198" s="248">
        <v>158</v>
      </c>
      <c r="Y198" s="248">
        <v>72.5</v>
      </c>
      <c r="Z198" s="248">
        <v>29.04</v>
      </c>
    </row>
    <row r="199" spans="1:26" ht="24.75" customHeight="1">
      <c r="A199" s="268"/>
      <c r="B199" s="268"/>
      <c r="C199" s="268"/>
      <c r="D199" s="268"/>
      <c r="E199" s="268"/>
      <c r="F199" s="268"/>
      <c r="G199" s="268"/>
      <c r="H199" s="268"/>
      <c r="I199" s="268"/>
      <c r="J199" s="268"/>
      <c r="K199" s="268"/>
      <c r="L199" s="309"/>
      <c r="M199" s="268"/>
      <c r="N199" s="268"/>
      <c r="O199" s="310"/>
      <c r="P199" s="268"/>
      <c r="Q199" s="309"/>
      <c r="R199" s="268"/>
      <c r="S199" s="313"/>
      <c r="T199" s="313"/>
      <c r="U199" s="268"/>
      <c r="V199" s="309"/>
      <c r="W199" s="310"/>
      <c r="X199" s="268"/>
      <c r="Y199" s="268"/>
      <c r="Z199" s="268"/>
    </row>
    <row r="200" spans="1:26" ht="24.75" customHeight="1">
      <c r="A200" s="268"/>
      <c r="B200" s="268"/>
      <c r="C200" s="268"/>
      <c r="D200" s="268"/>
      <c r="E200" s="268"/>
      <c r="F200" s="268"/>
      <c r="G200" s="268"/>
      <c r="H200" s="268"/>
      <c r="I200" s="268"/>
      <c r="J200" s="268"/>
      <c r="K200" s="268"/>
      <c r="L200" s="309"/>
      <c r="M200" s="268"/>
      <c r="N200" s="268"/>
      <c r="O200" s="310"/>
      <c r="P200" s="268"/>
      <c r="Q200" s="309"/>
      <c r="R200" s="268"/>
      <c r="S200" s="313"/>
      <c r="T200" s="313"/>
      <c r="U200" s="268"/>
      <c r="V200" s="309"/>
      <c r="W200" s="310"/>
      <c r="X200" s="268"/>
      <c r="Y200" s="268"/>
      <c r="Z200" s="268"/>
    </row>
    <row r="201" spans="1:26" ht="24.75" customHeight="1">
      <c r="A201" s="268"/>
      <c r="B201" s="268"/>
      <c r="C201" s="268"/>
      <c r="D201" s="268"/>
      <c r="E201" s="268"/>
      <c r="F201" s="268"/>
      <c r="G201" s="268"/>
      <c r="H201" s="268"/>
      <c r="I201" s="268"/>
      <c r="J201" s="268"/>
      <c r="K201" s="268"/>
      <c r="L201" s="309"/>
      <c r="M201" s="268"/>
      <c r="N201" s="268"/>
      <c r="O201" s="310"/>
      <c r="P201" s="268"/>
      <c r="Q201" s="309"/>
      <c r="R201" s="268"/>
      <c r="S201" s="313"/>
      <c r="T201" s="313"/>
      <c r="U201" s="268"/>
      <c r="V201" s="309"/>
      <c r="W201" s="310"/>
      <c r="X201" s="268"/>
      <c r="Y201" s="268"/>
      <c r="Z201" s="268"/>
    </row>
    <row r="202" spans="1:26" ht="24.75" customHeight="1">
      <c r="A202" s="268"/>
      <c r="B202" s="268"/>
      <c r="C202" s="268"/>
      <c r="D202" s="268"/>
      <c r="E202" s="268"/>
      <c r="F202" s="268"/>
      <c r="G202" s="268"/>
      <c r="H202" s="268"/>
      <c r="I202" s="268"/>
      <c r="J202" s="268"/>
      <c r="K202" s="268"/>
      <c r="L202" s="309"/>
      <c r="M202" s="268"/>
      <c r="N202" s="268"/>
      <c r="O202" s="310"/>
      <c r="P202" s="268"/>
      <c r="Q202" s="309"/>
      <c r="R202" s="268"/>
      <c r="S202" s="313"/>
      <c r="T202" s="313"/>
      <c r="U202" s="268"/>
      <c r="V202" s="309"/>
      <c r="W202" s="310"/>
      <c r="X202" s="268"/>
      <c r="Y202" s="268"/>
      <c r="Z202" s="268"/>
    </row>
    <row r="203" spans="1:26" ht="24.75" customHeight="1">
      <c r="A203" s="268"/>
      <c r="B203" s="268"/>
      <c r="C203" s="268"/>
      <c r="D203" s="268"/>
      <c r="E203" s="268"/>
      <c r="F203" s="268"/>
      <c r="G203" s="268"/>
      <c r="H203" s="268"/>
      <c r="I203" s="268"/>
      <c r="J203" s="268"/>
      <c r="K203" s="268"/>
      <c r="L203" s="309"/>
      <c r="M203" s="268"/>
      <c r="N203" s="268"/>
      <c r="O203" s="268"/>
      <c r="P203" s="268"/>
      <c r="Q203" s="309"/>
      <c r="R203" s="268"/>
      <c r="S203" s="313"/>
      <c r="T203" s="313"/>
      <c r="U203" s="268"/>
      <c r="V203" s="309"/>
      <c r="W203" s="310"/>
      <c r="X203" s="268"/>
      <c r="Y203" s="268"/>
      <c r="Z203" s="268"/>
    </row>
    <row r="204" spans="1:26" ht="24.75" customHeight="1">
      <c r="A204" s="268"/>
      <c r="B204" s="268"/>
      <c r="C204" s="268"/>
      <c r="D204" s="268"/>
      <c r="E204" s="268"/>
      <c r="F204" s="268"/>
      <c r="G204" s="268"/>
      <c r="H204" s="268"/>
      <c r="I204" s="268"/>
      <c r="J204" s="268"/>
      <c r="K204" s="268"/>
      <c r="L204" s="309"/>
      <c r="M204" s="268"/>
      <c r="N204" s="268"/>
      <c r="O204" s="268"/>
      <c r="P204" s="268"/>
      <c r="Q204" s="309"/>
      <c r="R204" s="268"/>
      <c r="S204" s="268"/>
      <c r="T204" s="268"/>
      <c r="U204" s="248"/>
      <c r="V204" s="253"/>
      <c r="W204" s="254"/>
      <c r="X204" s="248"/>
      <c r="Y204" s="248"/>
      <c r="Z204" s="248"/>
    </row>
    <row r="205" spans="1:26" ht="24.75" customHeight="1">
      <c r="A205" s="268"/>
      <c r="B205" s="268"/>
      <c r="C205" s="268"/>
      <c r="D205" s="268"/>
      <c r="E205" s="268"/>
      <c r="F205" s="268"/>
      <c r="G205" s="268"/>
      <c r="H205" s="268"/>
      <c r="I205" s="268"/>
      <c r="J205" s="268"/>
      <c r="K205" s="268"/>
      <c r="L205" s="309"/>
      <c r="M205" s="268"/>
      <c r="N205" s="268"/>
      <c r="O205" s="310"/>
      <c r="P205" s="268"/>
      <c r="Q205" s="309"/>
      <c r="R205" s="268"/>
      <c r="S205" s="313"/>
      <c r="T205" s="313"/>
      <c r="U205" s="268"/>
      <c r="V205" s="309"/>
      <c r="W205" s="310"/>
      <c r="X205" s="268"/>
      <c r="Y205" s="268"/>
      <c r="Z205" s="268"/>
    </row>
    <row r="206" spans="1:26" ht="24.75" customHeight="1">
      <c r="A206" s="268"/>
      <c r="B206" s="268"/>
      <c r="C206" s="268"/>
      <c r="D206" s="268"/>
      <c r="E206" s="268"/>
      <c r="F206" s="268"/>
      <c r="G206" s="268"/>
      <c r="H206" s="268"/>
      <c r="I206" s="268"/>
      <c r="J206" s="268"/>
      <c r="K206" s="268"/>
      <c r="L206" s="309"/>
      <c r="M206" s="268"/>
      <c r="N206" s="268"/>
      <c r="O206" s="268"/>
      <c r="P206" s="268"/>
      <c r="Q206" s="309"/>
      <c r="R206" s="268"/>
      <c r="S206" s="313"/>
      <c r="T206" s="313"/>
      <c r="U206" s="268"/>
      <c r="V206" s="309"/>
      <c r="W206" s="310"/>
      <c r="X206" s="268"/>
      <c r="Y206" s="268"/>
      <c r="Z206" s="268"/>
    </row>
    <row r="207" spans="1:26" ht="24.75" customHeight="1">
      <c r="A207" s="268"/>
      <c r="B207" s="268"/>
      <c r="C207" s="268"/>
      <c r="D207" s="268"/>
      <c r="E207" s="268"/>
      <c r="F207" s="268"/>
      <c r="G207" s="268"/>
      <c r="H207" s="268"/>
      <c r="I207" s="268"/>
      <c r="J207" s="268"/>
      <c r="K207" s="268"/>
      <c r="L207" s="309"/>
      <c r="M207" s="268"/>
      <c r="N207" s="268"/>
      <c r="O207" s="310"/>
      <c r="P207" s="268"/>
      <c r="Q207" s="309"/>
      <c r="R207" s="268"/>
      <c r="S207" s="313"/>
      <c r="T207" s="313"/>
      <c r="U207" s="268"/>
      <c r="V207" s="309"/>
      <c r="W207" s="310"/>
      <c r="X207" s="268"/>
      <c r="Y207" s="268"/>
      <c r="Z207" s="268"/>
    </row>
    <row r="208" spans="1:26" ht="24.75" customHeight="1">
      <c r="A208" s="268"/>
      <c r="B208" s="268"/>
      <c r="C208" s="268"/>
      <c r="D208" s="268"/>
      <c r="E208" s="268"/>
      <c r="F208" s="268"/>
      <c r="G208" s="268"/>
      <c r="H208" s="268"/>
      <c r="I208" s="268"/>
      <c r="J208" s="268"/>
      <c r="K208" s="268"/>
      <c r="L208" s="309"/>
      <c r="M208" s="268"/>
      <c r="N208" s="268"/>
      <c r="O208" s="268"/>
      <c r="P208" s="268"/>
      <c r="Q208" s="309"/>
      <c r="R208" s="268"/>
      <c r="S208" s="313"/>
      <c r="T208" s="313"/>
      <c r="U208" s="268"/>
      <c r="V208" s="309"/>
      <c r="W208" s="310"/>
      <c r="X208" s="268"/>
      <c r="Y208" s="268"/>
      <c r="Z208" s="268"/>
    </row>
    <row r="209" spans="1:26" ht="24.75" customHeight="1">
      <c r="A209" s="268"/>
      <c r="B209" s="268"/>
      <c r="C209" s="268"/>
      <c r="D209" s="268"/>
      <c r="E209" s="268"/>
      <c r="F209" s="268"/>
      <c r="G209" s="268"/>
      <c r="H209" s="268"/>
      <c r="I209" s="268"/>
      <c r="J209" s="268"/>
      <c r="K209" s="268"/>
      <c r="L209" s="309"/>
      <c r="M209" s="268"/>
      <c r="N209" s="268"/>
      <c r="O209" s="268"/>
      <c r="P209" s="268"/>
      <c r="Q209" s="309"/>
      <c r="R209" s="268"/>
      <c r="S209" s="268"/>
      <c r="T209" s="268"/>
      <c r="U209" s="230"/>
      <c r="V209" s="256"/>
      <c r="W209" s="257"/>
      <c r="X209" s="230"/>
      <c r="Y209" s="230"/>
      <c r="Z209" s="230"/>
    </row>
    <row r="210" spans="1:26" ht="24.75" customHeight="1">
      <c r="A210" s="268"/>
      <c r="B210" s="268"/>
      <c r="C210" s="268"/>
      <c r="D210" s="268"/>
      <c r="E210" s="268"/>
      <c r="F210" s="268"/>
      <c r="G210" s="268"/>
      <c r="H210" s="268"/>
      <c r="I210" s="268"/>
      <c r="J210" s="268"/>
      <c r="K210" s="268"/>
      <c r="L210" s="309"/>
      <c r="M210" s="268"/>
      <c r="N210" s="268"/>
      <c r="O210" s="310"/>
      <c r="P210" s="268"/>
      <c r="Q210" s="309"/>
      <c r="R210" s="268"/>
      <c r="S210" s="268"/>
      <c r="T210" s="268"/>
      <c r="U210" s="230"/>
      <c r="V210" s="256"/>
      <c r="W210" s="257"/>
      <c r="X210" s="230"/>
      <c r="Y210" s="230"/>
      <c r="Z210" s="230"/>
    </row>
    <row r="211" spans="1:26" ht="24.75" customHeight="1">
      <c r="A211" s="268"/>
      <c r="B211" s="268"/>
      <c r="C211" s="268"/>
      <c r="D211" s="268"/>
      <c r="E211" s="268"/>
      <c r="F211" s="268"/>
      <c r="G211" s="268"/>
      <c r="H211" s="268"/>
      <c r="I211" s="268"/>
      <c r="J211" s="268"/>
      <c r="K211" s="268"/>
      <c r="L211" s="309"/>
      <c r="M211" s="268"/>
      <c r="N211" s="268"/>
      <c r="O211" s="268"/>
      <c r="P211" s="268"/>
      <c r="Q211" s="309"/>
      <c r="R211" s="268"/>
      <c r="S211" s="268"/>
      <c r="T211" s="268"/>
      <c r="U211" s="248"/>
      <c r="V211" s="253"/>
      <c r="W211" s="254"/>
      <c r="X211" s="248"/>
      <c r="Y211" s="248"/>
      <c r="Z211" s="248"/>
    </row>
    <row r="212" spans="1:26" ht="24.75" customHeight="1">
      <c r="A212" s="268"/>
      <c r="B212" s="268"/>
      <c r="C212" s="268"/>
      <c r="D212" s="268"/>
      <c r="E212" s="268"/>
      <c r="F212" s="268"/>
      <c r="G212" s="268"/>
      <c r="H212" s="268"/>
      <c r="I212" s="268"/>
      <c r="J212" s="268"/>
      <c r="K212" s="268"/>
      <c r="L212" s="309"/>
      <c r="M212" s="268"/>
      <c r="N212" s="268"/>
      <c r="O212" s="268"/>
      <c r="P212" s="268"/>
      <c r="Q212" s="309"/>
      <c r="R212" s="268"/>
      <c r="S212" s="313"/>
      <c r="T212" s="313"/>
      <c r="U212" s="268"/>
      <c r="V212" s="309"/>
      <c r="W212" s="310"/>
      <c r="X212" s="268"/>
      <c r="Y212" s="268"/>
      <c r="Z212" s="268"/>
    </row>
    <row r="213" spans="1:26" ht="24.75" customHeight="1">
      <c r="A213" s="268"/>
      <c r="B213" s="268"/>
      <c r="C213" s="268"/>
      <c r="D213" s="268"/>
      <c r="E213" s="268"/>
      <c r="F213" s="268"/>
      <c r="G213" s="268"/>
      <c r="H213" s="268"/>
      <c r="I213" s="268"/>
      <c r="J213" s="268"/>
      <c r="K213" s="268"/>
      <c r="L213" s="309"/>
      <c r="M213" s="268"/>
      <c r="N213" s="268"/>
      <c r="O213" s="310"/>
      <c r="P213" s="268"/>
      <c r="Q213" s="309"/>
      <c r="R213" s="268"/>
      <c r="S213" s="313"/>
      <c r="T213" s="313"/>
      <c r="U213" s="268"/>
      <c r="V213" s="309"/>
      <c r="W213" s="310"/>
      <c r="X213" s="268"/>
      <c r="Y213" s="268"/>
      <c r="Z213" s="268"/>
    </row>
    <row r="214" spans="1:26" ht="24.75" customHeight="1">
      <c r="A214" s="268"/>
      <c r="B214" s="268"/>
      <c r="C214" s="268"/>
      <c r="D214" s="268"/>
      <c r="E214" s="268"/>
      <c r="F214" s="268"/>
      <c r="G214" s="268"/>
      <c r="H214" s="268"/>
      <c r="I214" s="268"/>
      <c r="J214" s="268"/>
      <c r="K214" s="268"/>
      <c r="L214" s="309"/>
      <c r="M214" s="268"/>
      <c r="N214" s="268"/>
      <c r="O214" s="310"/>
      <c r="P214" s="268"/>
      <c r="Q214" s="309"/>
      <c r="R214" s="268"/>
      <c r="S214" s="313"/>
      <c r="T214" s="313"/>
      <c r="U214" s="268"/>
      <c r="V214" s="309"/>
      <c r="W214" s="310"/>
      <c r="X214" s="268"/>
      <c r="Y214" s="268"/>
      <c r="Z214" s="268"/>
    </row>
    <row r="215" spans="1:26" ht="24.75" customHeight="1">
      <c r="A215" s="268"/>
      <c r="B215" s="268"/>
      <c r="C215" s="268"/>
      <c r="D215" s="268"/>
      <c r="E215" s="268"/>
      <c r="F215" s="268"/>
      <c r="G215" s="268"/>
      <c r="H215" s="268"/>
      <c r="I215" s="268"/>
      <c r="J215" s="268"/>
      <c r="K215" s="268"/>
      <c r="L215" s="309"/>
      <c r="M215" s="268"/>
      <c r="N215" s="268"/>
      <c r="O215" s="268"/>
      <c r="P215" s="268"/>
      <c r="Q215" s="309"/>
      <c r="R215" s="268"/>
      <c r="S215" s="268"/>
      <c r="T215" s="268"/>
      <c r="U215" s="248"/>
      <c r="V215" s="253"/>
      <c r="W215" s="254"/>
      <c r="X215" s="248"/>
      <c r="Y215" s="248"/>
      <c r="Z215" s="248"/>
    </row>
    <row r="216" spans="1:26" ht="24.75" customHeight="1">
      <c r="A216" s="268"/>
      <c r="B216" s="268"/>
      <c r="C216" s="268"/>
      <c r="D216" s="268"/>
      <c r="E216" s="268"/>
      <c r="F216" s="268"/>
      <c r="G216" s="268"/>
      <c r="H216" s="268"/>
      <c r="I216" s="268"/>
      <c r="J216" s="268"/>
      <c r="K216" s="268"/>
      <c r="L216" s="309"/>
      <c r="M216" s="268"/>
      <c r="N216" s="268"/>
      <c r="O216" s="310"/>
      <c r="P216" s="268"/>
      <c r="Q216" s="309"/>
      <c r="R216" s="268"/>
      <c r="S216" s="268"/>
      <c r="T216" s="268"/>
      <c r="U216" s="268"/>
      <c r="V216" s="309"/>
      <c r="W216" s="310"/>
      <c r="X216" s="268"/>
      <c r="Y216" s="268"/>
      <c r="Z216" s="268"/>
    </row>
    <row r="217" spans="1:26" ht="24.75" customHeight="1">
      <c r="A217" s="268"/>
      <c r="B217" s="268"/>
      <c r="C217" s="268"/>
      <c r="D217" s="268"/>
      <c r="E217" s="268"/>
      <c r="F217" s="268"/>
      <c r="G217" s="268"/>
      <c r="H217" s="268"/>
      <c r="I217" s="268"/>
      <c r="J217" s="268"/>
      <c r="K217" s="268"/>
      <c r="L217" s="309"/>
      <c r="M217" s="268"/>
      <c r="N217" s="268"/>
      <c r="O217" s="268"/>
      <c r="P217" s="268"/>
      <c r="Q217" s="309"/>
      <c r="R217" s="268"/>
      <c r="S217" s="313"/>
      <c r="T217" s="313"/>
      <c r="U217" s="268"/>
      <c r="V217" s="309"/>
      <c r="W217" s="310"/>
      <c r="X217" s="268"/>
      <c r="Y217" s="268"/>
      <c r="Z217" s="268"/>
    </row>
    <row r="218" spans="1:26" ht="24.75" customHeight="1">
      <c r="A218" s="268"/>
      <c r="B218" s="268"/>
      <c r="C218" s="268"/>
      <c r="D218" s="268"/>
      <c r="E218" s="268"/>
      <c r="F218" s="268"/>
      <c r="G218" s="268"/>
      <c r="H218" s="268"/>
      <c r="I218" s="268"/>
      <c r="J218" s="268"/>
      <c r="K218" s="268"/>
      <c r="L218" s="309"/>
      <c r="M218" s="268"/>
      <c r="N218" s="268"/>
      <c r="O218" s="310"/>
      <c r="P218" s="268"/>
      <c r="Q218" s="309"/>
      <c r="R218" s="268"/>
      <c r="S218" s="268"/>
      <c r="T218" s="268"/>
      <c r="U218" s="268"/>
      <c r="V218" s="309"/>
      <c r="W218" s="310"/>
      <c r="X218" s="268"/>
      <c r="Y218" s="268"/>
      <c r="Z218" s="268"/>
    </row>
    <row r="219" spans="1:26" ht="24.75" customHeight="1">
      <c r="A219" s="268"/>
      <c r="B219" s="268"/>
      <c r="C219" s="268"/>
      <c r="D219" s="268"/>
      <c r="E219" s="268"/>
      <c r="F219" s="268"/>
      <c r="G219" s="268"/>
      <c r="H219" s="268"/>
      <c r="I219" s="268"/>
      <c r="J219" s="268"/>
      <c r="K219" s="268"/>
      <c r="L219" s="309"/>
      <c r="M219" s="268"/>
      <c r="N219" s="268"/>
      <c r="O219" s="268"/>
      <c r="P219" s="268"/>
      <c r="Q219" s="309"/>
      <c r="R219" s="268"/>
      <c r="S219" s="268"/>
      <c r="T219" s="268"/>
      <c r="U219" s="268"/>
      <c r="V219" s="309"/>
      <c r="W219" s="310"/>
      <c r="X219" s="268"/>
      <c r="Y219" s="268"/>
      <c r="Z219" s="268"/>
    </row>
    <row r="220" spans="1:26" ht="24.75" customHeight="1">
      <c r="A220" s="268"/>
      <c r="B220" s="268"/>
      <c r="C220" s="268"/>
      <c r="D220" s="268"/>
      <c r="E220" s="268"/>
      <c r="F220" s="268"/>
      <c r="G220" s="268"/>
      <c r="H220" s="268"/>
      <c r="I220" s="268"/>
      <c r="J220" s="268"/>
      <c r="K220" s="268"/>
      <c r="L220" s="309"/>
      <c r="M220" s="268"/>
      <c r="N220" s="268"/>
      <c r="O220" s="310"/>
      <c r="P220" s="268"/>
      <c r="Q220" s="309"/>
      <c r="R220" s="268"/>
      <c r="S220" s="313"/>
      <c r="T220" s="313"/>
      <c r="U220" s="268"/>
      <c r="V220" s="309"/>
      <c r="W220" s="310"/>
      <c r="X220" s="268"/>
      <c r="Y220" s="268"/>
      <c r="Z220" s="268"/>
    </row>
    <row r="221" spans="1:26" ht="24.75" customHeight="1">
      <c r="A221" s="268"/>
      <c r="B221" s="268"/>
      <c r="C221" s="268"/>
      <c r="D221" s="268"/>
      <c r="E221" s="268"/>
      <c r="F221" s="268"/>
      <c r="G221" s="268"/>
      <c r="H221" s="268"/>
      <c r="I221" s="268"/>
      <c r="J221" s="268"/>
      <c r="K221" s="268"/>
      <c r="L221" s="309"/>
      <c r="M221" s="268"/>
      <c r="N221" s="268"/>
      <c r="O221" s="310"/>
      <c r="P221" s="268"/>
      <c r="Q221" s="309"/>
      <c r="R221" s="268"/>
      <c r="S221" s="268"/>
      <c r="T221" s="268"/>
      <c r="U221" s="230"/>
      <c r="V221" s="256"/>
      <c r="W221" s="257"/>
      <c r="X221" s="230"/>
      <c r="Y221" s="230"/>
      <c r="Z221" s="230"/>
    </row>
    <row r="222" spans="1:26" ht="24.75" customHeight="1">
      <c r="A222" s="268"/>
      <c r="B222" s="268"/>
      <c r="C222" s="268"/>
      <c r="D222" s="268"/>
      <c r="E222" s="268"/>
      <c r="F222" s="268"/>
      <c r="G222" s="268"/>
      <c r="H222" s="268"/>
      <c r="I222" s="268"/>
      <c r="J222" s="268"/>
      <c r="K222" s="268"/>
      <c r="L222" s="309"/>
      <c r="M222" s="268"/>
      <c r="N222" s="268"/>
      <c r="O222" s="310"/>
      <c r="P222" s="268"/>
      <c r="Q222" s="309"/>
      <c r="R222" s="268"/>
      <c r="S222" s="313"/>
      <c r="T222" s="313"/>
      <c r="U222" s="268"/>
      <c r="V222" s="309"/>
      <c r="W222" s="310"/>
      <c r="X222" s="268"/>
      <c r="Y222" s="268"/>
      <c r="Z222" s="268"/>
    </row>
    <row r="223" spans="1:26" ht="24.75" customHeight="1">
      <c r="A223" s="268"/>
      <c r="B223" s="268"/>
      <c r="C223" s="268"/>
      <c r="D223" s="268"/>
      <c r="E223" s="268"/>
      <c r="F223" s="268"/>
      <c r="G223" s="268"/>
      <c r="H223" s="268"/>
      <c r="I223" s="268"/>
      <c r="J223" s="268"/>
      <c r="K223" s="268"/>
      <c r="L223" s="309"/>
      <c r="M223" s="268"/>
      <c r="N223" s="268"/>
      <c r="O223" s="310"/>
      <c r="P223" s="268"/>
      <c r="Q223" s="309"/>
      <c r="R223" s="268"/>
      <c r="S223" s="313"/>
      <c r="T223" s="313"/>
      <c r="U223" s="268"/>
      <c r="V223" s="309"/>
      <c r="W223" s="310"/>
      <c r="X223" s="268"/>
      <c r="Y223" s="268"/>
      <c r="Z223" s="268"/>
    </row>
    <row r="224" spans="1:26" ht="24.75" customHeight="1">
      <c r="A224" s="268"/>
      <c r="B224" s="268"/>
      <c r="C224" s="268"/>
      <c r="D224" s="268"/>
      <c r="E224" s="268"/>
      <c r="F224" s="268"/>
      <c r="G224" s="268"/>
      <c r="H224" s="268"/>
      <c r="I224" s="268"/>
      <c r="J224" s="268"/>
      <c r="K224" s="268"/>
      <c r="L224" s="309"/>
      <c r="M224" s="268"/>
      <c r="N224" s="268"/>
      <c r="O224" s="310"/>
      <c r="P224" s="268"/>
      <c r="Q224" s="309"/>
      <c r="R224" s="268"/>
      <c r="S224" s="313"/>
      <c r="T224" s="313"/>
      <c r="U224" s="268"/>
      <c r="V224" s="309"/>
      <c r="W224" s="310"/>
      <c r="X224" s="268"/>
      <c r="Y224" s="268"/>
      <c r="Z224" s="268"/>
    </row>
    <row r="225" spans="1:26" ht="24.75" customHeight="1">
      <c r="A225" s="268"/>
      <c r="B225" s="268"/>
      <c r="C225" s="268"/>
      <c r="D225" s="268"/>
      <c r="E225" s="268"/>
      <c r="F225" s="268"/>
      <c r="G225" s="268"/>
      <c r="H225" s="268"/>
      <c r="I225" s="268"/>
      <c r="J225" s="268"/>
      <c r="K225" s="268"/>
      <c r="L225" s="309"/>
      <c r="M225" s="268"/>
      <c r="N225" s="268"/>
      <c r="O225" s="268"/>
      <c r="P225" s="268"/>
      <c r="Q225" s="309"/>
      <c r="R225" s="268"/>
      <c r="S225" s="313"/>
      <c r="T225" s="313"/>
      <c r="U225" s="268"/>
      <c r="V225" s="309"/>
      <c r="W225" s="310"/>
      <c r="X225" s="268"/>
      <c r="Y225" s="268"/>
      <c r="Z225" s="268"/>
    </row>
    <row r="226" spans="1:26" ht="24.75" customHeight="1">
      <c r="A226" s="268"/>
      <c r="B226" s="268"/>
      <c r="C226" s="268"/>
      <c r="D226" s="268"/>
      <c r="E226" s="268"/>
      <c r="F226" s="268"/>
      <c r="G226" s="268"/>
      <c r="H226" s="268"/>
      <c r="I226" s="268"/>
      <c r="J226" s="268"/>
      <c r="K226" s="268"/>
      <c r="L226" s="309"/>
      <c r="M226" s="268"/>
      <c r="N226" s="268"/>
      <c r="O226" s="268"/>
      <c r="P226" s="268"/>
      <c r="Q226" s="309"/>
      <c r="R226" s="268"/>
      <c r="S226" s="313"/>
      <c r="T226" s="313"/>
      <c r="U226" s="268"/>
      <c r="V226" s="309"/>
      <c r="W226" s="310"/>
      <c r="X226" s="268"/>
      <c r="Y226" s="268"/>
      <c r="Z226" s="268"/>
    </row>
    <row r="227" spans="1:26" ht="24.75" customHeight="1">
      <c r="A227" s="268"/>
      <c r="B227" s="268"/>
      <c r="C227" s="268"/>
      <c r="D227" s="268"/>
      <c r="E227" s="268"/>
      <c r="F227" s="268"/>
      <c r="G227" s="268"/>
      <c r="H227" s="268"/>
      <c r="I227" s="268"/>
      <c r="J227" s="268"/>
      <c r="K227" s="268"/>
      <c r="L227" s="309"/>
      <c r="M227" s="268"/>
      <c r="N227" s="268"/>
      <c r="O227" s="310"/>
      <c r="P227" s="268"/>
      <c r="Q227" s="309"/>
      <c r="R227" s="268"/>
      <c r="S227" s="313"/>
      <c r="T227" s="313"/>
      <c r="U227" s="268"/>
      <c r="V227" s="309"/>
      <c r="W227" s="310"/>
      <c r="X227" s="268"/>
      <c r="Y227" s="268"/>
      <c r="Z227" s="268"/>
    </row>
    <row r="228" spans="1:26" ht="24.75" customHeight="1">
      <c r="A228" s="268"/>
      <c r="B228" s="268"/>
      <c r="C228" s="268"/>
      <c r="D228" s="268"/>
      <c r="E228" s="268"/>
      <c r="F228" s="268"/>
      <c r="G228" s="268"/>
      <c r="H228" s="268"/>
      <c r="I228" s="268"/>
      <c r="J228" s="268"/>
      <c r="K228" s="268"/>
      <c r="L228" s="309"/>
      <c r="M228" s="268"/>
      <c r="N228" s="268"/>
      <c r="O228" s="310"/>
      <c r="P228" s="268"/>
      <c r="Q228" s="309"/>
      <c r="R228" s="268"/>
      <c r="S228" s="313"/>
      <c r="T228" s="313"/>
      <c r="U228" s="268"/>
      <c r="V228" s="309"/>
      <c r="W228" s="310"/>
      <c r="X228" s="268"/>
      <c r="Y228" s="268"/>
      <c r="Z228" s="268"/>
    </row>
    <row r="229" spans="1:26" ht="24.75" customHeight="1">
      <c r="A229" s="268"/>
      <c r="B229" s="268"/>
      <c r="C229" s="268"/>
      <c r="D229" s="268"/>
      <c r="E229" s="268"/>
      <c r="F229" s="268"/>
      <c r="G229" s="268"/>
      <c r="H229" s="268"/>
      <c r="I229" s="268"/>
      <c r="J229" s="268"/>
      <c r="K229" s="268"/>
      <c r="L229" s="309"/>
      <c r="M229" s="268"/>
      <c r="N229" s="268"/>
      <c r="O229" s="310"/>
      <c r="P229" s="268"/>
      <c r="Q229" s="309"/>
      <c r="R229" s="268"/>
      <c r="S229" s="313"/>
      <c r="T229" s="313"/>
      <c r="U229" s="268"/>
      <c r="V229" s="309"/>
      <c r="W229" s="310"/>
      <c r="X229" s="268"/>
      <c r="Y229" s="268"/>
      <c r="Z229" s="268"/>
    </row>
    <row r="230" spans="1:26" ht="24.75" customHeight="1">
      <c r="A230" s="268"/>
      <c r="B230" s="268"/>
      <c r="C230" s="268"/>
      <c r="D230" s="268"/>
      <c r="E230" s="268"/>
      <c r="F230" s="268"/>
      <c r="G230" s="268"/>
      <c r="H230" s="268"/>
      <c r="I230" s="268"/>
      <c r="J230" s="268"/>
      <c r="K230" s="268"/>
      <c r="L230" s="309"/>
      <c r="M230" s="268"/>
      <c r="N230" s="268"/>
      <c r="O230" s="310"/>
      <c r="P230" s="268"/>
      <c r="Q230" s="309"/>
      <c r="R230" s="268"/>
      <c r="S230" s="313"/>
      <c r="T230" s="313"/>
      <c r="U230" s="268"/>
      <c r="V230" s="309"/>
      <c r="W230" s="310"/>
      <c r="X230" s="268"/>
      <c r="Y230" s="268"/>
      <c r="Z230" s="268"/>
    </row>
    <row r="231" spans="1:26" ht="24.75" customHeight="1">
      <c r="A231" s="268"/>
      <c r="B231" s="268"/>
      <c r="C231" s="268"/>
      <c r="D231" s="268"/>
      <c r="E231" s="268"/>
      <c r="F231" s="268"/>
      <c r="G231" s="268"/>
      <c r="H231" s="268"/>
      <c r="I231" s="268"/>
      <c r="J231" s="268"/>
      <c r="K231" s="268"/>
      <c r="L231" s="309"/>
      <c r="M231" s="268"/>
      <c r="N231" s="268"/>
      <c r="O231" s="310"/>
      <c r="P231" s="268"/>
      <c r="Q231" s="309"/>
      <c r="R231" s="268"/>
      <c r="S231" s="268"/>
      <c r="T231" s="268"/>
      <c r="U231" s="230"/>
      <c r="V231" s="256"/>
      <c r="W231" s="257"/>
      <c r="X231" s="230"/>
      <c r="Y231" s="230"/>
      <c r="Z231" s="230"/>
    </row>
    <row r="232" spans="1:26" ht="24.75" customHeight="1">
      <c r="A232" s="268"/>
      <c r="B232" s="268"/>
      <c r="C232" s="268"/>
      <c r="D232" s="268"/>
      <c r="E232" s="268"/>
      <c r="F232" s="268"/>
      <c r="G232" s="268"/>
      <c r="H232" s="268"/>
      <c r="I232" s="268"/>
      <c r="J232" s="268"/>
      <c r="K232" s="268"/>
      <c r="L232" s="309"/>
      <c r="M232" s="268"/>
      <c r="N232" s="268"/>
      <c r="O232" s="310"/>
      <c r="P232" s="268"/>
      <c r="Q232" s="309"/>
      <c r="R232" s="268"/>
      <c r="S232" s="268"/>
      <c r="T232" s="268"/>
      <c r="U232" s="230"/>
      <c r="V232" s="256"/>
      <c r="W232" s="257"/>
      <c r="X232" s="230"/>
      <c r="Y232" s="230"/>
      <c r="Z232" s="230"/>
    </row>
    <row r="233" spans="1:26" ht="24.75" customHeight="1">
      <c r="A233" s="268"/>
      <c r="B233" s="268"/>
      <c r="C233" s="268"/>
      <c r="D233" s="268"/>
      <c r="E233" s="268"/>
      <c r="F233" s="268"/>
      <c r="G233" s="268"/>
      <c r="H233" s="268"/>
      <c r="I233" s="268"/>
      <c r="J233" s="268"/>
      <c r="K233" s="268"/>
      <c r="L233" s="309"/>
      <c r="M233" s="268"/>
      <c r="N233" s="268"/>
      <c r="O233" s="310"/>
      <c r="P233" s="268"/>
      <c r="Q233" s="309"/>
      <c r="R233" s="268"/>
      <c r="S233" s="268"/>
      <c r="T233" s="268"/>
      <c r="U233" s="230"/>
      <c r="V233" s="256"/>
      <c r="W233" s="257"/>
      <c r="X233" s="230"/>
      <c r="Y233" s="230"/>
      <c r="Z233" s="230"/>
    </row>
    <row r="234" spans="1:26" ht="24.75" customHeight="1">
      <c r="A234" s="268"/>
      <c r="B234" s="268"/>
      <c r="C234" s="268"/>
      <c r="D234" s="268"/>
      <c r="E234" s="268"/>
      <c r="F234" s="268"/>
      <c r="G234" s="268"/>
      <c r="H234" s="268"/>
      <c r="I234" s="268"/>
      <c r="J234" s="268"/>
      <c r="K234" s="268"/>
      <c r="L234" s="309"/>
      <c r="M234" s="268"/>
      <c r="N234" s="268"/>
      <c r="O234" s="310"/>
      <c r="P234" s="268"/>
      <c r="Q234" s="309"/>
      <c r="R234" s="268"/>
      <c r="S234" s="313"/>
      <c r="T234" s="313"/>
      <c r="U234" s="268"/>
      <c r="V234" s="309"/>
      <c r="W234" s="310"/>
      <c r="X234" s="268"/>
      <c r="Y234" s="268"/>
      <c r="Z234" s="268"/>
    </row>
    <row r="235" spans="1:26" ht="24.75" customHeight="1">
      <c r="A235" s="268"/>
      <c r="B235" s="268"/>
      <c r="C235" s="268"/>
      <c r="D235" s="268"/>
      <c r="E235" s="268"/>
      <c r="F235" s="268"/>
      <c r="G235" s="268"/>
      <c r="H235" s="268"/>
      <c r="I235" s="268"/>
      <c r="J235" s="268"/>
      <c r="K235" s="268"/>
      <c r="L235" s="309"/>
      <c r="M235" s="268"/>
      <c r="N235" s="268"/>
      <c r="O235" s="310"/>
      <c r="P235" s="268"/>
      <c r="Q235" s="309"/>
      <c r="R235" s="268"/>
      <c r="S235" s="268"/>
      <c r="T235" s="268"/>
      <c r="U235" s="248"/>
      <c r="V235" s="253"/>
      <c r="W235" s="254"/>
      <c r="X235" s="248"/>
      <c r="Y235" s="248"/>
      <c r="Z235" s="248"/>
    </row>
    <row r="236" spans="1:26" ht="24.75" customHeight="1">
      <c r="A236" s="268"/>
      <c r="B236" s="268"/>
      <c r="C236" s="268"/>
      <c r="D236" s="268"/>
      <c r="E236" s="268"/>
      <c r="F236" s="268"/>
      <c r="G236" s="268"/>
      <c r="H236" s="268"/>
      <c r="I236" s="268"/>
      <c r="J236" s="268"/>
      <c r="K236" s="268"/>
      <c r="L236" s="309"/>
      <c r="M236" s="268"/>
      <c r="N236" s="268"/>
      <c r="O236" s="310"/>
      <c r="P236" s="268"/>
      <c r="Q236" s="309"/>
      <c r="R236" s="268"/>
      <c r="S236" s="268"/>
      <c r="T236" s="268"/>
      <c r="U236" s="248"/>
      <c r="V236" s="253"/>
      <c r="W236" s="254"/>
      <c r="X236" s="248"/>
      <c r="Y236" s="248"/>
      <c r="Z236" s="248"/>
    </row>
    <row r="237" spans="1:26" ht="24.75" customHeight="1">
      <c r="A237" s="268"/>
      <c r="B237" s="268"/>
      <c r="C237" s="268"/>
      <c r="D237" s="268"/>
      <c r="E237" s="268"/>
      <c r="F237" s="268"/>
      <c r="G237" s="268"/>
      <c r="H237" s="268"/>
      <c r="I237" s="268"/>
      <c r="J237" s="268"/>
      <c r="K237" s="268"/>
      <c r="L237" s="309"/>
      <c r="M237" s="268"/>
      <c r="N237" s="268"/>
      <c r="O237" s="310"/>
      <c r="P237" s="268"/>
      <c r="Q237" s="309"/>
      <c r="R237" s="268"/>
      <c r="S237" s="313"/>
      <c r="T237" s="313"/>
      <c r="U237" s="268"/>
      <c r="V237" s="309"/>
      <c r="W237" s="310"/>
      <c r="X237" s="268"/>
      <c r="Y237" s="268"/>
      <c r="Z237" s="268"/>
    </row>
    <row r="238" spans="1:26" ht="24.75" customHeight="1">
      <c r="A238" s="268"/>
      <c r="B238" s="268"/>
      <c r="C238" s="268"/>
      <c r="D238" s="268"/>
      <c r="E238" s="268"/>
      <c r="F238" s="268"/>
      <c r="G238" s="268"/>
      <c r="H238" s="268"/>
      <c r="I238" s="268"/>
      <c r="J238" s="268"/>
      <c r="K238" s="268"/>
      <c r="L238" s="309"/>
      <c r="M238" s="268"/>
      <c r="N238" s="268"/>
      <c r="O238" s="310"/>
      <c r="P238" s="268"/>
      <c r="Q238" s="309"/>
      <c r="R238" s="268"/>
      <c r="S238" s="268"/>
      <c r="T238" s="268"/>
      <c r="U238" s="248"/>
      <c r="V238" s="253"/>
      <c r="W238" s="254"/>
      <c r="X238" s="248"/>
      <c r="Y238" s="248"/>
      <c r="Z238" s="248"/>
    </row>
    <row r="239" spans="1:26" ht="24.75" customHeight="1">
      <c r="A239" s="268"/>
      <c r="B239" s="268"/>
      <c r="C239" s="268"/>
      <c r="D239" s="268"/>
      <c r="E239" s="268"/>
      <c r="F239" s="268"/>
      <c r="G239" s="268"/>
      <c r="H239" s="268"/>
      <c r="I239" s="268"/>
      <c r="J239" s="268"/>
      <c r="K239" s="268"/>
      <c r="L239" s="309"/>
      <c r="M239" s="268"/>
      <c r="N239" s="268"/>
      <c r="O239" s="310"/>
      <c r="P239" s="268"/>
      <c r="Q239" s="309"/>
      <c r="R239" s="268"/>
      <c r="S239" s="268"/>
      <c r="T239" s="268"/>
      <c r="U239" s="248"/>
      <c r="V239" s="253"/>
      <c r="W239" s="254"/>
      <c r="X239" s="248"/>
      <c r="Y239" s="248"/>
      <c r="Z239" s="248"/>
    </row>
    <row r="240" spans="1:26" ht="24.75" customHeight="1">
      <c r="A240" s="268"/>
      <c r="B240" s="268"/>
      <c r="C240" s="268"/>
      <c r="D240" s="268"/>
      <c r="E240" s="268"/>
      <c r="F240" s="268"/>
      <c r="G240" s="268"/>
      <c r="H240" s="268"/>
      <c r="I240" s="268"/>
      <c r="J240" s="268"/>
      <c r="K240" s="268"/>
      <c r="L240" s="309"/>
      <c r="M240" s="268"/>
      <c r="N240" s="268"/>
      <c r="O240" s="310"/>
      <c r="P240" s="268"/>
      <c r="Q240" s="309"/>
      <c r="R240" s="268"/>
      <c r="S240" s="268"/>
      <c r="T240" s="268"/>
      <c r="U240" s="248"/>
      <c r="V240" s="253"/>
      <c r="W240" s="254"/>
      <c r="X240" s="248"/>
      <c r="Y240" s="248"/>
      <c r="Z240" s="248"/>
    </row>
    <row r="241" spans="1:26" ht="24.75" customHeight="1">
      <c r="A241" s="268"/>
      <c r="B241" s="268"/>
      <c r="C241" s="268"/>
      <c r="D241" s="268"/>
      <c r="E241" s="268"/>
      <c r="F241" s="268"/>
      <c r="G241" s="268"/>
      <c r="H241" s="268"/>
      <c r="I241" s="268"/>
      <c r="J241" s="268"/>
      <c r="K241" s="268"/>
      <c r="L241" s="309"/>
      <c r="M241" s="268"/>
      <c r="N241" s="268"/>
      <c r="O241" s="310"/>
      <c r="P241" s="268"/>
      <c r="Q241" s="309"/>
      <c r="R241" s="268"/>
      <c r="S241" s="313"/>
      <c r="T241" s="313"/>
      <c r="U241" s="268"/>
      <c r="V241" s="309"/>
      <c r="W241" s="310"/>
      <c r="X241" s="268"/>
      <c r="Y241" s="268"/>
      <c r="Z241" s="268"/>
    </row>
    <row r="242" spans="1:26" ht="24.75" customHeight="1">
      <c r="A242" s="268"/>
      <c r="B242" s="268"/>
      <c r="C242" s="268"/>
      <c r="D242" s="268"/>
      <c r="E242" s="268"/>
      <c r="F242" s="268"/>
      <c r="G242" s="268"/>
      <c r="H242" s="268"/>
      <c r="I242" s="268"/>
      <c r="J242" s="268"/>
      <c r="K242" s="268"/>
      <c r="L242" s="309"/>
      <c r="M242" s="268"/>
      <c r="N242" s="268"/>
      <c r="O242" s="310"/>
      <c r="P242" s="268"/>
      <c r="Q242" s="309"/>
      <c r="R242" s="268"/>
      <c r="S242" s="268"/>
      <c r="T242" s="268"/>
      <c r="U242" s="248"/>
      <c r="V242" s="253"/>
      <c r="W242" s="254"/>
      <c r="X242" s="248"/>
      <c r="Y242" s="248"/>
      <c r="Z242" s="248"/>
    </row>
    <row r="243" spans="1:26" ht="24.75" customHeight="1">
      <c r="A243" s="268"/>
      <c r="B243" s="268"/>
      <c r="C243" s="268"/>
      <c r="D243" s="268"/>
      <c r="E243" s="268"/>
      <c r="F243" s="268"/>
      <c r="G243" s="268"/>
      <c r="H243" s="268"/>
      <c r="I243" s="268"/>
      <c r="J243" s="268"/>
      <c r="K243" s="268"/>
      <c r="L243" s="309"/>
      <c r="M243" s="268"/>
      <c r="N243" s="268"/>
      <c r="O243" s="310"/>
      <c r="P243" s="268"/>
      <c r="Q243" s="309"/>
      <c r="R243" s="268"/>
      <c r="S243" s="268"/>
      <c r="T243" s="268"/>
      <c r="U243" s="248"/>
      <c r="V243" s="253"/>
      <c r="W243" s="254"/>
      <c r="X243" s="248"/>
      <c r="Y243" s="248"/>
      <c r="Z243" s="248"/>
    </row>
    <row r="244" spans="1:26" ht="24.75" customHeight="1">
      <c r="A244" s="268"/>
      <c r="B244" s="268"/>
      <c r="C244" s="268"/>
      <c r="D244" s="268"/>
      <c r="E244" s="268"/>
      <c r="F244" s="268"/>
      <c r="G244" s="268"/>
      <c r="H244" s="268"/>
      <c r="I244" s="268"/>
      <c r="J244" s="268"/>
      <c r="K244" s="268"/>
      <c r="L244" s="309"/>
      <c r="M244" s="268"/>
      <c r="N244" s="268"/>
      <c r="O244" s="310"/>
      <c r="P244" s="268"/>
      <c r="Q244" s="309"/>
      <c r="R244" s="268"/>
      <c r="S244" s="313"/>
      <c r="T244" s="313"/>
      <c r="U244" s="268"/>
      <c r="V244" s="309"/>
      <c r="W244" s="310"/>
      <c r="X244" s="268"/>
      <c r="Y244" s="268"/>
      <c r="Z244" s="268"/>
    </row>
    <row r="245" spans="1:26" ht="24.75" customHeight="1">
      <c r="A245" s="268"/>
      <c r="B245" s="268"/>
      <c r="C245" s="268"/>
      <c r="D245" s="268"/>
      <c r="E245" s="268"/>
      <c r="F245" s="268"/>
      <c r="G245" s="268"/>
      <c r="H245" s="268"/>
      <c r="I245" s="268"/>
      <c r="J245" s="268"/>
      <c r="K245" s="268"/>
      <c r="L245" s="309"/>
      <c r="M245" s="268"/>
      <c r="N245" s="268"/>
      <c r="O245" s="310"/>
      <c r="P245" s="268"/>
      <c r="Q245" s="309"/>
      <c r="R245" s="268"/>
      <c r="S245" s="268"/>
      <c r="T245" s="268"/>
      <c r="U245" s="248"/>
      <c r="V245" s="253"/>
      <c r="W245" s="254"/>
      <c r="X245" s="248"/>
      <c r="Y245" s="248"/>
      <c r="Z245" s="248"/>
    </row>
    <row r="246" spans="1:26" ht="24.75" customHeight="1">
      <c r="A246" s="268"/>
      <c r="B246" s="268"/>
      <c r="C246" s="268"/>
      <c r="D246" s="268"/>
      <c r="E246" s="268"/>
      <c r="F246" s="268"/>
      <c r="G246" s="268"/>
      <c r="H246" s="268"/>
      <c r="I246" s="268"/>
      <c r="J246" s="268"/>
      <c r="K246" s="268"/>
      <c r="L246" s="309"/>
      <c r="M246" s="268"/>
      <c r="N246" s="268"/>
      <c r="O246" s="310"/>
      <c r="P246" s="268"/>
      <c r="Q246" s="309"/>
      <c r="R246" s="268"/>
      <c r="S246" s="268"/>
      <c r="T246" s="268"/>
      <c r="U246" s="248"/>
      <c r="V246" s="253"/>
      <c r="W246" s="254"/>
      <c r="X246" s="248"/>
      <c r="Y246" s="248"/>
      <c r="Z246" s="248"/>
    </row>
    <row r="247" spans="1:26" ht="24.75" customHeight="1">
      <c r="A247" s="268"/>
      <c r="B247" s="268"/>
      <c r="C247" s="268"/>
      <c r="D247" s="268"/>
      <c r="E247" s="268"/>
      <c r="F247" s="268"/>
      <c r="G247" s="268"/>
      <c r="H247" s="268"/>
      <c r="I247" s="268"/>
      <c r="J247" s="268"/>
      <c r="K247" s="268"/>
      <c r="L247" s="309"/>
      <c r="M247" s="268"/>
      <c r="N247" s="268"/>
      <c r="O247" s="310"/>
      <c r="P247" s="268"/>
      <c r="Q247" s="309"/>
      <c r="R247" s="268"/>
      <c r="S247" s="268"/>
      <c r="T247" s="268"/>
      <c r="U247" s="248"/>
      <c r="V247" s="253"/>
      <c r="W247" s="254"/>
      <c r="X247" s="248"/>
      <c r="Y247" s="248"/>
      <c r="Z247" s="248"/>
    </row>
    <row r="248" spans="1:26" ht="24.75" customHeight="1">
      <c r="A248" s="268"/>
      <c r="B248" s="268"/>
      <c r="C248" s="268"/>
      <c r="D248" s="268"/>
      <c r="E248" s="268"/>
      <c r="F248" s="268"/>
      <c r="G248" s="268"/>
      <c r="H248" s="268"/>
      <c r="I248" s="268"/>
      <c r="J248" s="268"/>
      <c r="K248" s="268"/>
      <c r="L248" s="309"/>
      <c r="M248" s="268"/>
      <c r="N248" s="268"/>
      <c r="O248" s="310"/>
      <c r="P248" s="268"/>
      <c r="Q248" s="309"/>
      <c r="R248" s="268"/>
      <c r="S248" s="268"/>
      <c r="T248" s="268"/>
      <c r="U248" s="248"/>
      <c r="V248" s="253"/>
      <c r="W248" s="254"/>
      <c r="X248" s="248"/>
      <c r="Y248" s="248"/>
      <c r="Z248" s="248"/>
    </row>
    <row r="249" spans="1:26" ht="24.75" customHeight="1">
      <c r="A249" s="268"/>
      <c r="B249" s="268"/>
      <c r="C249" s="268"/>
      <c r="D249" s="268"/>
      <c r="E249" s="268"/>
      <c r="F249" s="268"/>
      <c r="G249" s="268"/>
      <c r="H249" s="268"/>
      <c r="I249" s="268"/>
      <c r="J249" s="268"/>
      <c r="K249" s="268"/>
      <c r="L249" s="309"/>
      <c r="M249" s="268"/>
      <c r="N249" s="268"/>
      <c r="O249" s="310"/>
      <c r="P249" s="268"/>
      <c r="Q249" s="309"/>
      <c r="R249" s="268"/>
      <c r="S249" s="313"/>
      <c r="T249" s="313"/>
      <c r="U249" s="268"/>
      <c r="V249" s="309"/>
      <c r="W249" s="310"/>
      <c r="X249" s="268"/>
      <c r="Y249" s="268"/>
      <c r="Z249" s="268"/>
    </row>
    <row r="250" spans="1:26" ht="24.75" customHeight="1">
      <c r="A250" s="268"/>
      <c r="B250" s="268"/>
      <c r="C250" s="268"/>
      <c r="D250" s="268"/>
      <c r="E250" s="268"/>
      <c r="F250" s="268"/>
      <c r="G250" s="268"/>
      <c r="H250" s="268"/>
      <c r="I250" s="268"/>
      <c r="J250" s="268"/>
      <c r="K250" s="268"/>
      <c r="L250" s="309"/>
      <c r="M250" s="268"/>
      <c r="N250" s="268"/>
      <c r="O250" s="310"/>
      <c r="P250" s="268"/>
      <c r="Q250" s="309"/>
      <c r="R250" s="268"/>
      <c r="S250" s="268"/>
      <c r="T250" s="268"/>
      <c r="U250" s="248"/>
      <c r="V250" s="253"/>
      <c r="W250" s="254"/>
      <c r="X250" s="248"/>
      <c r="Y250" s="248"/>
      <c r="Z250" s="248"/>
    </row>
    <row r="251" spans="1:26" ht="24.75" customHeight="1">
      <c r="A251" s="268"/>
      <c r="B251" s="268"/>
      <c r="C251" s="268"/>
      <c r="D251" s="268"/>
      <c r="E251" s="268"/>
      <c r="F251" s="268"/>
      <c r="G251" s="268"/>
      <c r="H251" s="268"/>
      <c r="I251" s="268"/>
      <c r="J251" s="268"/>
      <c r="K251" s="268"/>
      <c r="L251" s="309"/>
      <c r="M251" s="268"/>
      <c r="N251" s="268"/>
      <c r="O251" s="310"/>
      <c r="P251" s="268"/>
      <c r="Q251" s="309"/>
      <c r="R251" s="268"/>
      <c r="S251" s="268"/>
      <c r="T251" s="268"/>
      <c r="U251" s="248"/>
      <c r="V251" s="253"/>
      <c r="W251" s="254"/>
      <c r="X251" s="248"/>
      <c r="Y251" s="248"/>
      <c r="Z251" s="248"/>
    </row>
    <row r="252" spans="1:26" ht="24.75" customHeight="1">
      <c r="A252" s="268"/>
      <c r="B252" s="268"/>
      <c r="C252" s="268"/>
      <c r="D252" s="268"/>
      <c r="E252" s="268"/>
      <c r="F252" s="268"/>
      <c r="G252" s="268"/>
      <c r="H252" s="268"/>
      <c r="I252" s="268"/>
      <c r="J252" s="268"/>
      <c r="K252" s="268"/>
      <c r="L252" s="309"/>
      <c r="M252" s="268"/>
      <c r="N252" s="268"/>
      <c r="O252" s="310"/>
      <c r="P252" s="268"/>
      <c r="Q252" s="309"/>
      <c r="R252" s="268"/>
      <c r="S252" s="313"/>
      <c r="T252" s="313"/>
      <c r="U252" s="268"/>
      <c r="V252" s="309"/>
      <c r="W252" s="310"/>
      <c r="X252" s="268"/>
      <c r="Y252" s="268"/>
      <c r="Z252" s="268"/>
    </row>
    <row r="253" spans="1:26" ht="24.75" customHeight="1">
      <c r="A253" s="268"/>
      <c r="B253" s="268"/>
      <c r="C253" s="268"/>
      <c r="D253" s="268"/>
      <c r="E253" s="268"/>
      <c r="F253" s="268"/>
      <c r="G253" s="268"/>
      <c r="H253" s="268"/>
      <c r="I253" s="268"/>
      <c r="J253" s="268"/>
      <c r="K253" s="268"/>
      <c r="L253" s="309"/>
      <c r="M253" s="268"/>
      <c r="N253" s="268"/>
      <c r="O253" s="310"/>
      <c r="P253" s="268"/>
      <c r="Q253" s="309"/>
      <c r="R253" s="268"/>
      <c r="S253" s="268"/>
      <c r="T253" s="268"/>
      <c r="U253" s="248"/>
      <c r="V253" s="253"/>
      <c r="W253" s="254"/>
      <c r="X253" s="248"/>
      <c r="Y253" s="248"/>
      <c r="Z253" s="248"/>
    </row>
    <row r="254" spans="1:26" ht="24.75" customHeight="1">
      <c r="A254" s="268"/>
      <c r="B254" s="268"/>
      <c r="C254" s="268"/>
      <c r="D254" s="268"/>
      <c r="E254" s="268"/>
      <c r="F254" s="268"/>
      <c r="G254" s="268"/>
      <c r="H254" s="268"/>
      <c r="I254" s="268"/>
      <c r="J254" s="268"/>
      <c r="K254" s="268"/>
      <c r="L254" s="309"/>
      <c r="M254" s="268"/>
      <c r="N254" s="268"/>
      <c r="O254" s="310"/>
      <c r="P254" s="268"/>
      <c r="Q254" s="309"/>
      <c r="R254" s="268"/>
      <c r="S254" s="268"/>
      <c r="T254" s="268"/>
      <c r="U254" s="248"/>
      <c r="V254" s="253"/>
      <c r="W254" s="254"/>
      <c r="X254" s="248"/>
      <c r="Y254" s="248"/>
      <c r="Z254" s="248"/>
    </row>
    <row r="255" spans="1:26" ht="24.75" customHeight="1">
      <c r="A255" s="268"/>
      <c r="B255" s="268"/>
      <c r="C255" s="268"/>
      <c r="D255" s="268"/>
      <c r="E255" s="268"/>
      <c r="F255" s="268"/>
      <c r="G255" s="268"/>
      <c r="H255" s="268"/>
      <c r="I255" s="268"/>
      <c r="J255" s="268"/>
      <c r="K255" s="268"/>
      <c r="L255" s="309"/>
      <c r="M255" s="268"/>
      <c r="N255" s="268"/>
      <c r="O255" s="310"/>
      <c r="P255" s="268"/>
      <c r="Q255" s="309"/>
      <c r="R255" s="268"/>
      <c r="S255" s="268"/>
      <c r="T255" s="268"/>
      <c r="U255" s="248"/>
      <c r="V255" s="253"/>
      <c r="W255" s="254"/>
      <c r="X255" s="248"/>
      <c r="Y255" s="248"/>
      <c r="Z255" s="248"/>
    </row>
    <row r="256" spans="1:26" ht="24.75" customHeight="1">
      <c r="A256" s="268"/>
      <c r="B256" s="268"/>
      <c r="C256" s="268"/>
      <c r="D256" s="268"/>
      <c r="E256" s="268"/>
      <c r="F256" s="268"/>
      <c r="G256" s="268"/>
      <c r="H256" s="268"/>
      <c r="I256" s="268"/>
      <c r="J256" s="268"/>
      <c r="K256" s="268"/>
      <c r="L256" s="309"/>
      <c r="M256" s="268"/>
      <c r="N256" s="268"/>
      <c r="O256" s="268"/>
      <c r="P256" s="268"/>
      <c r="Q256" s="309"/>
      <c r="R256" s="268"/>
      <c r="S256" s="313"/>
      <c r="T256" s="313"/>
      <c r="U256" s="268"/>
      <c r="V256" s="309"/>
      <c r="W256" s="310"/>
      <c r="X256" s="268"/>
      <c r="Y256" s="268"/>
      <c r="Z256" s="268"/>
    </row>
    <row r="257" spans="1:26" ht="24.75" customHeight="1">
      <c r="A257" s="268"/>
      <c r="B257" s="268"/>
      <c r="C257" s="268"/>
      <c r="D257" s="268"/>
      <c r="E257" s="268"/>
      <c r="F257" s="268"/>
      <c r="G257" s="268"/>
      <c r="H257" s="268"/>
      <c r="I257" s="268"/>
      <c r="J257" s="268"/>
      <c r="K257" s="268"/>
      <c r="L257" s="309"/>
      <c r="M257" s="268"/>
      <c r="N257" s="268"/>
      <c r="O257" s="268"/>
      <c r="P257" s="268"/>
      <c r="Q257" s="309"/>
      <c r="R257" s="268"/>
      <c r="S257" s="268"/>
      <c r="T257" s="268"/>
      <c r="U257" s="248"/>
      <c r="V257" s="253"/>
      <c r="W257" s="254"/>
      <c r="X257" s="248"/>
      <c r="Y257" s="248"/>
      <c r="Z257" s="248"/>
    </row>
    <row r="258" spans="1:26" ht="24.75" customHeight="1">
      <c r="A258" s="268"/>
      <c r="B258" s="268"/>
      <c r="C258" s="268"/>
      <c r="D258" s="268"/>
      <c r="E258" s="268"/>
      <c r="F258" s="268"/>
      <c r="G258" s="268"/>
      <c r="H258" s="268"/>
      <c r="I258" s="268"/>
      <c r="J258" s="268"/>
      <c r="K258" s="268"/>
      <c r="L258" s="309"/>
      <c r="M258" s="268"/>
      <c r="N258" s="268"/>
      <c r="O258" s="268"/>
      <c r="P258" s="268"/>
      <c r="Q258" s="309"/>
      <c r="R258" s="268"/>
      <c r="S258" s="268"/>
      <c r="T258" s="268"/>
      <c r="U258" s="248"/>
      <c r="V258" s="253"/>
      <c r="W258" s="254"/>
      <c r="X258" s="248"/>
      <c r="Y258" s="248"/>
      <c r="Z258" s="248"/>
    </row>
    <row r="259" spans="1:26" ht="24.75" customHeight="1">
      <c r="A259" s="268"/>
      <c r="B259" s="268"/>
      <c r="C259" s="268"/>
      <c r="D259" s="268"/>
      <c r="E259" s="268"/>
      <c r="F259" s="268"/>
      <c r="G259" s="268"/>
      <c r="H259" s="268"/>
      <c r="I259" s="268"/>
      <c r="J259" s="268"/>
      <c r="K259" s="268"/>
      <c r="L259" s="309"/>
      <c r="M259" s="268"/>
      <c r="N259" s="268"/>
      <c r="O259" s="268"/>
      <c r="P259" s="268"/>
      <c r="Q259" s="309"/>
      <c r="R259" s="268"/>
      <c r="S259" s="313"/>
      <c r="T259" s="313"/>
      <c r="U259" s="268"/>
      <c r="V259" s="309"/>
      <c r="W259" s="310"/>
      <c r="X259" s="268"/>
      <c r="Y259" s="268"/>
      <c r="Z259" s="268"/>
    </row>
    <row r="260" spans="1:26" ht="24.75" customHeight="1">
      <c r="A260" s="268"/>
      <c r="B260" s="268"/>
      <c r="C260" s="268"/>
      <c r="D260" s="268"/>
      <c r="E260" s="268"/>
      <c r="F260" s="268"/>
      <c r="G260" s="268"/>
      <c r="H260" s="268"/>
      <c r="I260" s="268"/>
      <c r="J260" s="268"/>
      <c r="K260" s="268"/>
      <c r="L260" s="309"/>
      <c r="M260" s="268"/>
      <c r="N260" s="268"/>
      <c r="O260" s="268"/>
      <c r="P260" s="268"/>
      <c r="Q260" s="309"/>
      <c r="R260" s="268"/>
      <c r="S260" s="268"/>
      <c r="T260" s="268"/>
      <c r="U260" s="248"/>
      <c r="V260" s="253"/>
      <c r="W260" s="254"/>
      <c r="X260" s="248"/>
      <c r="Y260" s="248"/>
      <c r="Z260" s="248"/>
    </row>
    <row r="261" spans="1:26" ht="24.75" customHeight="1">
      <c r="A261" s="268"/>
      <c r="B261" s="268"/>
      <c r="C261" s="268"/>
      <c r="D261" s="268"/>
      <c r="E261" s="268"/>
      <c r="F261" s="268"/>
      <c r="G261" s="268"/>
      <c r="H261" s="268"/>
      <c r="I261" s="268"/>
      <c r="J261" s="268"/>
      <c r="K261" s="268"/>
      <c r="L261" s="309"/>
      <c r="M261" s="268"/>
      <c r="N261" s="268"/>
      <c r="O261" s="268"/>
      <c r="P261" s="268"/>
      <c r="Q261" s="309"/>
      <c r="R261" s="268"/>
      <c r="S261" s="268"/>
      <c r="T261" s="268"/>
      <c r="U261" s="248"/>
      <c r="V261" s="253"/>
      <c r="W261" s="254"/>
      <c r="X261" s="248"/>
      <c r="Y261" s="248"/>
      <c r="Z261" s="248"/>
    </row>
    <row r="262" spans="1:26" ht="24.75" customHeight="1">
      <c r="A262" s="268"/>
      <c r="B262" s="268"/>
      <c r="C262" s="268"/>
      <c r="D262" s="268"/>
      <c r="E262" s="268"/>
      <c r="F262" s="268"/>
      <c r="G262" s="268"/>
      <c r="H262" s="268"/>
      <c r="I262" s="268"/>
      <c r="J262" s="268"/>
      <c r="K262" s="268"/>
      <c r="L262" s="309"/>
      <c r="M262" s="268"/>
      <c r="N262" s="268"/>
      <c r="O262" s="268"/>
      <c r="P262" s="268"/>
      <c r="Q262" s="309"/>
      <c r="R262" s="268"/>
      <c r="S262" s="268"/>
      <c r="T262" s="268"/>
      <c r="U262" s="230"/>
      <c r="V262" s="256"/>
      <c r="W262" s="257"/>
      <c r="X262" s="230"/>
      <c r="Y262" s="230"/>
      <c r="Z262" s="230"/>
    </row>
    <row r="263" spans="1:26" ht="24.75" customHeight="1">
      <c r="A263" s="268"/>
      <c r="B263" s="268"/>
      <c r="C263" s="268"/>
      <c r="D263" s="268"/>
      <c r="E263" s="268"/>
      <c r="F263" s="268"/>
      <c r="G263" s="268"/>
      <c r="H263" s="268"/>
      <c r="I263" s="268"/>
      <c r="J263" s="268"/>
      <c r="K263" s="268"/>
      <c r="L263" s="309"/>
      <c r="M263" s="268"/>
      <c r="N263" s="268"/>
      <c r="O263" s="268"/>
      <c r="P263" s="268"/>
      <c r="Q263" s="309"/>
      <c r="R263" s="268"/>
      <c r="S263" s="268"/>
      <c r="T263" s="268"/>
      <c r="U263" s="248"/>
      <c r="V263" s="253"/>
      <c r="W263" s="254"/>
      <c r="X263" s="248"/>
      <c r="Y263" s="248"/>
      <c r="Z263" s="248"/>
    </row>
    <row r="264" spans="1:26" ht="24.75" customHeight="1">
      <c r="A264" s="268"/>
      <c r="B264" s="268"/>
      <c r="C264" s="268"/>
      <c r="D264" s="268"/>
      <c r="E264" s="268"/>
      <c r="F264" s="268"/>
      <c r="G264" s="268"/>
      <c r="H264" s="268"/>
      <c r="I264" s="268"/>
      <c r="J264" s="268"/>
      <c r="K264" s="268"/>
      <c r="L264" s="309"/>
      <c r="M264" s="268"/>
      <c r="N264" s="268"/>
      <c r="O264" s="268"/>
      <c r="P264" s="268"/>
      <c r="Q264" s="309"/>
      <c r="R264" s="268"/>
      <c r="S264" s="268"/>
      <c r="T264" s="268"/>
      <c r="U264" s="248"/>
      <c r="V264" s="253"/>
      <c r="W264" s="254"/>
      <c r="X264" s="248"/>
      <c r="Y264" s="248"/>
      <c r="Z264" s="248"/>
    </row>
    <row r="265" spans="1:26" ht="24.75" customHeight="1">
      <c r="A265" s="268"/>
      <c r="B265" s="268"/>
      <c r="C265" s="268"/>
      <c r="D265" s="268"/>
      <c r="E265" s="268"/>
      <c r="F265" s="268"/>
      <c r="G265" s="268"/>
      <c r="H265" s="268"/>
      <c r="I265" s="268"/>
      <c r="J265" s="268"/>
      <c r="K265" s="268"/>
      <c r="L265" s="309"/>
      <c r="M265" s="268"/>
      <c r="N265" s="268"/>
      <c r="O265" s="268"/>
      <c r="P265" s="268"/>
      <c r="Q265" s="309"/>
      <c r="R265" s="268"/>
      <c r="S265" s="313"/>
      <c r="T265" s="313"/>
      <c r="U265" s="268"/>
      <c r="V265" s="309"/>
      <c r="W265" s="310"/>
      <c r="X265" s="268"/>
      <c r="Y265" s="268"/>
      <c r="Z265" s="268"/>
    </row>
    <row r="266" spans="1:26" ht="24.75" customHeight="1">
      <c r="A266" s="268"/>
      <c r="B266" s="268"/>
      <c r="C266" s="268"/>
      <c r="D266" s="268"/>
      <c r="E266" s="268"/>
      <c r="F266" s="268"/>
      <c r="G266" s="268"/>
      <c r="H266" s="268"/>
      <c r="I266" s="268"/>
      <c r="J266" s="268"/>
      <c r="K266" s="268"/>
      <c r="L266" s="309"/>
      <c r="M266" s="268"/>
      <c r="N266" s="268"/>
      <c r="O266" s="268"/>
      <c r="P266" s="268"/>
      <c r="Q266" s="309"/>
      <c r="R266" s="268"/>
      <c r="S266" s="268"/>
      <c r="T266" s="268"/>
      <c r="U266" s="248"/>
      <c r="V266" s="253"/>
      <c r="W266" s="254"/>
      <c r="X266" s="248"/>
      <c r="Y266" s="248"/>
      <c r="Z266" s="248"/>
    </row>
    <row r="267" spans="1:26" ht="24.75" customHeight="1">
      <c r="A267" s="268"/>
      <c r="B267" s="268"/>
      <c r="C267" s="268"/>
      <c r="D267" s="268"/>
      <c r="E267" s="268"/>
      <c r="F267" s="268"/>
      <c r="G267" s="268"/>
      <c r="H267" s="268"/>
      <c r="I267" s="268"/>
      <c r="J267" s="268"/>
      <c r="K267" s="268"/>
      <c r="L267" s="309"/>
      <c r="M267" s="268"/>
      <c r="N267" s="268"/>
      <c r="O267" s="268"/>
      <c r="P267" s="268"/>
      <c r="Q267" s="309"/>
      <c r="R267" s="268"/>
      <c r="S267" s="268"/>
      <c r="T267" s="268"/>
      <c r="U267" s="230"/>
      <c r="V267" s="256"/>
      <c r="W267" s="257"/>
      <c r="X267" s="230"/>
      <c r="Y267" s="230"/>
      <c r="Z267" s="230"/>
    </row>
    <row r="268" spans="1:26" ht="24.75" customHeight="1">
      <c r="A268" s="268"/>
      <c r="B268" s="268"/>
      <c r="C268" s="268"/>
      <c r="D268" s="268"/>
      <c r="E268" s="268"/>
      <c r="F268" s="268"/>
      <c r="G268" s="268"/>
      <c r="H268" s="268"/>
      <c r="I268" s="268"/>
      <c r="J268" s="268"/>
      <c r="K268" s="268"/>
      <c r="L268" s="309"/>
      <c r="M268" s="268"/>
      <c r="N268" s="268"/>
      <c r="O268" s="268"/>
      <c r="P268" s="268"/>
      <c r="Q268" s="309"/>
      <c r="R268" s="268"/>
      <c r="S268" s="268"/>
      <c r="T268" s="268"/>
      <c r="U268" s="230"/>
      <c r="V268" s="256"/>
      <c r="W268" s="257"/>
      <c r="X268" s="230"/>
      <c r="Y268" s="230"/>
      <c r="Z268" s="230"/>
    </row>
    <row r="269" spans="1:26" ht="24.75" customHeight="1">
      <c r="A269" s="268"/>
      <c r="B269" s="268"/>
      <c r="C269" s="268"/>
      <c r="D269" s="268"/>
      <c r="E269" s="268"/>
      <c r="F269" s="268"/>
      <c r="G269" s="268"/>
      <c r="H269" s="268"/>
      <c r="I269" s="268"/>
      <c r="J269" s="268"/>
      <c r="K269" s="268"/>
      <c r="L269" s="309"/>
      <c r="M269" s="268"/>
      <c r="N269" s="268"/>
      <c r="O269" s="268"/>
      <c r="P269" s="268"/>
      <c r="Q269" s="309"/>
      <c r="R269" s="268"/>
      <c r="S269" s="268"/>
      <c r="T269" s="268"/>
      <c r="U269" s="230"/>
      <c r="V269" s="256"/>
      <c r="W269" s="257"/>
      <c r="X269" s="230"/>
      <c r="Y269" s="230"/>
      <c r="Z269" s="230"/>
    </row>
    <row r="270" spans="1:26" ht="24.75" customHeight="1">
      <c r="A270" s="268"/>
      <c r="B270" s="268"/>
      <c r="C270" s="268"/>
      <c r="D270" s="268"/>
      <c r="E270" s="268"/>
      <c r="F270" s="268"/>
      <c r="G270" s="268"/>
      <c r="H270" s="268"/>
      <c r="I270" s="268"/>
      <c r="J270" s="268"/>
      <c r="K270" s="268"/>
      <c r="L270" s="309"/>
      <c r="M270" s="268"/>
      <c r="N270" s="268"/>
      <c r="O270" s="268"/>
      <c r="P270" s="268"/>
      <c r="Q270" s="309"/>
      <c r="R270" s="268"/>
      <c r="S270" s="268"/>
      <c r="T270" s="268"/>
      <c r="U270" s="230"/>
      <c r="V270" s="256"/>
      <c r="W270" s="257"/>
      <c r="X270" s="230"/>
      <c r="Y270" s="230"/>
      <c r="Z270" s="230"/>
    </row>
    <row r="271" spans="1:26" ht="24.75" customHeight="1">
      <c r="A271" s="268"/>
      <c r="B271" s="268"/>
      <c r="C271" s="268"/>
      <c r="D271" s="268"/>
      <c r="E271" s="268"/>
      <c r="F271" s="268"/>
      <c r="G271" s="268"/>
      <c r="H271" s="268"/>
      <c r="I271" s="268"/>
      <c r="J271" s="268"/>
      <c r="K271" s="268"/>
      <c r="L271" s="309"/>
      <c r="M271" s="268"/>
      <c r="N271" s="268"/>
      <c r="O271" s="268"/>
      <c r="P271" s="268"/>
      <c r="Q271" s="309"/>
      <c r="R271" s="268"/>
      <c r="S271" s="268"/>
      <c r="T271" s="268"/>
      <c r="U271" s="230"/>
      <c r="V271" s="256"/>
      <c r="W271" s="257"/>
      <c r="X271" s="230"/>
      <c r="Y271" s="230"/>
      <c r="Z271" s="230"/>
    </row>
    <row r="272" spans="1:26" ht="24.75" customHeight="1">
      <c r="A272" s="268"/>
      <c r="B272" s="268"/>
      <c r="C272" s="268"/>
      <c r="D272" s="268"/>
      <c r="E272" s="268"/>
      <c r="F272" s="268"/>
      <c r="G272" s="268"/>
      <c r="H272" s="268"/>
      <c r="I272" s="268"/>
      <c r="J272" s="268"/>
      <c r="K272" s="268"/>
      <c r="L272" s="309"/>
      <c r="M272" s="268"/>
      <c r="N272" s="268"/>
      <c r="O272" s="268"/>
      <c r="P272" s="268"/>
      <c r="Q272" s="309"/>
      <c r="R272" s="268"/>
      <c r="S272" s="268"/>
      <c r="T272" s="268"/>
      <c r="U272" s="230"/>
      <c r="V272" s="256"/>
      <c r="W272" s="257"/>
      <c r="X272" s="230"/>
      <c r="Y272" s="230"/>
      <c r="Z272" s="230"/>
    </row>
    <row r="273" spans="1:26" ht="24.75" customHeight="1">
      <c r="A273" s="268"/>
      <c r="B273" s="268"/>
      <c r="C273" s="268"/>
      <c r="D273" s="268"/>
      <c r="E273" s="268"/>
      <c r="F273" s="268"/>
      <c r="G273" s="268"/>
      <c r="H273" s="268"/>
      <c r="I273" s="268"/>
      <c r="J273" s="268"/>
      <c r="K273" s="268"/>
      <c r="L273" s="309"/>
      <c r="M273" s="268"/>
      <c r="N273" s="268"/>
      <c r="O273" s="268"/>
      <c r="P273" s="268"/>
      <c r="Q273" s="309"/>
      <c r="R273" s="268"/>
      <c r="S273" s="268"/>
      <c r="T273" s="268"/>
      <c r="U273" s="230"/>
      <c r="V273" s="256"/>
      <c r="W273" s="257"/>
      <c r="X273" s="230"/>
      <c r="Y273" s="230"/>
      <c r="Z273" s="230"/>
    </row>
    <row r="274" spans="1:26" ht="24.75" customHeight="1">
      <c r="A274" s="268"/>
      <c r="B274" s="268"/>
      <c r="C274" s="268"/>
      <c r="D274" s="268"/>
      <c r="E274" s="268"/>
      <c r="F274" s="268"/>
      <c r="G274" s="268"/>
      <c r="H274" s="268"/>
      <c r="I274" s="268"/>
      <c r="J274" s="268"/>
      <c r="K274" s="268"/>
      <c r="L274" s="309"/>
      <c r="M274" s="268"/>
      <c r="N274" s="268"/>
      <c r="O274" s="268"/>
      <c r="P274" s="268"/>
      <c r="Q274" s="309"/>
      <c r="R274" s="268"/>
      <c r="S274" s="268"/>
      <c r="T274" s="268"/>
      <c r="U274" s="230"/>
      <c r="V274" s="256"/>
      <c r="W274" s="257"/>
      <c r="X274" s="230"/>
      <c r="Y274" s="230"/>
      <c r="Z274" s="230"/>
    </row>
    <row r="275" spans="1:26" ht="24.75" customHeight="1">
      <c r="A275" s="268"/>
      <c r="B275" s="268"/>
      <c r="C275" s="268"/>
      <c r="D275" s="268"/>
      <c r="E275" s="268"/>
      <c r="F275" s="268"/>
      <c r="G275" s="268"/>
      <c r="H275" s="268"/>
      <c r="I275" s="268"/>
      <c r="J275" s="268"/>
      <c r="K275" s="268"/>
      <c r="L275" s="309"/>
      <c r="M275" s="268"/>
      <c r="N275" s="268"/>
      <c r="O275" s="268"/>
      <c r="P275" s="268"/>
      <c r="Q275" s="309"/>
      <c r="R275" s="268"/>
      <c r="S275" s="268"/>
      <c r="T275" s="268"/>
      <c r="U275" s="230"/>
      <c r="V275" s="256"/>
      <c r="W275" s="257"/>
      <c r="X275" s="230"/>
      <c r="Y275" s="230"/>
      <c r="Z275" s="230"/>
    </row>
    <row r="276" spans="1:26" ht="24.75" customHeight="1">
      <c r="A276" s="268"/>
      <c r="B276" s="268"/>
      <c r="C276" s="268"/>
      <c r="D276" s="268"/>
      <c r="E276" s="268"/>
      <c r="F276" s="268"/>
      <c r="G276" s="268"/>
      <c r="H276" s="268"/>
      <c r="I276" s="268"/>
      <c r="J276" s="268"/>
      <c r="K276" s="268"/>
      <c r="L276" s="309"/>
      <c r="M276" s="268"/>
      <c r="N276" s="268"/>
      <c r="O276" s="268"/>
      <c r="P276" s="268"/>
      <c r="Q276" s="309"/>
      <c r="R276" s="268"/>
      <c r="S276" s="268"/>
      <c r="T276" s="268"/>
      <c r="U276" s="248"/>
      <c r="V276" s="253"/>
      <c r="W276" s="254"/>
      <c r="X276" s="248"/>
      <c r="Y276" s="248"/>
      <c r="Z276" s="248"/>
    </row>
    <row r="277" spans="1:26" ht="24.75" customHeight="1">
      <c r="A277" s="268"/>
      <c r="B277" s="268"/>
      <c r="C277" s="268"/>
      <c r="D277" s="268"/>
      <c r="E277" s="268"/>
      <c r="F277" s="268"/>
      <c r="G277" s="268"/>
      <c r="H277" s="268"/>
      <c r="I277" s="268"/>
      <c r="J277" s="268"/>
      <c r="K277" s="268"/>
      <c r="L277" s="309"/>
      <c r="M277" s="268"/>
      <c r="N277" s="268"/>
      <c r="O277" s="268"/>
      <c r="P277" s="268"/>
      <c r="Q277" s="309"/>
      <c r="R277" s="268"/>
      <c r="S277" s="268"/>
      <c r="T277" s="268"/>
      <c r="U277" s="230"/>
      <c r="V277" s="256"/>
      <c r="W277" s="257"/>
      <c r="X277" s="230"/>
      <c r="Y277" s="230"/>
      <c r="Z277" s="230"/>
    </row>
    <row r="278" spans="1:26" ht="24.75" customHeight="1">
      <c r="A278" s="268"/>
      <c r="B278" s="268"/>
      <c r="C278" s="268"/>
      <c r="D278" s="268"/>
      <c r="E278" s="268"/>
      <c r="F278" s="268"/>
      <c r="G278" s="268"/>
      <c r="H278" s="268"/>
      <c r="I278" s="268"/>
      <c r="J278" s="268"/>
      <c r="K278" s="268"/>
      <c r="L278" s="309"/>
      <c r="M278" s="268"/>
      <c r="N278" s="268"/>
      <c r="O278" s="268"/>
      <c r="P278" s="268"/>
      <c r="Q278" s="309"/>
      <c r="R278" s="268"/>
      <c r="S278" s="268"/>
      <c r="T278" s="268"/>
      <c r="U278" s="268"/>
      <c r="V278" s="309"/>
      <c r="W278" s="310"/>
      <c r="X278" s="268"/>
      <c r="Y278" s="268"/>
      <c r="Z278" s="268"/>
    </row>
    <row r="279" spans="1:26" ht="24.75" customHeight="1">
      <c r="A279" s="268"/>
      <c r="B279" s="268"/>
      <c r="C279" s="268"/>
      <c r="D279" s="268"/>
      <c r="E279" s="268"/>
      <c r="F279" s="268"/>
      <c r="G279" s="268"/>
      <c r="H279" s="268"/>
      <c r="I279" s="268"/>
      <c r="J279" s="268"/>
      <c r="K279" s="268"/>
      <c r="L279" s="309"/>
      <c r="M279" s="268"/>
      <c r="N279" s="268"/>
      <c r="O279" s="268"/>
      <c r="P279" s="268"/>
      <c r="Q279" s="309"/>
      <c r="R279" s="268"/>
      <c r="S279" s="268"/>
      <c r="T279" s="268"/>
      <c r="U279" s="230"/>
      <c r="V279" s="256"/>
      <c r="W279" s="257"/>
      <c r="X279" s="230"/>
      <c r="Y279" s="230"/>
      <c r="Z279" s="230"/>
    </row>
    <row r="280" spans="1:26" ht="24.75" customHeight="1">
      <c r="A280" s="268"/>
      <c r="B280" s="268"/>
      <c r="C280" s="268"/>
      <c r="D280" s="268"/>
      <c r="E280" s="268"/>
      <c r="F280" s="268"/>
      <c r="G280" s="268"/>
      <c r="H280" s="268"/>
      <c r="I280" s="268"/>
      <c r="J280" s="268"/>
      <c r="K280" s="268"/>
      <c r="L280" s="309"/>
      <c r="M280" s="268"/>
      <c r="N280" s="268"/>
      <c r="O280" s="268"/>
      <c r="P280" s="268"/>
      <c r="Q280" s="309"/>
      <c r="R280" s="268"/>
      <c r="S280" s="268"/>
      <c r="T280" s="268"/>
      <c r="U280" s="268"/>
      <c r="V280" s="309"/>
      <c r="W280" s="310"/>
      <c r="X280" s="268"/>
      <c r="Y280" s="268"/>
      <c r="Z280" s="268"/>
    </row>
    <row r="281" spans="1:26" ht="24.75" customHeight="1">
      <c r="A281" s="268"/>
      <c r="B281" s="268"/>
      <c r="C281" s="268"/>
      <c r="D281" s="268"/>
      <c r="E281" s="268"/>
      <c r="F281" s="268"/>
      <c r="G281" s="268"/>
      <c r="H281" s="268"/>
      <c r="I281" s="268"/>
      <c r="J281" s="268"/>
      <c r="K281" s="268"/>
      <c r="L281" s="309"/>
      <c r="M281" s="268"/>
      <c r="N281" s="268"/>
      <c r="O281" s="268"/>
      <c r="P281" s="268"/>
      <c r="Q281" s="309"/>
      <c r="R281" s="268"/>
      <c r="S281" s="268"/>
      <c r="T281" s="268"/>
      <c r="U281" s="248"/>
      <c r="V281" s="253"/>
      <c r="W281" s="254"/>
      <c r="X281" s="248"/>
      <c r="Y281" s="248"/>
      <c r="Z281" s="248"/>
    </row>
    <row r="282" spans="1:26" ht="24.75" customHeight="1">
      <c r="A282" s="268"/>
      <c r="B282" s="268"/>
      <c r="C282" s="268"/>
      <c r="D282" s="268"/>
      <c r="E282" s="268"/>
      <c r="F282" s="268"/>
      <c r="G282" s="268"/>
      <c r="H282" s="268"/>
      <c r="I282" s="268"/>
      <c r="J282" s="268"/>
      <c r="K282" s="268"/>
      <c r="L282" s="309"/>
      <c r="M282" s="268"/>
      <c r="N282" s="268"/>
      <c r="O282" s="268"/>
      <c r="P282" s="268"/>
      <c r="Q282" s="309"/>
      <c r="R282" s="268"/>
      <c r="S282" s="268"/>
      <c r="T282" s="268"/>
      <c r="U282" s="230"/>
      <c r="V282" s="256"/>
      <c r="W282" s="257"/>
      <c r="X282" s="230"/>
      <c r="Y282" s="230"/>
      <c r="Z282" s="230"/>
    </row>
    <row r="283" spans="1:26" ht="24.75" customHeight="1">
      <c r="A283" s="268"/>
      <c r="B283" s="268"/>
      <c r="C283" s="268"/>
      <c r="D283" s="268"/>
      <c r="E283" s="268"/>
      <c r="F283" s="268"/>
      <c r="G283" s="268"/>
      <c r="H283" s="268"/>
      <c r="I283" s="268"/>
      <c r="J283" s="268"/>
      <c r="K283" s="268"/>
      <c r="L283" s="309"/>
      <c r="M283" s="268"/>
      <c r="N283" s="268"/>
      <c r="O283" s="268"/>
      <c r="P283" s="268"/>
      <c r="Q283" s="309"/>
      <c r="R283" s="268"/>
      <c r="S283" s="268"/>
      <c r="T283" s="268"/>
      <c r="U283" s="248"/>
      <c r="V283" s="253"/>
      <c r="W283" s="254"/>
      <c r="X283" s="248"/>
      <c r="Y283" s="248"/>
      <c r="Z283" s="248"/>
    </row>
    <row r="284" spans="1:26" ht="24.75" customHeight="1">
      <c r="A284" s="268"/>
      <c r="B284" s="268"/>
      <c r="C284" s="268"/>
      <c r="D284" s="268"/>
      <c r="E284" s="268"/>
      <c r="F284" s="268"/>
      <c r="G284" s="268"/>
      <c r="H284" s="268"/>
      <c r="I284" s="268"/>
      <c r="J284" s="268"/>
      <c r="K284" s="268"/>
      <c r="L284" s="309"/>
      <c r="M284" s="268"/>
      <c r="N284" s="268"/>
      <c r="O284" s="268"/>
      <c r="P284" s="268"/>
      <c r="Q284" s="309"/>
      <c r="R284" s="268"/>
      <c r="S284" s="268"/>
      <c r="T284" s="268"/>
      <c r="U284" s="248"/>
      <c r="V284" s="253"/>
      <c r="W284" s="254"/>
      <c r="X284" s="248"/>
      <c r="Y284" s="248"/>
      <c r="Z284" s="248"/>
    </row>
    <row r="285" spans="1:26" ht="24.75" customHeight="1">
      <c r="A285" s="268"/>
      <c r="B285" s="268"/>
      <c r="C285" s="268"/>
      <c r="D285" s="268"/>
      <c r="E285" s="268"/>
      <c r="F285" s="268"/>
      <c r="G285" s="268"/>
      <c r="H285" s="268"/>
      <c r="I285" s="268"/>
      <c r="J285" s="268"/>
      <c r="K285" s="268"/>
      <c r="L285" s="309"/>
      <c r="M285" s="268"/>
      <c r="N285" s="268"/>
      <c r="O285" s="268"/>
      <c r="P285" s="268"/>
      <c r="Q285" s="309"/>
      <c r="R285" s="268"/>
      <c r="S285" s="268"/>
      <c r="T285" s="268"/>
      <c r="U285" s="268"/>
      <c r="V285" s="309"/>
      <c r="W285" s="310"/>
      <c r="X285" s="268"/>
      <c r="Y285" s="268"/>
      <c r="Z285" s="268"/>
    </row>
    <row r="286" spans="1:26" ht="24.75" customHeight="1">
      <c r="A286" s="268"/>
      <c r="B286" s="268"/>
      <c r="C286" s="268"/>
      <c r="D286" s="268"/>
      <c r="E286" s="268"/>
      <c r="F286" s="268"/>
      <c r="G286" s="268"/>
      <c r="H286" s="268"/>
      <c r="I286" s="268"/>
      <c r="J286" s="268"/>
      <c r="K286" s="268"/>
      <c r="L286" s="309"/>
      <c r="M286" s="268"/>
      <c r="N286" s="268"/>
      <c r="O286" s="268"/>
      <c r="P286" s="268"/>
      <c r="Q286" s="309"/>
      <c r="R286" s="268"/>
      <c r="S286" s="268"/>
      <c r="T286" s="268"/>
      <c r="U286" s="292"/>
      <c r="V286" s="293"/>
      <c r="W286" s="294"/>
      <c r="X286" s="292"/>
      <c r="Y286" s="292"/>
      <c r="Z286" s="292"/>
    </row>
    <row r="287" spans="1:26" ht="24.75" customHeight="1">
      <c r="A287" s="268"/>
      <c r="B287" s="268"/>
      <c r="C287" s="268"/>
      <c r="D287" s="268"/>
      <c r="E287" s="268"/>
      <c r="F287" s="268"/>
      <c r="G287" s="268"/>
      <c r="H287" s="268"/>
      <c r="I287" s="268"/>
      <c r="J287" s="268"/>
      <c r="K287" s="268"/>
      <c r="L287" s="309"/>
      <c r="M287" s="268"/>
      <c r="N287" s="268"/>
      <c r="O287" s="268"/>
      <c r="P287" s="268"/>
      <c r="Q287" s="309"/>
      <c r="R287" s="268"/>
      <c r="S287" s="268"/>
      <c r="T287" s="268"/>
      <c r="U287" s="230"/>
      <c r="V287" s="256"/>
      <c r="W287" s="257"/>
      <c r="X287" s="230"/>
      <c r="Y287" s="230"/>
      <c r="Z287" s="230"/>
    </row>
    <row r="288" spans="1:26" ht="24.75" customHeight="1">
      <c r="A288" s="268"/>
      <c r="B288" s="268"/>
      <c r="C288" s="268"/>
      <c r="D288" s="268"/>
      <c r="E288" s="268"/>
      <c r="F288" s="268"/>
      <c r="G288" s="268"/>
      <c r="H288" s="268"/>
      <c r="I288" s="268"/>
      <c r="J288" s="268"/>
      <c r="K288" s="268"/>
      <c r="L288" s="309"/>
      <c r="M288" s="268"/>
      <c r="N288" s="268"/>
      <c r="O288" s="268"/>
      <c r="P288" s="268"/>
      <c r="Q288" s="309"/>
      <c r="R288" s="268"/>
      <c r="S288" s="268"/>
      <c r="T288" s="268"/>
      <c r="U288" s="268"/>
      <c r="V288" s="309"/>
      <c r="W288" s="310"/>
      <c r="X288" s="268"/>
      <c r="Y288" s="268"/>
      <c r="Z288" s="268"/>
    </row>
    <row r="289" spans="1:26" ht="24.75" customHeight="1">
      <c r="A289" s="268"/>
      <c r="B289" s="268"/>
      <c r="C289" s="268"/>
      <c r="D289" s="268"/>
      <c r="E289" s="268"/>
      <c r="F289" s="268"/>
      <c r="G289" s="268"/>
      <c r="H289" s="268"/>
      <c r="I289" s="268"/>
      <c r="J289" s="268"/>
      <c r="K289" s="268"/>
      <c r="L289" s="309"/>
      <c r="M289" s="268"/>
      <c r="N289" s="268"/>
      <c r="O289" s="310"/>
      <c r="P289" s="268"/>
      <c r="Q289" s="309"/>
      <c r="R289" s="268"/>
      <c r="S289" s="268"/>
      <c r="T289" s="268"/>
      <c r="U289" s="268"/>
      <c r="V289" s="309"/>
      <c r="W289" s="310"/>
      <c r="X289" s="268"/>
      <c r="Y289" s="268"/>
      <c r="Z289" s="268"/>
    </row>
    <row r="290" spans="1:26" ht="24.75" customHeight="1">
      <c r="A290" s="268"/>
      <c r="B290" s="268"/>
      <c r="C290" s="268"/>
      <c r="D290" s="268"/>
      <c r="E290" s="268"/>
      <c r="F290" s="268"/>
      <c r="G290" s="268"/>
      <c r="H290" s="268"/>
      <c r="I290" s="268"/>
      <c r="J290" s="268"/>
      <c r="K290" s="268"/>
      <c r="L290" s="309"/>
      <c r="M290" s="268"/>
      <c r="N290" s="268"/>
      <c r="O290" s="310"/>
      <c r="P290" s="268"/>
      <c r="Q290" s="309"/>
      <c r="R290" s="268"/>
      <c r="S290" s="268"/>
      <c r="T290" s="268"/>
      <c r="U290" s="230"/>
      <c r="V290" s="256"/>
      <c r="W290" s="257"/>
      <c r="X290" s="230"/>
      <c r="Y290" s="230"/>
      <c r="Z290" s="230"/>
    </row>
    <row r="291" spans="1:26" ht="24.75" customHeight="1">
      <c r="A291" s="268"/>
      <c r="B291" s="268"/>
      <c r="C291" s="268"/>
      <c r="D291" s="268"/>
      <c r="E291" s="268"/>
      <c r="F291" s="268"/>
      <c r="G291" s="268"/>
      <c r="H291" s="268"/>
      <c r="I291" s="268"/>
      <c r="J291" s="268"/>
      <c r="K291" s="268"/>
      <c r="L291" s="309"/>
      <c r="M291" s="268"/>
      <c r="N291" s="268"/>
      <c r="O291" s="310"/>
      <c r="P291" s="268"/>
      <c r="Q291" s="309"/>
      <c r="R291" s="268"/>
      <c r="S291" s="268"/>
      <c r="T291" s="268"/>
      <c r="U291" s="230"/>
      <c r="V291" s="256"/>
      <c r="W291" s="257"/>
      <c r="X291" s="230"/>
      <c r="Y291" s="230"/>
      <c r="Z291" s="230"/>
    </row>
    <row r="292" spans="1:26" ht="24.75" customHeight="1">
      <c r="A292" s="268"/>
      <c r="B292" s="268"/>
      <c r="C292" s="268"/>
      <c r="D292" s="268"/>
      <c r="E292" s="268"/>
      <c r="F292" s="268"/>
      <c r="G292" s="268"/>
      <c r="H292" s="268"/>
      <c r="I292" s="268"/>
      <c r="J292" s="268"/>
      <c r="K292" s="268"/>
      <c r="L292" s="309"/>
      <c r="M292" s="268"/>
      <c r="N292" s="268"/>
      <c r="O292" s="310"/>
      <c r="P292" s="268"/>
      <c r="Q292" s="309"/>
      <c r="R292" s="268"/>
      <c r="S292" s="268"/>
      <c r="T292" s="268"/>
      <c r="U292" s="268"/>
      <c r="V292" s="309"/>
      <c r="W292" s="310"/>
      <c r="X292" s="268"/>
      <c r="Y292" s="268"/>
      <c r="Z292" s="268"/>
    </row>
    <row r="293" spans="1:26" ht="24.75" customHeight="1">
      <c r="A293" s="268"/>
      <c r="B293" s="268"/>
      <c r="C293" s="268"/>
      <c r="D293" s="268"/>
      <c r="E293" s="268"/>
      <c r="F293" s="268"/>
      <c r="G293" s="268"/>
      <c r="H293" s="268"/>
      <c r="I293" s="268"/>
      <c r="J293" s="268"/>
      <c r="K293" s="268"/>
      <c r="L293" s="309"/>
      <c r="M293" s="268"/>
      <c r="N293" s="268"/>
      <c r="O293" s="310"/>
      <c r="P293" s="268"/>
      <c r="Q293" s="309"/>
      <c r="R293" s="268"/>
      <c r="S293" s="313"/>
      <c r="T293" s="313"/>
      <c r="U293" s="268"/>
      <c r="V293" s="309"/>
      <c r="W293" s="310"/>
      <c r="X293" s="268"/>
      <c r="Y293" s="268"/>
      <c r="Z293" s="268"/>
    </row>
    <row r="294" spans="1:26" ht="24.75" customHeight="1">
      <c r="A294" s="268"/>
      <c r="B294" s="268"/>
      <c r="C294" s="268"/>
      <c r="D294" s="268"/>
      <c r="E294" s="268"/>
      <c r="F294" s="268"/>
      <c r="G294" s="268"/>
      <c r="H294" s="268"/>
      <c r="I294" s="268"/>
      <c r="J294" s="268"/>
      <c r="K294" s="268"/>
      <c r="L294" s="309"/>
      <c r="M294" s="268"/>
      <c r="N294" s="268"/>
      <c r="O294" s="268"/>
      <c r="P294" s="268"/>
      <c r="Q294" s="309"/>
      <c r="R294" s="268"/>
      <c r="S294" s="313"/>
      <c r="T294" s="313"/>
      <c r="U294" s="268"/>
      <c r="V294" s="309"/>
      <c r="W294" s="310"/>
      <c r="X294" s="268"/>
      <c r="Y294" s="268"/>
      <c r="Z294" s="268"/>
    </row>
    <row r="295" spans="1:26" ht="24.75" customHeight="1">
      <c r="A295" s="268"/>
      <c r="B295" s="268"/>
      <c r="C295" s="268"/>
      <c r="D295" s="268"/>
      <c r="E295" s="268"/>
      <c r="F295" s="268"/>
      <c r="G295" s="268"/>
      <c r="H295" s="268"/>
      <c r="I295" s="268"/>
      <c r="J295" s="268"/>
      <c r="K295" s="268"/>
      <c r="L295" s="309"/>
      <c r="M295" s="268"/>
      <c r="N295" s="268"/>
      <c r="O295" s="268"/>
      <c r="P295" s="268"/>
      <c r="Q295" s="309"/>
      <c r="R295" s="268"/>
      <c r="S295" s="268"/>
      <c r="T295" s="268"/>
      <c r="U295" s="248"/>
      <c r="V295" s="253"/>
      <c r="W295" s="254"/>
      <c r="X295" s="248"/>
      <c r="Y295" s="248"/>
      <c r="Z295" s="248"/>
    </row>
    <row r="296" spans="1:26" ht="24.75" customHeight="1">
      <c r="A296" s="268"/>
      <c r="B296" s="268"/>
      <c r="C296" s="268"/>
      <c r="D296" s="268"/>
      <c r="E296" s="268"/>
      <c r="F296" s="268"/>
      <c r="G296" s="268"/>
      <c r="H296" s="268"/>
      <c r="I296" s="268"/>
      <c r="J296" s="268"/>
      <c r="K296" s="268"/>
      <c r="L296" s="309"/>
      <c r="M296" s="268"/>
      <c r="N296" s="268"/>
      <c r="O296" s="268"/>
      <c r="P296" s="268"/>
      <c r="Q296" s="309"/>
      <c r="R296" s="268"/>
      <c r="S296" s="313"/>
      <c r="T296" s="313"/>
      <c r="U296" s="268"/>
      <c r="V296" s="309"/>
      <c r="W296" s="310"/>
      <c r="X296" s="268"/>
      <c r="Y296" s="268"/>
      <c r="Z296" s="268"/>
    </row>
    <row r="297" spans="1:26" ht="24.75" customHeight="1">
      <c r="A297" s="268"/>
      <c r="B297" s="268"/>
      <c r="C297" s="268"/>
      <c r="D297" s="268"/>
      <c r="E297" s="268"/>
      <c r="F297" s="268"/>
      <c r="G297" s="268"/>
      <c r="H297" s="268"/>
      <c r="I297" s="268"/>
      <c r="J297" s="268"/>
      <c r="K297" s="268"/>
      <c r="L297" s="309"/>
      <c r="M297" s="268"/>
      <c r="N297" s="268"/>
      <c r="O297" s="268"/>
      <c r="P297" s="268"/>
      <c r="Q297" s="309"/>
      <c r="R297" s="268"/>
      <c r="S297" s="313"/>
      <c r="T297" s="313"/>
      <c r="U297" s="268"/>
      <c r="V297" s="309"/>
      <c r="W297" s="310"/>
      <c r="X297" s="268"/>
      <c r="Y297" s="268"/>
      <c r="Z297" s="268"/>
    </row>
    <row r="298" spans="1:26" ht="24.75" customHeight="1">
      <c r="A298" s="268"/>
      <c r="B298" s="268"/>
      <c r="C298" s="268"/>
      <c r="D298" s="268"/>
      <c r="E298" s="268"/>
      <c r="F298" s="268"/>
      <c r="G298" s="268"/>
      <c r="H298" s="268"/>
      <c r="I298" s="268"/>
      <c r="J298" s="268"/>
      <c r="K298" s="268"/>
      <c r="L298" s="309"/>
      <c r="M298" s="268"/>
      <c r="N298" s="268"/>
      <c r="O298" s="268"/>
      <c r="P298" s="268"/>
      <c r="Q298" s="309"/>
      <c r="R298" s="268"/>
      <c r="S298" s="268"/>
      <c r="T298" s="268"/>
      <c r="U298" s="292"/>
      <c r="V298" s="293"/>
      <c r="W298" s="294"/>
      <c r="X298" s="292"/>
      <c r="Y298" s="292"/>
      <c r="Z298" s="292"/>
    </row>
    <row r="299" spans="1:26" ht="24.75" customHeight="1">
      <c r="A299" s="268"/>
      <c r="B299" s="268"/>
      <c r="C299" s="268"/>
      <c r="D299" s="268"/>
      <c r="E299" s="268"/>
      <c r="F299" s="268"/>
      <c r="G299" s="268"/>
      <c r="H299" s="268"/>
      <c r="I299" s="268"/>
      <c r="J299" s="268"/>
      <c r="K299" s="268"/>
      <c r="L299" s="309"/>
      <c r="M299" s="268"/>
      <c r="N299" s="268"/>
      <c r="O299" s="268"/>
      <c r="P299" s="268"/>
      <c r="Q299" s="309"/>
      <c r="R299" s="268"/>
      <c r="S299" s="313"/>
      <c r="T299" s="313"/>
      <c r="U299" s="268"/>
      <c r="V299" s="309"/>
      <c r="W299" s="310"/>
      <c r="X299" s="268"/>
      <c r="Y299" s="268"/>
      <c r="Z299" s="268"/>
    </row>
    <row r="300" spans="1:26" ht="24.75" customHeight="1">
      <c r="A300" s="268"/>
      <c r="B300" s="268"/>
      <c r="C300" s="268"/>
      <c r="D300" s="268"/>
      <c r="E300" s="268"/>
      <c r="F300" s="268"/>
      <c r="G300" s="268"/>
      <c r="H300" s="268"/>
      <c r="I300" s="268"/>
      <c r="J300" s="268"/>
      <c r="K300" s="268"/>
      <c r="L300" s="309"/>
      <c r="M300" s="268"/>
      <c r="N300" s="268"/>
      <c r="O300" s="268"/>
      <c r="P300" s="268"/>
      <c r="Q300" s="309"/>
      <c r="R300" s="268"/>
      <c r="S300" s="268"/>
      <c r="T300" s="268"/>
      <c r="U300" s="248"/>
      <c r="V300" s="253"/>
      <c r="W300" s="254"/>
      <c r="X300" s="248"/>
      <c r="Y300" s="248"/>
      <c r="Z300" s="248"/>
    </row>
    <row r="301" spans="1:26" ht="24.75" customHeight="1">
      <c r="A301" s="268"/>
      <c r="B301" s="268"/>
      <c r="C301" s="268"/>
      <c r="D301" s="268"/>
      <c r="E301" s="268"/>
      <c r="F301" s="268"/>
      <c r="G301" s="268"/>
      <c r="H301" s="268"/>
      <c r="I301" s="268"/>
      <c r="J301" s="268"/>
      <c r="K301" s="268"/>
      <c r="L301" s="309"/>
      <c r="M301" s="268"/>
      <c r="N301" s="268"/>
      <c r="O301" s="268"/>
      <c r="P301" s="268"/>
      <c r="Q301" s="309"/>
      <c r="R301" s="268"/>
      <c r="S301" s="268"/>
      <c r="T301" s="268"/>
      <c r="U301" s="248"/>
      <c r="V301" s="253"/>
      <c r="W301" s="254"/>
      <c r="X301" s="248"/>
      <c r="Y301" s="248"/>
      <c r="Z301" s="248"/>
    </row>
    <row r="302" spans="1:26" ht="24.75" customHeight="1">
      <c r="A302" s="268"/>
      <c r="B302" s="268"/>
      <c r="C302" s="268"/>
      <c r="D302" s="268"/>
      <c r="E302" s="268"/>
      <c r="F302" s="268"/>
      <c r="G302" s="268"/>
      <c r="H302" s="268"/>
      <c r="I302" s="268"/>
      <c r="J302" s="268"/>
      <c r="K302" s="268"/>
      <c r="L302" s="309"/>
      <c r="M302" s="268"/>
      <c r="N302" s="268"/>
      <c r="O302" s="268"/>
      <c r="P302" s="268"/>
      <c r="Q302" s="309"/>
      <c r="R302" s="268"/>
      <c r="S302" s="313"/>
      <c r="T302" s="313"/>
      <c r="U302" s="268"/>
      <c r="V302" s="309"/>
      <c r="W302" s="310"/>
      <c r="X302" s="268"/>
      <c r="Y302" s="268"/>
      <c r="Z302" s="268"/>
    </row>
    <row r="303" spans="1:26" ht="24.75" customHeight="1">
      <c r="A303" s="268"/>
      <c r="B303" s="268"/>
      <c r="C303" s="268"/>
      <c r="D303" s="268"/>
      <c r="E303" s="268"/>
      <c r="F303" s="268"/>
      <c r="G303" s="268"/>
      <c r="H303" s="268"/>
      <c r="I303" s="268"/>
      <c r="J303" s="268"/>
      <c r="K303" s="268"/>
      <c r="L303" s="309"/>
      <c r="M303" s="268"/>
      <c r="N303" s="268"/>
      <c r="O303" s="268"/>
      <c r="P303" s="268"/>
      <c r="Q303" s="309"/>
      <c r="R303" s="268"/>
      <c r="S303" s="268"/>
      <c r="T303" s="268"/>
      <c r="U303" s="230"/>
      <c r="V303" s="256"/>
      <c r="W303" s="257"/>
      <c r="X303" s="230"/>
      <c r="Y303" s="230"/>
      <c r="Z303" s="230"/>
    </row>
    <row r="304" spans="1:26" ht="24.75" customHeight="1">
      <c r="A304" s="268"/>
      <c r="B304" s="268"/>
      <c r="C304" s="268"/>
      <c r="D304" s="268"/>
      <c r="E304" s="268"/>
      <c r="F304" s="268"/>
      <c r="G304" s="268"/>
      <c r="H304" s="268"/>
      <c r="I304" s="268"/>
      <c r="J304" s="268"/>
      <c r="K304" s="268"/>
      <c r="L304" s="309"/>
      <c r="M304" s="268"/>
      <c r="N304" s="268"/>
      <c r="O304" s="268"/>
      <c r="P304" s="268"/>
      <c r="Q304" s="309"/>
      <c r="R304" s="268"/>
      <c r="S304" s="268"/>
      <c r="T304" s="268"/>
      <c r="U304" s="268"/>
      <c r="V304" s="309"/>
      <c r="W304" s="310"/>
      <c r="X304" s="268"/>
      <c r="Y304" s="268"/>
      <c r="Z304" s="268"/>
    </row>
    <row r="305" spans="1:26" ht="24.75" customHeight="1">
      <c r="A305" s="268"/>
      <c r="B305" s="268"/>
      <c r="C305" s="268"/>
      <c r="D305" s="268"/>
      <c r="E305" s="268"/>
      <c r="F305" s="268"/>
      <c r="G305" s="268"/>
      <c r="H305" s="268"/>
      <c r="I305" s="268"/>
      <c r="J305" s="268"/>
      <c r="K305" s="268"/>
      <c r="L305" s="309"/>
      <c r="M305" s="268"/>
      <c r="N305" s="268"/>
      <c r="O305" s="268"/>
      <c r="P305" s="268"/>
      <c r="Q305" s="309"/>
      <c r="R305" s="268"/>
      <c r="S305" s="268"/>
      <c r="T305" s="268"/>
      <c r="U305" s="268"/>
      <c r="V305" s="309"/>
      <c r="W305" s="310"/>
      <c r="X305" s="268"/>
      <c r="Y305" s="268"/>
      <c r="Z305" s="268"/>
    </row>
    <row r="306" spans="1:26" ht="24.75" customHeight="1">
      <c r="A306" s="268"/>
      <c r="B306" s="268"/>
      <c r="C306" s="268"/>
      <c r="D306" s="268"/>
      <c r="E306" s="268"/>
      <c r="F306" s="268"/>
      <c r="G306" s="268"/>
      <c r="H306" s="268"/>
      <c r="I306" s="268"/>
      <c r="J306" s="268"/>
      <c r="K306" s="268"/>
      <c r="L306" s="309"/>
      <c r="M306" s="268"/>
      <c r="N306" s="268"/>
      <c r="O306" s="268"/>
      <c r="P306" s="268"/>
      <c r="Q306" s="309"/>
      <c r="R306" s="268"/>
      <c r="S306" s="313"/>
      <c r="T306" s="313"/>
      <c r="U306" s="268"/>
      <c r="V306" s="309"/>
      <c r="W306" s="310"/>
      <c r="X306" s="268"/>
      <c r="Y306" s="268"/>
      <c r="Z306" s="268"/>
    </row>
    <row r="307" spans="1:26" ht="24.75" customHeight="1">
      <c r="A307" s="268"/>
      <c r="B307" s="268"/>
      <c r="C307" s="268"/>
      <c r="D307" s="268"/>
      <c r="E307" s="268"/>
      <c r="F307" s="268"/>
      <c r="G307" s="268"/>
      <c r="H307" s="268"/>
      <c r="I307" s="268"/>
      <c r="J307" s="268"/>
      <c r="K307" s="268"/>
      <c r="L307" s="309"/>
      <c r="M307" s="268"/>
      <c r="N307" s="268"/>
      <c r="O307" s="268"/>
      <c r="P307" s="268"/>
      <c r="Q307" s="309"/>
      <c r="R307" s="268"/>
      <c r="S307" s="313"/>
      <c r="T307" s="313"/>
      <c r="U307" s="268"/>
      <c r="V307" s="309"/>
      <c r="W307" s="310"/>
      <c r="X307" s="268"/>
      <c r="Y307" s="268"/>
      <c r="Z307" s="268"/>
    </row>
    <row r="308" spans="1:26" ht="24.75" customHeight="1">
      <c r="A308" s="268"/>
      <c r="B308" s="268"/>
      <c r="C308" s="268"/>
      <c r="D308" s="268"/>
      <c r="E308" s="268"/>
      <c r="F308" s="268"/>
      <c r="G308" s="268"/>
      <c r="H308" s="268"/>
      <c r="I308" s="268"/>
      <c r="J308" s="268"/>
      <c r="K308" s="268"/>
      <c r="L308" s="309"/>
      <c r="M308" s="268"/>
      <c r="N308" s="268"/>
      <c r="O308" s="268"/>
      <c r="P308" s="268"/>
      <c r="Q308" s="309"/>
      <c r="R308" s="268"/>
      <c r="S308" s="313"/>
      <c r="T308" s="313"/>
      <c r="U308" s="268"/>
      <c r="V308" s="309"/>
      <c r="W308" s="310"/>
      <c r="X308" s="268"/>
      <c r="Y308" s="268"/>
      <c r="Z308" s="268"/>
    </row>
    <row r="309" spans="1:26" ht="24.75" customHeight="1">
      <c r="A309" s="268"/>
      <c r="B309" s="268"/>
      <c r="C309" s="268"/>
      <c r="D309" s="268"/>
      <c r="E309" s="268"/>
      <c r="F309" s="268"/>
      <c r="G309" s="268"/>
      <c r="H309" s="268"/>
      <c r="I309" s="268"/>
      <c r="J309" s="268"/>
      <c r="K309" s="268"/>
      <c r="L309" s="309"/>
      <c r="M309" s="268"/>
      <c r="N309" s="268"/>
      <c r="O309" s="268"/>
      <c r="P309" s="268"/>
      <c r="Q309" s="309"/>
      <c r="R309" s="268"/>
      <c r="S309" s="313"/>
      <c r="T309" s="313"/>
      <c r="U309" s="268"/>
      <c r="V309" s="309"/>
      <c r="W309" s="310"/>
      <c r="X309" s="268"/>
      <c r="Y309" s="268"/>
      <c r="Z309" s="268"/>
    </row>
    <row r="310" spans="1:26" ht="24.75" customHeight="1">
      <c r="A310" s="268"/>
      <c r="B310" s="268"/>
      <c r="C310" s="268"/>
      <c r="D310" s="268"/>
      <c r="E310" s="268"/>
      <c r="F310" s="268"/>
      <c r="G310" s="268"/>
      <c r="H310" s="268"/>
      <c r="I310" s="268"/>
      <c r="J310" s="268"/>
      <c r="K310" s="268"/>
      <c r="L310" s="309"/>
      <c r="M310" s="268"/>
      <c r="N310" s="268"/>
      <c r="O310" s="268"/>
      <c r="P310" s="268"/>
      <c r="Q310" s="309"/>
      <c r="R310" s="268"/>
      <c r="S310" s="268"/>
      <c r="T310" s="268"/>
      <c r="U310" s="230"/>
      <c r="V310" s="256"/>
      <c r="W310" s="257"/>
      <c r="X310" s="230"/>
      <c r="Y310" s="230"/>
      <c r="Z310" s="230"/>
    </row>
    <row r="311" spans="1:26" ht="24.75" customHeight="1">
      <c r="A311" s="268"/>
      <c r="B311" s="268"/>
      <c r="C311" s="268"/>
      <c r="D311" s="268"/>
      <c r="E311" s="268"/>
      <c r="F311" s="268"/>
      <c r="G311" s="268"/>
      <c r="H311" s="268"/>
      <c r="I311" s="268"/>
      <c r="J311" s="268"/>
      <c r="K311" s="268"/>
      <c r="L311" s="309"/>
      <c r="M311" s="268"/>
      <c r="N311" s="268"/>
      <c r="O311" s="268"/>
      <c r="P311" s="268"/>
      <c r="Q311" s="309"/>
      <c r="R311" s="268"/>
      <c r="S311" s="268"/>
      <c r="T311" s="268"/>
      <c r="U311" s="230"/>
      <c r="V311" s="256"/>
      <c r="W311" s="257"/>
      <c r="X311" s="230"/>
      <c r="Y311" s="230"/>
      <c r="Z311" s="230"/>
    </row>
    <row r="312" spans="1:26" ht="24.75" customHeight="1">
      <c r="A312" s="268"/>
      <c r="B312" s="268"/>
      <c r="C312" s="268"/>
      <c r="D312" s="268"/>
      <c r="E312" s="268"/>
      <c r="F312" s="268"/>
      <c r="G312" s="268"/>
      <c r="H312" s="268"/>
      <c r="I312" s="268"/>
      <c r="J312" s="268"/>
      <c r="K312" s="268"/>
      <c r="L312" s="309"/>
      <c r="M312" s="268"/>
      <c r="N312" s="268"/>
      <c r="O312" s="268"/>
      <c r="P312" s="268"/>
      <c r="Q312" s="309"/>
      <c r="R312" s="268"/>
      <c r="S312" s="313"/>
      <c r="T312" s="313"/>
      <c r="U312" s="268"/>
      <c r="V312" s="309"/>
      <c r="W312" s="310"/>
      <c r="X312" s="268"/>
      <c r="Y312" s="268"/>
      <c r="Z312" s="268"/>
    </row>
    <row r="313" spans="1:26" ht="24.75" customHeight="1">
      <c r="A313" s="268"/>
      <c r="B313" s="268"/>
      <c r="C313" s="268"/>
      <c r="D313" s="268"/>
      <c r="E313" s="268"/>
      <c r="F313" s="268"/>
      <c r="G313" s="268"/>
      <c r="H313" s="268"/>
      <c r="I313" s="268"/>
      <c r="J313" s="268"/>
      <c r="K313" s="268"/>
      <c r="L313" s="309"/>
      <c r="M313" s="268"/>
      <c r="N313" s="268"/>
      <c r="O313" s="268"/>
      <c r="P313" s="268"/>
      <c r="Q313" s="309"/>
      <c r="R313" s="268"/>
      <c r="S313" s="313"/>
      <c r="T313" s="313"/>
      <c r="U313" s="268"/>
      <c r="V313" s="309"/>
      <c r="W313" s="310"/>
      <c r="X313" s="268"/>
      <c r="Y313" s="268"/>
      <c r="Z313" s="268"/>
    </row>
    <row r="314" spans="1:26" ht="24.75" customHeight="1">
      <c r="A314" s="268"/>
      <c r="B314" s="268"/>
      <c r="C314" s="268"/>
      <c r="D314" s="268"/>
      <c r="E314" s="268"/>
      <c r="F314" s="268"/>
      <c r="G314" s="268"/>
      <c r="H314" s="268"/>
      <c r="I314" s="268"/>
      <c r="J314" s="268"/>
      <c r="K314" s="268"/>
      <c r="L314" s="309"/>
      <c r="M314" s="268"/>
      <c r="N314" s="268"/>
      <c r="O314" s="268"/>
      <c r="P314" s="268"/>
      <c r="Q314" s="309"/>
      <c r="R314" s="268"/>
      <c r="S314" s="268"/>
      <c r="T314" s="268"/>
      <c r="U314" s="268"/>
      <c r="V314" s="309"/>
      <c r="W314" s="310"/>
      <c r="X314" s="268"/>
      <c r="Y314" s="268"/>
      <c r="Z314" s="268"/>
    </row>
    <row r="315" spans="1:26" ht="24.75" customHeight="1">
      <c r="A315" s="268"/>
      <c r="B315" s="268"/>
      <c r="C315" s="268"/>
      <c r="D315" s="268"/>
      <c r="E315" s="268"/>
      <c r="F315" s="268"/>
      <c r="G315" s="268"/>
      <c r="H315" s="268"/>
      <c r="I315" s="268"/>
      <c r="J315" s="268"/>
      <c r="K315" s="268"/>
      <c r="L315" s="309"/>
      <c r="M315" s="268"/>
      <c r="N315" s="268"/>
      <c r="O315" s="268"/>
      <c r="P315" s="268"/>
      <c r="Q315" s="309"/>
      <c r="R315" s="268"/>
      <c r="S315" s="313"/>
      <c r="T315" s="313"/>
      <c r="U315" s="268"/>
      <c r="V315" s="309"/>
      <c r="W315" s="310"/>
      <c r="X315" s="268"/>
      <c r="Y315" s="268"/>
      <c r="Z315" s="268"/>
    </row>
    <row r="316" spans="1:26" ht="24.75" customHeight="1">
      <c r="A316" s="268"/>
      <c r="B316" s="268"/>
      <c r="C316" s="268"/>
      <c r="D316" s="268"/>
      <c r="E316" s="268"/>
      <c r="F316" s="268"/>
      <c r="G316" s="268"/>
      <c r="H316" s="268"/>
      <c r="I316" s="268"/>
      <c r="J316" s="268"/>
      <c r="K316" s="268"/>
      <c r="L316" s="309"/>
      <c r="M316" s="268"/>
      <c r="N316" s="268"/>
      <c r="O316" s="268"/>
      <c r="P316" s="268"/>
      <c r="Q316" s="309"/>
      <c r="R316" s="268"/>
      <c r="S316" s="313"/>
      <c r="T316" s="313"/>
      <c r="U316" s="268"/>
      <c r="V316" s="309"/>
      <c r="W316" s="310"/>
      <c r="X316" s="268"/>
      <c r="Y316" s="268"/>
      <c r="Z316" s="268"/>
    </row>
    <row r="317" spans="1:26" ht="24.75" customHeight="1">
      <c r="A317" s="268"/>
      <c r="B317" s="268"/>
      <c r="C317" s="268"/>
      <c r="D317" s="268"/>
      <c r="E317" s="268"/>
      <c r="F317" s="268"/>
      <c r="G317" s="268"/>
      <c r="H317" s="268"/>
      <c r="I317" s="268"/>
      <c r="J317" s="268"/>
      <c r="K317" s="268"/>
      <c r="L317" s="309"/>
      <c r="M317" s="268"/>
      <c r="N317" s="268"/>
      <c r="O317" s="268"/>
      <c r="P317" s="268"/>
      <c r="Q317" s="309"/>
      <c r="R317" s="268"/>
      <c r="S317" s="313"/>
      <c r="T317" s="313"/>
      <c r="U317" s="268"/>
      <c r="V317" s="309"/>
      <c r="W317" s="310"/>
      <c r="X317" s="268"/>
      <c r="Y317" s="268"/>
      <c r="Z317" s="268"/>
    </row>
    <row r="318" spans="1:26" ht="24.75" customHeight="1">
      <c r="A318" s="268"/>
      <c r="B318" s="268"/>
      <c r="C318" s="268"/>
      <c r="D318" s="268"/>
      <c r="E318" s="268"/>
      <c r="F318" s="268"/>
      <c r="G318" s="268"/>
      <c r="H318" s="268"/>
      <c r="I318" s="268"/>
      <c r="J318" s="268"/>
      <c r="K318" s="268"/>
      <c r="L318" s="309"/>
      <c r="M318" s="268"/>
      <c r="N318" s="268"/>
      <c r="O318" s="268"/>
      <c r="P318" s="268"/>
      <c r="Q318" s="309"/>
      <c r="R318" s="268"/>
      <c r="S318" s="313"/>
      <c r="T318" s="313"/>
      <c r="U318" s="268"/>
      <c r="V318" s="309"/>
      <c r="W318" s="310"/>
      <c r="X318" s="268"/>
      <c r="Y318" s="268"/>
      <c r="Z318" s="268"/>
    </row>
    <row r="319" spans="1:26" ht="24.75" customHeight="1">
      <c r="A319" s="268"/>
      <c r="B319" s="268"/>
      <c r="C319" s="268"/>
      <c r="D319" s="268"/>
      <c r="E319" s="268"/>
      <c r="F319" s="268"/>
      <c r="G319" s="268"/>
      <c r="H319" s="268"/>
      <c r="I319" s="268"/>
      <c r="J319" s="268"/>
      <c r="K319" s="268"/>
      <c r="L319" s="309"/>
      <c r="M319" s="268"/>
      <c r="N319" s="268"/>
      <c r="O319" s="268"/>
      <c r="P319" s="268"/>
      <c r="Q319" s="309"/>
      <c r="R319" s="268"/>
      <c r="S319" s="313"/>
      <c r="T319" s="313"/>
      <c r="U319" s="268"/>
      <c r="V319" s="309"/>
      <c r="W319" s="310"/>
      <c r="X319" s="268"/>
      <c r="Y319" s="268"/>
      <c r="Z319" s="268"/>
    </row>
    <row r="320" spans="1:26" ht="24.75" customHeight="1">
      <c r="A320" s="268"/>
      <c r="B320" s="268"/>
      <c r="C320" s="268"/>
      <c r="D320" s="268"/>
      <c r="E320" s="268"/>
      <c r="F320" s="268"/>
      <c r="G320" s="268"/>
      <c r="H320" s="268"/>
      <c r="I320" s="268"/>
      <c r="J320" s="268"/>
      <c r="K320" s="268"/>
      <c r="L320" s="309"/>
      <c r="M320" s="268"/>
      <c r="N320" s="268"/>
      <c r="O320" s="268"/>
      <c r="P320" s="268"/>
      <c r="Q320" s="309"/>
      <c r="R320" s="268"/>
      <c r="S320" s="313"/>
      <c r="T320" s="313"/>
      <c r="U320" s="268"/>
      <c r="V320" s="309"/>
      <c r="W320" s="310"/>
      <c r="X320" s="268"/>
      <c r="Y320" s="268"/>
      <c r="Z320" s="268"/>
    </row>
    <row r="321" spans="1:26" ht="24.75" customHeight="1">
      <c r="A321" s="268"/>
      <c r="B321" s="268"/>
      <c r="C321" s="268"/>
      <c r="D321" s="268"/>
      <c r="E321" s="268"/>
      <c r="F321" s="268"/>
      <c r="G321" s="268"/>
      <c r="H321" s="268"/>
      <c r="I321" s="268"/>
      <c r="J321" s="268"/>
      <c r="K321" s="268"/>
      <c r="L321" s="309"/>
      <c r="M321" s="268"/>
      <c r="N321" s="268"/>
      <c r="O321" s="268"/>
      <c r="P321" s="268"/>
      <c r="Q321" s="309"/>
      <c r="R321" s="268"/>
      <c r="S321" s="313"/>
      <c r="T321" s="313"/>
      <c r="U321" s="268"/>
      <c r="V321" s="309"/>
      <c r="W321" s="310"/>
      <c r="X321" s="268"/>
      <c r="Y321" s="268"/>
      <c r="Z321" s="268"/>
    </row>
    <row r="322" spans="1:26" ht="24.75" customHeight="1">
      <c r="A322" s="268"/>
      <c r="B322" s="268"/>
      <c r="C322" s="268"/>
      <c r="D322" s="268"/>
      <c r="E322" s="268"/>
      <c r="F322" s="268"/>
      <c r="G322" s="268"/>
      <c r="H322" s="268"/>
      <c r="I322" s="268"/>
      <c r="J322" s="268"/>
      <c r="K322" s="268"/>
      <c r="L322" s="309"/>
      <c r="M322" s="268"/>
      <c r="N322" s="268"/>
      <c r="O322" s="268"/>
      <c r="P322" s="268"/>
      <c r="Q322" s="309"/>
      <c r="R322" s="268"/>
      <c r="S322" s="313"/>
      <c r="T322" s="313"/>
      <c r="U322" s="268"/>
      <c r="V322" s="309"/>
      <c r="W322" s="310"/>
      <c r="X322" s="268"/>
      <c r="Y322" s="268"/>
      <c r="Z322" s="268"/>
    </row>
    <row r="323" spans="1:26" ht="24.75" customHeight="1">
      <c r="A323" s="268"/>
      <c r="B323" s="268"/>
      <c r="C323" s="268"/>
      <c r="D323" s="268"/>
      <c r="E323" s="268"/>
      <c r="F323" s="268"/>
      <c r="G323" s="268"/>
      <c r="H323" s="268"/>
      <c r="I323" s="268"/>
      <c r="J323" s="268"/>
      <c r="K323" s="268"/>
      <c r="L323" s="309"/>
      <c r="M323" s="268"/>
      <c r="N323" s="268"/>
      <c r="O323" s="268"/>
      <c r="P323" s="268"/>
      <c r="Q323" s="309"/>
      <c r="R323" s="268"/>
      <c r="S323" s="313"/>
      <c r="T323" s="313"/>
      <c r="U323" s="268"/>
      <c r="V323" s="309"/>
      <c r="W323" s="310"/>
      <c r="X323" s="268"/>
      <c r="Y323" s="268"/>
      <c r="Z323" s="268"/>
    </row>
    <row r="324" spans="1:26" ht="24.75" customHeight="1">
      <c r="A324" s="268"/>
      <c r="B324" s="268"/>
      <c r="C324" s="268"/>
      <c r="D324" s="268"/>
      <c r="E324" s="268"/>
      <c r="F324" s="268"/>
      <c r="G324" s="268"/>
      <c r="H324" s="268"/>
      <c r="I324" s="268"/>
      <c r="J324" s="268"/>
      <c r="K324" s="268"/>
      <c r="L324" s="309"/>
      <c r="M324" s="268"/>
      <c r="N324" s="268"/>
      <c r="O324" s="268"/>
      <c r="P324" s="268"/>
      <c r="Q324" s="309"/>
      <c r="R324" s="268"/>
      <c r="S324" s="313"/>
      <c r="T324" s="313"/>
      <c r="U324" s="268"/>
      <c r="V324" s="309"/>
      <c r="W324" s="310"/>
      <c r="X324" s="268"/>
      <c r="Y324" s="268"/>
      <c r="Z324" s="268"/>
    </row>
    <row r="325" spans="1:26" ht="24.75" customHeight="1">
      <c r="A325" s="268"/>
      <c r="B325" s="268"/>
      <c r="C325" s="268"/>
      <c r="D325" s="268"/>
      <c r="E325" s="268"/>
      <c r="F325" s="268"/>
      <c r="G325" s="268"/>
      <c r="H325" s="268"/>
      <c r="I325" s="268"/>
      <c r="J325" s="268"/>
      <c r="K325" s="268"/>
      <c r="L325" s="309"/>
      <c r="M325" s="268"/>
      <c r="N325" s="268"/>
      <c r="O325" s="268"/>
      <c r="P325" s="268"/>
      <c r="Q325" s="309"/>
      <c r="R325" s="268"/>
      <c r="S325" s="313"/>
      <c r="T325" s="313"/>
      <c r="U325" s="268"/>
      <c r="V325" s="309"/>
      <c r="W325" s="310"/>
      <c r="X325" s="268"/>
      <c r="Y325" s="268"/>
      <c r="Z325" s="268"/>
    </row>
    <row r="326" spans="1:26" ht="24.75" customHeight="1">
      <c r="A326" s="268"/>
      <c r="B326" s="268"/>
      <c r="C326" s="268"/>
      <c r="D326" s="268"/>
      <c r="E326" s="268"/>
      <c r="F326" s="268"/>
      <c r="G326" s="268"/>
      <c r="H326" s="268"/>
      <c r="I326" s="268"/>
      <c r="J326" s="268"/>
      <c r="K326" s="268"/>
      <c r="L326" s="309"/>
      <c r="M326" s="268"/>
      <c r="N326" s="268"/>
      <c r="O326" s="310"/>
      <c r="P326" s="268"/>
      <c r="Q326" s="309"/>
      <c r="R326" s="268"/>
      <c r="S326" s="313"/>
      <c r="T326" s="313"/>
      <c r="U326" s="268"/>
      <c r="V326" s="309"/>
      <c r="W326" s="310"/>
      <c r="X326" s="268"/>
      <c r="Y326" s="268"/>
      <c r="Z326" s="268"/>
    </row>
    <row r="327" spans="1:26" ht="24.75" customHeight="1">
      <c r="A327" s="268"/>
      <c r="B327" s="268"/>
      <c r="C327" s="268"/>
      <c r="D327" s="268"/>
      <c r="E327" s="268"/>
      <c r="F327" s="268"/>
      <c r="G327" s="268"/>
      <c r="H327" s="268"/>
      <c r="I327" s="268"/>
      <c r="J327" s="268"/>
      <c r="K327" s="268"/>
      <c r="L327" s="309"/>
      <c r="M327" s="268"/>
      <c r="N327" s="268"/>
      <c r="O327" s="310"/>
      <c r="P327" s="268"/>
      <c r="Q327" s="309"/>
      <c r="R327" s="268"/>
      <c r="S327" s="313"/>
      <c r="T327" s="313"/>
      <c r="U327" s="268"/>
      <c r="V327" s="309"/>
      <c r="W327" s="310"/>
      <c r="X327" s="268"/>
      <c r="Y327" s="268"/>
      <c r="Z327" s="268"/>
    </row>
    <row r="328" spans="1:26" ht="24.75" customHeight="1">
      <c r="A328" s="268"/>
      <c r="B328" s="268"/>
      <c r="C328" s="268"/>
      <c r="D328" s="268"/>
      <c r="E328" s="268"/>
      <c r="F328" s="268"/>
      <c r="G328" s="268"/>
      <c r="H328" s="268"/>
      <c r="I328" s="268"/>
      <c r="J328" s="268"/>
      <c r="K328" s="268"/>
      <c r="L328" s="309"/>
      <c r="M328" s="268"/>
      <c r="N328" s="268"/>
      <c r="O328" s="310"/>
      <c r="P328" s="268"/>
      <c r="Q328" s="309"/>
      <c r="R328" s="268"/>
      <c r="S328" s="313"/>
      <c r="T328" s="313"/>
      <c r="U328" s="268"/>
      <c r="V328" s="309"/>
      <c r="W328" s="310"/>
      <c r="X328" s="268"/>
      <c r="Y328" s="268"/>
      <c r="Z328" s="268"/>
    </row>
    <row r="329" spans="1:26" ht="24.75" customHeight="1">
      <c r="A329" s="268"/>
      <c r="B329" s="268"/>
      <c r="C329" s="268"/>
      <c r="D329" s="268"/>
      <c r="E329" s="268"/>
      <c r="F329" s="268"/>
      <c r="G329" s="268"/>
      <c r="H329" s="268"/>
      <c r="I329" s="268"/>
      <c r="J329" s="268"/>
      <c r="K329" s="268"/>
      <c r="L329" s="309"/>
      <c r="M329" s="268"/>
      <c r="N329" s="268"/>
      <c r="O329" s="268"/>
      <c r="P329" s="268"/>
      <c r="Q329" s="309"/>
      <c r="R329" s="268"/>
      <c r="S329" s="268"/>
      <c r="T329" s="268"/>
      <c r="U329" s="248"/>
      <c r="V329" s="253"/>
      <c r="W329" s="254"/>
      <c r="X329" s="248"/>
      <c r="Y329" s="248"/>
      <c r="Z329" s="248"/>
    </row>
    <row r="330" spans="1:26" ht="24.75" customHeight="1">
      <c r="A330" s="268"/>
      <c r="B330" s="268"/>
      <c r="C330" s="268"/>
      <c r="D330" s="268"/>
      <c r="E330" s="268"/>
      <c r="F330" s="268"/>
      <c r="G330" s="268"/>
      <c r="H330" s="268"/>
      <c r="I330" s="268"/>
      <c r="J330" s="268"/>
      <c r="K330" s="268"/>
      <c r="L330" s="309"/>
      <c r="M330" s="268"/>
      <c r="N330" s="268"/>
      <c r="O330" s="310"/>
      <c r="P330" s="268"/>
      <c r="Q330" s="309"/>
      <c r="R330" s="268"/>
      <c r="S330" s="268"/>
      <c r="T330" s="268"/>
      <c r="U330" s="230"/>
      <c r="V330" s="256"/>
      <c r="W330" s="257"/>
      <c r="X330" s="230"/>
      <c r="Y330" s="230"/>
      <c r="Z330" s="230"/>
    </row>
    <row r="331" spans="1:26" ht="24.75" customHeight="1">
      <c r="A331" s="268"/>
      <c r="B331" s="268"/>
      <c r="C331" s="268"/>
      <c r="D331" s="268"/>
      <c r="E331" s="268"/>
      <c r="F331" s="268"/>
      <c r="G331" s="268"/>
      <c r="H331" s="268"/>
      <c r="I331" s="268"/>
      <c r="J331" s="268"/>
      <c r="K331" s="268"/>
      <c r="L331" s="309"/>
      <c r="M331" s="268"/>
      <c r="N331" s="268"/>
      <c r="O331" s="268"/>
      <c r="P331" s="268"/>
      <c r="Q331" s="309"/>
      <c r="R331" s="268"/>
      <c r="S331" s="313"/>
      <c r="T331" s="313"/>
      <c r="U331" s="268"/>
      <c r="V331" s="309"/>
      <c r="W331" s="310"/>
      <c r="X331" s="268"/>
      <c r="Y331" s="268"/>
      <c r="Z331" s="268"/>
    </row>
    <row r="332" spans="1:26" ht="24.75" customHeight="1">
      <c r="A332" s="268"/>
      <c r="B332" s="268"/>
      <c r="C332" s="268"/>
      <c r="D332" s="268"/>
      <c r="E332" s="268"/>
      <c r="F332" s="268"/>
      <c r="G332" s="268"/>
      <c r="H332" s="268"/>
      <c r="I332" s="268"/>
      <c r="J332" s="268"/>
      <c r="K332" s="268"/>
      <c r="L332" s="309"/>
      <c r="M332" s="268"/>
      <c r="N332" s="268"/>
      <c r="O332" s="268"/>
      <c r="P332" s="268"/>
      <c r="Q332" s="309"/>
      <c r="R332" s="268"/>
      <c r="S332" s="268"/>
      <c r="T332" s="268"/>
      <c r="U332" s="248"/>
      <c r="V332" s="253"/>
      <c r="W332" s="254"/>
      <c r="X332" s="248"/>
      <c r="Y332" s="248"/>
      <c r="Z332" s="248"/>
    </row>
    <row r="333" spans="1:26" ht="24.75" customHeight="1">
      <c r="A333" s="268"/>
      <c r="B333" s="268"/>
      <c r="C333" s="268"/>
      <c r="D333" s="268"/>
      <c r="E333" s="268"/>
      <c r="F333" s="268"/>
      <c r="G333" s="268"/>
      <c r="H333" s="268"/>
      <c r="I333" s="268"/>
      <c r="J333" s="268"/>
      <c r="K333" s="268"/>
      <c r="L333" s="309"/>
      <c r="M333" s="268"/>
      <c r="N333" s="268"/>
      <c r="O333" s="268"/>
      <c r="P333" s="268"/>
      <c r="Q333" s="309"/>
      <c r="R333" s="268"/>
      <c r="S333" s="313"/>
      <c r="T333" s="313"/>
      <c r="U333" s="268"/>
      <c r="V333" s="309"/>
      <c r="W333" s="310"/>
      <c r="X333" s="268"/>
      <c r="Y333" s="268"/>
      <c r="Z333" s="268"/>
    </row>
    <row r="334" spans="1:26" ht="24.75" customHeight="1">
      <c r="A334" s="268"/>
      <c r="B334" s="268"/>
      <c r="C334" s="268"/>
      <c r="D334" s="268"/>
      <c r="E334" s="268"/>
      <c r="F334" s="268"/>
      <c r="G334" s="268"/>
      <c r="H334" s="268"/>
      <c r="I334" s="268"/>
      <c r="J334" s="268"/>
      <c r="K334" s="268"/>
      <c r="L334" s="309"/>
      <c r="M334" s="268"/>
      <c r="N334" s="268"/>
      <c r="O334" s="310"/>
      <c r="P334" s="268"/>
      <c r="Q334" s="309"/>
      <c r="R334" s="268"/>
      <c r="S334" s="268"/>
      <c r="T334" s="268"/>
      <c r="U334" s="248"/>
      <c r="V334" s="253"/>
      <c r="W334" s="254"/>
      <c r="X334" s="248"/>
      <c r="Y334" s="248"/>
      <c r="Z334" s="248"/>
    </row>
    <row r="335" spans="1:26" ht="24.75" customHeight="1">
      <c r="A335" s="268"/>
      <c r="B335" s="268"/>
      <c r="C335" s="268"/>
      <c r="D335" s="268"/>
      <c r="E335" s="268"/>
      <c r="F335" s="268"/>
      <c r="G335" s="268"/>
      <c r="H335" s="268"/>
      <c r="I335" s="268"/>
      <c r="J335" s="268"/>
      <c r="K335" s="268"/>
      <c r="L335" s="309"/>
      <c r="M335" s="268"/>
      <c r="N335" s="268"/>
      <c r="O335" s="310"/>
      <c r="P335" s="268"/>
      <c r="Q335" s="309"/>
      <c r="R335" s="268"/>
      <c r="S335" s="268"/>
      <c r="T335" s="268"/>
      <c r="U335" s="230"/>
      <c r="V335" s="256"/>
      <c r="W335" s="257"/>
      <c r="X335" s="230"/>
      <c r="Y335" s="230"/>
      <c r="Z335" s="230"/>
    </row>
    <row r="336" spans="1:26" ht="24.75" customHeight="1">
      <c r="A336" s="268"/>
      <c r="B336" s="268"/>
      <c r="C336" s="268"/>
      <c r="D336" s="268"/>
      <c r="E336" s="268"/>
      <c r="F336" s="268"/>
      <c r="G336" s="268"/>
      <c r="H336" s="268"/>
      <c r="I336" s="268"/>
      <c r="J336" s="268"/>
      <c r="K336" s="268"/>
      <c r="L336" s="309"/>
      <c r="M336" s="268"/>
      <c r="N336" s="268"/>
      <c r="O336" s="310"/>
      <c r="P336" s="268"/>
      <c r="Q336" s="309"/>
      <c r="R336" s="268"/>
      <c r="S336" s="313"/>
      <c r="T336" s="313"/>
      <c r="U336" s="268"/>
      <c r="V336" s="309"/>
      <c r="W336" s="310"/>
      <c r="X336" s="268"/>
      <c r="Y336" s="268"/>
      <c r="Z336" s="268"/>
    </row>
    <row r="337" spans="1:26" ht="24.75" customHeight="1">
      <c r="A337" s="268"/>
      <c r="B337" s="268"/>
      <c r="C337" s="268"/>
      <c r="D337" s="268"/>
      <c r="E337" s="268"/>
      <c r="F337" s="268"/>
      <c r="G337" s="268"/>
      <c r="H337" s="268"/>
      <c r="I337" s="268"/>
      <c r="J337" s="268"/>
      <c r="K337" s="268"/>
      <c r="L337" s="309"/>
      <c r="M337" s="268"/>
      <c r="N337" s="268"/>
      <c r="O337" s="310"/>
      <c r="P337" s="268"/>
      <c r="Q337" s="309"/>
      <c r="R337" s="268"/>
      <c r="S337" s="268"/>
      <c r="T337" s="268"/>
      <c r="U337" s="230"/>
      <c r="V337" s="256"/>
      <c r="W337" s="257"/>
      <c r="X337" s="230"/>
      <c r="Y337" s="230"/>
      <c r="Z337" s="230"/>
    </row>
    <row r="338" spans="1:26" ht="24.75" customHeight="1">
      <c r="A338" s="268"/>
      <c r="B338" s="268"/>
      <c r="C338" s="268"/>
      <c r="D338" s="268"/>
      <c r="E338" s="268"/>
      <c r="F338" s="268"/>
      <c r="G338" s="268"/>
      <c r="H338" s="268"/>
      <c r="I338" s="268"/>
      <c r="J338" s="268"/>
      <c r="K338" s="268"/>
      <c r="L338" s="309"/>
      <c r="M338" s="268"/>
      <c r="N338" s="268"/>
      <c r="O338" s="310"/>
      <c r="P338" s="268"/>
      <c r="Q338" s="309"/>
      <c r="R338" s="268"/>
      <c r="S338" s="268"/>
      <c r="T338" s="268"/>
      <c r="U338" s="230"/>
      <c r="V338" s="256"/>
      <c r="W338" s="257"/>
      <c r="X338" s="230"/>
      <c r="Y338" s="230"/>
      <c r="Z338" s="230"/>
    </row>
    <row r="339" spans="1:26" ht="24.75" customHeight="1">
      <c r="A339" s="268"/>
      <c r="B339" s="268"/>
      <c r="C339" s="268"/>
      <c r="D339" s="268"/>
      <c r="E339" s="268"/>
      <c r="F339" s="268"/>
      <c r="G339" s="268"/>
      <c r="H339" s="268"/>
      <c r="I339" s="268"/>
      <c r="J339" s="268"/>
      <c r="K339" s="268"/>
      <c r="L339" s="309"/>
      <c r="M339" s="268"/>
      <c r="N339" s="268"/>
      <c r="O339" s="310"/>
      <c r="P339" s="268"/>
      <c r="Q339" s="309"/>
      <c r="R339" s="268"/>
      <c r="S339" s="313"/>
      <c r="T339" s="313"/>
      <c r="U339" s="268"/>
      <c r="V339" s="309"/>
      <c r="W339" s="310"/>
      <c r="X339" s="268"/>
      <c r="Y339" s="268"/>
      <c r="Z339" s="268"/>
    </row>
    <row r="340" spans="1:26" ht="24.75" customHeight="1">
      <c r="A340" s="268"/>
      <c r="B340" s="268"/>
      <c r="C340" s="268"/>
      <c r="D340" s="268"/>
      <c r="E340" s="268"/>
      <c r="F340" s="268"/>
      <c r="G340" s="268"/>
      <c r="H340" s="268"/>
      <c r="I340" s="268"/>
      <c r="J340" s="268"/>
      <c r="K340" s="268"/>
      <c r="L340" s="309"/>
      <c r="M340" s="268"/>
      <c r="N340" s="268"/>
      <c r="O340" s="310"/>
      <c r="P340" s="268"/>
      <c r="Q340" s="309"/>
      <c r="R340" s="268"/>
      <c r="S340" s="313"/>
      <c r="T340" s="313"/>
      <c r="U340" s="268"/>
      <c r="V340" s="309"/>
      <c r="W340" s="310"/>
      <c r="X340" s="268"/>
      <c r="Y340" s="268"/>
      <c r="Z340" s="268"/>
    </row>
    <row r="341" spans="1:26" ht="24.75" customHeight="1">
      <c r="A341" s="268"/>
      <c r="B341" s="268"/>
      <c r="C341" s="268"/>
      <c r="D341" s="268"/>
      <c r="E341" s="268"/>
      <c r="F341" s="268"/>
      <c r="G341" s="268"/>
      <c r="H341" s="268"/>
      <c r="I341" s="268"/>
      <c r="J341" s="268"/>
      <c r="K341" s="268"/>
      <c r="L341" s="309"/>
      <c r="M341" s="268"/>
      <c r="N341" s="268"/>
      <c r="O341" s="310"/>
      <c r="P341" s="268"/>
      <c r="Q341" s="309"/>
      <c r="R341" s="268"/>
      <c r="S341" s="268"/>
      <c r="T341" s="268"/>
      <c r="U341" s="248"/>
      <c r="V341" s="253"/>
      <c r="W341" s="254"/>
      <c r="X341" s="248"/>
      <c r="Y341" s="248"/>
      <c r="Z341" s="248"/>
    </row>
    <row r="342" spans="1:26" ht="24.75" customHeight="1">
      <c r="A342" s="268"/>
      <c r="B342" s="268"/>
      <c r="C342" s="268"/>
      <c r="D342" s="268"/>
      <c r="E342" s="268"/>
      <c r="F342" s="268"/>
      <c r="G342" s="268"/>
      <c r="H342" s="268"/>
      <c r="I342" s="268"/>
      <c r="J342" s="268"/>
      <c r="K342" s="268"/>
      <c r="L342" s="309"/>
      <c r="M342" s="268"/>
      <c r="N342" s="268"/>
      <c r="O342" s="310"/>
      <c r="P342" s="268"/>
      <c r="Q342" s="309"/>
      <c r="R342" s="268"/>
      <c r="S342" s="313"/>
      <c r="T342" s="313"/>
      <c r="U342" s="268"/>
      <c r="V342" s="309"/>
      <c r="W342" s="310"/>
      <c r="X342" s="268"/>
      <c r="Y342" s="268"/>
      <c r="Z342" s="268"/>
    </row>
    <row r="343" spans="1:26" ht="24.75" customHeight="1">
      <c r="A343" s="268"/>
      <c r="B343" s="268"/>
      <c r="C343" s="268"/>
      <c r="D343" s="268"/>
      <c r="E343" s="268"/>
      <c r="F343" s="268"/>
      <c r="G343" s="268"/>
      <c r="H343" s="268"/>
      <c r="I343" s="268"/>
      <c r="J343" s="268"/>
      <c r="K343" s="268"/>
      <c r="L343" s="309"/>
      <c r="M343" s="268"/>
      <c r="N343" s="268"/>
      <c r="O343" s="310"/>
      <c r="P343" s="268"/>
      <c r="Q343" s="309"/>
      <c r="R343" s="268"/>
      <c r="S343" s="268"/>
      <c r="T343" s="268"/>
      <c r="U343" s="230"/>
      <c r="V343" s="256"/>
      <c r="W343" s="257"/>
      <c r="X343" s="230"/>
      <c r="Y343" s="230"/>
      <c r="Z343" s="230"/>
    </row>
    <row r="344" spans="1:26" ht="24.75" customHeight="1">
      <c r="A344" s="268"/>
      <c r="B344" s="268"/>
      <c r="C344" s="268"/>
      <c r="D344" s="268"/>
      <c r="E344" s="268"/>
      <c r="F344" s="268"/>
      <c r="G344" s="268"/>
      <c r="H344" s="268"/>
      <c r="I344" s="268"/>
      <c r="J344" s="268"/>
      <c r="K344" s="268"/>
      <c r="L344" s="309"/>
      <c r="M344" s="268"/>
      <c r="N344" s="268"/>
      <c r="O344" s="310"/>
      <c r="P344" s="268"/>
      <c r="Q344" s="309"/>
      <c r="R344" s="268"/>
      <c r="S344" s="313"/>
      <c r="T344" s="313"/>
      <c r="U344" s="268"/>
      <c r="V344" s="309"/>
      <c r="W344" s="310"/>
      <c r="X344" s="268"/>
      <c r="Y344" s="268"/>
      <c r="Z344" s="268"/>
    </row>
    <row r="345" spans="1:26" ht="24.75" customHeight="1">
      <c r="A345" s="268"/>
      <c r="B345" s="268"/>
      <c r="C345" s="268"/>
      <c r="D345" s="268"/>
      <c r="E345" s="268"/>
      <c r="F345" s="268"/>
      <c r="G345" s="268"/>
      <c r="H345" s="268"/>
      <c r="I345" s="268"/>
      <c r="J345" s="268"/>
      <c r="K345" s="268"/>
      <c r="L345" s="309"/>
      <c r="M345" s="268"/>
      <c r="N345" s="268"/>
      <c r="O345" s="310"/>
      <c r="P345" s="268"/>
      <c r="Q345" s="309"/>
      <c r="R345" s="268"/>
      <c r="S345" s="268"/>
      <c r="T345" s="268"/>
      <c r="U345" s="268"/>
      <c r="V345" s="309"/>
      <c r="W345" s="310"/>
      <c r="X345" s="268"/>
      <c r="Y345" s="268"/>
      <c r="Z345" s="268"/>
    </row>
    <row r="346" spans="1:26" ht="24.75" customHeight="1">
      <c r="A346" s="268"/>
      <c r="B346" s="268"/>
      <c r="C346" s="268"/>
      <c r="D346" s="268"/>
      <c r="E346" s="268"/>
      <c r="F346" s="268"/>
      <c r="G346" s="268"/>
      <c r="H346" s="268"/>
      <c r="I346" s="268"/>
      <c r="J346" s="268"/>
      <c r="K346" s="268"/>
      <c r="L346" s="309"/>
      <c r="M346" s="268"/>
      <c r="N346" s="268"/>
      <c r="O346" s="310"/>
      <c r="P346" s="268"/>
      <c r="Q346" s="309"/>
      <c r="R346" s="268"/>
      <c r="S346" s="313"/>
      <c r="T346" s="313"/>
      <c r="U346" s="268"/>
      <c r="V346" s="309"/>
      <c r="W346" s="310"/>
      <c r="X346" s="268"/>
      <c r="Y346" s="268"/>
      <c r="Z346" s="268"/>
    </row>
    <row r="347" spans="1:26" ht="24.75" customHeight="1">
      <c r="A347" s="268"/>
      <c r="B347" s="268"/>
      <c r="C347" s="268"/>
      <c r="D347" s="268"/>
      <c r="E347" s="268"/>
      <c r="F347" s="268"/>
      <c r="G347" s="268"/>
      <c r="H347" s="268"/>
      <c r="I347" s="268"/>
      <c r="J347" s="268"/>
      <c r="K347" s="268"/>
      <c r="L347" s="309"/>
      <c r="M347" s="268"/>
      <c r="N347" s="268"/>
      <c r="O347" s="310"/>
      <c r="P347" s="268"/>
      <c r="Q347" s="309"/>
      <c r="R347" s="268"/>
      <c r="S347" s="313"/>
      <c r="T347" s="313"/>
      <c r="U347" s="268"/>
      <c r="V347" s="309"/>
      <c r="W347" s="310"/>
      <c r="X347" s="268"/>
      <c r="Y347" s="268"/>
      <c r="Z347" s="268"/>
    </row>
    <row r="348" spans="1:26" ht="24.75" customHeight="1">
      <c r="A348" s="268"/>
      <c r="B348" s="268"/>
      <c r="C348" s="268"/>
      <c r="D348" s="268"/>
      <c r="E348" s="268"/>
      <c r="F348" s="268"/>
      <c r="G348" s="268"/>
      <c r="H348" s="268"/>
      <c r="I348" s="268"/>
      <c r="J348" s="268"/>
      <c r="K348" s="268"/>
      <c r="L348" s="309"/>
      <c r="M348" s="268"/>
      <c r="N348" s="268"/>
      <c r="O348" s="310"/>
      <c r="P348" s="268"/>
      <c r="Q348" s="309"/>
      <c r="R348" s="268"/>
      <c r="S348" s="313"/>
      <c r="T348" s="313"/>
      <c r="U348" s="268"/>
      <c r="V348" s="309"/>
      <c r="W348" s="310"/>
      <c r="X348" s="268"/>
      <c r="Y348" s="268"/>
      <c r="Z348" s="268"/>
    </row>
    <row r="349" spans="1:26" ht="24.75" customHeight="1">
      <c r="A349" s="268"/>
      <c r="B349" s="268"/>
      <c r="C349" s="268"/>
      <c r="D349" s="268"/>
      <c r="E349" s="268"/>
      <c r="F349" s="268"/>
      <c r="G349" s="268"/>
      <c r="H349" s="268"/>
      <c r="I349" s="268"/>
      <c r="J349" s="268"/>
      <c r="K349" s="268"/>
      <c r="L349" s="309"/>
      <c r="M349" s="268"/>
      <c r="N349" s="268"/>
      <c r="O349" s="310"/>
      <c r="P349" s="268"/>
      <c r="Q349" s="309"/>
      <c r="R349" s="268"/>
      <c r="S349" s="313"/>
      <c r="T349" s="313"/>
      <c r="U349" s="268"/>
      <c r="V349" s="309"/>
      <c r="W349" s="310"/>
      <c r="X349" s="268"/>
      <c r="Y349" s="268"/>
      <c r="Z349" s="268"/>
    </row>
    <row r="350" spans="1:26" ht="24.75" customHeight="1">
      <c r="A350" s="268"/>
      <c r="B350" s="268"/>
      <c r="C350" s="268"/>
      <c r="D350" s="268"/>
      <c r="E350" s="268"/>
      <c r="F350" s="268"/>
      <c r="G350" s="268"/>
      <c r="H350" s="268"/>
      <c r="I350" s="268"/>
      <c r="J350" s="268"/>
      <c r="K350" s="268"/>
      <c r="L350" s="309"/>
      <c r="M350" s="268"/>
      <c r="N350" s="268"/>
      <c r="O350" s="310"/>
      <c r="P350" s="268"/>
      <c r="Q350" s="309"/>
      <c r="R350" s="268"/>
      <c r="S350" s="313"/>
      <c r="T350" s="313"/>
      <c r="U350" s="268"/>
      <c r="V350" s="309"/>
      <c r="W350" s="310"/>
      <c r="X350" s="268"/>
      <c r="Y350" s="268"/>
      <c r="Z350" s="268"/>
    </row>
    <row r="351" spans="1:26" ht="24.75" customHeight="1">
      <c r="A351" s="268"/>
      <c r="B351" s="268"/>
      <c r="C351" s="268"/>
      <c r="D351" s="268"/>
      <c r="E351" s="268"/>
      <c r="F351" s="268"/>
      <c r="G351" s="268"/>
      <c r="H351" s="268"/>
      <c r="I351" s="268"/>
      <c r="J351" s="268"/>
      <c r="K351" s="268"/>
      <c r="L351" s="309"/>
      <c r="M351" s="268"/>
      <c r="N351" s="268"/>
      <c r="O351" s="310"/>
      <c r="P351" s="268"/>
      <c r="Q351" s="309"/>
      <c r="R351" s="268"/>
      <c r="S351" s="268"/>
      <c r="T351" s="268"/>
      <c r="U351" s="268"/>
      <c r="V351" s="309"/>
      <c r="W351" s="310"/>
      <c r="X351" s="268"/>
      <c r="Y351" s="268"/>
      <c r="Z351" s="268"/>
    </row>
    <row r="352" spans="1:26" ht="24.75" customHeight="1">
      <c r="A352" s="268"/>
      <c r="B352" s="268"/>
      <c r="C352" s="268"/>
      <c r="D352" s="268"/>
      <c r="E352" s="268"/>
      <c r="F352" s="268"/>
      <c r="G352" s="268"/>
      <c r="H352" s="268"/>
      <c r="I352" s="268"/>
      <c r="J352" s="268"/>
      <c r="K352" s="268"/>
      <c r="L352" s="309"/>
      <c r="M352" s="268"/>
      <c r="N352" s="268"/>
      <c r="O352" s="310"/>
      <c r="P352" s="268"/>
      <c r="Q352" s="309"/>
      <c r="R352" s="268"/>
      <c r="S352" s="268"/>
      <c r="T352" s="268"/>
      <c r="U352" s="230"/>
      <c r="V352" s="256"/>
      <c r="W352" s="257"/>
      <c r="X352" s="230"/>
      <c r="Y352" s="230"/>
      <c r="Z352" s="230"/>
    </row>
    <row r="353" spans="1:26" ht="24.75" customHeight="1">
      <c r="A353" s="268"/>
      <c r="B353" s="268"/>
      <c r="C353" s="268"/>
      <c r="D353" s="268"/>
      <c r="E353" s="268"/>
      <c r="F353" s="268"/>
      <c r="G353" s="268"/>
      <c r="H353" s="268"/>
      <c r="I353" s="268"/>
      <c r="J353" s="268"/>
      <c r="K353" s="268"/>
      <c r="L353" s="309"/>
      <c r="M353" s="268"/>
      <c r="N353" s="268"/>
      <c r="O353" s="310"/>
      <c r="P353" s="268"/>
      <c r="Q353" s="309"/>
      <c r="R353" s="268"/>
      <c r="S353" s="313"/>
      <c r="T353" s="313"/>
      <c r="U353" s="268"/>
      <c r="V353" s="309"/>
      <c r="W353" s="310"/>
      <c r="X353" s="268"/>
      <c r="Y353" s="268"/>
      <c r="Z353" s="268"/>
    </row>
    <row r="354" spans="1:26" ht="24.75" customHeight="1">
      <c r="A354" s="268"/>
      <c r="B354" s="268"/>
      <c r="C354" s="268"/>
      <c r="D354" s="268"/>
      <c r="E354" s="268"/>
      <c r="F354" s="268"/>
      <c r="G354" s="268"/>
      <c r="H354" s="268"/>
      <c r="I354" s="268"/>
      <c r="J354" s="268"/>
      <c r="K354" s="268"/>
      <c r="L354" s="309"/>
      <c r="M354" s="268"/>
      <c r="N354" s="268"/>
      <c r="O354" s="310"/>
      <c r="P354" s="268"/>
      <c r="Q354" s="309"/>
      <c r="R354" s="268"/>
      <c r="S354" s="313"/>
      <c r="T354" s="313"/>
      <c r="U354" s="268"/>
      <c r="V354" s="309"/>
      <c r="W354" s="310"/>
      <c r="X354" s="268"/>
      <c r="Y354" s="268"/>
      <c r="Z354" s="268"/>
    </row>
    <row r="355" spans="1:26" ht="24.75" customHeight="1">
      <c r="A355" s="268"/>
      <c r="B355" s="268"/>
      <c r="C355" s="268"/>
      <c r="D355" s="268"/>
      <c r="E355" s="268"/>
      <c r="F355" s="268"/>
      <c r="G355" s="268"/>
      <c r="H355" s="268"/>
      <c r="I355" s="268"/>
      <c r="J355" s="268"/>
      <c r="K355" s="268"/>
      <c r="L355" s="309"/>
      <c r="M355" s="268"/>
      <c r="N355" s="268"/>
      <c r="O355" s="310"/>
      <c r="P355" s="268"/>
      <c r="Q355" s="309"/>
      <c r="R355" s="268"/>
      <c r="S355" s="313"/>
      <c r="T355" s="313"/>
      <c r="U355" s="268"/>
      <c r="V355" s="309"/>
      <c r="W355" s="310"/>
      <c r="X355" s="268"/>
      <c r="Y355" s="268"/>
      <c r="Z355" s="268"/>
    </row>
    <row r="356" spans="1:26" ht="24.75" customHeight="1">
      <c r="A356" s="268"/>
      <c r="B356" s="268"/>
      <c r="C356" s="268"/>
      <c r="D356" s="268"/>
      <c r="E356" s="268"/>
      <c r="F356" s="268"/>
      <c r="G356" s="268"/>
      <c r="H356" s="268"/>
      <c r="I356" s="268"/>
      <c r="J356" s="268"/>
      <c r="K356" s="268"/>
      <c r="L356" s="309"/>
      <c r="M356" s="268"/>
      <c r="N356" s="268"/>
      <c r="O356" s="310"/>
      <c r="P356" s="268"/>
      <c r="Q356" s="309"/>
      <c r="R356" s="268"/>
      <c r="S356" s="313"/>
      <c r="T356" s="313"/>
      <c r="U356" s="268"/>
      <c r="V356" s="309"/>
      <c r="W356" s="310"/>
      <c r="X356" s="268"/>
      <c r="Y356" s="268"/>
      <c r="Z356" s="268"/>
    </row>
    <row r="357" spans="1:26" ht="24.75" customHeight="1">
      <c r="A357" s="268"/>
      <c r="B357" s="268"/>
      <c r="C357" s="268"/>
      <c r="D357" s="268"/>
      <c r="E357" s="268"/>
      <c r="F357" s="268"/>
      <c r="G357" s="268"/>
      <c r="H357" s="268"/>
      <c r="I357" s="268"/>
      <c r="J357" s="268"/>
      <c r="K357" s="268"/>
      <c r="L357" s="309"/>
      <c r="M357" s="268"/>
      <c r="N357" s="268"/>
      <c r="O357" s="310"/>
      <c r="P357" s="268"/>
      <c r="Q357" s="309"/>
      <c r="R357" s="268"/>
      <c r="S357" s="313"/>
      <c r="T357" s="313"/>
      <c r="U357" s="268"/>
      <c r="V357" s="309"/>
      <c r="W357" s="310"/>
      <c r="X357" s="268"/>
      <c r="Y357" s="268"/>
      <c r="Z357" s="268"/>
    </row>
    <row r="358" spans="1:26" ht="24.75" customHeight="1">
      <c r="A358" s="268"/>
      <c r="B358" s="268"/>
      <c r="C358" s="268"/>
      <c r="D358" s="268"/>
      <c r="E358" s="268"/>
      <c r="F358" s="268"/>
      <c r="G358" s="268"/>
      <c r="H358" s="268"/>
      <c r="I358" s="268"/>
      <c r="J358" s="268"/>
      <c r="K358" s="268"/>
      <c r="L358" s="309"/>
      <c r="M358" s="268"/>
      <c r="N358" s="268"/>
      <c r="O358" s="310"/>
      <c r="P358" s="268"/>
      <c r="Q358" s="309"/>
      <c r="R358" s="268"/>
      <c r="S358" s="313"/>
      <c r="T358" s="313"/>
      <c r="U358" s="268"/>
      <c r="V358" s="309"/>
      <c r="W358" s="310"/>
      <c r="X358" s="268"/>
      <c r="Y358" s="268"/>
      <c r="Z358" s="268"/>
    </row>
    <row r="359" spans="1:26" ht="24.75" customHeight="1">
      <c r="A359" s="268"/>
      <c r="B359" s="268"/>
      <c r="C359" s="268"/>
      <c r="D359" s="268"/>
      <c r="E359" s="268"/>
      <c r="F359" s="268"/>
      <c r="G359" s="268"/>
      <c r="H359" s="268"/>
      <c r="I359" s="268"/>
      <c r="J359" s="268"/>
      <c r="K359" s="268"/>
      <c r="L359" s="309"/>
      <c r="M359" s="268"/>
      <c r="N359" s="268"/>
      <c r="O359" s="310"/>
      <c r="P359" s="268"/>
      <c r="Q359" s="309"/>
      <c r="R359" s="268"/>
      <c r="S359" s="313"/>
      <c r="T359" s="313"/>
      <c r="U359" s="268"/>
      <c r="V359" s="309"/>
      <c r="W359" s="310"/>
      <c r="X359" s="268"/>
      <c r="Y359" s="268"/>
      <c r="Z359" s="268"/>
    </row>
    <row r="360" spans="1:26" ht="24.75" customHeight="1">
      <c r="A360" s="268"/>
      <c r="B360" s="268"/>
      <c r="C360" s="268"/>
      <c r="D360" s="268"/>
      <c r="E360" s="268"/>
      <c r="F360" s="268"/>
      <c r="G360" s="268"/>
      <c r="H360" s="268"/>
      <c r="I360" s="268"/>
      <c r="J360" s="268"/>
      <c r="K360" s="268"/>
      <c r="L360" s="309"/>
      <c r="M360" s="268"/>
      <c r="N360" s="268"/>
      <c r="O360" s="310"/>
      <c r="P360" s="268"/>
      <c r="Q360" s="309"/>
      <c r="R360" s="268"/>
      <c r="S360" s="313"/>
      <c r="T360" s="313"/>
      <c r="U360" s="268"/>
      <c r="V360" s="309"/>
      <c r="W360" s="310"/>
      <c r="X360" s="268"/>
      <c r="Y360" s="268"/>
      <c r="Z360" s="268"/>
    </row>
    <row r="361" spans="1:26" ht="24.75" customHeight="1">
      <c r="A361" s="268"/>
      <c r="B361" s="268"/>
      <c r="C361" s="268"/>
      <c r="D361" s="268"/>
      <c r="E361" s="268"/>
      <c r="F361" s="268"/>
      <c r="G361" s="268"/>
      <c r="H361" s="268"/>
      <c r="I361" s="268"/>
      <c r="J361" s="268"/>
      <c r="K361" s="268"/>
      <c r="L361" s="309"/>
      <c r="M361" s="268"/>
      <c r="N361" s="268"/>
      <c r="O361" s="310"/>
      <c r="P361" s="268"/>
      <c r="Q361" s="309"/>
      <c r="R361" s="268"/>
      <c r="S361" s="313"/>
      <c r="T361" s="313"/>
      <c r="U361" s="268"/>
      <c r="V361" s="309"/>
      <c r="W361" s="310"/>
      <c r="X361" s="268"/>
      <c r="Y361" s="268"/>
      <c r="Z361" s="268"/>
    </row>
    <row r="362" spans="1:26" ht="24.75" customHeight="1">
      <c r="A362" s="268"/>
      <c r="B362" s="268"/>
      <c r="C362" s="268"/>
      <c r="D362" s="268"/>
      <c r="E362" s="268"/>
      <c r="F362" s="268"/>
      <c r="G362" s="268"/>
      <c r="H362" s="268"/>
      <c r="I362" s="268"/>
      <c r="J362" s="268"/>
      <c r="K362" s="268"/>
      <c r="L362" s="309"/>
      <c r="M362" s="268"/>
      <c r="N362" s="268"/>
      <c r="O362" s="310"/>
      <c r="P362" s="268"/>
      <c r="Q362" s="309"/>
      <c r="R362" s="268"/>
      <c r="S362" s="313"/>
      <c r="T362" s="313"/>
      <c r="U362" s="268"/>
      <c r="V362" s="309"/>
      <c r="W362" s="310"/>
      <c r="X362" s="268"/>
      <c r="Y362" s="268"/>
      <c r="Z362" s="268"/>
    </row>
    <row r="363" spans="1:26" ht="24.75" customHeight="1">
      <c r="A363" s="268"/>
      <c r="B363" s="268"/>
      <c r="C363" s="268"/>
      <c r="D363" s="268"/>
      <c r="E363" s="268"/>
      <c r="F363" s="268"/>
      <c r="G363" s="268"/>
      <c r="H363" s="268"/>
      <c r="I363" s="268"/>
      <c r="J363" s="268"/>
      <c r="K363" s="268"/>
      <c r="L363" s="309"/>
      <c r="M363" s="268"/>
      <c r="N363" s="268"/>
      <c r="O363" s="310"/>
      <c r="P363" s="268"/>
      <c r="Q363" s="309"/>
      <c r="R363" s="268"/>
      <c r="S363" s="313"/>
      <c r="T363" s="313"/>
      <c r="U363" s="268"/>
      <c r="V363" s="309"/>
      <c r="W363" s="310"/>
      <c r="X363" s="268"/>
      <c r="Y363" s="268"/>
      <c r="Z363" s="268"/>
    </row>
    <row r="364" spans="1:26" ht="24.75" customHeight="1">
      <c r="A364" s="268"/>
      <c r="B364" s="268"/>
      <c r="C364" s="268"/>
      <c r="D364" s="268"/>
      <c r="E364" s="268"/>
      <c r="F364" s="268"/>
      <c r="G364" s="268"/>
      <c r="H364" s="268"/>
      <c r="I364" s="268"/>
      <c r="J364" s="268"/>
      <c r="K364" s="268"/>
      <c r="L364" s="309"/>
      <c r="M364" s="268"/>
      <c r="N364" s="268"/>
      <c r="O364" s="310"/>
      <c r="P364" s="268"/>
      <c r="Q364" s="309"/>
      <c r="R364" s="268"/>
      <c r="S364" s="313"/>
      <c r="T364" s="313"/>
      <c r="U364" s="268"/>
      <c r="V364" s="309"/>
      <c r="W364" s="310"/>
      <c r="X364" s="268"/>
      <c r="Y364" s="268"/>
      <c r="Z364" s="268"/>
    </row>
    <row r="365" spans="1:26" ht="24.75" customHeight="1">
      <c r="A365" s="268"/>
      <c r="B365" s="268"/>
      <c r="C365" s="268"/>
      <c r="D365" s="268"/>
      <c r="E365" s="268"/>
      <c r="F365" s="268"/>
      <c r="G365" s="268"/>
      <c r="H365" s="268"/>
      <c r="I365" s="268"/>
      <c r="J365" s="268"/>
      <c r="K365" s="268"/>
      <c r="L365" s="309"/>
      <c r="M365" s="268"/>
      <c r="N365" s="268"/>
      <c r="O365" s="310"/>
      <c r="P365" s="268"/>
      <c r="Q365" s="309"/>
      <c r="R365" s="268"/>
      <c r="S365" s="313"/>
      <c r="T365" s="313"/>
      <c r="U365" s="268"/>
      <c r="V365" s="309"/>
      <c r="W365" s="310"/>
      <c r="X365" s="268"/>
      <c r="Y365" s="268"/>
      <c r="Z365" s="268"/>
    </row>
    <row r="366" spans="1:26" ht="24.75" customHeight="1">
      <c r="A366" s="268"/>
      <c r="B366" s="268"/>
      <c r="C366" s="268"/>
      <c r="D366" s="268"/>
      <c r="E366" s="268"/>
      <c r="F366" s="268"/>
      <c r="G366" s="268"/>
      <c r="H366" s="268"/>
      <c r="I366" s="268"/>
      <c r="J366" s="268"/>
      <c r="K366" s="268"/>
      <c r="L366" s="309"/>
      <c r="M366" s="268"/>
      <c r="N366" s="268"/>
      <c r="O366" s="310"/>
      <c r="P366" s="268"/>
      <c r="Q366" s="309"/>
      <c r="R366" s="268"/>
      <c r="S366" s="313"/>
      <c r="T366" s="313"/>
      <c r="U366" s="268"/>
      <c r="V366" s="309"/>
      <c r="W366" s="310"/>
      <c r="X366" s="268"/>
      <c r="Y366" s="268"/>
      <c r="Z366" s="268"/>
    </row>
    <row r="367" spans="1:26" ht="24.75" customHeight="1">
      <c r="A367" s="268"/>
      <c r="B367" s="268"/>
      <c r="C367" s="268"/>
      <c r="D367" s="268"/>
      <c r="E367" s="268"/>
      <c r="F367" s="268"/>
      <c r="G367" s="268"/>
      <c r="H367" s="268"/>
      <c r="I367" s="268"/>
      <c r="J367" s="268"/>
      <c r="K367" s="268"/>
      <c r="L367" s="309"/>
      <c r="M367" s="268"/>
      <c r="N367" s="268"/>
      <c r="O367" s="310"/>
      <c r="P367" s="268"/>
      <c r="Q367" s="309"/>
      <c r="R367" s="268"/>
      <c r="S367" s="313"/>
      <c r="T367" s="313"/>
      <c r="U367" s="268"/>
      <c r="V367" s="309"/>
      <c r="W367" s="310"/>
      <c r="X367" s="268"/>
      <c r="Y367" s="268"/>
      <c r="Z367" s="268"/>
    </row>
    <row r="368" spans="1:26" ht="24.75" customHeight="1">
      <c r="A368" s="268"/>
      <c r="B368" s="268"/>
      <c r="C368" s="268"/>
      <c r="D368" s="268"/>
      <c r="E368" s="268"/>
      <c r="F368" s="268"/>
      <c r="G368" s="268"/>
      <c r="H368" s="268"/>
      <c r="I368" s="268"/>
      <c r="J368" s="268"/>
      <c r="K368" s="268"/>
      <c r="L368" s="309"/>
      <c r="M368" s="268"/>
      <c r="N368" s="268"/>
      <c r="O368" s="310"/>
      <c r="P368" s="268"/>
      <c r="Q368" s="309"/>
      <c r="R368" s="268"/>
      <c r="S368" s="313"/>
      <c r="T368" s="313"/>
      <c r="U368" s="268"/>
      <c r="V368" s="309"/>
      <c r="W368" s="310"/>
      <c r="X368" s="268"/>
      <c r="Y368" s="268"/>
      <c r="Z368" s="268"/>
    </row>
    <row r="369" spans="1:26" ht="24.75" customHeight="1">
      <c r="A369" s="268"/>
      <c r="B369" s="268"/>
      <c r="C369" s="268"/>
      <c r="D369" s="268"/>
      <c r="E369" s="268"/>
      <c r="F369" s="268"/>
      <c r="G369" s="268"/>
      <c r="H369" s="268"/>
      <c r="I369" s="268"/>
      <c r="J369" s="268"/>
      <c r="K369" s="268"/>
      <c r="L369" s="309"/>
      <c r="M369" s="268"/>
      <c r="N369" s="268"/>
      <c r="O369" s="310"/>
      <c r="P369" s="268"/>
      <c r="Q369" s="309"/>
      <c r="R369" s="268"/>
      <c r="S369" s="313"/>
      <c r="T369" s="313"/>
      <c r="U369" s="268"/>
      <c r="V369" s="309"/>
      <c r="W369" s="310"/>
      <c r="X369" s="268"/>
      <c r="Y369" s="268"/>
      <c r="Z369" s="268"/>
    </row>
    <row r="370" spans="1:26" ht="24.75" customHeight="1">
      <c r="A370" s="268"/>
      <c r="B370" s="268"/>
      <c r="C370" s="268"/>
      <c r="D370" s="268"/>
      <c r="E370" s="268"/>
      <c r="F370" s="268"/>
      <c r="G370" s="268"/>
      <c r="H370" s="268"/>
      <c r="I370" s="268"/>
      <c r="J370" s="268"/>
      <c r="K370" s="268"/>
      <c r="L370" s="309"/>
      <c r="M370" s="268"/>
      <c r="N370" s="268"/>
      <c r="O370" s="310"/>
      <c r="P370" s="268"/>
      <c r="Q370" s="309"/>
      <c r="R370" s="268"/>
      <c r="S370" s="313"/>
      <c r="T370" s="313"/>
      <c r="U370" s="268"/>
      <c r="V370" s="309"/>
      <c r="W370" s="310"/>
      <c r="X370" s="268"/>
      <c r="Y370" s="268"/>
      <c r="Z370" s="268"/>
    </row>
    <row r="371" spans="1:26" ht="24.75" customHeight="1">
      <c r="A371" s="268"/>
      <c r="B371" s="268"/>
      <c r="C371" s="268"/>
      <c r="D371" s="268"/>
      <c r="E371" s="268"/>
      <c r="F371" s="268"/>
      <c r="G371" s="268"/>
      <c r="H371" s="268"/>
      <c r="I371" s="268"/>
      <c r="J371" s="268"/>
      <c r="K371" s="268"/>
      <c r="L371" s="309"/>
      <c r="M371" s="268"/>
      <c r="N371" s="268"/>
      <c r="O371" s="268"/>
      <c r="P371" s="268"/>
      <c r="Q371" s="309"/>
      <c r="R371" s="268"/>
      <c r="S371" s="313"/>
      <c r="T371" s="313"/>
      <c r="U371" s="268"/>
      <c r="V371" s="309"/>
      <c r="W371" s="310"/>
      <c r="X371" s="268"/>
      <c r="Y371" s="268"/>
      <c r="Z371" s="268"/>
    </row>
    <row r="372" spans="1:26" ht="24.75" customHeight="1">
      <c r="A372" s="268"/>
      <c r="B372" s="268"/>
      <c r="C372" s="268"/>
      <c r="D372" s="268"/>
      <c r="E372" s="268"/>
      <c r="F372" s="268"/>
      <c r="G372" s="268"/>
      <c r="H372" s="268"/>
      <c r="I372" s="268"/>
      <c r="J372" s="268"/>
      <c r="K372" s="268"/>
      <c r="L372" s="309"/>
      <c r="M372" s="268"/>
      <c r="N372" s="268"/>
      <c r="O372" s="268"/>
      <c r="P372" s="268"/>
      <c r="Q372" s="309"/>
      <c r="R372" s="268"/>
      <c r="S372" s="313"/>
      <c r="T372" s="313"/>
      <c r="U372" s="268"/>
      <c r="V372" s="309"/>
      <c r="W372" s="310"/>
      <c r="X372" s="268"/>
      <c r="Y372" s="268"/>
      <c r="Z372" s="268"/>
    </row>
    <row r="373" spans="1:26" ht="24.75" customHeight="1">
      <c r="A373" s="268"/>
      <c r="B373" s="268"/>
      <c r="C373" s="268"/>
      <c r="D373" s="268"/>
      <c r="E373" s="268"/>
      <c r="F373" s="268"/>
      <c r="G373" s="268"/>
      <c r="H373" s="268"/>
      <c r="I373" s="268"/>
      <c r="J373" s="268"/>
      <c r="K373" s="268"/>
      <c r="L373" s="309"/>
      <c r="M373" s="268"/>
      <c r="N373" s="268"/>
      <c r="O373" s="268"/>
      <c r="P373" s="268"/>
      <c r="Q373" s="309"/>
      <c r="R373" s="268"/>
      <c r="S373" s="313"/>
      <c r="T373" s="313"/>
      <c r="U373" s="268"/>
      <c r="V373" s="309"/>
      <c r="W373" s="310"/>
      <c r="X373" s="268"/>
      <c r="Y373" s="268"/>
      <c r="Z373" s="268"/>
    </row>
    <row r="374" spans="1:26" ht="24.75" customHeight="1">
      <c r="A374" s="268"/>
      <c r="B374" s="268"/>
      <c r="C374" s="268"/>
      <c r="D374" s="268"/>
      <c r="E374" s="268"/>
      <c r="F374" s="268"/>
      <c r="G374" s="268"/>
      <c r="H374" s="268"/>
      <c r="I374" s="268"/>
      <c r="J374" s="268"/>
      <c r="K374" s="268"/>
      <c r="L374" s="309"/>
      <c r="M374" s="268"/>
      <c r="N374" s="268"/>
      <c r="O374" s="268"/>
      <c r="P374" s="268"/>
      <c r="Q374" s="309"/>
      <c r="R374" s="268"/>
      <c r="S374" s="313"/>
      <c r="T374" s="313"/>
      <c r="U374" s="268"/>
      <c r="V374" s="309"/>
      <c r="W374" s="310"/>
      <c r="X374" s="268"/>
      <c r="Y374" s="268"/>
      <c r="Z374" s="268"/>
    </row>
    <row r="375" spans="1:26" ht="24.75" customHeight="1">
      <c r="A375" s="268"/>
      <c r="B375" s="268"/>
      <c r="C375" s="268"/>
      <c r="D375" s="268"/>
      <c r="E375" s="268"/>
      <c r="F375" s="268"/>
      <c r="G375" s="268"/>
      <c r="H375" s="268"/>
      <c r="I375" s="268"/>
      <c r="J375" s="268"/>
      <c r="K375" s="268"/>
      <c r="L375" s="309"/>
      <c r="M375" s="268"/>
      <c r="N375" s="268"/>
      <c r="O375" s="268"/>
      <c r="P375" s="268"/>
      <c r="Q375" s="309"/>
      <c r="R375" s="268"/>
      <c r="S375" s="313"/>
      <c r="T375" s="313"/>
      <c r="U375" s="268"/>
      <c r="V375" s="309"/>
      <c r="W375" s="310"/>
      <c r="X375" s="268"/>
      <c r="Y375" s="268"/>
      <c r="Z375" s="268"/>
    </row>
    <row r="376" spans="1:26" ht="24.75" customHeight="1">
      <c r="A376" s="268"/>
      <c r="B376" s="268"/>
      <c r="C376" s="268"/>
      <c r="D376" s="268"/>
      <c r="E376" s="268"/>
      <c r="F376" s="268"/>
      <c r="G376" s="268"/>
      <c r="H376" s="268"/>
      <c r="I376" s="268"/>
      <c r="J376" s="268"/>
      <c r="K376" s="268"/>
      <c r="L376" s="309"/>
      <c r="M376" s="268"/>
      <c r="N376" s="268"/>
      <c r="O376" s="268"/>
      <c r="P376" s="268"/>
      <c r="Q376" s="309"/>
      <c r="R376" s="268"/>
      <c r="S376" s="313"/>
      <c r="T376" s="313"/>
      <c r="U376" s="268"/>
      <c r="V376" s="309"/>
      <c r="W376" s="310"/>
      <c r="X376" s="268"/>
      <c r="Y376" s="268"/>
      <c r="Z376" s="268"/>
    </row>
    <row r="377" spans="1:26" ht="24.75" customHeight="1">
      <c r="A377" s="268"/>
      <c r="B377" s="268"/>
      <c r="C377" s="268"/>
      <c r="D377" s="268"/>
      <c r="E377" s="268"/>
      <c r="F377" s="268"/>
      <c r="G377" s="268"/>
      <c r="H377" s="268"/>
      <c r="I377" s="268"/>
      <c r="J377" s="268"/>
      <c r="K377" s="268"/>
      <c r="L377" s="309"/>
      <c r="M377" s="268"/>
      <c r="N377" s="268"/>
      <c r="O377" s="268"/>
      <c r="P377" s="268"/>
      <c r="Q377" s="309"/>
      <c r="R377" s="268"/>
      <c r="S377" s="313"/>
      <c r="T377" s="313"/>
      <c r="U377" s="268"/>
      <c r="V377" s="309"/>
      <c r="W377" s="310"/>
      <c r="X377" s="268"/>
      <c r="Y377" s="268"/>
      <c r="Z377" s="268"/>
    </row>
    <row r="378" spans="1:26" ht="24.75" customHeight="1">
      <c r="A378" s="268"/>
      <c r="B378" s="268"/>
      <c r="C378" s="268"/>
      <c r="D378" s="268"/>
      <c r="E378" s="268"/>
      <c r="F378" s="268"/>
      <c r="G378" s="268"/>
      <c r="H378" s="268"/>
      <c r="I378" s="268"/>
      <c r="J378" s="268"/>
      <c r="K378" s="268"/>
      <c r="L378" s="309"/>
      <c r="M378" s="268"/>
      <c r="N378" s="268"/>
      <c r="O378" s="268"/>
      <c r="P378" s="268"/>
      <c r="Q378" s="309"/>
      <c r="R378" s="268"/>
      <c r="S378" s="313"/>
      <c r="T378" s="313"/>
      <c r="U378" s="268"/>
      <c r="V378" s="309"/>
      <c r="W378" s="310"/>
      <c r="X378" s="268"/>
      <c r="Y378" s="268"/>
      <c r="Z378" s="268"/>
    </row>
    <row r="379" spans="1:26" ht="24.75" customHeight="1">
      <c r="A379" s="268"/>
      <c r="B379" s="268"/>
      <c r="C379" s="268"/>
      <c r="D379" s="268"/>
      <c r="E379" s="268"/>
      <c r="F379" s="268"/>
      <c r="G379" s="268"/>
      <c r="H379" s="268"/>
      <c r="I379" s="268"/>
      <c r="J379" s="268"/>
      <c r="K379" s="268"/>
      <c r="L379" s="309"/>
      <c r="M379" s="268"/>
      <c r="N379" s="268"/>
      <c r="O379" s="268"/>
      <c r="P379" s="268"/>
      <c r="Q379" s="309"/>
      <c r="R379" s="268"/>
      <c r="S379" s="313"/>
      <c r="T379" s="313"/>
      <c r="U379" s="268"/>
      <c r="V379" s="309"/>
      <c r="W379" s="310"/>
      <c r="X379" s="268"/>
      <c r="Y379" s="268"/>
      <c r="Z379" s="268"/>
    </row>
    <row r="380" spans="1:26" ht="24.75" customHeight="1">
      <c r="A380" s="268"/>
      <c r="B380" s="268"/>
      <c r="C380" s="268"/>
      <c r="D380" s="268"/>
      <c r="E380" s="268"/>
      <c r="F380" s="268"/>
      <c r="G380" s="268"/>
      <c r="H380" s="268"/>
      <c r="I380" s="268"/>
      <c r="J380" s="268"/>
      <c r="K380" s="268"/>
      <c r="L380" s="309"/>
      <c r="M380" s="268"/>
      <c r="N380" s="268"/>
      <c r="O380" s="268"/>
      <c r="P380" s="268"/>
      <c r="Q380" s="309"/>
      <c r="R380" s="268"/>
      <c r="S380" s="313"/>
      <c r="T380" s="313"/>
      <c r="U380" s="268"/>
      <c r="V380" s="309"/>
      <c r="W380" s="310"/>
      <c r="X380" s="268"/>
      <c r="Y380" s="268"/>
      <c r="Z380" s="268"/>
    </row>
    <row r="381" spans="1:26" ht="24.75" customHeight="1">
      <c r="A381" s="268"/>
      <c r="B381" s="268"/>
      <c r="C381" s="268"/>
      <c r="D381" s="268"/>
      <c r="E381" s="268"/>
      <c r="F381" s="268"/>
      <c r="G381" s="268"/>
      <c r="H381" s="268"/>
      <c r="I381" s="268"/>
      <c r="J381" s="268"/>
      <c r="K381" s="268"/>
      <c r="L381" s="309"/>
      <c r="M381" s="268"/>
      <c r="N381" s="268"/>
      <c r="O381" s="268"/>
      <c r="P381" s="268"/>
      <c r="Q381" s="309"/>
      <c r="R381" s="268"/>
      <c r="S381" s="313"/>
      <c r="T381" s="313"/>
      <c r="U381" s="268"/>
      <c r="V381" s="309"/>
      <c r="W381" s="310"/>
      <c r="X381" s="268"/>
      <c r="Y381" s="268"/>
      <c r="Z381" s="268"/>
    </row>
    <row r="382" spans="1:26" ht="24.75" customHeight="1">
      <c r="A382" s="268"/>
      <c r="B382" s="268"/>
      <c r="C382" s="268"/>
      <c r="D382" s="268"/>
      <c r="E382" s="268"/>
      <c r="F382" s="268"/>
      <c r="G382" s="268"/>
      <c r="H382" s="268"/>
      <c r="I382" s="268"/>
      <c r="J382" s="268"/>
      <c r="K382" s="268"/>
      <c r="L382" s="309"/>
      <c r="M382" s="268"/>
      <c r="N382" s="268"/>
      <c r="O382" s="268"/>
      <c r="P382" s="268"/>
      <c r="Q382" s="309"/>
      <c r="R382" s="268"/>
      <c r="S382" s="268"/>
      <c r="T382" s="268"/>
      <c r="U382" s="248"/>
      <c r="V382" s="253"/>
      <c r="W382" s="254"/>
      <c r="X382" s="248"/>
      <c r="Y382" s="248"/>
      <c r="Z382" s="248"/>
    </row>
    <row r="383" spans="1:26" ht="24.75" customHeight="1">
      <c r="A383" s="268"/>
      <c r="B383" s="268"/>
      <c r="C383" s="268"/>
      <c r="D383" s="268"/>
      <c r="E383" s="268"/>
      <c r="F383" s="268"/>
      <c r="G383" s="268"/>
      <c r="H383" s="268"/>
      <c r="I383" s="268"/>
      <c r="J383" s="268"/>
      <c r="K383" s="268"/>
      <c r="L383" s="309"/>
      <c r="M383" s="268"/>
      <c r="N383" s="268"/>
      <c r="O383" s="310"/>
      <c r="P383" s="268"/>
      <c r="Q383" s="309"/>
      <c r="R383" s="268"/>
      <c r="S383" s="268"/>
      <c r="T383" s="268"/>
      <c r="U383" s="248"/>
      <c r="V383" s="253"/>
      <c r="W383" s="254"/>
      <c r="X383" s="248"/>
      <c r="Y383" s="248"/>
      <c r="Z383" s="248"/>
    </row>
    <row r="384" spans="1:26" ht="24.75" customHeight="1">
      <c r="A384" s="268"/>
      <c r="B384" s="268"/>
      <c r="C384" s="268"/>
      <c r="D384" s="268"/>
      <c r="E384" s="268"/>
      <c r="F384" s="268"/>
      <c r="G384" s="268"/>
      <c r="H384" s="268"/>
      <c r="I384" s="268"/>
      <c r="J384" s="268"/>
      <c r="K384" s="268"/>
      <c r="L384" s="309"/>
      <c r="M384" s="268"/>
      <c r="N384" s="268"/>
      <c r="O384" s="268"/>
      <c r="P384" s="268"/>
      <c r="Q384" s="309"/>
      <c r="R384" s="268"/>
      <c r="S384" s="268"/>
      <c r="T384" s="268"/>
      <c r="U384" s="248"/>
      <c r="V384" s="253"/>
      <c r="W384" s="254"/>
      <c r="X384" s="248"/>
      <c r="Y384" s="248"/>
      <c r="Z384" s="248"/>
    </row>
    <row r="385" spans="1:26" ht="24.75" customHeight="1">
      <c r="A385" s="268"/>
      <c r="B385" s="268"/>
      <c r="C385" s="268"/>
      <c r="D385" s="268"/>
      <c r="E385" s="268"/>
      <c r="F385" s="268"/>
      <c r="G385" s="268"/>
      <c r="H385" s="268"/>
      <c r="I385" s="268"/>
      <c r="J385" s="268"/>
      <c r="K385" s="268"/>
      <c r="L385" s="309"/>
      <c r="M385" s="268"/>
      <c r="N385" s="268"/>
      <c r="O385" s="268"/>
      <c r="P385" s="268"/>
      <c r="Q385" s="309"/>
      <c r="R385" s="268"/>
      <c r="S385" s="268"/>
      <c r="T385" s="268"/>
      <c r="U385" s="248"/>
      <c r="V385" s="253"/>
      <c r="W385" s="254"/>
      <c r="X385" s="248"/>
      <c r="Y385" s="248"/>
      <c r="Z385" s="248"/>
    </row>
    <row r="386" spans="1:26" ht="24.75" customHeight="1">
      <c r="A386" s="268"/>
      <c r="B386" s="268"/>
      <c r="C386" s="268"/>
      <c r="D386" s="268"/>
      <c r="E386" s="268"/>
      <c r="F386" s="268"/>
      <c r="G386" s="268"/>
      <c r="H386" s="268"/>
      <c r="I386" s="268"/>
      <c r="J386" s="268"/>
      <c r="K386" s="268"/>
      <c r="L386" s="309"/>
      <c r="M386" s="268"/>
      <c r="N386" s="268"/>
      <c r="O386" s="268"/>
      <c r="P386" s="268"/>
      <c r="Q386" s="309"/>
      <c r="R386" s="268"/>
      <c r="S386" s="268"/>
      <c r="T386" s="268"/>
      <c r="U386" s="248"/>
      <c r="V386" s="253"/>
      <c r="W386" s="254"/>
      <c r="X386" s="248"/>
      <c r="Y386" s="248"/>
      <c r="Z386" s="248"/>
    </row>
    <row r="387" spans="1:26" ht="24.75" customHeight="1">
      <c r="A387" s="268"/>
      <c r="B387" s="268"/>
      <c r="C387" s="268"/>
      <c r="D387" s="268"/>
      <c r="E387" s="268"/>
      <c r="F387" s="268"/>
      <c r="G387" s="268"/>
      <c r="H387" s="268"/>
      <c r="I387" s="268"/>
      <c r="J387" s="268"/>
      <c r="K387" s="268"/>
      <c r="L387" s="309"/>
      <c r="M387" s="268"/>
      <c r="N387" s="268"/>
      <c r="O387" s="268"/>
      <c r="P387" s="268"/>
      <c r="Q387" s="309"/>
      <c r="R387" s="268"/>
      <c r="S387" s="268"/>
      <c r="T387" s="268"/>
      <c r="U387" s="248"/>
      <c r="V387" s="253"/>
      <c r="W387" s="254"/>
      <c r="X387" s="248"/>
      <c r="Y387" s="248"/>
      <c r="Z387" s="248"/>
    </row>
    <row r="388" spans="1:26" ht="24.75" customHeight="1">
      <c r="A388" s="268"/>
      <c r="B388" s="268"/>
      <c r="C388" s="268"/>
      <c r="D388" s="268"/>
      <c r="E388" s="268"/>
      <c r="F388" s="268"/>
      <c r="G388" s="268"/>
      <c r="H388" s="268"/>
      <c r="I388" s="268"/>
      <c r="J388" s="268"/>
      <c r="K388" s="268"/>
      <c r="L388" s="309"/>
      <c r="M388" s="268"/>
      <c r="N388" s="268"/>
      <c r="O388" s="268"/>
      <c r="P388" s="268"/>
      <c r="Q388" s="309"/>
      <c r="R388" s="268"/>
      <c r="S388" s="268"/>
      <c r="T388" s="268"/>
      <c r="U388" s="248"/>
      <c r="V388" s="253"/>
      <c r="W388" s="254"/>
      <c r="X388" s="248"/>
      <c r="Y388" s="248"/>
      <c r="Z388" s="248"/>
    </row>
    <row r="389" spans="1:26" ht="24.75" customHeight="1">
      <c r="A389" s="268"/>
      <c r="B389" s="268"/>
      <c r="C389" s="268"/>
      <c r="D389" s="268"/>
      <c r="E389" s="268"/>
      <c r="F389" s="268"/>
      <c r="G389" s="268"/>
      <c r="H389" s="268"/>
      <c r="I389" s="268"/>
      <c r="J389" s="268"/>
      <c r="K389" s="268"/>
      <c r="L389" s="309"/>
      <c r="M389" s="268"/>
      <c r="N389" s="268"/>
      <c r="O389" s="268"/>
      <c r="P389" s="268"/>
      <c r="Q389" s="309"/>
      <c r="R389" s="268"/>
      <c r="S389" s="268"/>
      <c r="T389" s="268"/>
      <c r="U389" s="248"/>
      <c r="V389" s="253"/>
      <c r="W389" s="254"/>
      <c r="X389" s="248"/>
      <c r="Y389" s="248"/>
      <c r="Z389" s="248"/>
    </row>
    <row r="390" spans="1:26" ht="24.75" customHeight="1">
      <c r="A390" s="268"/>
      <c r="B390" s="268"/>
      <c r="C390" s="268"/>
      <c r="D390" s="268"/>
      <c r="E390" s="268"/>
      <c r="F390" s="268"/>
      <c r="G390" s="268"/>
      <c r="H390" s="268"/>
      <c r="I390" s="268"/>
      <c r="J390" s="268"/>
      <c r="K390" s="268"/>
      <c r="L390" s="309"/>
      <c r="M390" s="268"/>
      <c r="N390" s="268"/>
      <c r="O390" s="268"/>
      <c r="P390" s="268"/>
      <c r="Q390" s="309"/>
      <c r="R390" s="268"/>
      <c r="S390" s="268"/>
      <c r="T390" s="268"/>
      <c r="U390" s="248"/>
      <c r="V390" s="253"/>
      <c r="W390" s="254"/>
      <c r="X390" s="248"/>
      <c r="Y390" s="248"/>
      <c r="Z390" s="248"/>
    </row>
    <row r="391" spans="1:26" ht="24.75" customHeight="1">
      <c r="A391" s="268"/>
      <c r="B391" s="268"/>
      <c r="C391" s="268"/>
      <c r="D391" s="268"/>
      <c r="E391" s="268"/>
      <c r="F391" s="268"/>
      <c r="G391" s="268"/>
      <c r="H391" s="268"/>
      <c r="I391" s="268"/>
      <c r="J391" s="268"/>
      <c r="K391" s="268"/>
      <c r="L391" s="309"/>
      <c r="M391" s="268"/>
      <c r="N391" s="268"/>
      <c r="O391" s="268"/>
      <c r="P391" s="268"/>
      <c r="Q391" s="309"/>
      <c r="R391" s="268"/>
      <c r="S391" s="268"/>
      <c r="T391" s="268"/>
      <c r="U391" s="248"/>
      <c r="V391" s="253"/>
      <c r="W391" s="254"/>
      <c r="X391" s="248"/>
      <c r="Y391" s="248"/>
      <c r="Z391" s="248"/>
    </row>
    <row r="392" spans="1:26" ht="24.75" customHeight="1">
      <c r="A392" s="268"/>
      <c r="B392" s="268"/>
      <c r="C392" s="268"/>
      <c r="D392" s="268"/>
      <c r="E392" s="268"/>
      <c r="F392" s="268"/>
      <c r="G392" s="268"/>
      <c r="H392" s="268"/>
      <c r="I392" s="268"/>
      <c r="J392" s="268"/>
      <c r="K392" s="268"/>
      <c r="L392" s="309"/>
      <c r="M392" s="268"/>
      <c r="N392" s="268"/>
      <c r="O392" s="268"/>
      <c r="P392" s="268"/>
      <c r="Q392" s="309"/>
      <c r="R392" s="268"/>
      <c r="S392" s="268"/>
      <c r="T392" s="268"/>
      <c r="U392" s="248"/>
      <c r="V392" s="253"/>
      <c r="W392" s="254"/>
      <c r="X392" s="248"/>
      <c r="Y392" s="248"/>
      <c r="Z392" s="248"/>
    </row>
    <row r="393" spans="1:26" ht="24.75" customHeight="1">
      <c r="A393" s="268"/>
      <c r="B393" s="268"/>
      <c r="C393" s="268"/>
      <c r="D393" s="268"/>
      <c r="E393" s="268"/>
      <c r="F393" s="268"/>
      <c r="G393" s="268"/>
      <c r="H393" s="268"/>
      <c r="I393" s="268"/>
      <c r="J393" s="268"/>
      <c r="K393" s="268"/>
      <c r="L393" s="309"/>
      <c r="M393" s="268"/>
      <c r="N393" s="268"/>
      <c r="O393" s="268"/>
      <c r="P393" s="268"/>
      <c r="Q393" s="309"/>
      <c r="R393" s="268"/>
      <c r="S393" s="268"/>
      <c r="T393" s="268"/>
      <c r="U393" s="230"/>
      <c r="V393" s="256"/>
      <c r="W393" s="257"/>
      <c r="X393" s="230"/>
      <c r="Y393" s="230"/>
      <c r="Z393" s="230"/>
    </row>
    <row r="394" spans="1:26" ht="24.75" customHeight="1">
      <c r="A394" s="268"/>
      <c r="B394" s="268"/>
      <c r="C394" s="268"/>
      <c r="D394" s="268"/>
      <c r="E394" s="268"/>
      <c r="F394" s="268"/>
      <c r="G394" s="268"/>
      <c r="H394" s="268"/>
      <c r="I394" s="268"/>
      <c r="J394" s="268"/>
      <c r="K394" s="268"/>
      <c r="L394" s="309"/>
      <c r="M394" s="268"/>
      <c r="N394" s="268"/>
      <c r="O394" s="268"/>
      <c r="P394" s="268"/>
      <c r="Q394" s="309"/>
      <c r="R394" s="268"/>
      <c r="S394" s="268"/>
      <c r="T394" s="268"/>
      <c r="U394" s="292"/>
      <c r="V394" s="293"/>
      <c r="W394" s="294"/>
      <c r="X394" s="292"/>
      <c r="Y394" s="292"/>
      <c r="Z394" s="292"/>
    </row>
    <row r="395" spans="1:26" ht="24.75" customHeight="1">
      <c r="A395" s="268"/>
      <c r="B395" s="268"/>
      <c r="C395" s="268"/>
      <c r="D395" s="268"/>
      <c r="E395" s="268"/>
      <c r="F395" s="268"/>
      <c r="G395" s="268"/>
      <c r="H395" s="268"/>
      <c r="I395" s="268"/>
      <c r="J395" s="268"/>
      <c r="K395" s="268"/>
      <c r="L395" s="309"/>
      <c r="M395" s="268"/>
      <c r="N395" s="268"/>
      <c r="O395" s="268"/>
      <c r="P395" s="268"/>
      <c r="Q395" s="309"/>
      <c r="R395" s="268"/>
      <c r="S395" s="268"/>
      <c r="T395" s="268"/>
      <c r="U395" s="292"/>
      <c r="V395" s="293"/>
      <c r="W395" s="294"/>
      <c r="X395" s="292"/>
      <c r="Y395" s="292"/>
      <c r="Z395" s="292"/>
    </row>
    <row r="396" spans="1:26" ht="24.75" customHeight="1">
      <c r="A396" s="268"/>
      <c r="B396" s="268"/>
      <c r="C396" s="268"/>
      <c r="D396" s="268"/>
      <c r="E396" s="268"/>
      <c r="F396" s="268"/>
      <c r="G396" s="268"/>
      <c r="H396" s="268"/>
      <c r="I396" s="268"/>
      <c r="J396" s="268"/>
      <c r="K396" s="268"/>
      <c r="L396" s="309"/>
      <c r="M396" s="268"/>
      <c r="N396" s="268"/>
      <c r="O396" s="268"/>
      <c r="P396" s="268"/>
      <c r="Q396" s="309"/>
      <c r="R396" s="268"/>
      <c r="S396" s="268"/>
      <c r="T396" s="268"/>
      <c r="U396" s="230"/>
      <c r="V396" s="256"/>
      <c r="W396" s="257"/>
      <c r="X396" s="230"/>
      <c r="Y396" s="230"/>
      <c r="Z396" s="230"/>
    </row>
    <row r="397" spans="1:26" ht="24.75" customHeight="1">
      <c r="A397" s="268"/>
      <c r="B397" s="268"/>
      <c r="C397" s="268"/>
      <c r="D397" s="268"/>
      <c r="E397" s="268"/>
      <c r="F397" s="268"/>
      <c r="G397" s="268"/>
      <c r="H397" s="268"/>
      <c r="I397" s="268"/>
      <c r="J397" s="268"/>
      <c r="K397" s="268"/>
      <c r="L397" s="309"/>
      <c r="M397" s="268"/>
      <c r="N397" s="268"/>
      <c r="O397" s="268"/>
      <c r="P397" s="268"/>
      <c r="Q397" s="309"/>
      <c r="R397" s="268"/>
      <c r="S397" s="268"/>
      <c r="T397" s="268"/>
      <c r="U397" s="230"/>
      <c r="V397" s="256"/>
      <c r="W397" s="257"/>
      <c r="X397" s="230"/>
      <c r="Y397" s="230"/>
      <c r="Z397" s="230"/>
    </row>
    <row r="398" spans="1:26" ht="24.75" customHeight="1">
      <c r="A398" s="268"/>
      <c r="B398" s="268"/>
      <c r="C398" s="268"/>
      <c r="D398" s="268"/>
      <c r="E398" s="268"/>
      <c r="F398" s="268"/>
      <c r="G398" s="268"/>
      <c r="H398" s="268"/>
      <c r="I398" s="268"/>
      <c r="J398" s="268"/>
      <c r="K398" s="268"/>
      <c r="L398" s="309"/>
      <c r="M398" s="268"/>
      <c r="N398" s="268"/>
      <c r="O398" s="268"/>
      <c r="P398" s="268"/>
      <c r="Q398" s="309"/>
      <c r="R398" s="268"/>
      <c r="S398" s="268"/>
      <c r="T398" s="268"/>
      <c r="U398" s="268"/>
      <c r="V398" s="309"/>
      <c r="W398" s="310"/>
      <c r="X398" s="268"/>
      <c r="Y398" s="268"/>
      <c r="Z398" s="268"/>
    </row>
    <row r="399" spans="1:26" ht="24.75" customHeight="1">
      <c r="A399" s="268"/>
      <c r="B399" s="268"/>
      <c r="C399" s="268"/>
      <c r="D399" s="268"/>
      <c r="E399" s="268"/>
      <c r="F399" s="268"/>
      <c r="G399" s="268"/>
      <c r="H399" s="268"/>
      <c r="I399" s="268"/>
      <c r="J399" s="268"/>
      <c r="K399" s="268"/>
      <c r="L399" s="309"/>
      <c r="M399" s="268"/>
      <c r="N399" s="268"/>
      <c r="O399" s="310"/>
      <c r="P399" s="268"/>
      <c r="Q399" s="309"/>
      <c r="R399" s="268"/>
      <c r="S399" s="313"/>
      <c r="T399" s="313"/>
      <c r="U399" s="268"/>
      <c r="V399" s="309"/>
      <c r="W399" s="310"/>
      <c r="X399" s="268"/>
      <c r="Y399" s="268"/>
      <c r="Z399" s="268"/>
    </row>
    <row r="400" spans="1:26" ht="24.75" customHeight="1">
      <c r="A400" s="268"/>
      <c r="B400" s="268"/>
      <c r="C400" s="268"/>
      <c r="D400" s="268"/>
      <c r="E400" s="268"/>
      <c r="F400" s="268"/>
      <c r="G400" s="268"/>
      <c r="H400" s="268"/>
      <c r="I400" s="268"/>
      <c r="J400" s="268"/>
      <c r="K400" s="268"/>
      <c r="L400" s="309"/>
      <c r="M400" s="268"/>
      <c r="N400" s="268"/>
      <c r="O400" s="310"/>
      <c r="P400" s="268"/>
      <c r="Q400" s="309"/>
      <c r="R400" s="268"/>
      <c r="S400" s="313"/>
      <c r="T400" s="313"/>
      <c r="U400" s="268"/>
      <c r="V400" s="309"/>
      <c r="W400" s="310"/>
      <c r="X400" s="268"/>
      <c r="Y400" s="268"/>
      <c r="Z400" s="268"/>
    </row>
    <row r="401" spans="1:26" ht="24.75" customHeight="1">
      <c r="A401" s="268"/>
      <c r="B401" s="268"/>
      <c r="C401" s="268"/>
      <c r="D401" s="268"/>
      <c r="E401" s="268"/>
      <c r="F401" s="268"/>
      <c r="G401" s="268"/>
      <c r="H401" s="268"/>
      <c r="I401" s="268"/>
      <c r="J401" s="268"/>
      <c r="K401" s="268"/>
      <c r="L401" s="309"/>
      <c r="M401" s="268"/>
      <c r="N401" s="268"/>
      <c r="O401" s="310"/>
      <c r="P401" s="268"/>
      <c r="Q401" s="309"/>
      <c r="R401" s="268"/>
      <c r="S401" s="313"/>
      <c r="T401" s="313"/>
      <c r="U401" s="268"/>
      <c r="V401" s="309"/>
      <c r="W401" s="310"/>
      <c r="X401" s="268"/>
      <c r="Y401" s="268"/>
      <c r="Z401" s="268"/>
    </row>
    <row r="402" spans="1:26" ht="24.75" customHeight="1">
      <c r="A402" s="268"/>
      <c r="B402" s="268"/>
      <c r="C402" s="268"/>
      <c r="D402" s="268"/>
      <c r="E402" s="268"/>
      <c r="F402" s="268"/>
      <c r="G402" s="268"/>
      <c r="H402" s="268"/>
      <c r="I402" s="268"/>
      <c r="J402" s="268"/>
      <c r="K402" s="268"/>
      <c r="L402" s="309"/>
      <c r="M402" s="268"/>
      <c r="N402" s="268"/>
      <c r="O402" s="310"/>
      <c r="P402" s="268"/>
      <c r="Q402" s="309"/>
      <c r="R402" s="268"/>
      <c r="S402" s="313"/>
      <c r="T402" s="313"/>
      <c r="U402" s="268"/>
      <c r="V402" s="309"/>
      <c r="W402" s="310"/>
      <c r="X402" s="268"/>
      <c r="Y402" s="268"/>
      <c r="Z402" s="268"/>
    </row>
    <row r="403" spans="1:26" ht="24.75" customHeight="1">
      <c r="A403" s="268"/>
      <c r="B403" s="268"/>
      <c r="C403" s="268"/>
      <c r="D403" s="268"/>
      <c r="E403" s="268"/>
      <c r="F403" s="268"/>
      <c r="G403" s="268"/>
      <c r="H403" s="268"/>
      <c r="I403" s="268"/>
      <c r="J403" s="268"/>
      <c r="K403" s="268"/>
      <c r="L403" s="309"/>
      <c r="M403" s="268"/>
      <c r="N403" s="268"/>
      <c r="O403" s="310"/>
      <c r="P403" s="268"/>
      <c r="Q403" s="309"/>
      <c r="R403" s="268"/>
      <c r="S403" s="313"/>
      <c r="T403" s="313"/>
      <c r="U403" s="268"/>
      <c r="V403" s="309"/>
      <c r="W403" s="310"/>
      <c r="X403" s="268"/>
      <c r="Y403" s="268"/>
      <c r="Z403" s="268"/>
    </row>
    <row r="404" spans="1:26" ht="24.75" customHeight="1">
      <c r="A404" s="268"/>
      <c r="B404" s="268"/>
      <c r="C404" s="268"/>
      <c r="D404" s="268"/>
      <c r="E404" s="268"/>
      <c r="F404" s="268"/>
      <c r="G404" s="268"/>
      <c r="H404" s="268"/>
      <c r="I404" s="268"/>
      <c r="J404" s="268"/>
      <c r="K404" s="268"/>
      <c r="L404" s="309"/>
      <c r="M404" s="268"/>
      <c r="N404" s="268"/>
      <c r="O404" s="310"/>
      <c r="P404" s="268"/>
      <c r="Q404" s="309"/>
      <c r="R404" s="268"/>
      <c r="S404" s="313"/>
      <c r="T404" s="313"/>
      <c r="U404" s="268"/>
      <c r="V404" s="309"/>
      <c r="W404" s="310"/>
      <c r="X404" s="268"/>
      <c r="Y404" s="268"/>
      <c r="Z404" s="268"/>
    </row>
    <row r="405" spans="1:26" ht="24.75" customHeight="1">
      <c r="A405" s="268"/>
      <c r="B405" s="268"/>
      <c r="C405" s="268"/>
      <c r="D405" s="268"/>
      <c r="E405" s="268"/>
      <c r="F405" s="268"/>
      <c r="G405" s="268"/>
      <c r="H405" s="268"/>
      <c r="I405" s="268"/>
      <c r="J405" s="268"/>
      <c r="K405" s="268"/>
      <c r="L405" s="309"/>
      <c r="M405" s="268"/>
      <c r="N405" s="268"/>
      <c r="O405" s="310"/>
      <c r="P405" s="268"/>
      <c r="Q405" s="309"/>
      <c r="R405" s="268"/>
      <c r="S405" s="313"/>
      <c r="T405" s="313"/>
      <c r="U405" s="268"/>
      <c r="V405" s="309"/>
      <c r="W405" s="310"/>
      <c r="X405" s="268"/>
      <c r="Y405" s="268"/>
      <c r="Z405" s="268"/>
    </row>
    <row r="406" spans="1:26" ht="24.75" customHeight="1">
      <c r="A406" s="268"/>
      <c r="B406" s="268"/>
      <c r="C406" s="268"/>
      <c r="D406" s="268"/>
      <c r="E406" s="268"/>
      <c r="F406" s="268"/>
      <c r="G406" s="268"/>
      <c r="H406" s="268"/>
      <c r="I406" s="268"/>
      <c r="J406" s="268"/>
      <c r="K406" s="268"/>
      <c r="L406" s="309"/>
      <c r="M406" s="268"/>
      <c r="N406" s="268"/>
      <c r="O406" s="310"/>
      <c r="P406" s="268"/>
      <c r="Q406" s="309"/>
      <c r="R406" s="268"/>
      <c r="S406" s="313"/>
      <c r="T406" s="313"/>
      <c r="U406" s="268"/>
      <c r="V406" s="309"/>
      <c r="W406" s="310"/>
      <c r="X406" s="268"/>
      <c r="Y406" s="268"/>
      <c r="Z406" s="268"/>
    </row>
    <row r="407" spans="1:26" ht="24.75" customHeight="1">
      <c r="A407" s="268"/>
      <c r="B407" s="268"/>
      <c r="C407" s="268"/>
      <c r="D407" s="268"/>
      <c r="E407" s="268"/>
      <c r="F407" s="268"/>
      <c r="G407" s="268"/>
      <c r="H407" s="268"/>
      <c r="I407" s="268"/>
      <c r="J407" s="268"/>
      <c r="K407" s="268"/>
      <c r="L407" s="309"/>
      <c r="M407" s="268"/>
      <c r="N407" s="268"/>
      <c r="O407" s="310"/>
      <c r="P407" s="268"/>
      <c r="Q407" s="309"/>
      <c r="R407" s="268"/>
      <c r="S407" s="313"/>
      <c r="T407" s="313"/>
      <c r="U407" s="268"/>
      <c r="V407" s="309"/>
      <c r="W407" s="310"/>
      <c r="X407" s="268"/>
      <c r="Y407" s="268"/>
      <c r="Z407" s="268"/>
    </row>
    <row r="408" spans="1:26" ht="24.75" customHeight="1">
      <c r="A408" s="268"/>
      <c r="B408" s="268"/>
      <c r="C408" s="268"/>
      <c r="D408" s="268"/>
      <c r="E408" s="268"/>
      <c r="F408" s="268"/>
      <c r="G408" s="268"/>
      <c r="H408" s="268"/>
      <c r="I408" s="268"/>
      <c r="J408" s="268"/>
      <c r="K408" s="268"/>
      <c r="L408" s="309"/>
      <c r="M408" s="268"/>
      <c r="N408" s="268"/>
      <c r="O408" s="310"/>
      <c r="P408" s="268"/>
      <c r="Q408" s="309"/>
      <c r="R408" s="268"/>
      <c r="S408" s="313"/>
      <c r="T408" s="313"/>
      <c r="U408" s="268"/>
      <c r="V408" s="309"/>
      <c r="W408" s="310"/>
      <c r="X408" s="268"/>
      <c r="Y408" s="268"/>
      <c r="Z408" s="268"/>
    </row>
    <row r="409" spans="1:26" ht="24.75" customHeight="1">
      <c r="A409" s="268"/>
      <c r="B409" s="268"/>
      <c r="C409" s="268"/>
      <c r="D409" s="268"/>
      <c r="E409" s="268"/>
      <c r="F409" s="268"/>
      <c r="G409" s="268"/>
      <c r="H409" s="268"/>
      <c r="I409" s="268"/>
      <c r="J409" s="268"/>
      <c r="K409" s="268"/>
      <c r="L409" s="309"/>
      <c r="M409" s="268"/>
      <c r="N409" s="268"/>
      <c r="O409" s="310"/>
      <c r="P409" s="268"/>
      <c r="Q409" s="309"/>
      <c r="R409" s="268"/>
      <c r="S409" s="313"/>
      <c r="T409" s="313"/>
      <c r="U409" s="268"/>
      <c r="V409" s="309"/>
      <c r="W409" s="310"/>
      <c r="X409" s="268"/>
      <c r="Y409" s="268"/>
      <c r="Z409" s="268"/>
    </row>
    <row r="410" spans="1:26" ht="24.75" customHeight="1">
      <c r="A410" s="268"/>
      <c r="B410" s="268"/>
      <c r="C410" s="268"/>
      <c r="D410" s="268"/>
      <c r="E410" s="268"/>
      <c r="F410" s="268"/>
      <c r="G410" s="268"/>
      <c r="H410" s="268"/>
      <c r="I410" s="268"/>
      <c r="J410" s="268"/>
      <c r="K410" s="268"/>
      <c r="L410" s="309"/>
      <c r="M410" s="268"/>
      <c r="N410" s="268"/>
      <c r="O410" s="310"/>
      <c r="P410" s="268"/>
      <c r="Q410" s="309"/>
      <c r="R410" s="268"/>
      <c r="S410" s="313"/>
      <c r="T410" s="313"/>
      <c r="U410" s="268"/>
      <c r="V410" s="309"/>
      <c r="W410" s="310"/>
      <c r="X410" s="268"/>
      <c r="Y410" s="268"/>
      <c r="Z410" s="268"/>
    </row>
    <row r="411" spans="1:26" ht="24.75" customHeight="1">
      <c r="A411" s="268"/>
      <c r="B411" s="268"/>
      <c r="C411" s="268"/>
      <c r="D411" s="268"/>
      <c r="E411" s="268"/>
      <c r="F411" s="268"/>
      <c r="G411" s="268"/>
      <c r="H411" s="268"/>
      <c r="I411" s="268"/>
      <c r="J411" s="268"/>
      <c r="K411" s="268"/>
      <c r="L411" s="309"/>
      <c r="M411" s="268"/>
      <c r="N411" s="268"/>
      <c r="O411" s="310"/>
      <c r="P411" s="268"/>
      <c r="Q411" s="309"/>
      <c r="R411" s="268"/>
      <c r="S411" s="313"/>
      <c r="T411" s="313"/>
      <c r="U411" s="268"/>
      <c r="V411" s="309"/>
      <c r="W411" s="310"/>
      <c r="X411" s="268"/>
      <c r="Y411" s="268"/>
      <c r="Z411" s="268"/>
    </row>
    <row r="412" spans="1:26" ht="24.75" customHeight="1">
      <c r="A412" s="268"/>
      <c r="B412" s="268"/>
      <c r="C412" s="268"/>
      <c r="D412" s="268"/>
      <c r="E412" s="268"/>
      <c r="F412" s="268"/>
      <c r="G412" s="268"/>
      <c r="H412" s="268"/>
      <c r="I412" s="268"/>
      <c r="J412" s="268"/>
      <c r="K412" s="268"/>
      <c r="L412" s="309"/>
      <c r="M412" s="268"/>
      <c r="N412" s="268"/>
      <c r="O412" s="310"/>
      <c r="P412" s="268"/>
      <c r="Q412" s="309"/>
      <c r="R412" s="268"/>
      <c r="S412" s="313"/>
      <c r="T412" s="313"/>
      <c r="U412" s="268"/>
      <c r="V412" s="309"/>
      <c r="W412" s="310"/>
      <c r="X412" s="268"/>
      <c r="Y412" s="268"/>
      <c r="Z412" s="268"/>
    </row>
    <row r="413" spans="1:26" ht="24.75" customHeight="1">
      <c r="A413" s="268"/>
      <c r="B413" s="268"/>
      <c r="C413" s="268"/>
      <c r="D413" s="268"/>
      <c r="E413" s="268"/>
      <c r="F413" s="268"/>
      <c r="G413" s="268"/>
      <c r="H413" s="268"/>
      <c r="I413" s="268"/>
      <c r="J413" s="268"/>
      <c r="K413" s="268"/>
      <c r="L413" s="309"/>
      <c r="M413" s="268"/>
      <c r="N413" s="268"/>
      <c r="O413" s="310"/>
      <c r="P413" s="268"/>
      <c r="Q413" s="309"/>
      <c r="R413" s="268"/>
      <c r="S413" s="313"/>
      <c r="T413" s="313"/>
      <c r="U413" s="268"/>
      <c r="V413" s="309"/>
      <c r="W413" s="310"/>
      <c r="X413" s="268"/>
      <c r="Y413" s="268"/>
      <c r="Z413" s="268"/>
    </row>
    <row r="414" spans="1:26" ht="24.75" customHeight="1">
      <c r="A414" s="268"/>
      <c r="B414" s="268"/>
      <c r="C414" s="268"/>
      <c r="D414" s="268"/>
      <c r="E414" s="268"/>
      <c r="F414" s="268"/>
      <c r="G414" s="268"/>
      <c r="H414" s="268"/>
      <c r="I414" s="268"/>
      <c r="J414" s="268"/>
      <c r="K414" s="268"/>
      <c r="L414" s="309"/>
      <c r="M414" s="268"/>
      <c r="N414" s="268"/>
      <c r="O414" s="310"/>
      <c r="P414" s="268"/>
      <c r="Q414" s="309"/>
      <c r="R414" s="268"/>
      <c r="S414" s="313"/>
      <c r="T414" s="313"/>
      <c r="U414" s="268"/>
      <c r="V414" s="309"/>
      <c r="W414" s="310"/>
      <c r="X414" s="268"/>
      <c r="Y414" s="268"/>
      <c r="Z414" s="268"/>
    </row>
    <row r="415" spans="1:26" ht="24.75" customHeight="1">
      <c r="A415" s="268"/>
      <c r="B415" s="268"/>
      <c r="C415" s="268"/>
      <c r="D415" s="268"/>
      <c r="E415" s="268"/>
      <c r="F415" s="268"/>
      <c r="G415" s="268"/>
      <c r="H415" s="268"/>
      <c r="I415" s="268"/>
      <c r="J415" s="268"/>
      <c r="K415" s="268"/>
      <c r="L415" s="309"/>
      <c r="M415" s="268"/>
      <c r="N415" s="268"/>
      <c r="O415" s="310"/>
      <c r="P415" s="268"/>
      <c r="Q415" s="309"/>
      <c r="R415" s="268"/>
      <c r="S415" s="313"/>
      <c r="T415" s="313"/>
      <c r="U415" s="268"/>
      <c r="V415" s="309"/>
      <c r="W415" s="310"/>
      <c r="X415" s="268"/>
      <c r="Y415" s="268"/>
      <c r="Z415" s="268"/>
    </row>
    <row r="416" spans="1:26" ht="24.75" customHeight="1">
      <c r="A416" s="268"/>
      <c r="B416" s="268"/>
      <c r="C416" s="268"/>
      <c r="D416" s="268"/>
      <c r="E416" s="268"/>
      <c r="F416" s="268"/>
      <c r="G416" s="268"/>
      <c r="H416" s="268"/>
      <c r="I416" s="268"/>
      <c r="J416" s="268"/>
      <c r="K416" s="268"/>
      <c r="L416" s="309"/>
      <c r="M416" s="268"/>
      <c r="N416" s="268"/>
      <c r="O416" s="310"/>
      <c r="P416" s="268"/>
      <c r="Q416" s="309"/>
      <c r="R416" s="268"/>
      <c r="S416" s="313"/>
      <c r="T416" s="313"/>
      <c r="U416" s="268"/>
      <c r="V416" s="309"/>
      <c r="W416" s="310"/>
      <c r="X416" s="268"/>
      <c r="Y416" s="268"/>
      <c r="Z416" s="268"/>
    </row>
    <row r="417" spans="1:26" ht="24.75" customHeight="1">
      <c r="A417" s="268"/>
      <c r="B417" s="268"/>
      <c r="C417" s="268"/>
      <c r="D417" s="268"/>
      <c r="E417" s="268"/>
      <c r="F417" s="268"/>
      <c r="G417" s="268"/>
      <c r="H417" s="268"/>
      <c r="I417" s="268"/>
      <c r="J417" s="268"/>
      <c r="K417" s="268"/>
      <c r="L417" s="309"/>
      <c r="M417" s="268"/>
      <c r="N417" s="268"/>
      <c r="O417" s="310"/>
      <c r="P417" s="268"/>
      <c r="Q417" s="309"/>
      <c r="R417" s="268"/>
      <c r="S417" s="313"/>
      <c r="T417" s="313"/>
      <c r="U417" s="268"/>
      <c r="V417" s="309"/>
      <c r="W417" s="310"/>
      <c r="X417" s="268"/>
      <c r="Y417" s="268"/>
      <c r="Z417" s="268"/>
    </row>
    <row r="418" spans="1:26" ht="24.75" customHeight="1">
      <c r="A418" s="268"/>
      <c r="B418" s="268"/>
      <c r="C418" s="268"/>
      <c r="D418" s="268"/>
      <c r="E418" s="268"/>
      <c r="F418" s="268"/>
      <c r="G418" s="268"/>
      <c r="H418" s="268"/>
      <c r="I418" s="268"/>
      <c r="J418" s="268"/>
      <c r="K418" s="268"/>
      <c r="L418" s="309"/>
      <c r="M418" s="268"/>
      <c r="N418" s="268"/>
      <c r="O418" s="310"/>
      <c r="P418" s="268"/>
      <c r="Q418" s="309"/>
      <c r="R418" s="268"/>
      <c r="S418" s="313"/>
      <c r="T418" s="313"/>
      <c r="U418" s="268"/>
      <c r="V418" s="309"/>
      <c r="W418" s="310"/>
      <c r="X418" s="268"/>
      <c r="Y418" s="268"/>
      <c r="Z418" s="268"/>
    </row>
    <row r="419" spans="1:26" ht="24.75" customHeight="1">
      <c r="A419" s="268"/>
      <c r="B419" s="268"/>
      <c r="C419" s="268"/>
      <c r="D419" s="268"/>
      <c r="E419" s="268"/>
      <c r="F419" s="268"/>
      <c r="G419" s="268"/>
      <c r="H419" s="268"/>
      <c r="I419" s="268"/>
      <c r="J419" s="268"/>
      <c r="K419" s="268"/>
      <c r="L419" s="309"/>
      <c r="M419" s="268"/>
      <c r="N419" s="268"/>
      <c r="O419" s="310"/>
      <c r="P419" s="268"/>
      <c r="Q419" s="309"/>
      <c r="R419" s="268"/>
      <c r="S419" s="313"/>
      <c r="T419" s="313"/>
      <c r="U419" s="268"/>
      <c r="V419" s="309"/>
      <c r="W419" s="310"/>
      <c r="X419" s="268"/>
      <c r="Y419" s="268"/>
      <c r="Z419" s="268"/>
    </row>
    <row r="420" spans="1:26" ht="24.75" customHeight="1">
      <c r="A420" s="268"/>
      <c r="B420" s="268"/>
      <c r="C420" s="268"/>
      <c r="D420" s="268"/>
      <c r="E420" s="268"/>
      <c r="F420" s="268"/>
      <c r="G420" s="268"/>
      <c r="H420" s="268"/>
      <c r="I420" s="268"/>
      <c r="J420" s="268"/>
      <c r="K420" s="268"/>
      <c r="L420" s="309"/>
      <c r="M420" s="268"/>
      <c r="N420" s="268"/>
      <c r="O420" s="310"/>
      <c r="P420" s="268"/>
      <c r="Q420" s="309"/>
      <c r="R420" s="268"/>
      <c r="S420" s="313"/>
      <c r="T420" s="313"/>
      <c r="U420" s="268"/>
      <c r="V420" s="309"/>
      <c r="W420" s="310"/>
      <c r="X420" s="268"/>
      <c r="Y420" s="268"/>
      <c r="Z420" s="268"/>
    </row>
    <row r="421" spans="1:26" ht="24.75" customHeight="1">
      <c r="A421" s="268"/>
      <c r="B421" s="268"/>
      <c r="C421" s="268"/>
      <c r="D421" s="268"/>
      <c r="E421" s="268"/>
      <c r="F421" s="268"/>
      <c r="G421" s="268"/>
      <c r="H421" s="268"/>
      <c r="I421" s="268"/>
      <c r="J421" s="268"/>
      <c r="K421" s="268"/>
      <c r="L421" s="309"/>
      <c r="M421" s="268"/>
      <c r="N421" s="268"/>
      <c r="O421" s="310"/>
      <c r="P421" s="268"/>
      <c r="Q421" s="309"/>
      <c r="R421" s="268"/>
      <c r="S421" s="313"/>
      <c r="T421" s="313"/>
      <c r="U421" s="268"/>
      <c r="V421" s="309"/>
      <c r="W421" s="310"/>
      <c r="X421" s="268"/>
      <c r="Y421" s="268"/>
      <c r="Z421" s="268"/>
    </row>
    <row r="422" spans="1:26" ht="24.75" customHeight="1">
      <c r="A422" s="268"/>
      <c r="B422" s="268"/>
      <c r="C422" s="268"/>
      <c r="D422" s="268"/>
      <c r="E422" s="268"/>
      <c r="F422" s="268"/>
      <c r="G422" s="268"/>
      <c r="H422" s="268"/>
      <c r="I422" s="268"/>
      <c r="J422" s="268"/>
      <c r="K422" s="268"/>
      <c r="L422" s="309"/>
      <c r="M422" s="268"/>
      <c r="N422" s="268"/>
      <c r="O422" s="310"/>
      <c r="P422" s="268"/>
      <c r="Q422" s="309"/>
      <c r="R422" s="268"/>
      <c r="S422" s="313"/>
      <c r="T422" s="313"/>
      <c r="U422" s="268"/>
      <c r="V422" s="309"/>
      <c r="W422" s="310"/>
      <c r="X422" s="268"/>
      <c r="Y422" s="268"/>
      <c r="Z422" s="268"/>
    </row>
    <row r="423" spans="1:26" ht="24.75" customHeight="1">
      <c r="A423" s="268"/>
      <c r="B423" s="268"/>
      <c r="C423" s="268"/>
      <c r="D423" s="268"/>
      <c r="E423" s="268"/>
      <c r="F423" s="268"/>
      <c r="G423" s="268"/>
      <c r="H423" s="268"/>
      <c r="I423" s="268"/>
      <c r="J423" s="268"/>
      <c r="K423" s="268"/>
      <c r="L423" s="309"/>
      <c r="M423" s="268"/>
      <c r="N423" s="268"/>
      <c r="O423" s="310"/>
      <c r="P423" s="268"/>
      <c r="Q423" s="309"/>
      <c r="R423" s="268"/>
      <c r="S423" s="313"/>
      <c r="T423" s="313"/>
      <c r="U423" s="268"/>
      <c r="V423" s="309"/>
      <c r="W423" s="310"/>
      <c r="X423" s="268"/>
      <c r="Y423" s="268"/>
      <c r="Z423" s="268"/>
    </row>
    <row r="424" spans="1:26" ht="24.75" customHeight="1">
      <c r="A424" s="268"/>
      <c r="B424" s="268"/>
      <c r="C424" s="268"/>
      <c r="D424" s="268"/>
      <c r="E424" s="268"/>
      <c r="F424" s="268"/>
      <c r="G424" s="268"/>
      <c r="H424" s="268"/>
      <c r="I424" s="268"/>
      <c r="J424" s="268"/>
      <c r="K424" s="268"/>
      <c r="L424" s="309"/>
      <c r="M424" s="268"/>
      <c r="N424" s="268"/>
      <c r="O424" s="310"/>
      <c r="P424" s="268"/>
      <c r="Q424" s="309"/>
      <c r="R424" s="268"/>
      <c r="S424" s="313"/>
      <c r="T424" s="313"/>
      <c r="U424" s="268"/>
      <c r="V424" s="309"/>
      <c r="W424" s="310"/>
      <c r="X424" s="268"/>
      <c r="Y424" s="268"/>
      <c r="Z424" s="268"/>
    </row>
    <row r="425" spans="1:26" ht="24.75" customHeight="1">
      <c r="A425" s="268"/>
      <c r="B425" s="268"/>
      <c r="C425" s="268"/>
      <c r="D425" s="268"/>
      <c r="E425" s="268"/>
      <c r="F425" s="268"/>
      <c r="G425" s="268"/>
      <c r="H425" s="268"/>
      <c r="I425" s="268"/>
      <c r="J425" s="268"/>
      <c r="K425" s="268"/>
      <c r="L425" s="309"/>
      <c r="M425" s="268"/>
      <c r="N425" s="268"/>
      <c r="O425" s="310"/>
      <c r="P425" s="268"/>
      <c r="Q425" s="309"/>
      <c r="R425" s="268"/>
      <c r="S425" s="313"/>
      <c r="T425" s="313"/>
      <c r="U425" s="268"/>
      <c r="V425" s="309"/>
      <c r="W425" s="310"/>
      <c r="X425" s="268"/>
      <c r="Y425" s="268"/>
      <c r="Z425" s="268"/>
    </row>
    <row r="426" spans="1:26" ht="24.75" customHeight="1">
      <c r="A426" s="268"/>
      <c r="B426" s="268"/>
      <c r="C426" s="268"/>
      <c r="D426" s="268"/>
      <c r="E426" s="268"/>
      <c r="F426" s="268"/>
      <c r="G426" s="268"/>
      <c r="H426" s="268"/>
      <c r="I426" s="268"/>
      <c r="J426" s="268"/>
      <c r="K426" s="268"/>
      <c r="L426" s="309"/>
      <c r="M426" s="268"/>
      <c r="N426" s="268"/>
      <c r="O426" s="310"/>
      <c r="P426" s="268"/>
      <c r="Q426" s="309"/>
      <c r="R426" s="268"/>
      <c r="S426" s="313"/>
      <c r="T426" s="313"/>
      <c r="U426" s="268"/>
      <c r="V426" s="309"/>
      <c r="W426" s="310"/>
      <c r="X426" s="268"/>
      <c r="Y426" s="268"/>
      <c r="Z426" s="268"/>
    </row>
    <row r="427" spans="1:26" ht="24.75" customHeight="1">
      <c r="A427" s="268"/>
      <c r="B427" s="268"/>
      <c r="C427" s="268"/>
      <c r="D427" s="268"/>
      <c r="E427" s="268"/>
      <c r="F427" s="268"/>
      <c r="G427" s="268"/>
      <c r="H427" s="268"/>
      <c r="I427" s="268"/>
      <c r="J427" s="268"/>
      <c r="K427" s="268"/>
      <c r="L427" s="309"/>
      <c r="M427" s="268"/>
      <c r="N427" s="268"/>
      <c r="O427" s="310"/>
      <c r="P427" s="268"/>
      <c r="Q427" s="309"/>
      <c r="R427" s="268"/>
      <c r="S427" s="313"/>
      <c r="T427" s="313"/>
      <c r="U427" s="268"/>
      <c r="V427" s="309"/>
      <c r="W427" s="310"/>
      <c r="X427" s="268"/>
      <c r="Y427" s="268"/>
      <c r="Z427" s="268"/>
    </row>
    <row r="428" spans="1:26" ht="24.75" customHeight="1">
      <c r="A428" s="268"/>
      <c r="B428" s="268"/>
      <c r="C428" s="268"/>
      <c r="D428" s="268"/>
      <c r="E428" s="268"/>
      <c r="F428" s="268"/>
      <c r="G428" s="268"/>
      <c r="H428" s="268"/>
      <c r="I428" s="268"/>
      <c r="J428" s="268"/>
      <c r="K428" s="268"/>
      <c r="L428" s="309"/>
      <c r="M428" s="268"/>
      <c r="N428" s="268"/>
      <c r="O428" s="310"/>
      <c r="P428" s="268"/>
      <c r="Q428" s="309"/>
      <c r="R428" s="268"/>
      <c r="S428" s="313"/>
      <c r="T428" s="313"/>
      <c r="U428" s="268"/>
      <c r="V428" s="309"/>
      <c r="W428" s="310"/>
      <c r="X428" s="268"/>
      <c r="Y428" s="268"/>
      <c r="Z428" s="268"/>
    </row>
    <row r="429" spans="1:26" ht="24.75" customHeight="1">
      <c r="A429" s="268"/>
      <c r="B429" s="268"/>
      <c r="C429" s="268"/>
      <c r="D429" s="268"/>
      <c r="E429" s="268"/>
      <c r="F429" s="268"/>
      <c r="G429" s="268"/>
      <c r="H429" s="268"/>
      <c r="I429" s="268"/>
      <c r="J429" s="268"/>
      <c r="K429" s="268"/>
      <c r="L429" s="309"/>
      <c r="M429" s="268"/>
      <c r="N429" s="268"/>
      <c r="O429" s="310"/>
      <c r="P429" s="268"/>
      <c r="Q429" s="309"/>
      <c r="R429" s="268"/>
      <c r="S429" s="313"/>
      <c r="T429" s="313"/>
      <c r="U429" s="268"/>
      <c r="V429" s="309"/>
      <c r="W429" s="310"/>
      <c r="X429" s="268"/>
      <c r="Y429" s="268"/>
      <c r="Z429" s="268"/>
    </row>
    <row r="430" spans="1:26" ht="24.75" customHeight="1">
      <c r="A430" s="268"/>
      <c r="B430" s="268"/>
      <c r="C430" s="268"/>
      <c r="D430" s="268"/>
      <c r="E430" s="268"/>
      <c r="F430" s="268"/>
      <c r="G430" s="268"/>
      <c r="H430" s="268"/>
      <c r="I430" s="268"/>
      <c r="J430" s="268"/>
      <c r="K430" s="268"/>
      <c r="L430" s="309"/>
      <c r="M430" s="268"/>
      <c r="N430" s="268"/>
      <c r="O430" s="310"/>
      <c r="P430" s="268"/>
      <c r="Q430" s="309"/>
      <c r="R430" s="268"/>
      <c r="S430" s="313"/>
      <c r="T430" s="313"/>
      <c r="U430" s="268"/>
      <c r="V430" s="309"/>
      <c r="W430" s="310"/>
      <c r="X430" s="268"/>
      <c r="Y430" s="268"/>
      <c r="Z430" s="268"/>
    </row>
    <row r="431" spans="1:26" ht="24.75" customHeight="1">
      <c r="A431" s="268"/>
      <c r="B431" s="268"/>
      <c r="C431" s="268"/>
      <c r="D431" s="268"/>
      <c r="E431" s="268"/>
      <c r="F431" s="268"/>
      <c r="G431" s="268"/>
      <c r="H431" s="268"/>
      <c r="I431" s="268"/>
      <c r="J431" s="268"/>
      <c r="K431" s="268"/>
      <c r="L431" s="309"/>
      <c r="M431" s="268"/>
      <c r="N431" s="268"/>
      <c r="O431" s="310"/>
      <c r="P431" s="268"/>
      <c r="Q431" s="309"/>
      <c r="R431" s="268"/>
      <c r="S431" s="313"/>
      <c r="T431" s="313"/>
      <c r="U431" s="268"/>
      <c r="V431" s="309"/>
      <c r="W431" s="310"/>
      <c r="X431" s="268"/>
      <c r="Y431" s="268"/>
      <c r="Z431" s="268"/>
    </row>
    <row r="432" spans="1:26" ht="24.75" customHeight="1">
      <c r="A432" s="268"/>
      <c r="B432" s="268"/>
      <c r="C432" s="268"/>
      <c r="D432" s="268"/>
      <c r="E432" s="268"/>
      <c r="F432" s="268"/>
      <c r="G432" s="268"/>
      <c r="H432" s="268"/>
      <c r="I432" s="268"/>
      <c r="J432" s="268"/>
      <c r="K432" s="268"/>
      <c r="L432" s="309"/>
      <c r="M432" s="268"/>
      <c r="N432" s="268"/>
      <c r="O432" s="310"/>
      <c r="P432" s="268"/>
      <c r="Q432" s="309"/>
      <c r="R432" s="268"/>
      <c r="S432" s="313"/>
      <c r="T432" s="313"/>
      <c r="U432" s="268"/>
      <c r="V432" s="309"/>
      <c r="W432" s="310"/>
      <c r="X432" s="268"/>
      <c r="Y432" s="268"/>
      <c r="Z432" s="268"/>
    </row>
    <row r="433" spans="1:26" ht="24.75" customHeight="1">
      <c r="A433" s="268"/>
      <c r="B433" s="268"/>
      <c r="C433" s="268"/>
      <c r="D433" s="268"/>
      <c r="E433" s="268"/>
      <c r="F433" s="268"/>
      <c r="G433" s="268"/>
      <c r="H433" s="268"/>
      <c r="I433" s="268"/>
      <c r="J433" s="268"/>
      <c r="K433" s="268"/>
      <c r="L433" s="309"/>
      <c r="M433" s="268"/>
      <c r="N433" s="268"/>
      <c r="O433" s="310"/>
      <c r="P433" s="268"/>
      <c r="Q433" s="309"/>
      <c r="R433" s="268"/>
      <c r="S433" s="313"/>
      <c r="T433" s="313"/>
      <c r="U433" s="268"/>
      <c r="V433" s="309"/>
      <c r="W433" s="310"/>
      <c r="X433" s="268"/>
      <c r="Y433" s="268"/>
      <c r="Z433" s="268"/>
    </row>
    <row r="434" spans="1:26" ht="24.75" customHeight="1">
      <c r="A434" s="268"/>
      <c r="B434" s="268"/>
      <c r="C434" s="268"/>
      <c r="D434" s="268"/>
      <c r="E434" s="268"/>
      <c r="F434" s="268"/>
      <c r="G434" s="268"/>
      <c r="H434" s="268"/>
      <c r="I434" s="268"/>
      <c r="J434" s="268"/>
      <c r="K434" s="268"/>
      <c r="L434" s="309"/>
      <c r="M434" s="268"/>
      <c r="N434" s="268"/>
      <c r="O434" s="310"/>
      <c r="P434" s="268"/>
      <c r="Q434" s="309"/>
      <c r="R434" s="268"/>
      <c r="S434" s="313"/>
      <c r="T434" s="313"/>
      <c r="U434" s="268"/>
      <c r="V434" s="309"/>
      <c r="W434" s="310"/>
      <c r="X434" s="268"/>
      <c r="Y434" s="268"/>
      <c r="Z434" s="268"/>
    </row>
    <row r="435" spans="1:26" ht="24.75" customHeight="1">
      <c r="A435" s="268"/>
      <c r="B435" s="268"/>
      <c r="C435" s="268"/>
      <c r="D435" s="268"/>
      <c r="E435" s="268"/>
      <c r="F435" s="268"/>
      <c r="G435" s="268"/>
      <c r="H435" s="268"/>
      <c r="I435" s="268"/>
      <c r="J435" s="268"/>
      <c r="K435" s="268"/>
      <c r="L435" s="309"/>
      <c r="M435" s="268"/>
      <c r="N435" s="268"/>
      <c r="O435" s="310"/>
      <c r="P435" s="268"/>
      <c r="Q435" s="309"/>
      <c r="R435" s="268"/>
      <c r="S435" s="313"/>
      <c r="T435" s="313"/>
      <c r="U435" s="268"/>
      <c r="V435" s="309"/>
      <c r="W435" s="310"/>
      <c r="X435" s="268"/>
      <c r="Y435" s="268"/>
      <c r="Z435" s="268"/>
    </row>
    <row r="436" spans="1:26" ht="24.75" customHeight="1">
      <c r="A436" s="268"/>
      <c r="B436" s="268"/>
      <c r="C436" s="268"/>
      <c r="D436" s="268"/>
      <c r="E436" s="268"/>
      <c r="F436" s="268"/>
      <c r="G436" s="268"/>
      <c r="H436" s="268"/>
      <c r="I436" s="268"/>
      <c r="J436" s="268"/>
      <c r="K436" s="268"/>
      <c r="L436" s="309"/>
      <c r="M436" s="268"/>
      <c r="N436" s="268"/>
      <c r="O436" s="310"/>
      <c r="P436" s="268"/>
      <c r="Q436" s="309"/>
      <c r="R436" s="268"/>
      <c r="S436" s="313"/>
      <c r="T436" s="313"/>
      <c r="U436" s="268"/>
      <c r="V436" s="309"/>
      <c r="W436" s="310"/>
      <c r="X436" s="268"/>
      <c r="Y436" s="268"/>
      <c r="Z436" s="268"/>
    </row>
    <row r="437" spans="1:26" ht="24.75" customHeight="1">
      <c r="A437" s="268"/>
      <c r="B437" s="268"/>
      <c r="C437" s="268"/>
      <c r="D437" s="268"/>
      <c r="E437" s="268"/>
      <c r="F437" s="268"/>
      <c r="G437" s="268"/>
      <c r="H437" s="268"/>
      <c r="I437" s="268"/>
      <c r="J437" s="268"/>
      <c r="K437" s="268"/>
      <c r="L437" s="309"/>
      <c r="M437" s="268"/>
      <c r="N437" s="268"/>
      <c r="O437" s="310"/>
      <c r="P437" s="268"/>
      <c r="Q437" s="309"/>
      <c r="R437" s="268"/>
      <c r="S437" s="313"/>
      <c r="T437" s="313"/>
      <c r="U437" s="268"/>
      <c r="V437" s="309"/>
      <c r="W437" s="310"/>
      <c r="X437" s="268"/>
      <c r="Y437" s="268"/>
      <c r="Z437" s="268"/>
    </row>
    <row r="438" spans="1:26" ht="24.75" customHeight="1">
      <c r="A438" s="268"/>
      <c r="B438" s="268"/>
      <c r="C438" s="268"/>
      <c r="D438" s="268"/>
      <c r="E438" s="268"/>
      <c r="F438" s="268"/>
      <c r="G438" s="268"/>
      <c r="H438" s="268"/>
      <c r="I438" s="268"/>
      <c r="J438" s="268"/>
      <c r="K438" s="268"/>
      <c r="L438" s="309"/>
      <c r="M438" s="268"/>
      <c r="N438" s="268"/>
      <c r="O438" s="310"/>
      <c r="P438" s="268"/>
      <c r="Q438" s="309"/>
      <c r="R438" s="268"/>
      <c r="S438" s="313"/>
      <c r="T438" s="313"/>
      <c r="U438" s="268"/>
      <c r="V438" s="309"/>
      <c r="W438" s="310"/>
      <c r="X438" s="268"/>
      <c r="Y438" s="268"/>
      <c r="Z438" s="268"/>
    </row>
    <row r="439" spans="1:26" ht="24.75" customHeight="1">
      <c r="A439" s="268"/>
      <c r="B439" s="268"/>
      <c r="C439" s="268"/>
      <c r="D439" s="268"/>
      <c r="E439" s="268"/>
      <c r="F439" s="268"/>
      <c r="G439" s="268"/>
      <c r="H439" s="268"/>
      <c r="I439" s="268"/>
      <c r="J439" s="268"/>
      <c r="K439" s="268"/>
      <c r="L439" s="309"/>
      <c r="M439" s="268"/>
      <c r="N439" s="268"/>
      <c r="O439" s="310"/>
      <c r="P439" s="268"/>
      <c r="Q439" s="309"/>
      <c r="R439" s="268"/>
      <c r="S439" s="313"/>
      <c r="T439" s="313"/>
      <c r="U439" s="268"/>
      <c r="V439" s="309"/>
      <c r="W439" s="310"/>
      <c r="X439" s="268"/>
      <c r="Y439" s="268"/>
      <c r="Z439" s="268"/>
    </row>
    <row r="440" spans="1:26" ht="24.75" customHeight="1">
      <c r="A440" s="268"/>
      <c r="B440" s="268"/>
      <c r="C440" s="268"/>
      <c r="D440" s="268"/>
      <c r="E440" s="268"/>
      <c r="F440" s="268"/>
      <c r="G440" s="268"/>
      <c r="H440" s="268"/>
      <c r="I440" s="268"/>
      <c r="J440" s="268"/>
      <c r="K440" s="268"/>
      <c r="L440" s="309"/>
      <c r="M440" s="268"/>
      <c r="N440" s="268"/>
      <c r="O440" s="310"/>
      <c r="P440" s="268"/>
      <c r="Q440" s="309"/>
      <c r="R440" s="268"/>
      <c r="S440" s="313"/>
      <c r="T440" s="313"/>
      <c r="U440" s="268"/>
      <c r="V440" s="309"/>
      <c r="W440" s="310"/>
      <c r="X440" s="268"/>
      <c r="Y440" s="268"/>
      <c r="Z440" s="268"/>
    </row>
    <row r="441" spans="1:26" ht="24.75" customHeight="1">
      <c r="A441" s="268"/>
      <c r="B441" s="268"/>
      <c r="C441" s="268"/>
      <c r="D441" s="268"/>
      <c r="E441" s="268"/>
      <c r="F441" s="268"/>
      <c r="G441" s="268"/>
      <c r="H441" s="268"/>
      <c r="I441" s="268"/>
      <c r="J441" s="268"/>
      <c r="K441" s="268"/>
      <c r="L441" s="309"/>
      <c r="M441" s="268"/>
      <c r="N441" s="268"/>
      <c r="O441" s="310"/>
      <c r="P441" s="268"/>
      <c r="Q441" s="309"/>
      <c r="R441" s="268"/>
      <c r="S441" s="313"/>
      <c r="T441" s="313"/>
      <c r="U441" s="268"/>
      <c r="V441" s="309"/>
      <c r="W441" s="310"/>
      <c r="X441" s="268"/>
      <c r="Y441" s="268"/>
      <c r="Z441" s="268"/>
    </row>
    <row r="442" spans="1:26" ht="24.75" customHeight="1">
      <c r="A442" s="268"/>
      <c r="B442" s="268"/>
      <c r="C442" s="268"/>
      <c r="D442" s="268"/>
      <c r="E442" s="268"/>
      <c r="F442" s="268"/>
      <c r="G442" s="268"/>
      <c r="H442" s="268"/>
      <c r="I442" s="268"/>
      <c r="J442" s="268"/>
      <c r="K442" s="268"/>
      <c r="L442" s="309"/>
      <c r="M442" s="268"/>
      <c r="N442" s="268"/>
      <c r="O442" s="310"/>
      <c r="P442" s="268"/>
      <c r="Q442" s="309"/>
      <c r="R442" s="268"/>
      <c r="S442" s="313"/>
      <c r="T442" s="313"/>
      <c r="U442" s="268"/>
      <c r="V442" s="309"/>
      <c r="W442" s="310"/>
      <c r="X442" s="268"/>
      <c r="Y442" s="268"/>
      <c r="Z442" s="268"/>
    </row>
    <row r="443" spans="1:26" ht="24.75" customHeight="1">
      <c r="A443" s="268"/>
      <c r="B443" s="268"/>
      <c r="C443" s="268"/>
      <c r="D443" s="268"/>
      <c r="E443" s="268"/>
      <c r="F443" s="268"/>
      <c r="G443" s="268"/>
      <c r="H443" s="268"/>
      <c r="I443" s="268"/>
      <c r="J443" s="268"/>
      <c r="K443" s="268"/>
      <c r="L443" s="309"/>
      <c r="M443" s="268"/>
      <c r="N443" s="268"/>
      <c r="O443" s="310"/>
      <c r="P443" s="268"/>
      <c r="Q443" s="309"/>
      <c r="R443" s="268"/>
      <c r="S443" s="313"/>
      <c r="T443" s="313"/>
      <c r="U443" s="268"/>
      <c r="V443" s="309"/>
      <c r="W443" s="310"/>
      <c r="X443" s="268"/>
      <c r="Y443" s="268"/>
      <c r="Z443" s="268"/>
    </row>
    <row r="444" spans="1:26" ht="24.75" customHeight="1">
      <c r="A444" s="268"/>
      <c r="B444" s="268"/>
      <c r="C444" s="268"/>
      <c r="D444" s="268"/>
      <c r="E444" s="268"/>
      <c r="F444" s="268"/>
      <c r="G444" s="268"/>
      <c r="H444" s="268"/>
      <c r="I444" s="268"/>
      <c r="J444" s="268"/>
      <c r="K444" s="268"/>
      <c r="L444" s="309"/>
      <c r="M444" s="268"/>
      <c r="N444" s="268"/>
      <c r="O444" s="310"/>
      <c r="P444" s="268"/>
      <c r="Q444" s="309"/>
      <c r="R444" s="268"/>
      <c r="S444" s="313"/>
      <c r="T444" s="313"/>
      <c r="U444" s="268"/>
      <c r="V444" s="309"/>
      <c r="W444" s="310"/>
      <c r="X444" s="268"/>
      <c r="Y444" s="268"/>
      <c r="Z444" s="268"/>
    </row>
    <row r="445" spans="1:26" ht="24.75" customHeight="1">
      <c r="A445" s="268"/>
      <c r="B445" s="268"/>
      <c r="C445" s="268"/>
      <c r="D445" s="268"/>
      <c r="E445" s="268"/>
      <c r="F445" s="268"/>
      <c r="G445" s="268"/>
      <c r="H445" s="268"/>
      <c r="I445" s="268"/>
      <c r="J445" s="268"/>
      <c r="K445" s="268"/>
      <c r="L445" s="309"/>
      <c r="M445" s="268"/>
      <c r="N445" s="268"/>
      <c r="O445" s="310"/>
      <c r="P445" s="268"/>
      <c r="Q445" s="309"/>
      <c r="R445" s="268"/>
      <c r="S445" s="313"/>
      <c r="T445" s="313"/>
      <c r="U445" s="268"/>
      <c r="V445" s="309"/>
      <c r="W445" s="310"/>
      <c r="X445" s="268"/>
      <c r="Y445" s="268"/>
      <c r="Z445" s="268"/>
    </row>
    <row r="446" spans="1:26" ht="24.75" customHeight="1">
      <c r="A446" s="268"/>
      <c r="B446" s="268"/>
      <c r="C446" s="268"/>
      <c r="D446" s="268"/>
      <c r="E446" s="268"/>
      <c r="F446" s="268"/>
      <c r="G446" s="268"/>
      <c r="H446" s="268"/>
      <c r="I446" s="268"/>
      <c r="J446" s="268"/>
      <c r="K446" s="268"/>
      <c r="L446" s="309"/>
      <c r="M446" s="268"/>
      <c r="N446" s="268"/>
      <c r="O446" s="310"/>
      <c r="P446" s="268"/>
      <c r="Q446" s="309"/>
      <c r="R446" s="268"/>
      <c r="S446" s="313"/>
      <c r="T446" s="313"/>
      <c r="U446" s="268"/>
      <c r="V446" s="309"/>
      <c r="W446" s="310"/>
      <c r="X446" s="268"/>
      <c r="Y446" s="268"/>
      <c r="Z446" s="268"/>
    </row>
    <row r="447" spans="1:26" ht="24.75" customHeight="1">
      <c r="A447" s="268"/>
      <c r="B447" s="268"/>
      <c r="C447" s="268"/>
      <c r="D447" s="268"/>
      <c r="E447" s="268"/>
      <c r="F447" s="268"/>
      <c r="G447" s="268"/>
      <c r="H447" s="268"/>
      <c r="I447" s="268"/>
      <c r="J447" s="268"/>
      <c r="K447" s="268"/>
      <c r="L447" s="309"/>
      <c r="M447" s="268"/>
      <c r="N447" s="268"/>
      <c r="O447" s="310"/>
      <c r="P447" s="268"/>
      <c r="Q447" s="309"/>
      <c r="R447" s="268"/>
      <c r="S447" s="313"/>
      <c r="T447" s="313"/>
      <c r="U447" s="268"/>
      <c r="V447" s="309"/>
      <c r="W447" s="310"/>
      <c r="X447" s="268"/>
      <c r="Y447" s="268"/>
      <c r="Z447" s="268"/>
    </row>
    <row r="448" spans="1:26" ht="24.75" customHeight="1">
      <c r="A448" s="268"/>
      <c r="B448" s="268"/>
      <c r="C448" s="268"/>
      <c r="D448" s="268"/>
      <c r="E448" s="268"/>
      <c r="F448" s="268"/>
      <c r="G448" s="268"/>
      <c r="H448" s="268"/>
      <c r="I448" s="268"/>
      <c r="J448" s="268"/>
      <c r="K448" s="268"/>
      <c r="L448" s="309"/>
      <c r="M448" s="268"/>
      <c r="N448" s="268"/>
      <c r="O448" s="310"/>
      <c r="P448" s="268"/>
      <c r="Q448" s="309"/>
      <c r="R448" s="268"/>
      <c r="S448" s="313"/>
      <c r="T448" s="313"/>
      <c r="U448" s="268"/>
      <c r="V448" s="309"/>
      <c r="W448" s="310"/>
      <c r="X448" s="268"/>
      <c r="Y448" s="268"/>
      <c r="Z448" s="268"/>
    </row>
    <row r="449" spans="1:26" ht="24.75" customHeight="1">
      <c r="A449" s="268"/>
      <c r="B449" s="268"/>
      <c r="C449" s="268"/>
      <c r="D449" s="268"/>
      <c r="E449" s="268"/>
      <c r="F449" s="268"/>
      <c r="G449" s="268"/>
      <c r="H449" s="268"/>
      <c r="I449" s="268"/>
      <c r="J449" s="268"/>
      <c r="K449" s="268"/>
      <c r="L449" s="309"/>
      <c r="M449" s="268"/>
      <c r="N449" s="268"/>
      <c r="O449" s="310"/>
      <c r="P449" s="268"/>
      <c r="Q449" s="309"/>
      <c r="R449" s="268"/>
      <c r="S449" s="313"/>
      <c r="T449" s="313"/>
      <c r="U449" s="268"/>
      <c r="V449" s="309"/>
      <c r="W449" s="310"/>
      <c r="X449" s="268"/>
      <c r="Y449" s="268"/>
      <c r="Z449" s="268"/>
    </row>
    <row r="450" spans="1:26" ht="24.75" customHeight="1">
      <c r="A450" s="268"/>
      <c r="B450" s="268"/>
      <c r="C450" s="268"/>
      <c r="D450" s="268"/>
      <c r="E450" s="268"/>
      <c r="F450" s="268"/>
      <c r="G450" s="268"/>
      <c r="H450" s="268"/>
      <c r="I450" s="268"/>
      <c r="J450" s="268"/>
      <c r="K450" s="268"/>
      <c r="L450" s="309"/>
      <c r="M450" s="268"/>
      <c r="N450" s="268"/>
      <c r="O450" s="310"/>
      <c r="P450" s="268"/>
      <c r="Q450" s="309"/>
      <c r="R450" s="268"/>
      <c r="S450" s="313"/>
      <c r="T450" s="313"/>
      <c r="U450" s="268"/>
      <c r="V450" s="309"/>
      <c r="W450" s="310"/>
      <c r="X450" s="268"/>
      <c r="Y450" s="268"/>
      <c r="Z450" s="268"/>
    </row>
    <row r="451" spans="1:26" ht="24.75" customHeight="1">
      <c r="A451" s="268"/>
      <c r="B451" s="268"/>
      <c r="C451" s="268"/>
      <c r="D451" s="268"/>
      <c r="E451" s="268"/>
      <c r="F451" s="268"/>
      <c r="G451" s="268"/>
      <c r="H451" s="268"/>
      <c r="I451" s="268"/>
      <c r="J451" s="268"/>
      <c r="K451" s="268"/>
      <c r="L451" s="309"/>
      <c r="M451" s="268"/>
      <c r="N451" s="268"/>
      <c r="O451" s="310"/>
      <c r="P451" s="268"/>
      <c r="Q451" s="309"/>
      <c r="R451" s="268"/>
      <c r="S451" s="313"/>
      <c r="T451" s="313"/>
      <c r="U451" s="268"/>
      <c r="V451" s="309"/>
      <c r="W451" s="310"/>
      <c r="X451" s="268"/>
      <c r="Y451" s="268"/>
      <c r="Z451" s="268"/>
    </row>
    <row r="452" spans="1:26" ht="24.75" customHeight="1">
      <c r="A452" s="268"/>
      <c r="B452" s="268"/>
      <c r="C452" s="268"/>
      <c r="D452" s="268"/>
      <c r="E452" s="268"/>
      <c r="F452" s="268"/>
      <c r="G452" s="268"/>
      <c r="H452" s="268"/>
      <c r="I452" s="268"/>
      <c r="J452" s="268"/>
      <c r="K452" s="268"/>
      <c r="L452" s="309"/>
      <c r="M452" s="268"/>
      <c r="N452" s="268"/>
      <c r="O452" s="310"/>
      <c r="P452" s="268"/>
      <c r="Q452" s="309"/>
      <c r="R452" s="268"/>
      <c r="S452" s="313"/>
      <c r="T452" s="313"/>
      <c r="U452" s="268"/>
      <c r="V452" s="309"/>
      <c r="W452" s="310"/>
      <c r="X452" s="268"/>
      <c r="Y452" s="268"/>
      <c r="Z452" s="268"/>
    </row>
    <row r="453" spans="1:26" ht="24.75" customHeight="1">
      <c r="A453" s="268"/>
      <c r="B453" s="268"/>
      <c r="C453" s="268"/>
      <c r="D453" s="268"/>
      <c r="E453" s="268"/>
      <c r="F453" s="268"/>
      <c r="G453" s="268"/>
      <c r="H453" s="268"/>
      <c r="I453" s="268"/>
      <c r="J453" s="268"/>
      <c r="K453" s="268"/>
      <c r="L453" s="309"/>
      <c r="M453" s="268"/>
      <c r="N453" s="268"/>
      <c r="O453" s="310"/>
      <c r="P453" s="268"/>
      <c r="Q453" s="309"/>
      <c r="R453" s="268"/>
      <c r="S453" s="313"/>
      <c r="T453" s="313"/>
      <c r="U453" s="268"/>
      <c r="V453" s="309"/>
      <c r="W453" s="310"/>
      <c r="X453" s="268"/>
      <c r="Y453" s="268"/>
      <c r="Z453" s="268"/>
    </row>
    <row r="454" spans="1:26" ht="24.75" customHeight="1">
      <c r="A454" s="268"/>
      <c r="B454" s="268"/>
      <c r="C454" s="268"/>
      <c r="D454" s="268"/>
      <c r="E454" s="268"/>
      <c r="F454" s="268"/>
      <c r="G454" s="268"/>
      <c r="H454" s="268"/>
      <c r="I454" s="268"/>
      <c r="J454" s="268"/>
      <c r="K454" s="268"/>
      <c r="L454" s="309"/>
      <c r="M454" s="268"/>
      <c r="N454" s="268"/>
      <c r="O454" s="310"/>
      <c r="P454" s="268"/>
      <c r="Q454" s="309"/>
      <c r="R454" s="268"/>
      <c r="S454" s="313"/>
      <c r="T454" s="313"/>
      <c r="U454" s="268"/>
      <c r="V454" s="309"/>
      <c r="W454" s="310"/>
      <c r="X454" s="268"/>
      <c r="Y454" s="268"/>
      <c r="Z454" s="268"/>
    </row>
    <row r="455" spans="1:26" ht="24.75" customHeight="1">
      <c r="A455" s="268"/>
      <c r="B455" s="268"/>
      <c r="C455" s="268"/>
      <c r="D455" s="268"/>
      <c r="E455" s="268"/>
      <c r="F455" s="268"/>
      <c r="G455" s="268"/>
      <c r="H455" s="268"/>
      <c r="I455" s="268"/>
      <c r="J455" s="268"/>
      <c r="K455" s="268"/>
      <c r="L455" s="309"/>
      <c r="M455" s="268"/>
      <c r="N455" s="268"/>
      <c r="O455" s="310"/>
      <c r="P455" s="268"/>
      <c r="Q455" s="309"/>
      <c r="R455" s="268"/>
      <c r="S455" s="313"/>
      <c r="T455" s="313"/>
      <c r="U455" s="268"/>
      <c r="V455" s="309"/>
      <c r="W455" s="310"/>
      <c r="X455" s="268"/>
      <c r="Y455" s="268"/>
      <c r="Z455" s="268"/>
    </row>
    <row r="456" spans="1:26" ht="24.75" customHeight="1">
      <c r="A456" s="268"/>
      <c r="B456" s="268"/>
      <c r="C456" s="268"/>
      <c r="D456" s="268"/>
      <c r="E456" s="268"/>
      <c r="F456" s="268"/>
      <c r="G456" s="268"/>
      <c r="H456" s="268"/>
      <c r="I456" s="268"/>
      <c r="J456" s="268"/>
      <c r="K456" s="268"/>
      <c r="L456" s="309"/>
      <c r="M456" s="268"/>
      <c r="N456" s="268"/>
      <c r="O456" s="310"/>
      <c r="P456" s="268"/>
      <c r="Q456" s="309"/>
      <c r="R456" s="268"/>
      <c r="S456" s="313"/>
      <c r="T456" s="313"/>
      <c r="U456" s="268"/>
      <c r="V456" s="309"/>
      <c r="W456" s="310"/>
      <c r="X456" s="268"/>
      <c r="Y456" s="268"/>
      <c r="Z456" s="268"/>
    </row>
    <row r="457" spans="1:26" ht="24.75" customHeight="1">
      <c r="A457" s="268"/>
      <c r="B457" s="268"/>
      <c r="C457" s="268"/>
      <c r="D457" s="268"/>
      <c r="E457" s="268"/>
      <c r="F457" s="268"/>
      <c r="G457" s="268"/>
      <c r="H457" s="268"/>
      <c r="I457" s="268"/>
      <c r="J457" s="268"/>
      <c r="K457" s="268"/>
      <c r="L457" s="309"/>
      <c r="M457" s="268"/>
      <c r="N457" s="268"/>
      <c r="O457" s="310"/>
      <c r="P457" s="268"/>
      <c r="Q457" s="309"/>
      <c r="R457" s="268"/>
      <c r="S457" s="313"/>
      <c r="T457" s="313"/>
      <c r="U457" s="268"/>
      <c r="V457" s="309"/>
      <c r="W457" s="310"/>
      <c r="X457" s="268"/>
      <c r="Y457" s="268"/>
      <c r="Z457" s="268"/>
    </row>
    <row r="458" spans="1:26" ht="24.75" customHeight="1">
      <c r="A458" s="268"/>
      <c r="B458" s="268"/>
      <c r="C458" s="268"/>
      <c r="D458" s="268"/>
      <c r="E458" s="268"/>
      <c r="F458" s="268"/>
      <c r="G458" s="268"/>
      <c r="H458" s="268"/>
      <c r="I458" s="268"/>
      <c r="J458" s="268"/>
      <c r="K458" s="268"/>
      <c r="L458" s="309"/>
      <c r="M458" s="268"/>
      <c r="N458" s="268"/>
      <c r="O458" s="310"/>
      <c r="P458" s="268"/>
      <c r="Q458" s="309"/>
      <c r="R458" s="268"/>
      <c r="S458" s="313"/>
      <c r="T458" s="313"/>
      <c r="U458" s="268"/>
      <c r="V458" s="309"/>
      <c r="W458" s="310"/>
      <c r="X458" s="268"/>
      <c r="Y458" s="268"/>
      <c r="Z458" s="268"/>
    </row>
    <row r="459" spans="1:26" ht="24.75" customHeight="1">
      <c r="A459" s="268"/>
      <c r="B459" s="268"/>
      <c r="C459" s="268"/>
      <c r="D459" s="268"/>
      <c r="E459" s="268"/>
      <c r="F459" s="268"/>
      <c r="G459" s="268"/>
      <c r="H459" s="268"/>
      <c r="I459" s="268"/>
      <c r="J459" s="268"/>
      <c r="K459" s="268"/>
      <c r="L459" s="309"/>
      <c r="M459" s="268"/>
      <c r="N459" s="268"/>
      <c r="O459" s="310"/>
      <c r="P459" s="268"/>
      <c r="Q459" s="309"/>
      <c r="R459" s="268"/>
      <c r="S459" s="313"/>
      <c r="T459" s="313"/>
      <c r="U459" s="268"/>
      <c r="V459" s="309"/>
      <c r="W459" s="310"/>
      <c r="X459" s="268"/>
      <c r="Y459" s="268"/>
      <c r="Z459" s="268"/>
    </row>
    <row r="460" spans="1:26" ht="24.75" customHeight="1">
      <c r="A460" s="268"/>
      <c r="B460" s="268"/>
      <c r="C460" s="268"/>
      <c r="D460" s="268"/>
      <c r="E460" s="268"/>
      <c r="F460" s="268"/>
      <c r="G460" s="268"/>
      <c r="H460" s="268"/>
      <c r="I460" s="268"/>
      <c r="J460" s="268"/>
      <c r="K460" s="268"/>
      <c r="L460" s="309"/>
      <c r="M460" s="268"/>
      <c r="N460" s="268"/>
      <c r="O460" s="310"/>
      <c r="P460" s="268"/>
      <c r="Q460" s="309"/>
      <c r="R460" s="268"/>
      <c r="S460" s="313"/>
      <c r="T460" s="313"/>
      <c r="U460" s="268"/>
      <c r="V460" s="309"/>
      <c r="W460" s="310"/>
      <c r="X460" s="268"/>
      <c r="Y460" s="268"/>
      <c r="Z460" s="268"/>
    </row>
    <row r="461" spans="1:26" ht="24.75" customHeight="1">
      <c r="A461" s="268"/>
      <c r="B461" s="268"/>
      <c r="C461" s="268"/>
      <c r="D461" s="268"/>
      <c r="E461" s="268"/>
      <c r="F461" s="268"/>
      <c r="G461" s="268"/>
      <c r="H461" s="268"/>
      <c r="I461" s="268"/>
      <c r="J461" s="268"/>
      <c r="K461" s="268"/>
      <c r="L461" s="309"/>
      <c r="M461" s="268"/>
      <c r="N461" s="268"/>
      <c r="O461" s="310"/>
      <c r="P461" s="268"/>
      <c r="Q461" s="309"/>
      <c r="R461" s="268"/>
      <c r="S461" s="313"/>
      <c r="T461" s="313"/>
      <c r="U461" s="268"/>
      <c r="V461" s="309"/>
      <c r="W461" s="310"/>
      <c r="X461" s="268"/>
      <c r="Y461" s="268"/>
      <c r="Z461" s="268"/>
    </row>
    <row r="462" spans="1:26" ht="24.75" customHeight="1">
      <c r="A462" s="268"/>
      <c r="B462" s="268"/>
      <c r="C462" s="268"/>
      <c r="D462" s="268"/>
      <c r="E462" s="268"/>
      <c r="F462" s="268"/>
      <c r="G462" s="268"/>
      <c r="H462" s="268"/>
      <c r="I462" s="268"/>
      <c r="J462" s="268"/>
      <c r="K462" s="268"/>
      <c r="L462" s="309"/>
      <c r="M462" s="268"/>
      <c r="N462" s="268"/>
      <c r="O462" s="310"/>
      <c r="P462" s="268"/>
      <c r="Q462" s="309"/>
      <c r="R462" s="268"/>
      <c r="S462" s="313"/>
      <c r="T462" s="313"/>
      <c r="U462" s="268"/>
      <c r="V462" s="309"/>
      <c r="W462" s="310"/>
      <c r="X462" s="268"/>
      <c r="Y462" s="268"/>
      <c r="Z462" s="268"/>
    </row>
    <row r="463" spans="1:26" ht="24.75" customHeight="1">
      <c r="A463" s="268"/>
      <c r="B463" s="268"/>
      <c r="C463" s="268"/>
      <c r="D463" s="268"/>
      <c r="E463" s="268"/>
      <c r="F463" s="268"/>
      <c r="G463" s="268"/>
      <c r="H463" s="268"/>
      <c r="I463" s="268"/>
      <c r="J463" s="268"/>
      <c r="K463" s="268"/>
      <c r="L463" s="309"/>
      <c r="M463" s="268"/>
      <c r="N463" s="268"/>
      <c r="O463" s="310"/>
      <c r="P463" s="268"/>
      <c r="Q463" s="309"/>
      <c r="R463" s="268"/>
      <c r="S463" s="313"/>
      <c r="T463" s="313"/>
      <c r="U463" s="268"/>
      <c r="V463" s="309"/>
      <c r="W463" s="310"/>
      <c r="X463" s="268"/>
      <c r="Y463" s="268"/>
      <c r="Z463" s="268"/>
    </row>
    <row r="464" spans="1:26" ht="24.75" customHeight="1">
      <c r="A464" s="268"/>
      <c r="B464" s="268"/>
      <c r="C464" s="268"/>
      <c r="D464" s="268"/>
      <c r="E464" s="268"/>
      <c r="F464" s="268"/>
      <c r="G464" s="268"/>
      <c r="H464" s="268"/>
      <c r="I464" s="268"/>
      <c r="J464" s="268"/>
      <c r="K464" s="268"/>
      <c r="L464" s="309"/>
      <c r="M464" s="268"/>
      <c r="N464" s="268"/>
      <c r="O464" s="310"/>
      <c r="P464" s="268"/>
      <c r="Q464" s="309"/>
      <c r="R464" s="268"/>
      <c r="S464" s="313"/>
      <c r="T464" s="313"/>
      <c r="U464" s="268"/>
      <c r="V464" s="309"/>
      <c r="W464" s="310"/>
      <c r="X464" s="268"/>
      <c r="Y464" s="268"/>
      <c r="Z464" s="268"/>
    </row>
    <row r="465" spans="1:26" ht="24.75" customHeight="1">
      <c r="A465" s="268"/>
      <c r="B465" s="268"/>
      <c r="C465" s="268"/>
      <c r="D465" s="268"/>
      <c r="E465" s="268"/>
      <c r="F465" s="268"/>
      <c r="G465" s="268"/>
      <c r="H465" s="268"/>
      <c r="I465" s="268"/>
      <c r="J465" s="268"/>
      <c r="K465" s="268"/>
      <c r="L465" s="309"/>
      <c r="M465" s="268"/>
      <c r="N465" s="268"/>
      <c r="O465" s="310"/>
      <c r="P465" s="268"/>
      <c r="Q465" s="309"/>
      <c r="R465" s="268"/>
      <c r="S465" s="313"/>
      <c r="T465" s="313"/>
      <c r="U465" s="268"/>
      <c r="V465" s="309"/>
      <c r="W465" s="310"/>
      <c r="X465" s="268"/>
      <c r="Y465" s="268"/>
      <c r="Z465" s="268"/>
    </row>
    <row r="466" spans="1:26" ht="24.75" customHeight="1">
      <c r="A466" s="268"/>
      <c r="B466" s="268"/>
      <c r="C466" s="268"/>
      <c r="D466" s="268"/>
      <c r="E466" s="268"/>
      <c r="F466" s="268"/>
      <c r="G466" s="268"/>
      <c r="H466" s="268"/>
      <c r="I466" s="268"/>
      <c r="J466" s="268"/>
      <c r="K466" s="268"/>
      <c r="L466" s="309"/>
      <c r="M466" s="268"/>
      <c r="N466" s="268"/>
      <c r="O466" s="310"/>
      <c r="P466" s="268"/>
      <c r="Q466" s="309"/>
      <c r="R466" s="268"/>
      <c r="S466" s="313"/>
      <c r="T466" s="313"/>
      <c r="U466" s="268"/>
      <c r="V466" s="309"/>
      <c r="W466" s="310"/>
      <c r="X466" s="268"/>
      <c r="Y466" s="268"/>
      <c r="Z466" s="268"/>
    </row>
    <row r="467" spans="1:26" ht="24.75" customHeight="1">
      <c r="A467" s="268"/>
      <c r="B467" s="268"/>
      <c r="C467" s="268"/>
      <c r="D467" s="268"/>
      <c r="E467" s="268"/>
      <c r="F467" s="268"/>
      <c r="G467" s="268"/>
      <c r="H467" s="268"/>
      <c r="I467" s="268"/>
      <c r="J467" s="268"/>
      <c r="K467" s="268"/>
      <c r="L467" s="309"/>
      <c r="M467" s="268"/>
      <c r="N467" s="268"/>
      <c r="O467" s="310"/>
      <c r="P467" s="268"/>
      <c r="Q467" s="309"/>
      <c r="R467" s="268"/>
      <c r="S467" s="313"/>
      <c r="T467" s="313"/>
      <c r="U467" s="268"/>
      <c r="V467" s="309"/>
      <c r="W467" s="310"/>
      <c r="X467" s="268"/>
      <c r="Y467" s="268"/>
      <c r="Z467" s="268"/>
    </row>
    <row r="468" spans="1:26" ht="24.75" customHeight="1">
      <c r="A468" s="268"/>
      <c r="B468" s="268"/>
      <c r="C468" s="268"/>
      <c r="D468" s="268"/>
      <c r="E468" s="268"/>
      <c r="F468" s="268"/>
      <c r="G468" s="268"/>
      <c r="H468" s="268"/>
      <c r="I468" s="268"/>
      <c r="J468" s="268"/>
      <c r="K468" s="268"/>
      <c r="L468" s="309"/>
      <c r="M468" s="268"/>
      <c r="N468" s="268"/>
      <c r="O468" s="310"/>
      <c r="P468" s="268"/>
      <c r="Q468" s="309"/>
      <c r="R468" s="268"/>
      <c r="S468" s="313"/>
      <c r="T468" s="313"/>
      <c r="U468" s="268"/>
      <c r="V468" s="309"/>
      <c r="W468" s="310"/>
      <c r="X468" s="268"/>
      <c r="Y468" s="268"/>
      <c r="Z468" s="268"/>
    </row>
    <row r="469" spans="1:26" ht="24.75" customHeight="1">
      <c r="A469" s="268"/>
      <c r="B469" s="268"/>
      <c r="C469" s="268"/>
      <c r="D469" s="268"/>
      <c r="E469" s="268"/>
      <c r="F469" s="268"/>
      <c r="G469" s="268"/>
      <c r="H469" s="268"/>
      <c r="I469" s="268"/>
      <c r="J469" s="268"/>
      <c r="K469" s="268"/>
      <c r="L469" s="309"/>
      <c r="M469" s="268"/>
      <c r="N469" s="268"/>
      <c r="O469" s="310"/>
      <c r="P469" s="268"/>
      <c r="Q469" s="309"/>
      <c r="R469" s="268"/>
      <c r="S469" s="313"/>
      <c r="T469" s="313"/>
      <c r="U469" s="268"/>
      <c r="V469" s="309"/>
      <c r="W469" s="310"/>
      <c r="X469" s="268"/>
      <c r="Y469" s="268"/>
      <c r="Z469" s="268"/>
    </row>
    <row r="470" spans="1:26" ht="24.75" customHeight="1">
      <c r="A470" s="268"/>
      <c r="B470" s="268"/>
      <c r="C470" s="268"/>
      <c r="D470" s="268"/>
      <c r="E470" s="268"/>
      <c r="F470" s="268"/>
      <c r="G470" s="268"/>
      <c r="H470" s="268"/>
      <c r="I470" s="268"/>
      <c r="J470" s="268"/>
      <c r="K470" s="268"/>
      <c r="L470" s="309"/>
      <c r="M470" s="268"/>
      <c r="N470" s="268"/>
      <c r="O470" s="310"/>
      <c r="P470" s="268"/>
      <c r="Q470" s="309"/>
      <c r="R470" s="268"/>
      <c r="S470" s="313"/>
      <c r="T470" s="313"/>
      <c r="U470" s="268"/>
      <c r="V470" s="309"/>
      <c r="W470" s="310"/>
      <c r="X470" s="268"/>
      <c r="Y470" s="268"/>
      <c r="Z470" s="268"/>
    </row>
    <row r="471" spans="1:26" ht="24.75" customHeight="1">
      <c r="A471" s="268"/>
      <c r="B471" s="268"/>
      <c r="C471" s="268"/>
      <c r="D471" s="268"/>
      <c r="E471" s="268"/>
      <c r="F471" s="268"/>
      <c r="G471" s="268"/>
      <c r="H471" s="268"/>
      <c r="I471" s="268"/>
      <c r="J471" s="268"/>
      <c r="K471" s="268"/>
      <c r="L471" s="309"/>
      <c r="M471" s="268"/>
      <c r="N471" s="268"/>
      <c r="O471" s="310"/>
      <c r="P471" s="268"/>
      <c r="Q471" s="309"/>
      <c r="R471" s="268"/>
      <c r="S471" s="313"/>
      <c r="T471" s="313"/>
      <c r="U471" s="268"/>
      <c r="V471" s="309"/>
      <c r="W471" s="310"/>
      <c r="X471" s="268"/>
      <c r="Y471" s="268"/>
      <c r="Z471" s="268"/>
    </row>
    <row r="472" spans="1:26" ht="24.75" customHeight="1">
      <c r="A472" s="268"/>
      <c r="B472" s="268"/>
      <c r="C472" s="268"/>
      <c r="D472" s="268"/>
      <c r="E472" s="268"/>
      <c r="F472" s="268"/>
      <c r="G472" s="268"/>
      <c r="H472" s="268"/>
      <c r="I472" s="268"/>
      <c r="J472" s="268"/>
      <c r="K472" s="268"/>
      <c r="L472" s="309"/>
      <c r="M472" s="268"/>
      <c r="N472" s="268"/>
      <c r="O472" s="310"/>
      <c r="P472" s="268"/>
      <c r="Q472" s="309"/>
      <c r="R472" s="268"/>
      <c r="S472" s="313"/>
      <c r="T472" s="313"/>
      <c r="U472" s="268"/>
      <c r="V472" s="309"/>
      <c r="W472" s="310"/>
      <c r="X472" s="268"/>
      <c r="Y472" s="268"/>
      <c r="Z472" s="268"/>
    </row>
    <row r="473" spans="1:26" ht="24.75" customHeight="1">
      <c r="A473" s="268"/>
      <c r="B473" s="268"/>
      <c r="C473" s="268"/>
      <c r="D473" s="268"/>
      <c r="E473" s="268"/>
      <c r="F473" s="268"/>
      <c r="G473" s="268"/>
      <c r="H473" s="268"/>
      <c r="I473" s="268"/>
      <c r="J473" s="268"/>
      <c r="K473" s="268"/>
      <c r="L473" s="309"/>
      <c r="M473" s="268"/>
      <c r="N473" s="268"/>
      <c r="O473" s="310"/>
      <c r="P473" s="268"/>
      <c r="Q473" s="309"/>
      <c r="R473" s="268"/>
      <c r="S473" s="313"/>
      <c r="T473" s="313"/>
      <c r="U473" s="268"/>
      <c r="V473" s="309"/>
      <c r="W473" s="310"/>
      <c r="X473" s="268"/>
      <c r="Y473" s="268"/>
      <c r="Z473" s="268"/>
    </row>
    <row r="474" spans="1:26" ht="24.75" customHeight="1">
      <c r="A474" s="268"/>
      <c r="B474" s="268"/>
      <c r="C474" s="268"/>
      <c r="D474" s="268"/>
      <c r="E474" s="268"/>
      <c r="F474" s="268"/>
      <c r="G474" s="268"/>
      <c r="H474" s="268"/>
      <c r="I474" s="268"/>
      <c r="J474" s="268"/>
      <c r="K474" s="268"/>
      <c r="L474" s="309"/>
      <c r="M474" s="268"/>
      <c r="N474" s="268"/>
      <c r="O474" s="310"/>
      <c r="P474" s="268"/>
      <c r="Q474" s="309"/>
      <c r="R474" s="268"/>
      <c r="S474" s="313"/>
      <c r="T474" s="313"/>
      <c r="U474" s="268"/>
      <c r="V474" s="309"/>
      <c r="W474" s="310"/>
      <c r="X474" s="268"/>
      <c r="Y474" s="268"/>
      <c r="Z474" s="268"/>
    </row>
    <row r="475" spans="1:26" ht="24.75" customHeight="1">
      <c r="A475" s="268"/>
      <c r="B475" s="268"/>
      <c r="C475" s="268"/>
      <c r="D475" s="268"/>
      <c r="E475" s="268"/>
      <c r="F475" s="268"/>
      <c r="G475" s="268"/>
      <c r="H475" s="268"/>
      <c r="I475" s="268"/>
      <c r="J475" s="268"/>
      <c r="K475" s="268"/>
      <c r="L475" s="309"/>
      <c r="M475" s="268"/>
      <c r="N475" s="268"/>
      <c r="O475" s="310"/>
      <c r="P475" s="268"/>
      <c r="Q475" s="309"/>
      <c r="R475" s="268"/>
      <c r="S475" s="313"/>
      <c r="T475" s="313"/>
      <c r="U475" s="268"/>
      <c r="V475" s="309"/>
      <c r="W475" s="310"/>
      <c r="X475" s="268"/>
      <c r="Y475" s="268"/>
      <c r="Z475" s="268"/>
    </row>
    <row r="476" spans="1:26" ht="24.75" customHeight="1">
      <c r="A476" s="268"/>
      <c r="B476" s="268"/>
      <c r="C476" s="268"/>
      <c r="D476" s="268"/>
      <c r="E476" s="268"/>
      <c r="F476" s="268"/>
      <c r="G476" s="268"/>
      <c r="H476" s="268"/>
      <c r="I476" s="268"/>
      <c r="J476" s="268"/>
      <c r="K476" s="268"/>
      <c r="L476" s="309"/>
      <c r="M476" s="268"/>
      <c r="N476" s="268"/>
      <c r="O476" s="310"/>
      <c r="P476" s="268"/>
      <c r="Q476" s="309"/>
      <c r="R476" s="268"/>
      <c r="S476" s="313"/>
      <c r="T476" s="313"/>
      <c r="U476" s="268"/>
      <c r="V476" s="309"/>
      <c r="W476" s="310"/>
      <c r="X476" s="268"/>
      <c r="Y476" s="268"/>
      <c r="Z476" s="268"/>
    </row>
    <row r="477" spans="1:26" ht="24.75" customHeight="1">
      <c r="A477" s="268"/>
      <c r="B477" s="268"/>
      <c r="C477" s="268"/>
      <c r="D477" s="268"/>
      <c r="E477" s="268"/>
      <c r="F477" s="268"/>
      <c r="G477" s="268"/>
      <c r="H477" s="268"/>
      <c r="I477" s="268"/>
      <c r="J477" s="268"/>
      <c r="K477" s="268"/>
      <c r="L477" s="309"/>
      <c r="M477" s="268"/>
      <c r="N477" s="268"/>
      <c r="O477" s="310"/>
      <c r="P477" s="268"/>
      <c r="Q477" s="309"/>
      <c r="R477" s="268"/>
      <c r="S477" s="313"/>
      <c r="T477" s="313"/>
      <c r="U477" s="268"/>
      <c r="V477" s="309"/>
      <c r="W477" s="310"/>
      <c r="X477" s="268"/>
      <c r="Y477" s="268"/>
      <c r="Z477" s="268"/>
    </row>
    <row r="478" spans="1:26" ht="24.75" customHeight="1">
      <c r="A478" s="268"/>
      <c r="B478" s="268"/>
      <c r="C478" s="268"/>
      <c r="D478" s="268"/>
      <c r="E478" s="268"/>
      <c r="F478" s="268"/>
      <c r="G478" s="268"/>
      <c r="H478" s="268"/>
      <c r="I478" s="268"/>
      <c r="J478" s="268"/>
      <c r="K478" s="268"/>
      <c r="L478" s="309"/>
      <c r="M478" s="268"/>
      <c r="N478" s="268"/>
      <c r="O478" s="310"/>
      <c r="P478" s="268"/>
      <c r="Q478" s="309"/>
      <c r="R478" s="268"/>
      <c r="S478" s="313"/>
      <c r="T478" s="313"/>
      <c r="U478" s="268"/>
      <c r="V478" s="309"/>
      <c r="W478" s="310"/>
      <c r="X478" s="268"/>
      <c r="Y478" s="268"/>
      <c r="Z478" s="268"/>
    </row>
    <row r="479" spans="1:26" ht="24.75" customHeight="1">
      <c r="A479" s="268"/>
      <c r="B479" s="268"/>
      <c r="C479" s="268"/>
      <c r="D479" s="268"/>
      <c r="E479" s="268"/>
      <c r="F479" s="268"/>
      <c r="G479" s="268"/>
      <c r="H479" s="268"/>
      <c r="I479" s="268"/>
      <c r="J479" s="268"/>
      <c r="K479" s="268"/>
      <c r="L479" s="309"/>
      <c r="M479" s="268"/>
      <c r="N479" s="268"/>
      <c r="O479" s="310"/>
      <c r="P479" s="268"/>
      <c r="Q479" s="309"/>
      <c r="R479" s="268"/>
      <c r="S479" s="313"/>
      <c r="T479" s="313"/>
      <c r="U479" s="268"/>
      <c r="V479" s="309"/>
      <c r="W479" s="310"/>
      <c r="X479" s="268"/>
      <c r="Y479" s="268"/>
      <c r="Z479" s="268"/>
    </row>
    <row r="480" spans="1:26" ht="24.75" customHeight="1">
      <c r="A480" s="268"/>
      <c r="B480" s="268"/>
      <c r="C480" s="268"/>
      <c r="D480" s="268"/>
      <c r="E480" s="268"/>
      <c r="F480" s="268"/>
      <c r="G480" s="268"/>
      <c r="H480" s="268"/>
      <c r="I480" s="268"/>
      <c r="J480" s="268"/>
      <c r="K480" s="268"/>
      <c r="L480" s="309"/>
      <c r="M480" s="268"/>
      <c r="N480" s="268"/>
      <c r="O480" s="310"/>
      <c r="P480" s="268"/>
      <c r="Q480" s="309"/>
      <c r="R480" s="268"/>
      <c r="S480" s="313"/>
      <c r="T480" s="313"/>
      <c r="U480" s="268"/>
      <c r="V480" s="309"/>
      <c r="W480" s="310"/>
      <c r="X480" s="268"/>
      <c r="Y480" s="268"/>
      <c r="Z480" s="268"/>
    </row>
    <row r="481" spans="1:26" ht="24.75" customHeight="1">
      <c r="A481" s="268"/>
      <c r="B481" s="268"/>
      <c r="C481" s="268"/>
      <c r="D481" s="268"/>
      <c r="E481" s="268"/>
      <c r="F481" s="268"/>
      <c r="G481" s="268"/>
      <c r="H481" s="268"/>
      <c r="I481" s="268"/>
      <c r="J481" s="268"/>
      <c r="K481" s="268"/>
      <c r="L481" s="309"/>
      <c r="M481" s="268"/>
      <c r="N481" s="268"/>
      <c r="O481" s="310"/>
      <c r="P481" s="268"/>
      <c r="Q481" s="309"/>
      <c r="R481" s="268"/>
      <c r="S481" s="313"/>
      <c r="T481" s="313"/>
      <c r="U481" s="268"/>
      <c r="V481" s="309"/>
      <c r="W481" s="310"/>
      <c r="X481" s="268"/>
      <c r="Y481" s="268"/>
      <c r="Z481" s="268"/>
    </row>
    <row r="482" spans="1:26" ht="24.75" customHeight="1">
      <c r="A482" s="268"/>
      <c r="B482" s="268"/>
      <c r="C482" s="268"/>
      <c r="D482" s="268"/>
      <c r="E482" s="268"/>
      <c r="F482" s="268"/>
      <c r="G482" s="268"/>
      <c r="H482" s="268"/>
      <c r="I482" s="268"/>
      <c r="J482" s="268"/>
      <c r="K482" s="268"/>
      <c r="L482" s="309"/>
      <c r="M482" s="268"/>
      <c r="N482" s="268"/>
      <c r="O482" s="310"/>
      <c r="P482" s="268"/>
      <c r="Q482" s="309"/>
      <c r="R482" s="268"/>
      <c r="S482" s="313"/>
      <c r="T482" s="313"/>
      <c r="U482" s="268"/>
      <c r="V482" s="309"/>
      <c r="W482" s="310"/>
      <c r="X482" s="268"/>
      <c r="Y482" s="268"/>
      <c r="Z482" s="268"/>
    </row>
    <row r="483" spans="1:26" ht="24.75" customHeight="1">
      <c r="A483" s="268"/>
      <c r="B483" s="268"/>
      <c r="C483" s="268"/>
      <c r="D483" s="268"/>
      <c r="E483" s="268"/>
      <c r="F483" s="268"/>
      <c r="G483" s="268"/>
      <c r="H483" s="268"/>
      <c r="I483" s="268"/>
      <c r="J483" s="268"/>
      <c r="K483" s="268"/>
      <c r="L483" s="309"/>
      <c r="M483" s="268"/>
      <c r="N483" s="268"/>
      <c r="O483" s="310"/>
      <c r="P483" s="268"/>
      <c r="Q483" s="309"/>
      <c r="R483" s="268"/>
      <c r="S483" s="313"/>
      <c r="T483" s="313"/>
      <c r="U483" s="268"/>
      <c r="V483" s="309"/>
      <c r="W483" s="310"/>
      <c r="X483" s="268"/>
      <c r="Y483" s="268"/>
      <c r="Z483" s="268"/>
    </row>
    <row r="484" spans="1:26" ht="24.75" customHeight="1">
      <c r="A484" s="268"/>
      <c r="B484" s="268"/>
      <c r="C484" s="268"/>
      <c r="D484" s="268"/>
      <c r="E484" s="268"/>
      <c r="F484" s="268"/>
      <c r="G484" s="268"/>
      <c r="H484" s="268"/>
      <c r="I484" s="268"/>
      <c r="J484" s="268"/>
      <c r="K484" s="268"/>
      <c r="L484" s="309"/>
      <c r="M484" s="268"/>
      <c r="N484" s="268"/>
      <c r="O484" s="310"/>
      <c r="P484" s="268"/>
      <c r="Q484" s="309"/>
      <c r="R484" s="268"/>
      <c r="S484" s="313"/>
      <c r="T484" s="313"/>
      <c r="U484" s="268"/>
      <c r="V484" s="309"/>
      <c r="W484" s="310"/>
      <c r="X484" s="268"/>
      <c r="Y484" s="268"/>
      <c r="Z484" s="268"/>
    </row>
    <row r="485" spans="1:26" ht="24.75" customHeight="1">
      <c r="A485" s="268"/>
      <c r="B485" s="268"/>
      <c r="C485" s="268"/>
      <c r="D485" s="268"/>
      <c r="E485" s="268"/>
      <c r="F485" s="268"/>
      <c r="G485" s="268"/>
      <c r="H485" s="268"/>
      <c r="I485" s="268"/>
      <c r="J485" s="268"/>
      <c r="K485" s="268"/>
      <c r="L485" s="309"/>
      <c r="M485" s="268"/>
      <c r="N485" s="268"/>
      <c r="O485" s="310"/>
      <c r="P485" s="268"/>
      <c r="Q485" s="309"/>
      <c r="R485" s="268"/>
      <c r="S485" s="313"/>
      <c r="T485" s="313"/>
      <c r="U485" s="268"/>
      <c r="V485" s="309"/>
      <c r="W485" s="310"/>
      <c r="X485" s="268"/>
      <c r="Y485" s="268"/>
      <c r="Z485" s="268"/>
    </row>
    <row r="486" spans="1:26" ht="24.75" customHeight="1">
      <c r="A486" s="268"/>
      <c r="B486" s="268"/>
      <c r="C486" s="268"/>
      <c r="D486" s="268"/>
      <c r="E486" s="268"/>
      <c r="F486" s="268"/>
      <c r="G486" s="268"/>
      <c r="H486" s="268"/>
      <c r="I486" s="268"/>
      <c r="J486" s="268"/>
      <c r="K486" s="268"/>
      <c r="L486" s="309"/>
      <c r="M486" s="268"/>
      <c r="N486" s="268"/>
      <c r="O486" s="310"/>
      <c r="P486" s="268"/>
      <c r="Q486" s="309"/>
      <c r="R486" s="268"/>
      <c r="S486" s="313"/>
      <c r="T486" s="313"/>
      <c r="U486" s="268"/>
      <c r="V486" s="309"/>
      <c r="W486" s="310"/>
      <c r="X486" s="268"/>
      <c r="Y486" s="268"/>
      <c r="Z486" s="268"/>
    </row>
    <row r="487" spans="1:26" ht="24.75" customHeight="1">
      <c r="A487" s="268"/>
      <c r="B487" s="268"/>
      <c r="C487" s="268"/>
      <c r="D487" s="268"/>
      <c r="E487" s="268"/>
      <c r="F487" s="268"/>
      <c r="G487" s="268"/>
      <c r="H487" s="268"/>
      <c r="I487" s="268"/>
      <c r="J487" s="268"/>
      <c r="K487" s="268"/>
      <c r="L487" s="309"/>
      <c r="M487" s="268"/>
      <c r="N487" s="268"/>
      <c r="O487" s="310"/>
      <c r="P487" s="268"/>
      <c r="Q487" s="309"/>
      <c r="R487" s="268"/>
      <c r="S487" s="313"/>
      <c r="T487" s="313"/>
      <c r="U487" s="268"/>
      <c r="V487" s="309"/>
      <c r="W487" s="310"/>
      <c r="X487" s="268"/>
      <c r="Y487" s="268"/>
      <c r="Z487" s="268"/>
    </row>
    <row r="488" spans="1:26" ht="24.75" customHeight="1">
      <c r="A488" s="268"/>
      <c r="B488" s="268"/>
      <c r="C488" s="268"/>
      <c r="D488" s="268"/>
      <c r="E488" s="268"/>
      <c r="F488" s="268"/>
      <c r="G488" s="268"/>
      <c r="H488" s="268"/>
      <c r="I488" s="268"/>
      <c r="J488" s="268"/>
      <c r="K488" s="268"/>
      <c r="L488" s="309"/>
      <c r="M488" s="268"/>
      <c r="N488" s="268"/>
      <c r="O488" s="310"/>
      <c r="P488" s="268"/>
      <c r="Q488" s="309"/>
      <c r="R488" s="268"/>
      <c r="S488" s="313"/>
      <c r="T488" s="313"/>
      <c r="U488" s="268"/>
      <c r="V488" s="309"/>
      <c r="W488" s="310"/>
      <c r="X488" s="268"/>
      <c r="Y488" s="268"/>
      <c r="Z488" s="268"/>
    </row>
    <row r="489" spans="1:26" ht="24.75" customHeight="1">
      <c r="A489" s="268"/>
      <c r="B489" s="268"/>
      <c r="C489" s="268"/>
      <c r="D489" s="268"/>
      <c r="E489" s="268"/>
      <c r="F489" s="268"/>
      <c r="G489" s="268"/>
      <c r="H489" s="268"/>
      <c r="I489" s="268"/>
      <c r="J489" s="268"/>
      <c r="K489" s="268"/>
      <c r="L489" s="309"/>
      <c r="M489" s="268"/>
      <c r="N489" s="268"/>
      <c r="O489" s="310"/>
      <c r="P489" s="268"/>
      <c r="Q489" s="309"/>
      <c r="R489" s="268"/>
      <c r="S489" s="313"/>
      <c r="T489" s="313"/>
      <c r="U489" s="268"/>
      <c r="V489" s="309"/>
      <c r="W489" s="310"/>
      <c r="X489" s="268"/>
      <c r="Y489" s="268"/>
      <c r="Z489" s="268"/>
    </row>
    <row r="490" spans="1:26" ht="24.75" customHeight="1">
      <c r="A490" s="268"/>
      <c r="B490" s="268"/>
      <c r="C490" s="268"/>
      <c r="D490" s="268"/>
      <c r="E490" s="268"/>
      <c r="F490" s="268"/>
      <c r="G490" s="268"/>
      <c r="H490" s="268"/>
      <c r="I490" s="268"/>
      <c r="J490" s="268"/>
      <c r="K490" s="268"/>
      <c r="L490" s="309"/>
      <c r="M490" s="268"/>
      <c r="N490" s="268"/>
      <c r="O490" s="310"/>
      <c r="P490" s="268"/>
      <c r="Q490" s="309"/>
      <c r="R490" s="268"/>
      <c r="S490" s="313"/>
      <c r="T490" s="313"/>
      <c r="U490" s="268"/>
      <c r="V490" s="309"/>
      <c r="W490" s="310"/>
      <c r="X490" s="268"/>
      <c r="Y490" s="268"/>
      <c r="Z490" s="268"/>
    </row>
    <row r="491" spans="1:26" ht="24.75" customHeight="1">
      <c r="A491" s="268"/>
      <c r="B491" s="268"/>
      <c r="C491" s="268"/>
      <c r="D491" s="268"/>
      <c r="E491" s="268"/>
      <c r="F491" s="268"/>
      <c r="G491" s="268"/>
      <c r="H491" s="268"/>
      <c r="I491" s="268"/>
      <c r="J491" s="268"/>
      <c r="K491" s="268"/>
      <c r="L491" s="309"/>
      <c r="M491" s="268"/>
      <c r="N491" s="268"/>
      <c r="O491" s="310"/>
      <c r="P491" s="268"/>
      <c r="Q491" s="309"/>
      <c r="R491" s="268"/>
      <c r="S491" s="313"/>
      <c r="T491" s="313"/>
      <c r="U491" s="268"/>
      <c r="V491" s="309"/>
      <c r="W491" s="310"/>
      <c r="X491" s="268"/>
      <c r="Y491" s="268"/>
      <c r="Z491" s="268"/>
    </row>
    <row r="492" spans="1:26" ht="24.75" customHeight="1">
      <c r="A492" s="268"/>
      <c r="B492" s="268"/>
      <c r="C492" s="268"/>
      <c r="D492" s="268"/>
      <c r="E492" s="268"/>
      <c r="F492" s="268"/>
      <c r="G492" s="268"/>
      <c r="H492" s="268"/>
      <c r="I492" s="268"/>
      <c r="J492" s="268"/>
      <c r="K492" s="268"/>
      <c r="L492" s="309"/>
      <c r="M492" s="268"/>
      <c r="N492" s="268"/>
      <c r="O492" s="310"/>
      <c r="P492" s="268"/>
      <c r="Q492" s="309"/>
      <c r="R492" s="268"/>
      <c r="S492" s="313"/>
      <c r="T492" s="313"/>
      <c r="U492" s="268"/>
      <c r="V492" s="309"/>
      <c r="W492" s="310"/>
      <c r="X492" s="268"/>
      <c r="Y492" s="268"/>
      <c r="Z492" s="268"/>
    </row>
    <row r="493" spans="1:26" ht="24.75" customHeight="1">
      <c r="A493" s="268"/>
      <c r="B493" s="268"/>
      <c r="C493" s="268"/>
      <c r="D493" s="268"/>
      <c r="E493" s="268"/>
      <c r="F493" s="268"/>
      <c r="G493" s="268"/>
      <c r="H493" s="268"/>
      <c r="I493" s="268"/>
      <c r="J493" s="268"/>
      <c r="K493" s="268"/>
      <c r="L493" s="309"/>
      <c r="M493" s="268"/>
      <c r="N493" s="268"/>
      <c r="O493" s="310"/>
      <c r="P493" s="268"/>
      <c r="Q493" s="309"/>
      <c r="R493" s="268"/>
      <c r="S493" s="313"/>
      <c r="T493" s="313"/>
      <c r="U493" s="268"/>
      <c r="V493" s="309"/>
      <c r="W493" s="310"/>
      <c r="X493" s="268"/>
      <c r="Y493" s="268"/>
      <c r="Z493" s="268"/>
    </row>
    <row r="494" spans="1:26" ht="24.75" customHeight="1">
      <c r="A494" s="268"/>
      <c r="B494" s="268"/>
      <c r="C494" s="268"/>
      <c r="D494" s="268"/>
      <c r="E494" s="268"/>
      <c r="F494" s="268"/>
      <c r="G494" s="268"/>
      <c r="H494" s="268"/>
      <c r="I494" s="268"/>
      <c r="J494" s="268"/>
      <c r="K494" s="268"/>
      <c r="L494" s="309"/>
      <c r="M494" s="268"/>
      <c r="N494" s="268"/>
      <c r="O494" s="310"/>
      <c r="P494" s="268"/>
      <c r="Q494" s="309"/>
      <c r="R494" s="268"/>
      <c r="S494" s="313"/>
      <c r="T494" s="313"/>
      <c r="U494" s="268"/>
      <c r="V494" s="309"/>
      <c r="W494" s="310"/>
      <c r="X494" s="268"/>
      <c r="Y494" s="268"/>
      <c r="Z494" s="268"/>
    </row>
    <row r="495" spans="1:26" ht="24.75" customHeight="1">
      <c r="A495" s="268"/>
      <c r="B495" s="268"/>
      <c r="C495" s="268"/>
      <c r="D495" s="268"/>
      <c r="E495" s="268"/>
      <c r="F495" s="268"/>
      <c r="G495" s="268"/>
      <c r="H495" s="268"/>
      <c r="I495" s="268"/>
      <c r="J495" s="268"/>
      <c r="K495" s="268"/>
      <c r="L495" s="309"/>
      <c r="M495" s="268"/>
      <c r="N495" s="268"/>
      <c r="O495" s="310"/>
      <c r="P495" s="268"/>
      <c r="Q495" s="309"/>
      <c r="R495" s="268"/>
      <c r="S495" s="313"/>
      <c r="T495" s="313"/>
      <c r="U495" s="268"/>
      <c r="V495" s="309"/>
      <c r="W495" s="310"/>
      <c r="X495" s="268"/>
      <c r="Y495" s="268"/>
      <c r="Z495" s="268"/>
    </row>
    <row r="496" spans="1:26" ht="24.75" customHeight="1">
      <c r="A496" s="268"/>
      <c r="B496" s="268"/>
      <c r="C496" s="268"/>
      <c r="D496" s="268"/>
      <c r="E496" s="268"/>
      <c r="F496" s="268"/>
      <c r="G496" s="268"/>
      <c r="H496" s="268"/>
      <c r="I496" s="268"/>
      <c r="J496" s="268"/>
      <c r="K496" s="268"/>
      <c r="L496" s="309"/>
      <c r="M496" s="268"/>
      <c r="N496" s="268"/>
      <c r="O496" s="310"/>
      <c r="P496" s="268"/>
      <c r="Q496" s="309"/>
      <c r="R496" s="268"/>
      <c r="S496" s="313"/>
      <c r="T496" s="313"/>
      <c r="U496" s="268"/>
      <c r="V496" s="309"/>
      <c r="W496" s="310"/>
      <c r="X496" s="268"/>
      <c r="Y496" s="268"/>
      <c r="Z496" s="268"/>
    </row>
    <row r="497" spans="1:26" ht="24.75" customHeight="1">
      <c r="A497" s="268"/>
      <c r="B497" s="268"/>
      <c r="C497" s="268"/>
      <c r="D497" s="268"/>
      <c r="E497" s="268"/>
      <c r="F497" s="268"/>
      <c r="G497" s="268"/>
      <c r="H497" s="268"/>
      <c r="I497" s="268"/>
      <c r="J497" s="268"/>
      <c r="K497" s="268"/>
      <c r="L497" s="309"/>
      <c r="M497" s="268"/>
      <c r="N497" s="268"/>
      <c r="O497" s="310"/>
      <c r="P497" s="268"/>
      <c r="Q497" s="309"/>
      <c r="R497" s="268"/>
      <c r="S497" s="313"/>
      <c r="T497" s="313"/>
      <c r="U497" s="268"/>
      <c r="V497" s="309"/>
      <c r="W497" s="310"/>
      <c r="X497" s="268"/>
      <c r="Y497" s="268"/>
      <c r="Z497" s="268"/>
    </row>
    <row r="498" spans="1:26" ht="24.75" customHeight="1">
      <c r="A498" s="268"/>
      <c r="B498" s="268"/>
      <c r="C498" s="268"/>
      <c r="D498" s="268"/>
      <c r="E498" s="268"/>
      <c r="F498" s="268"/>
      <c r="G498" s="268"/>
      <c r="H498" s="268"/>
      <c r="I498" s="268"/>
      <c r="J498" s="268"/>
      <c r="K498" s="268"/>
      <c r="L498" s="309"/>
      <c r="M498" s="268"/>
      <c r="N498" s="268"/>
      <c r="O498" s="310"/>
      <c r="P498" s="268"/>
      <c r="Q498" s="309"/>
      <c r="R498" s="268"/>
      <c r="S498" s="313"/>
      <c r="T498" s="313"/>
      <c r="U498" s="268"/>
      <c r="V498" s="309"/>
      <c r="W498" s="310"/>
      <c r="X498" s="268"/>
      <c r="Y498" s="268"/>
      <c r="Z498" s="268"/>
    </row>
    <row r="499" spans="1:26" ht="24.75" customHeight="1">
      <c r="A499" s="268"/>
      <c r="B499" s="268"/>
      <c r="C499" s="268"/>
      <c r="D499" s="268"/>
      <c r="E499" s="268"/>
      <c r="F499" s="268"/>
      <c r="G499" s="268"/>
      <c r="H499" s="268"/>
      <c r="I499" s="268"/>
      <c r="J499" s="268"/>
      <c r="K499" s="268"/>
      <c r="L499" s="309"/>
      <c r="M499" s="268"/>
      <c r="N499" s="268"/>
      <c r="O499" s="310"/>
      <c r="P499" s="268"/>
      <c r="Q499" s="309"/>
      <c r="R499" s="268"/>
      <c r="S499" s="313"/>
      <c r="T499" s="313"/>
      <c r="U499" s="268"/>
      <c r="V499" s="309"/>
      <c r="W499" s="310"/>
      <c r="X499" s="268"/>
      <c r="Y499" s="268"/>
      <c r="Z499" s="268"/>
    </row>
    <row r="500" spans="1:26" ht="24.75" customHeight="1">
      <c r="A500" s="268"/>
      <c r="B500" s="268"/>
      <c r="C500" s="268"/>
      <c r="D500" s="268"/>
      <c r="E500" s="268"/>
      <c r="F500" s="268"/>
      <c r="G500" s="268"/>
      <c r="H500" s="268"/>
      <c r="I500" s="268"/>
      <c r="J500" s="268"/>
      <c r="K500" s="268"/>
      <c r="L500" s="309"/>
      <c r="M500" s="268"/>
      <c r="N500" s="268"/>
      <c r="O500" s="310"/>
      <c r="P500" s="268"/>
      <c r="Q500" s="309"/>
      <c r="R500" s="268"/>
      <c r="S500" s="313"/>
      <c r="T500" s="313"/>
      <c r="U500" s="268"/>
      <c r="V500" s="309"/>
      <c r="W500" s="310"/>
      <c r="X500" s="268"/>
      <c r="Y500" s="268"/>
      <c r="Z500" s="268"/>
    </row>
    <row r="501" spans="1:26" ht="24.75" customHeight="1">
      <c r="A501" s="268"/>
      <c r="B501" s="268"/>
      <c r="C501" s="268"/>
      <c r="D501" s="268"/>
      <c r="E501" s="268"/>
      <c r="F501" s="268"/>
      <c r="G501" s="268"/>
      <c r="H501" s="268"/>
      <c r="I501" s="268"/>
      <c r="J501" s="268"/>
      <c r="K501" s="268"/>
      <c r="L501" s="309"/>
      <c r="M501" s="268"/>
      <c r="N501" s="268"/>
      <c r="O501" s="310"/>
      <c r="P501" s="268"/>
      <c r="Q501" s="309"/>
      <c r="R501" s="268"/>
      <c r="S501" s="313"/>
      <c r="T501" s="313"/>
      <c r="U501" s="268"/>
      <c r="V501" s="309"/>
      <c r="W501" s="310"/>
      <c r="X501" s="268"/>
      <c r="Y501" s="268"/>
      <c r="Z501" s="268"/>
    </row>
    <row r="502" spans="1:26" ht="24.75" customHeight="1">
      <c r="A502" s="268"/>
      <c r="B502" s="268"/>
      <c r="C502" s="268"/>
      <c r="D502" s="268"/>
      <c r="E502" s="268"/>
      <c r="F502" s="268"/>
      <c r="G502" s="268"/>
      <c r="H502" s="268"/>
      <c r="I502" s="268"/>
      <c r="J502" s="268"/>
      <c r="K502" s="268"/>
      <c r="L502" s="309"/>
      <c r="M502" s="268"/>
      <c r="N502" s="268"/>
      <c r="O502" s="310"/>
      <c r="P502" s="268"/>
      <c r="Q502" s="309"/>
      <c r="R502" s="268"/>
      <c r="S502" s="313"/>
      <c r="T502" s="313"/>
      <c r="U502" s="268"/>
      <c r="V502" s="309"/>
      <c r="W502" s="310"/>
      <c r="X502" s="268"/>
      <c r="Y502" s="268"/>
      <c r="Z502" s="268"/>
    </row>
    <row r="503" spans="1:26" ht="24.75" customHeight="1">
      <c r="A503" s="268"/>
      <c r="B503" s="268"/>
      <c r="C503" s="268"/>
      <c r="D503" s="268"/>
      <c r="E503" s="268"/>
      <c r="F503" s="268"/>
      <c r="G503" s="268"/>
      <c r="H503" s="268"/>
      <c r="I503" s="268"/>
      <c r="J503" s="268"/>
      <c r="K503" s="268"/>
      <c r="L503" s="309"/>
      <c r="M503" s="268"/>
      <c r="N503" s="268"/>
      <c r="O503" s="310"/>
      <c r="P503" s="268"/>
      <c r="Q503" s="309"/>
      <c r="R503" s="268"/>
      <c r="S503" s="313"/>
      <c r="T503" s="313"/>
      <c r="U503" s="268"/>
      <c r="V503" s="309"/>
      <c r="W503" s="310"/>
      <c r="X503" s="268"/>
      <c r="Y503" s="268"/>
      <c r="Z503" s="268"/>
    </row>
    <row r="504" spans="1:26" ht="24.75" customHeight="1">
      <c r="A504" s="268"/>
      <c r="B504" s="268"/>
      <c r="C504" s="268"/>
      <c r="D504" s="268"/>
      <c r="E504" s="268"/>
      <c r="F504" s="268"/>
      <c r="G504" s="268"/>
      <c r="H504" s="268"/>
      <c r="I504" s="268"/>
      <c r="J504" s="268"/>
      <c r="K504" s="268"/>
      <c r="L504" s="309"/>
      <c r="M504" s="268"/>
      <c r="N504" s="268"/>
      <c r="O504" s="310"/>
      <c r="P504" s="268"/>
      <c r="Q504" s="309"/>
      <c r="R504" s="268"/>
      <c r="S504" s="313"/>
      <c r="T504" s="313"/>
      <c r="U504" s="268"/>
      <c r="V504" s="309"/>
      <c r="W504" s="310"/>
      <c r="X504" s="268"/>
      <c r="Y504" s="268"/>
      <c r="Z504" s="268"/>
    </row>
    <row r="505" spans="1:26" ht="24.75" customHeight="1">
      <c r="A505" s="268"/>
      <c r="B505" s="268"/>
      <c r="C505" s="268"/>
      <c r="D505" s="268"/>
      <c r="E505" s="268"/>
      <c r="F505" s="268"/>
      <c r="G505" s="268"/>
      <c r="H505" s="268"/>
      <c r="I505" s="268"/>
      <c r="J505" s="268"/>
      <c r="K505" s="268"/>
      <c r="L505" s="309"/>
      <c r="M505" s="268"/>
      <c r="N505" s="268"/>
      <c r="O505" s="310"/>
      <c r="P505" s="268"/>
      <c r="Q505" s="309"/>
      <c r="R505" s="268"/>
      <c r="S505" s="313"/>
      <c r="T505" s="313"/>
      <c r="U505" s="268"/>
      <c r="V505" s="309"/>
      <c r="W505" s="310"/>
      <c r="X505" s="268"/>
      <c r="Y505" s="268"/>
      <c r="Z505" s="268"/>
    </row>
    <row r="506" spans="1:26" ht="24.75" customHeight="1">
      <c r="A506" s="268"/>
      <c r="B506" s="268"/>
      <c r="C506" s="268"/>
      <c r="D506" s="268"/>
      <c r="E506" s="268"/>
      <c r="F506" s="268"/>
      <c r="G506" s="268"/>
      <c r="H506" s="268"/>
      <c r="I506" s="268"/>
      <c r="J506" s="268"/>
      <c r="K506" s="268"/>
      <c r="L506" s="309"/>
      <c r="M506" s="268"/>
      <c r="N506" s="268"/>
      <c r="O506" s="310"/>
      <c r="P506" s="268"/>
      <c r="Q506" s="309"/>
      <c r="R506" s="268"/>
      <c r="S506" s="313"/>
      <c r="T506" s="313"/>
      <c r="U506" s="268"/>
      <c r="V506" s="309"/>
      <c r="W506" s="310"/>
      <c r="X506" s="268"/>
      <c r="Y506" s="268"/>
      <c r="Z506" s="268"/>
    </row>
    <row r="507" spans="1:26" ht="24.75" customHeight="1">
      <c r="A507" s="268"/>
      <c r="B507" s="268"/>
      <c r="C507" s="268"/>
      <c r="D507" s="268"/>
      <c r="E507" s="268"/>
      <c r="F507" s="268"/>
      <c r="G507" s="268"/>
      <c r="H507" s="268"/>
      <c r="I507" s="268"/>
      <c r="J507" s="268"/>
      <c r="K507" s="268"/>
      <c r="L507" s="309"/>
      <c r="M507" s="268"/>
      <c r="N507" s="268"/>
      <c r="O507" s="310"/>
      <c r="P507" s="268"/>
      <c r="Q507" s="309"/>
      <c r="R507" s="268"/>
      <c r="S507" s="313"/>
      <c r="T507" s="313"/>
      <c r="U507" s="268"/>
      <c r="V507" s="309"/>
      <c r="W507" s="310"/>
      <c r="X507" s="268"/>
      <c r="Y507" s="268"/>
      <c r="Z507" s="268"/>
    </row>
    <row r="508" spans="1:26" ht="24.75" customHeight="1">
      <c r="A508" s="268"/>
      <c r="B508" s="268"/>
      <c r="C508" s="268"/>
      <c r="D508" s="268"/>
      <c r="E508" s="268"/>
      <c r="F508" s="268"/>
      <c r="G508" s="268"/>
      <c r="H508" s="268"/>
      <c r="I508" s="268"/>
      <c r="J508" s="268"/>
      <c r="K508" s="268"/>
      <c r="L508" s="309"/>
      <c r="M508" s="268"/>
      <c r="N508" s="268"/>
      <c r="O508" s="310"/>
      <c r="P508" s="268"/>
      <c r="Q508" s="309"/>
      <c r="R508" s="268"/>
      <c r="S508" s="313"/>
      <c r="T508" s="313"/>
      <c r="U508" s="268"/>
      <c r="V508" s="309"/>
      <c r="W508" s="310"/>
      <c r="X508" s="268"/>
      <c r="Y508" s="268"/>
      <c r="Z508" s="268"/>
    </row>
    <row r="509" spans="1:26" ht="24.75" customHeight="1">
      <c r="A509" s="268"/>
      <c r="B509" s="268"/>
      <c r="C509" s="268"/>
      <c r="D509" s="268"/>
      <c r="E509" s="268"/>
      <c r="F509" s="268"/>
      <c r="G509" s="268"/>
      <c r="H509" s="268"/>
      <c r="I509" s="268"/>
      <c r="J509" s="268"/>
      <c r="K509" s="268"/>
      <c r="L509" s="309"/>
      <c r="M509" s="268"/>
      <c r="N509" s="268"/>
      <c r="O509" s="310"/>
      <c r="P509" s="268"/>
      <c r="Q509" s="309"/>
      <c r="R509" s="268"/>
      <c r="S509" s="313"/>
      <c r="T509" s="313"/>
      <c r="U509" s="268"/>
      <c r="V509" s="309"/>
      <c r="W509" s="310"/>
      <c r="X509" s="268"/>
      <c r="Y509" s="268"/>
      <c r="Z509" s="268"/>
    </row>
    <row r="510" spans="1:26" ht="24.75" customHeight="1">
      <c r="A510" s="268"/>
      <c r="B510" s="268"/>
      <c r="C510" s="268"/>
      <c r="D510" s="268"/>
      <c r="E510" s="268"/>
      <c r="F510" s="268"/>
      <c r="G510" s="268"/>
      <c r="H510" s="268"/>
      <c r="I510" s="268"/>
      <c r="J510" s="268"/>
      <c r="K510" s="268"/>
      <c r="L510" s="309"/>
      <c r="M510" s="268"/>
      <c r="N510" s="268"/>
      <c r="O510" s="310"/>
      <c r="P510" s="268"/>
      <c r="Q510" s="309"/>
      <c r="R510" s="268"/>
      <c r="S510" s="313"/>
      <c r="T510" s="313"/>
      <c r="U510" s="268"/>
      <c r="V510" s="309"/>
      <c r="W510" s="310"/>
      <c r="X510" s="268"/>
      <c r="Y510" s="268"/>
      <c r="Z510" s="268"/>
    </row>
    <row r="511" spans="1:26" ht="24.75" customHeight="1">
      <c r="A511" s="268"/>
      <c r="B511" s="268"/>
      <c r="C511" s="268"/>
      <c r="D511" s="268"/>
      <c r="E511" s="268"/>
      <c r="F511" s="268"/>
      <c r="G511" s="268"/>
      <c r="H511" s="268"/>
      <c r="I511" s="268"/>
      <c r="J511" s="268"/>
      <c r="K511" s="268"/>
      <c r="L511" s="309"/>
      <c r="M511" s="268"/>
      <c r="N511" s="268"/>
      <c r="O511" s="310"/>
      <c r="P511" s="268"/>
      <c r="Q511" s="309"/>
      <c r="R511" s="268"/>
      <c r="S511" s="313"/>
      <c r="T511" s="313"/>
      <c r="U511" s="268"/>
      <c r="V511" s="309"/>
      <c r="W511" s="310"/>
      <c r="X511" s="268"/>
      <c r="Y511" s="268"/>
      <c r="Z511" s="268"/>
    </row>
    <row r="512" spans="1:26" ht="24.75" customHeight="1">
      <c r="A512" s="268"/>
      <c r="B512" s="268"/>
      <c r="C512" s="268"/>
      <c r="D512" s="268"/>
      <c r="E512" s="268"/>
      <c r="F512" s="268"/>
      <c r="G512" s="268"/>
      <c r="H512" s="268"/>
      <c r="I512" s="268"/>
      <c r="J512" s="268"/>
      <c r="K512" s="268"/>
      <c r="L512" s="309"/>
      <c r="M512" s="268"/>
      <c r="N512" s="268"/>
      <c r="O512" s="310"/>
      <c r="P512" s="268"/>
      <c r="Q512" s="309"/>
      <c r="R512" s="268"/>
      <c r="S512" s="313"/>
      <c r="T512" s="313"/>
      <c r="U512" s="268"/>
      <c r="V512" s="309"/>
      <c r="W512" s="310"/>
      <c r="X512" s="268"/>
      <c r="Y512" s="268"/>
      <c r="Z512" s="268"/>
    </row>
    <row r="513" spans="1:26" ht="24.75" customHeight="1">
      <c r="A513" s="268"/>
      <c r="B513" s="268"/>
      <c r="C513" s="268"/>
      <c r="D513" s="268"/>
      <c r="E513" s="268"/>
      <c r="F513" s="268"/>
      <c r="G513" s="268"/>
      <c r="H513" s="268"/>
      <c r="I513" s="268"/>
      <c r="J513" s="268"/>
      <c r="K513" s="268"/>
      <c r="L513" s="309"/>
      <c r="M513" s="268"/>
      <c r="N513" s="268"/>
      <c r="O513" s="310"/>
      <c r="P513" s="268"/>
      <c r="Q513" s="309"/>
      <c r="R513" s="268"/>
      <c r="S513" s="313"/>
      <c r="T513" s="313"/>
      <c r="U513" s="268"/>
      <c r="V513" s="309"/>
      <c r="W513" s="310"/>
      <c r="X513" s="268"/>
      <c r="Y513" s="268"/>
      <c r="Z513" s="268"/>
    </row>
    <row r="514" spans="1:26" ht="24.75" customHeight="1">
      <c r="A514" s="268"/>
      <c r="B514" s="268"/>
      <c r="C514" s="268"/>
      <c r="D514" s="268"/>
      <c r="E514" s="268"/>
      <c r="F514" s="268"/>
      <c r="G514" s="268"/>
      <c r="H514" s="268"/>
      <c r="I514" s="268"/>
      <c r="J514" s="268"/>
      <c r="K514" s="268"/>
      <c r="L514" s="309"/>
      <c r="M514" s="268"/>
      <c r="N514" s="268"/>
      <c r="O514" s="310"/>
      <c r="P514" s="268"/>
      <c r="Q514" s="309"/>
      <c r="R514" s="268"/>
      <c r="S514" s="313"/>
      <c r="T514" s="313"/>
      <c r="U514" s="268"/>
      <c r="V514" s="309"/>
      <c r="W514" s="310"/>
      <c r="X514" s="268"/>
      <c r="Y514" s="268"/>
      <c r="Z514" s="268"/>
    </row>
    <row r="515" spans="1:26" ht="24.75" customHeight="1">
      <c r="A515" s="268"/>
      <c r="B515" s="268"/>
      <c r="C515" s="268"/>
      <c r="D515" s="268"/>
      <c r="E515" s="268"/>
      <c r="F515" s="268"/>
      <c r="G515" s="268"/>
      <c r="H515" s="268"/>
      <c r="I515" s="268"/>
      <c r="J515" s="268"/>
      <c r="K515" s="268"/>
      <c r="L515" s="309"/>
      <c r="M515" s="268"/>
      <c r="N515" s="268"/>
      <c r="O515" s="310"/>
      <c r="P515" s="268"/>
      <c r="Q515" s="309"/>
      <c r="R515" s="268"/>
      <c r="S515" s="313"/>
      <c r="T515" s="313"/>
      <c r="U515" s="268"/>
      <c r="V515" s="309"/>
      <c r="W515" s="310"/>
      <c r="X515" s="268"/>
      <c r="Y515" s="268"/>
      <c r="Z515" s="268"/>
    </row>
    <row r="516" spans="1:26" ht="24.75" customHeight="1">
      <c r="A516" s="268"/>
      <c r="B516" s="268"/>
      <c r="C516" s="268"/>
      <c r="D516" s="268"/>
      <c r="E516" s="268"/>
      <c r="F516" s="268"/>
      <c r="G516" s="268"/>
      <c r="H516" s="268"/>
      <c r="I516" s="268"/>
      <c r="J516" s="268"/>
      <c r="K516" s="268"/>
      <c r="L516" s="309"/>
      <c r="M516" s="268"/>
      <c r="N516" s="268"/>
      <c r="O516" s="310"/>
      <c r="P516" s="268"/>
      <c r="Q516" s="309"/>
      <c r="R516" s="268"/>
      <c r="S516" s="313"/>
      <c r="T516" s="313"/>
      <c r="U516" s="268"/>
      <c r="V516" s="309"/>
      <c r="W516" s="310"/>
      <c r="X516" s="268"/>
      <c r="Y516" s="268"/>
      <c r="Z516" s="268"/>
    </row>
    <row r="517" spans="1:26" ht="24.75" customHeight="1">
      <c r="A517" s="268"/>
      <c r="B517" s="268"/>
      <c r="C517" s="268"/>
      <c r="D517" s="268"/>
      <c r="E517" s="268"/>
      <c r="F517" s="268"/>
      <c r="G517" s="268"/>
      <c r="H517" s="268"/>
      <c r="I517" s="268"/>
      <c r="J517" s="268"/>
      <c r="K517" s="268"/>
      <c r="L517" s="309"/>
      <c r="M517" s="268"/>
      <c r="N517" s="268"/>
      <c r="O517" s="310"/>
      <c r="P517" s="268"/>
      <c r="Q517" s="309"/>
      <c r="R517" s="268"/>
      <c r="S517" s="313"/>
      <c r="T517" s="313"/>
      <c r="U517" s="268"/>
      <c r="V517" s="309"/>
      <c r="W517" s="310"/>
      <c r="X517" s="268"/>
      <c r="Y517" s="268"/>
      <c r="Z517" s="268"/>
    </row>
    <row r="518" spans="1:26" ht="24.75" customHeight="1">
      <c r="A518" s="268"/>
      <c r="B518" s="268"/>
      <c r="C518" s="268"/>
      <c r="D518" s="268"/>
      <c r="E518" s="268"/>
      <c r="F518" s="268"/>
      <c r="G518" s="268"/>
      <c r="H518" s="268"/>
      <c r="I518" s="268"/>
      <c r="J518" s="268"/>
      <c r="K518" s="268"/>
      <c r="L518" s="309"/>
      <c r="M518" s="268"/>
      <c r="N518" s="268"/>
      <c r="O518" s="310"/>
      <c r="P518" s="268"/>
      <c r="Q518" s="309"/>
      <c r="R518" s="268"/>
      <c r="S518" s="313"/>
      <c r="T518" s="313"/>
      <c r="U518" s="268"/>
      <c r="V518" s="309"/>
      <c r="W518" s="310"/>
      <c r="X518" s="268"/>
      <c r="Y518" s="268"/>
      <c r="Z518" s="268"/>
    </row>
    <row r="519" spans="1:26" ht="24.75" customHeight="1">
      <c r="A519" s="268"/>
      <c r="B519" s="268"/>
      <c r="C519" s="268"/>
      <c r="D519" s="268"/>
      <c r="E519" s="268"/>
      <c r="F519" s="268"/>
      <c r="G519" s="268"/>
      <c r="H519" s="268"/>
      <c r="I519" s="268"/>
      <c r="J519" s="268"/>
      <c r="K519" s="268"/>
      <c r="L519" s="309"/>
      <c r="M519" s="268"/>
      <c r="N519" s="268"/>
      <c r="O519" s="310"/>
      <c r="P519" s="268"/>
      <c r="Q519" s="309"/>
      <c r="R519" s="268"/>
      <c r="S519" s="313"/>
      <c r="T519" s="313"/>
      <c r="U519" s="268"/>
      <c r="V519" s="309"/>
      <c r="W519" s="310"/>
      <c r="X519" s="268"/>
      <c r="Y519" s="268"/>
      <c r="Z519" s="268"/>
    </row>
    <row r="520" spans="1:26" ht="24.75" customHeight="1">
      <c r="A520" s="268"/>
      <c r="B520" s="268"/>
      <c r="C520" s="268"/>
      <c r="D520" s="268"/>
      <c r="E520" s="268"/>
      <c r="F520" s="268"/>
      <c r="G520" s="268"/>
      <c r="H520" s="268"/>
      <c r="I520" s="268"/>
      <c r="J520" s="268"/>
      <c r="K520" s="268"/>
      <c r="L520" s="309"/>
      <c r="M520" s="268"/>
      <c r="N520" s="268"/>
      <c r="O520" s="310"/>
      <c r="P520" s="268"/>
      <c r="Q520" s="309"/>
      <c r="R520" s="268"/>
      <c r="S520" s="313"/>
      <c r="T520" s="313"/>
      <c r="U520" s="268"/>
      <c r="V520" s="309"/>
      <c r="W520" s="310"/>
      <c r="X520" s="268"/>
      <c r="Y520" s="268"/>
      <c r="Z520" s="268"/>
    </row>
    <row r="521" spans="1:26" ht="24.75" customHeight="1">
      <c r="A521" s="268"/>
      <c r="B521" s="268"/>
      <c r="C521" s="268"/>
      <c r="D521" s="268"/>
      <c r="E521" s="268"/>
      <c r="F521" s="268"/>
      <c r="G521" s="268"/>
      <c r="H521" s="268"/>
      <c r="I521" s="268"/>
      <c r="J521" s="268"/>
      <c r="K521" s="268"/>
      <c r="L521" s="309"/>
      <c r="M521" s="268"/>
      <c r="N521" s="268"/>
      <c r="O521" s="310"/>
      <c r="P521" s="268"/>
      <c r="Q521" s="309"/>
      <c r="R521" s="268"/>
      <c r="S521" s="313"/>
      <c r="T521" s="313"/>
      <c r="U521" s="268"/>
      <c r="V521" s="309"/>
      <c r="W521" s="310"/>
      <c r="X521" s="268"/>
      <c r="Y521" s="268"/>
      <c r="Z521" s="268"/>
    </row>
    <row r="522" spans="1:26" ht="24.75" customHeight="1">
      <c r="A522" s="268"/>
      <c r="B522" s="268"/>
      <c r="C522" s="268"/>
      <c r="D522" s="268"/>
      <c r="E522" s="268"/>
      <c r="F522" s="268"/>
      <c r="G522" s="268"/>
      <c r="H522" s="268"/>
      <c r="I522" s="268"/>
      <c r="J522" s="268"/>
      <c r="K522" s="268"/>
      <c r="L522" s="309"/>
      <c r="M522" s="268"/>
      <c r="N522" s="268"/>
      <c r="O522" s="310"/>
      <c r="P522" s="268"/>
      <c r="Q522" s="309"/>
      <c r="R522" s="268"/>
      <c r="S522" s="313"/>
      <c r="T522" s="313"/>
      <c r="U522" s="268"/>
      <c r="V522" s="309"/>
      <c r="W522" s="310"/>
      <c r="X522" s="268"/>
      <c r="Y522" s="268"/>
      <c r="Z522" s="268"/>
    </row>
    <row r="523" spans="1:26" ht="24.75" customHeight="1">
      <c r="A523" s="268"/>
      <c r="B523" s="268"/>
      <c r="C523" s="268"/>
      <c r="D523" s="268"/>
      <c r="E523" s="268"/>
      <c r="F523" s="268"/>
      <c r="G523" s="268"/>
      <c r="H523" s="268"/>
      <c r="I523" s="268"/>
      <c r="J523" s="268"/>
      <c r="K523" s="268"/>
      <c r="L523" s="309"/>
      <c r="M523" s="268"/>
      <c r="N523" s="268"/>
      <c r="O523" s="310"/>
      <c r="P523" s="268"/>
      <c r="Q523" s="309"/>
      <c r="R523" s="268"/>
      <c r="S523" s="313"/>
      <c r="T523" s="313"/>
      <c r="U523" s="268"/>
      <c r="V523" s="309"/>
      <c r="W523" s="310"/>
      <c r="X523" s="268"/>
      <c r="Y523" s="268"/>
      <c r="Z523" s="268"/>
    </row>
    <row r="524" spans="1:26" ht="24.75" customHeight="1">
      <c r="A524" s="268"/>
      <c r="B524" s="268"/>
      <c r="C524" s="268"/>
      <c r="D524" s="268"/>
      <c r="E524" s="268"/>
      <c r="F524" s="268"/>
      <c r="G524" s="268"/>
      <c r="H524" s="268"/>
      <c r="I524" s="268"/>
      <c r="J524" s="268"/>
      <c r="K524" s="268"/>
      <c r="L524" s="309"/>
      <c r="M524" s="268"/>
      <c r="N524" s="268"/>
      <c r="O524" s="310"/>
      <c r="P524" s="268"/>
      <c r="Q524" s="309"/>
      <c r="R524" s="268"/>
      <c r="S524" s="313"/>
      <c r="T524" s="313"/>
      <c r="U524" s="268"/>
      <c r="V524" s="309"/>
      <c r="W524" s="310"/>
      <c r="X524" s="268"/>
      <c r="Y524" s="268"/>
      <c r="Z524" s="268"/>
    </row>
    <row r="525" spans="1:26" ht="24.75" customHeight="1">
      <c r="A525" s="268"/>
      <c r="B525" s="268"/>
      <c r="C525" s="268"/>
      <c r="D525" s="268"/>
      <c r="E525" s="268"/>
      <c r="F525" s="268"/>
      <c r="G525" s="268"/>
      <c r="H525" s="268"/>
      <c r="I525" s="268"/>
      <c r="J525" s="268"/>
      <c r="K525" s="268"/>
      <c r="L525" s="309"/>
      <c r="M525" s="268"/>
      <c r="N525" s="268"/>
      <c r="O525" s="310"/>
      <c r="P525" s="268"/>
      <c r="Q525" s="309"/>
      <c r="R525" s="268"/>
      <c r="S525" s="313"/>
      <c r="T525" s="313"/>
      <c r="U525" s="268"/>
      <c r="V525" s="309"/>
      <c r="W525" s="310"/>
      <c r="X525" s="268"/>
      <c r="Y525" s="268"/>
      <c r="Z525" s="268"/>
    </row>
    <row r="526" spans="1:26" ht="24.75" customHeight="1">
      <c r="A526" s="268"/>
      <c r="B526" s="268"/>
      <c r="C526" s="268"/>
      <c r="D526" s="268"/>
      <c r="E526" s="268"/>
      <c r="F526" s="268"/>
      <c r="G526" s="268"/>
      <c r="H526" s="268"/>
      <c r="I526" s="268"/>
      <c r="J526" s="268"/>
      <c r="K526" s="268"/>
      <c r="L526" s="309"/>
      <c r="M526" s="268"/>
      <c r="N526" s="268"/>
      <c r="O526" s="310"/>
      <c r="P526" s="268"/>
      <c r="Q526" s="309"/>
      <c r="R526" s="268"/>
      <c r="S526" s="313"/>
      <c r="T526" s="313"/>
      <c r="U526" s="268"/>
      <c r="V526" s="309"/>
      <c r="W526" s="310"/>
      <c r="X526" s="268"/>
      <c r="Y526" s="268"/>
      <c r="Z526" s="268"/>
    </row>
    <row r="527" spans="1:26" ht="24.75" customHeight="1">
      <c r="A527" s="268"/>
      <c r="B527" s="268"/>
      <c r="C527" s="268"/>
      <c r="D527" s="268"/>
      <c r="E527" s="268"/>
      <c r="F527" s="268"/>
      <c r="G527" s="268"/>
      <c r="H527" s="268"/>
      <c r="I527" s="268"/>
      <c r="J527" s="268"/>
      <c r="K527" s="268"/>
      <c r="L527" s="309"/>
      <c r="M527" s="268"/>
      <c r="N527" s="268"/>
      <c r="O527" s="310"/>
      <c r="P527" s="268"/>
      <c r="Q527" s="309"/>
      <c r="R527" s="268"/>
      <c r="S527" s="313"/>
      <c r="T527" s="313"/>
      <c r="U527" s="268"/>
      <c r="V527" s="309"/>
      <c r="W527" s="310"/>
      <c r="X527" s="268"/>
      <c r="Y527" s="268"/>
      <c r="Z527" s="268"/>
    </row>
    <row r="528" spans="1:26" ht="24.75" customHeight="1">
      <c r="A528" s="268"/>
      <c r="B528" s="268"/>
      <c r="C528" s="268"/>
      <c r="D528" s="268"/>
      <c r="E528" s="268"/>
      <c r="F528" s="268"/>
      <c r="G528" s="268"/>
      <c r="H528" s="268"/>
      <c r="I528" s="268"/>
      <c r="J528" s="268"/>
      <c r="K528" s="268"/>
      <c r="L528" s="309"/>
      <c r="M528" s="268"/>
      <c r="N528" s="268"/>
      <c r="O528" s="310"/>
      <c r="P528" s="268"/>
      <c r="Q528" s="309"/>
      <c r="R528" s="268"/>
      <c r="S528" s="313"/>
      <c r="T528" s="313"/>
      <c r="U528" s="268"/>
      <c r="V528" s="309"/>
      <c r="W528" s="310"/>
      <c r="X528" s="268"/>
      <c r="Y528" s="268"/>
      <c r="Z528" s="268"/>
    </row>
    <row r="529" spans="1:26" ht="24.75" customHeight="1">
      <c r="A529" s="268"/>
      <c r="B529" s="268"/>
      <c r="C529" s="268"/>
      <c r="D529" s="268"/>
      <c r="E529" s="268"/>
      <c r="F529" s="268"/>
      <c r="G529" s="268"/>
      <c r="H529" s="268"/>
      <c r="I529" s="268"/>
      <c r="J529" s="268"/>
      <c r="K529" s="268"/>
      <c r="L529" s="309"/>
      <c r="M529" s="268"/>
      <c r="N529" s="268"/>
      <c r="O529" s="310"/>
      <c r="P529" s="268"/>
      <c r="Q529" s="309"/>
      <c r="R529" s="268"/>
      <c r="S529" s="313"/>
      <c r="T529" s="313"/>
      <c r="U529" s="268"/>
      <c r="V529" s="309"/>
      <c r="W529" s="310"/>
      <c r="X529" s="268"/>
      <c r="Y529" s="268"/>
      <c r="Z529" s="268"/>
    </row>
    <row r="530" spans="1:26" ht="24.75" customHeight="1">
      <c r="A530" s="268"/>
      <c r="B530" s="268"/>
      <c r="C530" s="268"/>
      <c r="D530" s="268"/>
      <c r="E530" s="268"/>
      <c r="F530" s="268"/>
      <c r="G530" s="268"/>
      <c r="H530" s="268"/>
      <c r="I530" s="268"/>
      <c r="J530" s="268"/>
      <c r="K530" s="268"/>
      <c r="L530" s="309"/>
      <c r="M530" s="268"/>
      <c r="N530" s="268"/>
      <c r="O530" s="310"/>
      <c r="P530" s="268"/>
      <c r="Q530" s="309"/>
      <c r="R530" s="268"/>
      <c r="S530" s="313"/>
      <c r="T530" s="313"/>
      <c r="U530" s="268"/>
      <c r="V530" s="309"/>
      <c r="W530" s="310"/>
      <c r="X530" s="268"/>
      <c r="Y530" s="268"/>
      <c r="Z530" s="268"/>
    </row>
    <row r="531" spans="1:26" ht="24.75" customHeight="1">
      <c r="A531" s="268"/>
      <c r="B531" s="268"/>
      <c r="C531" s="268"/>
      <c r="D531" s="268"/>
      <c r="E531" s="268"/>
      <c r="F531" s="268"/>
      <c r="G531" s="268"/>
      <c r="H531" s="268"/>
      <c r="I531" s="268"/>
      <c r="J531" s="268"/>
      <c r="K531" s="268"/>
      <c r="L531" s="309"/>
      <c r="M531" s="268"/>
      <c r="N531" s="268"/>
      <c r="O531" s="310"/>
      <c r="P531" s="268"/>
      <c r="Q531" s="309"/>
      <c r="R531" s="268"/>
      <c r="S531" s="313"/>
      <c r="T531" s="313"/>
      <c r="U531" s="268"/>
      <c r="V531" s="309"/>
      <c r="W531" s="310"/>
      <c r="X531" s="268"/>
      <c r="Y531" s="268"/>
      <c r="Z531" s="268"/>
    </row>
    <row r="532" spans="1:26" ht="24.75" customHeight="1">
      <c r="A532" s="268"/>
      <c r="B532" s="268"/>
      <c r="C532" s="268"/>
      <c r="D532" s="268"/>
      <c r="E532" s="268"/>
      <c r="F532" s="268"/>
      <c r="G532" s="268"/>
      <c r="H532" s="268"/>
      <c r="I532" s="268"/>
      <c r="J532" s="268"/>
      <c r="K532" s="268"/>
      <c r="L532" s="309"/>
      <c r="M532" s="268"/>
      <c r="N532" s="268"/>
      <c r="O532" s="310"/>
      <c r="P532" s="268"/>
      <c r="Q532" s="309"/>
      <c r="R532" s="268"/>
      <c r="S532" s="313"/>
      <c r="T532" s="313"/>
      <c r="U532" s="268"/>
      <c r="V532" s="309"/>
      <c r="W532" s="310"/>
      <c r="X532" s="268"/>
      <c r="Y532" s="268"/>
      <c r="Z532" s="268"/>
    </row>
    <row r="533" spans="1:26" ht="24.75" customHeight="1">
      <c r="A533" s="268"/>
      <c r="B533" s="268"/>
      <c r="C533" s="268"/>
      <c r="D533" s="268"/>
      <c r="E533" s="268"/>
      <c r="F533" s="268"/>
      <c r="G533" s="268"/>
      <c r="H533" s="268"/>
      <c r="I533" s="268"/>
      <c r="J533" s="268"/>
      <c r="K533" s="268"/>
      <c r="L533" s="309"/>
      <c r="M533" s="268"/>
      <c r="N533" s="268"/>
      <c r="O533" s="310"/>
      <c r="P533" s="268"/>
      <c r="Q533" s="309"/>
      <c r="R533" s="268"/>
      <c r="S533" s="313"/>
      <c r="T533" s="313"/>
      <c r="U533" s="268"/>
      <c r="V533" s="309"/>
      <c r="W533" s="310"/>
      <c r="X533" s="268"/>
      <c r="Y533" s="268"/>
      <c r="Z533" s="268"/>
    </row>
    <row r="534" spans="1:26" ht="24.75" customHeight="1">
      <c r="A534" s="268"/>
      <c r="B534" s="268"/>
      <c r="C534" s="268"/>
      <c r="D534" s="268"/>
      <c r="E534" s="268"/>
      <c r="F534" s="268"/>
      <c r="G534" s="268"/>
      <c r="H534" s="268"/>
      <c r="I534" s="268"/>
      <c r="J534" s="268"/>
      <c r="K534" s="268"/>
      <c r="L534" s="309"/>
      <c r="M534" s="268"/>
      <c r="N534" s="268"/>
      <c r="O534" s="310"/>
      <c r="P534" s="268"/>
      <c r="Q534" s="309"/>
      <c r="R534" s="268"/>
      <c r="S534" s="313"/>
      <c r="T534" s="313"/>
      <c r="U534" s="268"/>
      <c r="V534" s="309"/>
      <c r="W534" s="310"/>
      <c r="X534" s="268"/>
      <c r="Y534" s="268"/>
      <c r="Z534" s="268"/>
    </row>
    <row r="535" spans="1:26" ht="24.75" customHeight="1">
      <c r="A535" s="268"/>
      <c r="B535" s="268"/>
      <c r="C535" s="268"/>
      <c r="D535" s="268"/>
      <c r="E535" s="268"/>
      <c r="F535" s="268"/>
      <c r="G535" s="268"/>
      <c r="H535" s="268"/>
      <c r="I535" s="268"/>
      <c r="J535" s="268"/>
      <c r="K535" s="268"/>
      <c r="L535" s="309"/>
      <c r="M535" s="268"/>
      <c r="N535" s="268"/>
      <c r="O535" s="310"/>
      <c r="P535" s="268"/>
      <c r="Q535" s="309"/>
      <c r="R535" s="268"/>
      <c r="S535" s="313"/>
      <c r="T535" s="313"/>
      <c r="U535" s="268"/>
      <c r="V535" s="309"/>
      <c r="W535" s="310"/>
      <c r="X535" s="268"/>
      <c r="Y535" s="268"/>
      <c r="Z535" s="268"/>
    </row>
    <row r="536" spans="1:26" ht="24.75" customHeight="1">
      <c r="A536" s="268"/>
      <c r="B536" s="268"/>
      <c r="C536" s="268"/>
      <c r="D536" s="268"/>
      <c r="E536" s="268"/>
      <c r="F536" s="268"/>
      <c r="G536" s="268"/>
      <c r="H536" s="268"/>
      <c r="I536" s="268"/>
      <c r="J536" s="268"/>
      <c r="K536" s="268"/>
      <c r="L536" s="309"/>
      <c r="M536" s="268"/>
      <c r="N536" s="268"/>
      <c r="O536" s="310"/>
      <c r="P536" s="268"/>
      <c r="Q536" s="309"/>
      <c r="R536" s="268"/>
      <c r="S536" s="313"/>
      <c r="T536" s="313"/>
      <c r="U536" s="268"/>
      <c r="V536" s="309"/>
      <c r="W536" s="310"/>
      <c r="X536" s="268"/>
      <c r="Y536" s="268"/>
      <c r="Z536" s="268"/>
    </row>
    <row r="537" spans="1:26" ht="24.75" customHeight="1">
      <c r="A537" s="268"/>
      <c r="B537" s="268"/>
      <c r="C537" s="268"/>
      <c r="D537" s="268"/>
      <c r="E537" s="268"/>
      <c r="F537" s="268"/>
      <c r="G537" s="268"/>
      <c r="H537" s="268"/>
      <c r="I537" s="268"/>
      <c r="J537" s="268"/>
      <c r="K537" s="268"/>
      <c r="L537" s="309"/>
      <c r="M537" s="268"/>
      <c r="N537" s="268"/>
      <c r="O537" s="310"/>
      <c r="P537" s="268"/>
      <c r="Q537" s="309"/>
      <c r="R537" s="268"/>
      <c r="S537" s="313"/>
      <c r="T537" s="313"/>
      <c r="U537" s="268"/>
      <c r="V537" s="309"/>
      <c r="W537" s="310"/>
      <c r="X537" s="268"/>
      <c r="Y537" s="268"/>
      <c r="Z537" s="268"/>
    </row>
    <row r="538" spans="1:26" ht="24.75" customHeight="1">
      <c r="A538" s="268"/>
      <c r="B538" s="268"/>
      <c r="C538" s="268"/>
      <c r="D538" s="268"/>
      <c r="E538" s="268"/>
      <c r="F538" s="268"/>
      <c r="G538" s="268"/>
      <c r="H538" s="268"/>
      <c r="I538" s="268"/>
      <c r="J538" s="268"/>
      <c r="K538" s="268"/>
      <c r="L538" s="309"/>
      <c r="M538" s="268"/>
      <c r="N538" s="268"/>
      <c r="O538" s="310"/>
      <c r="P538" s="268"/>
      <c r="Q538" s="309"/>
      <c r="R538" s="268"/>
      <c r="S538" s="313"/>
      <c r="T538" s="313"/>
      <c r="U538" s="268"/>
      <c r="V538" s="309"/>
      <c r="W538" s="310"/>
      <c r="X538" s="268"/>
      <c r="Y538" s="268"/>
      <c r="Z538" s="268"/>
    </row>
    <row r="539" spans="1:26" ht="24.75" customHeight="1">
      <c r="A539" s="268"/>
      <c r="B539" s="268"/>
      <c r="C539" s="268"/>
      <c r="D539" s="268"/>
      <c r="E539" s="268"/>
      <c r="F539" s="268"/>
      <c r="G539" s="268"/>
      <c r="H539" s="268"/>
      <c r="I539" s="268"/>
      <c r="J539" s="268"/>
      <c r="K539" s="268"/>
      <c r="L539" s="309"/>
      <c r="M539" s="268"/>
      <c r="N539" s="268"/>
      <c r="O539" s="310"/>
      <c r="P539" s="268"/>
      <c r="Q539" s="309"/>
      <c r="R539" s="268"/>
      <c r="S539" s="313"/>
      <c r="T539" s="313"/>
      <c r="U539" s="268"/>
      <c r="V539" s="309"/>
      <c r="W539" s="310"/>
      <c r="X539" s="268"/>
      <c r="Y539" s="268"/>
      <c r="Z539" s="268"/>
    </row>
    <row r="540" spans="1:26" ht="24.75" customHeight="1">
      <c r="A540" s="268"/>
      <c r="B540" s="268"/>
      <c r="C540" s="268"/>
      <c r="D540" s="268"/>
      <c r="E540" s="268"/>
      <c r="F540" s="268"/>
      <c r="G540" s="268"/>
      <c r="H540" s="268"/>
      <c r="I540" s="268"/>
      <c r="J540" s="268"/>
      <c r="K540" s="268"/>
      <c r="L540" s="309"/>
      <c r="M540" s="268"/>
      <c r="N540" s="268"/>
      <c r="O540" s="310"/>
      <c r="P540" s="268"/>
      <c r="Q540" s="309"/>
      <c r="R540" s="268"/>
      <c r="S540" s="313"/>
      <c r="T540" s="313"/>
      <c r="U540" s="268"/>
      <c r="V540" s="309"/>
      <c r="W540" s="310"/>
      <c r="X540" s="268"/>
      <c r="Y540" s="268"/>
      <c r="Z540" s="268"/>
    </row>
    <row r="541" spans="1:26" ht="24.75" customHeight="1">
      <c r="A541" s="268"/>
      <c r="B541" s="268"/>
      <c r="C541" s="268"/>
      <c r="D541" s="268"/>
      <c r="E541" s="268"/>
      <c r="F541" s="268"/>
      <c r="G541" s="268"/>
      <c r="H541" s="268"/>
      <c r="I541" s="268"/>
      <c r="J541" s="268"/>
      <c r="K541" s="268"/>
      <c r="L541" s="309"/>
      <c r="M541" s="268"/>
      <c r="N541" s="268"/>
      <c r="O541" s="310"/>
      <c r="P541" s="268"/>
      <c r="Q541" s="309"/>
      <c r="R541" s="268"/>
      <c r="S541" s="313"/>
      <c r="T541" s="313"/>
      <c r="U541" s="268"/>
      <c r="V541" s="309"/>
      <c r="W541" s="310"/>
      <c r="X541" s="268"/>
      <c r="Y541" s="268"/>
      <c r="Z541" s="268"/>
    </row>
    <row r="542" spans="1:26" ht="24.75" customHeight="1">
      <c r="A542" s="268"/>
      <c r="B542" s="268"/>
      <c r="C542" s="268"/>
      <c r="D542" s="268"/>
      <c r="E542" s="268"/>
      <c r="F542" s="268"/>
      <c r="G542" s="268"/>
      <c r="H542" s="268"/>
      <c r="I542" s="268"/>
      <c r="J542" s="268"/>
      <c r="K542" s="268"/>
      <c r="L542" s="309"/>
      <c r="M542" s="268"/>
      <c r="N542" s="268"/>
      <c r="O542" s="310"/>
      <c r="P542" s="268"/>
      <c r="Q542" s="309"/>
      <c r="R542" s="268"/>
      <c r="S542" s="313"/>
      <c r="T542" s="313"/>
      <c r="U542" s="268"/>
      <c r="V542" s="309"/>
      <c r="W542" s="310"/>
      <c r="X542" s="268"/>
      <c r="Y542" s="268"/>
      <c r="Z542" s="268"/>
    </row>
    <row r="543" spans="1:26" ht="24.75" customHeight="1">
      <c r="A543" s="268"/>
      <c r="B543" s="268"/>
      <c r="C543" s="268"/>
      <c r="D543" s="268"/>
      <c r="E543" s="268"/>
      <c r="F543" s="268"/>
      <c r="G543" s="268"/>
      <c r="H543" s="268"/>
      <c r="I543" s="268"/>
      <c r="J543" s="268"/>
      <c r="K543" s="268"/>
      <c r="L543" s="309"/>
      <c r="M543" s="268"/>
      <c r="N543" s="268"/>
      <c r="O543" s="310"/>
      <c r="P543" s="268"/>
      <c r="Q543" s="309"/>
      <c r="R543" s="268"/>
      <c r="S543" s="313"/>
      <c r="T543" s="313"/>
      <c r="U543" s="268"/>
      <c r="V543" s="309"/>
      <c r="W543" s="310"/>
      <c r="X543" s="268"/>
      <c r="Y543" s="268"/>
      <c r="Z543" s="268"/>
    </row>
    <row r="544" spans="1:26" ht="24.75" customHeight="1">
      <c r="A544" s="268"/>
      <c r="B544" s="268"/>
      <c r="C544" s="268"/>
      <c r="D544" s="268"/>
      <c r="E544" s="268"/>
      <c r="F544" s="268"/>
      <c r="G544" s="268"/>
      <c r="H544" s="268"/>
      <c r="I544" s="268"/>
      <c r="J544" s="268"/>
      <c r="K544" s="268"/>
      <c r="L544" s="309"/>
      <c r="M544" s="268"/>
      <c r="N544" s="268"/>
      <c r="O544" s="310"/>
      <c r="P544" s="268"/>
      <c r="Q544" s="309"/>
      <c r="R544" s="268"/>
      <c r="S544" s="313"/>
      <c r="T544" s="313"/>
      <c r="U544" s="268"/>
      <c r="V544" s="309"/>
      <c r="W544" s="310"/>
      <c r="X544" s="268"/>
      <c r="Y544" s="268"/>
      <c r="Z544" s="268"/>
    </row>
    <row r="545" spans="1:26" ht="24.75" customHeight="1">
      <c r="A545" s="268"/>
      <c r="B545" s="268"/>
      <c r="C545" s="268"/>
      <c r="D545" s="268"/>
      <c r="E545" s="268"/>
      <c r="F545" s="268"/>
      <c r="G545" s="268"/>
      <c r="H545" s="268"/>
      <c r="I545" s="268"/>
      <c r="J545" s="268"/>
      <c r="K545" s="268"/>
      <c r="L545" s="309"/>
      <c r="M545" s="268"/>
      <c r="N545" s="268"/>
      <c r="O545" s="310"/>
      <c r="P545" s="268"/>
      <c r="Q545" s="309"/>
      <c r="R545" s="268"/>
      <c r="S545" s="313"/>
      <c r="T545" s="313"/>
      <c r="U545" s="268"/>
      <c r="V545" s="309"/>
      <c r="W545" s="310"/>
      <c r="X545" s="268"/>
      <c r="Y545" s="268"/>
      <c r="Z545" s="268"/>
    </row>
    <row r="546" spans="1:26" ht="24.75" customHeight="1">
      <c r="A546" s="268"/>
      <c r="B546" s="268"/>
      <c r="C546" s="268"/>
      <c r="D546" s="268"/>
      <c r="E546" s="268"/>
      <c r="F546" s="268"/>
      <c r="G546" s="268"/>
      <c r="H546" s="268"/>
      <c r="I546" s="268"/>
      <c r="J546" s="268"/>
      <c r="K546" s="268"/>
      <c r="L546" s="309"/>
      <c r="M546" s="268"/>
      <c r="N546" s="268"/>
      <c r="O546" s="310"/>
      <c r="P546" s="268"/>
      <c r="Q546" s="309"/>
      <c r="R546" s="268"/>
      <c r="S546" s="313"/>
      <c r="T546" s="313"/>
      <c r="U546" s="268"/>
      <c r="V546" s="309"/>
      <c r="W546" s="310"/>
      <c r="X546" s="268"/>
      <c r="Y546" s="268"/>
      <c r="Z546" s="268"/>
    </row>
    <row r="547" spans="1:26" ht="24.75" customHeight="1">
      <c r="A547" s="268"/>
      <c r="B547" s="268"/>
      <c r="C547" s="268"/>
      <c r="D547" s="268"/>
      <c r="E547" s="268"/>
      <c r="F547" s="268"/>
      <c r="G547" s="268"/>
      <c r="H547" s="268"/>
      <c r="I547" s="268"/>
      <c r="J547" s="268"/>
      <c r="K547" s="268"/>
      <c r="L547" s="309"/>
      <c r="M547" s="268"/>
      <c r="N547" s="268"/>
      <c r="O547" s="310"/>
      <c r="P547" s="268"/>
      <c r="Q547" s="309"/>
      <c r="R547" s="268"/>
      <c r="S547" s="313"/>
      <c r="T547" s="313"/>
      <c r="U547" s="268"/>
      <c r="V547" s="309"/>
      <c r="W547" s="310"/>
      <c r="X547" s="268"/>
      <c r="Y547" s="268"/>
      <c r="Z547" s="268"/>
    </row>
    <row r="548" spans="1:26" ht="24.75" customHeight="1">
      <c r="A548" s="268"/>
      <c r="B548" s="268"/>
      <c r="C548" s="268"/>
      <c r="D548" s="268"/>
      <c r="E548" s="268"/>
      <c r="F548" s="268"/>
      <c r="G548" s="268"/>
      <c r="H548" s="268"/>
      <c r="I548" s="268"/>
      <c r="J548" s="268"/>
      <c r="K548" s="268"/>
      <c r="L548" s="309"/>
      <c r="M548" s="268"/>
      <c r="N548" s="268"/>
      <c r="O548" s="310"/>
      <c r="P548" s="268"/>
      <c r="Q548" s="309"/>
      <c r="R548" s="268"/>
      <c r="S548" s="313"/>
      <c r="T548" s="313"/>
      <c r="U548" s="268"/>
      <c r="V548" s="309"/>
      <c r="W548" s="310"/>
      <c r="X548" s="268"/>
      <c r="Y548" s="268"/>
      <c r="Z548" s="268"/>
    </row>
    <row r="549" spans="1:26" ht="24.75" customHeight="1">
      <c r="A549" s="268"/>
      <c r="B549" s="268"/>
      <c r="C549" s="268"/>
      <c r="D549" s="268"/>
      <c r="E549" s="268"/>
      <c r="F549" s="268"/>
      <c r="G549" s="268"/>
      <c r="H549" s="268"/>
      <c r="I549" s="268"/>
      <c r="J549" s="268"/>
      <c r="K549" s="268"/>
      <c r="L549" s="309"/>
      <c r="M549" s="268"/>
      <c r="N549" s="268"/>
      <c r="O549" s="310"/>
      <c r="P549" s="268"/>
      <c r="Q549" s="309"/>
      <c r="R549" s="268"/>
      <c r="S549" s="313"/>
      <c r="T549" s="313"/>
      <c r="U549" s="268"/>
      <c r="V549" s="309"/>
      <c r="W549" s="310"/>
      <c r="X549" s="268"/>
      <c r="Y549" s="268"/>
      <c r="Z549" s="268"/>
    </row>
    <row r="550" spans="1:26" ht="24.75" customHeight="1">
      <c r="A550" s="268"/>
      <c r="B550" s="268"/>
      <c r="C550" s="268"/>
      <c r="D550" s="268"/>
      <c r="E550" s="268"/>
      <c r="F550" s="268"/>
      <c r="G550" s="268"/>
      <c r="H550" s="268"/>
      <c r="I550" s="268"/>
      <c r="J550" s="268"/>
      <c r="K550" s="268"/>
      <c r="L550" s="309"/>
      <c r="M550" s="268"/>
      <c r="N550" s="268"/>
      <c r="O550" s="310"/>
      <c r="P550" s="268"/>
      <c r="Q550" s="309"/>
      <c r="R550" s="268"/>
      <c r="S550" s="313"/>
      <c r="T550" s="313"/>
      <c r="U550" s="268"/>
      <c r="V550" s="309"/>
      <c r="W550" s="310"/>
      <c r="X550" s="268"/>
      <c r="Y550" s="268"/>
      <c r="Z550" s="268"/>
    </row>
    <row r="551" spans="1:26" ht="24.75" customHeight="1">
      <c r="A551" s="268"/>
      <c r="B551" s="268"/>
      <c r="C551" s="268"/>
      <c r="D551" s="268"/>
      <c r="E551" s="268"/>
      <c r="F551" s="268"/>
      <c r="G551" s="268"/>
      <c r="H551" s="268"/>
      <c r="I551" s="268"/>
      <c r="J551" s="268"/>
      <c r="K551" s="268"/>
      <c r="L551" s="309"/>
      <c r="M551" s="268"/>
      <c r="N551" s="268"/>
      <c r="O551" s="310"/>
      <c r="P551" s="268"/>
      <c r="Q551" s="309"/>
      <c r="R551" s="268"/>
      <c r="S551" s="313"/>
      <c r="T551" s="313"/>
      <c r="U551" s="268"/>
      <c r="V551" s="309"/>
      <c r="W551" s="310"/>
      <c r="X551" s="268"/>
      <c r="Y551" s="268"/>
      <c r="Z551" s="268"/>
    </row>
    <row r="552" spans="1:26" ht="24.75" customHeight="1">
      <c r="A552" s="268"/>
      <c r="B552" s="268"/>
      <c r="C552" s="268"/>
      <c r="D552" s="268"/>
      <c r="E552" s="268"/>
      <c r="F552" s="268"/>
      <c r="G552" s="268"/>
      <c r="H552" s="268"/>
      <c r="I552" s="268"/>
      <c r="J552" s="268"/>
      <c r="K552" s="268"/>
      <c r="L552" s="309"/>
      <c r="M552" s="268"/>
      <c r="N552" s="268"/>
      <c r="O552" s="310"/>
      <c r="P552" s="268"/>
      <c r="Q552" s="309"/>
      <c r="R552" s="268"/>
      <c r="S552" s="313"/>
      <c r="T552" s="313"/>
      <c r="U552" s="268"/>
      <c r="V552" s="309"/>
      <c r="W552" s="310"/>
      <c r="X552" s="268"/>
      <c r="Y552" s="268"/>
      <c r="Z552" s="268"/>
    </row>
    <row r="553" spans="1:26" ht="24.75" customHeight="1">
      <c r="A553" s="268"/>
      <c r="B553" s="268"/>
      <c r="C553" s="268"/>
      <c r="D553" s="268"/>
      <c r="E553" s="268"/>
      <c r="F553" s="268"/>
      <c r="G553" s="268"/>
      <c r="H553" s="268"/>
      <c r="I553" s="268"/>
      <c r="J553" s="268"/>
      <c r="K553" s="268"/>
      <c r="L553" s="309"/>
      <c r="M553" s="268"/>
      <c r="N553" s="268"/>
      <c r="O553" s="310"/>
      <c r="P553" s="268"/>
      <c r="Q553" s="309"/>
      <c r="R553" s="268"/>
      <c r="S553" s="313"/>
      <c r="T553" s="313"/>
      <c r="U553" s="268"/>
      <c r="V553" s="309"/>
      <c r="W553" s="310"/>
      <c r="X553" s="268"/>
      <c r="Y553" s="268"/>
      <c r="Z553" s="268"/>
    </row>
    <row r="554" spans="1:26" ht="24.75" customHeight="1">
      <c r="A554" s="268"/>
      <c r="B554" s="268"/>
      <c r="C554" s="268"/>
      <c r="D554" s="268"/>
      <c r="E554" s="268"/>
      <c r="F554" s="268"/>
      <c r="G554" s="268"/>
      <c r="H554" s="268"/>
      <c r="I554" s="268"/>
      <c r="J554" s="268"/>
      <c r="K554" s="268"/>
      <c r="L554" s="309"/>
      <c r="M554" s="268"/>
      <c r="N554" s="268"/>
      <c r="O554" s="310"/>
      <c r="P554" s="268"/>
      <c r="Q554" s="309"/>
      <c r="R554" s="268"/>
      <c r="S554" s="313"/>
      <c r="T554" s="313"/>
      <c r="U554" s="268"/>
      <c r="V554" s="309"/>
      <c r="W554" s="310"/>
      <c r="X554" s="268"/>
      <c r="Y554" s="268"/>
      <c r="Z554" s="268"/>
    </row>
    <row r="555" spans="1:26" ht="24.75" customHeight="1">
      <c r="A555" s="268"/>
      <c r="B555" s="268"/>
      <c r="C555" s="268"/>
      <c r="D555" s="268"/>
      <c r="E555" s="268"/>
      <c r="F555" s="268"/>
      <c r="G555" s="268"/>
      <c r="H555" s="268"/>
      <c r="I555" s="268"/>
      <c r="J555" s="268"/>
      <c r="K555" s="268"/>
      <c r="L555" s="309"/>
      <c r="M555" s="268"/>
      <c r="N555" s="268"/>
      <c r="O555" s="310"/>
      <c r="P555" s="268"/>
      <c r="Q555" s="309"/>
      <c r="R555" s="268"/>
      <c r="S555" s="313"/>
      <c r="T555" s="313"/>
      <c r="U555" s="268"/>
      <c r="V555" s="309"/>
      <c r="W555" s="310"/>
      <c r="X555" s="268"/>
      <c r="Y555" s="268"/>
      <c r="Z555" s="268"/>
    </row>
    <row r="556" spans="1:26" ht="24.75" customHeight="1">
      <c r="A556" s="268"/>
      <c r="B556" s="268"/>
      <c r="C556" s="268"/>
      <c r="D556" s="268"/>
      <c r="E556" s="268"/>
      <c r="F556" s="268"/>
      <c r="G556" s="268"/>
      <c r="H556" s="268"/>
      <c r="I556" s="268"/>
      <c r="J556" s="268"/>
      <c r="K556" s="268"/>
      <c r="L556" s="309"/>
      <c r="M556" s="268"/>
      <c r="N556" s="268"/>
      <c r="O556" s="310"/>
      <c r="P556" s="268"/>
      <c r="Q556" s="309"/>
      <c r="R556" s="268"/>
      <c r="S556" s="313"/>
      <c r="T556" s="313"/>
      <c r="U556" s="268"/>
      <c r="V556" s="309"/>
      <c r="W556" s="310"/>
      <c r="X556" s="268"/>
      <c r="Y556" s="268"/>
      <c r="Z556" s="268"/>
    </row>
    <row r="557" spans="1:26" ht="24.75" customHeight="1">
      <c r="A557" s="268"/>
      <c r="B557" s="268"/>
      <c r="C557" s="268"/>
      <c r="D557" s="268"/>
      <c r="E557" s="268"/>
      <c r="F557" s="268"/>
      <c r="G557" s="268"/>
      <c r="H557" s="268"/>
      <c r="I557" s="268"/>
      <c r="J557" s="268"/>
      <c r="K557" s="268"/>
      <c r="L557" s="309"/>
      <c r="M557" s="268"/>
      <c r="N557" s="268"/>
      <c r="O557" s="310"/>
      <c r="P557" s="268"/>
      <c r="Q557" s="309"/>
      <c r="R557" s="268"/>
      <c r="S557" s="313"/>
      <c r="T557" s="313"/>
      <c r="U557" s="268"/>
      <c r="V557" s="309"/>
      <c r="W557" s="310"/>
      <c r="X557" s="268"/>
      <c r="Y557" s="268"/>
      <c r="Z557" s="268"/>
    </row>
    <row r="558" spans="1:26" ht="24.75" customHeight="1">
      <c r="A558" s="268"/>
      <c r="B558" s="268"/>
      <c r="C558" s="268"/>
      <c r="D558" s="268"/>
      <c r="E558" s="268"/>
      <c r="F558" s="268"/>
      <c r="G558" s="268"/>
      <c r="H558" s="268"/>
      <c r="I558" s="268"/>
      <c r="J558" s="268"/>
      <c r="K558" s="268"/>
      <c r="L558" s="309"/>
      <c r="M558" s="268"/>
      <c r="N558" s="268"/>
      <c r="O558" s="310"/>
      <c r="P558" s="268"/>
      <c r="Q558" s="309"/>
      <c r="R558" s="268"/>
      <c r="S558" s="313"/>
      <c r="T558" s="313"/>
      <c r="U558" s="268"/>
      <c r="V558" s="309"/>
      <c r="W558" s="310"/>
      <c r="X558" s="268"/>
      <c r="Y558" s="268"/>
      <c r="Z558" s="268"/>
    </row>
    <row r="559" spans="1:26" ht="24.75" customHeight="1">
      <c r="A559" s="268"/>
      <c r="B559" s="268"/>
      <c r="C559" s="268"/>
      <c r="D559" s="268"/>
      <c r="E559" s="268"/>
      <c r="F559" s="268"/>
      <c r="G559" s="268"/>
      <c r="H559" s="268"/>
      <c r="I559" s="268"/>
      <c r="J559" s="268"/>
      <c r="K559" s="268"/>
      <c r="L559" s="309"/>
      <c r="M559" s="268"/>
      <c r="N559" s="268"/>
      <c r="O559" s="310"/>
      <c r="P559" s="268"/>
      <c r="Q559" s="309"/>
      <c r="R559" s="268"/>
      <c r="S559" s="313"/>
      <c r="T559" s="313"/>
      <c r="U559" s="268"/>
      <c r="V559" s="309"/>
      <c r="W559" s="310"/>
      <c r="X559" s="268"/>
      <c r="Y559" s="268"/>
      <c r="Z559" s="268"/>
    </row>
    <row r="560" spans="1:26" ht="24.75" customHeight="1">
      <c r="A560" s="268"/>
      <c r="B560" s="268"/>
      <c r="C560" s="268"/>
      <c r="D560" s="268"/>
      <c r="E560" s="268"/>
      <c r="F560" s="268"/>
      <c r="G560" s="268"/>
      <c r="H560" s="268"/>
      <c r="I560" s="268"/>
      <c r="J560" s="268"/>
      <c r="K560" s="268"/>
      <c r="L560" s="309"/>
      <c r="M560" s="268"/>
      <c r="N560" s="268"/>
      <c r="O560" s="310"/>
      <c r="P560" s="268"/>
      <c r="Q560" s="309"/>
      <c r="R560" s="268"/>
      <c r="S560" s="313"/>
      <c r="T560" s="313"/>
      <c r="U560" s="268"/>
      <c r="V560" s="309"/>
      <c r="W560" s="310"/>
      <c r="X560" s="268"/>
      <c r="Y560" s="268"/>
      <c r="Z560" s="268"/>
    </row>
    <row r="561" spans="1:26" ht="24.75" customHeight="1">
      <c r="A561" s="268"/>
      <c r="B561" s="268"/>
      <c r="C561" s="268"/>
      <c r="D561" s="268"/>
      <c r="E561" s="268"/>
      <c r="F561" s="268"/>
      <c r="G561" s="268"/>
      <c r="H561" s="268"/>
      <c r="I561" s="268"/>
      <c r="J561" s="268"/>
      <c r="K561" s="268"/>
      <c r="L561" s="309"/>
      <c r="M561" s="268"/>
      <c r="N561" s="268"/>
      <c r="O561" s="310"/>
      <c r="P561" s="268"/>
      <c r="Q561" s="309"/>
      <c r="R561" s="268"/>
      <c r="S561" s="313"/>
      <c r="T561" s="313"/>
      <c r="U561" s="268"/>
      <c r="V561" s="309"/>
      <c r="W561" s="310"/>
      <c r="X561" s="268"/>
      <c r="Y561" s="268"/>
      <c r="Z561" s="268"/>
    </row>
    <row r="562" spans="1:26" ht="24.75" customHeight="1">
      <c r="A562" s="268"/>
      <c r="B562" s="268"/>
      <c r="C562" s="268"/>
      <c r="D562" s="268"/>
      <c r="E562" s="268"/>
      <c r="F562" s="268"/>
      <c r="G562" s="268"/>
      <c r="H562" s="268"/>
      <c r="I562" s="268"/>
      <c r="J562" s="268"/>
      <c r="K562" s="268"/>
      <c r="L562" s="309"/>
      <c r="M562" s="268"/>
      <c r="N562" s="268"/>
      <c r="O562" s="310"/>
      <c r="P562" s="268"/>
      <c r="Q562" s="309"/>
      <c r="R562" s="268"/>
      <c r="S562" s="313"/>
      <c r="T562" s="313"/>
      <c r="U562" s="268"/>
      <c r="V562" s="309"/>
      <c r="W562" s="310"/>
      <c r="X562" s="268"/>
      <c r="Y562" s="268"/>
      <c r="Z562" s="268"/>
    </row>
    <row r="563" spans="1:26" ht="24.75" customHeight="1">
      <c r="A563" s="268"/>
      <c r="B563" s="268"/>
      <c r="C563" s="268"/>
      <c r="D563" s="268"/>
      <c r="E563" s="268"/>
      <c r="F563" s="268"/>
      <c r="G563" s="268"/>
      <c r="H563" s="268"/>
      <c r="I563" s="268"/>
      <c r="J563" s="268"/>
      <c r="K563" s="268"/>
      <c r="L563" s="309"/>
      <c r="M563" s="268"/>
      <c r="N563" s="268"/>
      <c r="O563" s="310"/>
      <c r="P563" s="268"/>
      <c r="Q563" s="309"/>
      <c r="R563" s="268"/>
      <c r="S563" s="313"/>
      <c r="T563" s="313"/>
      <c r="U563" s="268"/>
      <c r="V563" s="309"/>
      <c r="W563" s="310"/>
      <c r="X563" s="268"/>
      <c r="Y563" s="268"/>
      <c r="Z563" s="268"/>
    </row>
    <row r="564" spans="1:26" ht="24.75" customHeight="1">
      <c r="A564" s="268"/>
      <c r="B564" s="268"/>
      <c r="C564" s="268"/>
      <c r="D564" s="268"/>
      <c r="E564" s="268"/>
      <c r="F564" s="268"/>
      <c r="G564" s="268"/>
      <c r="H564" s="268"/>
      <c r="I564" s="268"/>
      <c r="J564" s="268"/>
      <c r="K564" s="268"/>
      <c r="L564" s="309"/>
      <c r="M564" s="268"/>
      <c r="N564" s="268"/>
      <c r="O564" s="310"/>
      <c r="P564" s="268"/>
      <c r="Q564" s="309"/>
      <c r="R564" s="268"/>
      <c r="S564" s="313"/>
      <c r="T564" s="313"/>
      <c r="U564" s="268"/>
      <c r="V564" s="309"/>
      <c r="W564" s="310"/>
      <c r="X564" s="268"/>
      <c r="Y564" s="268"/>
      <c r="Z564" s="268"/>
    </row>
    <row r="565" spans="1:26" ht="24.75" customHeight="1">
      <c r="A565" s="268"/>
      <c r="B565" s="268"/>
      <c r="C565" s="268"/>
      <c r="D565" s="268"/>
      <c r="E565" s="268"/>
      <c r="F565" s="268"/>
      <c r="G565" s="268"/>
      <c r="H565" s="268"/>
      <c r="I565" s="268"/>
      <c r="J565" s="268"/>
      <c r="K565" s="268"/>
      <c r="L565" s="309"/>
      <c r="M565" s="268"/>
      <c r="N565" s="268"/>
      <c r="O565" s="310"/>
      <c r="P565" s="268"/>
      <c r="Q565" s="309"/>
      <c r="R565" s="268"/>
      <c r="S565" s="313"/>
      <c r="T565" s="313"/>
      <c r="U565" s="268"/>
      <c r="V565" s="309"/>
      <c r="W565" s="310"/>
      <c r="X565" s="268"/>
      <c r="Y565" s="268"/>
      <c r="Z565" s="268"/>
    </row>
    <row r="566" spans="1:26" ht="24.75" customHeight="1">
      <c r="A566" s="268"/>
      <c r="B566" s="268"/>
      <c r="C566" s="268"/>
      <c r="D566" s="268"/>
      <c r="E566" s="268"/>
      <c r="F566" s="268"/>
      <c r="G566" s="268"/>
      <c r="H566" s="268"/>
      <c r="I566" s="268"/>
      <c r="J566" s="268"/>
      <c r="K566" s="268"/>
      <c r="L566" s="309"/>
      <c r="M566" s="268"/>
      <c r="N566" s="268"/>
      <c r="O566" s="310"/>
      <c r="P566" s="268"/>
      <c r="Q566" s="309"/>
      <c r="R566" s="268"/>
      <c r="S566" s="313"/>
      <c r="T566" s="313"/>
      <c r="U566" s="268"/>
      <c r="V566" s="309"/>
      <c r="W566" s="310"/>
      <c r="X566" s="268"/>
      <c r="Y566" s="268"/>
      <c r="Z566" s="268"/>
    </row>
    <row r="567" spans="1:26" ht="24.75" customHeight="1">
      <c r="A567" s="268"/>
      <c r="B567" s="268"/>
      <c r="C567" s="268"/>
      <c r="D567" s="268"/>
      <c r="E567" s="268"/>
      <c r="F567" s="268"/>
      <c r="G567" s="268"/>
      <c r="H567" s="268"/>
      <c r="I567" s="268"/>
      <c r="J567" s="268"/>
      <c r="K567" s="268"/>
      <c r="L567" s="309"/>
      <c r="M567" s="268"/>
      <c r="N567" s="268"/>
      <c r="O567" s="310"/>
      <c r="P567" s="268"/>
      <c r="Q567" s="309"/>
      <c r="R567" s="268"/>
      <c r="S567" s="313"/>
      <c r="T567" s="313"/>
      <c r="U567" s="268"/>
      <c r="V567" s="309"/>
      <c r="W567" s="310"/>
      <c r="X567" s="268"/>
      <c r="Y567" s="268"/>
      <c r="Z567" s="268"/>
    </row>
    <row r="568" spans="1:26" ht="24.75" customHeight="1">
      <c r="A568" s="268"/>
      <c r="B568" s="268"/>
      <c r="C568" s="268"/>
      <c r="D568" s="268"/>
      <c r="E568" s="268"/>
      <c r="F568" s="268"/>
      <c r="G568" s="268"/>
      <c r="H568" s="268"/>
      <c r="I568" s="268"/>
      <c r="J568" s="268"/>
      <c r="K568" s="268"/>
      <c r="L568" s="309"/>
      <c r="M568" s="268"/>
      <c r="N568" s="268"/>
      <c r="O568" s="310"/>
      <c r="P568" s="268"/>
      <c r="Q568" s="309"/>
      <c r="R568" s="268"/>
      <c r="S568" s="313"/>
      <c r="T568" s="313"/>
      <c r="U568" s="268"/>
      <c r="V568" s="309"/>
      <c r="W568" s="310"/>
      <c r="X568" s="268"/>
      <c r="Y568" s="268"/>
      <c r="Z568" s="268"/>
    </row>
    <row r="569" spans="1:26" ht="24.75" customHeight="1">
      <c r="A569" s="268"/>
      <c r="B569" s="268"/>
      <c r="C569" s="268"/>
      <c r="D569" s="268"/>
      <c r="E569" s="268"/>
      <c r="F569" s="268"/>
      <c r="G569" s="268"/>
      <c r="H569" s="268"/>
      <c r="I569" s="268"/>
      <c r="J569" s="268"/>
      <c r="K569" s="268"/>
      <c r="L569" s="309"/>
      <c r="M569" s="268"/>
      <c r="N569" s="268"/>
      <c r="O569" s="310"/>
      <c r="P569" s="268"/>
      <c r="Q569" s="309"/>
      <c r="R569" s="268"/>
      <c r="S569" s="313"/>
      <c r="T569" s="313"/>
      <c r="U569" s="268"/>
      <c r="V569" s="309"/>
      <c r="W569" s="310"/>
      <c r="X569" s="268"/>
      <c r="Y569" s="268"/>
      <c r="Z569" s="268"/>
    </row>
    <row r="570" spans="1:26" ht="24.75" customHeight="1">
      <c r="A570" s="268"/>
      <c r="B570" s="268"/>
      <c r="C570" s="268"/>
      <c r="D570" s="268"/>
      <c r="E570" s="268"/>
      <c r="F570" s="268"/>
      <c r="G570" s="268"/>
      <c r="H570" s="268"/>
      <c r="I570" s="268"/>
      <c r="J570" s="268"/>
      <c r="K570" s="268"/>
      <c r="L570" s="309"/>
      <c r="M570" s="268"/>
      <c r="N570" s="268"/>
      <c r="O570" s="310"/>
      <c r="P570" s="268"/>
      <c r="Q570" s="309"/>
      <c r="R570" s="268"/>
      <c r="S570" s="313"/>
      <c r="T570" s="313"/>
      <c r="U570" s="268"/>
      <c r="V570" s="309"/>
      <c r="W570" s="310"/>
      <c r="X570" s="268"/>
      <c r="Y570" s="268"/>
      <c r="Z570" s="268"/>
    </row>
    <row r="571" spans="1:26" ht="24.75" customHeight="1">
      <c r="A571" s="268"/>
      <c r="B571" s="268"/>
      <c r="C571" s="268"/>
      <c r="D571" s="268"/>
      <c r="E571" s="268"/>
      <c r="F571" s="268"/>
      <c r="G571" s="268"/>
      <c r="H571" s="268"/>
      <c r="I571" s="268"/>
      <c r="J571" s="268"/>
      <c r="K571" s="268"/>
      <c r="L571" s="309"/>
      <c r="M571" s="268"/>
      <c r="N571" s="268"/>
      <c r="O571" s="310"/>
      <c r="P571" s="268"/>
      <c r="Q571" s="309"/>
      <c r="R571" s="268"/>
      <c r="S571" s="313"/>
      <c r="T571" s="313"/>
      <c r="U571" s="268"/>
      <c r="V571" s="309"/>
      <c r="W571" s="310"/>
      <c r="X571" s="268"/>
      <c r="Y571" s="268"/>
      <c r="Z571" s="268"/>
    </row>
    <row r="572" spans="1:26" ht="24.75" customHeight="1">
      <c r="A572" s="268"/>
      <c r="B572" s="268"/>
      <c r="C572" s="268"/>
      <c r="D572" s="268"/>
      <c r="E572" s="268"/>
      <c r="F572" s="268"/>
      <c r="G572" s="268"/>
      <c r="H572" s="268"/>
      <c r="I572" s="268"/>
      <c r="J572" s="268"/>
      <c r="K572" s="268"/>
      <c r="L572" s="309"/>
      <c r="M572" s="268"/>
      <c r="N572" s="268"/>
      <c r="O572" s="310"/>
      <c r="P572" s="268"/>
      <c r="Q572" s="309"/>
      <c r="R572" s="268"/>
      <c r="S572" s="313"/>
      <c r="T572" s="313"/>
      <c r="U572" s="268"/>
      <c r="V572" s="309"/>
      <c r="W572" s="310"/>
      <c r="X572" s="268"/>
      <c r="Y572" s="268"/>
      <c r="Z572" s="268"/>
    </row>
    <row r="573" spans="1:26" ht="24.75" customHeight="1">
      <c r="A573" s="268"/>
      <c r="B573" s="268"/>
      <c r="C573" s="268"/>
      <c r="D573" s="268"/>
      <c r="E573" s="268"/>
      <c r="F573" s="268"/>
      <c r="G573" s="268"/>
      <c r="H573" s="268"/>
      <c r="I573" s="268"/>
      <c r="J573" s="268"/>
      <c r="K573" s="268"/>
      <c r="L573" s="309"/>
      <c r="M573" s="268"/>
      <c r="N573" s="268"/>
      <c r="O573" s="310"/>
      <c r="P573" s="268"/>
      <c r="Q573" s="309"/>
      <c r="R573" s="268"/>
      <c r="S573" s="313"/>
      <c r="T573" s="313"/>
      <c r="U573" s="268"/>
      <c r="V573" s="309"/>
      <c r="W573" s="310"/>
      <c r="X573" s="268"/>
      <c r="Y573" s="268"/>
      <c r="Z573" s="268"/>
    </row>
    <row r="574" spans="1:26" ht="24.75" customHeight="1">
      <c r="A574" s="268"/>
      <c r="B574" s="268"/>
      <c r="C574" s="268"/>
      <c r="D574" s="268"/>
      <c r="E574" s="268"/>
      <c r="F574" s="268"/>
      <c r="G574" s="268"/>
      <c r="H574" s="268"/>
      <c r="I574" s="268"/>
      <c r="J574" s="268"/>
      <c r="K574" s="268"/>
      <c r="L574" s="309"/>
      <c r="M574" s="268"/>
      <c r="N574" s="268"/>
      <c r="O574" s="310"/>
      <c r="P574" s="268"/>
      <c r="Q574" s="309"/>
      <c r="R574" s="268"/>
      <c r="S574" s="313"/>
      <c r="T574" s="313"/>
      <c r="U574" s="268"/>
      <c r="V574" s="309"/>
      <c r="W574" s="310"/>
      <c r="X574" s="268"/>
      <c r="Y574" s="268"/>
      <c r="Z574" s="268"/>
    </row>
    <row r="575" spans="1:26" ht="24.75" customHeight="1">
      <c r="A575" s="268"/>
      <c r="B575" s="268"/>
      <c r="C575" s="268"/>
      <c r="D575" s="268"/>
      <c r="E575" s="268"/>
      <c r="F575" s="268"/>
      <c r="G575" s="268"/>
      <c r="H575" s="268"/>
      <c r="I575" s="268"/>
      <c r="J575" s="268"/>
      <c r="K575" s="268"/>
      <c r="L575" s="309"/>
      <c r="M575" s="268"/>
      <c r="N575" s="268"/>
      <c r="O575" s="310"/>
      <c r="P575" s="268"/>
      <c r="Q575" s="309"/>
      <c r="R575" s="268"/>
      <c r="S575" s="313"/>
      <c r="T575" s="313"/>
      <c r="U575" s="268"/>
      <c r="V575" s="309"/>
      <c r="W575" s="310"/>
      <c r="X575" s="268"/>
      <c r="Y575" s="268"/>
      <c r="Z575" s="268"/>
    </row>
    <row r="576" spans="1:26" ht="24.75" customHeight="1">
      <c r="A576" s="268"/>
      <c r="B576" s="268"/>
      <c r="C576" s="268"/>
      <c r="D576" s="268"/>
      <c r="E576" s="268"/>
      <c r="F576" s="268"/>
      <c r="G576" s="268"/>
      <c r="H576" s="268"/>
      <c r="I576" s="268"/>
      <c r="J576" s="268"/>
      <c r="K576" s="268"/>
      <c r="L576" s="309"/>
      <c r="M576" s="268"/>
      <c r="N576" s="268"/>
      <c r="O576" s="310"/>
      <c r="P576" s="268"/>
      <c r="Q576" s="309"/>
      <c r="R576" s="268"/>
      <c r="S576" s="313"/>
      <c r="T576" s="313"/>
      <c r="U576" s="268"/>
      <c r="V576" s="309"/>
      <c r="W576" s="310"/>
      <c r="X576" s="268"/>
      <c r="Y576" s="268"/>
      <c r="Z576" s="268"/>
    </row>
    <row r="577" spans="1:26" ht="24.75" customHeight="1">
      <c r="A577" s="268"/>
      <c r="B577" s="268"/>
      <c r="C577" s="268"/>
      <c r="D577" s="268"/>
      <c r="E577" s="268"/>
      <c r="F577" s="268"/>
      <c r="G577" s="268"/>
      <c r="H577" s="268"/>
      <c r="I577" s="268"/>
      <c r="J577" s="268"/>
      <c r="K577" s="268"/>
      <c r="L577" s="309"/>
      <c r="M577" s="268"/>
      <c r="N577" s="268"/>
      <c r="O577" s="310"/>
      <c r="P577" s="268"/>
      <c r="Q577" s="309"/>
      <c r="R577" s="268"/>
      <c r="S577" s="313"/>
      <c r="T577" s="313"/>
      <c r="U577" s="268"/>
      <c r="V577" s="309"/>
      <c r="W577" s="310"/>
      <c r="X577" s="268"/>
      <c r="Y577" s="268"/>
      <c r="Z577" s="268"/>
    </row>
    <row r="578" spans="1:26" ht="24.75" customHeight="1">
      <c r="A578" s="268"/>
      <c r="B578" s="268"/>
      <c r="C578" s="268"/>
      <c r="D578" s="268"/>
      <c r="E578" s="268"/>
      <c r="F578" s="268"/>
      <c r="G578" s="268"/>
      <c r="H578" s="268"/>
      <c r="I578" s="268"/>
      <c r="J578" s="268"/>
      <c r="K578" s="268"/>
      <c r="L578" s="309"/>
      <c r="M578" s="268"/>
      <c r="N578" s="268"/>
      <c r="O578" s="310"/>
      <c r="P578" s="268"/>
      <c r="Q578" s="309"/>
      <c r="R578" s="268"/>
      <c r="S578" s="313"/>
      <c r="T578" s="313"/>
      <c r="U578" s="268"/>
      <c r="V578" s="309"/>
      <c r="W578" s="310"/>
      <c r="X578" s="268"/>
      <c r="Y578" s="268"/>
      <c r="Z578" s="268"/>
    </row>
    <row r="579" spans="1:26" ht="24.75" customHeight="1">
      <c r="A579" s="268"/>
      <c r="B579" s="268"/>
      <c r="C579" s="268"/>
      <c r="D579" s="268"/>
      <c r="E579" s="268"/>
      <c r="F579" s="268"/>
      <c r="G579" s="268"/>
      <c r="H579" s="268"/>
      <c r="I579" s="268"/>
      <c r="J579" s="268"/>
      <c r="K579" s="268"/>
      <c r="L579" s="309"/>
      <c r="M579" s="268"/>
      <c r="N579" s="268"/>
      <c r="O579" s="310"/>
      <c r="P579" s="268"/>
      <c r="Q579" s="309"/>
      <c r="R579" s="268"/>
      <c r="S579" s="313"/>
      <c r="T579" s="313"/>
      <c r="U579" s="268"/>
      <c r="V579" s="309"/>
      <c r="W579" s="310"/>
      <c r="X579" s="268"/>
      <c r="Y579" s="268"/>
      <c r="Z579" s="268"/>
    </row>
    <row r="580" spans="1:26" ht="24.75" customHeight="1">
      <c r="A580" s="268"/>
      <c r="B580" s="268"/>
      <c r="C580" s="268"/>
      <c r="D580" s="268"/>
      <c r="E580" s="268"/>
      <c r="F580" s="268"/>
      <c r="G580" s="268"/>
      <c r="H580" s="268"/>
      <c r="I580" s="268"/>
      <c r="J580" s="268"/>
      <c r="K580" s="268"/>
      <c r="L580" s="309"/>
      <c r="M580" s="268"/>
      <c r="N580" s="268"/>
      <c r="O580" s="310"/>
      <c r="P580" s="268"/>
      <c r="Q580" s="309"/>
      <c r="R580" s="268"/>
      <c r="S580" s="313"/>
      <c r="T580" s="313"/>
      <c r="U580" s="268"/>
      <c r="V580" s="309"/>
      <c r="W580" s="310"/>
      <c r="X580" s="268"/>
      <c r="Y580" s="268"/>
      <c r="Z580" s="268"/>
    </row>
    <row r="581" spans="1:26" ht="24.75" customHeight="1">
      <c r="A581" s="268"/>
      <c r="B581" s="268"/>
      <c r="C581" s="268"/>
      <c r="D581" s="268"/>
      <c r="E581" s="268"/>
      <c r="F581" s="268"/>
      <c r="G581" s="268"/>
      <c r="H581" s="268"/>
      <c r="I581" s="268"/>
      <c r="J581" s="268"/>
      <c r="K581" s="268"/>
      <c r="L581" s="309"/>
      <c r="M581" s="268"/>
      <c r="N581" s="268"/>
      <c r="O581" s="310"/>
      <c r="P581" s="268"/>
      <c r="Q581" s="309"/>
      <c r="R581" s="268"/>
      <c r="S581" s="313"/>
      <c r="T581" s="313"/>
      <c r="U581" s="268"/>
      <c r="V581" s="309"/>
      <c r="W581" s="310"/>
      <c r="X581" s="268"/>
      <c r="Y581" s="268"/>
      <c r="Z581" s="268"/>
    </row>
    <row r="582" spans="1:26" ht="24.75" customHeight="1">
      <c r="A582" s="268"/>
      <c r="B582" s="268"/>
      <c r="C582" s="268"/>
      <c r="D582" s="268"/>
      <c r="E582" s="268"/>
      <c r="F582" s="268"/>
      <c r="G582" s="268"/>
      <c r="H582" s="268"/>
      <c r="I582" s="268"/>
      <c r="J582" s="268"/>
      <c r="K582" s="268"/>
      <c r="L582" s="309"/>
      <c r="M582" s="268"/>
      <c r="N582" s="268"/>
      <c r="O582" s="310"/>
      <c r="P582" s="268"/>
      <c r="Q582" s="309"/>
      <c r="R582" s="268"/>
      <c r="S582" s="313"/>
      <c r="T582" s="313"/>
      <c r="U582" s="268"/>
      <c r="V582" s="309"/>
      <c r="W582" s="310"/>
      <c r="X582" s="268"/>
      <c r="Y582" s="268"/>
      <c r="Z582" s="268"/>
    </row>
    <row r="583" spans="1:26" ht="24.75" customHeight="1">
      <c r="A583" s="268"/>
      <c r="B583" s="268"/>
      <c r="C583" s="268"/>
      <c r="D583" s="268"/>
      <c r="E583" s="268"/>
      <c r="F583" s="268"/>
      <c r="G583" s="268"/>
      <c r="H583" s="268"/>
      <c r="I583" s="268"/>
      <c r="J583" s="268"/>
      <c r="K583" s="268"/>
      <c r="L583" s="309"/>
      <c r="M583" s="268"/>
      <c r="N583" s="268"/>
      <c r="O583" s="310"/>
      <c r="P583" s="268"/>
      <c r="Q583" s="309"/>
      <c r="R583" s="268"/>
      <c r="S583" s="313"/>
      <c r="T583" s="313"/>
      <c r="U583" s="268"/>
      <c r="V583" s="309"/>
      <c r="W583" s="310"/>
      <c r="X583" s="268"/>
      <c r="Y583" s="268"/>
      <c r="Z583" s="268"/>
    </row>
    <row r="584" spans="1:26" ht="24.75" customHeight="1">
      <c r="A584" s="268"/>
      <c r="B584" s="268"/>
      <c r="C584" s="268"/>
      <c r="D584" s="268"/>
      <c r="E584" s="268"/>
      <c r="F584" s="268"/>
      <c r="G584" s="268"/>
      <c r="H584" s="268"/>
      <c r="I584" s="268"/>
      <c r="J584" s="268"/>
      <c r="K584" s="268"/>
      <c r="L584" s="309"/>
      <c r="M584" s="268"/>
      <c r="N584" s="268"/>
      <c r="O584" s="310"/>
      <c r="P584" s="268"/>
      <c r="Q584" s="309"/>
      <c r="R584" s="268"/>
      <c r="S584" s="313"/>
      <c r="T584" s="313"/>
      <c r="U584" s="268"/>
      <c r="V584" s="309"/>
      <c r="W584" s="310"/>
      <c r="X584" s="268"/>
      <c r="Y584" s="268"/>
      <c r="Z584" s="268"/>
    </row>
    <row r="585" spans="1:26" ht="24.75" customHeight="1">
      <c r="A585" s="268"/>
      <c r="B585" s="268"/>
      <c r="C585" s="268"/>
      <c r="D585" s="268"/>
      <c r="E585" s="268"/>
      <c r="F585" s="268"/>
      <c r="G585" s="268"/>
      <c r="H585" s="268"/>
      <c r="I585" s="268"/>
      <c r="J585" s="268"/>
      <c r="K585" s="268"/>
      <c r="L585" s="309"/>
      <c r="M585" s="268"/>
      <c r="N585" s="268"/>
      <c r="O585" s="310"/>
      <c r="P585" s="268"/>
      <c r="Q585" s="309"/>
      <c r="R585" s="268"/>
      <c r="S585" s="313"/>
      <c r="T585" s="313"/>
      <c r="U585" s="268"/>
      <c r="V585" s="309"/>
      <c r="W585" s="310"/>
      <c r="X585" s="268"/>
      <c r="Y585" s="268"/>
      <c r="Z585" s="268"/>
    </row>
    <row r="586" spans="1:26" ht="24.75" customHeight="1">
      <c r="A586" s="268"/>
      <c r="B586" s="268"/>
      <c r="C586" s="268"/>
      <c r="D586" s="268"/>
      <c r="E586" s="268"/>
      <c r="F586" s="268"/>
      <c r="G586" s="268"/>
      <c r="H586" s="268"/>
      <c r="I586" s="268"/>
      <c r="J586" s="268"/>
      <c r="K586" s="268"/>
      <c r="L586" s="309"/>
      <c r="M586" s="268"/>
      <c r="N586" s="268"/>
      <c r="O586" s="310"/>
      <c r="P586" s="268"/>
      <c r="Q586" s="309"/>
      <c r="R586" s="268"/>
      <c r="S586" s="313"/>
      <c r="T586" s="313"/>
      <c r="U586" s="268"/>
      <c r="V586" s="309"/>
      <c r="W586" s="310"/>
      <c r="X586" s="268"/>
      <c r="Y586" s="268"/>
      <c r="Z586" s="268"/>
    </row>
    <row r="587" spans="1:26" ht="24.75" customHeight="1">
      <c r="A587" s="268"/>
      <c r="B587" s="268"/>
      <c r="C587" s="268"/>
      <c r="D587" s="268"/>
      <c r="E587" s="268"/>
      <c r="F587" s="268"/>
      <c r="G587" s="268"/>
      <c r="H587" s="268"/>
      <c r="I587" s="268"/>
      <c r="J587" s="268"/>
      <c r="K587" s="268"/>
      <c r="L587" s="309"/>
      <c r="M587" s="268"/>
      <c r="N587" s="268"/>
      <c r="O587" s="310"/>
      <c r="P587" s="268"/>
      <c r="Q587" s="309"/>
      <c r="R587" s="268"/>
      <c r="S587" s="313"/>
      <c r="T587" s="313"/>
      <c r="U587" s="268"/>
      <c r="V587" s="309"/>
      <c r="W587" s="310"/>
      <c r="X587" s="268"/>
      <c r="Y587" s="268"/>
      <c r="Z587" s="268"/>
    </row>
    <row r="588" spans="1:26" ht="24.75" customHeight="1">
      <c r="A588" s="268"/>
      <c r="B588" s="268"/>
      <c r="C588" s="268"/>
      <c r="D588" s="268"/>
      <c r="E588" s="268"/>
      <c r="F588" s="268"/>
      <c r="G588" s="268"/>
      <c r="H588" s="268"/>
      <c r="I588" s="268"/>
      <c r="J588" s="268"/>
      <c r="K588" s="268"/>
      <c r="L588" s="309"/>
      <c r="M588" s="268"/>
      <c r="N588" s="268"/>
      <c r="O588" s="310"/>
      <c r="P588" s="268"/>
      <c r="Q588" s="309"/>
      <c r="R588" s="268"/>
      <c r="S588" s="313"/>
      <c r="T588" s="313"/>
      <c r="U588" s="268"/>
      <c r="V588" s="309"/>
      <c r="W588" s="310"/>
      <c r="X588" s="268"/>
      <c r="Y588" s="268"/>
      <c r="Z588" s="268"/>
    </row>
    <row r="589" spans="1:26" ht="24.75" customHeight="1">
      <c r="A589" s="268"/>
      <c r="B589" s="268"/>
      <c r="C589" s="268"/>
      <c r="D589" s="268"/>
      <c r="E589" s="268"/>
      <c r="F589" s="268"/>
      <c r="G589" s="268"/>
      <c r="H589" s="268"/>
      <c r="I589" s="268"/>
      <c r="J589" s="268"/>
      <c r="K589" s="268"/>
      <c r="L589" s="309"/>
      <c r="M589" s="268"/>
      <c r="N589" s="268"/>
      <c r="O589" s="310"/>
      <c r="P589" s="268"/>
      <c r="Q589" s="309"/>
      <c r="R589" s="268"/>
      <c r="S589" s="313"/>
      <c r="T589" s="313"/>
      <c r="U589" s="268"/>
      <c r="V589" s="309"/>
      <c r="W589" s="310"/>
      <c r="X589" s="268"/>
      <c r="Y589" s="268"/>
      <c r="Z589" s="268"/>
    </row>
    <row r="590" spans="1:26" ht="24.75" customHeight="1">
      <c r="A590" s="268"/>
      <c r="B590" s="268"/>
      <c r="C590" s="268"/>
      <c r="D590" s="268"/>
      <c r="E590" s="268"/>
      <c r="F590" s="268"/>
      <c r="G590" s="268"/>
      <c r="H590" s="268"/>
      <c r="I590" s="268"/>
      <c r="J590" s="268"/>
      <c r="K590" s="268"/>
      <c r="L590" s="309"/>
      <c r="M590" s="268"/>
      <c r="N590" s="268"/>
      <c r="O590" s="310"/>
      <c r="P590" s="268"/>
      <c r="Q590" s="309"/>
      <c r="R590" s="268"/>
      <c r="S590" s="313"/>
      <c r="T590" s="313"/>
      <c r="U590" s="268"/>
      <c r="V590" s="309"/>
      <c r="W590" s="310"/>
      <c r="X590" s="268"/>
      <c r="Y590" s="268"/>
      <c r="Z590" s="268"/>
    </row>
    <row r="591" spans="1:26" ht="24.75" customHeight="1">
      <c r="A591" s="268"/>
      <c r="B591" s="268"/>
      <c r="C591" s="268"/>
      <c r="D591" s="268"/>
      <c r="E591" s="268"/>
      <c r="F591" s="268"/>
      <c r="G591" s="268"/>
      <c r="H591" s="268"/>
      <c r="I591" s="268"/>
      <c r="J591" s="268"/>
      <c r="K591" s="268"/>
      <c r="L591" s="309"/>
      <c r="M591" s="268"/>
      <c r="N591" s="268"/>
      <c r="O591" s="310"/>
      <c r="P591" s="268"/>
      <c r="Q591" s="309"/>
      <c r="R591" s="268"/>
      <c r="S591" s="313"/>
      <c r="T591" s="313"/>
      <c r="U591" s="268"/>
      <c r="V591" s="309"/>
      <c r="W591" s="310"/>
      <c r="X591" s="268"/>
      <c r="Y591" s="268"/>
      <c r="Z591" s="268"/>
    </row>
    <row r="592" spans="1:26" ht="24.75" customHeight="1">
      <c r="A592" s="268"/>
      <c r="B592" s="268"/>
      <c r="C592" s="268"/>
      <c r="D592" s="268"/>
      <c r="E592" s="268"/>
      <c r="F592" s="268"/>
      <c r="G592" s="268"/>
      <c r="H592" s="268"/>
      <c r="I592" s="268"/>
      <c r="J592" s="268"/>
      <c r="K592" s="268"/>
      <c r="L592" s="309"/>
      <c r="M592" s="268"/>
      <c r="N592" s="268"/>
      <c r="O592" s="310"/>
      <c r="P592" s="268"/>
      <c r="Q592" s="309"/>
      <c r="R592" s="268"/>
      <c r="S592" s="313"/>
      <c r="T592" s="313"/>
      <c r="U592" s="268"/>
      <c r="V592" s="309"/>
      <c r="W592" s="310"/>
      <c r="X592" s="268"/>
      <c r="Y592" s="268"/>
      <c r="Z592" s="268"/>
    </row>
    <row r="593" spans="1:26" ht="24.75" customHeight="1">
      <c r="A593" s="268"/>
      <c r="B593" s="268"/>
      <c r="C593" s="268"/>
      <c r="D593" s="268"/>
      <c r="E593" s="268"/>
      <c r="F593" s="268"/>
      <c r="G593" s="268"/>
      <c r="H593" s="268"/>
      <c r="I593" s="268"/>
      <c r="J593" s="268"/>
      <c r="K593" s="268"/>
      <c r="L593" s="309"/>
      <c r="M593" s="268"/>
      <c r="N593" s="268"/>
      <c r="O593" s="310"/>
      <c r="P593" s="268"/>
      <c r="Q593" s="309"/>
      <c r="R593" s="268"/>
      <c r="S593" s="313"/>
      <c r="T593" s="313"/>
      <c r="U593" s="268"/>
      <c r="V593" s="309"/>
      <c r="W593" s="310"/>
      <c r="X593" s="268"/>
      <c r="Y593" s="268"/>
      <c r="Z593" s="268"/>
    </row>
    <row r="594" spans="1:26" ht="24.75" customHeight="1">
      <c r="A594" s="268"/>
      <c r="B594" s="268"/>
      <c r="C594" s="268"/>
      <c r="D594" s="268"/>
      <c r="E594" s="268"/>
      <c r="F594" s="268"/>
      <c r="G594" s="268"/>
      <c r="H594" s="268"/>
      <c r="I594" s="268"/>
      <c r="J594" s="268"/>
      <c r="K594" s="268"/>
      <c r="L594" s="309"/>
      <c r="M594" s="268"/>
      <c r="N594" s="268"/>
      <c r="O594" s="310"/>
      <c r="P594" s="268"/>
      <c r="Q594" s="309"/>
      <c r="R594" s="268"/>
      <c r="S594" s="313"/>
      <c r="T594" s="313"/>
      <c r="U594" s="268"/>
      <c r="V594" s="309"/>
      <c r="W594" s="310"/>
      <c r="X594" s="268"/>
      <c r="Y594" s="268"/>
      <c r="Z594" s="268"/>
    </row>
    <row r="595" spans="1:26" ht="24.75" customHeight="1">
      <c r="A595" s="268"/>
      <c r="B595" s="268"/>
      <c r="C595" s="268"/>
      <c r="D595" s="268"/>
      <c r="E595" s="268"/>
      <c r="F595" s="268"/>
      <c r="G595" s="268"/>
      <c r="H595" s="268"/>
      <c r="I595" s="268"/>
      <c r="J595" s="268"/>
      <c r="K595" s="268"/>
      <c r="L595" s="309"/>
      <c r="M595" s="268"/>
      <c r="N595" s="268"/>
      <c r="O595" s="310"/>
      <c r="P595" s="268"/>
      <c r="Q595" s="309"/>
      <c r="R595" s="268"/>
      <c r="S595" s="313"/>
      <c r="T595" s="313"/>
      <c r="U595" s="268"/>
      <c r="V595" s="309"/>
      <c r="W595" s="310"/>
      <c r="X595" s="268"/>
      <c r="Y595" s="268"/>
      <c r="Z595" s="268"/>
    </row>
    <row r="596" spans="1:26" ht="24.75" customHeight="1">
      <c r="A596" s="268"/>
      <c r="B596" s="268"/>
      <c r="C596" s="268"/>
      <c r="D596" s="268"/>
      <c r="E596" s="268"/>
      <c r="F596" s="268"/>
      <c r="G596" s="268"/>
      <c r="H596" s="268"/>
      <c r="I596" s="268"/>
      <c r="J596" s="268"/>
      <c r="K596" s="268"/>
      <c r="L596" s="309"/>
      <c r="M596" s="268"/>
      <c r="N596" s="268"/>
      <c r="O596" s="310"/>
      <c r="P596" s="268"/>
      <c r="Q596" s="309"/>
      <c r="R596" s="268"/>
      <c r="S596" s="313"/>
      <c r="T596" s="313"/>
      <c r="U596" s="268"/>
      <c r="V596" s="309"/>
      <c r="W596" s="310"/>
      <c r="X596" s="268"/>
      <c r="Y596" s="268"/>
      <c r="Z596" s="268"/>
    </row>
    <row r="597" spans="1:26" ht="24.75" customHeight="1">
      <c r="A597" s="268"/>
      <c r="B597" s="268"/>
      <c r="C597" s="268"/>
      <c r="D597" s="268"/>
      <c r="E597" s="268"/>
      <c r="F597" s="268"/>
      <c r="G597" s="268"/>
      <c r="H597" s="268"/>
      <c r="I597" s="268"/>
      <c r="J597" s="268"/>
      <c r="K597" s="268"/>
      <c r="L597" s="309"/>
      <c r="M597" s="268"/>
      <c r="N597" s="268"/>
      <c r="O597" s="310"/>
      <c r="P597" s="268"/>
      <c r="Q597" s="309"/>
      <c r="R597" s="268"/>
      <c r="S597" s="313"/>
      <c r="T597" s="313"/>
      <c r="U597" s="268"/>
      <c r="V597" s="309"/>
      <c r="W597" s="310"/>
      <c r="X597" s="268"/>
      <c r="Y597" s="268"/>
      <c r="Z597" s="268"/>
    </row>
    <row r="598" spans="1:26" ht="24.75" customHeight="1">
      <c r="A598" s="268"/>
      <c r="B598" s="268"/>
      <c r="C598" s="268"/>
      <c r="D598" s="268"/>
      <c r="E598" s="268"/>
      <c r="F598" s="268"/>
      <c r="G598" s="268"/>
      <c r="H598" s="268"/>
      <c r="I598" s="268"/>
      <c r="J598" s="268"/>
      <c r="K598" s="268"/>
      <c r="L598" s="309"/>
      <c r="M598" s="268"/>
      <c r="N598" s="268"/>
      <c r="O598" s="310"/>
      <c r="P598" s="268"/>
      <c r="Q598" s="309"/>
      <c r="R598" s="268"/>
      <c r="S598" s="313"/>
      <c r="T598" s="313"/>
      <c r="U598" s="268"/>
      <c r="V598" s="309"/>
      <c r="W598" s="310"/>
      <c r="X598" s="268"/>
      <c r="Y598" s="268"/>
      <c r="Z598" s="268"/>
    </row>
    <row r="599" spans="1:26" ht="24.75" customHeight="1">
      <c r="A599" s="268"/>
      <c r="B599" s="268"/>
      <c r="C599" s="268"/>
      <c r="D599" s="268"/>
      <c r="E599" s="268"/>
      <c r="F599" s="268"/>
      <c r="G599" s="268"/>
      <c r="H599" s="268"/>
      <c r="I599" s="268"/>
      <c r="J599" s="268"/>
      <c r="K599" s="268"/>
      <c r="L599" s="309"/>
      <c r="M599" s="268"/>
      <c r="N599" s="268"/>
      <c r="O599" s="310"/>
      <c r="P599" s="268"/>
      <c r="Q599" s="309"/>
      <c r="R599" s="268"/>
      <c r="S599" s="313"/>
      <c r="T599" s="313"/>
      <c r="U599" s="268"/>
      <c r="V599" s="309"/>
      <c r="W599" s="310"/>
      <c r="X599" s="268"/>
      <c r="Y599" s="268"/>
      <c r="Z599" s="268"/>
    </row>
    <row r="600" spans="1:26" ht="24.75" customHeight="1">
      <c r="A600" s="268"/>
      <c r="B600" s="268"/>
      <c r="C600" s="268"/>
      <c r="D600" s="268"/>
      <c r="E600" s="268"/>
      <c r="F600" s="268"/>
      <c r="G600" s="268"/>
      <c r="H600" s="268"/>
      <c r="I600" s="268"/>
      <c r="J600" s="268"/>
      <c r="K600" s="268"/>
      <c r="L600" s="309"/>
      <c r="M600" s="268"/>
      <c r="N600" s="268"/>
      <c r="O600" s="310"/>
      <c r="P600" s="268"/>
      <c r="Q600" s="309"/>
      <c r="R600" s="268"/>
      <c r="S600" s="313"/>
      <c r="T600" s="313"/>
      <c r="U600" s="268"/>
      <c r="V600" s="309"/>
      <c r="W600" s="310"/>
      <c r="X600" s="268"/>
      <c r="Y600" s="268"/>
      <c r="Z600" s="268"/>
    </row>
    <row r="601" spans="1:26" ht="24.75" customHeight="1">
      <c r="A601" s="268"/>
      <c r="B601" s="268"/>
      <c r="C601" s="268"/>
      <c r="D601" s="268"/>
      <c r="E601" s="268"/>
      <c r="F601" s="268"/>
      <c r="G601" s="268"/>
      <c r="H601" s="268"/>
      <c r="I601" s="268"/>
      <c r="J601" s="268"/>
      <c r="K601" s="268"/>
      <c r="L601" s="309"/>
      <c r="M601" s="268"/>
      <c r="N601" s="268"/>
      <c r="O601" s="310"/>
      <c r="P601" s="268"/>
      <c r="Q601" s="309"/>
      <c r="R601" s="268"/>
      <c r="S601" s="313"/>
      <c r="T601" s="313"/>
      <c r="U601" s="268"/>
      <c r="V601" s="309"/>
      <c r="W601" s="310"/>
      <c r="X601" s="268"/>
      <c r="Y601" s="268"/>
      <c r="Z601" s="268"/>
    </row>
    <row r="602" spans="1:26" ht="24.75" customHeight="1">
      <c r="A602" s="268"/>
      <c r="B602" s="268"/>
      <c r="C602" s="268"/>
      <c r="D602" s="268"/>
      <c r="E602" s="268"/>
      <c r="F602" s="268"/>
      <c r="G602" s="268"/>
      <c r="H602" s="268"/>
      <c r="I602" s="268"/>
      <c r="J602" s="268"/>
      <c r="K602" s="268"/>
      <c r="L602" s="309"/>
      <c r="M602" s="268"/>
      <c r="N602" s="268"/>
      <c r="O602" s="310"/>
      <c r="P602" s="268"/>
      <c r="Q602" s="309"/>
      <c r="R602" s="268"/>
      <c r="S602" s="313"/>
      <c r="T602" s="313"/>
      <c r="U602" s="268"/>
      <c r="V602" s="309"/>
      <c r="W602" s="310"/>
      <c r="X602" s="268"/>
      <c r="Y602" s="268"/>
      <c r="Z602" s="268"/>
    </row>
    <row r="603" spans="1:26" ht="24.75" customHeight="1">
      <c r="A603" s="268"/>
      <c r="B603" s="268"/>
      <c r="C603" s="268"/>
      <c r="D603" s="268"/>
      <c r="E603" s="268"/>
      <c r="F603" s="268"/>
      <c r="G603" s="268"/>
      <c r="H603" s="268"/>
      <c r="I603" s="268"/>
      <c r="J603" s="268"/>
      <c r="K603" s="268"/>
      <c r="L603" s="309"/>
      <c r="M603" s="268"/>
      <c r="N603" s="268"/>
      <c r="O603" s="310"/>
      <c r="P603" s="268"/>
      <c r="Q603" s="309"/>
      <c r="R603" s="268"/>
      <c r="S603" s="313"/>
      <c r="T603" s="313"/>
      <c r="U603" s="268"/>
      <c r="V603" s="309"/>
      <c r="W603" s="310"/>
      <c r="X603" s="268"/>
      <c r="Y603" s="268"/>
      <c r="Z603" s="268"/>
    </row>
    <row r="604" spans="1:26" ht="24.75" customHeight="1">
      <c r="A604" s="268"/>
      <c r="B604" s="268"/>
      <c r="C604" s="268"/>
      <c r="D604" s="268"/>
      <c r="E604" s="268"/>
      <c r="F604" s="268"/>
      <c r="G604" s="268"/>
      <c r="H604" s="268"/>
      <c r="I604" s="268"/>
      <c r="J604" s="268"/>
      <c r="K604" s="268"/>
      <c r="L604" s="309"/>
      <c r="M604" s="268"/>
      <c r="N604" s="268"/>
      <c r="O604" s="310"/>
      <c r="P604" s="268"/>
      <c r="Q604" s="309"/>
      <c r="R604" s="268"/>
      <c r="S604" s="313"/>
      <c r="T604" s="313"/>
      <c r="U604" s="268"/>
      <c r="V604" s="309"/>
      <c r="W604" s="310"/>
      <c r="X604" s="268"/>
      <c r="Y604" s="268"/>
      <c r="Z604" s="268"/>
    </row>
    <row r="605" spans="1:26" ht="24.75" customHeight="1">
      <c r="A605" s="268"/>
      <c r="B605" s="268"/>
      <c r="C605" s="268"/>
      <c r="D605" s="268"/>
      <c r="E605" s="268"/>
      <c r="F605" s="268"/>
      <c r="G605" s="268"/>
      <c r="H605" s="268"/>
      <c r="I605" s="268"/>
      <c r="J605" s="268"/>
      <c r="K605" s="268"/>
      <c r="L605" s="309"/>
      <c r="M605" s="268"/>
      <c r="N605" s="268"/>
      <c r="O605" s="310"/>
      <c r="P605" s="268"/>
      <c r="Q605" s="309"/>
      <c r="R605" s="268"/>
      <c r="S605" s="313"/>
      <c r="T605" s="313"/>
      <c r="U605" s="268"/>
      <c r="V605" s="309"/>
      <c r="W605" s="310"/>
      <c r="X605" s="268"/>
      <c r="Y605" s="268"/>
      <c r="Z605" s="268"/>
    </row>
    <row r="606" spans="1:26" ht="24.75" customHeight="1">
      <c r="A606" s="268"/>
      <c r="B606" s="268"/>
      <c r="C606" s="268"/>
      <c r="D606" s="268"/>
      <c r="E606" s="268"/>
      <c r="F606" s="268"/>
      <c r="G606" s="268"/>
      <c r="H606" s="268"/>
      <c r="I606" s="268"/>
      <c r="J606" s="268"/>
      <c r="K606" s="268"/>
      <c r="L606" s="309"/>
      <c r="M606" s="268"/>
      <c r="N606" s="268"/>
      <c r="O606" s="310"/>
      <c r="P606" s="268"/>
      <c r="Q606" s="309"/>
      <c r="R606" s="268"/>
      <c r="S606" s="313"/>
      <c r="T606" s="313"/>
      <c r="U606" s="268"/>
      <c r="V606" s="309"/>
      <c r="W606" s="310"/>
      <c r="X606" s="268"/>
      <c r="Y606" s="268"/>
      <c r="Z606" s="268"/>
    </row>
    <row r="607" spans="1:26" ht="24.75" customHeight="1">
      <c r="A607" s="268"/>
      <c r="B607" s="268"/>
      <c r="C607" s="268"/>
      <c r="D607" s="268"/>
      <c r="E607" s="268"/>
      <c r="F607" s="268"/>
      <c r="G607" s="268"/>
      <c r="H607" s="268"/>
      <c r="I607" s="268"/>
      <c r="J607" s="268"/>
      <c r="K607" s="268"/>
      <c r="L607" s="309"/>
      <c r="M607" s="268"/>
      <c r="N607" s="268"/>
      <c r="O607" s="310"/>
      <c r="P607" s="268"/>
      <c r="Q607" s="309"/>
      <c r="R607" s="268"/>
      <c r="S607" s="313"/>
      <c r="T607" s="313"/>
      <c r="U607" s="268"/>
      <c r="V607" s="309"/>
      <c r="W607" s="310"/>
      <c r="X607" s="268"/>
      <c r="Y607" s="268"/>
      <c r="Z607" s="268"/>
    </row>
    <row r="608" spans="1:26" ht="24.75" customHeight="1">
      <c r="A608" s="268"/>
      <c r="B608" s="268"/>
      <c r="C608" s="268"/>
      <c r="D608" s="268"/>
      <c r="E608" s="268"/>
      <c r="F608" s="268"/>
      <c r="G608" s="268"/>
      <c r="H608" s="268"/>
      <c r="I608" s="268"/>
      <c r="J608" s="268"/>
      <c r="K608" s="268"/>
      <c r="L608" s="309"/>
      <c r="M608" s="268"/>
      <c r="N608" s="268"/>
      <c r="O608" s="310"/>
      <c r="P608" s="268"/>
      <c r="Q608" s="309"/>
      <c r="R608" s="268"/>
      <c r="S608" s="313"/>
      <c r="T608" s="313"/>
      <c r="U608" s="268"/>
      <c r="V608" s="309"/>
      <c r="W608" s="310"/>
      <c r="X608" s="268"/>
      <c r="Y608" s="268"/>
      <c r="Z608" s="268"/>
    </row>
    <row r="609" spans="1:26" ht="24.75" customHeight="1">
      <c r="A609" s="268"/>
      <c r="B609" s="268"/>
      <c r="C609" s="268"/>
      <c r="D609" s="268"/>
      <c r="E609" s="268"/>
      <c r="F609" s="268"/>
      <c r="G609" s="268"/>
      <c r="H609" s="268"/>
      <c r="I609" s="268"/>
      <c r="J609" s="268"/>
      <c r="K609" s="268"/>
      <c r="L609" s="309"/>
      <c r="M609" s="268"/>
      <c r="N609" s="268"/>
      <c r="O609" s="310"/>
      <c r="P609" s="268"/>
      <c r="Q609" s="309"/>
      <c r="R609" s="268"/>
      <c r="S609" s="313"/>
      <c r="T609" s="313"/>
      <c r="U609" s="268"/>
      <c r="V609" s="309"/>
      <c r="W609" s="310"/>
      <c r="X609" s="268"/>
      <c r="Y609" s="268"/>
      <c r="Z609" s="268"/>
    </row>
    <row r="610" spans="1:26" ht="24.75" customHeight="1">
      <c r="A610" s="268"/>
      <c r="B610" s="268"/>
      <c r="C610" s="268"/>
      <c r="D610" s="268"/>
      <c r="E610" s="268"/>
      <c r="F610" s="268"/>
      <c r="G610" s="268"/>
      <c r="H610" s="268"/>
      <c r="I610" s="268"/>
      <c r="J610" s="268"/>
      <c r="K610" s="268"/>
      <c r="L610" s="309"/>
      <c r="M610" s="268"/>
      <c r="N610" s="268"/>
      <c r="O610" s="310"/>
      <c r="P610" s="268"/>
      <c r="Q610" s="309"/>
      <c r="R610" s="268"/>
      <c r="S610" s="313"/>
      <c r="T610" s="313"/>
      <c r="U610" s="268"/>
      <c r="V610" s="309"/>
      <c r="W610" s="310"/>
      <c r="X610" s="268"/>
      <c r="Y610" s="268"/>
      <c r="Z610" s="268"/>
    </row>
    <row r="611" spans="1:26" ht="24.75" customHeight="1">
      <c r="A611" s="268"/>
      <c r="B611" s="268"/>
      <c r="C611" s="268"/>
      <c r="D611" s="268"/>
      <c r="E611" s="268"/>
      <c r="F611" s="268"/>
      <c r="G611" s="268"/>
      <c r="H611" s="268"/>
      <c r="I611" s="268"/>
      <c r="J611" s="268"/>
      <c r="K611" s="268"/>
      <c r="L611" s="309"/>
      <c r="M611" s="268"/>
      <c r="N611" s="268"/>
      <c r="O611" s="310"/>
      <c r="P611" s="268"/>
      <c r="Q611" s="309"/>
      <c r="R611" s="268"/>
      <c r="S611" s="313"/>
      <c r="T611" s="313"/>
      <c r="U611" s="268"/>
      <c r="V611" s="309"/>
      <c r="W611" s="310"/>
      <c r="X611" s="268"/>
      <c r="Y611" s="268"/>
      <c r="Z611" s="268"/>
    </row>
    <row r="612" spans="1:26" ht="24.75" customHeight="1">
      <c r="A612" s="268"/>
      <c r="B612" s="268"/>
      <c r="C612" s="268"/>
      <c r="D612" s="268"/>
      <c r="E612" s="268"/>
      <c r="F612" s="268"/>
      <c r="G612" s="268"/>
      <c r="H612" s="268"/>
      <c r="I612" s="268"/>
      <c r="J612" s="268"/>
      <c r="K612" s="268"/>
      <c r="L612" s="309"/>
      <c r="M612" s="268"/>
      <c r="N612" s="268"/>
      <c r="O612" s="310"/>
      <c r="P612" s="268"/>
      <c r="Q612" s="309"/>
      <c r="R612" s="268"/>
      <c r="S612" s="313"/>
      <c r="T612" s="313"/>
      <c r="U612" s="268"/>
      <c r="V612" s="309"/>
      <c r="W612" s="310"/>
      <c r="X612" s="268"/>
      <c r="Y612" s="268"/>
      <c r="Z612" s="268"/>
    </row>
    <row r="613" spans="1:26" ht="24.75" customHeight="1">
      <c r="A613" s="268"/>
      <c r="B613" s="268"/>
      <c r="C613" s="268"/>
      <c r="D613" s="268"/>
      <c r="E613" s="268"/>
      <c r="F613" s="268"/>
      <c r="G613" s="268"/>
      <c r="H613" s="268"/>
      <c r="I613" s="268"/>
      <c r="J613" s="268"/>
      <c r="K613" s="268"/>
      <c r="L613" s="309"/>
      <c r="M613" s="268"/>
      <c r="N613" s="268"/>
      <c r="O613" s="310"/>
      <c r="P613" s="268"/>
      <c r="Q613" s="309"/>
      <c r="R613" s="268"/>
      <c r="S613" s="313"/>
      <c r="T613" s="313"/>
      <c r="U613" s="268"/>
      <c r="V613" s="309"/>
      <c r="W613" s="310"/>
      <c r="X613" s="268"/>
      <c r="Y613" s="268"/>
      <c r="Z613" s="268"/>
    </row>
    <row r="614" spans="1:26" ht="24.75" customHeight="1">
      <c r="A614" s="268"/>
      <c r="B614" s="268"/>
      <c r="C614" s="268"/>
      <c r="D614" s="268"/>
      <c r="E614" s="268"/>
      <c r="F614" s="268"/>
      <c r="G614" s="268"/>
      <c r="H614" s="268"/>
      <c r="I614" s="268"/>
      <c r="J614" s="268"/>
      <c r="K614" s="268"/>
      <c r="L614" s="309"/>
      <c r="M614" s="268"/>
      <c r="N614" s="268"/>
      <c r="O614" s="310"/>
      <c r="P614" s="268"/>
      <c r="Q614" s="309"/>
      <c r="R614" s="268"/>
      <c r="S614" s="313"/>
      <c r="T614" s="313"/>
      <c r="U614" s="268"/>
      <c r="V614" s="309"/>
      <c r="W614" s="310"/>
      <c r="X614" s="268"/>
      <c r="Y614" s="268"/>
      <c r="Z614" s="268"/>
    </row>
    <row r="615" spans="1:26" ht="24.75" customHeight="1">
      <c r="A615" s="268"/>
      <c r="B615" s="268"/>
      <c r="C615" s="268"/>
      <c r="D615" s="268"/>
      <c r="E615" s="268"/>
      <c r="F615" s="268"/>
      <c r="G615" s="268"/>
      <c r="H615" s="268"/>
      <c r="I615" s="268"/>
      <c r="J615" s="268"/>
      <c r="K615" s="268"/>
      <c r="L615" s="309"/>
      <c r="M615" s="268"/>
      <c r="N615" s="268"/>
      <c r="O615" s="310"/>
      <c r="P615" s="268"/>
      <c r="Q615" s="309"/>
      <c r="R615" s="268"/>
      <c r="S615" s="313"/>
      <c r="T615" s="313"/>
      <c r="U615" s="268"/>
      <c r="V615" s="309"/>
      <c r="W615" s="310"/>
      <c r="X615" s="268"/>
      <c r="Y615" s="268"/>
      <c r="Z615" s="268"/>
    </row>
    <row r="616" spans="1:26" ht="24.75" customHeight="1">
      <c r="A616" s="268"/>
      <c r="B616" s="268"/>
      <c r="C616" s="268"/>
      <c r="D616" s="268"/>
      <c r="E616" s="268"/>
      <c r="F616" s="268"/>
      <c r="G616" s="268"/>
      <c r="H616" s="268"/>
      <c r="I616" s="268"/>
      <c r="J616" s="268"/>
      <c r="K616" s="268"/>
      <c r="L616" s="309"/>
      <c r="M616" s="268"/>
      <c r="N616" s="268"/>
      <c r="O616" s="310"/>
      <c r="P616" s="268"/>
      <c r="Q616" s="309"/>
      <c r="R616" s="268"/>
      <c r="S616" s="313"/>
      <c r="T616" s="313"/>
      <c r="U616" s="268"/>
      <c r="V616" s="309"/>
      <c r="W616" s="310"/>
      <c r="X616" s="268"/>
      <c r="Y616" s="268"/>
      <c r="Z616" s="268"/>
    </row>
    <row r="617" spans="1:26" ht="24.75" customHeight="1">
      <c r="A617" s="268"/>
      <c r="B617" s="268"/>
      <c r="C617" s="268"/>
      <c r="D617" s="268"/>
      <c r="E617" s="268"/>
      <c r="F617" s="268"/>
      <c r="G617" s="268"/>
      <c r="H617" s="268"/>
      <c r="I617" s="268"/>
      <c r="J617" s="268"/>
      <c r="K617" s="268"/>
      <c r="L617" s="309"/>
      <c r="M617" s="268"/>
      <c r="N617" s="268"/>
      <c r="O617" s="310"/>
      <c r="P617" s="268"/>
      <c r="Q617" s="309"/>
      <c r="R617" s="268"/>
      <c r="S617" s="313"/>
      <c r="T617" s="313"/>
      <c r="U617" s="268"/>
      <c r="V617" s="309"/>
      <c r="W617" s="310"/>
      <c r="X617" s="268"/>
      <c r="Y617" s="268"/>
      <c r="Z617" s="268"/>
    </row>
    <row r="618" spans="1:26" ht="24.75" customHeight="1">
      <c r="A618" s="268"/>
      <c r="B618" s="268"/>
      <c r="C618" s="268"/>
      <c r="D618" s="268"/>
      <c r="E618" s="268"/>
      <c r="F618" s="268"/>
      <c r="G618" s="268"/>
      <c r="H618" s="268"/>
      <c r="I618" s="268"/>
      <c r="J618" s="268"/>
      <c r="K618" s="268"/>
      <c r="L618" s="309"/>
      <c r="M618" s="268"/>
      <c r="N618" s="268"/>
      <c r="O618" s="310"/>
      <c r="P618" s="268"/>
      <c r="Q618" s="309"/>
      <c r="R618" s="268"/>
      <c r="S618" s="313"/>
      <c r="T618" s="313"/>
      <c r="U618" s="268"/>
      <c r="V618" s="309"/>
      <c r="W618" s="310"/>
      <c r="X618" s="268"/>
      <c r="Y618" s="268"/>
      <c r="Z618" s="268"/>
    </row>
    <row r="619" spans="1:26" ht="24.75" customHeight="1">
      <c r="A619" s="268"/>
      <c r="B619" s="268"/>
      <c r="C619" s="268"/>
      <c r="D619" s="268"/>
      <c r="E619" s="268"/>
      <c r="F619" s="268"/>
      <c r="G619" s="268"/>
      <c r="H619" s="268"/>
      <c r="I619" s="268"/>
      <c r="J619" s="268"/>
      <c r="K619" s="268"/>
      <c r="L619" s="309"/>
      <c r="M619" s="268"/>
      <c r="N619" s="268"/>
      <c r="O619" s="310"/>
      <c r="P619" s="268"/>
      <c r="Q619" s="309"/>
      <c r="R619" s="268"/>
      <c r="S619" s="313"/>
      <c r="T619" s="313"/>
      <c r="U619" s="268"/>
      <c r="V619" s="309"/>
      <c r="W619" s="310"/>
      <c r="X619" s="268"/>
      <c r="Y619" s="268"/>
      <c r="Z619" s="268"/>
    </row>
    <row r="620" spans="1:26" ht="24.75" customHeight="1">
      <c r="A620" s="268"/>
      <c r="B620" s="268"/>
      <c r="C620" s="268"/>
      <c r="D620" s="268"/>
      <c r="E620" s="268"/>
      <c r="F620" s="268"/>
      <c r="G620" s="268"/>
      <c r="H620" s="268"/>
      <c r="I620" s="268"/>
      <c r="J620" s="268"/>
      <c r="K620" s="268"/>
      <c r="L620" s="309"/>
      <c r="M620" s="268"/>
      <c r="N620" s="268"/>
      <c r="O620" s="310"/>
      <c r="P620" s="268"/>
      <c r="Q620" s="309"/>
      <c r="R620" s="268"/>
      <c r="S620" s="313"/>
      <c r="T620" s="313"/>
      <c r="U620" s="268"/>
      <c r="V620" s="309"/>
      <c r="W620" s="310"/>
      <c r="X620" s="268"/>
      <c r="Y620" s="268"/>
      <c r="Z620" s="268"/>
    </row>
    <row r="621" spans="1:26" ht="24.75" customHeight="1">
      <c r="A621" s="268"/>
      <c r="B621" s="268"/>
      <c r="C621" s="268"/>
      <c r="D621" s="268"/>
      <c r="E621" s="268"/>
      <c r="F621" s="268"/>
      <c r="G621" s="268"/>
      <c r="H621" s="268"/>
      <c r="I621" s="268"/>
      <c r="J621" s="268"/>
      <c r="K621" s="268"/>
      <c r="L621" s="309"/>
      <c r="M621" s="268"/>
      <c r="N621" s="268"/>
      <c r="O621" s="310"/>
      <c r="P621" s="268"/>
      <c r="Q621" s="309"/>
      <c r="R621" s="268"/>
      <c r="S621" s="313"/>
      <c r="T621" s="313"/>
      <c r="U621" s="268"/>
      <c r="V621" s="309"/>
      <c r="W621" s="310"/>
      <c r="X621" s="268"/>
      <c r="Y621" s="268"/>
      <c r="Z621" s="268"/>
    </row>
    <row r="622" spans="1:26" ht="24.75" customHeight="1">
      <c r="A622" s="268"/>
      <c r="B622" s="268"/>
      <c r="C622" s="268"/>
      <c r="D622" s="268"/>
      <c r="E622" s="268"/>
      <c r="F622" s="268"/>
      <c r="G622" s="268"/>
      <c r="H622" s="268"/>
      <c r="I622" s="268"/>
      <c r="J622" s="268"/>
      <c r="K622" s="268"/>
      <c r="L622" s="309"/>
      <c r="M622" s="268"/>
      <c r="N622" s="268"/>
      <c r="O622" s="310"/>
      <c r="P622" s="268"/>
      <c r="Q622" s="309"/>
      <c r="R622" s="268"/>
      <c r="S622" s="313"/>
      <c r="T622" s="313"/>
      <c r="U622" s="268"/>
      <c r="V622" s="309"/>
      <c r="W622" s="310"/>
      <c r="X622" s="268"/>
      <c r="Y622" s="268"/>
      <c r="Z622" s="268"/>
    </row>
    <row r="623" spans="1:26" ht="24.75" customHeight="1">
      <c r="A623" s="268"/>
      <c r="B623" s="268"/>
      <c r="C623" s="268"/>
      <c r="D623" s="268"/>
      <c r="E623" s="268"/>
      <c r="F623" s="268"/>
      <c r="G623" s="268"/>
      <c r="H623" s="268"/>
      <c r="I623" s="268"/>
      <c r="J623" s="268"/>
      <c r="K623" s="268"/>
      <c r="L623" s="309"/>
      <c r="M623" s="268"/>
      <c r="N623" s="268"/>
      <c r="O623" s="310"/>
      <c r="P623" s="268"/>
      <c r="Q623" s="309"/>
      <c r="R623" s="268"/>
      <c r="S623" s="313"/>
      <c r="T623" s="313"/>
      <c r="U623" s="268"/>
      <c r="V623" s="309"/>
      <c r="W623" s="310"/>
      <c r="X623" s="268"/>
      <c r="Y623" s="268"/>
      <c r="Z623" s="268"/>
    </row>
    <row r="624" spans="1:26" ht="24.75" customHeight="1">
      <c r="A624" s="268"/>
      <c r="B624" s="268"/>
      <c r="C624" s="268"/>
      <c r="D624" s="268"/>
      <c r="E624" s="268"/>
      <c r="F624" s="268"/>
      <c r="G624" s="268"/>
      <c r="H624" s="268"/>
      <c r="I624" s="268"/>
      <c r="J624" s="268"/>
      <c r="K624" s="268"/>
      <c r="L624" s="309"/>
      <c r="M624" s="268"/>
      <c r="N624" s="268"/>
      <c r="O624" s="310"/>
      <c r="P624" s="268"/>
      <c r="Q624" s="309"/>
      <c r="R624" s="268"/>
      <c r="S624" s="313"/>
      <c r="T624" s="313"/>
      <c r="U624" s="268"/>
      <c r="V624" s="309"/>
      <c r="W624" s="310"/>
      <c r="X624" s="268"/>
      <c r="Y624" s="268"/>
      <c r="Z624" s="268"/>
    </row>
    <row r="625" spans="1:26" ht="24.75" customHeight="1">
      <c r="A625" s="268"/>
      <c r="B625" s="268"/>
      <c r="C625" s="268"/>
      <c r="D625" s="268"/>
      <c r="E625" s="268"/>
      <c r="F625" s="268"/>
      <c r="G625" s="268"/>
      <c r="H625" s="268"/>
      <c r="I625" s="268"/>
      <c r="J625" s="268"/>
      <c r="K625" s="268"/>
      <c r="L625" s="309"/>
      <c r="M625" s="268"/>
      <c r="N625" s="268"/>
      <c r="O625" s="310"/>
      <c r="P625" s="268"/>
      <c r="Q625" s="309"/>
      <c r="R625" s="268"/>
      <c r="S625" s="313"/>
      <c r="T625" s="313"/>
      <c r="U625" s="268"/>
      <c r="V625" s="309"/>
      <c r="W625" s="310"/>
      <c r="X625" s="268"/>
      <c r="Y625" s="268"/>
      <c r="Z625" s="268"/>
    </row>
    <row r="626" spans="1:26" ht="24.75" customHeight="1">
      <c r="A626" s="268"/>
      <c r="B626" s="268"/>
      <c r="C626" s="268"/>
      <c r="D626" s="268"/>
      <c r="E626" s="268"/>
      <c r="F626" s="268"/>
      <c r="G626" s="268"/>
      <c r="H626" s="268"/>
      <c r="I626" s="268"/>
      <c r="J626" s="268"/>
      <c r="K626" s="268"/>
      <c r="L626" s="309"/>
      <c r="M626" s="268"/>
      <c r="N626" s="268"/>
      <c r="O626" s="310"/>
      <c r="P626" s="268"/>
      <c r="Q626" s="309"/>
      <c r="R626" s="268"/>
      <c r="S626" s="313"/>
      <c r="T626" s="313"/>
      <c r="U626" s="268"/>
      <c r="V626" s="309"/>
      <c r="W626" s="310"/>
      <c r="X626" s="268"/>
      <c r="Y626" s="268"/>
      <c r="Z626" s="268"/>
    </row>
    <row r="627" spans="1:26" ht="24.75" customHeight="1">
      <c r="A627" s="268"/>
      <c r="B627" s="268"/>
      <c r="C627" s="268"/>
      <c r="D627" s="268"/>
      <c r="E627" s="268"/>
      <c r="F627" s="268"/>
      <c r="G627" s="268"/>
      <c r="H627" s="268"/>
      <c r="I627" s="268"/>
      <c r="J627" s="268"/>
      <c r="K627" s="268"/>
      <c r="L627" s="309"/>
      <c r="M627" s="268"/>
      <c r="N627" s="268"/>
      <c r="O627" s="310"/>
      <c r="P627" s="268"/>
      <c r="Q627" s="309"/>
      <c r="R627" s="268"/>
      <c r="S627" s="313"/>
      <c r="T627" s="313"/>
      <c r="U627" s="268"/>
      <c r="V627" s="309"/>
      <c r="W627" s="310"/>
      <c r="X627" s="268"/>
      <c r="Y627" s="268"/>
      <c r="Z627" s="268"/>
    </row>
    <row r="628" spans="1:26" ht="24.75" customHeight="1">
      <c r="A628" s="268"/>
      <c r="B628" s="268"/>
      <c r="C628" s="268"/>
      <c r="D628" s="268"/>
      <c r="E628" s="268"/>
      <c r="F628" s="268"/>
      <c r="G628" s="268"/>
      <c r="H628" s="268"/>
      <c r="I628" s="268"/>
      <c r="J628" s="268"/>
      <c r="K628" s="268"/>
      <c r="L628" s="309"/>
      <c r="M628" s="268"/>
      <c r="N628" s="268"/>
      <c r="O628" s="310"/>
      <c r="P628" s="268"/>
      <c r="Q628" s="309"/>
      <c r="R628" s="268"/>
      <c r="S628" s="313"/>
      <c r="T628" s="313"/>
      <c r="U628" s="268"/>
      <c r="V628" s="309"/>
      <c r="W628" s="310"/>
      <c r="X628" s="268"/>
      <c r="Y628" s="268"/>
      <c r="Z628" s="268"/>
    </row>
    <row r="629" spans="1:26" ht="24.75" customHeight="1">
      <c r="A629" s="268"/>
      <c r="B629" s="268"/>
      <c r="C629" s="268"/>
      <c r="D629" s="268"/>
      <c r="E629" s="268"/>
      <c r="F629" s="268"/>
      <c r="G629" s="268"/>
      <c r="H629" s="268"/>
      <c r="I629" s="268"/>
      <c r="J629" s="268"/>
      <c r="K629" s="268"/>
      <c r="L629" s="309"/>
      <c r="M629" s="268"/>
      <c r="N629" s="268"/>
      <c r="O629" s="310"/>
      <c r="P629" s="268"/>
      <c r="Q629" s="309"/>
      <c r="R629" s="268"/>
      <c r="S629" s="313"/>
      <c r="T629" s="313"/>
      <c r="U629" s="268"/>
      <c r="V629" s="309"/>
      <c r="W629" s="310"/>
      <c r="X629" s="268"/>
      <c r="Y629" s="268"/>
      <c r="Z629" s="268"/>
    </row>
    <row r="630" spans="1:26" ht="24.75" customHeight="1">
      <c r="A630" s="268"/>
      <c r="B630" s="268"/>
      <c r="C630" s="268"/>
      <c r="D630" s="268"/>
      <c r="E630" s="268"/>
      <c r="F630" s="268"/>
      <c r="G630" s="268"/>
      <c r="H630" s="268"/>
      <c r="I630" s="268"/>
      <c r="J630" s="268"/>
      <c r="K630" s="268"/>
      <c r="L630" s="309"/>
      <c r="M630" s="268"/>
      <c r="N630" s="268"/>
      <c r="O630" s="310"/>
      <c r="P630" s="268"/>
      <c r="Q630" s="309"/>
      <c r="R630" s="268"/>
      <c r="S630" s="313"/>
      <c r="T630" s="313"/>
      <c r="U630" s="268"/>
      <c r="V630" s="309"/>
      <c r="W630" s="310"/>
      <c r="X630" s="268"/>
      <c r="Y630" s="268"/>
      <c r="Z630" s="268"/>
    </row>
    <row r="631" spans="1:26" ht="24.75" customHeight="1">
      <c r="A631" s="268"/>
      <c r="B631" s="268"/>
      <c r="C631" s="268"/>
      <c r="D631" s="268"/>
      <c r="E631" s="268"/>
      <c r="F631" s="268"/>
      <c r="G631" s="268"/>
      <c r="H631" s="268"/>
      <c r="I631" s="268"/>
      <c r="J631" s="268"/>
      <c r="K631" s="268"/>
      <c r="L631" s="309"/>
      <c r="M631" s="268"/>
      <c r="N631" s="268"/>
      <c r="O631" s="310"/>
      <c r="P631" s="268"/>
      <c r="Q631" s="309"/>
      <c r="R631" s="268"/>
      <c r="S631" s="313"/>
      <c r="T631" s="313"/>
      <c r="U631" s="268"/>
      <c r="V631" s="309"/>
      <c r="W631" s="310"/>
      <c r="X631" s="268"/>
      <c r="Y631" s="268"/>
      <c r="Z631" s="268"/>
    </row>
    <row r="632" spans="1:26" ht="24.75" customHeight="1">
      <c r="A632" s="268"/>
      <c r="B632" s="268"/>
      <c r="C632" s="268"/>
      <c r="D632" s="268"/>
      <c r="E632" s="268"/>
      <c r="F632" s="268"/>
      <c r="G632" s="268"/>
      <c r="H632" s="268"/>
      <c r="I632" s="268"/>
      <c r="J632" s="268"/>
      <c r="K632" s="268"/>
      <c r="L632" s="309"/>
      <c r="M632" s="268"/>
      <c r="N632" s="268"/>
      <c r="O632" s="310"/>
      <c r="P632" s="268"/>
      <c r="Q632" s="309"/>
      <c r="R632" s="268"/>
      <c r="S632" s="313"/>
      <c r="T632" s="313"/>
      <c r="U632" s="268"/>
      <c r="V632" s="309"/>
      <c r="W632" s="310"/>
      <c r="X632" s="268"/>
      <c r="Y632" s="268"/>
      <c r="Z632" s="268"/>
    </row>
    <row r="633" spans="1:26" ht="24.75" customHeight="1">
      <c r="A633" s="268"/>
      <c r="B633" s="268"/>
      <c r="C633" s="268"/>
      <c r="D633" s="268"/>
      <c r="E633" s="268"/>
      <c r="F633" s="268"/>
      <c r="G633" s="268"/>
      <c r="H633" s="268"/>
      <c r="I633" s="268"/>
      <c r="J633" s="268"/>
      <c r="K633" s="268"/>
      <c r="L633" s="309"/>
      <c r="M633" s="268"/>
      <c r="N633" s="268"/>
      <c r="O633" s="310"/>
      <c r="P633" s="268"/>
      <c r="Q633" s="309"/>
      <c r="R633" s="268"/>
      <c r="S633" s="313"/>
      <c r="T633" s="313"/>
      <c r="U633" s="268"/>
      <c r="V633" s="309"/>
      <c r="W633" s="310"/>
      <c r="X633" s="268"/>
      <c r="Y633" s="268"/>
      <c r="Z633" s="268"/>
    </row>
    <row r="634" spans="1:26" ht="24.75" customHeight="1">
      <c r="A634" s="268"/>
      <c r="B634" s="268"/>
      <c r="C634" s="268"/>
      <c r="D634" s="268"/>
      <c r="E634" s="268"/>
      <c r="F634" s="268"/>
      <c r="G634" s="268"/>
      <c r="H634" s="268"/>
      <c r="I634" s="268"/>
      <c r="J634" s="268"/>
      <c r="K634" s="268"/>
      <c r="L634" s="309"/>
      <c r="M634" s="268"/>
      <c r="N634" s="268"/>
      <c r="O634" s="310"/>
      <c r="P634" s="268"/>
      <c r="Q634" s="309"/>
      <c r="R634" s="268"/>
      <c r="S634" s="313"/>
      <c r="T634" s="313"/>
      <c r="U634" s="268"/>
      <c r="V634" s="309"/>
      <c r="W634" s="310"/>
      <c r="X634" s="268"/>
      <c r="Y634" s="268"/>
      <c r="Z634" s="268"/>
    </row>
    <row r="635" spans="1:26" ht="24.75" customHeight="1">
      <c r="A635" s="268"/>
      <c r="B635" s="268"/>
      <c r="C635" s="268"/>
      <c r="D635" s="268"/>
      <c r="E635" s="268"/>
      <c r="F635" s="268"/>
      <c r="G635" s="268"/>
      <c r="H635" s="268"/>
      <c r="I635" s="268"/>
      <c r="J635" s="268"/>
      <c r="K635" s="268"/>
      <c r="L635" s="309"/>
      <c r="M635" s="268"/>
      <c r="N635" s="268"/>
      <c r="O635" s="310"/>
      <c r="P635" s="268"/>
      <c r="Q635" s="309"/>
      <c r="R635" s="268"/>
      <c r="S635" s="313"/>
      <c r="T635" s="313"/>
      <c r="U635" s="268"/>
      <c r="V635" s="309"/>
      <c r="W635" s="310"/>
      <c r="X635" s="268"/>
      <c r="Y635" s="268"/>
      <c r="Z635" s="268"/>
    </row>
    <row r="636" spans="1:26" ht="24.75" customHeight="1">
      <c r="A636" s="268"/>
      <c r="B636" s="268"/>
      <c r="C636" s="268"/>
      <c r="D636" s="268"/>
      <c r="E636" s="268"/>
      <c r="F636" s="268"/>
      <c r="G636" s="268"/>
      <c r="H636" s="268"/>
      <c r="I636" s="268"/>
      <c r="J636" s="268"/>
      <c r="K636" s="268"/>
      <c r="L636" s="309"/>
      <c r="M636" s="268"/>
      <c r="N636" s="268"/>
      <c r="O636" s="310"/>
      <c r="P636" s="268"/>
      <c r="Q636" s="309"/>
      <c r="R636" s="268"/>
      <c r="S636" s="313"/>
      <c r="T636" s="313"/>
      <c r="U636" s="268"/>
      <c r="V636" s="309"/>
      <c r="W636" s="310"/>
      <c r="X636" s="268"/>
      <c r="Y636" s="268"/>
      <c r="Z636" s="268"/>
    </row>
    <row r="637" spans="1:26" ht="24.75" customHeight="1">
      <c r="A637" s="268"/>
      <c r="B637" s="268"/>
      <c r="C637" s="268"/>
      <c r="D637" s="268"/>
      <c r="E637" s="268"/>
      <c r="F637" s="268"/>
      <c r="G637" s="268"/>
      <c r="H637" s="268"/>
      <c r="I637" s="268"/>
      <c r="J637" s="268"/>
      <c r="K637" s="268"/>
      <c r="L637" s="309"/>
      <c r="M637" s="268"/>
      <c r="N637" s="268"/>
      <c r="O637" s="310"/>
      <c r="P637" s="268"/>
      <c r="Q637" s="309"/>
      <c r="R637" s="268"/>
      <c r="S637" s="313"/>
      <c r="T637" s="313"/>
      <c r="U637" s="268"/>
      <c r="V637" s="309"/>
      <c r="W637" s="310"/>
      <c r="X637" s="268"/>
      <c r="Y637" s="268"/>
      <c r="Z637" s="268"/>
    </row>
    <row r="638" spans="1:26" ht="24.75" customHeight="1">
      <c r="A638" s="268"/>
      <c r="B638" s="268"/>
      <c r="C638" s="268"/>
      <c r="D638" s="268"/>
      <c r="E638" s="268"/>
      <c r="F638" s="268"/>
      <c r="G638" s="268"/>
      <c r="H638" s="268"/>
      <c r="I638" s="268"/>
      <c r="J638" s="268"/>
      <c r="K638" s="268"/>
      <c r="L638" s="309"/>
      <c r="M638" s="268"/>
      <c r="N638" s="268"/>
      <c r="O638" s="310"/>
      <c r="P638" s="268"/>
      <c r="Q638" s="309"/>
      <c r="R638" s="268"/>
      <c r="S638" s="313"/>
      <c r="T638" s="313"/>
      <c r="U638" s="268"/>
      <c r="V638" s="309"/>
      <c r="W638" s="310"/>
      <c r="X638" s="268"/>
      <c r="Y638" s="268"/>
      <c r="Z638" s="268"/>
    </row>
    <row r="639" spans="1:26" ht="24.75" customHeight="1">
      <c r="A639" s="268"/>
      <c r="B639" s="268"/>
      <c r="C639" s="268"/>
      <c r="D639" s="268"/>
      <c r="E639" s="268"/>
      <c r="F639" s="268"/>
      <c r="G639" s="268"/>
      <c r="H639" s="268"/>
      <c r="I639" s="268"/>
      <c r="J639" s="268"/>
      <c r="K639" s="268"/>
      <c r="L639" s="309"/>
      <c r="M639" s="268"/>
      <c r="N639" s="268"/>
      <c r="O639" s="310"/>
      <c r="P639" s="268"/>
      <c r="Q639" s="309"/>
      <c r="R639" s="268"/>
      <c r="S639" s="313"/>
      <c r="T639" s="313"/>
      <c r="U639" s="268"/>
      <c r="V639" s="309"/>
      <c r="W639" s="310"/>
      <c r="X639" s="268"/>
      <c r="Y639" s="268"/>
      <c r="Z639" s="268"/>
    </row>
    <row r="640" spans="1:26" ht="24.75" customHeight="1">
      <c r="A640" s="268"/>
      <c r="B640" s="268"/>
      <c r="C640" s="268"/>
      <c r="D640" s="268"/>
      <c r="E640" s="268"/>
      <c r="F640" s="268"/>
      <c r="G640" s="268"/>
      <c r="H640" s="268"/>
      <c r="I640" s="268"/>
      <c r="J640" s="268"/>
      <c r="K640" s="268"/>
      <c r="L640" s="309"/>
      <c r="M640" s="268"/>
      <c r="N640" s="268"/>
      <c r="O640" s="310"/>
      <c r="P640" s="268"/>
      <c r="Q640" s="309"/>
      <c r="R640" s="268"/>
      <c r="S640" s="313"/>
      <c r="T640" s="313"/>
      <c r="U640" s="268"/>
      <c r="V640" s="309"/>
      <c r="W640" s="310"/>
      <c r="X640" s="268"/>
      <c r="Y640" s="268"/>
      <c r="Z640" s="268"/>
    </row>
    <row r="641" spans="1:26" ht="24.75" customHeight="1">
      <c r="A641" s="268"/>
      <c r="B641" s="268"/>
      <c r="C641" s="268"/>
      <c r="D641" s="268"/>
      <c r="E641" s="268"/>
      <c r="F641" s="268"/>
      <c r="G641" s="268"/>
      <c r="H641" s="268"/>
      <c r="I641" s="268"/>
      <c r="J641" s="268"/>
      <c r="K641" s="268"/>
      <c r="L641" s="309"/>
      <c r="M641" s="268"/>
      <c r="N641" s="268"/>
      <c r="O641" s="310"/>
      <c r="P641" s="268"/>
      <c r="Q641" s="309"/>
      <c r="R641" s="268"/>
      <c r="S641" s="313"/>
      <c r="T641" s="313"/>
      <c r="U641" s="268"/>
      <c r="V641" s="309"/>
      <c r="W641" s="310"/>
      <c r="X641" s="268"/>
      <c r="Y641" s="268"/>
      <c r="Z641" s="268"/>
    </row>
    <row r="642" spans="1:26" ht="24.75" customHeight="1">
      <c r="A642" s="268"/>
      <c r="B642" s="268"/>
      <c r="C642" s="268"/>
      <c r="D642" s="268"/>
      <c r="E642" s="268"/>
      <c r="F642" s="268"/>
      <c r="G642" s="268"/>
      <c r="H642" s="268"/>
      <c r="I642" s="268"/>
      <c r="J642" s="268"/>
      <c r="K642" s="268"/>
      <c r="L642" s="309"/>
      <c r="M642" s="268"/>
      <c r="N642" s="268"/>
      <c r="O642" s="310"/>
      <c r="P642" s="268"/>
      <c r="Q642" s="309"/>
      <c r="R642" s="268"/>
      <c r="S642" s="313"/>
      <c r="T642" s="313"/>
      <c r="U642" s="268"/>
      <c r="V642" s="309"/>
      <c r="W642" s="310"/>
      <c r="X642" s="268"/>
      <c r="Y642" s="268"/>
      <c r="Z642" s="268"/>
    </row>
    <row r="643" spans="1:26" ht="24.75" customHeight="1">
      <c r="A643" s="268"/>
      <c r="B643" s="268"/>
      <c r="C643" s="268"/>
      <c r="D643" s="268"/>
      <c r="E643" s="268"/>
      <c r="F643" s="268"/>
      <c r="G643" s="268"/>
      <c r="H643" s="268"/>
      <c r="I643" s="268"/>
      <c r="J643" s="268"/>
      <c r="K643" s="268"/>
      <c r="L643" s="309"/>
      <c r="M643" s="268"/>
      <c r="N643" s="268"/>
      <c r="O643" s="310"/>
      <c r="P643" s="268"/>
      <c r="Q643" s="309"/>
      <c r="R643" s="268"/>
      <c r="S643" s="313"/>
      <c r="T643" s="313"/>
      <c r="U643" s="268"/>
      <c r="V643" s="309"/>
      <c r="W643" s="310"/>
      <c r="X643" s="268"/>
      <c r="Y643" s="268"/>
      <c r="Z643" s="268"/>
    </row>
    <row r="644" spans="1:26" ht="24.75" customHeight="1">
      <c r="A644" s="268"/>
      <c r="B644" s="268"/>
      <c r="C644" s="268"/>
      <c r="D644" s="268"/>
      <c r="E644" s="268"/>
      <c r="F644" s="268"/>
      <c r="G644" s="268"/>
      <c r="H644" s="268"/>
      <c r="I644" s="268"/>
      <c r="J644" s="268"/>
      <c r="K644" s="268"/>
      <c r="L644" s="309"/>
      <c r="M644" s="268"/>
      <c r="N644" s="268"/>
      <c r="O644" s="310"/>
      <c r="P644" s="268"/>
      <c r="Q644" s="309"/>
      <c r="R644" s="268"/>
      <c r="S644" s="313"/>
      <c r="T644" s="313"/>
      <c r="U644" s="268"/>
      <c r="V644" s="309"/>
      <c r="W644" s="310"/>
      <c r="X644" s="268"/>
      <c r="Y644" s="268"/>
      <c r="Z644" s="268"/>
    </row>
    <row r="645" spans="1:26" ht="24.75" customHeight="1">
      <c r="A645" s="268"/>
      <c r="B645" s="268"/>
      <c r="C645" s="268"/>
      <c r="D645" s="268"/>
      <c r="E645" s="268"/>
      <c r="F645" s="268"/>
      <c r="G645" s="268"/>
      <c r="H645" s="268"/>
      <c r="I645" s="268"/>
      <c r="J645" s="268"/>
      <c r="K645" s="268"/>
      <c r="L645" s="309"/>
      <c r="M645" s="268"/>
      <c r="N645" s="268"/>
      <c r="O645" s="310"/>
      <c r="P645" s="268"/>
      <c r="Q645" s="309"/>
      <c r="R645" s="268"/>
      <c r="S645" s="313"/>
      <c r="T645" s="313"/>
      <c r="U645" s="268"/>
      <c r="V645" s="309"/>
      <c r="W645" s="310"/>
      <c r="X645" s="268"/>
      <c r="Y645" s="268"/>
      <c r="Z645" s="268"/>
    </row>
    <row r="646" spans="1:26" ht="24.75" customHeight="1">
      <c r="A646" s="268"/>
      <c r="B646" s="268"/>
      <c r="C646" s="268"/>
      <c r="D646" s="268"/>
      <c r="E646" s="268"/>
      <c r="F646" s="268"/>
      <c r="G646" s="268"/>
      <c r="H646" s="268"/>
      <c r="I646" s="268"/>
      <c r="J646" s="268"/>
      <c r="K646" s="268"/>
      <c r="L646" s="309"/>
      <c r="M646" s="268"/>
      <c r="N646" s="268"/>
      <c r="O646" s="310"/>
      <c r="P646" s="268"/>
      <c r="Q646" s="309"/>
      <c r="R646" s="268"/>
      <c r="S646" s="313"/>
      <c r="T646" s="313"/>
      <c r="U646" s="268"/>
      <c r="V646" s="309"/>
      <c r="W646" s="310"/>
      <c r="X646" s="268"/>
      <c r="Y646" s="268"/>
      <c r="Z646" s="268"/>
    </row>
    <row r="647" spans="1:26" ht="24.75" customHeight="1">
      <c r="A647" s="268"/>
      <c r="B647" s="268"/>
      <c r="C647" s="268"/>
      <c r="D647" s="268"/>
      <c r="E647" s="268"/>
      <c r="F647" s="268"/>
      <c r="G647" s="268"/>
      <c r="H647" s="268"/>
      <c r="I647" s="268"/>
      <c r="J647" s="268"/>
      <c r="K647" s="268"/>
      <c r="L647" s="309"/>
      <c r="M647" s="268"/>
      <c r="N647" s="268"/>
      <c r="O647" s="310"/>
      <c r="P647" s="268"/>
      <c r="Q647" s="309"/>
      <c r="R647" s="268"/>
      <c r="S647" s="313"/>
      <c r="T647" s="313"/>
      <c r="U647" s="268"/>
      <c r="V647" s="309"/>
      <c r="W647" s="310"/>
      <c r="X647" s="268"/>
      <c r="Y647" s="268"/>
      <c r="Z647" s="268"/>
    </row>
    <row r="648" spans="1:26" ht="24.75" customHeight="1">
      <c r="A648" s="268"/>
      <c r="B648" s="268"/>
      <c r="C648" s="268"/>
      <c r="D648" s="268"/>
      <c r="E648" s="268"/>
      <c r="F648" s="268"/>
      <c r="G648" s="268"/>
      <c r="H648" s="268"/>
      <c r="I648" s="268"/>
      <c r="J648" s="268"/>
      <c r="K648" s="268"/>
      <c r="L648" s="309"/>
      <c r="M648" s="268"/>
      <c r="N648" s="268"/>
      <c r="O648" s="310"/>
      <c r="P648" s="268"/>
      <c r="Q648" s="309"/>
      <c r="R648" s="268"/>
      <c r="S648" s="313"/>
      <c r="T648" s="313"/>
      <c r="U648" s="268"/>
      <c r="V648" s="309"/>
      <c r="W648" s="310"/>
      <c r="X648" s="268"/>
      <c r="Y648" s="268"/>
      <c r="Z648" s="268"/>
    </row>
    <row r="649" spans="1:26" ht="24.75" customHeight="1">
      <c r="A649" s="268"/>
      <c r="B649" s="268"/>
      <c r="C649" s="268"/>
      <c r="D649" s="268"/>
      <c r="E649" s="268"/>
      <c r="F649" s="268"/>
      <c r="G649" s="268"/>
      <c r="H649" s="268"/>
      <c r="I649" s="268"/>
      <c r="J649" s="268"/>
      <c r="K649" s="268"/>
      <c r="L649" s="309"/>
      <c r="M649" s="268"/>
      <c r="N649" s="268"/>
      <c r="O649" s="310"/>
      <c r="P649" s="268"/>
      <c r="Q649" s="309"/>
      <c r="R649" s="268"/>
      <c r="S649" s="313"/>
      <c r="T649" s="313"/>
      <c r="U649" s="268"/>
      <c r="V649" s="309"/>
      <c r="W649" s="310"/>
      <c r="X649" s="268"/>
      <c r="Y649" s="268"/>
      <c r="Z649" s="268"/>
    </row>
    <row r="650" spans="1:26" ht="24.75" customHeight="1">
      <c r="A650" s="268"/>
      <c r="B650" s="268"/>
      <c r="C650" s="268"/>
      <c r="D650" s="268"/>
      <c r="E650" s="268"/>
      <c r="F650" s="268"/>
      <c r="G650" s="268"/>
      <c r="H650" s="268"/>
      <c r="I650" s="268"/>
      <c r="J650" s="268"/>
      <c r="K650" s="268"/>
      <c r="L650" s="309"/>
      <c r="M650" s="268"/>
      <c r="N650" s="268"/>
      <c r="O650" s="310"/>
      <c r="P650" s="268"/>
      <c r="Q650" s="309"/>
      <c r="R650" s="268"/>
      <c r="S650" s="313"/>
      <c r="T650" s="313"/>
      <c r="U650" s="268"/>
      <c r="V650" s="309"/>
      <c r="W650" s="310"/>
      <c r="X650" s="268"/>
      <c r="Y650" s="268"/>
      <c r="Z650" s="268"/>
    </row>
    <row r="651" spans="1:26" ht="24.75" customHeight="1">
      <c r="A651" s="268"/>
      <c r="B651" s="268"/>
      <c r="C651" s="268"/>
      <c r="D651" s="268"/>
      <c r="E651" s="268"/>
      <c r="F651" s="268"/>
      <c r="G651" s="268"/>
      <c r="H651" s="268"/>
      <c r="I651" s="268"/>
      <c r="J651" s="268"/>
      <c r="K651" s="268"/>
      <c r="L651" s="309"/>
      <c r="M651" s="268"/>
      <c r="N651" s="268"/>
      <c r="O651" s="310"/>
      <c r="P651" s="268"/>
      <c r="Q651" s="309"/>
      <c r="R651" s="268"/>
      <c r="S651" s="313"/>
      <c r="T651" s="313"/>
      <c r="U651" s="268"/>
      <c r="V651" s="309"/>
      <c r="W651" s="310"/>
      <c r="X651" s="268"/>
      <c r="Y651" s="268"/>
      <c r="Z651" s="268"/>
    </row>
    <row r="652" spans="1:26" ht="24.75" customHeight="1">
      <c r="A652" s="268"/>
      <c r="B652" s="268"/>
      <c r="C652" s="268"/>
      <c r="D652" s="268"/>
      <c r="E652" s="268"/>
      <c r="F652" s="268"/>
      <c r="G652" s="268"/>
      <c r="H652" s="268"/>
      <c r="I652" s="268"/>
      <c r="J652" s="268"/>
      <c r="K652" s="268"/>
      <c r="L652" s="309"/>
      <c r="M652" s="268"/>
      <c r="N652" s="268"/>
      <c r="O652" s="310"/>
      <c r="P652" s="268"/>
      <c r="Q652" s="309"/>
      <c r="R652" s="268"/>
      <c r="S652" s="313"/>
      <c r="T652" s="313"/>
      <c r="U652" s="268"/>
      <c r="V652" s="309"/>
      <c r="W652" s="310"/>
      <c r="X652" s="268"/>
      <c r="Y652" s="268"/>
      <c r="Z652" s="268"/>
    </row>
    <row r="653" spans="1:26" ht="24.75" customHeight="1">
      <c r="A653" s="268"/>
      <c r="B653" s="268"/>
      <c r="C653" s="268"/>
      <c r="D653" s="268"/>
      <c r="E653" s="268"/>
      <c r="F653" s="268"/>
      <c r="G653" s="268"/>
      <c r="H653" s="268"/>
      <c r="I653" s="268"/>
      <c r="J653" s="268"/>
      <c r="K653" s="268"/>
      <c r="L653" s="309"/>
      <c r="M653" s="268"/>
      <c r="N653" s="268"/>
      <c r="O653" s="310"/>
      <c r="P653" s="268"/>
      <c r="Q653" s="309"/>
      <c r="R653" s="268"/>
      <c r="S653" s="313"/>
      <c r="T653" s="313"/>
      <c r="U653" s="268"/>
      <c r="V653" s="309"/>
      <c r="W653" s="310"/>
      <c r="X653" s="268"/>
      <c r="Y653" s="268"/>
      <c r="Z653" s="268"/>
    </row>
    <row r="654" spans="1:26" ht="24.75" customHeight="1">
      <c r="A654" s="268"/>
      <c r="B654" s="268"/>
      <c r="C654" s="268"/>
      <c r="D654" s="268"/>
      <c r="E654" s="268"/>
      <c r="F654" s="268"/>
      <c r="G654" s="268"/>
      <c r="H654" s="268"/>
      <c r="I654" s="268"/>
      <c r="J654" s="268"/>
      <c r="K654" s="268"/>
      <c r="L654" s="309"/>
      <c r="M654" s="268"/>
      <c r="N654" s="268"/>
      <c r="O654" s="310"/>
      <c r="P654" s="268"/>
      <c r="Q654" s="309"/>
      <c r="R654" s="268"/>
      <c r="S654" s="313"/>
      <c r="T654" s="313"/>
      <c r="U654" s="268"/>
      <c r="V654" s="309"/>
      <c r="W654" s="310"/>
      <c r="X654" s="268"/>
      <c r="Y654" s="268"/>
      <c r="Z654" s="268"/>
    </row>
    <row r="655" spans="1:26" ht="24.75" customHeight="1">
      <c r="A655" s="268"/>
      <c r="B655" s="268"/>
      <c r="C655" s="268"/>
      <c r="D655" s="268"/>
      <c r="E655" s="268"/>
      <c r="F655" s="268"/>
      <c r="G655" s="268"/>
      <c r="H655" s="268"/>
      <c r="I655" s="268"/>
      <c r="J655" s="268"/>
      <c r="K655" s="268"/>
      <c r="L655" s="309"/>
      <c r="M655" s="268"/>
      <c r="N655" s="268"/>
      <c r="O655" s="310"/>
      <c r="P655" s="268"/>
      <c r="Q655" s="309"/>
      <c r="R655" s="268"/>
      <c r="S655" s="313"/>
      <c r="T655" s="313"/>
      <c r="U655" s="268"/>
      <c r="V655" s="309"/>
      <c r="W655" s="310"/>
      <c r="X655" s="268"/>
      <c r="Y655" s="268"/>
      <c r="Z655" s="268"/>
    </row>
    <row r="656" spans="1:26" ht="24.75" customHeight="1">
      <c r="A656" s="268"/>
      <c r="B656" s="268"/>
      <c r="C656" s="268"/>
      <c r="D656" s="268"/>
      <c r="E656" s="268"/>
      <c r="F656" s="268"/>
      <c r="G656" s="268"/>
      <c r="H656" s="268"/>
      <c r="I656" s="268"/>
      <c r="J656" s="268"/>
      <c r="K656" s="268"/>
      <c r="L656" s="309"/>
      <c r="M656" s="268"/>
      <c r="N656" s="268"/>
      <c r="O656" s="310"/>
      <c r="P656" s="268"/>
      <c r="Q656" s="309"/>
      <c r="R656" s="268"/>
      <c r="S656" s="313"/>
      <c r="T656" s="313"/>
      <c r="U656" s="268"/>
      <c r="V656" s="309"/>
      <c r="W656" s="310"/>
      <c r="X656" s="268"/>
      <c r="Y656" s="268"/>
      <c r="Z656" s="268"/>
    </row>
    <row r="657" spans="1:26" ht="24.75" customHeight="1">
      <c r="A657" s="268"/>
      <c r="B657" s="268"/>
      <c r="C657" s="268"/>
      <c r="D657" s="268"/>
      <c r="E657" s="268"/>
      <c r="F657" s="268"/>
      <c r="G657" s="268"/>
      <c r="H657" s="268"/>
      <c r="I657" s="268"/>
      <c r="J657" s="268"/>
      <c r="K657" s="268"/>
      <c r="L657" s="309"/>
      <c r="M657" s="268"/>
      <c r="N657" s="268"/>
      <c r="O657" s="310"/>
      <c r="P657" s="268"/>
      <c r="Q657" s="309"/>
      <c r="R657" s="268"/>
      <c r="S657" s="313"/>
      <c r="T657" s="313"/>
      <c r="U657" s="268"/>
      <c r="V657" s="309"/>
      <c r="W657" s="310"/>
      <c r="X657" s="268"/>
      <c r="Y657" s="268"/>
      <c r="Z657" s="268"/>
    </row>
    <row r="658" spans="1:26" ht="24.75" customHeight="1">
      <c r="A658" s="268"/>
      <c r="B658" s="268"/>
      <c r="C658" s="268"/>
      <c r="D658" s="268"/>
      <c r="E658" s="268"/>
      <c r="F658" s="268"/>
      <c r="G658" s="268"/>
      <c r="H658" s="268"/>
      <c r="I658" s="268"/>
      <c r="J658" s="268"/>
      <c r="K658" s="268"/>
      <c r="L658" s="309"/>
      <c r="M658" s="268"/>
      <c r="N658" s="268"/>
      <c r="O658" s="310"/>
      <c r="P658" s="268"/>
      <c r="Q658" s="309"/>
      <c r="R658" s="268"/>
      <c r="S658" s="313"/>
      <c r="T658" s="313"/>
      <c r="U658" s="268"/>
      <c r="V658" s="309"/>
      <c r="W658" s="310"/>
      <c r="X658" s="268"/>
      <c r="Y658" s="268"/>
      <c r="Z658" s="268"/>
    </row>
    <row r="659" spans="1:26" ht="24.75" customHeight="1">
      <c r="A659" s="268"/>
      <c r="B659" s="268"/>
      <c r="C659" s="268"/>
      <c r="D659" s="268"/>
      <c r="E659" s="268"/>
      <c r="F659" s="268"/>
      <c r="G659" s="268"/>
      <c r="H659" s="268"/>
      <c r="I659" s="268"/>
      <c r="J659" s="268"/>
      <c r="K659" s="268"/>
      <c r="L659" s="309"/>
      <c r="M659" s="268"/>
      <c r="N659" s="268"/>
      <c r="O659" s="310"/>
      <c r="P659" s="268"/>
      <c r="Q659" s="309"/>
      <c r="R659" s="268"/>
      <c r="S659" s="313"/>
      <c r="T659" s="313"/>
      <c r="U659" s="268"/>
      <c r="V659" s="309"/>
      <c r="W659" s="310"/>
      <c r="X659" s="268"/>
      <c r="Y659" s="268"/>
      <c r="Z659" s="268"/>
    </row>
    <row r="660" spans="1:26" ht="24.75" customHeight="1">
      <c r="A660" s="268"/>
      <c r="B660" s="268"/>
      <c r="C660" s="268"/>
      <c r="D660" s="268"/>
      <c r="E660" s="268"/>
      <c r="F660" s="268"/>
      <c r="G660" s="268"/>
      <c r="H660" s="268"/>
      <c r="I660" s="268"/>
      <c r="J660" s="268"/>
      <c r="K660" s="268"/>
      <c r="L660" s="309"/>
      <c r="M660" s="268"/>
      <c r="N660" s="268"/>
      <c r="O660" s="310"/>
      <c r="P660" s="268"/>
      <c r="Q660" s="309"/>
      <c r="R660" s="268"/>
      <c r="S660" s="313"/>
      <c r="T660" s="313"/>
      <c r="U660" s="268"/>
      <c r="V660" s="309"/>
      <c r="W660" s="310"/>
      <c r="X660" s="268"/>
      <c r="Y660" s="268"/>
      <c r="Z660" s="268"/>
    </row>
    <row r="661" spans="1:26" ht="24.75" customHeight="1">
      <c r="A661" s="268"/>
      <c r="B661" s="268"/>
      <c r="C661" s="268"/>
      <c r="D661" s="268"/>
      <c r="E661" s="268"/>
      <c r="F661" s="268"/>
      <c r="G661" s="268"/>
      <c r="H661" s="268"/>
      <c r="I661" s="268"/>
      <c r="J661" s="268"/>
      <c r="K661" s="268"/>
      <c r="L661" s="309"/>
      <c r="M661" s="268"/>
      <c r="N661" s="268"/>
      <c r="O661" s="310"/>
      <c r="P661" s="268"/>
      <c r="Q661" s="309"/>
      <c r="R661" s="268"/>
      <c r="S661" s="313"/>
      <c r="T661" s="313"/>
      <c r="U661" s="268"/>
      <c r="V661" s="309"/>
      <c r="W661" s="310"/>
      <c r="X661" s="268"/>
      <c r="Y661" s="268"/>
      <c r="Z661" s="268"/>
    </row>
    <row r="662" spans="1:26" ht="24.75" customHeight="1">
      <c r="A662" s="268"/>
      <c r="B662" s="268"/>
      <c r="C662" s="268"/>
      <c r="D662" s="268"/>
      <c r="E662" s="268"/>
      <c r="F662" s="268"/>
      <c r="G662" s="268"/>
      <c r="H662" s="268"/>
      <c r="I662" s="268"/>
      <c r="J662" s="268"/>
      <c r="K662" s="268"/>
      <c r="L662" s="309"/>
      <c r="M662" s="268"/>
      <c r="N662" s="268"/>
      <c r="O662" s="310"/>
      <c r="P662" s="268"/>
      <c r="Q662" s="309"/>
      <c r="R662" s="268"/>
      <c r="S662" s="313"/>
      <c r="T662" s="313"/>
      <c r="U662" s="268"/>
      <c r="V662" s="309"/>
      <c r="W662" s="310"/>
      <c r="X662" s="268"/>
      <c r="Y662" s="268"/>
      <c r="Z662" s="268"/>
    </row>
    <row r="663" spans="1:26" ht="24.75" customHeight="1">
      <c r="A663" s="268"/>
      <c r="B663" s="268"/>
      <c r="C663" s="268"/>
      <c r="D663" s="268"/>
      <c r="E663" s="268"/>
      <c r="F663" s="268"/>
      <c r="G663" s="268"/>
      <c r="H663" s="268"/>
      <c r="I663" s="268"/>
      <c r="J663" s="268"/>
      <c r="K663" s="268"/>
      <c r="L663" s="309"/>
      <c r="M663" s="268"/>
      <c r="N663" s="268"/>
      <c r="O663" s="310"/>
      <c r="P663" s="268"/>
      <c r="Q663" s="309"/>
      <c r="R663" s="268"/>
      <c r="S663" s="313"/>
      <c r="T663" s="313"/>
      <c r="U663" s="268"/>
      <c r="V663" s="309"/>
      <c r="W663" s="310"/>
      <c r="X663" s="268"/>
      <c r="Y663" s="268"/>
      <c r="Z663" s="268"/>
    </row>
    <row r="664" spans="1:26" ht="24.75" customHeight="1">
      <c r="A664" s="268"/>
      <c r="B664" s="268"/>
      <c r="C664" s="268"/>
      <c r="D664" s="268"/>
      <c r="E664" s="268"/>
      <c r="F664" s="268"/>
      <c r="G664" s="268"/>
      <c r="H664" s="268"/>
      <c r="I664" s="268"/>
      <c r="J664" s="268"/>
      <c r="K664" s="268"/>
      <c r="L664" s="309"/>
      <c r="M664" s="268"/>
      <c r="N664" s="268"/>
      <c r="O664" s="310"/>
      <c r="P664" s="268"/>
      <c r="Q664" s="309"/>
      <c r="R664" s="268"/>
      <c r="S664" s="313"/>
      <c r="T664" s="313"/>
      <c r="U664" s="268"/>
      <c r="V664" s="309"/>
      <c r="W664" s="310"/>
      <c r="X664" s="268"/>
      <c r="Y664" s="268"/>
      <c r="Z664" s="268"/>
    </row>
    <row r="665" spans="1:26" ht="24.75" customHeight="1">
      <c r="A665" s="268"/>
      <c r="B665" s="268"/>
      <c r="C665" s="268"/>
      <c r="D665" s="268"/>
      <c r="E665" s="268"/>
      <c r="F665" s="268"/>
      <c r="G665" s="268"/>
      <c r="H665" s="268"/>
      <c r="I665" s="268"/>
      <c r="J665" s="268"/>
      <c r="K665" s="268"/>
      <c r="L665" s="309"/>
      <c r="M665" s="268"/>
      <c r="N665" s="268"/>
      <c r="O665" s="310"/>
      <c r="P665" s="268"/>
      <c r="Q665" s="309"/>
      <c r="R665" s="268"/>
      <c r="S665" s="313"/>
      <c r="T665" s="313"/>
      <c r="U665" s="268"/>
      <c r="V665" s="309"/>
      <c r="W665" s="310"/>
      <c r="X665" s="268"/>
      <c r="Y665" s="268"/>
      <c r="Z665" s="268"/>
    </row>
    <row r="666" spans="1:26" ht="24.75" customHeight="1">
      <c r="A666" s="268"/>
      <c r="B666" s="268"/>
      <c r="C666" s="268"/>
      <c r="D666" s="268"/>
      <c r="E666" s="268"/>
      <c r="F666" s="268"/>
      <c r="G666" s="268"/>
      <c r="H666" s="268"/>
      <c r="I666" s="268"/>
      <c r="J666" s="268"/>
      <c r="K666" s="268"/>
      <c r="L666" s="309"/>
      <c r="M666" s="268"/>
      <c r="N666" s="268"/>
      <c r="O666" s="310"/>
      <c r="P666" s="268"/>
      <c r="Q666" s="309"/>
      <c r="R666" s="268"/>
      <c r="S666" s="313"/>
      <c r="T666" s="313"/>
      <c r="U666" s="268"/>
      <c r="V666" s="309"/>
      <c r="W666" s="310"/>
      <c r="X666" s="268"/>
      <c r="Y666" s="268"/>
      <c r="Z666" s="268"/>
    </row>
    <row r="667" spans="1:26" ht="24.75" customHeight="1">
      <c r="A667" s="268"/>
      <c r="B667" s="268"/>
      <c r="C667" s="268"/>
      <c r="D667" s="268"/>
      <c r="E667" s="268"/>
      <c r="F667" s="268"/>
      <c r="G667" s="268"/>
      <c r="H667" s="268"/>
      <c r="I667" s="268"/>
      <c r="J667" s="268"/>
      <c r="K667" s="268"/>
      <c r="L667" s="309"/>
      <c r="M667" s="268"/>
      <c r="N667" s="268"/>
      <c r="O667" s="310"/>
      <c r="P667" s="268"/>
      <c r="Q667" s="309"/>
      <c r="R667" s="268"/>
      <c r="S667" s="313"/>
      <c r="T667" s="313"/>
      <c r="U667" s="268"/>
      <c r="V667" s="309"/>
      <c r="W667" s="310"/>
      <c r="X667" s="268"/>
      <c r="Y667" s="268"/>
      <c r="Z667" s="268"/>
    </row>
    <row r="668" spans="1:26" ht="24.75" customHeight="1">
      <c r="A668" s="268"/>
      <c r="B668" s="268"/>
      <c r="C668" s="268"/>
      <c r="D668" s="268"/>
      <c r="E668" s="268"/>
      <c r="F668" s="268"/>
      <c r="G668" s="268"/>
      <c r="H668" s="268"/>
      <c r="I668" s="268"/>
      <c r="J668" s="268"/>
      <c r="K668" s="268"/>
      <c r="L668" s="309"/>
      <c r="M668" s="268"/>
      <c r="N668" s="268"/>
      <c r="O668" s="310"/>
      <c r="P668" s="268"/>
      <c r="Q668" s="309"/>
      <c r="R668" s="268"/>
      <c r="S668" s="313"/>
      <c r="T668" s="313"/>
      <c r="U668" s="268"/>
      <c r="V668" s="309"/>
      <c r="W668" s="310"/>
      <c r="X668" s="268"/>
      <c r="Y668" s="268"/>
      <c r="Z668" s="268"/>
    </row>
    <row r="669" spans="1:26" ht="24.75" customHeight="1">
      <c r="A669" s="268"/>
      <c r="B669" s="268"/>
      <c r="C669" s="268"/>
      <c r="D669" s="268"/>
      <c r="E669" s="268"/>
      <c r="F669" s="268"/>
      <c r="G669" s="268"/>
      <c r="H669" s="268"/>
      <c r="I669" s="268"/>
      <c r="J669" s="268"/>
      <c r="K669" s="268"/>
      <c r="L669" s="309"/>
      <c r="M669" s="268"/>
      <c r="N669" s="268"/>
      <c r="O669" s="310"/>
      <c r="P669" s="268"/>
      <c r="Q669" s="309"/>
      <c r="R669" s="268"/>
      <c r="S669" s="313"/>
      <c r="T669" s="313"/>
      <c r="U669" s="268"/>
      <c r="V669" s="309"/>
      <c r="W669" s="310"/>
      <c r="X669" s="268"/>
      <c r="Y669" s="268"/>
      <c r="Z669" s="268"/>
    </row>
    <row r="670" spans="1:26" ht="24.75" customHeight="1">
      <c r="A670" s="268"/>
      <c r="B670" s="268"/>
      <c r="C670" s="268"/>
      <c r="D670" s="268"/>
      <c r="E670" s="268"/>
      <c r="F670" s="268"/>
      <c r="G670" s="268"/>
      <c r="H670" s="268"/>
      <c r="I670" s="268"/>
      <c r="J670" s="268"/>
      <c r="K670" s="268"/>
      <c r="L670" s="309"/>
      <c r="M670" s="268"/>
      <c r="N670" s="268"/>
      <c r="O670" s="310"/>
      <c r="P670" s="268"/>
      <c r="Q670" s="309"/>
      <c r="R670" s="268"/>
      <c r="S670" s="313"/>
      <c r="T670" s="313"/>
      <c r="U670" s="268"/>
      <c r="V670" s="309"/>
      <c r="W670" s="310"/>
      <c r="X670" s="268"/>
      <c r="Y670" s="268"/>
      <c r="Z670" s="268"/>
    </row>
    <row r="671" spans="1:26" ht="24.75" customHeight="1">
      <c r="A671" s="268"/>
      <c r="B671" s="268"/>
      <c r="C671" s="268"/>
      <c r="D671" s="268"/>
      <c r="E671" s="268"/>
      <c r="F671" s="268"/>
      <c r="G671" s="268"/>
      <c r="H671" s="268"/>
      <c r="I671" s="268"/>
      <c r="J671" s="268"/>
      <c r="K671" s="268"/>
      <c r="L671" s="309"/>
      <c r="M671" s="268"/>
      <c r="N671" s="268"/>
      <c r="O671" s="310"/>
      <c r="P671" s="268"/>
      <c r="Q671" s="309"/>
      <c r="R671" s="268"/>
      <c r="S671" s="313"/>
      <c r="T671" s="313"/>
      <c r="U671" s="268"/>
      <c r="V671" s="309"/>
      <c r="W671" s="310"/>
      <c r="X671" s="268"/>
      <c r="Y671" s="268"/>
      <c r="Z671" s="268"/>
    </row>
    <row r="672" spans="1:26" ht="24.75" customHeight="1">
      <c r="A672" s="268"/>
      <c r="B672" s="268"/>
      <c r="C672" s="268"/>
      <c r="D672" s="268"/>
      <c r="E672" s="268"/>
      <c r="F672" s="268"/>
      <c r="G672" s="268"/>
      <c r="H672" s="268"/>
      <c r="I672" s="268"/>
      <c r="J672" s="268"/>
      <c r="K672" s="268"/>
      <c r="L672" s="309"/>
      <c r="M672" s="268"/>
      <c r="N672" s="268"/>
      <c r="O672" s="310"/>
      <c r="P672" s="268"/>
      <c r="Q672" s="309"/>
      <c r="R672" s="268"/>
      <c r="S672" s="313"/>
      <c r="T672" s="313"/>
      <c r="U672" s="268"/>
      <c r="V672" s="309"/>
      <c r="W672" s="310"/>
      <c r="X672" s="268"/>
      <c r="Y672" s="268"/>
      <c r="Z672" s="268"/>
    </row>
    <row r="673" spans="1:26" ht="24.75" customHeight="1">
      <c r="A673" s="268"/>
      <c r="B673" s="268"/>
      <c r="C673" s="268"/>
      <c r="D673" s="268"/>
      <c r="E673" s="268"/>
      <c r="F673" s="268"/>
      <c r="G673" s="268"/>
      <c r="H673" s="268"/>
      <c r="I673" s="268"/>
      <c r="J673" s="268"/>
      <c r="K673" s="268"/>
      <c r="L673" s="309"/>
      <c r="M673" s="268"/>
      <c r="N673" s="268"/>
      <c r="O673" s="310"/>
      <c r="P673" s="268"/>
      <c r="Q673" s="309"/>
      <c r="R673" s="268"/>
      <c r="S673" s="313"/>
      <c r="T673" s="313"/>
      <c r="U673" s="268"/>
      <c r="V673" s="309"/>
      <c r="W673" s="310"/>
      <c r="X673" s="268"/>
      <c r="Y673" s="268"/>
      <c r="Z673" s="268"/>
    </row>
    <row r="674" spans="1:26" ht="24.75" customHeight="1">
      <c r="A674" s="268"/>
      <c r="B674" s="268"/>
      <c r="C674" s="268"/>
      <c r="D674" s="268"/>
      <c r="E674" s="268"/>
      <c r="F674" s="268"/>
      <c r="G674" s="268"/>
      <c r="H674" s="268"/>
      <c r="I674" s="268"/>
      <c r="J674" s="268"/>
      <c r="K674" s="268"/>
      <c r="L674" s="309"/>
      <c r="M674" s="268"/>
      <c r="N674" s="268"/>
      <c r="O674" s="310"/>
      <c r="P674" s="268"/>
      <c r="Q674" s="309"/>
      <c r="R674" s="268"/>
      <c r="S674" s="313"/>
      <c r="T674" s="313"/>
      <c r="U674" s="268"/>
      <c r="V674" s="309"/>
      <c r="W674" s="310"/>
      <c r="X674" s="268"/>
      <c r="Y674" s="268"/>
      <c r="Z674" s="268"/>
    </row>
    <row r="675" spans="1:26" ht="24.75" customHeight="1">
      <c r="A675" s="268"/>
      <c r="B675" s="268"/>
      <c r="C675" s="268"/>
      <c r="D675" s="268"/>
      <c r="E675" s="268"/>
      <c r="F675" s="268"/>
      <c r="G675" s="268"/>
      <c r="H675" s="268"/>
      <c r="I675" s="268"/>
      <c r="J675" s="268"/>
      <c r="K675" s="268"/>
      <c r="L675" s="309"/>
      <c r="M675" s="268"/>
      <c r="N675" s="268"/>
      <c r="O675" s="310"/>
      <c r="P675" s="268"/>
      <c r="Q675" s="309"/>
      <c r="R675" s="268"/>
      <c r="S675" s="313"/>
      <c r="T675" s="313"/>
      <c r="U675" s="268"/>
      <c r="V675" s="309"/>
      <c r="W675" s="310"/>
      <c r="X675" s="268"/>
      <c r="Y675" s="268"/>
      <c r="Z675" s="268"/>
    </row>
    <row r="676" spans="1:26" ht="24.75" customHeight="1">
      <c r="A676" s="268"/>
      <c r="B676" s="268"/>
      <c r="C676" s="268"/>
      <c r="D676" s="268"/>
      <c r="E676" s="268"/>
      <c r="F676" s="268"/>
      <c r="G676" s="268"/>
      <c r="H676" s="268"/>
      <c r="I676" s="268"/>
      <c r="J676" s="268"/>
      <c r="K676" s="268"/>
      <c r="L676" s="309"/>
      <c r="M676" s="268"/>
      <c r="N676" s="268"/>
      <c r="O676" s="310"/>
      <c r="P676" s="268"/>
      <c r="Q676" s="309"/>
      <c r="R676" s="268"/>
      <c r="S676" s="313"/>
      <c r="T676" s="313"/>
      <c r="U676" s="268"/>
      <c r="V676" s="309"/>
      <c r="W676" s="310"/>
      <c r="X676" s="268"/>
      <c r="Y676" s="268"/>
      <c r="Z676" s="268"/>
    </row>
    <row r="677" spans="1:26" ht="24.75" customHeight="1">
      <c r="A677" s="268"/>
      <c r="B677" s="268"/>
      <c r="C677" s="268"/>
      <c r="D677" s="268"/>
      <c r="E677" s="268"/>
      <c r="F677" s="268"/>
      <c r="G677" s="268"/>
      <c r="H677" s="268"/>
      <c r="I677" s="268"/>
      <c r="J677" s="268"/>
      <c r="K677" s="268"/>
      <c r="L677" s="309"/>
      <c r="M677" s="268"/>
      <c r="N677" s="268"/>
      <c r="O677" s="310"/>
      <c r="P677" s="268"/>
      <c r="Q677" s="309"/>
      <c r="R677" s="268"/>
      <c r="S677" s="313"/>
      <c r="T677" s="313"/>
      <c r="U677" s="268"/>
      <c r="V677" s="309"/>
      <c r="W677" s="310"/>
      <c r="X677" s="268"/>
      <c r="Y677" s="268"/>
      <c r="Z677" s="268"/>
    </row>
    <row r="678" spans="1:26" ht="24.75" customHeight="1">
      <c r="A678" s="268"/>
      <c r="B678" s="268"/>
      <c r="C678" s="268"/>
      <c r="D678" s="268"/>
      <c r="E678" s="268"/>
      <c r="F678" s="268"/>
      <c r="G678" s="268"/>
      <c r="H678" s="268"/>
      <c r="I678" s="268"/>
      <c r="J678" s="268"/>
      <c r="K678" s="268"/>
      <c r="L678" s="309"/>
      <c r="M678" s="268"/>
      <c r="N678" s="268"/>
      <c r="O678" s="310"/>
      <c r="P678" s="268"/>
      <c r="Q678" s="309"/>
      <c r="R678" s="268"/>
      <c r="S678" s="313"/>
      <c r="T678" s="313"/>
      <c r="U678" s="268"/>
      <c r="V678" s="309"/>
      <c r="W678" s="310"/>
      <c r="X678" s="268"/>
      <c r="Y678" s="268"/>
      <c r="Z678" s="268"/>
    </row>
    <row r="679" spans="1:26" ht="24.75" customHeight="1">
      <c r="A679" s="268"/>
      <c r="B679" s="268"/>
      <c r="C679" s="268"/>
      <c r="D679" s="268"/>
      <c r="E679" s="268"/>
      <c r="F679" s="268"/>
      <c r="G679" s="268"/>
      <c r="H679" s="268"/>
      <c r="I679" s="268"/>
      <c r="J679" s="268"/>
      <c r="K679" s="268"/>
      <c r="L679" s="309"/>
      <c r="M679" s="268"/>
      <c r="N679" s="268"/>
      <c r="O679" s="310"/>
      <c r="P679" s="268"/>
      <c r="Q679" s="309"/>
      <c r="R679" s="268"/>
      <c r="S679" s="313"/>
      <c r="T679" s="313"/>
      <c r="U679" s="268"/>
      <c r="V679" s="309"/>
      <c r="W679" s="310"/>
      <c r="X679" s="268"/>
      <c r="Y679" s="268"/>
      <c r="Z679" s="268"/>
    </row>
    <row r="680" spans="1:26" ht="24.75" customHeight="1">
      <c r="A680" s="268"/>
      <c r="B680" s="268"/>
      <c r="C680" s="268"/>
      <c r="D680" s="268"/>
      <c r="E680" s="268"/>
      <c r="F680" s="268"/>
      <c r="G680" s="268"/>
      <c r="H680" s="268"/>
      <c r="I680" s="268"/>
      <c r="J680" s="268"/>
      <c r="K680" s="268"/>
      <c r="L680" s="309"/>
      <c r="M680" s="268"/>
      <c r="N680" s="268"/>
      <c r="O680" s="310"/>
      <c r="P680" s="268"/>
      <c r="Q680" s="309"/>
      <c r="R680" s="268"/>
      <c r="S680" s="313"/>
      <c r="T680" s="313"/>
      <c r="U680" s="268"/>
      <c r="V680" s="309"/>
      <c r="W680" s="310"/>
      <c r="X680" s="268"/>
      <c r="Y680" s="268"/>
      <c r="Z680" s="268"/>
    </row>
    <row r="681" spans="1:26" ht="24.75" customHeight="1">
      <c r="A681" s="268"/>
      <c r="B681" s="268"/>
      <c r="C681" s="268"/>
      <c r="D681" s="268"/>
      <c r="E681" s="268"/>
      <c r="F681" s="268"/>
      <c r="G681" s="268"/>
      <c r="H681" s="268"/>
      <c r="I681" s="268"/>
      <c r="J681" s="268"/>
      <c r="K681" s="268"/>
      <c r="L681" s="309"/>
      <c r="M681" s="268"/>
      <c r="N681" s="268"/>
      <c r="O681" s="310"/>
      <c r="P681" s="268"/>
      <c r="Q681" s="309"/>
      <c r="R681" s="268"/>
      <c r="S681" s="313"/>
      <c r="T681" s="313"/>
      <c r="U681" s="268"/>
      <c r="V681" s="309"/>
      <c r="W681" s="310"/>
      <c r="X681" s="268"/>
      <c r="Y681" s="268"/>
      <c r="Z681" s="268"/>
    </row>
    <row r="682" spans="1:26" ht="24.75" customHeight="1">
      <c r="A682" s="268"/>
      <c r="B682" s="268"/>
      <c r="C682" s="268"/>
      <c r="D682" s="268"/>
      <c r="E682" s="268"/>
      <c r="F682" s="268"/>
      <c r="G682" s="268"/>
      <c r="H682" s="268"/>
      <c r="I682" s="268"/>
      <c r="J682" s="268"/>
      <c r="K682" s="268"/>
      <c r="L682" s="309"/>
      <c r="M682" s="268"/>
      <c r="N682" s="268"/>
      <c r="O682" s="310"/>
      <c r="P682" s="268"/>
      <c r="Q682" s="309"/>
      <c r="R682" s="268"/>
      <c r="S682" s="313"/>
      <c r="T682" s="313"/>
      <c r="U682" s="268"/>
      <c r="V682" s="309"/>
      <c r="W682" s="310"/>
      <c r="X682" s="268"/>
      <c r="Y682" s="268"/>
      <c r="Z682" s="268"/>
    </row>
    <row r="683" spans="1:26" ht="24.75" customHeight="1">
      <c r="A683" s="268"/>
      <c r="B683" s="268"/>
      <c r="C683" s="268"/>
      <c r="D683" s="268"/>
      <c r="E683" s="268"/>
      <c r="F683" s="268"/>
      <c r="G683" s="268"/>
      <c r="H683" s="268"/>
      <c r="I683" s="268"/>
      <c r="J683" s="268"/>
      <c r="K683" s="268"/>
      <c r="L683" s="309"/>
      <c r="M683" s="268"/>
      <c r="N683" s="268"/>
      <c r="O683" s="310"/>
      <c r="P683" s="268"/>
      <c r="Q683" s="309"/>
      <c r="R683" s="268"/>
      <c r="S683" s="313"/>
      <c r="T683" s="313"/>
      <c r="U683" s="268"/>
      <c r="V683" s="309"/>
      <c r="W683" s="310"/>
      <c r="X683" s="268"/>
      <c r="Y683" s="268"/>
      <c r="Z683" s="268"/>
    </row>
    <row r="684" spans="1:26" ht="24.75" customHeight="1">
      <c r="A684" s="268"/>
      <c r="B684" s="268"/>
      <c r="C684" s="268"/>
      <c r="D684" s="268"/>
      <c r="E684" s="268"/>
      <c r="F684" s="268"/>
      <c r="G684" s="268"/>
      <c r="H684" s="268"/>
      <c r="I684" s="268"/>
      <c r="J684" s="268"/>
      <c r="K684" s="268"/>
      <c r="L684" s="309"/>
      <c r="M684" s="268"/>
      <c r="N684" s="268"/>
      <c r="O684" s="310"/>
      <c r="P684" s="268"/>
      <c r="Q684" s="309"/>
      <c r="R684" s="268"/>
      <c r="S684" s="313"/>
      <c r="T684" s="313"/>
      <c r="U684" s="268"/>
      <c r="V684" s="309"/>
      <c r="W684" s="310"/>
      <c r="X684" s="268"/>
      <c r="Y684" s="268"/>
      <c r="Z684" s="268"/>
    </row>
    <row r="685" spans="1:26" ht="24.75" customHeight="1">
      <c r="A685" s="268"/>
      <c r="B685" s="268"/>
      <c r="C685" s="268"/>
      <c r="D685" s="268"/>
      <c r="E685" s="268"/>
      <c r="F685" s="268"/>
      <c r="G685" s="268"/>
      <c r="H685" s="268"/>
      <c r="I685" s="268"/>
      <c r="J685" s="268"/>
      <c r="K685" s="268"/>
      <c r="L685" s="309"/>
      <c r="M685" s="268"/>
      <c r="N685" s="268"/>
      <c r="O685" s="310"/>
      <c r="P685" s="268"/>
      <c r="Q685" s="309"/>
      <c r="R685" s="268"/>
      <c r="S685" s="313"/>
      <c r="T685" s="313"/>
      <c r="U685" s="268"/>
      <c r="V685" s="309"/>
      <c r="W685" s="310"/>
      <c r="X685" s="268"/>
      <c r="Y685" s="268"/>
      <c r="Z685" s="268"/>
    </row>
    <row r="686" spans="1:26" ht="24.75" customHeight="1">
      <c r="A686" s="268"/>
      <c r="B686" s="268"/>
      <c r="C686" s="268"/>
      <c r="D686" s="268"/>
      <c r="E686" s="268"/>
      <c r="F686" s="268"/>
      <c r="G686" s="268"/>
      <c r="H686" s="268"/>
      <c r="I686" s="268"/>
      <c r="J686" s="268"/>
      <c r="K686" s="268"/>
      <c r="L686" s="309"/>
      <c r="M686" s="268"/>
      <c r="N686" s="268"/>
      <c r="O686" s="310"/>
      <c r="P686" s="268"/>
      <c r="Q686" s="309"/>
      <c r="R686" s="268"/>
      <c r="S686" s="313"/>
      <c r="T686" s="313"/>
      <c r="U686" s="268"/>
      <c r="V686" s="309"/>
      <c r="W686" s="310"/>
      <c r="X686" s="268"/>
      <c r="Y686" s="268"/>
      <c r="Z686" s="268"/>
    </row>
    <row r="687" spans="1:26" ht="24.75" customHeight="1">
      <c r="A687" s="268"/>
      <c r="B687" s="268"/>
      <c r="C687" s="268"/>
      <c r="D687" s="268"/>
      <c r="E687" s="268"/>
      <c r="F687" s="268"/>
      <c r="G687" s="268"/>
      <c r="H687" s="268"/>
      <c r="I687" s="268"/>
      <c r="J687" s="268"/>
      <c r="K687" s="268"/>
      <c r="L687" s="309"/>
      <c r="M687" s="268"/>
      <c r="N687" s="268"/>
      <c r="O687" s="310"/>
      <c r="P687" s="268"/>
      <c r="Q687" s="309"/>
      <c r="R687" s="268"/>
      <c r="S687" s="313"/>
      <c r="T687" s="313"/>
      <c r="U687" s="268"/>
      <c r="V687" s="309"/>
      <c r="W687" s="310"/>
      <c r="X687" s="268"/>
      <c r="Y687" s="268"/>
      <c r="Z687" s="268"/>
    </row>
    <row r="688" spans="1:26" ht="24.75" customHeight="1">
      <c r="A688" s="268"/>
      <c r="B688" s="268"/>
      <c r="C688" s="268"/>
      <c r="D688" s="268"/>
      <c r="E688" s="268"/>
      <c r="F688" s="268"/>
      <c r="G688" s="268"/>
      <c r="H688" s="268"/>
      <c r="I688" s="268"/>
      <c r="J688" s="268"/>
      <c r="K688" s="268"/>
      <c r="L688" s="309"/>
      <c r="M688" s="268"/>
      <c r="N688" s="268"/>
      <c r="O688" s="310"/>
      <c r="P688" s="268"/>
      <c r="Q688" s="309"/>
      <c r="R688" s="268"/>
      <c r="S688" s="313"/>
      <c r="T688" s="313"/>
      <c r="U688" s="268"/>
      <c r="V688" s="309"/>
      <c r="W688" s="310"/>
      <c r="X688" s="268"/>
      <c r="Y688" s="268"/>
      <c r="Z688" s="268"/>
    </row>
    <row r="689" spans="1:26" ht="24.75" customHeight="1">
      <c r="A689" s="268"/>
      <c r="B689" s="268"/>
      <c r="C689" s="268"/>
      <c r="D689" s="268"/>
      <c r="E689" s="268"/>
      <c r="F689" s="268"/>
      <c r="G689" s="268"/>
      <c r="H689" s="268"/>
      <c r="I689" s="268"/>
      <c r="J689" s="268"/>
      <c r="K689" s="268"/>
      <c r="L689" s="309"/>
      <c r="M689" s="268"/>
      <c r="N689" s="268"/>
      <c r="O689" s="310"/>
      <c r="P689" s="268"/>
      <c r="Q689" s="309"/>
      <c r="R689" s="268"/>
      <c r="S689" s="313"/>
      <c r="T689" s="313"/>
      <c r="U689" s="268"/>
      <c r="V689" s="309"/>
      <c r="W689" s="310"/>
      <c r="X689" s="268"/>
      <c r="Y689" s="268"/>
      <c r="Z689" s="268"/>
    </row>
    <row r="690" spans="1:26" ht="24.75" customHeight="1">
      <c r="A690" s="268"/>
      <c r="B690" s="268"/>
      <c r="C690" s="268"/>
      <c r="D690" s="268"/>
      <c r="E690" s="268"/>
      <c r="F690" s="268"/>
      <c r="G690" s="268"/>
      <c r="H690" s="268"/>
      <c r="I690" s="268"/>
      <c r="J690" s="268"/>
      <c r="K690" s="268"/>
      <c r="L690" s="309"/>
      <c r="M690" s="268"/>
      <c r="N690" s="268"/>
      <c r="O690" s="310"/>
      <c r="P690" s="268"/>
      <c r="Q690" s="309"/>
      <c r="R690" s="268"/>
      <c r="S690" s="313"/>
      <c r="T690" s="313"/>
      <c r="U690" s="268"/>
      <c r="V690" s="309"/>
      <c r="W690" s="310"/>
      <c r="X690" s="268"/>
      <c r="Y690" s="268"/>
      <c r="Z690" s="268"/>
    </row>
    <row r="691" spans="1:26" ht="24.75" customHeight="1">
      <c r="A691" s="268"/>
      <c r="B691" s="268"/>
      <c r="C691" s="268"/>
      <c r="D691" s="268"/>
      <c r="E691" s="268"/>
      <c r="F691" s="268"/>
      <c r="G691" s="268"/>
      <c r="H691" s="268"/>
      <c r="I691" s="268"/>
      <c r="J691" s="268"/>
      <c r="K691" s="268"/>
      <c r="L691" s="309"/>
      <c r="M691" s="268"/>
      <c r="N691" s="268"/>
      <c r="O691" s="310"/>
      <c r="P691" s="268"/>
      <c r="Q691" s="309"/>
      <c r="R691" s="268"/>
      <c r="S691" s="313"/>
      <c r="T691" s="313"/>
      <c r="U691" s="268"/>
      <c r="V691" s="309"/>
      <c r="W691" s="310"/>
      <c r="X691" s="268"/>
      <c r="Y691" s="268"/>
      <c r="Z691" s="268"/>
    </row>
    <row r="692" spans="1:26" ht="24.75" customHeight="1">
      <c r="A692" s="268"/>
      <c r="B692" s="268"/>
      <c r="C692" s="268"/>
      <c r="D692" s="268"/>
      <c r="E692" s="268"/>
      <c r="F692" s="268"/>
      <c r="G692" s="268"/>
      <c r="H692" s="268"/>
      <c r="I692" s="268"/>
      <c r="J692" s="268"/>
      <c r="K692" s="268"/>
      <c r="L692" s="309"/>
      <c r="M692" s="268"/>
      <c r="N692" s="268"/>
      <c r="O692" s="310"/>
      <c r="P692" s="268"/>
      <c r="Q692" s="309"/>
      <c r="R692" s="268"/>
      <c r="S692" s="313"/>
      <c r="T692" s="313"/>
      <c r="U692" s="268"/>
      <c r="V692" s="309"/>
      <c r="W692" s="310"/>
      <c r="X692" s="268"/>
      <c r="Y692" s="268"/>
      <c r="Z692" s="268"/>
    </row>
    <row r="693" spans="1:26" ht="24.75" customHeight="1">
      <c r="A693" s="268"/>
      <c r="B693" s="268"/>
      <c r="C693" s="268"/>
      <c r="D693" s="268"/>
      <c r="E693" s="268"/>
      <c r="F693" s="268"/>
      <c r="G693" s="268"/>
      <c r="H693" s="268"/>
      <c r="I693" s="268"/>
      <c r="J693" s="268"/>
      <c r="K693" s="268"/>
      <c r="L693" s="309"/>
      <c r="M693" s="268"/>
      <c r="N693" s="268"/>
      <c r="O693" s="310"/>
      <c r="P693" s="268"/>
      <c r="Q693" s="309"/>
      <c r="R693" s="268"/>
      <c r="S693" s="313"/>
      <c r="T693" s="313"/>
      <c r="U693" s="268"/>
      <c r="V693" s="309"/>
      <c r="W693" s="310"/>
      <c r="X693" s="268"/>
      <c r="Y693" s="268"/>
      <c r="Z693" s="268"/>
    </row>
    <row r="694" spans="1:26" ht="24.75" customHeight="1">
      <c r="A694" s="268"/>
      <c r="B694" s="268"/>
      <c r="C694" s="268"/>
      <c r="D694" s="268"/>
      <c r="E694" s="268"/>
      <c r="F694" s="268"/>
      <c r="G694" s="268"/>
      <c r="H694" s="268"/>
      <c r="I694" s="268"/>
      <c r="J694" s="268"/>
      <c r="K694" s="268"/>
      <c r="L694" s="309"/>
      <c r="M694" s="268"/>
      <c r="N694" s="268"/>
      <c r="O694" s="310"/>
      <c r="P694" s="268"/>
      <c r="Q694" s="309"/>
      <c r="R694" s="268"/>
      <c r="S694" s="313"/>
      <c r="T694" s="313"/>
      <c r="U694" s="268"/>
      <c r="V694" s="309"/>
      <c r="W694" s="310"/>
      <c r="X694" s="268"/>
      <c r="Y694" s="268"/>
      <c r="Z694" s="268"/>
    </row>
    <row r="695" spans="1:26" ht="24.75" customHeight="1">
      <c r="A695" s="268"/>
      <c r="B695" s="268"/>
      <c r="C695" s="268"/>
      <c r="D695" s="268"/>
      <c r="E695" s="268"/>
      <c r="F695" s="268"/>
      <c r="G695" s="268"/>
      <c r="H695" s="268"/>
      <c r="I695" s="268"/>
      <c r="J695" s="268"/>
      <c r="K695" s="268"/>
      <c r="L695" s="309"/>
      <c r="M695" s="268"/>
      <c r="N695" s="268"/>
      <c r="O695" s="310"/>
      <c r="P695" s="268"/>
      <c r="Q695" s="309"/>
      <c r="R695" s="268"/>
      <c r="S695" s="313"/>
      <c r="T695" s="313"/>
      <c r="U695" s="268"/>
      <c r="V695" s="309"/>
      <c r="W695" s="310"/>
      <c r="X695" s="268"/>
      <c r="Y695" s="268"/>
      <c r="Z695" s="268"/>
    </row>
    <row r="696" spans="1:26" ht="24.75" customHeight="1">
      <c r="A696" s="268"/>
      <c r="B696" s="268"/>
      <c r="C696" s="268"/>
      <c r="D696" s="268"/>
      <c r="E696" s="268"/>
      <c r="F696" s="268"/>
      <c r="G696" s="268"/>
      <c r="H696" s="268"/>
      <c r="I696" s="268"/>
      <c r="J696" s="268"/>
      <c r="K696" s="268"/>
      <c r="L696" s="309"/>
      <c r="M696" s="268"/>
      <c r="N696" s="268"/>
      <c r="O696" s="310"/>
      <c r="P696" s="268"/>
      <c r="Q696" s="309"/>
      <c r="R696" s="268"/>
      <c r="S696" s="313"/>
      <c r="T696" s="313"/>
      <c r="U696" s="268"/>
      <c r="V696" s="309"/>
      <c r="W696" s="310"/>
      <c r="X696" s="268"/>
      <c r="Y696" s="268"/>
      <c r="Z696" s="268"/>
    </row>
    <row r="697" spans="1:26" ht="24.75" customHeight="1">
      <c r="A697" s="268"/>
      <c r="B697" s="268"/>
      <c r="C697" s="268"/>
      <c r="D697" s="268"/>
      <c r="E697" s="268"/>
      <c r="F697" s="268"/>
      <c r="G697" s="268"/>
      <c r="H697" s="268"/>
      <c r="I697" s="268"/>
      <c r="J697" s="268"/>
      <c r="K697" s="268"/>
      <c r="L697" s="309"/>
      <c r="M697" s="268"/>
      <c r="N697" s="268"/>
      <c r="O697" s="310"/>
      <c r="P697" s="268"/>
      <c r="Q697" s="309"/>
      <c r="R697" s="268"/>
      <c r="S697" s="313"/>
      <c r="T697" s="313"/>
      <c r="U697" s="268"/>
      <c r="V697" s="309"/>
      <c r="W697" s="310"/>
      <c r="X697" s="268"/>
      <c r="Y697" s="268"/>
      <c r="Z697" s="268"/>
    </row>
    <row r="698" spans="1:26" ht="24.75" customHeight="1">
      <c r="A698" s="268"/>
      <c r="B698" s="268"/>
      <c r="C698" s="268"/>
      <c r="D698" s="268"/>
      <c r="E698" s="268"/>
      <c r="F698" s="268"/>
      <c r="G698" s="268"/>
      <c r="H698" s="268"/>
      <c r="I698" s="268"/>
      <c r="J698" s="268"/>
      <c r="K698" s="268"/>
      <c r="L698" s="309"/>
      <c r="M698" s="268"/>
      <c r="N698" s="268"/>
      <c r="O698" s="310"/>
      <c r="P698" s="268"/>
      <c r="Q698" s="309"/>
      <c r="R698" s="268"/>
      <c r="S698" s="313"/>
      <c r="T698" s="313"/>
      <c r="U698" s="268"/>
      <c r="V698" s="309"/>
      <c r="W698" s="310"/>
      <c r="X698" s="268"/>
      <c r="Y698" s="268"/>
      <c r="Z698" s="268"/>
    </row>
    <row r="699" spans="1:26" ht="24.75" customHeight="1">
      <c r="A699" s="268"/>
      <c r="B699" s="268"/>
      <c r="C699" s="268"/>
      <c r="D699" s="268"/>
      <c r="E699" s="268"/>
      <c r="F699" s="268"/>
      <c r="G699" s="268"/>
      <c r="H699" s="268"/>
      <c r="I699" s="268"/>
      <c r="J699" s="268"/>
      <c r="K699" s="268"/>
      <c r="L699" s="309"/>
      <c r="M699" s="268"/>
      <c r="N699" s="268"/>
      <c r="O699" s="310"/>
      <c r="P699" s="268"/>
      <c r="Q699" s="309"/>
      <c r="R699" s="268"/>
      <c r="S699" s="313"/>
      <c r="T699" s="313"/>
      <c r="U699" s="268"/>
      <c r="V699" s="309"/>
      <c r="W699" s="310"/>
      <c r="X699" s="268"/>
      <c r="Y699" s="268"/>
      <c r="Z699" s="268"/>
    </row>
    <row r="700" spans="1:26" ht="24.75" customHeight="1">
      <c r="A700" s="268"/>
      <c r="B700" s="268"/>
      <c r="C700" s="268"/>
      <c r="D700" s="268"/>
      <c r="E700" s="268"/>
      <c r="F700" s="268"/>
      <c r="G700" s="268"/>
      <c r="H700" s="268"/>
      <c r="I700" s="268"/>
      <c r="J700" s="268"/>
      <c r="K700" s="268"/>
      <c r="L700" s="309"/>
      <c r="M700" s="268"/>
      <c r="N700" s="268"/>
      <c r="O700" s="310"/>
      <c r="P700" s="268"/>
      <c r="Q700" s="309"/>
      <c r="R700" s="268"/>
      <c r="S700" s="313"/>
      <c r="T700" s="313"/>
      <c r="U700" s="268"/>
      <c r="V700" s="309"/>
      <c r="W700" s="310"/>
      <c r="X700" s="268"/>
      <c r="Y700" s="268"/>
      <c r="Z700" s="268"/>
    </row>
    <row r="701" spans="1:26" ht="24.75" customHeight="1">
      <c r="A701" s="268"/>
      <c r="B701" s="268"/>
      <c r="C701" s="268"/>
      <c r="D701" s="268"/>
      <c r="E701" s="268"/>
      <c r="F701" s="268"/>
      <c r="G701" s="268"/>
      <c r="H701" s="268"/>
      <c r="I701" s="268"/>
      <c r="J701" s="268"/>
      <c r="K701" s="268"/>
      <c r="L701" s="309"/>
      <c r="M701" s="268"/>
      <c r="N701" s="268"/>
      <c r="O701" s="310"/>
      <c r="P701" s="268"/>
      <c r="Q701" s="309"/>
      <c r="R701" s="268"/>
      <c r="S701" s="313"/>
      <c r="T701" s="313"/>
      <c r="U701" s="268"/>
      <c r="V701" s="309"/>
      <c r="W701" s="310"/>
      <c r="X701" s="268"/>
      <c r="Y701" s="268"/>
      <c r="Z701" s="268"/>
    </row>
    <row r="702" spans="1:26" ht="24.75" customHeight="1">
      <c r="A702" s="268"/>
      <c r="B702" s="268"/>
      <c r="C702" s="268"/>
      <c r="D702" s="268"/>
      <c r="E702" s="268"/>
      <c r="F702" s="268"/>
      <c r="G702" s="268"/>
      <c r="H702" s="268"/>
      <c r="I702" s="268"/>
      <c r="J702" s="268"/>
      <c r="K702" s="268"/>
      <c r="L702" s="309"/>
      <c r="M702" s="268"/>
      <c r="N702" s="268"/>
      <c r="O702" s="310"/>
      <c r="P702" s="268"/>
      <c r="Q702" s="309"/>
      <c r="R702" s="268"/>
      <c r="S702" s="313"/>
      <c r="T702" s="313"/>
      <c r="U702" s="268"/>
      <c r="V702" s="309"/>
      <c r="W702" s="310"/>
      <c r="X702" s="268"/>
      <c r="Y702" s="268"/>
      <c r="Z702" s="268"/>
    </row>
    <row r="703" spans="1:26" ht="24.75" customHeight="1">
      <c r="A703" s="268"/>
      <c r="B703" s="268"/>
      <c r="C703" s="268"/>
      <c r="D703" s="268"/>
      <c r="E703" s="268"/>
      <c r="F703" s="268"/>
      <c r="G703" s="268"/>
      <c r="H703" s="268"/>
      <c r="I703" s="268"/>
      <c r="J703" s="268"/>
      <c r="K703" s="268"/>
      <c r="L703" s="309"/>
      <c r="M703" s="268"/>
      <c r="N703" s="268"/>
      <c r="O703" s="310"/>
      <c r="P703" s="268"/>
      <c r="Q703" s="309"/>
      <c r="R703" s="268"/>
      <c r="S703" s="313"/>
      <c r="T703" s="313"/>
      <c r="U703" s="268"/>
      <c r="V703" s="309"/>
      <c r="W703" s="310"/>
      <c r="X703" s="268"/>
      <c r="Y703" s="268"/>
      <c r="Z703" s="268"/>
    </row>
    <row r="704" spans="1:26" ht="24.75" customHeight="1">
      <c r="A704" s="268"/>
      <c r="B704" s="268"/>
      <c r="C704" s="268"/>
      <c r="D704" s="268"/>
      <c r="E704" s="268"/>
      <c r="F704" s="268"/>
      <c r="G704" s="268"/>
      <c r="H704" s="268"/>
      <c r="I704" s="268"/>
      <c r="J704" s="268"/>
      <c r="K704" s="268"/>
      <c r="L704" s="309"/>
      <c r="M704" s="268"/>
      <c r="N704" s="268"/>
      <c r="O704" s="310"/>
      <c r="P704" s="268"/>
      <c r="Q704" s="309"/>
      <c r="R704" s="268"/>
      <c r="S704" s="313"/>
      <c r="T704" s="313"/>
      <c r="U704" s="268"/>
      <c r="V704" s="309"/>
      <c r="W704" s="310"/>
      <c r="X704" s="268"/>
      <c r="Y704" s="268"/>
      <c r="Z704" s="268"/>
    </row>
    <row r="705" spans="1:26" ht="24.75" customHeight="1">
      <c r="A705" s="268"/>
      <c r="B705" s="268"/>
      <c r="C705" s="268"/>
      <c r="D705" s="268"/>
      <c r="E705" s="268"/>
      <c r="F705" s="268"/>
      <c r="G705" s="268"/>
      <c r="H705" s="268"/>
      <c r="I705" s="268"/>
      <c r="J705" s="268"/>
      <c r="K705" s="268"/>
      <c r="L705" s="309"/>
      <c r="M705" s="268"/>
      <c r="N705" s="268"/>
      <c r="O705" s="310"/>
      <c r="P705" s="268"/>
      <c r="Q705" s="309"/>
      <c r="R705" s="268"/>
      <c r="S705" s="313"/>
      <c r="T705" s="313"/>
      <c r="U705" s="268"/>
      <c r="V705" s="309"/>
      <c r="W705" s="310"/>
      <c r="X705" s="268"/>
      <c r="Y705" s="268"/>
      <c r="Z705" s="268"/>
    </row>
    <row r="706" spans="1:26" ht="24.75" customHeight="1">
      <c r="A706" s="268"/>
      <c r="B706" s="268"/>
      <c r="C706" s="268"/>
      <c r="D706" s="268"/>
      <c r="E706" s="268"/>
      <c r="F706" s="268"/>
      <c r="G706" s="268"/>
      <c r="H706" s="268"/>
      <c r="I706" s="268"/>
      <c r="J706" s="268"/>
      <c r="K706" s="268"/>
      <c r="L706" s="309"/>
      <c r="M706" s="268"/>
      <c r="N706" s="268"/>
      <c r="O706" s="310"/>
      <c r="P706" s="268"/>
      <c r="Q706" s="309"/>
      <c r="R706" s="268"/>
      <c r="S706" s="313"/>
      <c r="T706" s="313"/>
      <c r="U706" s="268"/>
      <c r="V706" s="309"/>
      <c r="W706" s="310"/>
      <c r="X706" s="268"/>
      <c r="Y706" s="268"/>
      <c r="Z706" s="268"/>
    </row>
    <row r="707" spans="1:26" ht="24.75" customHeight="1">
      <c r="A707" s="268"/>
      <c r="B707" s="268"/>
      <c r="C707" s="268"/>
      <c r="D707" s="268"/>
      <c r="E707" s="268"/>
      <c r="F707" s="268"/>
      <c r="G707" s="268"/>
      <c r="H707" s="268"/>
      <c r="I707" s="268"/>
      <c r="J707" s="268"/>
      <c r="K707" s="268"/>
      <c r="L707" s="309"/>
      <c r="M707" s="268"/>
      <c r="N707" s="268"/>
      <c r="O707" s="310"/>
      <c r="P707" s="268"/>
      <c r="Q707" s="309"/>
      <c r="R707" s="268"/>
      <c r="S707" s="313"/>
      <c r="T707" s="313"/>
      <c r="U707" s="268"/>
      <c r="V707" s="309"/>
      <c r="W707" s="310"/>
      <c r="X707" s="268"/>
      <c r="Y707" s="268"/>
      <c r="Z707" s="268"/>
    </row>
    <row r="708" spans="1:26" ht="24.75" customHeight="1">
      <c r="A708" s="268"/>
      <c r="B708" s="268"/>
      <c r="C708" s="268"/>
      <c r="D708" s="268"/>
      <c r="E708" s="268"/>
      <c r="F708" s="268"/>
      <c r="G708" s="268"/>
      <c r="H708" s="268"/>
      <c r="I708" s="268"/>
      <c r="J708" s="268"/>
      <c r="K708" s="268"/>
      <c r="L708" s="309"/>
      <c r="M708" s="268"/>
      <c r="N708" s="268"/>
      <c r="O708" s="310"/>
      <c r="P708" s="268"/>
      <c r="Q708" s="309"/>
      <c r="R708" s="268"/>
      <c r="S708" s="313"/>
      <c r="T708" s="313"/>
      <c r="U708" s="268"/>
      <c r="V708" s="309"/>
      <c r="W708" s="310"/>
      <c r="X708" s="268"/>
      <c r="Y708" s="268"/>
      <c r="Z708" s="268"/>
    </row>
    <row r="709" spans="1:26" ht="24.75" customHeight="1">
      <c r="A709" s="268"/>
      <c r="B709" s="268"/>
      <c r="C709" s="268"/>
      <c r="D709" s="268"/>
      <c r="E709" s="268"/>
      <c r="F709" s="268"/>
      <c r="G709" s="268"/>
      <c r="H709" s="268"/>
      <c r="I709" s="268"/>
      <c r="J709" s="268"/>
      <c r="K709" s="268"/>
      <c r="L709" s="309"/>
      <c r="M709" s="268"/>
      <c r="N709" s="268"/>
      <c r="O709" s="310"/>
      <c r="P709" s="268"/>
      <c r="Q709" s="309"/>
      <c r="R709" s="268"/>
      <c r="S709" s="313"/>
      <c r="T709" s="313"/>
      <c r="U709" s="268"/>
      <c r="V709" s="309"/>
      <c r="W709" s="310"/>
      <c r="X709" s="268"/>
      <c r="Y709" s="268"/>
      <c r="Z709" s="268"/>
    </row>
    <row r="710" spans="1:26" ht="24.75" customHeight="1">
      <c r="A710" s="268"/>
      <c r="B710" s="268"/>
      <c r="C710" s="268"/>
      <c r="D710" s="268"/>
      <c r="E710" s="268"/>
      <c r="F710" s="268"/>
      <c r="G710" s="268"/>
      <c r="H710" s="268"/>
      <c r="I710" s="268"/>
      <c r="J710" s="268"/>
      <c r="K710" s="268"/>
      <c r="L710" s="309"/>
      <c r="M710" s="268"/>
      <c r="N710" s="268"/>
      <c r="O710" s="310"/>
      <c r="P710" s="268"/>
      <c r="Q710" s="309"/>
      <c r="R710" s="268"/>
      <c r="S710" s="313"/>
      <c r="T710" s="313"/>
      <c r="U710" s="268"/>
      <c r="V710" s="309"/>
      <c r="W710" s="310"/>
      <c r="X710" s="268"/>
      <c r="Y710" s="268"/>
      <c r="Z710" s="268"/>
    </row>
    <row r="711" spans="1:26" ht="24.75" customHeight="1">
      <c r="A711" s="268"/>
      <c r="B711" s="268"/>
      <c r="C711" s="268"/>
      <c r="D711" s="268"/>
      <c r="E711" s="268"/>
      <c r="F711" s="268"/>
      <c r="G711" s="268"/>
      <c r="H711" s="268"/>
      <c r="I711" s="268"/>
      <c r="J711" s="268"/>
      <c r="K711" s="268"/>
      <c r="L711" s="309"/>
      <c r="M711" s="268"/>
      <c r="N711" s="268"/>
      <c r="O711" s="310"/>
      <c r="P711" s="268"/>
      <c r="Q711" s="309"/>
      <c r="R711" s="268"/>
      <c r="S711" s="313"/>
      <c r="T711" s="313"/>
      <c r="U711" s="268"/>
      <c r="V711" s="309"/>
      <c r="W711" s="310"/>
      <c r="X711" s="268"/>
      <c r="Y711" s="268"/>
      <c r="Z711" s="268"/>
    </row>
    <row r="712" spans="1:26" ht="24.75" customHeight="1">
      <c r="A712" s="268"/>
      <c r="B712" s="268"/>
      <c r="C712" s="268"/>
      <c r="D712" s="268"/>
      <c r="E712" s="268"/>
      <c r="F712" s="268"/>
      <c r="G712" s="268"/>
      <c r="H712" s="268"/>
      <c r="I712" s="268"/>
      <c r="J712" s="268"/>
      <c r="K712" s="268"/>
      <c r="L712" s="309"/>
      <c r="M712" s="268"/>
      <c r="N712" s="268"/>
      <c r="O712" s="310"/>
      <c r="P712" s="268"/>
      <c r="Q712" s="309"/>
      <c r="R712" s="268"/>
      <c r="S712" s="313"/>
      <c r="T712" s="313"/>
      <c r="U712" s="268"/>
      <c r="V712" s="309"/>
      <c r="W712" s="310"/>
      <c r="X712" s="268"/>
      <c r="Y712" s="268"/>
      <c r="Z712" s="268"/>
    </row>
    <row r="713" spans="1:26" ht="24.75" customHeight="1">
      <c r="A713" s="268"/>
      <c r="B713" s="268"/>
      <c r="C713" s="268"/>
      <c r="D713" s="268"/>
      <c r="E713" s="268"/>
      <c r="F713" s="268"/>
      <c r="G713" s="268"/>
      <c r="H713" s="268"/>
      <c r="I713" s="268"/>
      <c r="J713" s="268"/>
      <c r="K713" s="268"/>
      <c r="L713" s="309"/>
      <c r="M713" s="268"/>
      <c r="N713" s="268"/>
      <c r="O713" s="310"/>
      <c r="P713" s="268"/>
      <c r="Q713" s="309"/>
      <c r="R713" s="268"/>
      <c r="S713" s="313"/>
      <c r="T713" s="313"/>
      <c r="U713" s="268"/>
      <c r="V713" s="309"/>
      <c r="W713" s="310"/>
      <c r="X713" s="268"/>
      <c r="Y713" s="268"/>
      <c r="Z713" s="268"/>
    </row>
    <row r="714" spans="1:26" ht="24.75" customHeight="1">
      <c r="A714" s="268"/>
      <c r="B714" s="268"/>
      <c r="C714" s="268"/>
      <c r="D714" s="268"/>
      <c r="E714" s="268"/>
      <c r="F714" s="268"/>
      <c r="G714" s="268"/>
      <c r="H714" s="268"/>
      <c r="I714" s="268"/>
      <c r="J714" s="268"/>
      <c r="K714" s="268"/>
      <c r="L714" s="309"/>
      <c r="M714" s="268"/>
      <c r="N714" s="268"/>
      <c r="O714" s="310"/>
      <c r="P714" s="268"/>
      <c r="Q714" s="309"/>
      <c r="R714" s="268"/>
      <c r="S714" s="313"/>
      <c r="T714" s="313"/>
      <c r="U714" s="268"/>
      <c r="V714" s="309"/>
      <c r="W714" s="310"/>
      <c r="X714" s="268"/>
      <c r="Y714" s="268"/>
      <c r="Z714" s="268"/>
    </row>
    <row r="715" spans="1:26" ht="24.75" customHeight="1">
      <c r="A715" s="268"/>
      <c r="B715" s="268"/>
      <c r="C715" s="268"/>
      <c r="D715" s="268"/>
      <c r="E715" s="268"/>
      <c r="F715" s="268"/>
      <c r="G715" s="268"/>
      <c r="H715" s="268"/>
      <c r="I715" s="268"/>
      <c r="J715" s="268"/>
      <c r="K715" s="268"/>
      <c r="L715" s="309"/>
      <c r="M715" s="268"/>
      <c r="N715" s="268"/>
      <c r="O715" s="310"/>
      <c r="P715" s="268"/>
      <c r="Q715" s="309"/>
      <c r="R715" s="268"/>
      <c r="S715" s="313"/>
      <c r="T715" s="313"/>
      <c r="U715" s="268"/>
      <c r="V715" s="309"/>
      <c r="W715" s="310"/>
      <c r="X715" s="268"/>
      <c r="Y715" s="268"/>
      <c r="Z715" s="268"/>
    </row>
    <row r="716" spans="1:26" ht="24.75" customHeight="1">
      <c r="A716" s="268"/>
      <c r="B716" s="268"/>
      <c r="C716" s="268"/>
      <c r="D716" s="268"/>
      <c r="E716" s="268"/>
      <c r="F716" s="268"/>
      <c r="G716" s="268"/>
      <c r="H716" s="268"/>
      <c r="I716" s="268"/>
      <c r="J716" s="268"/>
      <c r="K716" s="268"/>
      <c r="L716" s="309"/>
      <c r="M716" s="268"/>
      <c r="N716" s="268"/>
      <c r="O716" s="310"/>
      <c r="P716" s="268"/>
      <c r="Q716" s="309"/>
      <c r="R716" s="268"/>
      <c r="S716" s="313"/>
      <c r="T716" s="313"/>
      <c r="U716" s="268"/>
      <c r="V716" s="309"/>
      <c r="W716" s="310"/>
      <c r="X716" s="268"/>
      <c r="Y716" s="268"/>
      <c r="Z716" s="268"/>
    </row>
    <row r="717" spans="1:26" ht="24.75" customHeight="1">
      <c r="A717" s="268"/>
      <c r="B717" s="268"/>
      <c r="C717" s="268"/>
      <c r="D717" s="268"/>
      <c r="E717" s="268"/>
      <c r="F717" s="268"/>
      <c r="G717" s="268"/>
      <c r="H717" s="268"/>
      <c r="I717" s="268"/>
      <c r="J717" s="268"/>
      <c r="K717" s="268"/>
      <c r="L717" s="309"/>
      <c r="M717" s="268"/>
      <c r="N717" s="268"/>
      <c r="O717" s="310"/>
      <c r="P717" s="268"/>
      <c r="Q717" s="309"/>
      <c r="R717" s="268"/>
      <c r="S717" s="313"/>
      <c r="T717" s="313"/>
      <c r="U717" s="268"/>
      <c r="V717" s="309"/>
      <c r="W717" s="310"/>
      <c r="X717" s="268"/>
      <c r="Y717" s="268"/>
      <c r="Z717" s="268"/>
    </row>
    <row r="718" spans="1:26" ht="24.75" customHeight="1">
      <c r="A718" s="268"/>
      <c r="B718" s="268"/>
      <c r="C718" s="268"/>
      <c r="D718" s="268"/>
      <c r="E718" s="268"/>
      <c r="F718" s="268"/>
      <c r="G718" s="268"/>
      <c r="H718" s="268"/>
      <c r="I718" s="268"/>
      <c r="J718" s="268"/>
      <c r="K718" s="268"/>
      <c r="L718" s="309"/>
      <c r="M718" s="268"/>
      <c r="N718" s="268"/>
      <c r="O718" s="310"/>
      <c r="P718" s="268"/>
      <c r="Q718" s="309"/>
      <c r="R718" s="268"/>
      <c r="S718" s="313"/>
      <c r="T718" s="313"/>
      <c r="U718" s="268"/>
      <c r="V718" s="309"/>
      <c r="W718" s="310"/>
      <c r="X718" s="268"/>
      <c r="Y718" s="268"/>
      <c r="Z718" s="268"/>
    </row>
    <row r="719" spans="1:26" ht="24.75" customHeight="1">
      <c r="A719" s="268"/>
      <c r="B719" s="268"/>
      <c r="C719" s="268"/>
      <c r="D719" s="268"/>
      <c r="E719" s="268"/>
      <c r="F719" s="268"/>
      <c r="G719" s="268"/>
      <c r="H719" s="268"/>
      <c r="I719" s="268"/>
      <c r="J719" s="268"/>
      <c r="K719" s="268"/>
      <c r="L719" s="309"/>
      <c r="M719" s="268"/>
      <c r="N719" s="268"/>
      <c r="O719" s="310"/>
      <c r="P719" s="268"/>
      <c r="Q719" s="309"/>
      <c r="R719" s="268"/>
      <c r="S719" s="313"/>
      <c r="T719" s="313"/>
      <c r="U719" s="268"/>
      <c r="V719" s="309"/>
      <c r="W719" s="310"/>
      <c r="X719" s="268"/>
      <c r="Y719" s="268"/>
      <c r="Z719" s="268"/>
    </row>
    <row r="720" spans="1:26" ht="24.75" customHeight="1">
      <c r="A720" s="268"/>
      <c r="B720" s="268"/>
      <c r="C720" s="268"/>
      <c r="D720" s="268"/>
      <c r="E720" s="268"/>
      <c r="F720" s="268"/>
      <c r="G720" s="268"/>
      <c r="H720" s="268"/>
      <c r="I720" s="268"/>
      <c r="J720" s="268"/>
      <c r="K720" s="268"/>
      <c r="L720" s="309"/>
      <c r="M720" s="268"/>
      <c r="N720" s="268"/>
      <c r="O720" s="310"/>
      <c r="P720" s="268"/>
      <c r="Q720" s="309"/>
      <c r="R720" s="268"/>
      <c r="S720" s="313"/>
      <c r="T720" s="313"/>
      <c r="U720" s="268"/>
      <c r="V720" s="309"/>
      <c r="W720" s="310"/>
      <c r="X720" s="268"/>
      <c r="Y720" s="268"/>
      <c r="Z720" s="268"/>
    </row>
    <row r="721" spans="1:26" ht="24.75" customHeight="1">
      <c r="A721" s="268"/>
      <c r="B721" s="268"/>
      <c r="C721" s="268"/>
      <c r="D721" s="268"/>
      <c r="E721" s="268"/>
      <c r="F721" s="268"/>
      <c r="G721" s="268"/>
      <c r="H721" s="268"/>
      <c r="I721" s="268"/>
      <c r="J721" s="268"/>
      <c r="K721" s="268"/>
      <c r="L721" s="309"/>
      <c r="M721" s="268"/>
      <c r="N721" s="268"/>
      <c r="O721" s="310"/>
      <c r="P721" s="268"/>
      <c r="Q721" s="309"/>
      <c r="R721" s="268"/>
      <c r="S721" s="313"/>
      <c r="T721" s="313"/>
      <c r="U721" s="268"/>
      <c r="V721" s="309"/>
      <c r="W721" s="310"/>
      <c r="X721" s="268"/>
      <c r="Y721" s="268"/>
      <c r="Z721" s="268"/>
    </row>
    <row r="722" spans="1:26" ht="24.75" customHeight="1">
      <c r="A722" s="268"/>
      <c r="B722" s="268"/>
      <c r="C722" s="268"/>
      <c r="D722" s="268"/>
      <c r="E722" s="268"/>
      <c r="F722" s="268"/>
      <c r="G722" s="268"/>
      <c r="H722" s="268"/>
      <c r="I722" s="268"/>
      <c r="J722" s="268"/>
      <c r="K722" s="268"/>
      <c r="L722" s="309"/>
      <c r="M722" s="268"/>
      <c r="N722" s="268"/>
      <c r="O722" s="310"/>
      <c r="P722" s="268"/>
      <c r="Q722" s="309"/>
      <c r="R722" s="268"/>
      <c r="S722" s="313"/>
      <c r="T722" s="313"/>
      <c r="U722" s="268"/>
      <c r="V722" s="309"/>
      <c r="W722" s="310"/>
      <c r="X722" s="268"/>
      <c r="Y722" s="268"/>
      <c r="Z722" s="268"/>
    </row>
    <row r="723" spans="1:26" ht="24.75" customHeight="1">
      <c r="A723" s="268"/>
      <c r="B723" s="268"/>
      <c r="C723" s="268"/>
      <c r="D723" s="268"/>
      <c r="E723" s="268"/>
      <c r="F723" s="268"/>
      <c r="G723" s="268"/>
      <c r="H723" s="268"/>
      <c r="I723" s="268"/>
      <c r="J723" s="268"/>
      <c r="K723" s="268"/>
      <c r="L723" s="309"/>
      <c r="M723" s="268"/>
      <c r="N723" s="268"/>
      <c r="O723" s="310"/>
      <c r="P723" s="268"/>
      <c r="Q723" s="309"/>
      <c r="R723" s="268"/>
      <c r="S723" s="313"/>
      <c r="T723" s="313"/>
      <c r="U723" s="268"/>
      <c r="V723" s="309"/>
      <c r="W723" s="310"/>
      <c r="X723" s="268"/>
      <c r="Y723" s="268"/>
      <c r="Z723" s="268"/>
    </row>
    <row r="724" spans="1:26" ht="24.75" customHeight="1">
      <c r="A724" s="268"/>
      <c r="B724" s="268"/>
      <c r="C724" s="268"/>
      <c r="D724" s="268"/>
      <c r="E724" s="268"/>
      <c r="F724" s="268"/>
      <c r="G724" s="268"/>
      <c r="H724" s="268"/>
      <c r="I724" s="268"/>
      <c r="J724" s="268"/>
      <c r="K724" s="268"/>
      <c r="L724" s="309"/>
      <c r="M724" s="268"/>
      <c r="N724" s="268"/>
      <c r="O724" s="310"/>
      <c r="P724" s="268"/>
      <c r="Q724" s="309"/>
      <c r="R724" s="268"/>
      <c r="S724" s="313"/>
      <c r="T724" s="313"/>
      <c r="U724" s="268"/>
      <c r="V724" s="309"/>
      <c r="W724" s="310"/>
      <c r="X724" s="268"/>
      <c r="Y724" s="268"/>
      <c r="Z724" s="268"/>
    </row>
    <row r="725" spans="1:26" ht="24.75" customHeight="1">
      <c r="A725" s="268"/>
      <c r="B725" s="268"/>
      <c r="C725" s="268"/>
      <c r="D725" s="268"/>
      <c r="E725" s="268"/>
      <c r="F725" s="268"/>
      <c r="G725" s="268"/>
      <c r="H725" s="268"/>
      <c r="I725" s="268"/>
      <c r="J725" s="268"/>
      <c r="K725" s="268"/>
      <c r="L725" s="309"/>
      <c r="M725" s="268"/>
      <c r="N725" s="268"/>
      <c r="O725" s="310"/>
      <c r="P725" s="268"/>
      <c r="Q725" s="309"/>
      <c r="R725" s="268"/>
      <c r="S725" s="313"/>
      <c r="T725" s="313"/>
      <c r="U725" s="268"/>
      <c r="V725" s="309"/>
      <c r="W725" s="310"/>
      <c r="X725" s="268"/>
      <c r="Y725" s="268"/>
      <c r="Z725" s="268"/>
    </row>
    <row r="726" spans="1:26" ht="24.75" customHeight="1">
      <c r="A726" s="268"/>
      <c r="B726" s="268"/>
      <c r="C726" s="268"/>
      <c r="D726" s="268"/>
      <c r="E726" s="268"/>
      <c r="F726" s="268"/>
      <c r="G726" s="268"/>
      <c r="H726" s="268"/>
      <c r="I726" s="268"/>
      <c r="J726" s="268"/>
      <c r="K726" s="268"/>
      <c r="L726" s="309"/>
      <c r="M726" s="268"/>
      <c r="N726" s="268"/>
      <c r="O726" s="310"/>
      <c r="P726" s="268"/>
      <c r="Q726" s="309"/>
      <c r="R726" s="268"/>
      <c r="S726" s="313"/>
      <c r="T726" s="313"/>
      <c r="U726" s="268"/>
      <c r="V726" s="309"/>
      <c r="W726" s="310"/>
      <c r="X726" s="268"/>
      <c r="Y726" s="268"/>
      <c r="Z726" s="268"/>
    </row>
    <row r="727" spans="1:26" ht="24.75" customHeight="1">
      <c r="A727" s="268"/>
      <c r="B727" s="268"/>
      <c r="C727" s="268"/>
      <c r="D727" s="268"/>
      <c r="E727" s="268"/>
      <c r="F727" s="268"/>
      <c r="G727" s="268"/>
      <c r="H727" s="268"/>
      <c r="I727" s="268"/>
      <c r="J727" s="268"/>
      <c r="K727" s="268"/>
      <c r="L727" s="309"/>
      <c r="M727" s="268"/>
      <c r="N727" s="268"/>
      <c r="O727" s="310"/>
      <c r="P727" s="268"/>
      <c r="Q727" s="309"/>
      <c r="R727" s="268"/>
      <c r="S727" s="313"/>
      <c r="T727" s="313"/>
      <c r="U727" s="268"/>
      <c r="V727" s="309"/>
      <c r="W727" s="310"/>
      <c r="X727" s="268"/>
      <c r="Y727" s="268"/>
      <c r="Z727" s="268"/>
    </row>
    <row r="728" spans="1:26" ht="24.75" customHeight="1">
      <c r="A728" s="268"/>
      <c r="B728" s="268"/>
      <c r="C728" s="268"/>
      <c r="D728" s="268"/>
      <c r="E728" s="268"/>
      <c r="F728" s="268"/>
      <c r="G728" s="268"/>
      <c r="H728" s="268"/>
      <c r="I728" s="268"/>
      <c r="J728" s="268"/>
      <c r="K728" s="268"/>
      <c r="L728" s="309"/>
      <c r="M728" s="268"/>
      <c r="N728" s="268"/>
      <c r="O728" s="310"/>
      <c r="P728" s="268"/>
      <c r="Q728" s="309"/>
      <c r="R728" s="268"/>
      <c r="S728" s="313"/>
      <c r="T728" s="313"/>
      <c r="U728" s="268"/>
      <c r="V728" s="309"/>
      <c r="W728" s="310"/>
      <c r="X728" s="268"/>
      <c r="Y728" s="268"/>
      <c r="Z728" s="268"/>
    </row>
    <row r="729" spans="1:26" ht="24.75" customHeight="1">
      <c r="A729" s="268"/>
      <c r="B729" s="268"/>
      <c r="C729" s="268"/>
      <c r="D729" s="268"/>
      <c r="E729" s="268"/>
      <c r="F729" s="268"/>
      <c r="G729" s="268"/>
      <c r="H729" s="268"/>
      <c r="I729" s="268"/>
      <c r="J729" s="268"/>
      <c r="K729" s="268"/>
      <c r="L729" s="309"/>
      <c r="M729" s="268"/>
      <c r="N729" s="268"/>
      <c r="O729" s="310"/>
      <c r="P729" s="268"/>
      <c r="Q729" s="309"/>
      <c r="R729" s="268"/>
      <c r="S729" s="313"/>
      <c r="T729" s="313"/>
      <c r="U729" s="268"/>
      <c r="V729" s="309"/>
      <c r="W729" s="310"/>
      <c r="X729" s="268"/>
      <c r="Y729" s="268"/>
      <c r="Z729" s="268"/>
    </row>
    <row r="730" spans="1:26" ht="24.75" customHeight="1">
      <c r="A730" s="268"/>
      <c r="B730" s="268"/>
      <c r="C730" s="268"/>
      <c r="D730" s="268"/>
      <c r="E730" s="268"/>
      <c r="F730" s="268"/>
      <c r="G730" s="268"/>
      <c r="H730" s="268"/>
      <c r="I730" s="268"/>
      <c r="J730" s="268"/>
      <c r="K730" s="268"/>
      <c r="L730" s="309"/>
      <c r="M730" s="268"/>
      <c r="N730" s="268"/>
      <c r="O730" s="310"/>
      <c r="P730" s="268"/>
      <c r="Q730" s="309"/>
      <c r="R730" s="268"/>
      <c r="S730" s="313"/>
      <c r="T730" s="313"/>
      <c r="U730" s="268"/>
      <c r="V730" s="309"/>
      <c r="W730" s="310"/>
      <c r="X730" s="268"/>
      <c r="Y730" s="268"/>
      <c r="Z730" s="268"/>
    </row>
    <row r="731" spans="1:26" ht="24.75" customHeight="1">
      <c r="A731" s="268"/>
      <c r="B731" s="268"/>
      <c r="C731" s="268"/>
      <c r="D731" s="268"/>
      <c r="E731" s="268"/>
      <c r="F731" s="268"/>
      <c r="G731" s="268"/>
      <c r="H731" s="268"/>
      <c r="I731" s="268"/>
      <c r="J731" s="268"/>
      <c r="K731" s="268"/>
      <c r="L731" s="309"/>
      <c r="M731" s="268"/>
      <c r="N731" s="268"/>
      <c r="O731" s="310"/>
      <c r="P731" s="268"/>
      <c r="Q731" s="309"/>
      <c r="R731" s="268"/>
      <c r="S731" s="313"/>
      <c r="T731" s="313"/>
      <c r="U731" s="268"/>
      <c r="V731" s="309"/>
      <c r="W731" s="310"/>
      <c r="X731" s="268"/>
      <c r="Y731" s="268"/>
      <c r="Z731" s="268"/>
    </row>
    <row r="732" spans="1:26" ht="24.75" customHeight="1">
      <c r="A732" s="268"/>
      <c r="B732" s="268"/>
      <c r="C732" s="268"/>
      <c r="D732" s="268"/>
      <c r="E732" s="268"/>
      <c r="F732" s="268"/>
      <c r="G732" s="268"/>
      <c r="H732" s="268"/>
      <c r="I732" s="268"/>
      <c r="J732" s="268"/>
      <c r="K732" s="268"/>
      <c r="L732" s="309"/>
      <c r="M732" s="268"/>
      <c r="N732" s="268"/>
      <c r="O732" s="310"/>
      <c r="P732" s="268"/>
      <c r="Q732" s="309"/>
      <c r="R732" s="268"/>
      <c r="S732" s="313"/>
      <c r="T732" s="313"/>
      <c r="U732" s="268"/>
      <c r="V732" s="309"/>
      <c r="W732" s="310"/>
      <c r="X732" s="268"/>
      <c r="Y732" s="268"/>
      <c r="Z732" s="268"/>
    </row>
    <row r="733" spans="1:26" ht="24.75" customHeight="1">
      <c r="A733" s="268"/>
      <c r="B733" s="268"/>
      <c r="C733" s="268"/>
      <c r="D733" s="268"/>
      <c r="E733" s="268"/>
      <c r="F733" s="268"/>
      <c r="G733" s="268"/>
      <c r="H733" s="268"/>
      <c r="I733" s="268"/>
      <c r="J733" s="268"/>
      <c r="K733" s="268"/>
      <c r="L733" s="309"/>
      <c r="M733" s="268"/>
      <c r="N733" s="268"/>
      <c r="O733" s="310"/>
      <c r="P733" s="268"/>
      <c r="Q733" s="309"/>
      <c r="R733" s="268"/>
      <c r="S733" s="313"/>
      <c r="T733" s="313"/>
      <c r="U733" s="268"/>
      <c r="V733" s="309"/>
      <c r="W733" s="310"/>
      <c r="X733" s="268"/>
      <c r="Y733" s="268"/>
      <c r="Z733" s="268"/>
    </row>
    <row r="734" spans="1:26" ht="24.75" customHeight="1">
      <c r="A734" s="268"/>
      <c r="B734" s="268"/>
      <c r="C734" s="268"/>
      <c r="D734" s="268"/>
      <c r="E734" s="268"/>
      <c r="F734" s="268"/>
      <c r="G734" s="268"/>
      <c r="H734" s="268"/>
      <c r="I734" s="268"/>
      <c r="J734" s="268"/>
      <c r="K734" s="268"/>
      <c r="L734" s="309"/>
      <c r="M734" s="268"/>
      <c r="N734" s="268"/>
      <c r="O734" s="310"/>
      <c r="P734" s="268"/>
      <c r="Q734" s="309"/>
      <c r="R734" s="268"/>
      <c r="S734" s="313"/>
      <c r="T734" s="313"/>
      <c r="U734" s="268"/>
      <c r="V734" s="309"/>
      <c r="W734" s="310"/>
      <c r="X734" s="268"/>
      <c r="Y734" s="268"/>
      <c r="Z734" s="268"/>
    </row>
    <row r="735" spans="1:26" ht="24.75" customHeight="1">
      <c r="A735" s="268"/>
      <c r="B735" s="268"/>
      <c r="C735" s="268"/>
      <c r="D735" s="268"/>
      <c r="E735" s="268"/>
      <c r="F735" s="268"/>
      <c r="G735" s="268"/>
      <c r="H735" s="268"/>
      <c r="I735" s="268"/>
      <c r="J735" s="268"/>
      <c r="K735" s="268"/>
      <c r="L735" s="309"/>
      <c r="M735" s="268"/>
      <c r="N735" s="268"/>
      <c r="O735" s="310"/>
      <c r="P735" s="268"/>
      <c r="Q735" s="309"/>
      <c r="R735" s="268"/>
      <c r="S735" s="313"/>
      <c r="T735" s="313"/>
      <c r="U735" s="268"/>
      <c r="V735" s="309"/>
      <c r="W735" s="310"/>
      <c r="X735" s="268"/>
      <c r="Y735" s="268"/>
      <c r="Z735" s="268"/>
    </row>
    <row r="736" spans="1:26" ht="24.75" customHeight="1">
      <c r="A736" s="268"/>
      <c r="B736" s="268"/>
      <c r="C736" s="268"/>
      <c r="D736" s="268"/>
      <c r="E736" s="268"/>
      <c r="F736" s="268"/>
      <c r="G736" s="268"/>
      <c r="H736" s="268"/>
      <c r="I736" s="268"/>
      <c r="J736" s="268"/>
      <c r="K736" s="268"/>
      <c r="L736" s="309"/>
      <c r="M736" s="268"/>
      <c r="N736" s="268"/>
      <c r="O736" s="310"/>
      <c r="P736" s="268"/>
      <c r="Q736" s="309"/>
      <c r="R736" s="268"/>
      <c r="S736" s="313"/>
      <c r="T736" s="313"/>
      <c r="U736" s="268"/>
      <c r="V736" s="309"/>
      <c r="W736" s="310"/>
      <c r="X736" s="268"/>
      <c r="Y736" s="268"/>
      <c r="Z736" s="268"/>
    </row>
    <row r="737" spans="1:26" ht="24.75" customHeight="1">
      <c r="A737" s="268"/>
      <c r="B737" s="268"/>
      <c r="C737" s="268"/>
      <c r="D737" s="268"/>
      <c r="E737" s="268"/>
      <c r="F737" s="268"/>
      <c r="G737" s="268"/>
      <c r="H737" s="268"/>
      <c r="I737" s="268"/>
      <c r="J737" s="268"/>
      <c r="K737" s="268"/>
      <c r="L737" s="309"/>
      <c r="M737" s="268"/>
      <c r="N737" s="268"/>
      <c r="O737" s="310"/>
      <c r="P737" s="268"/>
      <c r="Q737" s="309"/>
      <c r="R737" s="268"/>
      <c r="S737" s="313"/>
      <c r="T737" s="313"/>
      <c r="U737" s="268"/>
      <c r="V737" s="309"/>
      <c r="W737" s="310"/>
      <c r="X737" s="268"/>
      <c r="Y737" s="268"/>
      <c r="Z737" s="268"/>
    </row>
    <row r="738" spans="1:26" ht="24.75" customHeight="1">
      <c r="A738" s="268"/>
      <c r="B738" s="268"/>
      <c r="C738" s="268"/>
      <c r="D738" s="268"/>
      <c r="E738" s="268"/>
      <c r="F738" s="268"/>
      <c r="G738" s="268"/>
      <c r="H738" s="268"/>
      <c r="I738" s="268"/>
      <c r="J738" s="268"/>
      <c r="K738" s="268"/>
      <c r="L738" s="309"/>
      <c r="M738" s="268"/>
      <c r="N738" s="268"/>
      <c r="O738" s="310"/>
      <c r="P738" s="268"/>
      <c r="Q738" s="309"/>
      <c r="R738" s="268"/>
      <c r="S738" s="313"/>
      <c r="T738" s="313"/>
      <c r="U738" s="268"/>
      <c r="V738" s="309"/>
      <c r="W738" s="310"/>
      <c r="X738" s="268"/>
      <c r="Y738" s="268"/>
      <c r="Z738" s="268"/>
    </row>
    <row r="739" spans="1:26" ht="24.75" customHeight="1">
      <c r="A739" s="268"/>
      <c r="B739" s="268"/>
      <c r="C739" s="268"/>
      <c r="D739" s="268"/>
      <c r="E739" s="268"/>
      <c r="F739" s="268"/>
      <c r="G739" s="268"/>
      <c r="H739" s="268"/>
      <c r="I739" s="268"/>
      <c r="J739" s="268"/>
      <c r="K739" s="268"/>
      <c r="L739" s="309"/>
      <c r="M739" s="268"/>
      <c r="N739" s="268"/>
      <c r="O739" s="310"/>
      <c r="P739" s="268"/>
      <c r="Q739" s="309"/>
      <c r="R739" s="268"/>
      <c r="S739" s="313"/>
      <c r="T739" s="313"/>
      <c r="U739" s="268"/>
      <c r="V739" s="309"/>
      <c r="W739" s="310"/>
      <c r="X739" s="268"/>
      <c r="Y739" s="268"/>
      <c r="Z739" s="268"/>
    </row>
    <row r="740" spans="1:26" ht="24.75" customHeight="1">
      <c r="A740" s="268"/>
      <c r="B740" s="268"/>
      <c r="C740" s="268"/>
      <c r="D740" s="268"/>
      <c r="E740" s="268"/>
      <c r="F740" s="268"/>
      <c r="G740" s="268"/>
      <c r="H740" s="268"/>
      <c r="I740" s="268"/>
      <c r="J740" s="268"/>
      <c r="K740" s="268"/>
      <c r="L740" s="309"/>
      <c r="M740" s="268"/>
      <c r="N740" s="268"/>
      <c r="O740" s="310"/>
      <c r="P740" s="268"/>
      <c r="Q740" s="309"/>
      <c r="R740" s="268"/>
      <c r="S740" s="313"/>
      <c r="T740" s="313"/>
      <c r="U740" s="268"/>
      <c r="V740" s="309"/>
      <c r="W740" s="310"/>
      <c r="X740" s="268"/>
      <c r="Y740" s="268"/>
      <c r="Z740" s="268"/>
    </row>
    <row r="741" spans="1:26" ht="24.75" customHeight="1">
      <c r="A741" s="268"/>
      <c r="B741" s="268"/>
      <c r="C741" s="268"/>
      <c r="D741" s="268"/>
      <c r="E741" s="268"/>
      <c r="F741" s="268"/>
      <c r="G741" s="268"/>
      <c r="H741" s="268"/>
      <c r="I741" s="268"/>
      <c r="J741" s="268"/>
      <c r="K741" s="268"/>
      <c r="L741" s="309"/>
      <c r="M741" s="268"/>
      <c r="N741" s="268"/>
      <c r="O741" s="310"/>
      <c r="P741" s="268"/>
      <c r="Q741" s="309"/>
      <c r="R741" s="268"/>
      <c r="S741" s="313"/>
      <c r="T741" s="313"/>
      <c r="U741" s="268"/>
      <c r="V741" s="309"/>
      <c r="W741" s="310"/>
      <c r="X741" s="268"/>
      <c r="Y741" s="268"/>
      <c r="Z741" s="268"/>
    </row>
    <row r="742" spans="1:26" ht="24.75" customHeight="1">
      <c r="A742" s="268"/>
      <c r="B742" s="268"/>
      <c r="C742" s="268"/>
      <c r="D742" s="268"/>
      <c r="E742" s="268"/>
      <c r="F742" s="268"/>
      <c r="G742" s="268"/>
      <c r="H742" s="268"/>
      <c r="I742" s="268"/>
      <c r="J742" s="268"/>
      <c r="K742" s="268"/>
      <c r="L742" s="309"/>
      <c r="M742" s="268"/>
      <c r="N742" s="268"/>
      <c r="O742" s="310"/>
      <c r="P742" s="268"/>
      <c r="Q742" s="309"/>
      <c r="R742" s="268"/>
      <c r="S742" s="313"/>
      <c r="T742" s="313"/>
      <c r="U742" s="268"/>
      <c r="V742" s="309"/>
      <c r="W742" s="310"/>
      <c r="X742" s="268"/>
      <c r="Y742" s="268"/>
      <c r="Z742" s="268"/>
    </row>
    <row r="743" spans="1:26" ht="24.75" customHeight="1">
      <c r="A743" s="268"/>
      <c r="B743" s="268"/>
      <c r="C743" s="268"/>
      <c r="D743" s="268"/>
      <c r="E743" s="268"/>
      <c r="F743" s="268"/>
      <c r="G743" s="268"/>
      <c r="H743" s="268"/>
      <c r="I743" s="268"/>
      <c r="J743" s="268"/>
      <c r="K743" s="268"/>
      <c r="L743" s="309"/>
      <c r="M743" s="268"/>
      <c r="N743" s="268"/>
      <c r="O743" s="310"/>
      <c r="P743" s="268"/>
      <c r="Q743" s="309"/>
      <c r="R743" s="268"/>
      <c r="S743" s="313"/>
      <c r="T743" s="313"/>
      <c r="U743" s="268"/>
      <c r="V743" s="309"/>
      <c r="W743" s="310"/>
      <c r="X743" s="268"/>
      <c r="Y743" s="268"/>
      <c r="Z743" s="268"/>
    </row>
    <row r="744" spans="1:26" ht="24.75" customHeight="1">
      <c r="A744" s="268"/>
      <c r="B744" s="268"/>
      <c r="C744" s="268"/>
      <c r="D744" s="268"/>
      <c r="E744" s="268"/>
      <c r="F744" s="268"/>
      <c r="G744" s="268"/>
      <c r="H744" s="268"/>
      <c r="I744" s="268"/>
      <c r="J744" s="268"/>
      <c r="K744" s="268"/>
      <c r="L744" s="309"/>
      <c r="M744" s="268"/>
      <c r="N744" s="268"/>
      <c r="O744" s="310"/>
      <c r="P744" s="268"/>
      <c r="Q744" s="309"/>
      <c r="R744" s="268"/>
      <c r="S744" s="313"/>
      <c r="T744" s="313"/>
      <c r="U744" s="268"/>
      <c r="V744" s="309"/>
      <c r="W744" s="310"/>
      <c r="X744" s="268"/>
      <c r="Y744" s="268"/>
      <c r="Z744" s="268"/>
    </row>
    <row r="745" spans="1:26" ht="24.75" customHeight="1">
      <c r="A745" s="268"/>
      <c r="B745" s="268"/>
      <c r="C745" s="268"/>
      <c r="D745" s="268"/>
      <c r="E745" s="268"/>
      <c r="F745" s="268"/>
      <c r="G745" s="268"/>
      <c r="H745" s="268"/>
      <c r="I745" s="268"/>
      <c r="J745" s="268"/>
      <c r="K745" s="268"/>
      <c r="L745" s="309"/>
      <c r="M745" s="268"/>
      <c r="N745" s="268"/>
      <c r="O745" s="310"/>
      <c r="P745" s="268"/>
      <c r="Q745" s="309"/>
      <c r="R745" s="268"/>
      <c r="S745" s="313"/>
      <c r="T745" s="313"/>
      <c r="U745" s="268"/>
      <c r="V745" s="309"/>
      <c r="W745" s="310"/>
      <c r="X745" s="268"/>
      <c r="Y745" s="268"/>
      <c r="Z745" s="268"/>
    </row>
    <row r="746" spans="1:26" ht="24.75" customHeight="1">
      <c r="A746" s="268"/>
      <c r="B746" s="268"/>
      <c r="C746" s="268"/>
      <c r="D746" s="268"/>
      <c r="E746" s="268"/>
      <c r="F746" s="268"/>
      <c r="G746" s="268"/>
      <c r="H746" s="268"/>
      <c r="I746" s="268"/>
      <c r="J746" s="268"/>
      <c r="K746" s="268"/>
      <c r="L746" s="309"/>
      <c r="M746" s="268"/>
      <c r="N746" s="268"/>
      <c r="O746" s="310"/>
      <c r="P746" s="268"/>
      <c r="Q746" s="309"/>
      <c r="R746" s="268"/>
      <c r="S746" s="313"/>
      <c r="T746" s="313"/>
      <c r="U746" s="268"/>
      <c r="V746" s="309"/>
      <c r="W746" s="310"/>
      <c r="X746" s="268"/>
      <c r="Y746" s="268"/>
      <c r="Z746" s="268"/>
    </row>
    <row r="747" spans="1:26" ht="24.75" customHeight="1">
      <c r="A747" s="268"/>
      <c r="B747" s="268"/>
      <c r="C747" s="268"/>
      <c r="D747" s="268"/>
      <c r="E747" s="268"/>
      <c r="F747" s="268"/>
      <c r="G747" s="268"/>
      <c r="H747" s="268"/>
      <c r="I747" s="268"/>
      <c r="J747" s="268"/>
      <c r="K747" s="268"/>
      <c r="L747" s="309"/>
      <c r="M747" s="268"/>
      <c r="N747" s="268"/>
      <c r="O747" s="310"/>
      <c r="P747" s="268"/>
      <c r="Q747" s="309"/>
      <c r="R747" s="268"/>
      <c r="S747" s="313"/>
      <c r="T747" s="313"/>
      <c r="U747" s="268"/>
      <c r="V747" s="309"/>
      <c r="W747" s="310"/>
      <c r="X747" s="268"/>
      <c r="Y747" s="268"/>
      <c r="Z747" s="268"/>
    </row>
    <row r="748" spans="1:26" ht="24.75" customHeight="1">
      <c r="A748" s="268"/>
      <c r="B748" s="268"/>
      <c r="C748" s="268"/>
      <c r="D748" s="268"/>
      <c r="E748" s="268"/>
      <c r="F748" s="268"/>
      <c r="G748" s="268"/>
      <c r="H748" s="268"/>
      <c r="I748" s="268"/>
      <c r="J748" s="268"/>
      <c r="K748" s="268"/>
      <c r="L748" s="309"/>
      <c r="M748" s="268"/>
      <c r="N748" s="268"/>
      <c r="O748" s="310"/>
      <c r="P748" s="268"/>
      <c r="Q748" s="309"/>
      <c r="R748" s="268"/>
      <c r="S748" s="313"/>
      <c r="T748" s="313"/>
      <c r="U748" s="268"/>
      <c r="V748" s="309"/>
      <c r="W748" s="310"/>
      <c r="X748" s="268"/>
      <c r="Y748" s="268"/>
      <c r="Z748" s="268"/>
    </row>
    <row r="749" spans="1:26" ht="24.75" customHeight="1">
      <c r="A749" s="268"/>
      <c r="B749" s="268"/>
      <c r="C749" s="268"/>
      <c r="D749" s="268"/>
      <c r="E749" s="268"/>
      <c r="F749" s="268"/>
      <c r="G749" s="268"/>
      <c r="H749" s="268"/>
      <c r="I749" s="268"/>
      <c r="J749" s="268"/>
      <c r="K749" s="268"/>
      <c r="L749" s="309"/>
      <c r="M749" s="268"/>
      <c r="N749" s="268"/>
      <c r="O749" s="310"/>
      <c r="P749" s="268"/>
      <c r="Q749" s="309"/>
      <c r="R749" s="268"/>
      <c r="S749" s="313"/>
      <c r="T749" s="313"/>
      <c r="U749" s="268"/>
      <c r="V749" s="309"/>
      <c r="W749" s="310"/>
      <c r="X749" s="268"/>
      <c r="Y749" s="268"/>
      <c r="Z749" s="268"/>
    </row>
    <row r="750" spans="1:26" ht="24.75" customHeight="1">
      <c r="A750" s="268"/>
      <c r="B750" s="268"/>
      <c r="C750" s="268"/>
      <c r="D750" s="268"/>
      <c r="E750" s="268"/>
      <c r="F750" s="268"/>
      <c r="G750" s="268"/>
      <c r="H750" s="268"/>
      <c r="I750" s="268"/>
      <c r="J750" s="268"/>
      <c r="K750" s="268"/>
      <c r="L750" s="309"/>
      <c r="M750" s="268"/>
      <c r="N750" s="268"/>
      <c r="O750" s="310"/>
      <c r="P750" s="268"/>
      <c r="Q750" s="309"/>
      <c r="R750" s="268"/>
      <c r="S750" s="313"/>
      <c r="T750" s="313"/>
      <c r="U750" s="268"/>
      <c r="V750" s="309"/>
      <c r="W750" s="310"/>
      <c r="X750" s="268"/>
      <c r="Y750" s="268"/>
      <c r="Z750" s="268"/>
    </row>
    <row r="751" spans="1:26" ht="24.75" customHeight="1">
      <c r="A751" s="268"/>
      <c r="B751" s="268"/>
      <c r="C751" s="268"/>
      <c r="D751" s="268"/>
      <c r="E751" s="268"/>
      <c r="F751" s="268"/>
      <c r="G751" s="268"/>
      <c r="H751" s="268"/>
      <c r="I751" s="268"/>
      <c r="J751" s="268"/>
      <c r="K751" s="268"/>
      <c r="L751" s="309"/>
      <c r="M751" s="268"/>
      <c r="N751" s="268"/>
      <c r="O751" s="310"/>
      <c r="P751" s="268"/>
      <c r="Q751" s="309"/>
      <c r="R751" s="268"/>
      <c r="S751" s="313"/>
      <c r="T751" s="313"/>
      <c r="U751" s="268"/>
      <c r="V751" s="309"/>
      <c r="W751" s="310"/>
      <c r="X751" s="268"/>
      <c r="Y751" s="268"/>
      <c r="Z751" s="268"/>
    </row>
    <row r="752" spans="1:26" ht="24.75" customHeight="1">
      <c r="A752" s="268"/>
      <c r="B752" s="268"/>
      <c r="C752" s="268"/>
      <c r="D752" s="268"/>
      <c r="E752" s="268"/>
      <c r="F752" s="268"/>
      <c r="G752" s="268"/>
      <c r="H752" s="268"/>
      <c r="I752" s="268"/>
      <c r="J752" s="268"/>
      <c r="K752" s="268"/>
      <c r="L752" s="309"/>
      <c r="M752" s="268"/>
      <c r="N752" s="268"/>
      <c r="O752" s="310"/>
      <c r="P752" s="268"/>
      <c r="Q752" s="309"/>
      <c r="R752" s="268"/>
      <c r="S752" s="313"/>
      <c r="T752" s="313"/>
      <c r="U752" s="268"/>
      <c r="V752" s="309"/>
      <c r="W752" s="310"/>
      <c r="X752" s="268"/>
      <c r="Y752" s="268"/>
      <c r="Z752" s="268"/>
    </row>
    <row r="753" spans="1:26" ht="24.75" customHeight="1">
      <c r="A753" s="268"/>
      <c r="B753" s="268"/>
      <c r="C753" s="268"/>
      <c r="D753" s="268"/>
      <c r="E753" s="268"/>
      <c r="F753" s="268"/>
      <c r="G753" s="268"/>
      <c r="H753" s="268"/>
      <c r="I753" s="268"/>
      <c r="J753" s="268"/>
      <c r="K753" s="268"/>
      <c r="L753" s="309"/>
      <c r="M753" s="268"/>
      <c r="N753" s="268"/>
      <c r="O753" s="310"/>
      <c r="P753" s="268"/>
      <c r="Q753" s="309"/>
      <c r="R753" s="268"/>
      <c r="S753" s="313"/>
      <c r="T753" s="313"/>
      <c r="U753" s="268"/>
      <c r="V753" s="309"/>
      <c r="W753" s="310"/>
      <c r="X753" s="268"/>
      <c r="Y753" s="268"/>
      <c r="Z753" s="268"/>
    </row>
    <row r="754" spans="1:26" ht="24.75" customHeight="1">
      <c r="A754" s="268"/>
      <c r="B754" s="268"/>
      <c r="C754" s="268"/>
      <c r="D754" s="268"/>
      <c r="E754" s="268"/>
      <c r="F754" s="268"/>
      <c r="G754" s="268"/>
      <c r="H754" s="268"/>
      <c r="I754" s="268"/>
      <c r="J754" s="268"/>
      <c r="K754" s="268"/>
      <c r="L754" s="309"/>
      <c r="M754" s="268"/>
      <c r="N754" s="268"/>
      <c r="O754" s="310"/>
      <c r="P754" s="268"/>
      <c r="Q754" s="309"/>
      <c r="R754" s="268"/>
      <c r="S754" s="313"/>
      <c r="T754" s="313"/>
      <c r="U754" s="268"/>
      <c r="V754" s="309"/>
      <c r="W754" s="310"/>
      <c r="X754" s="268"/>
      <c r="Y754" s="268"/>
      <c r="Z754" s="268"/>
    </row>
    <row r="755" spans="1:26" ht="24.75" customHeight="1">
      <c r="A755" s="268"/>
      <c r="B755" s="268"/>
      <c r="C755" s="268"/>
      <c r="D755" s="268"/>
      <c r="E755" s="268"/>
      <c r="F755" s="268"/>
      <c r="G755" s="268"/>
      <c r="H755" s="268"/>
      <c r="I755" s="268"/>
      <c r="J755" s="268"/>
      <c r="K755" s="268"/>
      <c r="L755" s="309"/>
      <c r="M755" s="268"/>
      <c r="N755" s="268"/>
      <c r="O755" s="310"/>
      <c r="P755" s="268"/>
      <c r="Q755" s="309"/>
      <c r="R755" s="268"/>
      <c r="S755" s="313"/>
      <c r="T755" s="313"/>
      <c r="U755" s="268"/>
      <c r="V755" s="309"/>
      <c r="W755" s="310"/>
      <c r="X755" s="268"/>
      <c r="Y755" s="268"/>
      <c r="Z755" s="268"/>
    </row>
    <row r="756" spans="1:26" ht="24.75" customHeight="1">
      <c r="A756" s="268"/>
      <c r="B756" s="268"/>
      <c r="C756" s="268"/>
      <c r="D756" s="268"/>
      <c r="E756" s="268"/>
      <c r="F756" s="268"/>
      <c r="G756" s="268"/>
      <c r="H756" s="268"/>
      <c r="I756" s="268"/>
      <c r="J756" s="268"/>
      <c r="K756" s="268"/>
      <c r="L756" s="309"/>
      <c r="M756" s="268"/>
      <c r="N756" s="268"/>
      <c r="O756" s="310"/>
      <c r="P756" s="268"/>
      <c r="Q756" s="309"/>
      <c r="R756" s="268"/>
      <c r="S756" s="313"/>
      <c r="T756" s="313"/>
      <c r="U756" s="268"/>
      <c r="V756" s="309"/>
      <c r="W756" s="310"/>
      <c r="X756" s="268"/>
      <c r="Y756" s="268"/>
      <c r="Z756" s="268"/>
    </row>
    <row r="757" spans="1:26" ht="24.75" customHeight="1">
      <c r="A757" s="268"/>
      <c r="B757" s="268"/>
      <c r="C757" s="268"/>
      <c r="D757" s="268"/>
      <c r="E757" s="268"/>
      <c r="F757" s="268"/>
      <c r="G757" s="268"/>
      <c r="H757" s="268"/>
      <c r="I757" s="268"/>
      <c r="J757" s="268"/>
      <c r="K757" s="268"/>
      <c r="L757" s="309"/>
      <c r="M757" s="268"/>
      <c r="N757" s="268"/>
      <c r="O757" s="310"/>
      <c r="P757" s="268"/>
      <c r="Q757" s="309"/>
      <c r="R757" s="268"/>
      <c r="S757" s="313"/>
      <c r="T757" s="313"/>
      <c r="U757" s="268"/>
      <c r="V757" s="309"/>
      <c r="W757" s="310"/>
      <c r="X757" s="268"/>
      <c r="Y757" s="268"/>
      <c r="Z757" s="268"/>
    </row>
    <row r="758" spans="1:26" ht="24.75" customHeight="1">
      <c r="A758" s="268"/>
      <c r="B758" s="268"/>
      <c r="C758" s="268"/>
      <c r="D758" s="268"/>
      <c r="E758" s="268"/>
      <c r="F758" s="268"/>
      <c r="G758" s="268"/>
      <c r="H758" s="268"/>
      <c r="I758" s="268"/>
      <c r="J758" s="268"/>
      <c r="K758" s="268"/>
      <c r="L758" s="309"/>
      <c r="M758" s="268"/>
      <c r="N758" s="268"/>
      <c r="O758" s="310"/>
      <c r="P758" s="268"/>
      <c r="Q758" s="309"/>
      <c r="R758" s="268"/>
      <c r="S758" s="313"/>
      <c r="T758" s="313"/>
      <c r="U758" s="268"/>
      <c r="V758" s="309"/>
      <c r="W758" s="310"/>
      <c r="X758" s="268"/>
      <c r="Y758" s="268"/>
      <c r="Z758" s="268"/>
    </row>
    <row r="759" spans="1:26" ht="24.75" customHeight="1">
      <c r="A759" s="268"/>
      <c r="B759" s="268"/>
      <c r="C759" s="268"/>
      <c r="D759" s="268"/>
      <c r="E759" s="268"/>
      <c r="F759" s="268"/>
      <c r="G759" s="268"/>
      <c r="H759" s="268"/>
      <c r="I759" s="268"/>
      <c r="J759" s="268"/>
      <c r="K759" s="268"/>
      <c r="L759" s="309"/>
      <c r="M759" s="268"/>
      <c r="N759" s="268"/>
      <c r="O759" s="310"/>
      <c r="P759" s="268"/>
      <c r="Q759" s="309"/>
      <c r="R759" s="268"/>
      <c r="S759" s="313"/>
      <c r="T759" s="313"/>
      <c r="U759" s="268"/>
      <c r="V759" s="309"/>
      <c r="W759" s="310"/>
      <c r="X759" s="268"/>
      <c r="Y759" s="268"/>
      <c r="Z759" s="268"/>
    </row>
    <row r="760" spans="1:26" ht="24.75" customHeight="1">
      <c r="A760" s="268"/>
      <c r="B760" s="268"/>
      <c r="C760" s="268"/>
      <c r="D760" s="268"/>
      <c r="E760" s="268"/>
      <c r="F760" s="268"/>
      <c r="G760" s="268"/>
      <c r="H760" s="268"/>
      <c r="I760" s="268"/>
      <c r="J760" s="268"/>
      <c r="K760" s="268"/>
      <c r="L760" s="309"/>
      <c r="M760" s="268"/>
      <c r="N760" s="268"/>
      <c r="O760" s="310"/>
      <c r="P760" s="268"/>
      <c r="Q760" s="309"/>
      <c r="R760" s="268"/>
      <c r="S760" s="313"/>
      <c r="T760" s="313"/>
      <c r="U760" s="268"/>
      <c r="V760" s="309"/>
      <c r="W760" s="310"/>
      <c r="X760" s="268"/>
      <c r="Y760" s="268"/>
      <c r="Z760" s="268"/>
    </row>
    <row r="761" spans="1:26" ht="24.75" customHeight="1">
      <c r="A761" s="268"/>
      <c r="B761" s="268"/>
      <c r="C761" s="268"/>
      <c r="D761" s="268"/>
      <c r="E761" s="268"/>
      <c r="F761" s="268"/>
      <c r="G761" s="268"/>
      <c r="H761" s="268"/>
      <c r="I761" s="268"/>
      <c r="J761" s="268"/>
      <c r="K761" s="268"/>
      <c r="L761" s="309"/>
      <c r="M761" s="268"/>
      <c r="N761" s="268"/>
      <c r="O761" s="310"/>
      <c r="P761" s="268"/>
      <c r="Q761" s="309"/>
      <c r="R761" s="268"/>
      <c r="S761" s="313"/>
      <c r="T761" s="313"/>
      <c r="U761" s="268"/>
      <c r="V761" s="309"/>
      <c r="W761" s="310"/>
      <c r="X761" s="268"/>
      <c r="Y761" s="268"/>
      <c r="Z761" s="268"/>
    </row>
    <row r="762" spans="1:26" ht="24.75" customHeight="1">
      <c r="A762" s="268"/>
      <c r="B762" s="268"/>
      <c r="C762" s="268"/>
      <c r="D762" s="268"/>
      <c r="E762" s="268"/>
      <c r="F762" s="268"/>
      <c r="G762" s="268"/>
      <c r="H762" s="268"/>
      <c r="I762" s="268"/>
      <c r="J762" s="268"/>
      <c r="K762" s="268"/>
      <c r="L762" s="309"/>
      <c r="M762" s="268"/>
      <c r="N762" s="268"/>
      <c r="O762" s="310"/>
      <c r="P762" s="268"/>
      <c r="Q762" s="309"/>
      <c r="R762" s="268"/>
      <c r="S762" s="313"/>
      <c r="T762" s="313"/>
      <c r="U762" s="268"/>
      <c r="V762" s="309"/>
      <c r="W762" s="310"/>
      <c r="X762" s="268"/>
      <c r="Y762" s="268"/>
      <c r="Z762" s="268"/>
    </row>
    <row r="763" spans="1:26" ht="24.75" customHeight="1">
      <c r="A763" s="268"/>
      <c r="B763" s="268"/>
      <c r="C763" s="268"/>
      <c r="D763" s="268"/>
      <c r="E763" s="268"/>
      <c r="F763" s="268"/>
      <c r="G763" s="268"/>
      <c r="H763" s="268"/>
      <c r="I763" s="268"/>
      <c r="J763" s="268"/>
      <c r="K763" s="268"/>
      <c r="L763" s="309"/>
      <c r="M763" s="268"/>
      <c r="N763" s="268"/>
      <c r="O763" s="310"/>
      <c r="P763" s="268"/>
      <c r="Q763" s="309"/>
      <c r="R763" s="268"/>
      <c r="S763" s="313"/>
      <c r="T763" s="313"/>
      <c r="U763" s="268"/>
      <c r="V763" s="309"/>
      <c r="W763" s="310"/>
      <c r="X763" s="268"/>
      <c r="Y763" s="268"/>
      <c r="Z763" s="268"/>
    </row>
    <row r="764" spans="1:26" ht="24.75" customHeight="1">
      <c r="A764" s="268"/>
      <c r="B764" s="268"/>
      <c r="C764" s="268"/>
      <c r="D764" s="268"/>
      <c r="E764" s="268"/>
      <c r="F764" s="268"/>
      <c r="G764" s="268"/>
      <c r="H764" s="268"/>
      <c r="I764" s="268"/>
      <c r="J764" s="268"/>
      <c r="K764" s="268"/>
      <c r="L764" s="309"/>
      <c r="M764" s="268"/>
      <c r="N764" s="268"/>
      <c r="O764" s="310"/>
      <c r="P764" s="268"/>
      <c r="Q764" s="309"/>
      <c r="R764" s="268"/>
      <c r="S764" s="313"/>
      <c r="T764" s="313"/>
      <c r="U764" s="268"/>
      <c r="V764" s="309"/>
      <c r="W764" s="310"/>
      <c r="X764" s="268"/>
      <c r="Y764" s="268"/>
      <c r="Z764" s="268"/>
    </row>
    <row r="765" spans="1:26" ht="24.75" customHeight="1">
      <c r="A765" s="268"/>
      <c r="B765" s="268"/>
      <c r="C765" s="268"/>
      <c r="D765" s="268"/>
      <c r="E765" s="268"/>
      <c r="F765" s="268"/>
      <c r="G765" s="268"/>
      <c r="H765" s="268"/>
      <c r="I765" s="268"/>
      <c r="J765" s="268"/>
      <c r="K765" s="268"/>
      <c r="L765" s="309"/>
      <c r="M765" s="268"/>
      <c r="N765" s="268"/>
      <c r="O765" s="310"/>
      <c r="P765" s="268"/>
      <c r="Q765" s="309"/>
      <c r="R765" s="268"/>
      <c r="S765" s="313"/>
      <c r="T765" s="313"/>
      <c r="U765" s="268"/>
      <c r="V765" s="309"/>
      <c r="W765" s="310"/>
      <c r="X765" s="268"/>
      <c r="Y765" s="268"/>
      <c r="Z765" s="268"/>
    </row>
    <row r="766" spans="1:26" ht="24.75" customHeight="1">
      <c r="A766" s="268"/>
      <c r="B766" s="268"/>
      <c r="C766" s="268"/>
      <c r="D766" s="268"/>
      <c r="E766" s="268"/>
      <c r="F766" s="268"/>
      <c r="G766" s="268"/>
      <c r="H766" s="268"/>
      <c r="I766" s="268"/>
      <c r="J766" s="268"/>
      <c r="K766" s="268"/>
      <c r="L766" s="309"/>
      <c r="M766" s="268"/>
      <c r="N766" s="268"/>
      <c r="O766" s="310"/>
      <c r="P766" s="268"/>
      <c r="Q766" s="309"/>
      <c r="R766" s="268"/>
      <c r="S766" s="313"/>
      <c r="T766" s="313"/>
      <c r="U766" s="268"/>
      <c r="V766" s="309"/>
      <c r="W766" s="310"/>
      <c r="X766" s="268"/>
      <c r="Y766" s="268"/>
      <c r="Z766" s="268"/>
    </row>
    <row r="767" spans="1:26" ht="24.75" customHeight="1">
      <c r="A767" s="268"/>
      <c r="B767" s="268"/>
      <c r="C767" s="268"/>
      <c r="D767" s="268"/>
      <c r="E767" s="268"/>
      <c r="F767" s="268"/>
      <c r="G767" s="268"/>
      <c r="H767" s="268"/>
      <c r="I767" s="268"/>
      <c r="J767" s="268"/>
      <c r="K767" s="268"/>
      <c r="L767" s="309"/>
      <c r="M767" s="268"/>
      <c r="N767" s="268"/>
      <c r="O767" s="310"/>
      <c r="P767" s="268"/>
      <c r="Q767" s="309"/>
      <c r="R767" s="268"/>
      <c r="S767" s="313"/>
      <c r="T767" s="313"/>
      <c r="U767" s="268"/>
      <c r="V767" s="309"/>
      <c r="W767" s="310"/>
      <c r="X767" s="268"/>
      <c r="Y767" s="268"/>
      <c r="Z767" s="268"/>
    </row>
    <row r="768" spans="1:26" ht="24.75" customHeight="1">
      <c r="A768" s="268"/>
      <c r="B768" s="268"/>
      <c r="C768" s="268"/>
      <c r="D768" s="268"/>
      <c r="E768" s="268"/>
      <c r="F768" s="268"/>
      <c r="G768" s="268"/>
      <c r="H768" s="268"/>
      <c r="I768" s="268"/>
      <c r="J768" s="268"/>
      <c r="K768" s="268"/>
      <c r="L768" s="309"/>
      <c r="M768" s="268"/>
      <c r="N768" s="268"/>
      <c r="O768" s="310"/>
      <c r="P768" s="268"/>
      <c r="Q768" s="309"/>
      <c r="R768" s="268"/>
      <c r="S768" s="313"/>
      <c r="T768" s="313"/>
      <c r="U768" s="268"/>
      <c r="V768" s="309"/>
      <c r="W768" s="310"/>
      <c r="X768" s="268"/>
      <c r="Y768" s="268"/>
      <c r="Z768" s="268"/>
    </row>
    <row r="769" spans="1:26" ht="24.75" customHeight="1">
      <c r="A769" s="268"/>
      <c r="B769" s="268"/>
      <c r="C769" s="268"/>
      <c r="D769" s="268"/>
      <c r="E769" s="268"/>
      <c r="F769" s="268"/>
      <c r="G769" s="268"/>
      <c r="H769" s="268"/>
      <c r="I769" s="268"/>
      <c r="J769" s="268"/>
      <c r="K769" s="268"/>
      <c r="L769" s="309"/>
      <c r="M769" s="268"/>
      <c r="N769" s="268"/>
      <c r="O769" s="310"/>
      <c r="P769" s="268"/>
      <c r="Q769" s="309"/>
      <c r="R769" s="268"/>
      <c r="S769" s="313"/>
      <c r="T769" s="313"/>
      <c r="U769" s="268"/>
      <c r="V769" s="309"/>
      <c r="W769" s="310"/>
      <c r="X769" s="268"/>
      <c r="Y769" s="268"/>
      <c r="Z769" s="268"/>
    </row>
    <row r="770" spans="1:26" ht="24.75" customHeight="1">
      <c r="A770" s="268"/>
      <c r="B770" s="268"/>
      <c r="C770" s="268"/>
      <c r="D770" s="268"/>
      <c r="E770" s="268"/>
      <c r="F770" s="268"/>
      <c r="G770" s="268"/>
      <c r="H770" s="268"/>
      <c r="I770" s="268"/>
      <c r="J770" s="268"/>
      <c r="K770" s="268"/>
      <c r="L770" s="309"/>
      <c r="M770" s="268"/>
      <c r="N770" s="268"/>
      <c r="O770" s="310"/>
      <c r="P770" s="268"/>
      <c r="Q770" s="309"/>
      <c r="R770" s="268"/>
      <c r="S770" s="313"/>
      <c r="T770" s="313"/>
      <c r="U770" s="268"/>
      <c r="V770" s="309"/>
      <c r="W770" s="310"/>
      <c r="X770" s="268"/>
      <c r="Y770" s="268"/>
      <c r="Z770" s="268"/>
    </row>
    <row r="771" spans="1:26" ht="24.75" customHeight="1">
      <c r="A771" s="268"/>
      <c r="B771" s="268"/>
      <c r="C771" s="268"/>
      <c r="D771" s="268"/>
      <c r="E771" s="268"/>
      <c r="F771" s="268"/>
      <c r="G771" s="268"/>
      <c r="H771" s="268"/>
      <c r="I771" s="268"/>
      <c r="J771" s="268"/>
      <c r="K771" s="268"/>
      <c r="L771" s="309"/>
      <c r="M771" s="268"/>
      <c r="N771" s="268"/>
      <c r="O771" s="310"/>
      <c r="P771" s="268"/>
      <c r="Q771" s="309"/>
      <c r="R771" s="268"/>
      <c r="S771" s="313"/>
      <c r="T771" s="313"/>
      <c r="U771" s="268"/>
      <c r="V771" s="309"/>
      <c r="W771" s="310"/>
      <c r="X771" s="268"/>
      <c r="Y771" s="268"/>
      <c r="Z771" s="268"/>
    </row>
    <row r="772" spans="1:26" ht="24.75" customHeight="1">
      <c r="A772" s="268"/>
      <c r="B772" s="268"/>
      <c r="C772" s="268"/>
      <c r="D772" s="268"/>
      <c r="E772" s="268"/>
      <c r="F772" s="268"/>
      <c r="G772" s="268"/>
      <c r="H772" s="268"/>
      <c r="I772" s="268"/>
      <c r="J772" s="268"/>
      <c r="K772" s="268"/>
      <c r="L772" s="309"/>
      <c r="M772" s="268"/>
      <c r="N772" s="268"/>
      <c r="O772" s="310"/>
      <c r="P772" s="268"/>
      <c r="Q772" s="309"/>
      <c r="R772" s="268"/>
      <c r="S772" s="313"/>
      <c r="T772" s="313"/>
      <c r="U772" s="268"/>
      <c r="V772" s="309"/>
      <c r="W772" s="310"/>
      <c r="X772" s="268"/>
      <c r="Y772" s="268"/>
      <c r="Z772" s="268"/>
    </row>
    <row r="773" spans="1:26" ht="24.75" customHeight="1">
      <c r="A773" s="268"/>
      <c r="B773" s="268"/>
      <c r="C773" s="268"/>
      <c r="D773" s="268"/>
      <c r="E773" s="268"/>
      <c r="F773" s="268"/>
      <c r="G773" s="268"/>
      <c r="H773" s="268"/>
      <c r="I773" s="268"/>
      <c r="J773" s="268"/>
      <c r="K773" s="268"/>
      <c r="L773" s="309"/>
      <c r="M773" s="268"/>
      <c r="N773" s="268"/>
      <c r="O773" s="310"/>
      <c r="P773" s="268"/>
      <c r="Q773" s="309"/>
      <c r="R773" s="268"/>
      <c r="S773" s="313"/>
      <c r="T773" s="313"/>
      <c r="U773" s="268"/>
      <c r="V773" s="309"/>
      <c r="W773" s="310"/>
      <c r="X773" s="268"/>
      <c r="Y773" s="268"/>
      <c r="Z773" s="268"/>
    </row>
    <row r="774" spans="1:26" ht="24.75" customHeight="1">
      <c r="A774" s="268"/>
      <c r="B774" s="268"/>
      <c r="C774" s="268"/>
      <c r="D774" s="268"/>
      <c r="E774" s="268"/>
      <c r="F774" s="268"/>
      <c r="G774" s="268"/>
      <c r="H774" s="268"/>
      <c r="I774" s="268"/>
      <c r="J774" s="268"/>
      <c r="K774" s="268"/>
      <c r="L774" s="309"/>
      <c r="M774" s="268"/>
      <c r="N774" s="268"/>
      <c r="O774" s="310"/>
      <c r="P774" s="268"/>
      <c r="Q774" s="309"/>
      <c r="R774" s="268"/>
      <c r="S774" s="313"/>
      <c r="T774" s="313"/>
      <c r="U774" s="268"/>
      <c r="V774" s="309"/>
      <c r="W774" s="310"/>
      <c r="X774" s="268"/>
      <c r="Y774" s="268"/>
      <c r="Z774" s="268"/>
    </row>
    <row r="775" spans="1:26" ht="24.75" customHeight="1">
      <c r="A775" s="268"/>
      <c r="B775" s="268"/>
      <c r="C775" s="268"/>
      <c r="D775" s="268"/>
      <c r="E775" s="268"/>
      <c r="F775" s="268"/>
      <c r="G775" s="268"/>
      <c r="H775" s="268"/>
      <c r="I775" s="268"/>
      <c r="J775" s="268"/>
      <c r="K775" s="268"/>
      <c r="L775" s="309"/>
      <c r="M775" s="268"/>
      <c r="N775" s="268"/>
      <c r="O775" s="310"/>
      <c r="P775" s="268"/>
      <c r="Q775" s="309"/>
      <c r="R775" s="268"/>
      <c r="S775" s="313"/>
      <c r="T775" s="313"/>
      <c r="U775" s="268"/>
      <c r="V775" s="309"/>
      <c r="W775" s="310"/>
      <c r="X775" s="268"/>
      <c r="Y775" s="268"/>
      <c r="Z775" s="268"/>
    </row>
    <row r="776" spans="1:26" ht="24.75" customHeight="1">
      <c r="A776" s="268"/>
      <c r="B776" s="268"/>
      <c r="C776" s="268"/>
      <c r="D776" s="268"/>
      <c r="E776" s="268"/>
      <c r="F776" s="268"/>
      <c r="G776" s="268"/>
      <c r="H776" s="268"/>
      <c r="I776" s="268"/>
      <c r="J776" s="268"/>
      <c r="K776" s="268"/>
      <c r="L776" s="309"/>
      <c r="M776" s="268"/>
      <c r="N776" s="268"/>
      <c r="O776" s="310"/>
      <c r="P776" s="268"/>
      <c r="Q776" s="309"/>
      <c r="R776" s="268"/>
      <c r="S776" s="313"/>
      <c r="T776" s="313"/>
      <c r="U776" s="268"/>
      <c r="V776" s="309"/>
      <c r="W776" s="310"/>
      <c r="X776" s="268"/>
      <c r="Y776" s="268"/>
      <c r="Z776" s="268"/>
    </row>
    <row r="777" spans="1:26" ht="24.75" customHeight="1">
      <c r="A777" s="268"/>
      <c r="B777" s="268"/>
      <c r="C777" s="268"/>
      <c r="D777" s="268"/>
      <c r="E777" s="268"/>
      <c r="F777" s="268"/>
      <c r="G777" s="268"/>
      <c r="H777" s="268"/>
      <c r="I777" s="268"/>
      <c r="J777" s="268"/>
      <c r="K777" s="268"/>
      <c r="L777" s="309"/>
      <c r="M777" s="268"/>
      <c r="N777" s="268"/>
      <c r="O777" s="310"/>
      <c r="P777" s="268"/>
      <c r="Q777" s="309"/>
      <c r="R777" s="268"/>
      <c r="S777" s="313"/>
      <c r="T777" s="313"/>
      <c r="U777" s="268"/>
      <c r="V777" s="309"/>
      <c r="W777" s="310"/>
      <c r="X777" s="268"/>
      <c r="Y777" s="268"/>
      <c r="Z777" s="268"/>
    </row>
    <row r="778" spans="1:26" ht="24.75" customHeight="1">
      <c r="A778" s="268"/>
      <c r="B778" s="268"/>
      <c r="C778" s="268"/>
      <c r="D778" s="268"/>
      <c r="E778" s="268"/>
      <c r="F778" s="268"/>
      <c r="G778" s="268"/>
      <c r="H778" s="268"/>
      <c r="I778" s="268"/>
      <c r="J778" s="268"/>
      <c r="K778" s="268"/>
      <c r="L778" s="309"/>
      <c r="M778" s="268"/>
      <c r="N778" s="268"/>
      <c r="O778" s="310"/>
      <c r="P778" s="268"/>
      <c r="Q778" s="309"/>
      <c r="R778" s="268"/>
      <c r="S778" s="313"/>
      <c r="T778" s="313"/>
      <c r="U778" s="268"/>
      <c r="V778" s="309"/>
      <c r="W778" s="310"/>
      <c r="X778" s="268"/>
      <c r="Y778" s="268"/>
      <c r="Z778" s="268"/>
    </row>
    <row r="779" spans="1:26" ht="24.75" customHeight="1">
      <c r="A779" s="268"/>
      <c r="B779" s="268"/>
      <c r="C779" s="268"/>
      <c r="D779" s="268"/>
      <c r="E779" s="268"/>
      <c r="F779" s="268"/>
      <c r="G779" s="268"/>
      <c r="H779" s="268"/>
      <c r="I779" s="268"/>
      <c r="J779" s="268"/>
      <c r="K779" s="268"/>
      <c r="L779" s="309"/>
      <c r="M779" s="268"/>
      <c r="N779" s="268"/>
      <c r="O779" s="310"/>
      <c r="P779" s="268"/>
      <c r="Q779" s="309"/>
      <c r="R779" s="268"/>
      <c r="S779" s="313"/>
      <c r="T779" s="313"/>
      <c r="U779" s="268"/>
      <c r="V779" s="309"/>
      <c r="W779" s="310"/>
      <c r="X779" s="268"/>
      <c r="Y779" s="268"/>
      <c r="Z779" s="268"/>
    </row>
    <row r="780" spans="1:26" ht="24.75" customHeight="1">
      <c r="A780" s="268"/>
      <c r="B780" s="268"/>
      <c r="C780" s="268"/>
      <c r="D780" s="268"/>
      <c r="E780" s="268"/>
      <c r="F780" s="268"/>
      <c r="G780" s="268"/>
      <c r="H780" s="268"/>
      <c r="I780" s="268"/>
      <c r="J780" s="268"/>
      <c r="K780" s="268"/>
      <c r="L780" s="309"/>
      <c r="M780" s="268"/>
      <c r="N780" s="268"/>
      <c r="O780" s="310"/>
      <c r="P780" s="268"/>
      <c r="Q780" s="309"/>
      <c r="R780" s="268"/>
      <c r="S780" s="313"/>
      <c r="T780" s="313"/>
      <c r="U780" s="268"/>
      <c r="V780" s="309"/>
      <c r="W780" s="310"/>
      <c r="X780" s="268"/>
      <c r="Y780" s="268"/>
      <c r="Z780" s="268"/>
    </row>
    <row r="781" spans="1:26" ht="24.75" customHeight="1">
      <c r="A781" s="268"/>
      <c r="B781" s="268"/>
      <c r="C781" s="268"/>
      <c r="D781" s="268"/>
      <c r="E781" s="268"/>
      <c r="F781" s="268"/>
      <c r="G781" s="268"/>
      <c r="H781" s="268"/>
      <c r="I781" s="268"/>
      <c r="J781" s="268"/>
      <c r="K781" s="268"/>
      <c r="L781" s="309"/>
      <c r="M781" s="268"/>
      <c r="N781" s="268"/>
      <c r="O781" s="310"/>
      <c r="P781" s="268"/>
      <c r="Q781" s="309"/>
      <c r="R781" s="268"/>
      <c r="S781" s="313"/>
      <c r="T781" s="313"/>
      <c r="U781" s="268"/>
      <c r="V781" s="309"/>
      <c r="W781" s="310"/>
      <c r="X781" s="268"/>
      <c r="Y781" s="268"/>
      <c r="Z781" s="268"/>
    </row>
    <row r="782" spans="1:26" ht="24.75" customHeight="1">
      <c r="A782" s="268"/>
      <c r="B782" s="268"/>
      <c r="C782" s="268"/>
      <c r="D782" s="268"/>
      <c r="E782" s="268"/>
      <c r="F782" s="268"/>
      <c r="G782" s="268"/>
      <c r="H782" s="268"/>
      <c r="I782" s="268"/>
      <c r="J782" s="268"/>
      <c r="K782" s="268"/>
      <c r="L782" s="309"/>
      <c r="M782" s="268"/>
      <c r="N782" s="268"/>
      <c r="O782" s="310"/>
      <c r="P782" s="268"/>
      <c r="Q782" s="309"/>
      <c r="R782" s="268"/>
      <c r="S782" s="313"/>
      <c r="T782" s="313"/>
      <c r="U782" s="268"/>
      <c r="V782" s="309"/>
      <c r="W782" s="310"/>
      <c r="X782" s="268"/>
      <c r="Y782" s="268"/>
      <c r="Z782" s="268"/>
    </row>
    <row r="783" spans="1:26" ht="24.75" customHeight="1">
      <c r="A783" s="268"/>
      <c r="B783" s="268"/>
      <c r="C783" s="268"/>
      <c r="D783" s="268"/>
      <c r="E783" s="268"/>
      <c r="F783" s="268"/>
      <c r="G783" s="268"/>
      <c r="H783" s="268"/>
      <c r="I783" s="268"/>
      <c r="J783" s="268"/>
      <c r="K783" s="268"/>
      <c r="L783" s="309"/>
      <c r="M783" s="268"/>
      <c r="N783" s="268"/>
      <c r="O783" s="310"/>
      <c r="P783" s="268"/>
      <c r="Q783" s="309"/>
      <c r="R783" s="268"/>
      <c r="S783" s="313"/>
      <c r="T783" s="313"/>
      <c r="U783" s="268"/>
      <c r="V783" s="309"/>
      <c r="W783" s="310"/>
      <c r="X783" s="268"/>
      <c r="Y783" s="268"/>
      <c r="Z783" s="268"/>
    </row>
    <row r="784" spans="1:26" ht="24.75" customHeight="1">
      <c r="A784" s="268"/>
      <c r="B784" s="268"/>
      <c r="C784" s="268"/>
      <c r="D784" s="268"/>
      <c r="E784" s="268"/>
      <c r="F784" s="268"/>
      <c r="G784" s="268"/>
      <c r="H784" s="268"/>
      <c r="I784" s="268"/>
      <c r="J784" s="268"/>
      <c r="K784" s="268"/>
      <c r="L784" s="309"/>
      <c r="M784" s="268"/>
      <c r="N784" s="268"/>
      <c r="O784" s="310"/>
      <c r="P784" s="268"/>
      <c r="Q784" s="309"/>
      <c r="R784" s="268"/>
      <c r="S784" s="313"/>
      <c r="T784" s="313"/>
      <c r="U784" s="268"/>
      <c r="V784" s="309"/>
      <c r="W784" s="310"/>
      <c r="X784" s="268"/>
      <c r="Y784" s="268"/>
      <c r="Z784" s="268"/>
    </row>
    <row r="785" spans="1:26" ht="24.75" customHeight="1">
      <c r="A785" s="268"/>
      <c r="B785" s="268"/>
      <c r="C785" s="268"/>
      <c r="D785" s="268"/>
      <c r="E785" s="268"/>
      <c r="F785" s="268"/>
      <c r="G785" s="268"/>
      <c r="H785" s="268"/>
      <c r="I785" s="268"/>
      <c r="J785" s="268"/>
      <c r="K785" s="268"/>
      <c r="L785" s="309"/>
      <c r="M785" s="268"/>
      <c r="N785" s="268"/>
      <c r="O785" s="310"/>
      <c r="P785" s="268"/>
      <c r="Q785" s="309"/>
      <c r="R785" s="268"/>
      <c r="S785" s="313"/>
      <c r="T785" s="313"/>
      <c r="U785" s="268"/>
      <c r="V785" s="309"/>
      <c r="W785" s="310"/>
      <c r="X785" s="268"/>
      <c r="Y785" s="268"/>
      <c r="Z785" s="268"/>
    </row>
    <row r="786" spans="1:26" ht="24.75" customHeight="1">
      <c r="A786" s="268"/>
      <c r="B786" s="268"/>
      <c r="C786" s="268"/>
      <c r="D786" s="268"/>
      <c r="E786" s="268"/>
      <c r="F786" s="268"/>
      <c r="G786" s="268"/>
      <c r="H786" s="268"/>
      <c r="I786" s="268"/>
      <c r="J786" s="268"/>
      <c r="K786" s="268"/>
      <c r="L786" s="309"/>
      <c r="M786" s="268"/>
      <c r="N786" s="268"/>
      <c r="O786" s="310"/>
      <c r="P786" s="268"/>
      <c r="Q786" s="309"/>
      <c r="R786" s="268"/>
      <c r="S786" s="313"/>
      <c r="T786" s="313"/>
      <c r="U786" s="268"/>
      <c r="V786" s="309"/>
      <c r="W786" s="310"/>
      <c r="X786" s="268"/>
      <c r="Y786" s="268"/>
      <c r="Z786" s="268"/>
    </row>
    <row r="787" spans="1:26" ht="24.75" customHeight="1">
      <c r="A787" s="268"/>
      <c r="B787" s="268"/>
      <c r="C787" s="268"/>
      <c r="D787" s="268"/>
      <c r="E787" s="268"/>
      <c r="F787" s="268"/>
      <c r="G787" s="268"/>
      <c r="H787" s="268"/>
      <c r="I787" s="268"/>
      <c r="J787" s="268"/>
      <c r="K787" s="268"/>
      <c r="L787" s="309"/>
      <c r="M787" s="268"/>
      <c r="N787" s="268"/>
      <c r="O787" s="310"/>
      <c r="P787" s="268"/>
      <c r="Q787" s="309"/>
      <c r="R787" s="268"/>
      <c r="S787" s="313"/>
      <c r="T787" s="313"/>
      <c r="U787" s="268"/>
      <c r="V787" s="309"/>
      <c r="W787" s="310"/>
      <c r="X787" s="268"/>
      <c r="Y787" s="268"/>
      <c r="Z787" s="268"/>
    </row>
    <row r="788" spans="1:26" ht="24.75" customHeight="1">
      <c r="A788" s="268"/>
      <c r="B788" s="268"/>
      <c r="C788" s="268"/>
      <c r="D788" s="268"/>
      <c r="E788" s="268"/>
      <c r="F788" s="268"/>
      <c r="G788" s="268"/>
      <c r="H788" s="268"/>
      <c r="I788" s="268"/>
      <c r="J788" s="268"/>
      <c r="K788" s="268"/>
      <c r="L788" s="309"/>
      <c r="M788" s="268"/>
      <c r="N788" s="268"/>
      <c r="O788" s="310"/>
      <c r="P788" s="268"/>
      <c r="Q788" s="309"/>
      <c r="R788" s="268"/>
      <c r="S788" s="313"/>
      <c r="T788" s="313"/>
      <c r="U788" s="268"/>
      <c r="V788" s="309"/>
      <c r="W788" s="310"/>
      <c r="X788" s="268"/>
      <c r="Y788" s="268"/>
      <c r="Z788" s="268"/>
    </row>
    <row r="789" spans="1:26" ht="24.75" customHeight="1">
      <c r="A789" s="268"/>
      <c r="B789" s="268"/>
      <c r="C789" s="268"/>
      <c r="D789" s="268"/>
      <c r="E789" s="268"/>
      <c r="F789" s="268"/>
      <c r="G789" s="268"/>
      <c r="H789" s="268"/>
      <c r="I789" s="268"/>
      <c r="J789" s="268"/>
      <c r="K789" s="268"/>
      <c r="L789" s="309"/>
      <c r="M789" s="268"/>
      <c r="N789" s="268"/>
      <c r="O789" s="310"/>
      <c r="P789" s="268"/>
      <c r="Q789" s="309"/>
      <c r="R789" s="268"/>
      <c r="S789" s="313"/>
      <c r="T789" s="313"/>
      <c r="U789" s="268"/>
      <c r="V789" s="309"/>
      <c r="W789" s="310"/>
      <c r="X789" s="268"/>
      <c r="Y789" s="268"/>
      <c r="Z789" s="268"/>
    </row>
    <row r="790" spans="1:26" ht="24.75" customHeight="1">
      <c r="A790" s="268"/>
      <c r="B790" s="268"/>
      <c r="C790" s="268"/>
      <c r="D790" s="268"/>
      <c r="E790" s="268"/>
      <c r="F790" s="268"/>
      <c r="G790" s="268"/>
      <c r="H790" s="268"/>
      <c r="I790" s="268"/>
      <c r="J790" s="268"/>
      <c r="K790" s="268"/>
      <c r="L790" s="309"/>
      <c r="M790" s="268"/>
      <c r="N790" s="268"/>
      <c r="O790" s="310"/>
      <c r="P790" s="268"/>
      <c r="Q790" s="309"/>
      <c r="R790" s="268"/>
      <c r="S790" s="313"/>
      <c r="T790" s="313"/>
      <c r="U790" s="268"/>
      <c r="V790" s="309"/>
      <c r="W790" s="310"/>
      <c r="X790" s="268"/>
      <c r="Y790" s="268"/>
      <c r="Z790" s="268"/>
    </row>
    <row r="791" spans="1:26" ht="24.75" customHeight="1">
      <c r="A791" s="268"/>
      <c r="B791" s="268"/>
      <c r="C791" s="268"/>
      <c r="D791" s="268"/>
      <c r="E791" s="268"/>
      <c r="F791" s="268"/>
      <c r="G791" s="268"/>
      <c r="H791" s="268"/>
      <c r="I791" s="268"/>
      <c r="J791" s="268"/>
      <c r="K791" s="268"/>
      <c r="L791" s="309"/>
      <c r="M791" s="268"/>
      <c r="N791" s="268"/>
      <c r="O791" s="310"/>
      <c r="P791" s="268"/>
      <c r="Q791" s="309"/>
      <c r="R791" s="268"/>
      <c r="S791" s="313"/>
      <c r="T791" s="313"/>
      <c r="U791" s="268"/>
      <c r="V791" s="309"/>
      <c r="W791" s="310"/>
      <c r="X791" s="268"/>
      <c r="Y791" s="268"/>
      <c r="Z791" s="268"/>
    </row>
    <row r="792" spans="1:26" ht="24.75" customHeight="1">
      <c r="A792" s="268"/>
      <c r="B792" s="268"/>
      <c r="C792" s="268"/>
      <c r="D792" s="268"/>
      <c r="E792" s="268"/>
      <c r="F792" s="268"/>
      <c r="G792" s="268"/>
      <c r="H792" s="268"/>
      <c r="I792" s="268"/>
      <c r="J792" s="268"/>
      <c r="K792" s="268"/>
      <c r="L792" s="309"/>
      <c r="M792" s="268"/>
      <c r="N792" s="268"/>
      <c r="O792" s="310"/>
      <c r="P792" s="268"/>
      <c r="Q792" s="309"/>
      <c r="R792" s="268"/>
      <c r="S792" s="313"/>
      <c r="T792" s="313"/>
      <c r="U792" s="268"/>
      <c r="V792" s="309"/>
      <c r="W792" s="310"/>
      <c r="X792" s="268"/>
      <c r="Y792" s="268"/>
      <c r="Z792" s="268"/>
    </row>
    <row r="793" spans="1:26" ht="24.75" customHeight="1">
      <c r="A793" s="268"/>
      <c r="B793" s="268"/>
      <c r="C793" s="268"/>
      <c r="D793" s="268"/>
      <c r="E793" s="268"/>
      <c r="F793" s="268"/>
      <c r="G793" s="268"/>
      <c r="H793" s="268"/>
      <c r="I793" s="268"/>
      <c r="J793" s="268"/>
      <c r="K793" s="268"/>
      <c r="L793" s="309"/>
      <c r="M793" s="268"/>
      <c r="N793" s="268"/>
      <c r="O793" s="310"/>
      <c r="P793" s="268"/>
      <c r="Q793" s="309"/>
      <c r="R793" s="268"/>
      <c r="S793" s="313"/>
      <c r="T793" s="313"/>
      <c r="U793" s="268"/>
      <c r="V793" s="309"/>
      <c r="W793" s="310"/>
      <c r="X793" s="268"/>
      <c r="Y793" s="268"/>
      <c r="Z793" s="268"/>
    </row>
    <row r="794" spans="1:26" ht="24.75" customHeight="1">
      <c r="A794" s="268"/>
      <c r="B794" s="268"/>
      <c r="C794" s="268"/>
      <c r="D794" s="268"/>
      <c r="E794" s="268"/>
      <c r="F794" s="268"/>
      <c r="G794" s="268"/>
      <c r="H794" s="268"/>
      <c r="I794" s="268"/>
      <c r="J794" s="268"/>
      <c r="K794" s="268"/>
      <c r="L794" s="309"/>
      <c r="M794" s="268"/>
      <c r="N794" s="268"/>
      <c r="O794" s="310"/>
      <c r="P794" s="268"/>
      <c r="Q794" s="309"/>
      <c r="R794" s="268"/>
      <c r="S794" s="313"/>
      <c r="T794" s="313"/>
      <c r="U794" s="268"/>
      <c r="V794" s="309"/>
      <c r="W794" s="310"/>
      <c r="X794" s="268"/>
      <c r="Y794" s="268"/>
      <c r="Z794" s="268"/>
    </row>
    <row r="795" spans="1:26" ht="24.75" customHeight="1">
      <c r="A795" s="268"/>
      <c r="B795" s="268"/>
      <c r="C795" s="268"/>
      <c r="D795" s="268"/>
      <c r="E795" s="268"/>
      <c r="F795" s="268"/>
      <c r="G795" s="268"/>
      <c r="H795" s="268"/>
      <c r="I795" s="268"/>
      <c r="J795" s="268"/>
      <c r="K795" s="268"/>
      <c r="L795" s="309"/>
      <c r="M795" s="268"/>
      <c r="N795" s="268"/>
      <c r="O795" s="310"/>
      <c r="P795" s="268"/>
      <c r="Q795" s="309"/>
      <c r="R795" s="268"/>
      <c r="S795" s="313"/>
      <c r="T795" s="313"/>
      <c r="U795" s="268"/>
      <c r="V795" s="309"/>
      <c r="W795" s="310"/>
      <c r="X795" s="268"/>
      <c r="Y795" s="268"/>
      <c r="Z795" s="268"/>
    </row>
    <row r="796" spans="1:26" ht="24.75" customHeight="1">
      <c r="A796" s="268"/>
      <c r="B796" s="268"/>
      <c r="C796" s="268"/>
      <c r="D796" s="268"/>
      <c r="E796" s="268"/>
      <c r="F796" s="268"/>
      <c r="G796" s="268"/>
      <c r="H796" s="268"/>
      <c r="I796" s="268"/>
      <c r="J796" s="268"/>
      <c r="K796" s="268"/>
      <c r="L796" s="309"/>
      <c r="M796" s="268"/>
      <c r="N796" s="268"/>
      <c r="O796" s="310"/>
      <c r="P796" s="268"/>
      <c r="Q796" s="309"/>
      <c r="R796" s="268"/>
      <c r="S796" s="313"/>
      <c r="T796" s="313"/>
      <c r="U796" s="268"/>
      <c r="V796" s="309"/>
      <c r="W796" s="310"/>
      <c r="X796" s="268"/>
      <c r="Y796" s="268"/>
      <c r="Z796" s="268"/>
    </row>
    <row r="797" spans="1:26" ht="24.75" customHeight="1">
      <c r="A797" s="268"/>
      <c r="B797" s="268"/>
      <c r="C797" s="268"/>
      <c r="D797" s="268"/>
      <c r="E797" s="268"/>
      <c r="F797" s="268"/>
      <c r="G797" s="268"/>
      <c r="H797" s="268"/>
      <c r="I797" s="268"/>
      <c r="J797" s="268"/>
      <c r="K797" s="268"/>
      <c r="L797" s="309"/>
      <c r="M797" s="268"/>
      <c r="N797" s="268"/>
      <c r="O797" s="310"/>
      <c r="P797" s="268"/>
      <c r="Q797" s="309"/>
      <c r="R797" s="268"/>
      <c r="S797" s="313"/>
      <c r="T797" s="313"/>
      <c r="U797" s="268"/>
      <c r="V797" s="309"/>
      <c r="W797" s="310"/>
      <c r="X797" s="268"/>
      <c r="Y797" s="268"/>
      <c r="Z797" s="268"/>
    </row>
    <row r="798" spans="1:26" ht="24.75" customHeight="1">
      <c r="A798" s="268"/>
      <c r="B798" s="268"/>
      <c r="C798" s="268"/>
      <c r="D798" s="268"/>
      <c r="E798" s="268"/>
      <c r="F798" s="268"/>
      <c r="G798" s="268"/>
      <c r="H798" s="268"/>
      <c r="I798" s="268"/>
      <c r="J798" s="268"/>
      <c r="K798" s="268"/>
      <c r="L798" s="309"/>
      <c r="M798" s="268"/>
      <c r="N798" s="268"/>
      <c r="O798" s="310"/>
      <c r="P798" s="268"/>
      <c r="Q798" s="309"/>
      <c r="R798" s="268"/>
      <c r="S798" s="313"/>
      <c r="T798" s="313"/>
      <c r="U798" s="268"/>
      <c r="V798" s="309"/>
      <c r="W798" s="310"/>
      <c r="X798" s="268"/>
      <c r="Y798" s="268"/>
      <c r="Z798" s="268"/>
    </row>
    <row r="799" spans="1:26" ht="24.75" customHeight="1">
      <c r="A799" s="268"/>
      <c r="B799" s="268"/>
      <c r="C799" s="268"/>
      <c r="D799" s="268"/>
      <c r="E799" s="268"/>
      <c r="F799" s="268"/>
      <c r="G799" s="268"/>
      <c r="H799" s="268"/>
      <c r="I799" s="268"/>
      <c r="J799" s="268"/>
      <c r="K799" s="268"/>
      <c r="L799" s="309"/>
      <c r="M799" s="268"/>
      <c r="N799" s="268"/>
      <c r="O799" s="310"/>
      <c r="P799" s="268"/>
      <c r="Q799" s="309"/>
      <c r="R799" s="268"/>
      <c r="S799" s="313"/>
      <c r="T799" s="313"/>
      <c r="U799" s="268"/>
      <c r="V799" s="309"/>
      <c r="W799" s="310"/>
      <c r="X799" s="268"/>
      <c r="Y799" s="268"/>
      <c r="Z799" s="268"/>
    </row>
    <row r="800" spans="1:26" ht="24.75" customHeight="1">
      <c r="A800" s="268"/>
      <c r="B800" s="268"/>
      <c r="C800" s="268"/>
      <c r="D800" s="268"/>
      <c r="E800" s="268"/>
      <c r="F800" s="268"/>
      <c r="G800" s="268"/>
      <c r="H800" s="268"/>
      <c r="I800" s="268"/>
      <c r="J800" s="268"/>
      <c r="K800" s="268"/>
      <c r="L800" s="309"/>
      <c r="M800" s="268"/>
      <c r="N800" s="268"/>
      <c r="O800" s="310"/>
      <c r="P800" s="268"/>
      <c r="Q800" s="309"/>
      <c r="R800" s="268"/>
      <c r="S800" s="313"/>
      <c r="T800" s="313"/>
      <c r="U800" s="268"/>
      <c r="V800" s="309"/>
      <c r="W800" s="310"/>
      <c r="X800" s="268"/>
      <c r="Y800" s="268"/>
      <c r="Z800" s="268"/>
    </row>
    <row r="801" spans="1:26" ht="24.75" customHeight="1">
      <c r="A801" s="268"/>
      <c r="B801" s="268"/>
      <c r="C801" s="268"/>
      <c r="D801" s="268"/>
      <c r="E801" s="268"/>
      <c r="F801" s="268"/>
      <c r="G801" s="268"/>
      <c r="H801" s="268"/>
      <c r="I801" s="268"/>
      <c r="J801" s="268"/>
      <c r="K801" s="268"/>
      <c r="L801" s="309"/>
      <c r="M801" s="268"/>
      <c r="N801" s="268"/>
      <c r="O801" s="310"/>
      <c r="P801" s="268"/>
      <c r="Q801" s="309"/>
      <c r="R801" s="268"/>
      <c r="S801" s="313"/>
      <c r="T801" s="313"/>
      <c r="U801" s="268"/>
      <c r="V801" s="309"/>
      <c r="W801" s="310"/>
      <c r="X801" s="268"/>
      <c r="Y801" s="268"/>
      <c r="Z801" s="268"/>
    </row>
    <row r="802" spans="1:26" ht="24.75" customHeight="1">
      <c r="A802" s="268"/>
      <c r="B802" s="268"/>
      <c r="C802" s="268"/>
      <c r="D802" s="268"/>
      <c r="E802" s="268"/>
      <c r="F802" s="268"/>
      <c r="G802" s="268"/>
      <c r="H802" s="268"/>
      <c r="I802" s="268"/>
      <c r="J802" s="268"/>
      <c r="K802" s="268"/>
      <c r="L802" s="309"/>
      <c r="M802" s="268"/>
      <c r="N802" s="268"/>
      <c r="O802" s="310"/>
      <c r="P802" s="268"/>
      <c r="Q802" s="309"/>
      <c r="R802" s="268"/>
      <c r="S802" s="313"/>
      <c r="T802" s="313"/>
      <c r="U802" s="268"/>
      <c r="V802" s="309"/>
      <c r="W802" s="310"/>
      <c r="X802" s="268"/>
      <c r="Y802" s="268"/>
      <c r="Z802" s="268"/>
    </row>
    <row r="803" spans="1:26" ht="24.75" customHeight="1">
      <c r="A803" s="268"/>
      <c r="B803" s="268"/>
      <c r="C803" s="268"/>
      <c r="D803" s="268"/>
      <c r="E803" s="268"/>
      <c r="F803" s="268"/>
      <c r="G803" s="268"/>
      <c r="H803" s="268"/>
      <c r="I803" s="268"/>
      <c r="J803" s="268"/>
      <c r="K803" s="268"/>
      <c r="L803" s="309"/>
      <c r="M803" s="268"/>
      <c r="N803" s="268"/>
      <c r="O803" s="310"/>
      <c r="P803" s="268"/>
      <c r="Q803" s="309"/>
      <c r="R803" s="268"/>
      <c r="S803" s="313"/>
      <c r="T803" s="313"/>
      <c r="U803" s="268"/>
      <c r="V803" s="309"/>
      <c r="W803" s="310"/>
      <c r="X803" s="268"/>
      <c r="Y803" s="268"/>
      <c r="Z803" s="268"/>
    </row>
    <row r="804" spans="1:26" ht="24.75" customHeight="1">
      <c r="A804" s="268"/>
      <c r="B804" s="268"/>
      <c r="C804" s="268"/>
      <c r="D804" s="268"/>
      <c r="E804" s="268"/>
      <c r="F804" s="268"/>
      <c r="G804" s="268"/>
      <c r="H804" s="268"/>
      <c r="I804" s="268"/>
      <c r="J804" s="268"/>
      <c r="K804" s="268"/>
      <c r="L804" s="309"/>
      <c r="M804" s="268"/>
      <c r="N804" s="268"/>
      <c r="O804" s="310"/>
      <c r="P804" s="268"/>
      <c r="Q804" s="309"/>
      <c r="R804" s="268"/>
      <c r="S804" s="313"/>
      <c r="T804" s="313"/>
      <c r="U804" s="268"/>
      <c r="V804" s="309"/>
      <c r="W804" s="310"/>
      <c r="X804" s="268"/>
      <c r="Y804" s="268"/>
      <c r="Z804" s="268"/>
    </row>
    <row r="805" spans="1:26" ht="24.75" customHeight="1">
      <c r="A805" s="268"/>
      <c r="B805" s="268"/>
      <c r="C805" s="268"/>
      <c r="D805" s="268"/>
      <c r="E805" s="268"/>
      <c r="F805" s="268"/>
      <c r="G805" s="268"/>
      <c r="H805" s="268"/>
      <c r="I805" s="268"/>
      <c r="J805" s="268"/>
      <c r="K805" s="268"/>
      <c r="L805" s="309"/>
      <c r="M805" s="268"/>
      <c r="N805" s="268"/>
      <c r="O805" s="310"/>
      <c r="P805" s="268"/>
      <c r="Q805" s="309"/>
      <c r="R805" s="268"/>
      <c r="S805" s="313"/>
      <c r="T805" s="313"/>
      <c r="U805" s="268"/>
      <c r="V805" s="309"/>
      <c r="W805" s="310"/>
      <c r="X805" s="268"/>
      <c r="Y805" s="268"/>
      <c r="Z805" s="268"/>
    </row>
    <row r="806" spans="1:26" ht="24.75" customHeight="1">
      <c r="A806" s="268"/>
      <c r="B806" s="268"/>
      <c r="C806" s="268"/>
      <c r="D806" s="268"/>
      <c r="E806" s="268"/>
      <c r="F806" s="268"/>
      <c r="G806" s="268"/>
      <c r="H806" s="268"/>
      <c r="I806" s="268"/>
      <c r="J806" s="268"/>
      <c r="K806" s="268"/>
      <c r="L806" s="309"/>
      <c r="M806" s="268"/>
      <c r="N806" s="268"/>
      <c r="O806" s="310"/>
      <c r="P806" s="268"/>
      <c r="Q806" s="309"/>
      <c r="R806" s="268"/>
      <c r="S806" s="313"/>
      <c r="T806" s="313"/>
      <c r="U806" s="268"/>
      <c r="V806" s="309"/>
      <c r="W806" s="310"/>
      <c r="X806" s="268"/>
      <c r="Y806" s="268"/>
      <c r="Z806" s="268"/>
    </row>
    <row r="807" spans="1:26" ht="24.75" customHeight="1">
      <c r="A807" s="268"/>
      <c r="B807" s="268"/>
      <c r="C807" s="268"/>
      <c r="D807" s="268"/>
      <c r="E807" s="268"/>
      <c r="F807" s="268"/>
      <c r="G807" s="268"/>
      <c r="H807" s="268"/>
      <c r="I807" s="268"/>
      <c r="J807" s="268"/>
      <c r="K807" s="268"/>
      <c r="L807" s="309"/>
      <c r="M807" s="268"/>
      <c r="N807" s="268"/>
      <c r="O807" s="310"/>
      <c r="P807" s="268"/>
      <c r="Q807" s="309"/>
      <c r="R807" s="268"/>
      <c r="S807" s="313"/>
      <c r="T807" s="313"/>
      <c r="U807" s="268"/>
      <c r="V807" s="309"/>
      <c r="W807" s="310"/>
      <c r="X807" s="268"/>
      <c r="Y807" s="268"/>
      <c r="Z807" s="268"/>
    </row>
    <row r="808" spans="1:26" ht="24.75" customHeight="1">
      <c r="A808" s="268"/>
      <c r="B808" s="268"/>
      <c r="C808" s="268"/>
      <c r="D808" s="268"/>
      <c r="E808" s="268"/>
      <c r="F808" s="268"/>
      <c r="G808" s="268"/>
      <c r="H808" s="268"/>
      <c r="I808" s="268"/>
      <c r="J808" s="268"/>
      <c r="K808" s="268"/>
      <c r="L808" s="309"/>
      <c r="M808" s="268"/>
      <c r="N808" s="268"/>
      <c r="O808" s="310"/>
      <c r="P808" s="268"/>
      <c r="Q808" s="309"/>
      <c r="R808" s="268"/>
      <c r="S808" s="313"/>
      <c r="T808" s="313"/>
      <c r="U808" s="268"/>
      <c r="V808" s="309"/>
      <c r="W808" s="310"/>
      <c r="X808" s="268"/>
      <c r="Y808" s="268"/>
      <c r="Z808" s="268"/>
    </row>
    <row r="809" spans="1:26" ht="24.75" customHeight="1">
      <c r="A809" s="268"/>
      <c r="B809" s="268"/>
      <c r="C809" s="268"/>
      <c r="D809" s="268"/>
      <c r="E809" s="268"/>
      <c r="F809" s="268"/>
      <c r="G809" s="268"/>
      <c r="H809" s="268"/>
      <c r="I809" s="268"/>
      <c r="J809" s="268"/>
      <c r="K809" s="268"/>
      <c r="L809" s="309"/>
      <c r="M809" s="268"/>
      <c r="N809" s="268"/>
      <c r="O809" s="310"/>
      <c r="P809" s="268"/>
      <c r="Q809" s="309"/>
      <c r="R809" s="268"/>
      <c r="S809" s="313"/>
      <c r="T809" s="313"/>
      <c r="U809" s="268"/>
      <c r="V809" s="309"/>
      <c r="W809" s="310"/>
      <c r="X809" s="268"/>
      <c r="Y809" s="268"/>
      <c r="Z809" s="268"/>
    </row>
    <row r="810" spans="1:26" ht="24.75" customHeight="1">
      <c r="A810" s="268"/>
      <c r="B810" s="268"/>
      <c r="C810" s="268"/>
      <c r="D810" s="268"/>
      <c r="E810" s="268"/>
      <c r="F810" s="268"/>
      <c r="G810" s="268"/>
      <c r="H810" s="268"/>
      <c r="I810" s="268"/>
      <c r="J810" s="268"/>
      <c r="K810" s="268"/>
      <c r="L810" s="309"/>
      <c r="M810" s="268"/>
      <c r="N810" s="268"/>
      <c r="O810" s="310"/>
      <c r="P810" s="268"/>
      <c r="Q810" s="309"/>
      <c r="R810" s="268"/>
      <c r="S810" s="313"/>
      <c r="T810" s="313"/>
      <c r="U810" s="268"/>
      <c r="V810" s="309"/>
      <c r="W810" s="310"/>
      <c r="X810" s="268"/>
      <c r="Y810" s="268"/>
      <c r="Z810" s="268"/>
    </row>
    <row r="811" spans="1:26" ht="24.75" customHeight="1">
      <c r="A811" s="268"/>
      <c r="B811" s="268"/>
      <c r="C811" s="268"/>
      <c r="D811" s="268"/>
      <c r="E811" s="268"/>
      <c r="F811" s="268"/>
      <c r="G811" s="268"/>
      <c r="H811" s="268"/>
      <c r="I811" s="268"/>
      <c r="J811" s="268"/>
      <c r="K811" s="268"/>
      <c r="L811" s="309"/>
      <c r="M811" s="268"/>
      <c r="N811" s="268"/>
      <c r="O811" s="310"/>
      <c r="P811" s="268"/>
      <c r="Q811" s="309"/>
      <c r="R811" s="268"/>
      <c r="S811" s="313"/>
      <c r="T811" s="313"/>
      <c r="U811" s="268"/>
      <c r="V811" s="309"/>
      <c r="W811" s="310"/>
      <c r="X811" s="268"/>
      <c r="Y811" s="268"/>
      <c r="Z811" s="268"/>
    </row>
    <row r="812" spans="1:26" ht="24.75" customHeight="1">
      <c r="A812" s="268"/>
      <c r="B812" s="268"/>
      <c r="C812" s="268"/>
      <c r="D812" s="268"/>
      <c r="E812" s="268"/>
      <c r="F812" s="268"/>
      <c r="G812" s="268"/>
      <c r="H812" s="268"/>
      <c r="I812" s="268"/>
      <c r="J812" s="268"/>
      <c r="K812" s="268"/>
      <c r="L812" s="309"/>
      <c r="M812" s="268"/>
      <c r="N812" s="268"/>
      <c r="O812" s="310"/>
      <c r="P812" s="268"/>
      <c r="Q812" s="309"/>
      <c r="R812" s="268"/>
      <c r="S812" s="313"/>
      <c r="T812" s="313"/>
      <c r="U812" s="268"/>
      <c r="V812" s="309"/>
      <c r="W812" s="310"/>
      <c r="X812" s="268"/>
      <c r="Y812" s="268"/>
      <c r="Z812" s="268"/>
    </row>
    <row r="813" spans="1:26" ht="24.75" customHeight="1">
      <c r="A813" s="268"/>
      <c r="B813" s="268"/>
      <c r="C813" s="268"/>
      <c r="D813" s="268"/>
      <c r="E813" s="268"/>
      <c r="F813" s="268"/>
      <c r="G813" s="268"/>
      <c r="H813" s="268"/>
      <c r="I813" s="268"/>
      <c r="J813" s="268"/>
      <c r="K813" s="268"/>
      <c r="L813" s="309"/>
      <c r="M813" s="268"/>
      <c r="N813" s="268"/>
      <c r="O813" s="310"/>
      <c r="P813" s="268"/>
      <c r="Q813" s="309"/>
      <c r="R813" s="268"/>
      <c r="S813" s="313"/>
      <c r="T813" s="313"/>
      <c r="U813" s="268"/>
      <c r="V813" s="309"/>
      <c r="W813" s="310"/>
      <c r="X813" s="268"/>
      <c r="Y813" s="268"/>
      <c r="Z813" s="268"/>
    </row>
    <row r="814" spans="1:26" ht="24.75" customHeight="1">
      <c r="A814" s="268"/>
      <c r="B814" s="268"/>
      <c r="C814" s="268"/>
      <c r="D814" s="268"/>
      <c r="E814" s="268"/>
      <c r="F814" s="268"/>
      <c r="G814" s="268"/>
      <c r="H814" s="268"/>
      <c r="I814" s="268"/>
      <c r="J814" s="268"/>
      <c r="K814" s="268"/>
      <c r="L814" s="309"/>
      <c r="M814" s="268"/>
      <c r="N814" s="268"/>
      <c r="O814" s="310"/>
      <c r="P814" s="268"/>
      <c r="Q814" s="309"/>
      <c r="R814" s="268"/>
      <c r="S814" s="313"/>
      <c r="T814" s="313"/>
      <c r="U814" s="268"/>
      <c r="V814" s="309"/>
      <c r="W814" s="310"/>
      <c r="X814" s="268"/>
      <c r="Y814" s="268"/>
      <c r="Z814" s="268"/>
    </row>
    <row r="815" spans="1:26" ht="24.75" customHeight="1">
      <c r="A815" s="268"/>
      <c r="B815" s="268"/>
      <c r="C815" s="268"/>
      <c r="D815" s="268"/>
      <c r="E815" s="268"/>
      <c r="F815" s="268"/>
      <c r="G815" s="268"/>
      <c r="H815" s="268"/>
      <c r="I815" s="268"/>
      <c r="J815" s="268"/>
      <c r="K815" s="268"/>
      <c r="L815" s="309"/>
      <c r="M815" s="268"/>
      <c r="N815" s="268"/>
      <c r="O815" s="310"/>
      <c r="P815" s="268"/>
      <c r="Q815" s="309"/>
      <c r="R815" s="268"/>
      <c r="S815" s="313"/>
      <c r="T815" s="313"/>
      <c r="U815" s="268"/>
      <c r="V815" s="309"/>
      <c r="W815" s="310"/>
      <c r="X815" s="268"/>
      <c r="Y815" s="268"/>
      <c r="Z815" s="268"/>
    </row>
    <row r="816" spans="1:26" ht="24.75" customHeight="1">
      <c r="A816" s="268"/>
      <c r="B816" s="268"/>
      <c r="C816" s="268"/>
      <c r="D816" s="268"/>
      <c r="E816" s="268"/>
      <c r="F816" s="268"/>
      <c r="G816" s="268"/>
      <c r="H816" s="268"/>
      <c r="I816" s="268"/>
      <c r="J816" s="268"/>
      <c r="K816" s="268"/>
      <c r="L816" s="309"/>
      <c r="M816" s="268"/>
      <c r="N816" s="268"/>
      <c r="O816" s="310"/>
      <c r="P816" s="268"/>
      <c r="Q816" s="309"/>
      <c r="R816" s="268"/>
      <c r="S816" s="313"/>
      <c r="T816" s="313"/>
      <c r="U816" s="268"/>
      <c r="V816" s="309"/>
      <c r="W816" s="310"/>
      <c r="X816" s="268"/>
      <c r="Y816" s="268"/>
      <c r="Z816" s="268"/>
    </row>
    <row r="817" spans="1:26" ht="24.75" customHeight="1">
      <c r="A817" s="268"/>
      <c r="B817" s="268"/>
      <c r="C817" s="268"/>
      <c r="D817" s="268"/>
      <c r="E817" s="268"/>
      <c r="F817" s="268"/>
      <c r="G817" s="268"/>
      <c r="H817" s="268"/>
      <c r="I817" s="268"/>
      <c r="J817" s="268"/>
      <c r="K817" s="268"/>
      <c r="L817" s="309"/>
      <c r="M817" s="268"/>
      <c r="N817" s="268"/>
      <c r="O817" s="310"/>
      <c r="P817" s="268"/>
      <c r="Q817" s="309"/>
      <c r="R817" s="268"/>
      <c r="S817" s="313"/>
      <c r="T817" s="313"/>
      <c r="U817" s="268"/>
      <c r="V817" s="309"/>
      <c r="W817" s="310"/>
      <c r="X817" s="268"/>
      <c r="Y817" s="268"/>
      <c r="Z817" s="268"/>
    </row>
    <row r="818" spans="1:26" ht="24.75" customHeight="1">
      <c r="A818" s="268"/>
      <c r="B818" s="268"/>
      <c r="C818" s="268"/>
      <c r="D818" s="268"/>
      <c r="E818" s="268"/>
      <c r="F818" s="268"/>
      <c r="G818" s="268"/>
      <c r="H818" s="268"/>
      <c r="I818" s="268"/>
      <c r="J818" s="268"/>
      <c r="K818" s="268"/>
      <c r="L818" s="309"/>
      <c r="M818" s="268"/>
      <c r="N818" s="268"/>
      <c r="O818" s="310"/>
      <c r="P818" s="268"/>
      <c r="Q818" s="309"/>
      <c r="R818" s="268"/>
      <c r="S818" s="313"/>
      <c r="T818" s="313"/>
      <c r="U818" s="268"/>
      <c r="V818" s="309"/>
      <c r="W818" s="310"/>
      <c r="X818" s="268"/>
      <c r="Y818" s="268"/>
      <c r="Z818" s="268"/>
    </row>
    <row r="819" spans="1:26" ht="24.75" customHeight="1">
      <c r="A819" s="268"/>
      <c r="B819" s="268"/>
      <c r="C819" s="268"/>
      <c r="D819" s="268"/>
      <c r="E819" s="268"/>
      <c r="F819" s="268"/>
      <c r="G819" s="268"/>
      <c r="H819" s="268"/>
      <c r="I819" s="268"/>
      <c r="J819" s="268"/>
      <c r="K819" s="268"/>
      <c r="L819" s="309"/>
      <c r="M819" s="268"/>
      <c r="N819" s="268"/>
      <c r="O819" s="310"/>
      <c r="P819" s="268"/>
      <c r="Q819" s="309"/>
      <c r="R819" s="268"/>
      <c r="S819" s="313"/>
      <c r="T819" s="313"/>
      <c r="U819" s="268"/>
      <c r="V819" s="309"/>
      <c r="W819" s="310"/>
      <c r="X819" s="268"/>
      <c r="Y819" s="268"/>
      <c r="Z819" s="268"/>
    </row>
    <row r="820" spans="1:26" ht="24.75" customHeight="1">
      <c r="A820" s="268"/>
      <c r="B820" s="268"/>
      <c r="C820" s="268"/>
      <c r="D820" s="268"/>
      <c r="E820" s="268"/>
      <c r="F820" s="268"/>
      <c r="G820" s="268"/>
      <c r="H820" s="268"/>
      <c r="I820" s="268"/>
      <c r="J820" s="268"/>
      <c r="K820" s="268"/>
      <c r="L820" s="309"/>
      <c r="M820" s="268"/>
      <c r="N820" s="268"/>
      <c r="O820" s="310"/>
      <c r="P820" s="268"/>
      <c r="Q820" s="309"/>
      <c r="R820" s="268"/>
      <c r="S820" s="313"/>
      <c r="T820" s="313"/>
      <c r="U820" s="268"/>
      <c r="V820" s="309"/>
      <c r="W820" s="310"/>
      <c r="X820" s="268"/>
      <c r="Y820" s="268"/>
      <c r="Z820" s="268"/>
    </row>
    <row r="821" spans="1:26" ht="24.75" customHeight="1">
      <c r="A821" s="268"/>
      <c r="B821" s="268"/>
      <c r="C821" s="268"/>
      <c r="D821" s="268"/>
      <c r="E821" s="268"/>
      <c r="F821" s="268"/>
      <c r="G821" s="268"/>
      <c r="H821" s="268"/>
      <c r="I821" s="268"/>
      <c r="J821" s="268"/>
      <c r="K821" s="268"/>
      <c r="L821" s="309"/>
      <c r="M821" s="268"/>
      <c r="N821" s="268"/>
      <c r="O821" s="310"/>
      <c r="P821" s="268"/>
      <c r="Q821" s="309"/>
      <c r="R821" s="268"/>
      <c r="S821" s="313"/>
      <c r="T821" s="313"/>
      <c r="U821" s="268"/>
      <c r="V821" s="309"/>
      <c r="W821" s="310"/>
      <c r="X821" s="268"/>
      <c r="Y821" s="268"/>
      <c r="Z821" s="268"/>
    </row>
    <row r="822" spans="1:26" ht="24.75" customHeight="1">
      <c r="A822" s="268"/>
      <c r="B822" s="268"/>
      <c r="C822" s="268"/>
      <c r="D822" s="268"/>
      <c r="E822" s="268"/>
      <c r="F822" s="268"/>
      <c r="G822" s="268"/>
      <c r="H822" s="268"/>
      <c r="I822" s="268"/>
      <c r="J822" s="268"/>
      <c r="K822" s="268"/>
      <c r="L822" s="309"/>
      <c r="M822" s="268"/>
      <c r="N822" s="268"/>
      <c r="O822" s="310"/>
      <c r="P822" s="268"/>
      <c r="Q822" s="309"/>
      <c r="R822" s="268"/>
      <c r="S822" s="313"/>
      <c r="T822" s="313"/>
      <c r="U822" s="268"/>
      <c r="V822" s="309"/>
      <c r="W822" s="310"/>
      <c r="X822" s="268"/>
      <c r="Y822" s="268"/>
      <c r="Z822" s="268"/>
    </row>
    <row r="823" spans="1:26" ht="24.75" customHeight="1">
      <c r="A823" s="268"/>
      <c r="B823" s="268"/>
      <c r="C823" s="268"/>
      <c r="D823" s="268"/>
      <c r="E823" s="268"/>
      <c r="F823" s="268"/>
      <c r="G823" s="268"/>
      <c r="H823" s="268"/>
      <c r="I823" s="268"/>
      <c r="J823" s="268"/>
      <c r="K823" s="268"/>
      <c r="L823" s="309"/>
      <c r="M823" s="268"/>
      <c r="N823" s="268"/>
      <c r="O823" s="310"/>
      <c r="P823" s="268"/>
      <c r="Q823" s="309"/>
      <c r="R823" s="268"/>
      <c r="S823" s="313"/>
      <c r="T823" s="313"/>
      <c r="U823" s="268"/>
      <c r="V823" s="309"/>
      <c r="W823" s="310"/>
      <c r="X823" s="268"/>
      <c r="Y823" s="268"/>
      <c r="Z823" s="268"/>
    </row>
    <row r="824" spans="1:26" ht="24.75" customHeight="1">
      <c r="A824" s="268"/>
      <c r="B824" s="268"/>
      <c r="C824" s="268"/>
      <c r="D824" s="268"/>
      <c r="E824" s="268"/>
      <c r="F824" s="268"/>
      <c r="G824" s="268"/>
      <c r="H824" s="268"/>
      <c r="I824" s="268"/>
      <c r="J824" s="268"/>
      <c r="K824" s="268"/>
      <c r="L824" s="309"/>
      <c r="M824" s="268"/>
      <c r="N824" s="268"/>
      <c r="O824" s="310"/>
      <c r="P824" s="268"/>
      <c r="Q824" s="309"/>
      <c r="R824" s="268"/>
      <c r="S824" s="313"/>
      <c r="T824" s="313"/>
      <c r="U824" s="268"/>
      <c r="V824" s="309"/>
      <c r="W824" s="310"/>
      <c r="X824" s="268"/>
      <c r="Y824" s="268"/>
      <c r="Z824" s="268"/>
    </row>
    <row r="825" spans="1:26" ht="24.75" customHeight="1">
      <c r="A825" s="268"/>
      <c r="B825" s="268"/>
      <c r="C825" s="268"/>
      <c r="D825" s="268"/>
      <c r="E825" s="268"/>
      <c r="F825" s="268"/>
      <c r="G825" s="268"/>
      <c r="H825" s="268"/>
      <c r="I825" s="268"/>
      <c r="J825" s="268"/>
      <c r="K825" s="268"/>
      <c r="L825" s="309"/>
      <c r="M825" s="268"/>
      <c r="N825" s="268"/>
      <c r="O825" s="310"/>
      <c r="P825" s="268"/>
      <c r="Q825" s="309"/>
      <c r="R825" s="268"/>
      <c r="S825" s="313"/>
      <c r="T825" s="313"/>
      <c r="U825" s="268"/>
      <c r="V825" s="309"/>
      <c r="W825" s="310"/>
      <c r="X825" s="268"/>
      <c r="Y825" s="268"/>
      <c r="Z825" s="268"/>
    </row>
    <row r="826" spans="1:26" ht="24.75" customHeight="1">
      <c r="A826" s="268"/>
      <c r="B826" s="268"/>
      <c r="C826" s="268"/>
      <c r="D826" s="268"/>
      <c r="E826" s="268"/>
      <c r="F826" s="268"/>
      <c r="G826" s="268"/>
      <c r="H826" s="268"/>
      <c r="I826" s="268"/>
      <c r="J826" s="268"/>
      <c r="K826" s="268"/>
      <c r="L826" s="309"/>
      <c r="M826" s="268"/>
      <c r="N826" s="268"/>
      <c r="O826" s="310"/>
      <c r="P826" s="268"/>
      <c r="Q826" s="309"/>
      <c r="R826" s="268"/>
      <c r="S826" s="313"/>
      <c r="T826" s="313"/>
      <c r="U826" s="268"/>
      <c r="V826" s="309"/>
      <c r="W826" s="310"/>
      <c r="X826" s="268"/>
      <c r="Y826" s="268"/>
      <c r="Z826" s="268"/>
    </row>
    <row r="827" spans="1:26" ht="24.75" customHeight="1">
      <c r="A827" s="268"/>
      <c r="B827" s="268"/>
      <c r="C827" s="268"/>
      <c r="D827" s="268"/>
      <c r="E827" s="268"/>
      <c r="F827" s="268"/>
      <c r="G827" s="268"/>
      <c r="H827" s="268"/>
      <c r="I827" s="268"/>
      <c r="J827" s="268"/>
      <c r="K827" s="268"/>
      <c r="L827" s="309"/>
      <c r="M827" s="268"/>
      <c r="N827" s="268"/>
      <c r="O827" s="310"/>
      <c r="P827" s="268"/>
      <c r="Q827" s="309"/>
      <c r="R827" s="268"/>
      <c r="S827" s="313"/>
      <c r="T827" s="313"/>
      <c r="U827" s="268"/>
      <c r="V827" s="309"/>
      <c r="W827" s="310"/>
      <c r="X827" s="268"/>
      <c r="Y827" s="268"/>
      <c r="Z827" s="268"/>
    </row>
    <row r="828" spans="1:26" ht="24.75" customHeight="1">
      <c r="A828" s="268"/>
      <c r="B828" s="268"/>
      <c r="C828" s="268"/>
      <c r="D828" s="268"/>
      <c r="E828" s="268"/>
      <c r="F828" s="268"/>
      <c r="G828" s="268"/>
      <c r="H828" s="268"/>
      <c r="I828" s="268"/>
      <c r="J828" s="268"/>
      <c r="K828" s="268"/>
      <c r="L828" s="309"/>
      <c r="M828" s="268"/>
      <c r="N828" s="268"/>
      <c r="O828" s="310"/>
      <c r="P828" s="268"/>
      <c r="Q828" s="309"/>
      <c r="R828" s="268"/>
      <c r="S828" s="313"/>
      <c r="T828" s="313"/>
      <c r="U828" s="268"/>
      <c r="V828" s="309"/>
      <c r="W828" s="310"/>
      <c r="X828" s="268"/>
      <c r="Y828" s="268"/>
      <c r="Z828" s="268"/>
    </row>
    <row r="829" spans="1:26" ht="24.75" customHeight="1">
      <c r="A829" s="268"/>
      <c r="B829" s="268"/>
      <c r="C829" s="268"/>
      <c r="D829" s="268"/>
      <c r="E829" s="268"/>
      <c r="F829" s="268"/>
      <c r="G829" s="268"/>
      <c r="H829" s="268"/>
      <c r="I829" s="268"/>
      <c r="J829" s="268"/>
      <c r="K829" s="268"/>
      <c r="L829" s="309"/>
      <c r="M829" s="268"/>
      <c r="N829" s="268"/>
      <c r="O829" s="310"/>
      <c r="P829" s="268"/>
      <c r="Q829" s="309"/>
      <c r="R829" s="268"/>
      <c r="S829" s="313"/>
      <c r="T829" s="313"/>
      <c r="U829" s="268"/>
      <c r="V829" s="309"/>
      <c r="W829" s="310"/>
      <c r="X829" s="268"/>
      <c r="Y829" s="268"/>
      <c r="Z829" s="268"/>
    </row>
    <row r="830" spans="1:26" ht="24.75" customHeight="1">
      <c r="A830" s="268"/>
      <c r="B830" s="268"/>
      <c r="C830" s="268"/>
      <c r="D830" s="268"/>
      <c r="E830" s="268"/>
      <c r="F830" s="268"/>
      <c r="G830" s="268"/>
      <c r="H830" s="268"/>
      <c r="I830" s="268"/>
      <c r="J830" s="268"/>
      <c r="K830" s="268"/>
      <c r="L830" s="309"/>
      <c r="M830" s="268"/>
      <c r="N830" s="268"/>
      <c r="O830" s="310"/>
      <c r="P830" s="268"/>
      <c r="Q830" s="309"/>
      <c r="R830" s="268"/>
      <c r="S830" s="313"/>
      <c r="T830" s="313"/>
      <c r="U830" s="268"/>
      <c r="V830" s="309"/>
      <c r="W830" s="310"/>
      <c r="X830" s="268"/>
      <c r="Y830" s="268"/>
      <c r="Z830" s="268"/>
    </row>
    <row r="831" spans="1:26" ht="24.75" customHeight="1">
      <c r="A831" s="268"/>
      <c r="B831" s="268"/>
      <c r="C831" s="268"/>
      <c r="D831" s="268"/>
      <c r="E831" s="268"/>
      <c r="F831" s="268"/>
      <c r="G831" s="268"/>
      <c r="H831" s="268"/>
      <c r="I831" s="268"/>
      <c r="J831" s="268"/>
      <c r="K831" s="268"/>
      <c r="L831" s="309"/>
      <c r="M831" s="268"/>
      <c r="N831" s="268"/>
      <c r="O831" s="310"/>
      <c r="P831" s="268"/>
      <c r="Q831" s="309"/>
      <c r="R831" s="268"/>
      <c r="S831" s="313"/>
      <c r="T831" s="313"/>
      <c r="U831" s="268"/>
      <c r="V831" s="309"/>
      <c r="W831" s="310"/>
      <c r="X831" s="268"/>
      <c r="Y831" s="268"/>
      <c r="Z831" s="268"/>
    </row>
    <row r="832" spans="1:26" ht="24.75" customHeight="1">
      <c r="A832" s="268"/>
      <c r="B832" s="268"/>
      <c r="C832" s="268"/>
      <c r="D832" s="268"/>
      <c r="E832" s="268"/>
      <c r="F832" s="268"/>
      <c r="G832" s="268"/>
      <c r="H832" s="268"/>
      <c r="I832" s="268"/>
      <c r="J832" s="268"/>
      <c r="K832" s="268"/>
      <c r="L832" s="309"/>
      <c r="M832" s="268"/>
      <c r="N832" s="268"/>
      <c r="O832" s="310"/>
      <c r="P832" s="268"/>
      <c r="Q832" s="309"/>
      <c r="R832" s="268"/>
      <c r="S832" s="313"/>
      <c r="T832" s="313"/>
      <c r="U832" s="268"/>
      <c r="V832" s="309"/>
      <c r="W832" s="310"/>
      <c r="X832" s="268"/>
      <c r="Y832" s="268"/>
      <c r="Z832" s="268"/>
    </row>
    <row r="833" spans="1:26" ht="24.75" customHeight="1">
      <c r="A833" s="268"/>
      <c r="B833" s="268"/>
      <c r="C833" s="268"/>
      <c r="D833" s="268"/>
      <c r="E833" s="268"/>
      <c r="F833" s="268"/>
      <c r="G833" s="268"/>
      <c r="H833" s="268"/>
      <c r="I833" s="268"/>
      <c r="J833" s="268"/>
      <c r="K833" s="268"/>
      <c r="L833" s="309"/>
      <c r="M833" s="268"/>
      <c r="N833" s="268"/>
      <c r="O833" s="310"/>
      <c r="P833" s="268"/>
      <c r="Q833" s="309"/>
      <c r="R833" s="268"/>
      <c r="S833" s="313"/>
      <c r="T833" s="313"/>
      <c r="U833" s="268"/>
      <c r="V833" s="309"/>
      <c r="W833" s="310"/>
      <c r="X833" s="268"/>
      <c r="Y833" s="268"/>
      <c r="Z833" s="268"/>
    </row>
    <row r="834" spans="1:26" ht="24.75" customHeight="1">
      <c r="A834" s="268"/>
      <c r="B834" s="268"/>
      <c r="C834" s="268"/>
      <c r="D834" s="268"/>
      <c r="E834" s="268"/>
      <c r="F834" s="268"/>
      <c r="G834" s="268"/>
      <c r="H834" s="268"/>
      <c r="I834" s="268"/>
      <c r="J834" s="268"/>
      <c r="K834" s="268"/>
      <c r="L834" s="309"/>
      <c r="M834" s="268"/>
      <c r="N834" s="268"/>
      <c r="O834" s="310"/>
      <c r="P834" s="268"/>
      <c r="Q834" s="309"/>
      <c r="R834" s="268"/>
      <c r="S834" s="313"/>
      <c r="T834" s="313"/>
      <c r="U834" s="268"/>
      <c r="V834" s="309"/>
      <c r="W834" s="310"/>
      <c r="X834" s="268"/>
      <c r="Y834" s="268"/>
      <c r="Z834" s="268"/>
    </row>
    <row r="835" spans="1:26" ht="24.75" customHeight="1">
      <c r="A835" s="268"/>
      <c r="B835" s="268"/>
      <c r="C835" s="268"/>
      <c r="D835" s="268"/>
      <c r="E835" s="268"/>
      <c r="F835" s="268"/>
      <c r="G835" s="268"/>
      <c r="H835" s="268"/>
      <c r="I835" s="268"/>
      <c r="J835" s="268"/>
      <c r="K835" s="268"/>
      <c r="L835" s="309"/>
      <c r="M835" s="268"/>
      <c r="N835" s="268"/>
      <c r="O835" s="310"/>
      <c r="P835" s="268"/>
      <c r="Q835" s="309"/>
      <c r="R835" s="268"/>
      <c r="S835" s="313"/>
      <c r="T835" s="313"/>
      <c r="U835" s="268"/>
      <c r="V835" s="309"/>
      <c r="W835" s="310"/>
      <c r="X835" s="268"/>
      <c r="Y835" s="268"/>
      <c r="Z835" s="268"/>
    </row>
    <row r="836" spans="1:26" ht="24.75" customHeight="1">
      <c r="A836" s="268"/>
      <c r="B836" s="268"/>
      <c r="C836" s="268"/>
      <c r="D836" s="268"/>
      <c r="E836" s="268"/>
      <c r="F836" s="268"/>
      <c r="G836" s="268"/>
      <c r="H836" s="268"/>
      <c r="I836" s="268"/>
      <c r="J836" s="268"/>
      <c r="K836" s="268"/>
      <c r="L836" s="309"/>
      <c r="M836" s="268"/>
      <c r="N836" s="268"/>
      <c r="O836" s="310"/>
      <c r="P836" s="268"/>
      <c r="Q836" s="309"/>
      <c r="R836" s="268"/>
      <c r="S836" s="313"/>
      <c r="T836" s="313"/>
      <c r="U836" s="268"/>
      <c r="V836" s="309"/>
      <c r="W836" s="310"/>
      <c r="X836" s="268"/>
      <c r="Y836" s="268"/>
      <c r="Z836" s="268"/>
    </row>
    <row r="837" spans="1:26" ht="24.75" customHeight="1">
      <c r="A837" s="268"/>
      <c r="B837" s="268"/>
      <c r="C837" s="268"/>
      <c r="D837" s="268"/>
      <c r="E837" s="268"/>
      <c r="F837" s="268"/>
      <c r="G837" s="268"/>
      <c r="H837" s="268"/>
      <c r="I837" s="268"/>
      <c r="J837" s="268"/>
      <c r="K837" s="268"/>
      <c r="L837" s="309"/>
      <c r="M837" s="268"/>
      <c r="N837" s="268"/>
      <c r="O837" s="310"/>
      <c r="P837" s="268"/>
      <c r="Q837" s="309"/>
      <c r="R837" s="268"/>
      <c r="S837" s="313"/>
      <c r="T837" s="313"/>
      <c r="U837" s="268"/>
      <c r="V837" s="309"/>
      <c r="W837" s="310"/>
      <c r="X837" s="268"/>
      <c r="Y837" s="268"/>
      <c r="Z837" s="268"/>
    </row>
    <row r="838" spans="1:26" ht="24.75" customHeight="1">
      <c r="A838" s="268"/>
      <c r="B838" s="268"/>
      <c r="C838" s="268"/>
      <c r="D838" s="268"/>
      <c r="E838" s="268"/>
      <c r="F838" s="268"/>
      <c r="G838" s="268"/>
      <c r="H838" s="268"/>
      <c r="I838" s="268"/>
      <c r="J838" s="268"/>
      <c r="K838" s="268"/>
      <c r="L838" s="309"/>
      <c r="M838" s="268"/>
      <c r="N838" s="268"/>
      <c r="O838" s="310"/>
      <c r="P838" s="268"/>
      <c r="Q838" s="309"/>
      <c r="R838" s="268"/>
      <c r="S838" s="313"/>
      <c r="T838" s="313"/>
      <c r="U838" s="268"/>
      <c r="V838" s="309"/>
      <c r="W838" s="310"/>
      <c r="X838" s="268"/>
      <c r="Y838" s="268"/>
      <c r="Z838" s="268"/>
    </row>
    <row r="839" spans="1:26" ht="24.75" customHeight="1">
      <c r="A839" s="268"/>
      <c r="B839" s="268"/>
      <c r="C839" s="268"/>
      <c r="D839" s="268"/>
      <c r="E839" s="268"/>
      <c r="F839" s="268"/>
      <c r="G839" s="268"/>
      <c r="H839" s="268"/>
      <c r="I839" s="268"/>
      <c r="J839" s="268"/>
      <c r="K839" s="268"/>
      <c r="L839" s="309"/>
      <c r="M839" s="268"/>
      <c r="N839" s="268"/>
      <c r="O839" s="310"/>
      <c r="P839" s="268"/>
      <c r="Q839" s="309"/>
      <c r="R839" s="268"/>
      <c r="S839" s="313"/>
      <c r="T839" s="313"/>
      <c r="U839" s="268"/>
      <c r="V839" s="309"/>
      <c r="W839" s="310"/>
      <c r="X839" s="268"/>
      <c r="Y839" s="268"/>
      <c r="Z839" s="268"/>
    </row>
    <row r="840" spans="1:26" ht="24.75" customHeight="1">
      <c r="A840" s="268"/>
      <c r="B840" s="268"/>
      <c r="C840" s="268"/>
      <c r="D840" s="268"/>
      <c r="E840" s="268"/>
      <c r="F840" s="268"/>
      <c r="G840" s="268"/>
      <c r="H840" s="268"/>
      <c r="I840" s="268"/>
      <c r="J840" s="268"/>
      <c r="K840" s="268"/>
      <c r="L840" s="309"/>
      <c r="M840" s="268"/>
      <c r="N840" s="268"/>
      <c r="O840" s="310"/>
      <c r="P840" s="268"/>
      <c r="Q840" s="309"/>
      <c r="R840" s="268"/>
      <c r="S840" s="313"/>
      <c r="T840" s="313"/>
      <c r="U840" s="268"/>
      <c r="V840" s="309"/>
      <c r="W840" s="310"/>
      <c r="X840" s="268"/>
      <c r="Y840" s="268"/>
      <c r="Z840" s="268"/>
    </row>
    <row r="841" spans="1:26" ht="24.75" customHeight="1">
      <c r="A841" s="268"/>
      <c r="B841" s="268"/>
      <c r="C841" s="268"/>
      <c r="D841" s="268"/>
      <c r="E841" s="268"/>
      <c r="F841" s="268"/>
      <c r="G841" s="268"/>
      <c r="H841" s="268"/>
      <c r="I841" s="268"/>
      <c r="J841" s="268"/>
      <c r="K841" s="268"/>
      <c r="L841" s="309"/>
      <c r="M841" s="268"/>
      <c r="N841" s="268"/>
      <c r="O841" s="310"/>
      <c r="P841" s="268"/>
      <c r="Q841" s="309"/>
      <c r="R841" s="268"/>
      <c r="S841" s="313"/>
      <c r="T841" s="313"/>
      <c r="U841" s="268"/>
      <c r="V841" s="309"/>
      <c r="W841" s="310"/>
      <c r="X841" s="268"/>
      <c r="Y841" s="268"/>
      <c r="Z841" s="268"/>
    </row>
    <row r="842" spans="1:26" ht="24.75" customHeight="1">
      <c r="A842" s="268"/>
      <c r="B842" s="268"/>
      <c r="C842" s="268"/>
      <c r="D842" s="268"/>
      <c r="E842" s="268"/>
      <c r="F842" s="268"/>
      <c r="G842" s="268"/>
      <c r="H842" s="268"/>
      <c r="I842" s="268"/>
      <c r="J842" s="268"/>
      <c r="K842" s="268"/>
      <c r="L842" s="309"/>
      <c r="M842" s="268"/>
      <c r="N842" s="268"/>
      <c r="O842" s="310"/>
      <c r="P842" s="268"/>
      <c r="Q842" s="309"/>
      <c r="R842" s="268"/>
      <c r="S842" s="313"/>
      <c r="T842" s="313"/>
      <c r="U842" s="268"/>
      <c r="V842" s="309"/>
      <c r="W842" s="310"/>
      <c r="X842" s="268"/>
      <c r="Y842" s="268"/>
      <c r="Z842" s="268"/>
    </row>
    <row r="843" spans="1:26" ht="24.75" customHeight="1">
      <c r="A843" s="268"/>
      <c r="B843" s="268"/>
      <c r="C843" s="268"/>
      <c r="D843" s="268"/>
      <c r="E843" s="268"/>
      <c r="F843" s="268"/>
      <c r="G843" s="268"/>
      <c r="H843" s="268"/>
      <c r="I843" s="268"/>
      <c r="J843" s="268"/>
      <c r="K843" s="268"/>
      <c r="L843" s="309"/>
      <c r="M843" s="268"/>
      <c r="N843" s="268"/>
      <c r="O843" s="310"/>
      <c r="P843" s="268"/>
      <c r="Q843" s="309"/>
      <c r="R843" s="268"/>
      <c r="S843" s="313"/>
      <c r="T843" s="313"/>
      <c r="U843" s="268"/>
      <c r="V843" s="309"/>
      <c r="W843" s="310"/>
      <c r="X843" s="268"/>
      <c r="Y843" s="268"/>
      <c r="Z843" s="268"/>
    </row>
    <row r="844" spans="1:26" ht="24.75" customHeight="1">
      <c r="A844" s="268"/>
      <c r="B844" s="268"/>
      <c r="C844" s="268"/>
      <c r="D844" s="268"/>
      <c r="E844" s="268"/>
      <c r="F844" s="268"/>
      <c r="G844" s="268"/>
      <c r="H844" s="268"/>
      <c r="I844" s="268"/>
      <c r="J844" s="268"/>
      <c r="K844" s="268"/>
      <c r="L844" s="309"/>
      <c r="M844" s="268"/>
      <c r="N844" s="268"/>
      <c r="O844" s="310"/>
      <c r="P844" s="268"/>
      <c r="Q844" s="309"/>
      <c r="R844" s="268"/>
      <c r="S844" s="313"/>
      <c r="T844" s="313"/>
      <c r="U844" s="268"/>
      <c r="V844" s="309"/>
      <c r="W844" s="310"/>
      <c r="X844" s="268"/>
      <c r="Y844" s="268"/>
      <c r="Z844" s="268"/>
    </row>
    <row r="845" spans="1:26" ht="24.75" customHeight="1">
      <c r="A845" s="268"/>
      <c r="B845" s="268"/>
      <c r="C845" s="268"/>
      <c r="D845" s="268"/>
      <c r="E845" s="268"/>
      <c r="F845" s="268"/>
      <c r="G845" s="268"/>
      <c r="H845" s="268"/>
      <c r="I845" s="268"/>
      <c r="J845" s="268"/>
      <c r="K845" s="268"/>
      <c r="L845" s="309"/>
      <c r="M845" s="268"/>
      <c r="N845" s="268"/>
      <c r="O845" s="310"/>
      <c r="P845" s="268"/>
      <c r="Q845" s="309"/>
      <c r="R845" s="268"/>
      <c r="S845" s="313"/>
      <c r="T845" s="313"/>
      <c r="U845" s="268"/>
      <c r="V845" s="309"/>
      <c r="W845" s="310"/>
      <c r="X845" s="268"/>
      <c r="Y845" s="268"/>
      <c r="Z845" s="268"/>
    </row>
    <row r="846" spans="1:26" ht="24.75" customHeight="1">
      <c r="A846" s="268"/>
      <c r="B846" s="268"/>
      <c r="C846" s="268"/>
      <c r="D846" s="268"/>
      <c r="E846" s="268"/>
      <c r="F846" s="268"/>
      <c r="G846" s="268"/>
      <c r="H846" s="268"/>
      <c r="I846" s="268"/>
      <c r="J846" s="268"/>
      <c r="K846" s="268"/>
      <c r="L846" s="309"/>
      <c r="M846" s="268"/>
      <c r="N846" s="268"/>
      <c r="O846" s="310"/>
      <c r="P846" s="268"/>
      <c r="Q846" s="309"/>
      <c r="R846" s="268"/>
      <c r="S846" s="313"/>
      <c r="T846" s="313"/>
      <c r="U846" s="268"/>
      <c r="V846" s="309"/>
      <c r="W846" s="310"/>
      <c r="X846" s="268"/>
      <c r="Y846" s="268"/>
      <c r="Z846" s="268"/>
    </row>
    <row r="847" spans="1:26" ht="24.75" customHeight="1">
      <c r="A847" s="268"/>
      <c r="B847" s="268"/>
      <c r="C847" s="268"/>
      <c r="D847" s="268"/>
      <c r="E847" s="268"/>
      <c r="F847" s="268"/>
      <c r="G847" s="268"/>
      <c r="H847" s="268"/>
      <c r="I847" s="268"/>
      <c r="J847" s="268"/>
      <c r="K847" s="268"/>
      <c r="L847" s="309"/>
      <c r="M847" s="268"/>
      <c r="N847" s="268"/>
      <c r="O847" s="310"/>
      <c r="P847" s="268"/>
      <c r="Q847" s="309"/>
      <c r="R847" s="268"/>
      <c r="S847" s="313"/>
      <c r="T847" s="313"/>
      <c r="U847" s="268"/>
      <c r="V847" s="309"/>
      <c r="W847" s="310"/>
      <c r="X847" s="268"/>
      <c r="Y847" s="268"/>
      <c r="Z847" s="268"/>
    </row>
    <row r="848" spans="1:26" ht="24.75" customHeight="1">
      <c r="A848" s="268"/>
      <c r="B848" s="268"/>
      <c r="C848" s="268"/>
      <c r="D848" s="268"/>
      <c r="E848" s="268"/>
      <c r="F848" s="268"/>
      <c r="G848" s="268"/>
      <c r="H848" s="268"/>
      <c r="I848" s="268"/>
      <c r="J848" s="268"/>
      <c r="K848" s="268"/>
      <c r="L848" s="309"/>
      <c r="M848" s="268"/>
      <c r="N848" s="268"/>
      <c r="O848" s="310"/>
      <c r="P848" s="268"/>
      <c r="Q848" s="309"/>
      <c r="R848" s="268"/>
      <c r="S848" s="313"/>
      <c r="T848" s="313"/>
      <c r="U848" s="268"/>
      <c r="V848" s="309"/>
      <c r="W848" s="310"/>
      <c r="X848" s="268"/>
      <c r="Y848" s="268"/>
      <c r="Z848" s="268"/>
    </row>
    <row r="849" spans="1:26" ht="24.75" customHeight="1">
      <c r="A849" s="268"/>
      <c r="B849" s="268"/>
      <c r="C849" s="268"/>
      <c r="D849" s="268"/>
      <c r="E849" s="268"/>
      <c r="F849" s="268"/>
      <c r="G849" s="268"/>
      <c r="H849" s="268"/>
      <c r="I849" s="268"/>
      <c r="J849" s="268"/>
      <c r="K849" s="268"/>
      <c r="L849" s="309"/>
      <c r="M849" s="268"/>
      <c r="N849" s="268"/>
      <c r="O849" s="310"/>
      <c r="P849" s="268"/>
      <c r="Q849" s="309"/>
      <c r="R849" s="268"/>
      <c r="S849" s="313"/>
      <c r="T849" s="313"/>
      <c r="U849" s="268"/>
      <c r="V849" s="309"/>
      <c r="W849" s="310"/>
      <c r="X849" s="268"/>
      <c r="Y849" s="268"/>
      <c r="Z849" s="268"/>
    </row>
    <row r="850" spans="1:26" ht="24.75" customHeight="1">
      <c r="A850" s="268"/>
      <c r="B850" s="268"/>
      <c r="C850" s="268"/>
      <c r="D850" s="268"/>
      <c r="E850" s="268"/>
      <c r="F850" s="268"/>
      <c r="G850" s="268"/>
      <c r="H850" s="268"/>
      <c r="I850" s="268"/>
      <c r="J850" s="268"/>
      <c r="K850" s="268"/>
      <c r="L850" s="309"/>
      <c r="M850" s="268"/>
      <c r="N850" s="268"/>
      <c r="O850" s="310"/>
      <c r="P850" s="268"/>
      <c r="Q850" s="309"/>
      <c r="R850" s="268"/>
      <c r="S850" s="313"/>
      <c r="T850" s="313"/>
      <c r="U850" s="268"/>
      <c r="V850" s="309"/>
      <c r="W850" s="310"/>
      <c r="X850" s="268"/>
      <c r="Y850" s="268"/>
      <c r="Z850" s="268"/>
    </row>
    <row r="851" spans="1:26" ht="24.75" customHeight="1">
      <c r="A851" s="268"/>
      <c r="B851" s="268"/>
      <c r="C851" s="268"/>
      <c r="D851" s="268"/>
      <c r="E851" s="268"/>
      <c r="F851" s="268"/>
      <c r="G851" s="268"/>
      <c r="H851" s="268"/>
      <c r="I851" s="268"/>
      <c r="J851" s="268"/>
      <c r="K851" s="268"/>
      <c r="L851" s="309"/>
      <c r="M851" s="268"/>
      <c r="N851" s="268"/>
      <c r="O851" s="310"/>
      <c r="P851" s="268"/>
      <c r="Q851" s="309"/>
      <c r="R851" s="268"/>
      <c r="S851" s="313"/>
      <c r="T851" s="313"/>
      <c r="U851" s="268"/>
      <c r="V851" s="309"/>
      <c r="W851" s="310"/>
      <c r="X851" s="268"/>
      <c r="Y851" s="268"/>
      <c r="Z851" s="268"/>
    </row>
    <row r="852" spans="1:26" ht="24.75" customHeight="1">
      <c r="A852" s="268"/>
      <c r="B852" s="268"/>
      <c r="C852" s="268"/>
      <c r="D852" s="268"/>
      <c r="E852" s="268"/>
      <c r="F852" s="268"/>
      <c r="G852" s="268"/>
      <c r="H852" s="268"/>
      <c r="I852" s="268"/>
      <c r="J852" s="268"/>
      <c r="K852" s="268"/>
      <c r="L852" s="309"/>
      <c r="M852" s="268"/>
      <c r="N852" s="268"/>
      <c r="O852" s="310"/>
      <c r="P852" s="268"/>
      <c r="Q852" s="309"/>
      <c r="R852" s="268"/>
      <c r="S852" s="313"/>
      <c r="T852" s="313"/>
      <c r="U852" s="268"/>
      <c r="V852" s="309"/>
      <c r="W852" s="310"/>
      <c r="X852" s="268"/>
      <c r="Y852" s="268"/>
      <c r="Z852" s="268"/>
    </row>
    <row r="853" spans="1:26" ht="24.75" customHeight="1">
      <c r="A853" s="268"/>
      <c r="B853" s="268"/>
      <c r="C853" s="268"/>
      <c r="D853" s="268"/>
      <c r="E853" s="268"/>
      <c r="F853" s="268"/>
      <c r="G853" s="268"/>
      <c r="H853" s="268"/>
      <c r="I853" s="268"/>
      <c r="J853" s="268"/>
      <c r="K853" s="268"/>
      <c r="L853" s="309"/>
      <c r="M853" s="268"/>
      <c r="N853" s="268"/>
      <c r="O853" s="310"/>
      <c r="P853" s="268"/>
      <c r="Q853" s="309"/>
      <c r="R853" s="268"/>
      <c r="S853" s="313"/>
      <c r="T853" s="313"/>
      <c r="U853" s="268"/>
      <c r="V853" s="309"/>
      <c r="W853" s="310"/>
      <c r="X853" s="268"/>
      <c r="Y853" s="268"/>
      <c r="Z853" s="268"/>
    </row>
    <row r="854" spans="1:26" ht="24.75" customHeight="1">
      <c r="A854" s="268"/>
      <c r="B854" s="268"/>
      <c r="C854" s="268"/>
      <c r="D854" s="268"/>
      <c r="E854" s="268"/>
      <c r="F854" s="268"/>
      <c r="G854" s="268"/>
      <c r="H854" s="268"/>
      <c r="I854" s="268"/>
      <c r="J854" s="268"/>
      <c r="K854" s="268"/>
      <c r="L854" s="309"/>
      <c r="M854" s="268"/>
      <c r="N854" s="268"/>
      <c r="O854" s="310"/>
      <c r="P854" s="268"/>
      <c r="Q854" s="309"/>
      <c r="R854" s="268"/>
      <c r="S854" s="313"/>
      <c r="T854" s="313"/>
      <c r="U854" s="268"/>
      <c r="V854" s="309"/>
      <c r="W854" s="310"/>
      <c r="X854" s="268"/>
      <c r="Y854" s="268"/>
      <c r="Z854" s="268"/>
    </row>
    <row r="855" spans="1:26" ht="24.75" customHeight="1">
      <c r="A855" s="268"/>
      <c r="B855" s="268"/>
      <c r="C855" s="268"/>
      <c r="D855" s="268"/>
      <c r="E855" s="268"/>
      <c r="F855" s="268"/>
      <c r="G855" s="268"/>
      <c r="H855" s="268"/>
      <c r="I855" s="268"/>
      <c r="J855" s="268"/>
      <c r="K855" s="268"/>
      <c r="L855" s="309"/>
      <c r="M855" s="268"/>
      <c r="N855" s="268"/>
      <c r="O855" s="310"/>
      <c r="P855" s="268"/>
      <c r="Q855" s="309"/>
      <c r="R855" s="268"/>
      <c r="S855" s="313"/>
      <c r="T855" s="313"/>
      <c r="U855" s="268"/>
      <c r="V855" s="309"/>
      <c r="W855" s="310"/>
      <c r="X855" s="268"/>
      <c r="Y855" s="268"/>
      <c r="Z855" s="268"/>
    </row>
    <row r="856" spans="1:26" ht="24.75" customHeight="1">
      <c r="A856" s="268"/>
      <c r="B856" s="268"/>
      <c r="C856" s="268"/>
      <c r="D856" s="268"/>
      <c r="E856" s="268"/>
      <c r="F856" s="268"/>
      <c r="G856" s="268"/>
      <c r="H856" s="268"/>
      <c r="I856" s="268"/>
      <c r="J856" s="268"/>
      <c r="K856" s="268"/>
      <c r="L856" s="309"/>
      <c r="M856" s="268"/>
      <c r="N856" s="268"/>
      <c r="O856" s="310"/>
      <c r="P856" s="268"/>
      <c r="Q856" s="309"/>
      <c r="R856" s="268"/>
      <c r="S856" s="313"/>
      <c r="T856" s="313"/>
      <c r="U856" s="268"/>
      <c r="V856" s="309"/>
      <c r="W856" s="310"/>
      <c r="X856" s="268"/>
      <c r="Y856" s="268"/>
      <c r="Z856" s="268"/>
    </row>
    <row r="857" spans="1:26" ht="24.75" customHeight="1">
      <c r="A857" s="268"/>
      <c r="B857" s="268"/>
      <c r="C857" s="268"/>
      <c r="D857" s="268"/>
      <c r="E857" s="268"/>
      <c r="F857" s="268"/>
      <c r="G857" s="268"/>
      <c r="H857" s="268"/>
      <c r="I857" s="268"/>
      <c r="J857" s="268"/>
      <c r="K857" s="268"/>
      <c r="L857" s="309"/>
      <c r="M857" s="268"/>
      <c r="N857" s="268"/>
      <c r="O857" s="310"/>
      <c r="P857" s="268"/>
      <c r="Q857" s="309"/>
      <c r="R857" s="268"/>
      <c r="S857" s="313"/>
      <c r="T857" s="313"/>
      <c r="U857" s="268"/>
      <c r="V857" s="309"/>
      <c r="W857" s="310"/>
      <c r="X857" s="268"/>
      <c r="Y857" s="268"/>
      <c r="Z857" s="268"/>
    </row>
    <row r="858" spans="1:26" ht="24.75" customHeight="1">
      <c r="A858" s="268"/>
      <c r="B858" s="268"/>
      <c r="C858" s="268"/>
      <c r="D858" s="268"/>
      <c r="E858" s="268"/>
      <c r="F858" s="268"/>
      <c r="G858" s="268"/>
      <c r="H858" s="268"/>
      <c r="I858" s="268"/>
      <c r="J858" s="268"/>
      <c r="K858" s="268"/>
      <c r="L858" s="309"/>
      <c r="M858" s="268"/>
      <c r="N858" s="268"/>
      <c r="O858" s="310"/>
      <c r="P858" s="268"/>
      <c r="Q858" s="309"/>
      <c r="R858" s="268"/>
      <c r="S858" s="313"/>
      <c r="T858" s="313"/>
      <c r="U858" s="268"/>
      <c r="V858" s="309"/>
      <c r="W858" s="310"/>
      <c r="X858" s="268"/>
      <c r="Y858" s="268"/>
      <c r="Z858" s="268"/>
    </row>
    <row r="859" spans="1:26" ht="24.75" customHeight="1">
      <c r="A859" s="268"/>
      <c r="B859" s="268"/>
      <c r="C859" s="268"/>
      <c r="D859" s="268"/>
      <c r="E859" s="268"/>
      <c r="F859" s="268"/>
      <c r="G859" s="268"/>
      <c r="H859" s="268"/>
      <c r="I859" s="268"/>
      <c r="J859" s="268"/>
      <c r="K859" s="268"/>
      <c r="L859" s="309"/>
      <c r="M859" s="268"/>
      <c r="N859" s="268"/>
      <c r="O859" s="310"/>
      <c r="P859" s="268"/>
      <c r="Q859" s="309"/>
      <c r="R859" s="268"/>
      <c r="S859" s="313"/>
      <c r="T859" s="313"/>
      <c r="U859" s="268"/>
      <c r="V859" s="309"/>
      <c r="W859" s="310"/>
      <c r="X859" s="268"/>
      <c r="Y859" s="268"/>
      <c r="Z859" s="268"/>
    </row>
    <row r="860" spans="1:26" ht="24.75" customHeight="1">
      <c r="A860" s="268"/>
      <c r="B860" s="268"/>
      <c r="C860" s="268"/>
      <c r="D860" s="268"/>
      <c r="E860" s="268"/>
      <c r="F860" s="268"/>
      <c r="G860" s="268"/>
      <c r="H860" s="268"/>
      <c r="I860" s="268"/>
      <c r="J860" s="268"/>
      <c r="K860" s="268"/>
      <c r="L860" s="309"/>
      <c r="M860" s="268"/>
      <c r="N860" s="268"/>
      <c r="O860" s="310"/>
      <c r="P860" s="268"/>
      <c r="Q860" s="309"/>
      <c r="R860" s="268"/>
      <c r="S860" s="313"/>
      <c r="T860" s="313"/>
      <c r="U860" s="268"/>
      <c r="V860" s="309"/>
      <c r="W860" s="310"/>
      <c r="X860" s="268"/>
      <c r="Y860" s="268"/>
      <c r="Z860" s="268"/>
    </row>
    <row r="861" spans="1:26" ht="24.75" customHeight="1">
      <c r="A861" s="268"/>
      <c r="B861" s="268"/>
      <c r="C861" s="268"/>
      <c r="D861" s="268"/>
      <c r="E861" s="268"/>
      <c r="F861" s="268"/>
      <c r="G861" s="268"/>
      <c r="H861" s="268"/>
      <c r="I861" s="268"/>
      <c r="J861" s="268"/>
      <c r="K861" s="268"/>
      <c r="L861" s="309"/>
      <c r="M861" s="268"/>
      <c r="N861" s="268"/>
      <c r="O861" s="310"/>
      <c r="P861" s="268"/>
      <c r="Q861" s="309"/>
      <c r="R861" s="268"/>
      <c r="S861" s="313"/>
      <c r="T861" s="313"/>
      <c r="U861" s="268"/>
      <c r="V861" s="309"/>
      <c r="W861" s="310"/>
      <c r="X861" s="268"/>
      <c r="Y861" s="268"/>
      <c r="Z861" s="268"/>
    </row>
    <row r="862" spans="1:26" ht="24.75" customHeight="1">
      <c r="A862" s="268"/>
      <c r="B862" s="268"/>
      <c r="C862" s="268"/>
      <c r="D862" s="268"/>
      <c r="E862" s="268"/>
      <c r="F862" s="268"/>
      <c r="G862" s="268"/>
      <c r="H862" s="268"/>
      <c r="I862" s="268"/>
      <c r="J862" s="268"/>
      <c r="K862" s="268"/>
      <c r="L862" s="309"/>
      <c r="M862" s="268"/>
      <c r="N862" s="268"/>
      <c r="O862" s="310"/>
      <c r="P862" s="268"/>
      <c r="Q862" s="309"/>
      <c r="R862" s="268"/>
      <c r="S862" s="313"/>
      <c r="T862" s="313"/>
      <c r="U862" s="268"/>
      <c r="V862" s="309"/>
      <c r="W862" s="310"/>
      <c r="X862" s="268"/>
      <c r="Y862" s="268"/>
      <c r="Z862" s="268"/>
    </row>
    <row r="863" spans="1:26" ht="24.75" customHeight="1">
      <c r="A863" s="268"/>
      <c r="B863" s="268"/>
      <c r="C863" s="268"/>
      <c r="D863" s="268"/>
      <c r="E863" s="268"/>
      <c r="F863" s="268"/>
      <c r="G863" s="268"/>
      <c r="H863" s="268"/>
      <c r="I863" s="268"/>
      <c r="J863" s="268"/>
      <c r="K863" s="268"/>
      <c r="L863" s="309"/>
      <c r="M863" s="268"/>
      <c r="N863" s="268"/>
      <c r="O863" s="310"/>
      <c r="P863" s="268"/>
      <c r="Q863" s="309"/>
      <c r="R863" s="268"/>
      <c r="S863" s="313"/>
      <c r="T863" s="313"/>
      <c r="U863" s="268"/>
      <c r="V863" s="309"/>
      <c r="W863" s="310"/>
      <c r="X863" s="268"/>
      <c r="Y863" s="268"/>
      <c r="Z863" s="268"/>
    </row>
    <row r="864" spans="1:26" ht="24.75" customHeight="1">
      <c r="A864" s="268"/>
      <c r="B864" s="268"/>
      <c r="C864" s="268"/>
      <c r="D864" s="268"/>
      <c r="E864" s="268"/>
      <c r="F864" s="268"/>
      <c r="G864" s="268"/>
      <c r="H864" s="268"/>
      <c r="I864" s="268"/>
      <c r="J864" s="268"/>
      <c r="K864" s="268"/>
      <c r="L864" s="309"/>
      <c r="M864" s="268"/>
      <c r="N864" s="268"/>
      <c r="O864" s="310"/>
      <c r="P864" s="268"/>
      <c r="Q864" s="309"/>
      <c r="R864" s="268"/>
      <c r="S864" s="313"/>
      <c r="T864" s="313"/>
      <c r="U864" s="268"/>
      <c r="V864" s="309"/>
      <c r="W864" s="310"/>
      <c r="X864" s="268"/>
      <c r="Y864" s="268"/>
      <c r="Z864" s="268"/>
    </row>
    <row r="865" spans="1:26" ht="24.75" customHeight="1">
      <c r="A865" s="268"/>
      <c r="B865" s="268"/>
      <c r="C865" s="268"/>
      <c r="D865" s="268"/>
      <c r="E865" s="268"/>
      <c r="F865" s="268"/>
      <c r="G865" s="268"/>
      <c r="H865" s="268"/>
      <c r="I865" s="268"/>
      <c r="J865" s="268"/>
      <c r="K865" s="268"/>
      <c r="L865" s="309"/>
      <c r="M865" s="268"/>
      <c r="N865" s="268"/>
      <c r="O865" s="310"/>
      <c r="P865" s="268"/>
      <c r="Q865" s="309"/>
      <c r="R865" s="268"/>
      <c r="S865" s="313"/>
      <c r="T865" s="313"/>
      <c r="U865" s="268"/>
      <c r="V865" s="309"/>
      <c r="W865" s="310"/>
      <c r="X865" s="268"/>
      <c r="Y865" s="268"/>
      <c r="Z865" s="268"/>
    </row>
    <row r="866" spans="1:26" ht="24.75" customHeight="1">
      <c r="A866" s="268"/>
      <c r="B866" s="268"/>
      <c r="C866" s="268"/>
      <c r="D866" s="268"/>
      <c r="E866" s="268"/>
      <c r="F866" s="268"/>
      <c r="G866" s="268"/>
      <c r="H866" s="268"/>
      <c r="I866" s="268"/>
      <c r="J866" s="268"/>
      <c r="K866" s="268"/>
      <c r="L866" s="309"/>
      <c r="M866" s="268"/>
      <c r="N866" s="268"/>
      <c r="O866" s="310"/>
      <c r="P866" s="268"/>
      <c r="Q866" s="309"/>
      <c r="R866" s="268"/>
      <c r="S866" s="313"/>
      <c r="T866" s="313"/>
      <c r="U866" s="268"/>
      <c r="V866" s="309"/>
      <c r="W866" s="310"/>
      <c r="X866" s="268"/>
      <c r="Y866" s="268"/>
      <c r="Z866" s="268"/>
    </row>
    <row r="867" spans="1:26" ht="24.75" customHeight="1">
      <c r="A867" s="268"/>
      <c r="B867" s="268"/>
      <c r="C867" s="268"/>
      <c r="D867" s="268"/>
      <c r="E867" s="268"/>
      <c r="F867" s="268"/>
      <c r="G867" s="268"/>
      <c r="H867" s="268"/>
      <c r="I867" s="268"/>
      <c r="J867" s="268"/>
      <c r="K867" s="268"/>
      <c r="L867" s="309"/>
      <c r="M867" s="268"/>
      <c r="N867" s="268"/>
      <c r="O867" s="310"/>
      <c r="P867" s="268"/>
      <c r="Q867" s="309"/>
      <c r="R867" s="268"/>
      <c r="S867" s="313"/>
      <c r="T867" s="313"/>
      <c r="U867" s="268"/>
      <c r="V867" s="309"/>
      <c r="W867" s="310"/>
      <c r="X867" s="268"/>
      <c r="Y867" s="268"/>
      <c r="Z867" s="268"/>
    </row>
    <row r="868" spans="1:26" ht="24.75" customHeight="1">
      <c r="A868" s="268"/>
      <c r="B868" s="268"/>
      <c r="C868" s="268"/>
      <c r="D868" s="268"/>
      <c r="E868" s="268"/>
      <c r="F868" s="268"/>
      <c r="G868" s="268"/>
      <c r="H868" s="268"/>
      <c r="I868" s="268"/>
      <c r="J868" s="268"/>
      <c r="K868" s="268"/>
      <c r="L868" s="309"/>
      <c r="M868" s="268"/>
      <c r="N868" s="268"/>
      <c r="O868" s="310"/>
      <c r="P868" s="268"/>
      <c r="Q868" s="309"/>
      <c r="R868" s="268"/>
      <c r="S868" s="313"/>
      <c r="T868" s="313"/>
      <c r="U868" s="268"/>
      <c r="V868" s="309"/>
      <c r="W868" s="310"/>
      <c r="X868" s="268"/>
      <c r="Y868" s="268"/>
      <c r="Z868" s="268"/>
    </row>
    <row r="869" spans="1:26" ht="24.75" customHeight="1">
      <c r="A869" s="268"/>
      <c r="B869" s="268"/>
      <c r="C869" s="268"/>
      <c r="D869" s="268"/>
      <c r="E869" s="268"/>
      <c r="F869" s="268"/>
      <c r="G869" s="268"/>
      <c r="H869" s="268"/>
      <c r="I869" s="268"/>
      <c r="J869" s="268"/>
      <c r="K869" s="268"/>
      <c r="L869" s="309"/>
      <c r="M869" s="268"/>
      <c r="N869" s="268"/>
      <c r="O869" s="310"/>
      <c r="P869" s="268"/>
      <c r="Q869" s="309"/>
      <c r="R869" s="268"/>
      <c r="S869" s="313"/>
      <c r="T869" s="313"/>
      <c r="U869" s="268"/>
      <c r="V869" s="309"/>
      <c r="W869" s="310"/>
      <c r="X869" s="268"/>
      <c r="Y869" s="268"/>
      <c r="Z869" s="268"/>
    </row>
    <row r="870" spans="1:26" ht="24.75" customHeight="1">
      <c r="A870" s="268"/>
      <c r="B870" s="268"/>
      <c r="C870" s="268"/>
      <c r="D870" s="268"/>
      <c r="E870" s="268"/>
      <c r="F870" s="268"/>
      <c r="G870" s="268"/>
      <c r="H870" s="268"/>
      <c r="I870" s="268"/>
      <c r="J870" s="268"/>
      <c r="K870" s="268"/>
      <c r="L870" s="309"/>
      <c r="M870" s="268"/>
      <c r="N870" s="268"/>
      <c r="O870" s="310"/>
      <c r="P870" s="268"/>
      <c r="Q870" s="309"/>
      <c r="R870" s="268"/>
      <c r="S870" s="313"/>
      <c r="T870" s="313"/>
      <c r="U870" s="268"/>
      <c r="V870" s="309"/>
      <c r="W870" s="310"/>
      <c r="X870" s="268"/>
      <c r="Y870" s="268"/>
      <c r="Z870" s="268"/>
    </row>
    <row r="871" spans="1:26" ht="24.75" customHeight="1">
      <c r="A871" s="268"/>
      <c r="B871" s="268"/>
      <c r="C871" s="268"/>
      <c r="D871" s="268"/>
      <c r="E871" s="268"/>
      <c r="F871" s="268"/>
      <c r="G871" s="268"/>
      <c r="H871" s="268"/>
      <c r="I871" s="268"/>
      <c r="J871" s="268"/>
      <c r="K871" s="268"/>
      <c r="L871" s="309"/>
      <c r="M871" s="268"/>
      <c r="N871" s="268"/>
      <c r="O871" s="310"/>
      <c r="P871" s="268"/>
      <c r="Q871" s="309"/>
      <c r="R871" s="268"/>
      <c r="S871" s="313"/>
      <c r="T871" s="313"/>
      <c r="U871" s="268"/>
      <c r="V871" s="309"/>
      <c r="W871" s="310"/>
      <c r="X871" s="268"/>
      <c r="Y871" s="268"/>
      <c r="Z871" s="268"/>
    </row>
    <row r="872" spans="1:26" ht="24.75" customHeight="1">
      <c r="A872" s="268"/>
      <c r="B872" s="268"/>
      <c r="C872" s="268"/>
      <c r="D872" s="268"/>
      <c r="E872" s="268"/>
      <c r="F872" s="268"/>
      <c r="G872" s="268"/>
      <c r="H872" s="268"/>
      <c r="I872" s="268"/>
      <c r="J872" s="268"/>
      <c r="K872" s="268"/>
      <c r="L872" s="309"/>
      <c r="M872" s="268"/>
      <c r="N872" s="268"/>
      <c r="O872" s="310"/>
      <c r="P872" s="268"/>
      <c r="Q872" s="309"/>
      <c r="R872" s="268"/>
      <c r="S872" s="313"/>
      <c r="T872" s="313"/>
      <c r="U872" s="268"/>
      <c r="V872" s="309"/>
      <c r="W872" s="310"/>
      <c r="X872" s="268"/>
      <c r="Y872" s="268"/>
      <c r="Z872" s="268"/>
    </row>
    <row r="873" spans="1:26" ht="24.75" customHeight="1">
      <c r="A873" s="268"/>
      <c r="B873" s="268"/>
      <c r="C873" s="268"/>
      <c r="D873" s="268"/>
      <c r="E873" s="268"/>
      <c r="F873" s="268"/>
      <c r="G873" s="268"/>
      <c r="H873" s="268"/>
      <c r="I873" s="268"/>
      <c r="J873" s="268"/>
      <c r="K873" s="268"/>
      <c r="L873" s="309"/>
      <c r="M873" s="268"/>
      <c r="N873" s="268"/>
      <c r="O873" s="310"/>
      <c r="P873" s="268"/>
      <c r="Q873" s="309"/>
      <c r="R873" s="268"/>
      <c r="S873" s="313"/>
      <c r="T873" s="313"/>
      <c r="U873" s="268"/>
      <c r="V873" s="309"/>
      <c r="W873" s="310"/>
      <c r="X873" s="268"/>
      <c r="Y873" s="268"/>
      <c r="Z873" s="268"/>
    </row>
    <row r="874" spans="1:26" ht="24.75" customHeight="1">
      <c r="A874" s="268"/>
      <c r="B874" s="268"/>
      <c r="C874" s="268"/>
      <c r="D874" s="268"/>
      <c r="E874" s="268"/>
      <c r="F874" s="268"/>
      <c r="G874" s="268"/>
      <c r="H874" s="268"/>
      <c r="I874" s="268"/>
      <c r="J874" s="268"/>
      <c r="K874" s="268"/>
      <c r="L874" s="309"/>
      <c r="M874" s="268"/>
      <c r="N874" s="268"/>
      <c r="O874" s="310"/>
      <c r="P874" s="268"/>
      <c r="Q874" s="309"/>
      <c r="R874" s="268"/>
      <c r="S874" s="313"/>
      <c r="T874" s="313"/>
      <c r="U874" s="268"/>
      <c r="V874" s="309"/>
      <c r="W874" s="310"/>
      <c r="X874" s="268"/>
      <c r="Y874" s="268"/>
      <c r="Z874" s="268"/>
    </row>
    <row r="875" spans="1:26" ht="24.75" customHeight="1">
      <c r="A875" s="268"/>
      <c r="B875" s="268"/>
      <c r="C875" s="268"/>
      <c r="D875" s="268"/>
      <c r="E875" s="268"/>
      <c r="F875" s="268"/>
      <c r="G875" s="268"/>
      <c r="H875" s="268"/>
      <c r="I875" s="268"/>
      <c r="J875" s="268"/>
      <c r="K875" s="268"/>
      <c r="L875" s="309"/>
      <c r="M875" s="268"/>
      <c r="N875" s="268"/>
      <c r="O875" s="310"/>
      <c r="P875" s="268"/>
      <c r="Q875" s="309"/>
      <c r="R875" s="268"/>
      <c r="S875" s="313"/>
      <c r="T875" s="313"/>
      <c r="U875" s="268"/>
      <c r="V875" s="309"/>
      <c r="W875" s="310"/>
      <c r="X875" s="268"/>
      <c r="Y875" s="268"/>
      <c r="Z875" s="268"/>
    </row>
    <row r="876" spans="1:26" ht="24.75" customHeight="1">
      <c r="A876" s="268"/>
      <c r="B876" s="268"/>
      <c r="C876" s="268"/>
      <c r="D876" s="268"/>
      <c r="E876" s="268"/>
      <c r="F876" s="268"/>
      <c r="G876" s="268"/>
      <c r="H876" s="268"/>
      <c r="I876" s="268"/>
      <c r="J876" s="268"/>
      <c r="K876" s="268"/>
      <c r="L876" s="309"/>
      <c r="M876" s="268"/>
      <c r="N876" s="268"/>
      <c r="O876" s="310"/>
      <c r="P876" s="268"/>
      <c r="Q876" s="309"/>
      <c r="R876" s="268"/>
      <c r="S876" s="313"/>
      <c r="T876" s="313"/>
      <c r="U876" s="268"/>
      <c r="V876" s="309"/>
      <c r="W876" s="310"/>
      <c r="X876" s="268"/>
      <c r="Y876" s="268"/>
      <c r="Z876" s="268"/>
    </row>
    <row r="877" spans="1:26" ht="24.75" customHeight="1">
      <c r="A877" s="268"/>
      <c r="B877" s="268"/>
      <c r="C877" s="268"/>
      <c r="D877" s="268"/>
      <c r="E877" s="268"/>
      <c r="F877" s="268"/>
      <c r="G877" s="268"/>
      <c r="H877" s="268"/>
      <c r="I877" s="268"/>
      <c r="J877" s="268"/>
      <c r="K877" s="268"/>
      <c r="L877" s="309"/>
      <c r="M877" s="268"/>
      <c r="N877" s="268"/>
      <c r="O877" s="310"/>
      <c r="P877" s="268"/>
      <c r="Q877" s="309"/>
      <c r="R877" s="268"/>
      <c r="S877" s="313"/>
      <c r="T877" s="313"/>
      <c r="U877" s="268"/>
      <c r="V877" s="309"/>
      <c r="W877" s="310"/>
      <c r="X877" s="268"/>
      <c r="Y877" s="268"/>
      <c r="Z877" s="268"/>
    </row>
    <row r="878" spans="1:26" ht="24.75" customHeight="1">
      <c r="A878" s="268"/>
      <c r="B878" s="268"/>
      <c r="C878" s="268"/>
      <c r="D878" s="268"/>
      <c r="E878" s="268"/>
      <c r="F878" s="268"/>
      <c r="G878" s="268"/>
      <c r="H878" s="268"/>
      <c r="I878" s="268"/>
      <c r="J878" s="268"/>
      <c r="K878" s="268"/>
      <c r="L878" s="309"/>
      <c r="M878" s="268"/>
      <c r="N878" s="268"/>
      <c r="O878" s="310"/>
      <c r="P878" s="268"/>
      <c r="Q878" s="309"/>
      <c r="R878" s="268"/>
      <c r="S878" s="313"/>
      <c r="T878" s="313"/>
      <c r="U878" s="268"/>
      <c r="V878" s="309"/>
      <c r="W878" s="310"/>
      <c r="X878" s="268"/>
      <c r="Y878" s="268"/>
      <c r="Z878" s="268"/>
    </row>
    <row r="879" spans="1:26" ht="24.75" customHeight="1">
      <c r="A879" s="268"/>
      <c r="B879" s="268"/>
      <c r="C879" s="268"/>
      <c r="D879" s="268"/>
      <c r="E879" s="268"/>
      <c r="F879" s="268"/>
      <c r="G879" s="268"/>
      <c r="H879" s="268"/>
      <c r="I879" s="268"/>
      <c r="J879" s="268"/>
      <c r="K879" s="268"/>
      <c r="L879" s="309"/>
      <c r="M879" s="268"/>
      <c r="N879" s="268"/>
      <c r="O879" s="310"/>
      <c r="P879" s="268"/>
      <c r="Q879" s="309"/>
      <c r="R879" s="268"/>
      <c r="S879" s="313"/>
      <c r="T879" s="313"/>
      <c r="U879" s="268"/>
      <c r="V879" s="309"/>
      <c r="W879" s="310"/>
      <c r="X879" s="268"/>
      <c r="Y879" s="268"/>
      <c r="Z879" s="268"/>
    </row>
    <row r="880" spans="1:26" ht="24.75" customHeight="1">
      <c r="A880" s="268"/>
      <c r="B880" s="268"/>
      <c r="C880" s="268"/>
      <c r="D880" s="268"/>
      <c r="E880" s="268"/>
      <c r="F880" s="268"/>
      <c r="G880" s="268"/>
      <c r="H880" s="268"/>
      <c r="I880" s="268"/>
      <c r="J880" s="268"/>
      <c r="K880" s="268"/>
      <c r="L880" s="309"/>
      <c r="M880" s="268"/>
      <c r="N880" s="268"/>
      <c r="O880" s="310"/>
      <c r="P880" s="268"/>
      <c r="Q880" s="309"/>
      <c r="R880" s="268"/>
      <c r="S880" s="313"/>
      <c r="T880" s="313"/>
      <c r="U880" s="268"/>
      <c r="V880" s="309"/>
      <c r="W880" s="310"/>
      <c r="X880" s="268"/>
      <c r="Y880" s="268"/>
      <c r="Z880" s="268"/>
    </row>
    <row r="881" spans="1:26" ht="24.75" customHeight="1">
      <c r="A881" s="268"/>
      <c r="B881" s="268"/>
      <c r="C881" s="268"/>
      <c r="D881" s="268"/>
      <c r="E881" s="268"/>
      <c r="F881" s="268"/>
      <c r="G881" s="268"/>
      <c r="H881" s="268"/>
      <c r="I881" s="268"/>
      <c r="J881" s="268"/>
      <c r="K881" s="268"/>
      <c r="L881" s="309"/>
      <c r="M881" s="268"/>
      <c r="N881" s="268"/>
      <c r="O881" s="310"/>
      <c r="P881" s="268"/>
      <c r="Q881" s="309"/>
      <c r="R881" s="268"/>
      <c r="S881" s="313"/>
      <c r="T881" s="313"/>
      <c r="U881" s="268"/>
      <c r="V881" s="309"/>
      <c r="W881" s="310"/>
      <c r="X881" s="268"/>
      <c r="Y881" s="268"/>
      <c r="Z881" s="268"/>
    </row>
    <row r="882" spans="1:26" ht="24.75" customHeight="1">
      <c r="A882" s="268"/>
      <c r="B882" s="268"/>
      <c r="C882" s="268"/>
      <c r="D882" s="268"/>
      <c r="E882" s="268"/>
      <c r="F882" s="268"/>
      <c r="G882" s="268"/>
      <c r="H882" s="268"/>
      <c r="I882" s="268"/>
      <c r="J882" s="268"/>
      <c r="K882" s="268"/>
      <c r="L882" s="309"/>
      <c r="M882" s="268"/>
      <c r="N882" s="268"/>
      <c r="O882" s="310"/>
      <c r="P882" s="268"/>
      <c r="Q882" s="309"/>
      <c r="R882" s="268"/>
      <c r="S882" s="313"/>
      <c r="T882" s="313"/>
      <c r="U882" s="268"/>
      <c r="V882" s="309"/>
      <c r="W882" s="310"/>
      <c r="X882" s="268"/>
      <c r="Y882" s="268"/>
      <c r="Z882" s="268"/>
    </row>
    <row r="883" spans="1:26" ht="24.75" customHeight="1">
      <c r="A883" s="268"/>
      <c r="B883" s="268"/>
      <c r="C883" s="268"/>
      <c r="D883" s="268"/>
      <c r="E883" s="268"/>
      <c r="F883" s="268"/>
      <c r="G883" s="268"/>
      <c r="H883" s="268"/>
      <c r="I883" s="268"/>
      <c r="J883" s="268"/>
      <c r="K883" s="268"/>
      <c r="L883" s="309"/>
      <c r="M883" s="268"/>
      <c r="N883" s="268"/>
      <c r="O883" s="310"/>
      <c r="P883" s="268"/>
      <c r="Q883" s="309"/>
      <c r="R883" s="268"/>
      <c r="S883" s="313"/>
      <c r="T883" s="313"/>
      <c r="U883" s="268"/>
      <c r="V883" s="309"/>
      <c r="W883" s="310"/>
      <c r="X883" s="268"/>
      <c r="Y883" s="268"/>
      <c r="Z883" s="268"/>
    </row>
    <row r="884" spans="1:26" ht="24.75" customHeight="1">
      <c r="A884" s="268"/>
      <c r="B884" s="268"/>
      <c r="C884" s="268"/>
      <c r="D884" s="268"/>
      <c r="E884" s="268"/>
      <c r="F884" s="268"/>
      <c r="G884" s="268"/>
      <c r="H884" s="268"/>
      <c r="I884" s="268"/>
      <c r="J884" s="268"/>
      <c r="K884" s="268"/>
      <c r="L884" s="309"/>
      <c r="M884" s="268"/>
      <c r="N884" s="268"/>
      <c r="O884" s="310"/>
      <c r="P884" s="268"/>
      <c r="Q884" s="309"/>
      <c r="R884" s="268"/>
      <c r="S884" s="313"/>
      <c r="T884" s="313"/>
      <c r="U884" s="268"/>
      <c r="V884" s="309"/>
      <c r="W884" s="310"/>
      <c r="X884" s="268"/>
      <c r="Y884" s="268"/>
      <c r="Z884" s="268"/>
    </row>
    <row r="885" spans="1:26" ht="24.75" customHeight="1">
      <c r="A885" s="268"/>
      <c r="B885" s="268"/>
      <c r="C885" s="268"/>
      <c r="D885" s="268"/>
      <c r="E885" s="268"/>
      <c r="F885" s="268"/>
      <c r="G885" s="268"/>
      <c r="H885" s="268"/>
      <c r="I885" s="268"/>
      <c r="J885" s="268"/>
      <c r="K885" s="268"/>
      <c r="L885" s="309"/>
      <c r="M885" s="268"/>
      <c r="N885" s="268"/>
      <c r="O885" s="310"/>
      <c r="P885" s="268"/>
      <c r="Q885" s="309"/>
      <c r="R885" s="268"/>
      <c r="S885" s="313"/>
      <c r="T885" s="313"/>
      <c r="U885" s="268"/>
      <c r="V885" s="309"/>
      <c r="W885" s="310"/>
      <c r="X885" s="268"/>
      <c r="Y885" s="268"/>
      <c r="Z885" s="268"/>
    </row>
    <row r="886" spans="1:26" ht="24.75" customHeight="1">
      <c r="A886" s="268"/>
      <c r="B886" s="268"/>
      <c r="C886" s="268"/>
      <c r="D886" s="268"/>
      <c r="E886" s="268"/>
      <c r="F886" s="268"/>
      <c r="G886" s="268"/>
      <c r="H886" s="268"/>
      <c r="I886" s="268"/>
      <c r="J886" s="268"/>
      <c r="K886" s="268"/>
      <c r="L886" s="309"/>
      <c r="M886" s="268"/>
      <c r="N886" s="268"/>
      <c r="O886" s="310"/>
      <c r="P886" s="268"/>
      <c r="Q886" s="309"/>
      <c r="R886" s="268"/>
      <c r="S886" s="313"/>
      <c r="T886" s="313"/>
      <c r="U886" s="268"/>
      <c r="V886" s="309"/>
      <c r="W886" s="310"/>
      <c r="X886" s="268"/>
      <c r="Y886" s="268"/>
      <c r="Z886" s="268"/>
    </row>
    <row r="887" spans="1:26" ht="24.75" customHeight="1">
      <c r="A887" s="268"/>
      <c r="B887" s="268"/>
      <c r="C887" s="268"/>
      <c r="D887" s="268"/>
      <c r="E887" s="268"/>
      <c r="F887" s="268"/>
      <c r="G887" s="268"/>
      <c r="H887" s="268"/>
      <c r="I887" s="268"/>
      <c r="J887" s="268"/>
      <c r="K887" s="268"/>
      <c r="L887" s="309"/>
      <c r="M887" s="268"/>
      <c r="N887" s="268"/>
      <c r="O887" s="310"/>
      <c r="P887" s="268"/>
      <c r="Q887" s="309"/>
      <c r="R887" s="268"/>
      <c r="S887" s="313"/>
      <c r="T887" s="313"/>
      <c r="U887" s="268"/>
      <c r="V887" s="309"/>
      <c r="W887" s="310"/>
      <c r="X887" s="268"/>
      <c r="Y887" s="268"/>
      <c r="Z887" s="268"/>
    </row>
    <row r="888" spans="1:26" ht="24.75" customHeight="1">
      <c r="A888" s="268"/>
      <c r="B888" s="268"/>
      <c r="C888" s="268"/>
      <c r="D888" s="268"/>
      <c r="E888" s="268"/>
      <c r="F888" s="268"/>
      <c r="G888" s="268"/>
      <c r="H888" s="268"/>
      <c r="I888" s="268"/>
      <c r="J888" s="268"/>
      <c r="K888" s="268"/>
      <c r="L888" s="309"/>
      <c r="M888" s="268"/>
      <c r="N888" s="268"/>
      <c r="O888" s="310"/>
      <c r="P888" s="268"/>
      <c r="Q888" s="309"/>
      <c r="R888" s="268"/>
      <c r="S888" s="313"/>
      <c r="T888" s="313"/>
      <c r="U888" s="268"/>
      <c r="V888" s="309"/>
      <c r="W888" s="310"/>
      <c r="X888" s="268"/>
      <c r="Y888" s="268"/>
      <c r="Z888" s="268"/>
    </row>
    <row r="889" spans="1:26" ht="24.75" customHeight="1">
      <c r="A889" s="268"/>
      <c r="B889" s="268"/>
      <c r="C889" s="268"/>
      <c r="D889" s="268"/>
      <c r="E889" s="268"/>
      <c r="F889" s="268"/>
      <c r="G889" s="268"/>
      <c r="H889" s="268"/>
      <c r="I889" s="268"/>
      <c r="J889" s="268"/>
      <c r="K889" s="268"/>
      <c r="L889" s="309"/>
      <c r="M889" s="268"/>
      <c r="N889" s="268"/>
      <c r="O889" s="310"/>
      <c r="P889" s="268"/>
      <c r="Q889" s="309"/>
      <c r="R889" s="268"/>
      <c r="S889" s="313"/>
      <c r="T889" s="313"/>
      <c r="U889" s="268"/>
      <c r="V889" s="309"/>
      <c r="W889" s="310"/>
      <c r="X889" s="268"/>
      <c r="Y889" s="268"/>
      <c r="Z889" s="268"/>
    </row>
    <row r="890" spans="1:26" ht="24.75" customHeight="1">
      <c r="A890" s="268"/>
      <c r="B890" s="268"/>
      <c r="C890" s="268"/>
      <c r="D890" s="268"/>
      <c r="E890" s="268"/>
      <c r="F890" s="268"/>
      <c r="G890" s="268"/>
      <c r="H890" s="268"/>
      <c r="I890" s="268"/>
      <c r="J890" s="268"/>
      <c r="K890" s="268"/>
      <c r="L890" s="309"/>
      <c r="M890" s="268"/>
      <c r="N890" s="268"/>
      <c r="O890" s="310"/>
      <c r="P890" s="268"/>
      <c r="Q890" s="309"/>
      <c r="R890" s="268"/>
      <c r="S890" s="313"/>
      <c r="T890" s="313"/>
      <c r="U890" s="268"/>
      <c r="V890" s="309"/>
      <c r="W890" s="310"/>
      <c r="X890" s="268"/>
      <c r="Y890" s="268"/>
      <c r="Z890" s="268"/>
    </row>
    <row r="891" spans="1:26" ht="24.75" customHeight="1">
      <c r="A891" s="268"/>
      <c r="B891" s="268"/>
      <c r="C891" s="268"/>
      <c r="D891" s="268"/>
      <c r="E891" s="268"/>
      <c r="F891" s="268"/>
      <c r="G891" s="268"/>
      <c r="H891" s="268"/>
      <c r="I891" s="268"/>
      <c r="J891" s="268"/>
      <c r="K891" s="268"/>
      <c r="L891" s="309"/>
      <c r="M891" s="268"/>
      <c r="N891" s="268"/>
      <c r="O891" s="310"/>
      <c r="P891" s="268"/>
      <c r="Q891" s="309"/>
      <c r="R891" s="268"/>
      <c r="S891" s="313"/>
      <c r="T891" s="313"/>
      <c r="U891" s="268"/>
      <c r="V891" s="309"/>
      <c r="W891" s="310"/>
      <c r="X891" s="268"/>
      <c r="Y891" s="268"/>
      <c r="Z891" s="268"/>
    </row>
    <row r="892" spans="1:26" ht="24.75" customHeight="1">
      <c r="A892" s="268"/>
      <c r="B892" s="268"/>
      <c r="C892" s="268"/>
      <c r="D892" s="268"/>
      <c r="E892" s="268"/>
      <c r="F892" s="268"/>
      <c r="G892" s="268"/>
      <c r="H892" s="268"/>
      <c r="I892" s="268"/>
      <c r="J892" s="268"/>
      <c r="K892" s="268"/>
      <c r="L892" s="309"/>
      <c r="M892" s="268"/>
      <c r="N892" s="268"/>
      <c r="O892" s="310"/>
      <c r="P892" s="268"/>
      <c r="Q892" s="309"/>
      <c r="R892" s="268"/>
      <c r="S892" s="313"/>
      <c r="T892" s="313"/>
      <c r="U892" s="268"/>
      <c r="V892" s="309"/>
      <c r="W892" s="310"/>
      <c r="X892" s="268"/>
      <c r="Y892" s="268"/>
      <c r="Z892" s="268"/>
    </row>
    <row r="893" spans="1:26" ht="24.75" customHeight="1">
      <c r="A893" s="268"/>
      <c r="B893" s="268"/>
      <c r="C893" s="268"/>
      <c r="D893" s="268"/>
      <c r="E893" s="268"/>
      <c r="F893" s="268"/>
      <c r="G893" s="268"/>
      <c r="H893" s="268"/>
      <c r="I893" s="268"/>
      <c r="J893" s="268"/>
      <c r="K893" s="268"/>
      <c r="L893" s="309"/>
      <c r="M893" s="268"/>
      <c r="N893" s="268"/>
      <c r="O893" s="310"/>
      <c r="P893" s="268"/>
      <c r="Q893" s="309"/>
      <c r="R893" s="268"/>
      <c r="S893" s="313"/>
      <c r="T893" s="313"/>
      <c r="U893" s="268"/>
      <c r="V893" s="309"/>
      <c r="W893" s="310"/>
      <c r="X893" s="268"/>
      <c r="Y893" s="268"/>
      <c r="Z893" s="268"/>
    </row>
    <row r="894" spans="1:26" ht="24.75" customHeight="1">
      <c r="A894" s="268"/>
      <c r="B894" s="268"/>
      <c r="C894" s="268"/>
      <c r="D894" s="268"/>
      <c r="E894" s="268"/>
      <c r="F894" s="268"/>
      <c r="G894" s="268"/>
      <c r="H894" s="268"/>
      <c r="I894" s="268"/>
      <c r="J894" s="268"/>
      <c r="K894" s="268"/>
      <c r="L894" s="309"/>
      <c r="M894" s="268"/>
      <c r="N894" s="268"/>
      <c r="O894" s="310"/>
      <c r="P894" s="268"/>
      <c r="Q894" s="309"/>
      <c r="R894" s="268"/>
      <c r="S894" s="313"/>
      <c r="T894" s="313"/>
      <c r="U894" s="268"/>
      <c r="V894" s="309"/>
      <c r="W894" s="310"/>
      <c r="X894" s="268"/>
      <c r="Y894" s="268"/>
      <c r="Z894" s="268"/>
    </row>
    <row r="895" spans="1:26" ht="24.75" customHeight="1">
      <c r="A895" s="268"/>
      <c r="B895" s="268"/>
      <c r="C895" s="268"/>
      <c r="D895" s="268"/>
      <c r="E895" s="268"/>
      <c r="F895" s="268"/>
      <c r="G895" s="268"/>
      <c r="H895" s="268"/>
      <c r="I895" s="268"/>
      <c r="J895" s="268"/>
      <c r="K895" s="268"/>
      <c r="L895" s="309"/>
      <c r="M895" s="268"/>
      <c r="N895" s="268"/>
      <c r="O895" s="310"/>
      <c r="P895" s="268"/>
      <c r="Q895" s="309"/>
      <c r="R895" s="268"/>
      <c r="S895" s="313"/>
      <c r="T895" s="313"/>
      <c r="U895" s="268"/>
      <c r="V895" s="309"/>
      <c r="W895" s="310"/>
      <c r="X895" s="268"/>
      <c r="Y895" s="268"/>
      <c r="Z895" s="268"/>
    </row>
    <row r="896" spans="1:26" ht="24.75" customHeight="1">
      <c r="A896" s="268"/>
      <c r="B896" s="268"/>
      <c r="C896" s="268"/>
      <c r="D896" s="268"/>
      <c r="E896" s="268"/>
      <c r="F896" s="268"/>
      <c r="G896" s="268"/>
      <c r="H896" s="268"/>
      <c r="I896" s="268"/>
      <c r="J896" s="268"/>
      <c r="K896" s="268"/>
      <c r="L896" s="309"/>
      <c r="M896" s="268"/>
      <c r="N896" s="268"/>
      <c r="O896" s="310"/>
      <c r="P896" s="268"/>
      <c r="Q896" s="309"/>
      <c r="R896" s="268"/>
      <c r="S896" s="313"/>
      <c r="T896" s="313"/>
      <c r="U896" s="268"/>
      <c r="V896" s="309"/>
      <c r="W896" s="310"/>
      <c r="X896" s="268"/>
      <c r="Y896" s="268"/>
      <c r="Z896" s="268"/>
    </row>
    <row r="897" spans="1:26" ht="24.75" customHeight="1">
      <c r="A897" s="268"/>
      <c r="B897" s="268"/>
      <c r="C897" s="268"/>
      <c r="D897" s="268"/>
      <c r="E897" s="268"/>
      <c r="F897" s="268"/>
      <c r="G897" s="268"/>
      <c r="H897" s="268"/>
      <c r="I897" s="268"/>
      <c r="J897" s="268"/>
      <c r="K897" s="268"/>
      <c r="L897" s="309"/>
      <c r="M897" s="268"/>
      <c r="N897" s="268"/>
      <c r="O897" s="310"/>
      <c r="P897" s="268"/>
      <c r="Q897" s="309"/>
      <c r="R897" s="268"/>
      <c r="S897" s="313"/>
      <c r="T897" s="313"/>
      <c r="U897" s="268"/>
      <c r="V897" s="309"/>
      <c r="W897" s="310"/>
      <c r="X897" s="268"/>
      <c r="Y897" s="268"/>
      <c r="Z897" s="268"/>
    </row>
    <row r="898" spans="1:26" ht="24.75" customHeight="1">
      <c r="A898" s="268"/>
      <c r="B898" s="268"/>
      <c r="C898" s="268"/>
      <c r="D898" s="268"/>
      <c r="E898" s="268"/>
      <c r="F898" s="268"/>
      <c r="G898" s="268"/>
      <c r="H898" s="268"/>
      <c r="I898" s="268"/>
      <c r="J898" s="268"/>
      <c r="K898" s="268"/>
      <c r="L898" s="309"/>
      <c r="M898" s="268"/>
      <c r="N898" s="268"/>
      <c r="O898" s="310"/>
      <c r="P898" s="268"/>
      <c r="Q898" s="309"/>
      <c r="R898" s="268"/>
      <c r="S898" s="313"/>
      <c r="T898" s="313"/>
      <c r="U898" s="268"/>
      <c r="V898" s="309"/>
      <c r="W898" s="310"/>
      <c r="X898" s="268"/>
      <c r="Y898" s="268"/>
      <c r="Z898" s="268"/>
    </row>
    <row r="899" spans="1:26" ht="24.75" customHeight="1">
      <c r="A899" s="268"/>
      <c r="B899" s="268"/>
      <c r="C899" s="268"/>
      <c r="D899" s="268"/>
      <c r="E899" s="268"/>
      <c r="F899" s="268"/>
      <c r="G899" s="268"/>
      <c r="H899" s="268"/>
      <c r="I899" s="268"/>
      <c r="J899" s="268"/>
      <c r="K899" s="268"/>
      <c r="L899" s="309"/>
      <c r="M899" s="268"/>
      <c r="N899" s="268"/>
      <c r="O899" s="310"/>
      <c r="P899" s="268"/>
      <c r="Q899" s="309"/>
      <c r="R899" s="268"/>
      <c r="S899" s="313"/>
      <c r="T899" s="313"/>
      <c r="U899" s="268"/>
      <c r="V899" s="309"/>
      <c r="W899" s="310"/>
      <c r="X899" s="268"/>
      <c r="Y899" s="268"/>
      <c r="Z899" s="268"/>
    </row>
    <row r="900" spans="1:26" ht="24.75" customHeight="1">
      <c r="A900" s="268"/>
      <c r="B900" s="268"/>
      <c r="C900" s="268"/>
      <c r="D900" s="268"/>
      <c r="E900" s="268"/>
      <c r="F900" s="268"/>
      <c r="G900" s="268"/>
      <c r="H900" s="268"/>
      <c r="I900" s="268"/>
      <c r="J900" s="268"/>
      <c r="K900" s="268"/>
      <c r="L900" s="309"/>
      <c r="M900" s="268"/>
      <c r="N900" s="268"/>
      <c r="O900" s="310"/>
      <c r="P900" s="268"/>
      <c r="Q900" s="309"/>
      <c r="R900" s="268"/>
      <c r="S900" s="313"/>
      <c r="T900" s="313"/>
      <c r="U900" s="268"/>
      <c r="V900" s="309"/>
      <c r="W900" s="310"/>
      <c r="X900" s="268"/>
      <c r="Y900" s="268"/>
      <c r="Z900" s="268"/>
    </row>
    <row r="901" spans="1:26" ht="24.75" customHeight="1">
      <c r="A901" s="268"/>
      <c r="B901" s="268"/>
      <c r="C901" s="268"/>
      <c r="D901" s="268"/>
      <c r="E901" s="268"/>
      <c r="F901" s="268"/>
      <c r="G901" s="268"/>
      <c r="H901" s="268"/>
      <c r="I901" s="268"/>
      <c r="J901" s="268"/>
      <c r="K901" s="268"/>
      <c r="L901" s="309"/>
      <c r="M901" s="268"/>
      <c r="N901" s="268"/>
      <c r="O901" s="310"/>
      <c r="P901" s="268"/>
      <c r="Q901" s="309"/>
      <c r="R901" s="268"/>
      <c r="S901" s="313"/>
      <c r="T901" s="313"/>
      <c r="U901" s="268"/>
      <c r="V901" s="309"/>
      <c r="W901" s="310"/>
      <c r="X901" s="268"/>
      <c r="Y901" s="268"/>
      <c r="Z901" s="268"/>
    </row>
    <row r="902" spans="1:26" ht="24.75" customHeight="1">
      <c r="A902" s="268"/>
      <c r="B902" s="268"/>
      <c r="C902" s="268"/>
      <c r="D902" s="268"/>
      <c r="E902" s="268"/>
      <c r="F902" s="268"/>
      <c r="G902" s="268"/>
      <c r="H902" s="268"/>
      <c r="I902" s="268"/>
      <c r="J902" s="268"/>
      <c r="K902" s="268"/>
      <c r="L902" s="309"/>
      <c r="M902" s="268"/>
      <c r="N902" s="268"/>
      <c r="O902" s="310"/>
      <c r="P902" s="268"/>
      <c r="Q902" s="309"/>
      <c r="R902" s="268"/>
      <c r="S902" s="313"/>
      <c r="T902" s="313"/>
      <c r="U902" s="268"/>
      <c r="V902" s="309"/>
      <c r="W902" s="310"/>
      <c r="X902" s="268"/>
      <c r="Y902" s="268"/>
      <c r="Z902" s="268"/>
    </row>
    <row r="903" spans="1:26" ht="24.75" customHeight="1">
      <c r="A903" s="268"/>
      <c r="B903" s="268"/>
      <c r="C903" s="268"/>
      <c r="D903" s="268"/>
      <c r="E903" s="268"/>
      <c r="F903" s="268"/>
      <c r="G903" s="268"/>
      <c r="H903" s="268"/>
      <c r="I903" s="268"/>
      <c r="J903" s="268"/>
      <c r="K903" s="268"/>
      <c r="L903" s="309"/>
      <c r="M903" s="268"/>
      <c r="N903" s="268"/>
      <c r="O903" s="310"/>
      <c r="P903" s="268"/>
      <c r="Q903" s="309"/>
      <c r="R903" s="268"/>
      <c r="S903" s="313"/>
      <c r="T903" s="313"/>
      <c r="U903" s="268"/>
      <c r="V903" s="309"/>
      <c r="W903" s="310"/>
      <c r="X903" s="268"/>
      <c r="Y903" s="268"/>
      <c r="Z903" s="268"/>
    </row>
    <row r="904" spans="1:26" ht="24.75" customHeight="1">
      <c r="A904" s="268"/>
      <c r="B904" s="268"/>
      <c r="C904" s="268"/>
      <c r="D904" s="268"/>
      <c r="E904" s="268"/>
      <c r="F904" s="268"/>
      <c r="G904" s="268"/>
      <c r="H904" s="268"/>
      <c r="I904" s="268"/>
      <c r="J904" s="268"/>
      <c r="K904" s="268"/>
      <c r="L904" s="309"/>
      <c r="M904" s="268"/>
      <c r="N904" s="268"/>
      <c r="O904" s="310"/>
      <c r="P904" s="268"/>
      <c r="Q904" s="309"/>
      <c r="R904" s="268"/>
      <c r="S904" s="313"/>
      <c r="T904" s="313"/>
      <c r="U904" s="268"/>
      <c r="V904" s="309"/>
      <c r="W904" s="310"/>
      <c r="X904" s="268"/>
      <c r="Y904" s="268"/>
      <c r="Z904" s="268"/>
    </row>
    <row r="905" spans="1:26" ht="24.75" customHeight="1">
      <c r="A905" s="268"/>
      <c r="B905" s="268"/>
      <c r="C905" s="268"/>
      <c r="D905" s="268"/>
      <c r="E905" s="268"/>
      <c r="F905" s="268"/>
      <c r="G905" s="268"/>
      <c r="H905" s="268"/>
      <c r="I905" s="268"/>
      <c r="J905" s="268"/>
      <c r="K905" s="268"/>
      <c r="L905" s="309"/>
      <c r="M905" s="268"/>
      <c r="N905" s="268"/>
      <c r="O905" s="310"/>
      <c r="P905" s="268"/>
      <c r="Q905" s="309"/>
      <c r="R905" s="268"/>
      <c r="S905" s="313"/>
      <c r="T905" s="313"/>
      <c r="U905" s="268"/>
      <c r="V905" s="309"/>
      <c r="W905" s="310"/>
      <c r="X905" s="268"/>
      <c r="Y905" s="268"/>
      <c r="Z905" s="268"/>
    </row>
    <row r="906" spans="1:26" ht="24.75" customHeight="1">
      <c r="A906" s="268"/>
      <c r="B906" s="268"/>
      <c r="C906" s="268"/>
      <c r="D906" s="268"/>
      <c r="E906" s="268"/>
      <c r="F906" s="268"/>
      <c r="G906" s="268"/>
      <c r="H906" s="268"/>
      <c r="I906" s="268"/>
      <c r="J906" s="268"/>
      <c r="K906" s="268"/>
      <c r="L906" s="309"/>
      <c r="M906" s="268"/>
      <c r="N906" s="268"/>
      <c r="O906" s="310"/>
      <c r="P906" s="268"/>
      <c r="Q906" s="309"/>
      <c r="R906" s="268"/>
      <c r="S906" s="313"/>
      <c r="T906" s="313"/>
      <c r="U906" s="268"/>
      <c r="V906" s="309"/>
      <c r="W906" s="310"/>
      <c r="X906" s="268"/>
      <c r="Y906" s="268"/>
      <c r="Z906" s="268"/>
    </row>
    <row r="907" spans="1:26" ht="24.75" customHeight="1">
      <c r="A907" s="268"/>
      <c r="B907" s="268"/>
      <c r="C907" s="268"/>
      <c r="D907" s="268"/>
      <c r="E907" s="268"/>
      <c r="F907" s="268"/>
      <c r="G907" s="268"/>
      <c r="H907" s="268"/>
      <c r="I907" s="268"/>
      <c r="J907" s="268"/>
      <c r="K907" s="268"/>
      <c r="L907" s="309"/>
      <c r="M907" s="268"/>
      <c r="N907" s="268"/>
      <c r="O907" s="310"/>
      <c r="P907" s="268"/>
      <c r="Q907" s="309"/>
      <c r="R907" s="268"/>
      <c r="S907" s="313"/>
      <c r="T907" s="313"/>
      <c r="U907" s="268"/>
      <c r="V907" s="309"/>
      <c r="W907" s="310"/>
      <c r="X907" s="268"/>
      <c r="Y907" s="268"/>
      <c r="Z907" s="268"/>
    </row>
    <row r="908" spans="1:26" ht="24.75" customHeight="1">
      <c r="A908" s="268"/>
      <c r="B908" s="268"/>
      <c r="C908" s="268"/>
      <c r="D908" s="268"/>
      <c r="E908" s="268"/>
      <c r="F908" s="268"/>
      <c r="G908" s="268"/>
      <c r="H908" s="268"/>
      <c r="I908" s="268"/>
      <c r="J908" s="268"/>
      <c r="K908" s="268"/>
      <c r="L908" s="309"/>
      <c r="M908" s="268"/>
      <c r="N908" s="268"/>
      <c r="O908" s="310"/>
      <c r="P908" s="268"/>
      <c r="Q908" s="309"/>
      <c r="R908" s="268"/>
      <c r="S908" s="313"/>
      <c r="T908" s="313"/>
      <c r="U908" s="268"/>
      <c r="V908" s="309"/>
      <c r="W908" s="310"/>
      <c r="X908" s="268"/>
      <c r="Y908" s="268"/>
      <c r="Z908" s="268"/>
    </row>
    <row r="909" spans="1:26" ht="24.75" customHeight="1">
      <c r="A909" s="268"/>
      <c r="B909" s="268"/>
      <c r="C909" s="268"/>
      <c r="D909" s="268"/>
      <c r="E909" s="268"/>
      <c r="F909" s="268"/>
      <c r="G909" s="268"/>
      <c r="H909" s="268"/>
      <c r="I909" s="268"/>
      <c r="J909" s="268"/>
      <c r="K909" s="268"/>
      <c r="L909" s="309"/>
      <c r="M909" s="268"/>
      <c r="N909" s="268"/>
      <c r="O909" s="310"/>
      <c r="P909" s="268"/>
      <c r="Q909" s="309"/>
      <c r="R909" s="268"/>
      <c r="S909" s="313"/>
      <c r="T909" s="313"/>
      <c r="U909" s="268"/>
      <c r="V909" s="309"/>
      <c r="W909" s="310"/>
      <c r="X909" s="268"/>
      <c r="Y909" s="268"/>
      <c r="Z909" s="268"/>
    </row>
    <row r="910" spans="1:26" ht="24.75" customHeight="1">
      <c r="A910" s="268"/>
      <c r="B910" s="268"/>
      <c r="C910" s="268"/>
      <c r="D910" s="268"/>
      <c r="E910" s="268"/>
      <c r="F910" s="268"/>
      <c r="G910" s="268"/>
      <c r="H910" s="268"/>
      <c r="I910" s="268"/>
      <c r="J910" s="268"/>
      <c r="K910" s="268"/>
      <c r="L910" s="309"/>
      <c r="M910" s="268"/>
      <c r="N910" s="268"/>
      <c r="O910" s="310"/>
      <c r="P910" s="268"/>
      <c r="Q910" s="309"/>
      <c r="R910" s="268"/>
      <c r="S910" s="313"/>
      <c r="T910" s="313"/>
      <c r="U910" s="268"/>
      <c r="V910" s="309"/>
      <c r="W910" s="310"/>
      <c r="X910" s="268"/>
      <c r="Y910" s="268"/>
      <c r="Z910" s="268"/>
    </row>
    <row r="911" spans="1:26" ht="24.75" customHeight="1">
      <c r="A911" s="268"/>
      <c r="B911" s="268"/>
      <c r="C911" s="268"/>
      <c r="D911" s="268"/>
      <c r="E911" s="268"/>
      <c r="F911" s="268"/>
      <c r="G911" s="268"/>
      <c r="H911" s="268"/>
      <c r="I911" s="268"/>
      <c r="J911" s="268"/>
      <c r="K911" s="268"/>
      <c r="L911" s="309"/>
      <c r="M911" s="268"/>
      <c r="N911" s="268"/>
      <c r="O911" s="310"/>
      <c r="P911" s="268"/>
      <c r="Q911" s="309"/>
      <c r="R911" s="268"/>
      <c r="S911" s="313"/>
      <c r="T911" s="313"/>
      <c r="U911" s="268"/>
      <c r="V911" s="309"/>
      <c r="W911" s="310"/>
      <c r="X911" s="268"/>
      <c r="Y911" s="268"/>
      <c r="Z911" s="268"/>
    </row>
    <row r="912" spans="1:26" ht="24.75" customHeight="1">
      <c r="A912" s="268"/>
      <c r="B912" s="268"/>
      <c r="C912" s="268"/>
      <c r="D912" s="268"/>
      <c r="E912" s="268"/>
      <c r="F912" s="268"/>
      <c r="G912" s="268"/>
      <c r="H912" s="268"/>
      <c r="I912" s="268"/>
      <c r="J912" s="268"/>
      <c r="K912" s="268"/>
      <c r="L912" s="309"/>
      <c r="M912" s="268"/>
      <c r="N912" s="268"/>
      <c r="O912" s="310"/>
      <c r="P912" s="268"/>
      <c r="Q912" s="309"/>
      <c r="R912" s="268"/>
      <c r="S912" s="313"/>
      <c r="T912" s="313"/>
      <c r="U912" s="268"/>
      <c r="V912" s="309"/>
      <c r="W912" s="310"/>
      <c r="X912" s="268"/>
      <c r="Y912" s="268"/>
      <c r="Z912" s="268"/>
    </row>
    <row r="913" spans="1:26" ht="24.75" customHeight="1">
      <c r="A913" s="268"/>
      <c r="B913" s="268"/>
      <c r="C913" s="268"/>
      <c r="D913" s="268"/>
      <c r="E913" s="268"/>
      <c r="F913" s="268"/>
      <c r="G913" s="268"/>
      <c r="H913" s="268"/>
      <c r="I913" s="268"/>
      <c r="J913" s="268"/>
      <c r="K913" s="268"/>
      <c r="L913" s="309"/>
      <c r="M913" s="268"/>
      <c r="N913" s="268"/>
      <c r="O913" s="310"/>
      <c r="P913" s="268"/>
      <c r="Q913" s="309"/>
      <c r="R913" s="268"/>
      <c r="S913" s="313"/>
      <c r="T913" s="313"/>
      <c r="U913" s="268"/>
      <c r="V913" s="309"/>
      <c r="W913" s="310"/>
      <c r="X913" s="268"/>
      <c r="Y913" s="268"/>
      <c r="Z913" s="268"/>
    </row>
    <row r="914" spans="1:26" ht="24.75" customHeight="1">
      <c r="A914" s="268"/>
      <c r="B914" s="268"/>
      <c r="C914" s="268"/>
      <c r="D914" s="268"/>
      <c r="E914" s="268"/>
      <c r="F914" s="268"/>
      <c r="G914" s="268"/>
      <c r="H914" s="268"/>
      <c r="I914" s="268"/>
      <c r="J914" s="268"/>
      <c r="K914" s="268"/>
      <c r="L914" s="309"/>
      <c r="M914" s="268"/>
      <c r="N914" s="268"/>
      <c r="O914" s="310"/>
      <c r="P914" s="268"/>
      <c r="Q914" s="309"/>
      <c r="R914" s="268"/>
      <c r="S914" s="313"/>
      <c r="T914" s="313"/>
      <c r="U914" s="268"/>
      <c r="V914" s="309"/>
      <c r="W914" s="310"/>
      <c r="X914" s="268"/>
      <c r="Y914" s="268"/>
      <c r="Z914" s="268"/>
    </row>
    <row r="915" spans="1:26" ht="24.75" customHeight="1">
      <c r="A915" s="268"/>
      <c r="B915" s="268"/>
      <c r="C915" s="268"/>
      <c r="D915" s="268"/>
      <c r="E915" s="268"/>
      <c r="F915" s="268"/>
      <c r="G915" s="268"/>
      <c r="H915" s="268"/>
      <c r="I915" s="268"/>
      <c r="J915" s="268"/>
      <c r="K915" s="268"/>
      <c r="L915" s="309"/>
      <c r="M915" s="268"/>
      <c r="N915" s="268"/>
      <c r="O915" s="310"/>
      <c r="P915" s="268"/>
      <c r="Q915" s="309"/>
      <c r="R915" s="268"/>
      <c r="S915" s="313"/>
      <c r="T915" s="313"/>
      <c r="U915" s="268"/>
      <c r="V915" s="309"/>
      <c r="W915" s="310"/>
      <c r="X915" s="268"/>
      <c r="Y915" s="268"/>
      <c r="Z915" s="268"/>
    </row>
    <row r="916" spans="1:26" ht="24.75" customHeight="1">
      <c r="A916" s="268"/>
      <c r="B916" s="268"/>
      <c r="C916" s="268"/>
      <c r="D916" s="268"/>
      <c r="E916" s="268"/>
      <c r="F916" s="268"/>
      <c r="G916" s="268"/>
      <c r="H916" s="268"/>
      <c r="I916" s="268"/>
      <c r="J916" s="268"/>
      <c r="K916" s="268"/>
      <c r="L916" s="309"/>
      <c r="M916" s="268"/>
      <c r="N916" s="268"/>
      <c r="O916" s="310"/>
      <c r="P916" s="268"/>
      <c r="Q916" s="309"/>
      <c r="R916" s="268"/>
      <c r="S916" s="313"/>
      <c r="T916" s="313"/>
      <c r="U916" s="268"/>
      <c r="V916" s="309"/>
      <c r="W916" s="310"/>
      <c r="X916" s="268"/>
      <c r="Y916" s="268"/>
      <c r="Z916" s="268"/>
    </row>
    <row r="917" spans="1:26" ht="24.75" customHeight="1">
      <c r="A917" s="268"/>
      <c r="B917" s="268"/>
      <c r="C917" s="268"/>
      <c r="D917" s="268"/>
      <c r="E917" s="268"/>
      <c r="F917" s="268"/>
      <c r="G917" s="268"/>
      <c r="H917" s="268"/>
      <c r="I917" s="268"/>
      <c r="J917" s="268"/>
      <c r="K917" s="268"/>
      <c r="L917" s="309"/>
      <c r="M917" s="268"/>
      <c r="N917" s="268"/>
      <c r="O917" s="310"/>
      <c r="P917" s="268"/>
      <c r="Q917" s="309"/>
      <c r="R917" s="268"/>
      <c r="S917" s="313"/>
      <c r="T917" s="313"/>
      <c r="U917" s="268"/>
      <c r="V917" s="309"/>
      <c r="W917" s="310"/>
      <c r="X917" s="268"/>
      <c r="Y917" s="268"/>
      <c r="Z917" s="268"/>
    </row>
    <row r="918" spans="1:26" ht="24.75" customHeight="1">
      <c r="A918" s="268"/>
      <c r="B918" s="268"/>
      <c r="C918" s="268"/>
      <c r="D918" s="268"/>
      <c r="E918" s="268"/>
      <c r="F918" s="268"/>
      <c r="G918" s="268"/>
      <c r="H918" s="268"/>
      <c r="I918" s="268"/>
      <c r="J918" s="268"/>
      <c r="K918" s="268"/>
      <c r="L918" s="309"/>
      <c r="M918" s="268"/>
      <c r="N918" s="268"/>
      <c r="O918" s="310"/>
      <c r="P918" s="268"/>
      <c r="Q918" s="309"/>
      <c r="R918" s="268"/>
      <c r="S918" s="313"/>
      <c r="T918" s="313"/>
      <c r="U918" s="268"/>
      <c r="V918" s="309"/>
      <c r="W918" s="310"/>
      <c r="X918" s="268"/>
      <c r="Y918" s="268"/>
      <c r="Z918" s="268"/>
    </row>
    <row r="919" spans="1:26" ht="24.75" customHeight="1">
      <c r="A919" s="268"/>
      <c r="B919" s="268"/>
      <c r="C919" s="268"/>
      <c r="D919" s="268"/>
      <c r="E919" s="268"/>
      <c r="F919" s="268"/>
      <c r="G919" s="268"/>
      <c r="H919" s="268"/>
      <c r="I919" s="268"/>
      <c r="J919" s="268"/>
      <c r="K919" s="268"/>
      <c r="L919" s="309"/>
      <c r="M919" s="268"/>
      <c r="N919" s="268"/>
      <c r="O919" s="310"/>
      <c r="P919" s="268"/>
      <c r="Q919" s="309"/>
      <c r="R919" s="268"/>
      <c r="S919" s="313"/>
      <c r="T919" s="313"/>
      <c r="U919" s="268"/>
      <c r="V919" s="309"/>
      <c r="W919" s="310"/>
      <c r="X919" s="268"/>
      <c r="Y919" s="268"/>
      <c r="Z919" s="268"/>
    </row>
    <row r="920" spans="1:26" ht="24.75" customHeight="1">
      <c r="A920" s="268"/>
      <c r="B920" s="268"/>
      <c r="C920" s="268"/>
      <c r="D920" s="268"/>
      <c r="E920" s="268"/>
      <c r="F920" s="268"/>
      <c r="G920" s="268"/>
      <c r="H920" s="268"/>
      <c r="I920" s="268"/>
      <c r="J920" s="268"/>
      <c r="K920" s="268"/>
      <c r="L920" s="309"/>
      <c r="M920" s="268"/>
      <c r="N920" s="268"/>
      <c r="O920" s="310"/>
      <c r="P920" s="268"/>
      <c r="Q920" s="309"/>
      <c r="R920" s="268"/>
      <c r="S920" s="313"/>
      <c r="T920" s="313"/>
      <c r="U920" s="268"/>
      <c r="V920" s="309"/>
      <c r="W920" s="310"/>
      <c r="X920" s="268"/>
      <c r="Y920" s="268"/>
      <c r="Z920" s="268"/>
    </row>
    <row r="921" spans="1:26" ht="24.75" customHeight="1">
      <c r="A921" s="268"/>
      <c r="B921" s="268"/>
      <c r="C921" s="268"/>
      <c r="D921" s="268"/>
      <c r="E921" s="268"/>
      <c r="F921" s="268"/>
      <c r="G921" s="268"/>
      <c r="H921" s="268"/>
      <c r="I921" s="268"/>
      <c r="J921" s="268"/>
      <c r="K921" s="268"/>
      <c r="L921" s="309"/>
      <c r="M921" s="268"/>
      <c r="N921" s="268"/>
      <c r="O921" s="310"/>
      <c r="P921" s="268"/>
      <c r="Q921" s="309"/>
      <c r="R921" s="268"/>
      <c r="S921" s="313"/>
      <c r="T921" s="313"/>
      <c r="U921" s="268"/>
      <c r="V921" s="309"/>
      <c r="W921" s="310"/>
      <c r="X921" s="268"/>
      <c r="Y921" s="268"/>
      <c r="Z921" s="268"/>
    </row>
    <row r="922" spans="1:26" ht="24.75" customHeight="1">
      <c r="A922" s="268"/>
      <c r="B922" s="268"/>
      <c r="C922" s="268"/>
      <c r="D922" s="268"/>
      <c r="E922" s="268"/>
      <c r="F922" s="268"/>
      <c r="G922" s="268"/>
      <c r="H922" s="268"/>
      <c r="I922" s="268"/>
      <c r="J922" s="268"/>
      <c r="K922" s="268"/>
      <c r="L922" s="309"/>
      <c r="M922" s="268"/>
      <c r="N922" s="268"/>
      <c r="O922" s="310"/>
      <c r="P922" s="268"/>
      <c r="Q922" s="309"/>
      <c r="R922" s="268"/>
      <c r="S922" s="313"/>
      <c r="T922" s="313"/>
      <c r="U922" s="268"/>
      <c r="V922" s="309"/>
      <c r="W922" s="310"/>
      <c r="X922" s="268"/>
      <c r="Y922" s="268"/>
      <c r="Z922" s="268"/>
    </row>
    <row r="923" spans="1:26" ht="24.75" customHeight="1">
      <c r="A923" s="268"/>
      <c r="B923" s="268"/>
      <c r="C923" s="268"/>
      <c r="D923" s="268"/>
      <c r="E923" s="268"/>
      <c r="F923" s="268"/>
      <c r="G923" s="268"/>
      <c r="H923" s="268"/>
      <c r="I923" s="268"/>
      <c r="J923" s="268"/>
      <c r="K923" s="268"/>
      <c r="L923" s="309"/>
      <c r="M923" s="268"/>
      <c r="N923" s="268"/>
      <c r="O923" s="310"/>
      <c r="P923" s="268"/>
      <c r="Q923" s="309"/>
      <c r="R923" s="268"/>
      <c r="S923" s="313"/>
      <c r="T923" s="313"/>
      <c r="U923" s="268"/>
      <c r="V923" s="309"/>
      <c r="W923" s="310"/>
      <c r="X923" s="268"/>
      <c r="Y923" s="268"/>
      <c r="Z923" s="268"/>
    </row>
    <row r="924" spans="1:26" ht="24.75" customHeight="1">
      <c r="A924" s="268"/>
      <c r="B924" s="268"/>
      <c r="C924" s="268"/>
      <c r="D924" s="268"/>
      <c r="E924" s="268"/>
      <c r="F924" s="268"/>
      <c r="G924" s="268"/>
      <c r="H924" s="268"/>
      <c r="I924" s="268"/>
      <c r="J924" s="268"/>
      <c r="K924" s="268"/>
      <c r="L924" s="309"/>
      <c r="M924" s="268"/>
      <c r="N924" s="268"/>
      <c r="O924" s="310"/>
      <c r="P924" s="268"/>
      <c r="Q924" s="309"/>
      <c r="R924" s="268"/>
      <c r="S924" s="313"/>
      <c r="T924" s="313"/>
      <c r="U924" s="268"/>
      <c r="V924" s="309"/>
      <c r="W924" s="310"/>
      <c r="X924" s="268"/>
      <c r="Y924" s="268"/>
      <c r="Z924" s="268"/>
    </row>
    <row r="925" spans="1:26" ht="24.75" customHeight="1">
      <c r="A925" s="268"/>
      <c r="B925" s="268"/>
      <c r="C925" s="268"/>
      <c r="D925" s="268"/>
      <c r="E925" s="268"/>
      <c r="F925" s="268"/>
      <c r="G925" s="268"/>
      <c r="H925" s="268"/>
      <c r="I925" s="268"/>
      <c r="J925" s="268"/>
      <c r="K925" s="268"/>
      <c r="L925" s="309"/>
      <c r="M925" s="268"/>
      <c r="N925" s="268"/>
      <c r="O925" s="310"/>
      <c r="P925" s="268"/>
      <c r="Q925" s="309"/>
      <c r="R925" s="268"/>
      <c r="S925" s="313"/>
      <c r="T925" s="313"/>
      <c r="U925" s="268"/>
      <c r="V925" s="309"/>
      <c r="W925" s="310"/>
      <c r="X925" s="268"/>
      <c r="Y925" s="268"/>
      <c r="Z925" s="268"/>
    </row>
    <row r="926" spans="1:26" ht="24.75" customHeight="1">
      <c r="A926" s="268"/>
      <c r="B926" s="268"/>
      <c r="C926" s="268"/>
      <c r="D926" s="268"/>
      <c r="E926" s="268"/>
      <c r="F926" s="268"/>
      <c r="G926" s="268"/>
      <c r="H926" s="268"/>
      <c r="I926" s="268"/>
      <c r="J926" s="268"/>
      <c r="K926" s="268"/>
      <c r="L926" s="309"/>
      <c r="M926" s="268"/>
      <c r="N926" s="268"/>
      <c r="O926" s="310"/>
      <c r="P926" s="268"/>
      <c r="Q926" s="309"/>
      <c r="R926" s="268"/>
      <c r="S926" s="313"/>
      <c r="T926" s="313"/>
      <c r="U926" s="268"/>
      <c r="V926" s="309"/>
      <c r="W926" s="310"/>
      <c r="X926" s="268"/>
      <c r="Y926" s="268"/>
      <c r="Z926" s="268"/>
    </row>
    <row r="927" spans="1:26" ht="24.75" customHeight="1">
      <c r="A927" s="268"/>
      <c r="B927" s="268"/>
      <c r="C927" s="268"/>
      <c r="D927" s="268"/>
      <c r="E927" s="268"/>
      <c r="F927" s="268"/>
      <c r="G927" s="268"/>
      <c r="H927" s="268"/>
      <c r="I927" s="268"/>
      <c r="J927" s="268"/>
      <c r="K927" s="268"/>
      <c r="L927" s="309"/>
      <c r="M927" s="268"/>
      <c r="N927" s="268"/>
      <c r="O927" s="310"/>
      <c r="P927" s="268"/>
      <c r="Q927" s="309"/>
      <c r="R927" s="268"/>
      <c r="S927" s="313"/>
      <c r="T927" s="313"/>
      <c r="U927" s="268"/>
      <c r="V927" s="309"/>
      <c r="W927" s="310"/>
      <c r="X927" s="268"/>
      <c r="Y927" s="268"/>
      <c r="Z927" s="268"/>
    </row>
    <row r="928" spans="1:26" ht="24.75" customHeight="1">
      <c r="A928" s="268"/>
      <c r="B928" s="268"/>
      <c r="C928" s="268"/>
      <c r="D928" s="268"/>
      <c r="E928" s="268"/>
      <c r="F928" s="268"/>
      <c r="G928" s="268"/>
      <c r="H928" s="268"/>
      <c r="I928" s="268"/>
      <c r="J928" s="268"/>
      <c r="K928" s="268"/>
      <c r="L928" s="309"/>
      <c r="M928" s="268"/>
      <c r="N928" s="268"/>
      <c r="O928" s="310"/>
      <c r="P928" s="268"/>
      <c r="Q928" s="309"/>
      <c r="R928" s="268"/>
      <c r="S928" s="313"/>
      <c r="T928" s="313"/>
      <c r="U928" s="268"/>
      <c r="V928" s="309"/>
      <c r="W928" s="310"/>
      <c r="X928" s="268"/>
      <c r="Y928" s="268"/>
      <c r="Z928" s="268"/>
    </row>
    <row r="929" spans="1:26" ht="24.75" customHeight="1">
      <c r="A929" s="268"/>
      <c r="B929" s="268"/>
      <c r="C929" s="268"/>
      <c r="D929" s="268"/>
      <c r="E929" s="268"/>
      <c r="F929" s="268"/>
      <c r="G929" s="268"/>
      <c r="H929" s="268"/>
      <c r="I929" s="268"/>
      <c r="J929" s="268"/>
      <c r="K929" s="268"/>
      <c r="L929" s="309"/>
      <c r="M929" s="268"/>
      <c r="N929" s="268"/>
      <c r="O929" s="310"/>
      <c r="P929" s="268"/>
      <c r="Q929" s="309"/>
      <c r="R929" s="268"/>
      <c r="S929" s="313"/>
      <c r="T929" s="313"/>
      <c r="U929" s="268"/>
      <c r="V929" s="309"/>
      <c r="W929" s="310"/>
      <c r="X929" s="268"/>
      <c r="Y929" s="268"/>
      <c r="Z929" s="268"/>
    </row>
    <row r="930" spans="1:26" ht="24.75" customHeight="1">
      <c r="A930" s="268"/>
      <c r="B930" s="268"/>
      <c r="C930" s="268"/>
      <c r="D930" s="268"/>
      <c r="E930" s="268"/>
      <c r="F930" s="268"/>
      <c r="G930" s="268"/>
      <c r="H930" s="268"/>
      <c r="I930" s="268"/>
      <c r="J930" s="268"/>
      <c r="K930" s="268"/>
      <c r="L930" s="309"/>
      <c r="M930" s="268"/>
      <c r="N930" s="268"/>
      <c r="O930" s="310"/>
      <c r="P930" s="268"/>
      <c r="Q930" s="309"/>
      <c r="R930" s="268"/>
      <c r="S930" s="313"/>
      <c r="T930" s="313"/>
      <c r="U930" s="268"/>
      <c r="V930" s="309"/>
      <c r="W930" s="310"/>
      <c r="X930" s="268"/>
      <c r="Y930" s="268"/>
      <c r="Z930" s="268"/>
    </row>
    <row r="931" spans="1:26" ht="24.75" customHeight="1">
      <c r="A931" s="268"/>
      <c r="B931" s="268"/>
      <c r="C931" s="268"/>
      <c r="D931" s="268"/>
      <c r="E931" s="268"/>
      <c r="F931" s="268"/>
      <c r="G931" s="268"/>
      <c r="H931" s="268"/>
      <c r="I931" s="268"/>
      <c r="J931" s="268"/>
      <c r="K931" s="268"/>
      <c r="L931" s="309"/>
      <c r="M931" s="268"/>
      <c r="N931" s="268"/>
      <c r="O931" s="310"/>
      <c r="P931" s="268"/>
      <c r="Q931" s="309"/>
      <c r="R931" s="268"/>
      <c r="S931" s="313"/>
      <c r="T931" s="313"/>
      <c r="U931" s="268"/>
      <c r="V931" s="309"/>
      <c r="W931" s="310"/>
      <c r="X931" s="268"/>
      <c r="Y931" s="268"/>
      <c r="Z931" s="268"/>
    </row>
    <row r="932" spans="1:26" ht="24.75" customHeight="1">
      <c r="A932" s="268"/>
      <c r="B932" s="268"/>
      <c r="C932" s="268"/>
      <c r="D932" s="268"/>
      <c r="E932" s="268"/>
      <c r="F932" s="268"/>
      <c r="G932" s="268"/>
      <c r="H932" s="268"/>
      <c r="I932" s="268"/>
      <c r="J932" s="268"/>
      <c r="K932" s="268"/>
      <c r="L932" s="309"/>
      <c r="M932" s="268"/>
      <c r="N932" s="268"/>
      <c r="O932" s="310"/>
      <c r="P932" s="268"/>
      <c r="Q932" s="309"/>
      <c r="R932" s="268"/>
      <c r="S932" s="313"/>
      <c r="T932" s="313"/>
      <c r="U932" s="268"/>
      <c r="V932" s="309"/>
      <c r="W932" s="310"/>
      <c r="X932" s="268"/>
      <c r="Y932" s="268"/>
      <c r="Z932" s="268"/>
    </row>
    <row r="933" spans="1:26" ht="24.75" customHeight="1">
      <c r="A933" s="268"/>
      <c r="B933" s="268"/>
      <c r="C933" s="268"/>
      <c r="D933" s="268"/>
      <c r="E933" s="268"/>
      <c r="F933" s="268"/>
      <c r="G933" s="268"/>
      <c r="H933" s="268"/>
      <c r="I933" s="268"/>
      <c r="J933" s="268"/>
      <c r="K933" s="268"/>
      <c r="L933" s="309"/>
      <c r="M933" s="268"/>
      <c r="N933" s="268"/>
      <c r="O933" s="310"/>
      <c r="P933" s="268"/>
      <c r="Q933" s="309"/>
      <c r="R933" s="268"/>
      <c r="S933" s="313"/>
      <c r="T933" s="313"/>
      <c r="U933" s="268"/>
      <c r="V933" s="309"/>
      <c r="W933" s="310"/>
      <c r="X933" s="268"/>
      <c r="Y933" s="268"/>
      <c r="Z933" s="268"/>
    </row>
    <row r="934" spans="1:26" ht="24.75" customHeight="1">
      <c r="A934" s="268"/>
      <c r="B934" s="268"/>
      <c r="C934" s="268"/>
      <c r="D934" s="268"/>
      <c r="E934" s="268"/>
      <c r="F934" s="268"/>
      <c r="G934" s="268"/>
      <c r="H934" s="268"/>
      <c r="I934" s="268"/>
      <c r="J934" s="268"/>
      <c r="K934" s="268"/>
      <c r="L934" s="309"/>
      <c r="M934" s="268"/>
      <c r="N934" s="268"/>
      <c r="O934" s="310"/>
      <c r="P934" s="268"/>
      <c r="Q934" s="309"/>
      <c r="R934" s="268"/>
      <c r="S934" s="313"/>
      <c r="T934" s="313"/>
      <c r="U934" s="268"/>
      <c r="V934" s="309"/>
      <c r="W934" s="310"/>
      <c r="X934" s="268"/>
      <c r="Y934" s="268"/>
      <c r="Z934" s="268"/>
    </row>
    <row r="935" spans="1:26" ht="24.75" customHeight="1">
      <c r="A935" s="268"/>
      <c r="B935" s="268"/>
      <c r="C935" s="268"/>
      <c r="D935" s="268"/>
      <c r="E935" s="268"/>
      <c r="F935" s="268"/>
      <c r="G935" s="268"/>
      <c r="H935" s="268"/>
      <c r="I935" s="268"/>
      <c r="J935" s="268"/>
      <c r="K935" s="268"/>
      <c r="L935" s="309"/>
      <c r="M935" s="268"/>
      <c r="N935" s="268"/>
      <c r="O935" s="310"/>
      <c r="P935" s="268"/>
      <c r="Q935" s="309"/>
      <c r="R935" s="268"/>
      <c r="S935" s="313"/>
      <c r="T935" s="313"/>
      <c r="U935" s="268"/>
      <c r="V935" s="309"/>
      <c r="W935" s="310"/>
      <c r="X935" s="268"/>
      <c r="Y935" s="268"/>
      <c r="Z935" s="268"/>
    </row>
    <row r="936" spans="1:26" ht="24.75" customHeight="1">
      <c r="A936" s="268"/>
      <c r="B936" s="268"/>
      <c r="C936" s="268"/>
      <c r="D936" s="268"/>
      <c r="E936" s="268"/>
      <c r="F936" s="268"/>
      <c r="G936" s="268"/>
      <c r="H936" s="268"/>
      <c r="I936" s="268"/>
      <c r="J936" s="268"/>
      <c r="K936" s="268"/>
      <c r="L936" s="309"/>
      <c r="M936" s="268"/>
      <c r="N936" s="268"/>
      <c r="O936" s="310"/>
      <c r="P936" s="268"/>
      <c r="Q936" s="309"/>
      <c r="R936" s="268"/>
      <c r="S936" s="313"/>
      <c r="T936" s="313"/>
      <c r="U936" s="268"/>
      <c r="V936" s="309"/>
      <c r="W936" s="310"/>
      <c r="X936" s="268"/>
      <c r="Y936" s="268"/>
      <c r="Z936" s="268"/>
    </row>
    <row r="937" spans="1:26" ht="24.75" customHeight="1">
      <c r="A937" s="268"/>
      <c r="B937" s="268"/>
      <c r="C937" s="268"/>
      <c r="D937" s="268"/>
      <c r="E937" s="268"/>
      <c r="F937" s="268"/>
      <c r="G937" s="268"/>
      <c r="H937" s="268"/>
      <c r="I937" s="268"/>
      <c r="J937" s="268"/>
      <c r="K937" s="268"/>
      <c r="L937" s="309"/>
      <c r="M937" s="268"/>
      <c r="N937" s="268"/>
      <c r="O937" s="310"/>
      <c r="P937" s="268"/>
      <c r="Q937" s="309"/>
      <c r="R937" s="268"/>
      <c r="S937" s="313"/>
      <c r="T937" s="313"/>
      <c r="U937" s="268"/>
      <c r="V937" s="309"/>
      <c r="W937" s="310"/>
      <c r="X937" s="268"/>
      <c r="Y937" s="268"/>
      <c r="Z937" s="268"/>
    </row>
    <row r="938" spans="1:26" ht="24.75" customHeight="1">
      <c r="A938" s="268"/>
      <c r="B938" s="268"/>
      <c r="C938" s="268"/>
      <c r="D938" s="268"/>
      <c r="E938" s="268"/>
      <c r="F938" s="268"/>
      <c r="G938" s="268"/>
      <c r="H938" s="268"/>
      <c r="I938" s="268"/>
      <c r="J938" s="268"/>
      <c r="K938" s="268"/>
      <c r="L938" s="309"/>
      <c r="M938" s="268"/>
      <c r="N938" s="268"/>
      <c r="O938" s="310"/>
      <c r="P938" s="268"/>
      <c r="Q938" s="309"/>
      <c r="R938" s="268"/>
      <c r="S938" s="313"/>
      <c r="T938" s="313"/>
      <c r="U938" s="268"/>
      <c r="V938" s="309"/>
      <c r="W938" s="310"/>
      <c r="X938" s="268"/>
      <c r="Y938" s="268"/>
      <c r="Z938" s="268"/>
    </row>
    <row r="939" spans="1:26" ht="24.75" customHeight="1">
      <c r="A939" s="268"/>
      <c r="B939" s="268"/>
      <c r="C939" s="268"/>
      <c r="D939" s="268"/>
      <c r="E939" s="268"/>
      <c r="F939" s="268"/>
      <c r="G939" s="268"/>
      <c r="H939" s="268"/>
      <c r="I939" s="268"/>
      <c r="J939" s="268"/>
      <c r="K939" s="268"/>
      <c r="L939" s="309"/>
      <c r="M939" s="268"/>
      <c r="N939" s="268"/>
      <c r="O939" s="310"/>
      <c r="P939" s="268"/>
      <c r="Q939" s="309"/>
      <c r="R939" s="268"/>
      <c r="S939" s="313"/>
      <c r="T939" s="313"/>
      <c r="U939" s="268"/>
      <c r="V939" s="309"/>
      <c r="W939" s="310"/>
      <c r="X939" s="268"/>
      <c r="Y939" s="268"/>
      <c r="Z939" s="268"/>
    </row>
    <row r="940" spans="1:26" ht="24.75" customHeight="1">
      <c r="A940" s="268"/>
      <c r="B940" s="268"/>
      <c r="C940" s="268"/>
      <c r="D940" s="268"/>
      <c r="E940" s="268"/>
      <c r="F940" s="268"/>
      <c r="G940" s="268"/>
      <c r="H940" s="268"/>
      <c r="I940" s="268"/>
      <c r="J940" s="268"/>
      <c r="K940" s="268"/>
      <c r="L940" s="309"/>
      <c r="M940" s="268"/>
      <c r="N940" s="268"/>
      <c r="O940" s="310"/>
      <c r="P940" s="268"/>
      <c r="Q940" s="309"/>
      <c r="R940" s="268"/>
      <c r="S940" s="313"/>
      <c r="T940" s="313"/>
      <c r="U940" s="268"/>
      <c r="V940" s="309"/>
      <c r="W940" s="310"/>
      <c r="X940" s="268"/>
      <c r="Y940" s="268"/>
      <c r="Z940" s="268"/>
    </row>
    <row r="941" spans="1:26" ht="24.75" customHeight="1">
      <c r="A941" s="268"/>
      <c r="B941" s="268"/>
      <c r="C941" s="268"/>
      <c r="D941" s="268"/>
      <c r="E941" s="268"/>
      <c r="F941" s="268"/>
      <c r="G941" s="268"/>
      <c r="H941" s="268"/>
      <c r="I941" s="268"/>
      <c r="J941" s="268"/>
      <c r="K941" s="268"/>
      <c r="L941" s="309"/>
      <c r="M941" s="268"/>
      <c r="N941" s="268"/>
      <c r="O941" s="310"/>
      <c r="P941" s="268"/>
      <c r="Q941" s="309"/>
      <c r="R941" s="268"/>
      <c r="S941" s="313"/>
      <c r="T941" s="313"/>
      <c r="U941" s="268"/>
      <c r="V941" s="309"/>
      <c r="W941" s="310"/>
      <c r="X941" s="268"/>
      <c r="Y941" s="268"/>
      <c r="Z941" s="268"/>
    </row>
    <row r="942" spans="1:26" ht="24.75" customHeight="1">
      <c r="A942" s="268"/>
      <c r="B942" s="268"/>
      <c r="C942" s="268"/>
      <c r="D942" s="268"/>
      <c r="E942" s="268"/>
      <c r="F942" s="268"/>
      <c r="G942" s="268"/>
      <c r="H942" s="268"/>
      <c r="I942" s="268"/>
      <c r="J942" s="268"/>
      <c r="K942" s="268"/>
      <c r="L942" s="309"/>
      <c r="M942" s="268"/>
      <c r="N942" s="268"/>
      <c r="O942" s="310"/>
      <c r="P942" s="268"/>
      <c r="Q942" s="309"/>
      <c r="R942" s="268"/>
      <c r="S942" s="313"/>
      <c r="T942" s="313"/>
      <c r="U942" s="268"/>
      <c r="V942" s="309"/>
      <c r="W942" s="310"/>
      <c r="X942" s="268"/>
      <c r="Y942" s="268"/>
      <c r="Z942" s="268"/>
    </row>
    <row r="943" spans="1:26" ht="24.75" customHeight="1">
      <c r="A943" s="268"/>
      <c r="B943" s="268"/>
      <c r="C943" s="268"/>
      <c r="D943" s="268"/>
      <c r="E943" s="268"/>
      <c r="F943" s="268"/>
      <c r="G943" s="268"/>
      <c r="H943" s="268"/>
      <c r="I943" s="268"/>
      <c r="J943" s="268"/>
      <c r="K943" s="268"/>
      <c r="L943" s="309"/>
      <c r="M943" s="268"/>
      <c r="N943" s="268"/>
      <c r="O943" s="310"/>
      <c r="P943" s="268"/>
      <c r="Q943" s="309"/>
      <c r="R943" s="268"/>
      <c r="S943" s="313"/>
      <c r="T943" s="313"/>
      <c r="U943" s="268"/>
      <c r="V943" s="309"/>
      <c r="W943" s="310"/>
      <c r="X943" s="268"/>
      <c r="Y943" s="268"/>
      <c r="Z943" s="268"/>
    </row>
    <row r="944" spans="1:26" ht="24.75" customHeight="1">
      <c r="A944" s="268"/>
      <c r="B944" s="268"/>
      <c r="C944" s="268"/>
      <c r="D944" s="268"/>
      <c r="E944" s="268"/>
      <c r="F944" s="268"/>
      <c r="G944" s="268"/>
      <c r="H944" s="268"/>
      <c r="I944" s="268"/>
      <c r="J944" s="268"/>
      <c r="K944" s="268"/>
      <c r="L944" s="309"/>
      <c r="M944" s="268"/>
      <c r="N944" s="268"/>
      <c r="O944" s="310"/>
      <c r="P944" s="268"/>
      <c r="Q944" s="309"/>
      <c r="R944" s="268"/>
      <c r="S944" s="313"/>
      <c r="T944" s="313"/>
      <c r="U944" s="268"/>
      <c r="V944" s="309"/>
      <c r="W944" s="310"/>
      <c r="X944" s="268"/>
      <c r="Y944" s="268"/>
      <c r="Z944" s="268"/>
    </row>
    <row r="945" spans="1:26" ht="24.75" customHeight="1">
      <c r="A945" s="268"/>
      <c r="B945" s="268"/>
      <c r="C945" s="268"/>
      <c r="D945" s="268"/>
      <c r="E945" s="268"/>
      <c r="F945" s="268"/>
      <c r="G945" s="268"/>
      <c r="H945" s="268"/>
      <c r="I945" s="268"/>
      <c r="J945" s="268"/>
      <c r="K945" s="268"/>
      <c r="L945" s="309"/>
      <c r="M945" s="268"/>
      <c r="N945" s="268"/>
      <c r="O945" s="310"/>
      <c r="P945" s="268"/>
      <c r="Q945" s="309"/>
      <c r="R945" s="268"/>
      <c r="S945" s="313"/>
      <c r="T945" s="313"/>
      <c r="U945" s="268"/>
      <c r="V945" s="309"/>
      <c r="W945" s="310"/>
      <c r="X945" s="268"/>
      <c r="Y945" s="268"/>
      <c r="Z945" s="268"/>
    </row>
    <row r="946" spans="1:26" ht="24.75" customHeight="1">
      <c r="A946" s="268"/>
      <c r="B946" s="268"/>
      <c r="C946" s="268"/>
      <c r="D946" s="268"/>
      <c r="E946" s="268"/>
      <c r="F946" s="268"/>
      <c r="G946" s="268"/>
      <c r="H946" s="268"/>
      <c r="I946" s="268"/>
      <c r="J946" s="268"/>
      <c r="K946" s="268"/>
      <c r="L946" s="309"/>
      <c r="M946" s="268"/>
      <c r="N946" s="268"/>
      <c r="O946" s="310"/>
      <c r="P946" s="268"/>
      <c r="Q946" s="309"/>
      <c r="R946" s="268"/>
      <c r="S946" s="313"/>
      <c r="T946" s="313"/>
      <c r="U946" s="268"/>
      <c r="V946" s="309"/>
      <c r="W946" s="310"/>
      <c r="X946" s="268"/>
      <c r="Y946" s="268"/>
      <c r="Z946" s="268"/>
    </row>
    <row r="947" spans="1:26" ht="24.75" customHeight="1">
      <c r="A947" s="268"/>
      <c r="B947" s="268"/>
      <c r="C947" s="268"/>
      <c r="D947" s="268"/>
      <c r="E947" s="268"/>
      <c r="F947" s="268"/>
      <c r="G947" s="268"/>
      <c r="H947" s="268"/>
      <c r="I947" s="268"/>
      <c r="J947" s="268"/>
      <c r="K947" s="268"/>
      <c r="L947" s="309"/>
      <c r="M947" s="268"/>
      <c r="N947" s="268"/>
      <c r="O947" s="310"/>
      <c r="P947" s="268"/>
      <c r="Q947" s="309"/>
      <c r="R947" s="268"/>
      <c r="S947" s="313"/>
      <c r="T947" s="313"/>
      <c r="U947" s="268"/>
      <c r="V947" s="309"/>
      <c r="W947" s="310"/>
      <c r="X947" s="268"/>
      <c r="Y947" s="268"/>
      <c r="Z947" s="268"/>
    </row>
    <row r="948" spans="1:26" ht="24.75" customHeight="1">
      <c r="A948" s="268"/>
      <c r="B948" s="268"/>
      <c r="C948" s="268"/>
      <c r="D948" s="268"/>
      <c r="E948" s="268"/>
      <c r="F948" s="268"/>
      <c r="G948" s="268"/>
      <c r="H948" s="268"/>
      <c r="I948" s="268"/>
      <c r="J948" s="268"/>
      <c r="K948" s="268"/>
      <c r="L948" s="309"/>
      <c r="M948" s="268"/>
      <c r="N948" s="268"/>
      <c r="O948" s="310"/>
      <c r="P948" s="268"/>
      <c r="Q948" s="309"/>
      <c r="R948" s="268"/>
      <c r="S948" s="313"/>
      <c r="T948" s="313"/>
      <c r="U948" s="268"/>
      <c r="V948" s="309"/>
      <c r="W948" s="310"/>
      <c r="X948" s="268"/>
      <c r="Y948" s="268"/>
      <c r="Z948" s="268"/>
    </row>
    <row r="949" spans="1:26" ht="24.75" customHeight="1">
      <c r="A949" s="268"/>
      <c r="B949" s="268"/>
      <c r="C949" s="268"/>
      <c r="D949" s="268"/>
      <c r="E949" s="268"/>
      <c r="F949" s="268"/>
      <c r="G949" s="268"/>
      <c r="H949" s="268"/>
      <c r="I949" s="268"/>
      <c r="J949" s="268"/>
      <c r="K949" s="268"/>
      <c r="L949" s="309"/>
      <c r="M949" s="268"/>
      <c r="N949" s="268"/>
      <c r="O949" s="310"/>
      <c r="P949" s="268"/>
      <c r="Q949" s="309"/>
      <c r="R949" s="268"/>
      <c r="S949" s="313"/>
      <c r="T949" s="313"/>
      <c r="U949" s="268"/>
      <c r="V949" s="309"/>
      <c r="W949" s="310"/>
      <c r="X949" s="268"/>
      <c r="Y949" s="268"/>
      <c r="Z949" s="268"/>
    </row>
    <row r="950" spans="1:26" ht="24.75" customHeight="1">
      <c r="A950" s="268"/>
      <c r="B950" s="268"/>
      <c r="C950" s="268"/>
      <c r="D950" s="268"/>
      <c r="E950" s="268"/>
      <c r="F950" s="268"/>
      <c r="G950" s="268"/>
      <c r="H950" s="268"/>
      <c r="I950" s="268"/>
      <c r="J950" s="268"/>
      <c r="K950" s="268"/>
      <c r="L950" s="309"/>
      <c r="M950" s="268"/>
      <c r="N950" s="268"/>
      <c r="O950" s="310"/>
      <c r="P950" s="268"/>
      <c r="Q950" s="309"/>
      <c r="R950" s="268"/>
      <c r="S950" s="313"/>
      <c r="T950" s="313"/>
      <c r="U950" s="268"/>
      <c r="V950" s="309"/>
      <c r="W950" s="310"/>
      <c r="X950" s="268"/>
      <c r="Y950" s="268"/>
      <c r="Z950" s="268"/>
    </row>
    <row r="951" spans="1:26" ht="24.75" customHeight="1">
      <c r="A951" s="268"/>
      <c r="B951" s="268"/>
      <c r="C951" s="268"/>
      <c r="D951" s="268"/>
      <c r="E951" s="268"/>
      <c r="F951" s="268"/>
      <c r="G951" s="268"/>
      <c r="H951" s="268"/>
      <c r="I951" s="268"/>
      <c r="J951" s="268"/>
      <c r="K951" s="268"/>
      <c r="L951" s="309"/>
      <c r="M951" s="268"/>
      <c r="N951" s="268"/>
      <c r="O951" s="310"/>
      <c r="P951" s="268"/>
      <c r="Q951" s="309"/>
      <c r="R951" s="268"/>
      <c r="S951" s="313"/>
      <c r="T951" s="313"/>
      <c r="U951" s="268"/>
      <c r="V951" s="309"/>
      <c r="W951" s="310"/>
      <c r="X951" s="268"/>
      <c r="Y951" s="268"/>
      <c r="Z951" s="268"/>
    </row>
    <row r="952" spans="1:26" ht="24.75" customHeight="1">
      <c r="A952" s="268"/>
      <c r="B952" s="268"/>
      <c r="C952" s="268"/>
      <c r="D952" s="268"/>
      <c r="E952" s="268"/>
      <c r="F952" s="268"/>
      <c r="G952" s="268"/>
      <c r="H952" s="268"/>
      <c r="I952" s="268"/>
      <c r="J952" s="268"/>
      <c r="K952" s="268"/>
      <c r="L952" s="309"/>
      <c r="M952" s="268"/>
      <c r="N952" s="268"/>
      <c r="O952" s="310"/>
      <c r="P952" s="268"/>
      <c r="Q952" s="309"/>
      <c r="R952" s="268"/>
      <c r="S952" s="313"/>
      <c r="T952" s="313"/>
      <c r="U952" s="268"/>
      <c r="V952" s="309"/>
      <c r="W952" s="310"/>
      <c r="X952" s="268"/>
      <c r="Y952" s="268"/>
      <c r="Z952" s="268"/>
    </row>
    <row r="953" spans="1:26" ht="24.75" customHeight="1">
      <c r="A953" s="268"/>
      <c r="B953" s="268"/>
      <c r="C953" s="268"/>
      <c r="D953" s="268"/>
      <c r="E953" s="268"/>
      <c r="F953" s="268"/>
      <c r="G953" s="268"/>
      <c r="H953" s="268"/>
      <c r="I953" s="268"/>
      <c r="J953" s="268"/>
      <c r="K953" s="268"/>
      <c r="L953" s="309"/>
      <c r="M953" s="268"/>
      <c r="N953" s="268"/>
      <c r="O953" s="310"/>
      <c r="P953" s="268"/>
      <c r="Q953" s="309"/>
      <c r="R953" s="268"/>
      <c r="S953" s="313"/>
      <c r="T953" s="313"/>
      <c r="U953" s="268"/>
      <c r="V953" s="309"/>
      <c r="W953" s="310"/>
      <c r="X953" s="268"/>
      <c r="Y953" s="268"/>
      <c r="Z953" s="268"/>
    </row>
    <row r="954" spans="1:26" ht="24.75" customHeight="1">
      <c r="A954" s="268"/>
      <c r="B954" s="268"/>
      <c r="C954" s="268"/>
      <c r="D954" s="268"/>
      <c r="E954" s="268"/>
      <c r="F954" s="268"/>
      <c r="G954" s="268"/>
      <c r="H954" s="268"/>
      <c r="I954" s="268"/>
      <c r="J954" s="268"/>
      <c r="K954" s="268"/>
      <c r="L954" s="309"/>
      <c r="M954" s="268"/>
      <c r="N954" s="268"/>
      <c r="O954" s="310"/>
      <c r="P954" s="268"/>
      <c r="Q954" s="309"/>
      <c r="R954" s="268"/>
      <c r="S954" s="313"/>
      <c r="T954" s="313"/>
      <c r="U954" s="268"/>
      <c r="V954" s="309"/>
      <c r="W954" s="310"/>
      <c r="X954" s="268"/>
      <c r="Y954" s="268"/>
      <c r="Z954" s="268"/>
    </row>
    <row r="955" spans="1:26" ht="24.75" customHeight="1">
      <c r="A955" s="268"/>
      <c r="B955" s="268"/>
      <c r="C955" s="268"/>
      <c r="D955" s="268"/>
      <c r="E955" s="268"/>
      <c r="F955" s="268"/>
      <c r="G955" s="268"/>
      <c r="H955" s="268"/>
      <c r="I955" s="268"/>
      <c r="J955" s="268"/>
      <c r="K955" s="268"/>
      <c r="L955" s="309"/>
      <c r="M955" s="268"/>
      <c r="N955" s="268"/>
      <c r="O955" s="310"/>
      <c r="P955" s="268"/>
      <c r="Q955" s="309"/>
      <c r="R955" s="268"/>
      <c r="S955" s="313"/>
      <c r="T955" s="313"/>
      <c r="U955" s="268"/>
      <c r="V955" s="309"/>
      <c r="W955" s="310"/>
      <c r="X955" s="268"/>
      <c r="Y955" s="268"/>
      <c r="Z955" s="268"/>
    </row>
    <row r="956" spans="1:26" ht="24.75" customHeight="1">
      <c r="A956" s="268"/>
      <c r="B956" s="268"/>
      <c r="C956" s="268"/>
      <c r="D956" s="268"/>
      <c r="E956" s="268"/>
      <c r="F956" s="268"/>
      <c r="G956" s="268"/>
      <c r="H956" s="268"/>
      <c r="I956" s="268"/>
      <c r="J956" s="268"/>
      <c r="K956" s="268"/>
      <c r="L956" s="309"/>
      <c r="M956" s="268"/>
      <c r="N956" s="268"/>
      <c r="O956" s="310"/>
      <c r="P956" s="268"/>
      <c r="Q956" s="309"/>
      <c r="R956" s="268"/>
      <c r="S956" s="313"/>
      <c r="T956" s="313"/>
      <c r="U956" s="268"/>
      <c r="V956" s="309"/>
      <c r="W956" s="310"/>
      <c r="X956" s="268"/>
      <c r="Y956" s="268"/>
      <c r="Z956" s="268"/>
    </row>
    <row r="957" spans="1:26" ht="24.75" customHeight="1">
      <c r="A957" s="268"/>
      <c r="B957" s="268"/>
      <c r="C957" s="268"/>
      <c r="D957" s="268"/>
      <c r="E957" s="268"/>
      <c r="F957" s="268"/>
      <c r="G957" s="268"/>
      <c r="H957" s="268"/>
      <c r="I957" s="268"/>
      <c r="J957" s="268"/>
      <c r="K957" s="268"/>
      <c r="L957" s="309"/>
      <c r="M957" s="268"/>
      <c r="N957" s="268"/>
      <c r="O957" s="310"/>
      <c r="P957" s="268"/>
      <c r="Q957" s="309"/>
      <c r="R957" s="268"/>
      <c r="S957" s="313"/>
      <c r="T957" s="313"/>
      <c r="U957" s="268"/>
      <c r="V957" s="309"/>
      <c r="W957" s="310"/>
      <c r="X957" s="268"/>
      <c r="Y957" s="268"/>
      <c r="Z957" s="268"/>
    </row>
    <row r="958" spans="1:26" ht="24.75" customHeight="1">
      <c r="A958" s="268"/>
      <c r="B958" s="268"/>
      <c r="C958" s="268"/>
      <c r="D958" s="268"/>
      <c r="E958" s="268"/>
      <c r="F958" s="268"/>
      <c r="G958" s="268"/>
      <c r="H958" s="268"/>
      <c r="I958" s="268"/>
      <c r="J958" s="268"/>
      <c r="K958" s="268"/>
      <c r="L958" s="309"/>
      <c r="M958" s="268"/>
      <c r="N958" s="268"/>
      <c r="O958" s="310"/>
      <c r="P958" s="268"/>
      <c r="Q958" s="309"/>
      <c r="R958" s="268"/>
      <c r="S958" s="313"/>
      <c r="T958" s="313"/>
      <c r="U958" s="268"/>
      <c r="V958" s="309"/>
      <c r="W958" s="310"/>
      <c r="X958" s="268"/>
      <c r="Y958" s="268"/>
      <c r="Z958" s="268"/>
    </row>
    <row r="959" spans="1:26" ht="24.75" customHeight="1">
      <c r="A959" s="268"/>
      <c r="B959" s="268"/>
      <c r="C959" s="268"/>
      <c r="D959" s="268"/>
      <c r="E959" s="268"/>
      <c r="F959" s="268"/>
      <c r="G959" s="268"/>
      <c r="H959" s="268"/>
      <c r="I959" s="268"/>
      <c r="J959" s="268"/>
      <c r="K959" s="268"/>
      <c r="L959" s="309"/>
      <c r="M959" s="268"/>
      <c r="N959" s="268"/>
      <c r="O959" s="310"/>
      <c r="P959" s="268"/>
      <c r="Q959" s="309"/>
      <c r="R959" s="268"/>
      <c r="S959" s="313"/>
      <c r="T959" s="313"/>
      <c r="U959" s="268"/>
      <c r="V959" s="309"/>
      <c r="W959" s="310"/>
      <c r="X959" s="268"/>
      <c r="Y959" s="268"/>
      <c r="Z959" s="268"/>
    </row>
    <row r="960" spans="1:26" ht="24.75" customHeight="1">
      <c r="A960" s="268"/>
      <c r="B960" s="268"/>
      <c r="C960" s="268"/>
      <c r="D960" s="268"/>
      <c r="E960" s="268"/>
      <c r="F960" s="268"/>
      <c r="G960" s="268"/>
      <c r="H960" s="268"/>
      <c r="I960" s="268"/>
      <c r="J960" s="268"/>
      <c r="K960" s="268"/>
      <c r="L960" s="309"/>
      <c r="M960" s="268"/>
      <c r="N960" s="268"/>
      <c r="O960" s="310"/>
      <c r="P960" s="268"/>
      <c r="Q960" s="309"/>
      <c r="R960" s="268"/>
      <c r="S960" s="313"/>
      <c r="T960" s="313"/>
      <c r="U960" s="268"/>
      <c r="V960" s="309"/>
      <c r="W960" s="310"/>
      <c r="X960" s="268"/>
      <c r="Y960" s="268"/>
      <c r="Z960" s="268"/>
    </row>
    <row r="961" spans="1:26" ht="24.75" customHeight="1">
      <c r="A961" s="268"/>
      <c r="B961" s="268"/>
      <c r="C961" s="268"/>
      <c r="D961" s="268"/>
      <c r="E961" s="268"/>
      <c r="F961" s="268"/>
      <c r="G961" s="268"/>
      <c r="H961" s="268"/>
      <c r="I961" s="268"/>
      <c r="J961" s="268"/>
      <c r="K961" s="268"/>
      <c r="L961" s="309"/>
      <c r="M961" s="268"/>
      <c r="N961" s="268"/>
      <c r="O961" s="310"/>
      <c r="P961" s="268"/>
      <c r="Q961" s="309"/>
      <c r="R961" s="268"/>
      <c r="S961" s="313"/>
      <c r="T961" s="313"/>
      <c r="U961" s="268"/>
      <c r="V961" s="309"/>
      <c r="W961" s="310"/>
      <c r="X961" s="268"/>
      <c r="Y961" s="268"/>
      <c r="Z961" s="268"/>
    </row>
    <row r="962" spans="1:26" ht="24.75" customHeight="1">
      <c r="A962" s="268"/>
      <c r="B962" s="268"/>
      <c r="C962" s="268"/>
      <c r="D962" s="268"/>
      <c r="E962" s="268"/>
      <c r="F962" s="268"/>
      <c r="G962" s="268"/>
      <c r="H962" s="268"/>
      <c r="I962" s="268"/>
      <c r="J962" s="268"/>
      <c r="K962" s="268"/>
      <c r="L962" s="309"/>
      <c r="M962" s="268"/>
      <c r="N962" s="268"/>
      <c r="O962" s="310"/>
      <c r="P962" s="268"/>
      <c r="Q962" s="309"/>
      <c r="R962" s="268"/>
      <c r="S962" s="313"/>
      <c r="T962" s="313"/>
      <c r="U962" s="268"/>
      <c r="V962" s="309"/>
      <c r="W962" s="310"/>
      <c r="X962" s="268"/>
      <c r="Y962" s="268"/>
      <c r="Z962" s="268"/>
    </row>
    <row r="963" spans="1:26" ht="24.75" customHeight="1">
      <c r="A963" s="268"/>
      <c r="B963" s="268"/>
      <c r="C963" s="268"/>
      <c r="D963" s="268"/>
      <c r="E963" s="268"/>
      <c r="F963" s="268"/>
      <c r="G963" s="268"/>
      <c r="H963" s="268"/>
      <c r="I963" s="268"/>
      <c r="J963" s="268"/>
      <c r="K963" s="268"/>
      <c r="L963" s="309"/>
      <c r="M963" s="268"/>
      <c r="N963" s="268"/>
      <c r="O963" s="310"/>
      <c r="P963" s="268"/>
      <c r="Q963" s="309"/>
      <c r="R963" s="268"/>
      <c r="S963" s="313"/>
      <c r="T963" s="313"/>
      <c r="U963" s="268"/>
      <c r="V963" s="309"/>
      <c r="W963" s="310"/>
      <c r="X963" s="268"/>
      <c r="Y963" s="268"/>
      <c r="Z963" s="268"/>
    </row>
    <row r="964" spans="1:26" ht="24.75" customHeight="1">
      <c r="A964" s="268"/>
      <c r="B964" s="268"/>
      <c r="C964" s="268"/>
      <c r="D964" s="268"/>
      <c r="E964" s="268"/>
      <c r="F964" s="268"/>
      <c r="G964" s="268"/>
      <c r="H964" s="268"/>
      <c r="I964" s="268"/>
      <c r="J964" s="268"/>
      <c r="K964" s="268"/>
      <c r="L964" s="309"/>
      <c r="M964" s="268"/>
      <c r="N964" s="268"/>
      <c r="O964" s="310"/>
      <c r="P964" s="268"/>
      <c r="Q964" s="309"/>
      <c r="R964" s="268"/>
      <c r="S964" s="313"/>
      <c r="T964" s="313"/>
      <c r="U964" s="268"/>
      <c r="V964" s="309"/>
      <c r="W964" s="310"/>
      <c r="X964" s="268"/>
      <c r="Y964" s="268"/>
      <c r="Z964" s="268"/>
    </row>
    <row r="965" spans="1:26" ht="24.75" customHeight="1">
      <c r="A965" s="268"/>
      <c r="B965" s="268"/>
      <c r="C965" s="268"/>
      <c r="D965" s="268"/>
      <c r="E965" s="268"/>
      <c r="F965" s="268"/>
      <c r="G965" s="268"/>
      <c r="H965" s="268"/>
      <c r="I965" s="268"/>
      <c r="J965" s="268"/>
      <c r="K965" s="268"/>
      <c r="L965" s="309"/>
      <c r="M965" s="268"/>
      <c r="N965" s="268"/>
      <c r="O965" s="310"/>
      <c r="P965" s="268"/>
      <c r="Q965" s="309"/>
      <c r="R965" s="268"/>
      <c r="S965" s="313"/>
      <c r="T965" s="313"/>
      <c r="U965" s="268"/>
      <c r="V965" s="309"/>
      <c r="W965" s="310"/>
      <c r="X965" s="268"/>
      <c r="Y965" s="268"/>
      <c r="Z965" s="268"/>
    </row>
    <row r="966" spans="1:26" ht="24.75" customHeight="1">
      <c r="A966" s="268"/>
      <c r="B966" s="268"/>
      <c r="C966" s="268"/>
      <c r="D966" s="268"/>
      <c r="E966" s="268"/>
      <c r="F966" s="268"/>
      <c r="G966" s="268"/>
      <c r="H966" s="268"/>
      <c r="I966" s="268"/>
      <c r="J966" s="268"/>
      <c r="K966" s="268"/>
      <c r="L966" s="309"/>
      <c r="M966" s="268"/>
      <c r="N966" s="268"/>
      <c r="O966" s="310"/>
      <c r="P966" s="268"/>
      <c r="Q966" s="309"/>
      <c r="R966" s="268"/>
      <c r="S966" s="313"/>
      <c r="T966" s="313"/>
      <c r="U966" s="268"/>
      <c r="V966" s="309"/>
      <c r="W966" s="310"/>
      <c r="X966" s="268"/>
      <c r="Y966" s="268"/>
      <c r="Z966" s="268"/>
    </row>
    <row r="967" spans="1:26" ht="24.75" customHeight="1">
      <c r="A967" s="268"/>
      <c r="B967" s="268"/>
      <c r="C967" s="268"/>
      <c r="D967" s="268"/>
      <c r="E967" s="268"/>
      <c r="F967" s="268"/>
      <c r="G967" s="268"/>
      <c r="H967" s="268"/>
      <c r="I967" s="268"/>
      <c r="J967" s="268"/>
      <c r="K967" s="268"/>
      <c r="L967" s="309"/>
      <c r="M967" s="268"/>
      <c r="N967" s="268"/>
      <c r="O967" s="310"/>
      <c r="P967" s="268"/>
      <c r="Q967" s="309"/>
      <c r="R967" s="268"/>
      <c r="S967" s="313"/>
      <c r="T967" s="313"/>
      <c r="U967" s="268"/>
      <c r="V967" s="309"/>
      <c r="W967" s="310"/>
      <c r="X967" s="268"/>
      <c r="Y967" s="268"/>
      <c r="Z967" s="268"/>
    </row>
    <row r="968" spans="1:26" ht="24.75" customHeight="1">
      <c r="A968" s="268"/>
      <c r="B968" s="268"/>
      <c r="C968" s="268"/>
      <c r="D968" s="268"/>
      <c r="E968" s="268"/>
      <c r="F968" s="268"/>
      <c r="G968" s="268"/>
      <c r="H968" s="268"/>
      <c r="I968" s="268"/>
      <c r="J968" s="268"/>
      <c r="K968" s="268"/>
      <c r="L968" s="309"/>
      <c r="M968" s="268"/>
      <c r="N968" s="268"/>
      <c r="O968" s="310"/>
      <c r="P968" s="268"/>
      <c r="Q968" s="309"/>
      <c r="R968" s="268"/>
      <c r="S968" s="313"/>
      <c r="T968" s="313"/>
      <c r="U968" s="268"/>
      <c r="V968" s="309"/>
      <c r="W968" s="310"/>
      <c r="X968" s="268"/>
      <c r="Y968" s="268"/>
      <c r="Z968" s="268"/>
    </row>
    <row r="969" spans="1:26" ht="24.75" customHeight="1">
      <c r="A969" s="268"/>
      <c r="B969" s="268"/>
      <c r="C969" s="268"/>
      <c r="D969" s="268"/>
      <c r="E969" s="268"/>
      <c r="F969" s="268"/>
      <c r="G969" s="268"/>
      <c r="H969" s="268"/>
      <c r="I969" s="268"/>
      <c r="J969" s="268"/>
      <c r="K969" s="268"/>
      <c r="L969" s="309"/>
      <c r="M969" s="268"/>
      <c r="N969" s="268"/>
      <c r="O969" s="310"/>
      <c r="P969" s="268"/>
      <c r="Q969" s="309"/>
      <c r="R969" s="268"/>
      <c r="S969" s="313"/>
      <c r="T969" s="313"/>
      <c r="U969" s="268"/>
      <c r="V969" s="309"/>
      <c r="W969" s="310"/>
      <c r="X969" s="268"/>
      <c r="Y969" s="268"/>
      <c r="Z969" s="268"/>
    </row>
    <row r="970" spans="1:26" ht="24.75" customHeight="1">
      <c r="A970" s="268"/>
      <c r="B970" s="268"/>
      <c r="C970" s="268"/>
      <c r="D970" s="268"/>
      <c r="E970" s="268"/>
      <c r="F970" s="268"/>
      <c r="G970" s="268"/>
      <c r="H970" s="268"/>
      <c r="I970" s="268"/>
      <c r="J970" s="268"/>
      <c r="K970" s="268"/>
      <c r="L970" s="309"/>
      <c r="M970" s="268"/>
      <c r="N970" s="268"/>
      <c r="O970" s="310"/>
      <c r="P970" s="268"/>
      <c r="Q970" s="309"/>
      <c r="R970" s="268"/>
      <c r="S970" s="313"/>
      <c r="T970" s="313"/>
      <c r="U970" s="268"/>
      <c r="V970" s="309"/>
      <c r="W970" s="310"/>
      <c r="X970" s="268"/>
      <c r="Y970" s="268"/>
      <c r="Z970" s="268"/>
    </row>
    <row r="971" spans="1:26" ht="24.75" customHeight="1">
      <c r="A971" s="268"/>
      <c r="B971" s="268"/>
      <c r="C971" s="268"/>
      <c r="D971" s="268"/>
      <c r="E971" s="268"/>
      <c r="F971" s="268"/>
      <c r="G971" s="268"/>
      <c r="H971" s="268"/>
      <c r="I971" s="268"/>
      <c r="J971" s="268"/>
      <c r="K971" s="268"/>
      <c r="L971" s="309"/>
      <c r="M971" s="268"/>
      <c r="N971" s="268"/>
      <c r="O971" s="310"/>
      <c r="P971" s="268"/>
      <c r="Q971" s="309"/>
      <c r="R971" s="268"/>
      <c r="S971" s="313"/>
      <c r="T971" s="313"/>
      <c r="U971" s="268"/>
      <c r="V971" s="309"/>
      <c r="W971" s="310"/>
      <c r="X971" s="268"/>
      <c r="Y971" s="268"/>
      <c r="Z971" s="268"/>
    </row>
    <row r="972" spans="1:26" ht="24.75" customHeight="1">
      <c r="A972" s="268"/>
      <c r="B972" s="268"/>
      <c r="C972" s="268"/>
      <c r="D972" s="268"/>
      <c r="E972" s="268"/>
      <c r="F972" s="268"/>
      <c r="G972" s="268"/>
      <c r="H972" s="268"/>
      <c r="I972" s="268"/>
      <c r="J972" s="268"/>
      <c r="K972" s="268"/>
      <c r="L972" s="309"/>
      <c r="M972" s="268"/>
      <c r="N972" s="268"/>
      <c r="O972" s="310"/>
      <c r="P972" s="268"/>
      <c r="Q972" s="309"/>
      <c r="R972" s="268"/>
      <c r="S972" s="313"/>
      <c r="T972" s="313"/>
      <c r="U972" s="268"/>
      <c r="V972" s="309"/>
      <c r="W972" s="310"/>
      <c r="X972" s="268"/>
      <c r="Y972" s="268"/>
      <c r="Z972" s="268"/>
    </row>
    <row r="973" spans="1:26" ht="24.75" customHeight="1">
      <c r="A973" s="268"/>
      <c r="B973" s="268"/>
      <c r="C973" s="268"/>
      <c r="D973" s="268"/>
      <c r="E973" s="268"/>
      <c r="F973" s="268"/>
      <c r="G973" s="268"/>
      <c r="H973" s="268"/>
      <c r="I973" s="268"/>
      <c r="J973" s="268"/>
      <c r="K973" s="268"/>
      <c r="L973" s="309"/>
      <c r="M973" s="268"/>
      <c r="N973" s="268"/>
      <c r="O973" s="310"/>
      <c r="P973" s="268"/>
      <c r="Q973" s="309"/>
      <c r="R973" s="268"/>
      <c r="S973" s="313"/>
      <c r="T973" s="313"/>
      <c r="U973" s="268"/>
      <c r="V973" s="309"/>
      <c r="W973" s="310"/>
      <c r="X973" s="268"/>
      <c r="Y973" s="268"/>
      <c r="Z973" s="268"/>
    </row>
    <row r="974" spans="1:26" ht="24.75" customHeight="1">
      <c r="A974" s="268"/>
      <c r="B974" s="268"/>
      <c r="C974" s="268"/>
      <c r="D974" s="268"/>
      <c r="E974" s="268"/>
      <c r="F974" s="268"/>
      <c r="G974" s="268"/>
      <c r="H974" s="268"/>
      <c r="I974" s="268"/>
      <c r="J974" s="268"/>
      <c r="K974" s="268"/>
      <c r="L974" s="309"/>
      <c r="M974" s="268"/>
      <c r="N974" s="268"/>
      <c r="O974" s="310"/>
      <c r="P974" s="268"/>
      <c r="Q974" s="309"/>
      <c r="R974" s="268"/>
      <c r="S974" s="313"/>
      <c r="T974" s="313"/>
      <c r="U974" s="268"/>
      <c r="V974" s="309"/>
      <c r="W974" s="310"/>
      <c r="X974" s="268"/>
      <c r="Y974" s="268"/>
      <c r="Z974" s="268"/>
    </row>
    <row r="975" spans="1:26" ht="24.75" customHeight="1">
      <c r="A975" s="268"/>
      <c r="B975" s="268"/>
      <c r="C975" s="268"/>
      <c r="D975" s="268"/>
      <c r="E975" s="268"/>
      <c r="F975" s="268"/>
      <c r="G975" s="268"/>
      <c r="H975" s="268"/>
      <c r="I975" s="268"/>
      <c r="J975" s="268"/>
      <c r="K975" s="268"/>
      <c r="L975" s="309"/>
      <c r="M975" s="268"/>
      <c r="N975" s="268"/>
      <c r="O975" s="310"/>
      <c r="P975" s="268"/>
      <c r="Q975" s="309"/>
      <c r="R975" s="268"/>
      <c r="S975" s="313"/>
      <c r="T975" s="313"/>
      <c r="U975" s="268"/>
      <c r="V975" s="309"/>
      <c r="W975" s="310"/>
      <c r="X975" s="268"/>
      <c r="Y975" s="268"/>
      <c r="Z975" s="268"/>
    </row>
    <row r="976" spans="1:26" ht="24.75" customHeight="1">
      <c r="A976" s="268"/>
      <c r="B976" s="268"/>
      <c r="C976" s="268"/>
      <c r="D976" s="268"/>
      <c r="E976" s="268"/>
      <c r="F976" s="268"/>
      <c r="G976" s="268"/>
      <c r="H976" s="268"/>
      <c r="I976" s="268"/>
      <c r="J976" s="268"/>
      <c r="K976" s="268"/>
      <c r="L976" s="309"/>
      <c r="M976" s="268"/>
      <c r="N976" s="268"/>
      <c r="O976" s="310"/>
      <c r="P976" s="268"/>
      <c r="Q976" s="309"/>
      <c r="R976" s="268"/>
      <c r="S976" s="313"/>
      <c r="T976" s="313"/>
      <c r="U976" s="268"/>
      <c r="V976" s="309"/>
      <c r="W976" s="310"/>
      <c r="X976" s="268"/>
      <c r="Y976" s="268"/>
      <c r="Z976" s="268"/>
    </row>
    <row r="977" spans="1:26" ht="24.75" customHeight="1">
      <c r="A977" s="268"/>
      <c r="B977" s="268"/>
      <c r="C977" s="268"/>
      <c r="D977" s="268"/>
      <c r="E977" s="268"/>
      <c r="F977" s="268"/>
      <c r="G977" s="268"/>
      <c r="H977" s="268"/>
      <c r="I977" s="268"/>
      <c r="J977" s="268"/>
      <c r="K977" s="268"/>
      <c r="L977" s="309"/>
      <c r="M977" s="268"/>
      <c r="N977" s="268"/>
      <c r="O977" s="310"/>
      <c r="P977" s="268"/>
      <c r="Q977" s="309"/>
      <c r="R977" s="268"/>
      <c r="S977" s="313"/>
      <c r="T977" s="313"/>
      <c r="U977" s="268"/>
      <c r="V977" s="309"/>
      <c r="W977" s="310"/>
      <c r="X977" s="268"/>
      <c r="Y977" s="268"/>
      <c r="Z977" s="268"/>
    </row>
    <row r="978" spans="1:26" ht="24.75" customHeight="1">
      <c r="A978" s="268"/>
      <c r="B978" s="268"/>
      <c r="C978" s="268"/>
      <c r="D978" s="268"/>
      <c r="E978" s="268"/>
      <c r="F978" s="268"/>
      <c r="G978" s="268"/>
      <c r="H978" s="268"/>
      <c r="I978" s="268"/>
      <c r="J978" s="268"/>
      <c r="K978" s="268"/>
      <c r="L978" s="309"/>
      <c r="M978" s="268"/>
      <c r="N978" s="268"/>
      <c r="O978" s="310"/>
      <c r="P978" s="268"/>
      <c r="Q978" s="309"/>
      <c r="R978" s="268"/>
      <c r="S978" s="313"/>
      <c r="T978" s="313"/>
      <c r="U978" s="268"/>
      <c r="V978" s="309"/>
      <c r="W978" s="310"/>
      <c r="X978" s="268"/>
      <c r="Y978" s="268"/>
      <c r="Z978" s="268"/>
    </row>
    <row r="979" spans="1:26" ht="24.75" customHeight="1">
      <c r="A979" s="268"/>
      <c r="B979" s="268"/>
      <c r="C979" s="268"/>
      <c r="D979" s="268"/>
      <c r="E979" s="268"/>
      <c r="F979" s="268"/>
      <c r="G979" s="268"/>
      <c r="H979" s="268"/>
      <c r="I979" s="268"/>
      <c r="J979" s="268"/>
      <c r="K979" s="268"/>
      <c r="L979" s="309"/>
      <c r="M979" s="268"/>
      <c r="N979" s="268"/>
      <c r="O979" s="310"/>
      <c r="P979" s="268"/>
      <c r="Q979" s="309"/>
      <c r="R979" s="268"/>
      <c r="S979" s="313"/>
      <c r="T979" s="313"/>
      <c r="U979" s="268"/>
      <c r="V979" s="309"/>
      <c r="W979" s="310"/>
      <c r="X979" s="268"/>
      <c r="Y979" s="268"/>
      <c r="Z979" s="268"/>
    </row>
    <row r="980" spans="1:26" ht="24.75" customHeight="1">
      <c r="A980" s="268"/>
      <c r="B980" s="268"/>
      <c r="C980" s="268"/>
      <c r="D980" s="268"/>
      <c r="E980" s="268"/>
      <c r="F980" s="268"/>
      <c r="G980" s="268"/>
      <c r="H980" s="268"/>
      <c r="I980" s="268"/>
      <c r="J980" s="268"/>
      <c r="K980" s="268"/>
      <c r="L980" s="309"/>
      <c r="M980" s="268"/>
      <c r="N980" s="268"/>
      <c r="O980" s="310"/>
      <c r="P980" s="268"/>
      <c r="Q980" s="309"/>
      <c r="R980" s="268"/>
      <c r="S980" s="313"/>
      <c r="T980" s="313"/>
      <c r="U980" s="268"/>
      <c r="V980" s="309"/>
      <c r="W980" s="310"/>
      <c r="X980" s="268"/>
      <c r="Y980" s="268"/>
      <c r="Z980" s="268"/>
    </row>
    <row r="981" spans="1:26" ht="24.75" customHeight="1">
      <c r="A981" s="268"/>
      <c r="B981" s="268"/>
      <c r="C981" s="268"/>
      <c r="D981" s="268"/>
      <c r="E981" s="268"/>
      <c r="F981" s="268"/>
      <c r="G981" s="268"/>
      <c r="H981" s="268"/>
      <c r="I981" s="268"/>
      <c r="J981" s="268"/>
      <c r="K981" s="268"/>
      <c r="L981" s="309"/>
      <c r="M981" s="268"/>
      <c r="N981" s="268"/>
      <c r="O981" s="310"/>
      <c r="P981" s="268"/>
      <c r="Q981" s="309"/>
      <c r="R981" s="268"/>
      <c r="S981" s="313"/>
      <c r="T981" s="313"/>
      <c r="U981" s="268"/>
      <c r="V981" s="309"/>
      <c r="W981" s="310"/>
      <c r="X981" s="268"/>
      <c r="Y981" s="268"/>
      <c r="Z981" s="268"/>
    </row>
    <row r="982" spans="1:26" ht="24.75" customHeight="1">
      <c r="A982" s="268"/>
      <c r="B982" s="268"/>
      <c r="C982" s="268"/>
      <c r="D982" s="268"/>
      <c r="E982" s="268"/>
      <c r="F982" s="268"/>
      <c r="G982" s="268"/>
      <c r="H982" s="268"/>
      <c r="I982" s="268"/>
      <c r="J982" s="268"/>
      <c r="K982" s="268"/>
      <c r="L982" s="309"/>
      <c r="M982" s="268"/>
      <c r="N982" s="268"/>
      <c r="O982" s="310"/>
      <c r="P982" s="268"/>
      <c r="Q982" s="309"/>
      <c r="R982" s="268"/>
      <c r="S982" s="313"/>
      <c r="T982" s="313"/>
      <c r="U982" s="268"/>
      <c r="V982" s="309"/>
      <c r="W982" s="310"/>
      <c r="X982" s="268"/>
      <c r="Y982" s="268"/>
      <c r="Z982" s="268"/>
    </row>
    <row r="983" spans="1:26" ht="24.75" customHeight="1">
      <c r="A983" s="268"/>
      <c r="B983" s="268"/>
      <c r="C983" s="268"/>
      <c r="D983" s="268"/>
      <c r="E983" s="268"/>
      <c r="F983" s="268"/>
      <c r="G983" s="268"/>
      <c r="H983" s="268"/>
      <c r="I983" s="268"/>
      <c r="J983" s="268"/>
      <c r="K983" s="268"/>
      <c r="L983" s="309"/>
      <c r="M983" s="268"/>
      <c r="N983" s="268"/>
      <c r="O983" s="310"/>
      <c r="P983" s="268"/>
      <c r="Q983" s="309"/>
      <c r="R983" s="268"/>
      <c r="S983" s="313"/>
      <c r="T983" s="313"/>
      <c r="U983" s="268"/>
      <c r="V983" s="309"/>
      <c r="W983" s="310"/>
      <c r="X983" s="268"/>
      <c r="Y983" s="268"/>
      <c r="Z983" s="268"/>
    </row>
    <row r="984" spans="1:26" ht="24.75" customHeight="1">
      <c r="A984" s="268"/>
      <c r="B984" s="268"/>
      <c r="C984" s="268"/>
      <c r="D984" s="268"/>
      <c r="E984" s="268"/>
      <c r="F984" s="268"/>
      <c r="G984" s="268"/>
      <c r="H984" s="268"/>
      <c r="I984" s="268"/>
      <c r="J984" s="268"/>
      <c r="K984" s="268"/>
      <c r="L984" s="309"/>
      <c r="M984" s="268"/>
      <c r="N984" s="268"/>
      <c r="O984" s="310"/>
      <c r="P984" s="268"/>
      <c r="Q984" s="309"/>
      <c r="R984" s="268"/>
      <c r="S984" s="313"/>
      <c r="T984" s="313"/>
      <c r="U984" s="268"/>
      <c r="V984" s="309"/>
      <c r="W984" s="310"/>
      <c r="X984" s="268"/>
      <c r="Y984" s="268"/>
      <c r="Z984" s="268"/>
    </row>
    <row r="985" spans="1:26" ht="24.75" customHeight="1">
      <c r="A985" s="268"/>
      <c r="B985" s="268"/>
      <c r="C985" s="268"/>
      <c r="D985" s="268"/>
      <c r="E985" s="268"/>
      <c r="F985" s="268"/>
      <c r="G985" s="268"/>
      <c r="H985" s="268"/>
      <c r="I985" s="268"/>
      <c r="J985" s="268"/>
      <c r="K985" s="268"/>
      <c r="L985" s="309"/>
      <c r="M985" s="268"/>
      <c r="N985" s="268"/>
      <c r="O985" s="310"/>
      <c r="P985" s="268"/>
      <c r="Q985" s="309"/>
      <c r="R985" s="268"/>
      <c r="S985" s="313"/>
      <c r="T985" s="313"/>
      <c r="U985" s="268"/>
      <c r="V985" s="309"/>
      <c r="W985" s="310"/>
      <c r="X985" s="268"/>
      <c r="Y985" s="268"/>
      <c r="Z985" s="268"/>
    </row>
    <row r="986" spans="1:26" ht="24.75" customHeight="1">
      <c r="A986" s="268"/>
      <c r="B986" s="268"/>
      <c r="C986" s="268"/>
      <c r="D986" s="268"/>
      <c r="E986" s="268"/>
      <c r="F986" s="268"/>
      <c r="G986" s="268"/>
      <c r="H986" s="268"/>
      <c r="I986" s="268"/>
      <c r="J986" s="268"/>
      <c r="K986" s="268"/>
      <c r="L986" s="309"/>
      <c r="M986" s="268"/>
      <c r="N986" s="268"/>
      <c r="O986" s="310"/>
      <c r="P986" s="268"/>
      <c r="Q986" s="309"/>
      <c r="R986" s="268"/>
      <c r="S986" s="313"/>
      <c r="T986" s="313"/>
      <c r="U986" s="268"/>
      <c r="V986" s="309"/>
      <c r="W986" s="310"/>
      <c r="X986" s="268"/>
      <c r="Y986" s="268"/>
      <c r="Z986" s="268"/>
    </row>
    <row r="987" spans="1:26" ht="24.75" customHeight="1">
      <c r="A987" s="268"/>
      <c r="B987" s="268"/>
      <c r="C987" s="268"/>
      <c r="D987" s="268"/>
      <c r="E987" s="268"/>
      <c r="F987" s="268"/>
      <c r="G987" s="268"/>
      <c r="H987" s="268"/>
      <c r="I987" s="268"/>
      <c r="J987" s="268"/>
      <c r="K987" s="268"/>
      <c r="L987" s="309"/>
      <c r="M987" s="268"/>
      <c r="N987" s="268"/>
      <c r="O987" s="310"/>
      <c r="P987" s="268"/>
      <c r="Q987" s="309"/>
      <c r="R987" s="268"/>
      <c r="S987" s="313"/>
      <c r="T987" s="313"/>
      <c r="U987" s="268"/>
      <c r="V987" s="309"/>
      <c r="W987" s="310"/>
      <c r="X987" s="268"/>
      <c r="Y987" s="268"/>
      <c r="Z987" s="268"/>
    </row>
    <row r="988" spans="1:26" ht="24.75" customHeight="1">
      <c r="A988" s="268"/>
      <c r="B988" s="268"/>
      <c r="C988" s="268"/>
      <c r="D988" s="268"/>
      <c r="E988" s="268"/>
      <c r="F988" s="268"/>
      <c r="G988" s="268"/>
      <c r="H988" s="268"/>
      <c r="I988" s="268"/>
      <c r="J988" s="268"/>
      <c r="K988" s="268"/>
      <c r="L988" s="309"/>
      <c r="M988" s="268"/>
      <c r="N988" s="268"/>
      <c r="O988" s="310"/>
      <c r="P988" s="268"/>
      <c r="Q988" s="309"/>
      <c r="R988" s="268"/>
      <c r="S988" s="313"/>
      <c r="T988" s="313"/>
      <c r="U988" s="268"/>
      <c r="V988" s="309"/>
      <c r="W988" s="310"/>
      <c r="X988" s="268"/>
      <c r="Y988" s="268"/>
      <c r="Z988" s="268"/>
    </row>
    <row r="989" spans="1:26" ht="24.75" customHeight="1">
      <c r="A989" s="268"/>
      <c r="B989" s="268"/>
      <c r="C989" s="268"/>
      <c r="D989" s="268"/>
      <c r="E989" s="268"/>
      <c r="F989" s="268"/>
      <c r="G989" s="268"/>
      <c r="H989" s="268"/>
      <c r="I989" s="268"/>
      <c r="J989" s="268"/>
      <c r="K989" s="268"/>
      <c r="L989" s="309"/>
      <c r="M989" s="268"/>
      <c r="N989" s="268"/>
      <c r="O989" s="310"/>
      <c r="P989" s="268"/>
      <c r="Q989" s="309"/>
      <c r="R989" s="268"/>
      <c r="S989" s="313"/>
      <c r="T989" s="313"/>
      <c r="U989" s="268"/>
      <c r="V989" s="309"/>
      <c r="W989" s="310"/>
      <c r="X989" s="268"/>
      <c r="Y989" s="268"/>
      <c r="Z989" s="268"/>
    </row>
    <row r="990" spans="1:26" ht="24.75" customHeight="1">
      <c r="A990" s="268"/>
      <c r="B990" s="268"/>
      <c r="C990" s="268"/>
      <c r="D990" s="268"/>
      <c r="E990" s="268"/>
      <c r="F990" s="268"/>
      <c r="G990" s="268"/>
      <c r="H990" s="268"/>
      <c r="I990" s="268"/>
      <c r="J990" s="268"/>
      <c r="K990" s="268"/>
      <c r="L990" s="309"/>
      <c r="M990" s="268"/>
      <c r="N990" s="268"/>
      <c r="O990" s="310"/>
      <c r="P990" s="268"/>
      <c r="Q990" s="309"/>
      <c r="R990" s="268"/>
      <c r="S990" s="313"/>
      <c r="T990" s="313"/>
      <c r="U990" s="268"/>
      <c r="V990" s="309"/>
      <c r="W990" s="310"/>
      <c r="X990" s="268"/>
      <c r="Y990" s="268"/>
      <c r="Z990" s="268"/>
    </row>
    <row r="991" spans="1:26" ht="24.75" customHeight="1">
      <c r="A991" s="268"/>
      <c r="B991" s="268"/>
      <c r="C991" s="268"/>
      <c r="D991" s="268"/>
      <c r="E991" s="268"/>
      <c r="F991" s="268"/>
      <c r="G991" s="268"/>
      <c r="H991" s="268"/>
      <c r="I991" s="268"/>
      <c r="J991" s="268"/>
      <c r="K991" s="268"/>
      <c r="L991" s="309"/>
      <c r="M991" s="268"/>
      <c r="N991" s="268"/>
      <c r="O991" s="310"/>
      <c r="P991" s="268"/>
      <c r="Q991" s="309"/>
      <c r="R991" s="268"/>
      <c r="S991" s="313"/>
      <c r="T991" s="313"/>
      <c r="U991" s="268"/>
      <c r="V991" s="309"/>
      <c r="W991" s="310"/>
      <c r="X991" s="268"/>
      <c r="Y991" s="268"/>
      <c r="Z991" s="268"/>
    </row>
    <row r="992" spans="1:26" ht="24.75" customHeight="1">
      <c r="A992" s="268"/>
      <c r="B992" s="268"/>
      <c r="C992" s="268"/>
      <c r="D992" s="268"/>
      <c r="E992" s="268"/>
      <c r="F992" s="268"/>
      <c r="G992" s="268"/>
      <c r="H992" s="268"/>
      <c r="I992" s="268"/>
      <c r="J992" s="268"/>
      <c r="K992" s="268"/>
      <c r="L992" s="309"/>
      <c r="M992" s="268"/>
      <c r="N992" s="268"/>
      <c r="O992" s="310"/>
      <c r="P992" s="268"/>
      <c r="Q992" s="309"/>
      <c r="R992" s="268"/>
      <c r="S992" s="313"/>
      <c r="T992" s="313"/>
      <c r="U992" s="268"/>
      <c r="V992" s="309"/>
      <c r="W992" s="310"/>
      <c r="X992" s="268"/>
      <c r="Y992" s="268"/>
      <c r="Z992" s="268"/>
    </row>
    <row r="993" spans="1:26" ht="24.75" customHeight="1">
      <c r="A993" s="268"/>
      <c r="B993" s="268"/>
      <c r="C993" s="268"/>
      <c r="D993" s="268"/>
      <c r="E993" s="268"/>
      <c r="F993" s="268"/>
      <c r="G993" s="268"/>
      <c r="H993" s="268"/>
      <c r="I993" s="268"/>
      <c r="J993" s="268"/>
      <c r="K993" s="268"/>
      <c r="L993" s="309"/>
      <c r="M993" s="268"/>
      <c r="N993" s="268"/>
      <c r="O993" s="310"/>
      <c r="P993" s="268"/>
      <c r="Q993" s="309"/>
      <c r="R993" s="268"/>
      <c r="S993" s="313"/>
      <c r="T993" s="313"/>
      <c r="U993" s="268"/>
      <c r="V993" s="309"/>
      <c r="W993" s="310"/>
      <c r="X993" s="268"/>
      <c r="Y993" s="268"/>
      <c r="Z993" s="268"/>
    </row>
    <row r="994" spans="1:26" ht="24.75" customHeight="1">
      <c r="A994" s="268"/>
      <c r="B994" s="268"/>
      <c r="C994" s="268"/>
      <c r="D994" s="268"/>
      <c r="E994" s="268"/>
      <c r="F994" s="268"/>
      <c r="G994" s="268"/>
      <c r="H994" s="268"/>
      <c r="I994" s="268"/>
      <c r="J994" s="268"/>
      <c r="K994" s="268"/>
      <c r="L994" s="309"/>
      <c r="M994" s="268"/>
      <c r="N994" s="268"/>
      <c r="O994" s="310"/>
      <c r="P994" s="268"/>
      <c r="Q994" s="309"/>
      <c r="R994" s="268"/>
      <c r="S994" s="313"/>
      <c r="T994" s="313"/>
      <c r="U994" s="268"/>
      <c r="V994" s="309"/>
      <c r="W994" s="310"/>
      <c r="X994" s="268"/>
      <c r="Y994" s="268"/>
      <c r="Z994" s="268"/>
    </row>
    <row r="995" spans="1:26" ht="24.75" customHeight="1">
      <c r="A995" s="268"/>
      <c r="B995" s="268"/>
      <c r="C995" s="268"/>
      <c r="D995" s="268"/>
      <c r="E995" s="268"/>
      <c r="F995" s="268"/>
      <c r="G995" s="268"/>
      <c r="H995" s="268"/>
      <c r="I995" s="268"/>
      <c r="J995" s="268"/>
      <c r="K995" s="268"/>
      <c r="L995" s="309"/>
      <c r="M995" s="268"/>
      <c r="N995" s="268"/>
      <c r="O995" s="310"/>
      <c r="P995" s="268"/>
      <c r="Q995" s="309"/>
      <c r="R995" s="268"/>
      <c r="S995" s="313"/>
      <c r="T995" s="313"/>
      <c r="U995" s="268"/>
      <c r="V995" s="309"/>
      <c r="W995" s="310"/>
      <c r="X995" s="268"/>
      <c r="Y995" s="268"/>
      <c r="Z995" s="268"/>
    </row>
    <row r="996" spans="1:26" ht="24.75" customHeight="1">
      <c r="A996" s="268"/>
      <c r="B996" s="268"/>
      <c r="C996" s="268"/>
      <c r="D996" s="268"/>
      <c r="E996" s="268"/>
      <c r="F996" s="268"/>
      <c r="G996" s="268"/>
      <c r="H996" s="268"/>
      <c r="I996" s="268"/>
      <c r="J996" s="268"/>
      <c r="K996" s="268"/>
      <c r="L996" s="309"/>
      <c r="M996" s="268"/>
      <c r="N996" s="268"/>
      <c r="O996" s="310"/>
      <c r="P996" s="268"/>
      <c r="Q996" s="309"/>
      <c r="R996" s="268"/>
      <c r="S996" s="313"/>
      <c r="T996" s="313"/>
      <c r="U996" s="268"/>
      <c r="V996" s="309"/>
      <c r="W996" s="310"/>
      <c r="X996" s="268"/>
      <c r="Y996" s="268"/>
      <c r="Z996" s="268"/>
    </row>
    <row r="997" spans="1:26" ht="24.75" customHeight="1">
      <c r="A997" s="268"/>
      <c r="B997" s="268"/>
      <c r="C997" s="268"/>
      <c r="D997" s="268"/>
      <c r="E997" s="268"/>
      <c r="F997" s="268"/>
      <c r="G997" s="268"/>
      <c r="H997" s="268"/>
      <c r="I997" s="268"/>
      <c r="J997" s="268"/>
      <c r="K997" s="268"/>
      <c r="L997" s="309"/>
      <c r="M997" s="268"/>
      <c r="N997" s="268"/>
      <c r="O997" s="310"/>
      <c r="P997" s="268"/>
      <c r="Q997" s="309"/>
      <c r="R997" s="268"/>
      <c r="S997" s="313"/>
      <c r="T997" s="313"/>
      <c r="U997" s="268"/>
      <c r="V997" s="309"/>
      <c r="W997" s="310"/>
      <c r="X997" s="268"/>
      <c r="Y997" s="268"/>
      <c r="Z997" s="268"/>
    </row>
    <row r="998" spans="1:26" ht="24.75" customHeight="1">
      <c r="A998" s="268"/>
      <c r="B998" s="268"/>
      <c r="C998" s="268"/>
      <c r="D998" s="268"/>
      <c r="E998" s="268"/>
      <c r="F998" s="268"/>
      <c r="G998" s="268"/>
      <c r="H998" s="268"/>
      <c r="I998" s="268"/>
      <c r="J998" s="268"/>
      <c r="K998" s="268"/>
      <c r="L998" s="309"/>
      <c r="M998" s="268"/>
      <c r="N998" s="268"/>
      <c r="O998" s="310"/>
      <c r="P998" s="268"/>
      <c r="Q998" s="309"/>
      <c r="R998" s="268"/>
      <c r="S998" s="313"/>
      <c r="T998" s="313"/>
      <c r="U998" s="268"/>
      <c r="V998" s="309"/>
      <c r="W998" s="310"/>
      <c r="X998" s="268"/>
      <c r="Y998" s="268"/>
      <c r="Z998" s="268"/>
    </row>
    <row r="999" spans="1:26" ht="24.75" customHeight="1">
      <c r="A999" s="268"/>
      <c r="B999" s="268"/>
      <c r="C999" s="268"/>
      <c r="D999" s="268"/>
      <c r="E999" s="268"/>
      <c r="F999" s="268"/>
      <c r="G999" s="268"/>
      <c r="H999" s="268"/>
      <c r="I999" s="268"/>
      <c r="J999" s="268"/>
      <c r="K999" s="268"/>
      <c r="L999" s="309"/>
      <c r="M999" s="268"/>
      <c r="N999" s="268"/>
      <c r="O999" s="310"/>
      <c r="P999" s="268"/>
      <c r="Q999" s="309"/>
      <c r="R999" s="268"/>
      <c r="S999" s="313"/>
      <c r="T999" s="313"/>
      <c r="U999" s="268"/>
      <c r="V999" s="309"/>
      <c r="W999" s="310"/>
      <c r="X999" s="268"/>
      <c r="Y999" s="268"/>
      <c r="Z999" s="268"/>
    </row>
    <row r="1000" spans="1:26" ht="24.75" customHeight="1">
      <c r="A1000" s="268"/>
      <c r="B1000" s="268"/>
      <c r="C1000" s="268"/>
      <c r="D1000" s="268"/>
      <c r="E1000" s="268"/>
      <c r="F1000" s="268"/>
      <c r="G1000" s="268"/>
      <c r="H1000" s="268"/>
      <c r="I1000" s="268"/>
      <c r="J1000" s="268"/>
      <c r="K1000" s="268"/>
      <c r="L1000" s="309"/>
      <c r="M1000" s="268"/>
      <c r="N1000" s="268"/>
      <c r="O1000" s="310"/>
      <c r="P1000" s="268"/>
      <c r="Q1000" s="309"/>
      <c r="R1000" s="268"/>
      <c r="S1000" s="313"/>
      <c r="T1000" s="313"/>
      <c r="U1000" s="268"/>
      <c r="V1000" s="309"/>
      <c r="W1000" s="310"/>
      <c r="X1000" s="268"/>
      <c r="Y1000" s="268"/>
      <c r="Z1000" s="268"/>
    </row>
  </sheetData>
  <mergeCells count="6">
    <mergeCell ref="S1:T1"/>
    <mergeCell ref="C1:Q1"/>
    <mergeCell ref="B16:B17"/>
    <mergeCell ref="A13:A14"/>
    <mergeCell ref="B13:B14"/>
    <mergeCell ref="A5:Z5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1.28515625" defaultRowHeight="15" customHeight="1" x14ac:dyDescent="0"/>
  <cols>
    <col min="1" max="1" width="4.7109375" customWidth="1"/>
    <col min="2" max="2" width="9.42578125" customWidth="1"/>
    <col min="3" max="3" width="8.85546875" customWidth="1"/>
    <col min="4" max="5" width="10.85546875" customWidth="1"/>
    <col min="6" max="6" width="17.85546875" customWidth="1"/>
    <col min="7" max="7" width="15.140625" customWidth="1"/>
    <col min="8" max="13" width="17.85546875" customWidth="1"/>
    <col min="14" max="14" width="14.5703125" customWidth="1"/>
    <col min="15" max="15" width="19.5703125" customWidth="1"/>
    <col min="16" max="16" width="14.85546875" customWidth="1"/>
    <col min="17" max="17" width="29.28515625" customWidth="1"/>
    <col min="18" max="18" width="7" customWidth="1"/>
    <col min="19" max="19" width="18.85546875" customWidth="1"/>
    <col min="20" max="20" width="4.7109375" customWidth="1"/>
    <col min="21" max="26" width="17.85546875" hidden="1" customWidth="1"/>
  </cols>
  <sheetData>
    <row r="1" spans="1:26" ht="24.75" customHeight="1">
      <c r="A1" s="268"/>
      <c r="B1" s="268"/>
      <c r="C1" s="444" t="s">
        <v>5208</v>
      </c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323"/>
      <c r="R1" s="268"/>
      <c r="S1" s="443" t="s">
        <v>4780</v>
      </c>
      <c r="T1" s="439"/>
      <c r="U1" s="296"/>
      <c r="V1" s="296"/>
      <c r="W1" s="296"/>
      <c r="X1" s="296"/>
      <c r="Y1" s="296"/>
      <c r="Z1" s="296"/>
    </row>
    <row r="2" spans="1:26" ht="46.5" customHeight="1">
      <c r="A2" s="297" t="s">
        <v>7</v>
      </c>
      <c r="B2" s="298" t="s">
        <v>9</v>
      </c>
      <c r="C2" s="232" t="s">
        <v>11</v>
      </c>
      <c r="D2" s="299" t="s">
        <v>13</v>
      </c>
      <c r="E2" s="299" t="s">
        <v>4573</v>
      </c>
      <c r="F2" s="300" t="s">
        <v>4574</v>
      </c>
      <c r="G2" s="301" t="s">
        <v>19</v>
      </c>
      <c r="H2" s="301" t="s">
        <v>4782</v>
      </c>
      <c r="I2" s="301" t="s">
        <v>4576</v>
      </c>
      <c r="J2" s="302" t="s">
        <v>1</v>
      </c>
      <c r="K2" s="299" t="s">
        <v>24</v>
      </c>
      <c r="L2" s="232" t="s">
        <v>34</v>
      </c>
      <c r="M2" s="232" t="s">
        <v>4783</v>
      </c>
      <c r="N2" s="232" t="s">
        <v>4784</v>
      </c>
      <c r="O2" s="237" t="s">
        <v>4577</v>
      </c>
      <c r="P2" s="232" t="s">
        <v>4578</v>
      </c>
      <c r="Q2" s="232" t="s">
        <v>44</v>
      </c>
      <c r="R2" s="268"/>
      <c r="S2" s="303" t="s">
        <v>4579</v>
      </c>
      <c r="T2" s="303" t="s">
        <v>4580</v>
      </c>
      <c r="U2" s="302" t="s">
        <v>4785</v>
      </c>
      <c r="V2" s="302" t="s">
        <v>4786</v>
      </c>
      <c r="W2" s="304" t="s">
        <v>4787</v>
      </c>
      <c r="X2" s="302" t="s">
        <v>4788</v>
      </c>
      <c r="Y2" s="302" t="s">
        <v>4789</v>
      </c>
      <c r="Z2" s="302" t="s">
        <v>4790</v>
      </c>
    </row>
    <row r="3" spans="1:26" ht="24.75" customHeight="1">
      <c r="A3" s="445" t="s">
        <v>5209</v>
      </c>
      <c r="B3" s="324"/>
      <c r="C3" s="325" t="s">
        <v>5210</v>
      </c>
      <c r="D3" s="325" t="s">
        <v>5211</v>
      </c>
      <c r="E3" s="325" t="s">
        <v>5212</v>
      </c>
      <c r="F3" s="325" t="s">
        <v>5213</v>
      </c>
      <c r="G3" s="326" t="s">
        <v>5214</v>
      </c>
      <c r="H3" s="241" t="s">
        <v>4585</v>
      </c>
      <c r="I3" s="327" t="s">
        <v>62</v>
      </c>
      <c r="J3" s="328" t="s">
        <v>4795</v>
      </c>
      <c r="K3" s="325" t="s">
        <v>5215</v>
      </c>
      <c r="L3" s="329"/>
      <c r="M3" s="328" t="s">
        <v>4795</v>
      </c>
      <c r="N3" s="328" t="s">
        <v>4795</v>
      </c>
      <c r="O3" s="442" t="s">
        <v>5216</v>
      </c>
      <c r="P3" s="442" t="s">
        <v>5217</v>
      </c>
      <c r="Q3" s="329"/>
      <c r="R3" s="268"/>
      <c r="S3" s="308" t="s">
        <v>4585</v>
      </c>
      <c r="T3" s="303">
        <v>0</v>
      </c>
      <c r="U3" s="245">
        <v>29125</v>
      </c>
      <c r="V3" s="246" t="s">
        <v>4799</v>
      </c>
      <c r="W3" s="247" t="s">
        <v>4800</v>
      </c>
      <c r="X3" s="248">
        <v>157</v>
      </c>
      <c r="Y3" s="248">
        <v>59</v>
      </c>
      <c r="Z3" s="248">
        <v>23.94</v>
      </c>
    </row>
    <row r="4" spans="1:26" ht="24.75" customHeight="1">
      <c r="A4" s="437"/>
      <c r="B4" s="324"/>
      <c r="C4" s="325" t="s">
        <v>5210</v>
      </c>
      <c r="D4" s="325" t="s">
        <v>5211</v>
      </c>
      <c r="E4" s="325" t="s">
        <v>5212</v>
      </c>
      <c r="F4" s="325" t="s">
        <v>5218</v>
      </c>
      <c r="G4" s="325" t="s">
        <v>5219</v>
      </c>
      <c r="H4" s="241" t="s">
        <v>4585</v>
      </c>
      <c r="I4" s="330" t="s">
        <v>51</v>
      </c>
      <c r="J4" s="328" t="s">
        <v>4795</v>
      </c>
      <c r="K4" s="325" t="s">
        <v>5220</v>
      </c>
      <c r="L4" s="329" t="s">
        <v>5221</v>
      </c>
      <c r="M4" s="328" t="s">
        <v>4795</v>
      </c>
      <c r="N4" s="328" t="s">
        <v>4795</v>
      </c>
      <c r="O4" s="420"/>
      <c r="P4" s="420"/>
      <c r="Q4" s="329"/>
      <c r="R4" s="268"/>
      <c r="S4" s="331" t="s">
        <v>2863</v>
      </c>
      <c r="T4" s="266">
        <v>0</v>
      </c>
      <c r="U4" s="245">
        <v>25409</v>
      </c>
      <c r="V4" s="246" t="s">
        <v>5161</v>
      </c>
      <c r="W4" s="247" t="s">
        <v>5162</v>
      </c>
      <c r="X4" s="248">
        <v>158</v>
      </c>
      <c r="Y4" s="248">
        <v>63</v>
      </c>
      <c r="Z4" s="248">
        <v>25.24</v>
      </c>
    </row>
    <row r="5" spans="1:26" ht="24.75" customHeight="1">
      <c r="A5" s="437"/>
      <c r="B5" s="324"/>
      <c r="C5" s="325" t="s">
        <v>5210</v>
      </c>
      <c r="D5" s="325" t="s">
        <v>5211</v>
      </c>
      <c r="E5" s="325" t="s">
        <v>5212</v>
      </c>
      <c r="F5" s="325" t="s">
        <v>5222</v>
      </c>
      <c r="G5" s="325" t="s">
        <v>5223</v>
      </c>
      <c r="H5" s="241" t="s">
        <v>4585</v>
      </c>
      <c r="I5" s="330" t="s">
        <v>62</v>
      </c>
      <c r="J5" s="328" t="s">
        <v>4795</v>
      </c>
      <c r="K5" s="325" t="s">
        <v>5224</v>
      </c>
      <c r="L5" s="329" t="s">
        <v>5225</v>
      </c>
      <c r="M5" s="328" t="s">
        <v>4795</v>
      </c>
      <c r="N5" s="328" t="s">
        <v>4795</v>
      </c>
      <c r="O5" s="421"/>
      <c r="P5" s="421"/>
      <c r="Q5" s="329"/>
      <c r="R5" s="268"/>
      <c r="S5" s="312" t="s">
        <v>4811</v>
      </c>
      <c r="T5" s="303">
        <v>0</v>
      </c>
      <c r="U5" s="245">
        <v>27925</v>
      </c>
      <c r="V5" s="246" t="s">
        <v>4827</v>
      </c>
      <c r="W5" s="247" t="s">
        <v>4828</v>
      </c>
      <c r="X5" s="248">
        <v>157</v>
      </c>
      <c r="Y5" s="248">
        <v>72</v>
      </c>
      <c r="Z5" s="248">
        <v>29.21</v>
      </c>
    </row>
    <row r="6" spans="1:26" ht="24.75" customHeight="1">
      <c r="A6" s="268"/>
      <c r="B6" s="268"/>
      <c r="C6" s="238"/>
      <c r="D6" s="238"/>
      <c r="E6" s="230"/>
      <c r="F6" s="230"/>
      <c r="G6" s="230"/>
      <c r="H6" s="244"/>
      <c r="I6" s="230"/>
      <c r="J6" s="251"/>
      <c r="K6" s="230"/>
      <c r="L6" s="242"/>
      <c r="M6" s="230"/>
      <c r="N6" s="230"/>
      <c r="O6" s="243"/>
      <c r="P6" s="230"/>
      <c r="Q6" s="242"/>
      <c r="R6" s="268"/>
      <c r="S6" s="332" t="s">
        <v>4815</v>
      </c>
      <c r="T6" s="303">
        <v>0</v>
      </c>
      <c r="U6" s="288">
        <v>25278</v>
      </c>
      <c r="V6" s="246" t="s">
        <v>5159</v>
      </c>
      <c r="W6" s="247" t="s">
        <v>5160</v>
      </c>
      <c r="X6" s="248">
        <v>160</v>
      </c>
      <c r="Y6" s="248">
        <v>70.7</v>
      </c>
      <c r="Z6" s="248">
        <v>27.62</v>
      </c>
    </row>
    <row r="7" spans="1:26" ht="24.75" customHeight="1">
      <c r="A7" s="268"/>
      <c r="B7" s="268"/>
      <c r="C7" s="230"/>
      <c r="D7" s="230"/>
      <c r="E7" s="230"/>
      <c r="F7" s="238"/>
      <c r="G7" s="230"/>
      <c r="H7" s="244"/>
      <c r="I7" s="230"/>
      <c r="J7" s="251"/>
      <c r="K7" s="230"/>
      <c r="L7" s="242"/>
      <c r="M7" s="230"/>
      <c r="N7" s="230"/>
      <c r="O7" s="243"/>
      <c r="P7" s="230"/>
      <c r="Q7" s="242"/>
      <c r="R7" s="268"/>
      <c r="S7" s="314" t="s">
        <v>4821</v>
      </c>
      <c r="T7" s="303">
        <v>0</v>
      </c>
      <c r="U7" s="288"/>
      <c r="V7" s="246"/>
      <c r="W7" s="247"/>
      <c r="X7" s="248"/>
      <c r="Y7" s="248"/>
      <c r="Z7" s="248"/>
    </row>
    <row r="8" spans="1:26" ht="24.75" customHeight="1">
      <c r="A8" s="268"/>
      <c r="B8" s="268"/>
      <c r="C8" s="238"/>
      <c r="D8" s="238"/>
      <c r="E8" s="238"/>
      <c r="F8" s="238"/>
      <c r="G8" s="238"/>
      <c r="H8" s="244"/>
      <c r="I8" s="230"/>
      <c r="J8" s="251"/>
      <c r="K8" s="230"/>
      <c r="L8" s="242"/>
      <c r="M8" s="230"/>
      <c r="N8" s="230"/>
      <c r="O8" s="243"/>
      <c r="P8" s="230"/>
      <c r="Q8" s="242"/>
      <c r="R8" s="268"/>
      <c r="S8" s="315" t="s">
        <v>4826</v>
      </c>
      <c r="T8" s="316" t="s">
        <v>4795</v>
      </c>
      <c r="U8" s="288">
        <v>24312</v>
      </c>
      <c r="V8" s="253" t="s">
        <v>5163</v>
      </c>
      <c r="W8" s="254" t="s">
        <v>5164</v>
      </c>
      <c r="X8" s="248">
        <v>161</v>
      </c>
      <c r="Y8" s="248">
        <v>68.5</v>
      </c>
      <c r="Z8" s="248">
        <v>26.43</v>
      </c>
    </row>
    <row r="9" spans="1:26" ht="24.75" customHeight="1">
      <c r="A9" s="268"/>
      <c r="B9" s="268"/>
      <c r="C9" s="238"/>
      <c r="D9" s="238"/>
      <c r="E9" s="238"/>
      <c r="F9" s="238"/>
      <c r="G9" s="238"/>
      <c r="H9" s="244"/>
      <c r="I9" s="230"/>
      <c r="J9" s="251"/>
      <c r="K9" s="230"/>
      <c r="L9" s="242"/>
      <c r="M9" s="230"/>
      <c r="N9" s="230"/>
      <c r="O9" s="243"/>
      <c r="P9" s="230"/>
      <c r="Q9" s="242"/>
      <c r="R9" s="268"/>
      <c r="S9" s="333" t="s">
        <v>4833</v>
      </c>
      <c r="T9" s="303">
        <v>0</v>
      </c>
      <c r="U9" s="288">
        <v>28464</v>
      </c>
      <c r="V9" s="246" t="s">
        <v>5165</v>
      </c>
      <c r="W9" s="254" t="s">
        <v>5166</v>
      </c>
      <c r="X9" s="248">
        <v>158</v>
      </c>
      <c r="Y9" s="248">
        <v>64</v>
      </c>
      <c r="Z9" s="248">
        <v>25.64</v>
      </c>
    </row>
    <row r="10" spans="1:26" ht="24.75" customHeight="1">
      <c r="A10" s="268"/>
      <c r="B10" s="268"/>
      <c r="C10" s="268"/>
      <c r="D10" s="268"/>
      <c r="E10" s="268"/>
      <c r="F10" s="268"/>
      <c r="G10" s="268"/>
      <c r="H10" s="268"/>
      <c r="I10" s="268"/>
      <c r="J10" s="268"/>
      <c r="K10" s="268"/>
      <c r="L10" s="334"/>
      <c r="M10" s="268"/>
      <c r="N10" s="268"/>
      <c r="O10" s="310"/>
      <c r="P10" s="268"/>
      <c r="Q10" s="334"/>
      <c r="R10" s="268"/>
      <c r="S10" s="335" t="s">
        <v>4840</v>
      </c>
      <c r="T10" s="316" t="s">
        <v>4795</v>
      </c>
      <c r="U10" s="288">
        <v>26964</v>
      </c>
      <c r="V10" s="246" t="s">
        <v>5167</v>
      </c>
      <c r="W10" s="254" t="s">
        <v>5168</v>
      </c>
      <c r="X10" s="248">
        <v>150</v>
      </c>
      <c r="Y10" s="248">
        <v>84</v>
      </c>
      <c r="Z10" s="248">
        <v>37.33</v>
      </c>
    </row>
    <row r="11" spans="1:26" ht="24.75" customHeight="1">
      <c r="A11" s="268"/>
      <c r="B11" s="268"/>
      <c r="C11" s="268"/>
      <c r="D11" s="268"/>
      <c r="E11" s="268"/>
      <c r="F11" s="268"/>
      <c r="G11" s="268"/>
      <c r="H11" s="268"/>
      <c r="I11" s="268"/>
      <c r="J11" s="268"/>
      <c r="K11" s="268"/>
      <c r="L11" s="334"/>
      <c r="M11" s="268"/>
      <c r="N11" s="268"/>
      <c r="O11" s="310"/>
      <c r="P11" s="268"/>
      <c r="Q11" s="334"/>
      <c r="R11" s="268"/>
      <c r="S11" s="335" t="s">
        <v>5196</v>
      </c>
      <c r="T11" s="316" t="s">
        <v>4795</v>
      </c>
      <c r="U11" s="288">
        <v>25180</v>
      </c>
      <c r="V11" s="246" t="s">
        <v>4899</v>
      </c>
      <c r="W11" s="254" t="s">
        <v>4900</v>
      </c>
      <c r="X11" s="248">
        <v>160</v>
      </c>
      <c r="Y11" s="248">
        <v>66</v>
      </c>
      <c r="Z11" s="248">
        <v>25.78</v>
      </c>
    </row>
    <row r="12" spans="1:26" ht="24.75" customHeight="1">
      <c r="A12" s="268"/>
      <c r="B12" s="268"/>
      <c r="C12" s="268"/>
      <c r="D12" s="268"/>
      <c r="E12" s="268"/>
      <c r="F12" s="268"/>
      <c r="G12" s="268"/>
      <c r="H12" s="268"/>
      <c r="I12" s="268"/>
      <c r="J12" s="268"/>
      <c r="K12" s="268"/>
      <c r="L12" s="334"/>
      <c r="M12" s="268"/>
      <c r="N12" s="268"/>
      <c r="O12" s="310"/>
      <c r="P12" s="268"/>
      <c r="Q12" s="334"/>
      <c r="R12" s="268"/>
      <c r="S12" s="336" t="s">
        <v>4878</v>
      </c>
      <c r="T12" s="266">
        <v>0</v>
      </c>
      <c r="U12" s="337"/>
      <c r="V12" s="338"/>
      <c r="W12" s="339"/>
      <c r="X12" s="340"/>
      <c r="Y12" s="340"/>
      <c r="Z12" s="340"/>
    </row>
    <row r="13" spans="1:26" ht="24.75" customHeight="1">
      <c r="A13" s="268"/>
      <c r="B13" s="268"/>
      <c r="C13" s="268"/>
      <c r="D13" s="268"/>
      <c r="E13" s="268"/>
      <c r="F13" s="268"/>
      <c r="G13" s="268"/>
      <c r="H13" s="268"/>
      <c r="I13" s="268"/>
      <c r="J13" s="268"/>
      <c r="K13" s="268"/>
      <c r="L13" s="334"/>
      <c r="M13" s="268"/>
      <c r="N13" s="268"/>
      <c r="O13" s="310"/>
      <c r="P13" s="268"/>
      <c r="Q13" s="334"/>
      <c r="R13" s="268"/>
      <c r="S13" s="313"/>
      <c r="T13" s="313"/>
      <c r="U13" s="268"/>
      <c r="V13" s="309"/>
      <c r="W13" s="310"/>
      <c r="X13" s="268"/>
      <c r="Y13" s="268"/>
      <c r="Z13" s="268"/>
    </row>
    <row r="14" spans="1:26" ht="24.75" customHeight="1">
      <c r="A14" s="268"/>
      <c r="B14" s="268"/>
      <c r="C14" s="268"/>
      <c r="D14" s="268"/>
      <c r="E14" s="268"/>
      <c r="F14" s="268"/>
      <c r="G14" s="268"/>
      <c r="H14" s="268"/>
      <c r="I14" s="268"/>
      <c r="J14" s="268"/>
      <c r="K14" s="268"/>
      <c r="L14" s="334"/>
      <c r="M14" s="268"/>
      <c r="N14" s="268"/>
      <c r="O14" s="310"/>
      <c r="P14" s="268"/>
      <c r="Q14" s="334"/>
      <c r="R14" s="268"/>
      <c r="S14" s="341"/>
      <c r="T14" s="342"/>
      <c r="U14" s="337"/>
      <c r="V14" s="338"/>
      <c r="W14" s="339"/>
      <c r="X14" s="340"/>
      <c r="Y14" s="340"/>
      <c r="Z14" s="340"/>
    </row>
    <row r="15" spans="1:26" ht="24.75" customHeight="1">
      <c r="A15" s="268"/>
      <c r="B15" s="268"/>
      <c r="C15" s="268"/>
      <c r="D15" s="268"/>
      <c r="E15" s="268"/>
      <c r="F15" s="268"/>
      <c r="G15" s="268"/>
      <c r="H15" s="268"/>
      <c r="I15" s="268"/>
      <c r="J15" s="268"/>
      <c r="K15" s="268"/>
      <c r="L15" s="334"/>
      <c r="M15" s="268"/>
      <c r="N15" s="268"/>
      <c r="O15" s="310"/>
      <c r="P15" s="268"/>
      <c r="Q15" s="334"/>
      <c r="R15" s="268"/>
      <c r="S15" s="341"/>
      <c r="T15" s="342"/>
      <c r="U15" s="337"/>
      <c r="V15" s="338"/>
      <c r="W15" s="339"/>
      <c r="X15" s="340"/>
      <c r="Y15" s="340"/>
      <c r="Z15" s="340"/>
    </row>
    <row r="16" spans="1:26" ht="24.75" customHeight="1">
      <c r="A16" s="268"/>
      <c r="B16" s="268"/>
      <c r="C16" s="268"/>
      <c r="D16" s="268"/>
      <c r="E16" s="268"/>
      <c r="F16" s="268"/>
      <c r="G16" s="268"/>
      <c r="H16" s="268"/>
      <c r="I16" s="268"/>
      <c r="J16" s="268"/>
      <c r="K16" s="268"/>
      <c r="L16" s="334"/>
      <c r="M16" s="268"/>
      <c r="N16" s="268"/>
      <c r="O16" s="310"/>
      <c r="P16" s="268"/>
      <c r="Q16" s="334"/>
      <c r="R16" s="268"/>
      <c r="S16" s="341"/>
      <c r="T16" s="342"/>
      <c r="U16" s="337"/>
      <c r="V16" s="338"/>
      <c r="W16" s="339"/>
      <c r="X16" s="340"/>
      <c r="Y16" s="340"/>
      <c r="Z16" s="340"/>
    </row>
    <row r="17" spans="1:26" ht="24.75" customHeight="1">
      <c r="A17" s="268"/>
      <c r="B17" s="268"/>
      <c r="C17" s="268"/>
      <c r="D17" s="268"/>
      <c r="E17" s="268"/>
      <c r="F17" s="268"/>
      <c r="G17" s="268"/>
      <c r="H17" s="268"/>
      <c r="I17" s="268"/>
      <c r="J17" s="268"/>
      <c r="K17" s="268"/>
      <c r="L17" s="334"/>
      <c r="M17" s="268"/>
      <c r="N17" s="268"/>
      <c r="O17" s="310"/>
      <c r="P17" s="268"/>
      <c r="Q17" s="334"/>
      <c r="R17" s="268"/>
      <c r="S17" s="313"/>
      <c r="T17" s="313"/>
      <c r="U17" s="268"/>
      <c r="V17" s="309"/>
      <c r="W17" s="310"/>
      <c r="X17" s="268"/>
      <c r="Y17" s="268"/>
      <c r="Z17" s="268"/>
    </row>
    <row r="18" spans="1:26" ht="24.75" customHeight="1">
      <c r="A18" s="268"/>
      <c r="B18" s="268"/>
      <c r="C18" s="268"/>
      <c r="D18" s="268"/>
      <c r="E18" s="268"/>
      <c r="F18" s="268"/>
      <c r="G18" s="268"/>
      <c r="H18" s="268"/>
      <c r="I18" s="268"/>
      <c r="J18" s="268"/>
      <c r="K18" s="268"/>
      <c r="L18" s="334"/>
      <c r="M18" s="268"/>
      <c r="N18" s="268"/>
      <c r="O18" s="310"/>
      <c r="P18" s="268"/>
      <c r="Q18" s="334"/>
      <c r="R18" s="268"/>
      <c r="S18" s="341"/>
      <c r="T18" s="342"/>
      <c r="U18" s="337"/>
      <c r="V18" s="338"/>
      <c r="W18" s="339"/>
      <c r="X18" s="340"/>
      <c r="Y18" s="340"/>
      <c r="Z18" s="340"/>
    </row>
    <row r="19" spans="1:26" ht="24.75" customHeight="1">
      <c r="A19" s="268"/>
      <c r="B19" s="268"/>
      <c r="C19" s="268"/>
      <c r="D19" s="268"/>
      <c r="E19" s="268"/>
      <c r="F19" s="268"/>
      <c r="G19" s="268"/>
      <c r="H19" s="268"/>
      <c r="I19" s="268"/>
      <c r="J19" s="268"/>
      <c r="K19" s="268"/>
      <c r="L19" s="334"/>
      <c r="M19" s="268"/>
      <c r="N19" s="268"/>
      <c r="O19" s="310"/>
      <c r="P19" s="268"/>
      <c r="Q19" s="334"/>
      <c r="R19" s="268"/>
      <c r="S19" s="341"/>
      <c r="T19" s="342"/>
      <c r="U19" s="337"/>
      <c r="V19" s="338"/>
      <c r="W19" s="339"/>
      <c r="X19" s="340"/>
      <c r="Y19" s="340"/>
      <c r="Z19" s="340"/>
    </row>
    <row r="20" spans="1:26" ht="24.75" customHeight="1">
      <c r="A20" s="268"/>
      <c r="B20" s="268"/>
      <c r="C20" s="268"/>
      <c r="D20" s="268"/>
      <c r="E20" s="268"/>
      <c r="F20" s="268"/>
      <c r="G20" s="268"/>
      <c r="H20" s="268"/>
      <c r="I20" s="268"/>
      <c r="J20" s="268"/>
      <c r="K20" s="268"/>
      <c r="L20" s="334"/>
      <c r="M20" s="268"/>
      <c r="N20" s="268"/>
      <c r="O20" s="310"/>
      <c r="P20" s="268"/>
      <c r="Q20" s="334"/>
      <c r="R20" s="268"/>
      <c r="S20" s="341"/>
      <c r="T20" s="342"/>
      <c r="U20" s="337"/>
      <c r="V20" s="338"/>
      <c r="W20" s="339"/>
      <c r="X20" s="340"/>
      <c r="Y20" s="340"/>
      <c r="Z20" s="340"/>
    </row>
    <row r="21" spans="1:26" ht="24.75" customHeight="1">
      <c r="A21" s="268"/>
      <c r="B21" s="268"/>
      <c r="C21" s="268"/>
      <c r="D21" s="268"/>
      <c r="E21" s="268"/>
      <c r="F21" s="268"/>
      <c r="G21" s="268"/>
      <c r="H21" s="268"/>
      <c r="I21" s="268"/>
      <c r="J21" s="268"/>
      <c r="K21" s="268"/>
      <c r="L21" s="334"/>
      <c r="M21" s="268"/>
      <c r="N21" s="268"/>
      <c r="O21" s="310"/>
      <c r="P21" s="268"/>
      <c r="Q21" s="334"/>
      <c r="R21" s="268"/>
      <c r="S21" s="341"/>
      <c r="T21" s="342"/>
      <c r="U21" s="337"/>
      <c r="V21" s="338"/>
      <c r="W21" s="339"/>
      <c r="X21" s="340"/>
      <c r="Y21" s="340"/>
      <c r="Z21" s="340"/>
    </row>
    <row r="22" spans="1:26" ht="24.75" customHeight="1">
      <c r="A22" s="268"/>
      <c r="B22" s="268"/>
      <c r="C22" s="268"/>
      <c r="D22" s="268"/>
      <c r="E22" s="268"/>
      <c r="F22" s="268"/>
      <c r="G22" s="268"/>
      <c r="H22" s="268"/>
      <c r="I22" s="268"/>
      <c r="J22" s="268"/>
      <c r="K22" s="268"/>
      <c r="L22" s="334"/>
      <c r="M22" s="268"/>
      <c r="N22" s="268"/>
      <c r="O22" s="310"/>
      <c r="P22" s="268"/>
      <c r="Q22" s="334"/>
      <c r="R22" s="268"/>
      <c r="S22" s="313"/>
      <c r="T22" s="313"/>
      <c r="U22" s="268"/>
      <c r="V22" s="309"/>
      <c r="W22" s="310"/>
      <c r="X22" s="268"/>
      <c r="Y22" s="268"/>
      <c r="Z22" s="268"/>
    </row>
    <row r="23" spans="1:26" ht="24.75" customHeight="1">
      <c r="A23" s="268"/>
      <c r="B23" s="268"/>
      <c r="C23" s="268"/>
      <c r="D23" s="268"/>
      <c r="E23" s="268"/>
      <c r="F23" s="268"/>
      <c r="G23" s="268"/>
      <c r="H23" s="268"/>
      <c r="I23" s="268"/>
      <c r="J23" s="268"/>
      <c r="K23" s="268"/>
      <c r="L23" s="334"/>
      <c r="M23" s="268"/>
      <c r="N23" s="268"/>
      <c r="O23" s="310"/>
      <c r="P23" s="268"/>
      <c r="Q23" s="334"/>
      <c r="R23" s="268"/>
      <c r="S23" s="341"/>
      <c r="T23" s="342"/>
      <c r="U23" s="337"/>
      <c r="V23" s="338"/>
      <c r="W23" s="339"/>
      <c r="X23" s="340"/>
      <c r="Y23" s="340"/>
      <c r="Z23" s="340"/>
    </row>
    <row r="24" spans="1:26" ht="24.75" customHeight="1">
      <c r="A24" s="268"/>
      <c r="B24" s="268"/>
      <c r="C24" s="268"/>
      <c r="D24" s="268"/>
      <c r="E24" s="268"/>
      <c r="F24" s="268"/>
      <c r="G24" s="268"/>
      <c r="H24" s="268"/>
      <c r="I24" s="268"/>
      <c r="J24" s="268"/>
      <c r="K24" s="268"/>
      <c r="L24" s="334"/>
      <c r="M24" s="268"/>
      <c r="N24" s="268"/>
      <c r="O24" s="310"/>
      <c r="P24" s="268"/>
      <c r="Q24" s="334"/>
      <c r="R24" s="268"/>
      <c r="S24" s="313"/>
      <c r="T24" s="313"/>
      <c r="U24" s="268"/>
      <c r="V24" s="309"/>
      <c r="W24" s="310"/>
      <c r="X24" s="268"/>
      <c r="Y24" s="268"/>
      <c r="Z24" s="268"/>
    </row>
    <row r="25" spans="1:26" ht="24.75" customHeight="1">
      <c r="A25" s="437" t="s">
        <v>5226</v>
      </c>
      <c r="B25" s="268"/>
      <c r="C25" s="268"/>
      <c r="D25" s="268"/>
      <c r="E25" s="268"/>
      <c r="F25" s="268"/>
      <c r="G25" s="238" t="s">
        <v>5227</v>
      </c>
      <c r="H25" s="241" t="s">
        <v>4585</v>
      </c>
      <c r="I25" s="268"/>
      <c r="J25" s="268"/>
      <c r="K25" s="268"/>
      <c r="L25" s="334" t="s">
        <v>5228</v>
      </c>
      <c r="M25" s="268"/>
      <c r="N25" s="268"/>
      <c r="O25" s="310"/>
      <c r="P25" s="268"/>
      <c r="Q25" s="334"/>
      <c r="R25" s="268"/>
      <c r="S25" s="341"/>
      <c r="T25" s="342"/>
      <c r="U25" s="337"/>
      <c r="V25" s="338"/>
      <c r="W25" s="339"/>
      <c r="X25" s="340"/>
      <c r="Y25" s="340"/>
      <c r="Z25" s="340"/>
    </row>
    <row r="26" spans="1:26" ht="24.75" customHeight="1">
      <c r="A26" s="437"/>
      <c r="B26" s="268"/>
      <c r="C26" s="268"/>
      <c r="D26" s="268"/>
      <c r="E26" s="268"/>
      <c r="F26" s="268"/>
      <c r="G26" s="238" t="s">
        <v>5229</v>
      </c>
      <c r="H26" s="241" t="s">
        <v>4585</v>
      </c>
      <c r="I26" s="268"/>
      <c r="J26" s="268"/>
      <c r="K26" s="268"/>
      <c r="L26" s="334"/>
      <c r="M26" s="268"/>
      <c r="N26" s="268"/>
      <c r="O26" s="310"/>
      <c r="P26" s="268"/>
      <c r="Q26" s="334"/>
      <c r="R26" s="268"/>
      <c r="S26" s="341"/>
      <c r="T26" s="342"/>
      <c r="U26" s="337"/>
      <c r="V26" s="338"/>
      <c r="W26" s="339"/>
      <c r="X26" s="340"/>
      <c r="Y26" s="340"/>
      <c r="Z26" s="340"/>
    </row>
    <row r="27" spans="1:26" ht="24.75" customHeight="1">
      <c r="A27" s="437"/>
      <c r="B27" s="268"/>
      <c r="C27" s="268"/>
      <c r="D27" s="268"/>
      <c r="E27" s="268"/>
      <c r="F27" s="268"/>
      <c r="G27" s="289" t="s">
        <v>5230</v>
      </c>
      <c r="H27" s="241" t="s">
        <v>4585</v>
      </c>
      <c r="I27" s="268"/>
      <c r="J27" s="268"/>
      <c r="K27" s="268"/>
      <c r="L27" s="334"/>
      <c r="M27" s="268"/>
      <c r="N27" s="268"/>
      <c r="O27" s="310"/>
      <c r="P27" s="268"/>
      <c r="Q27" s="334"/>
      <c r="R27" s="268"/>
      <c r="S27" s="341"/>
      <c r="T27" s="342"/>
      <c r="U27" s="337"/>
      <c r="V27" s="338"/>
      <c r="W27" s="339"/>
      <c r="X27" s="340"/>
      <c r="Y27" s="340"/>
      <c r="Z27" s="340"/>
    </row>
    <row r="28" spans="1:26" ht="24.75" customHeight="1">
      <c r="A28" s="437"/>
      <c r="B28" s="268"/>
      <c r="C28" s="268"/>
      <c r="D28" s="268"/>
      <c r="E28" s="268"/>
      <c r="F28" s="268"/>
      <c r="G28" s="289" t="s">
        <v>5231</v>
      </c>
      <c r="H28" s="241" t="s">
        <v>4585</v>
      </c>
      <c r="I28" s="268"/>
      <c r="J28" s="268"/>
      <c r="K28" s="268"/>
      <c r="L28" s="334"/>
      <c r="M28" s="268"/>
      <c r="N28" s="268"/>
      <c r="O28" s="310"/>
      <c r="P28" s="268"/>
      <c r="Q28" s="334"/>
      <c r="R28" s="268"/>
      <c r="S28" s="313"/>
      <c r="T28" s="313"/>
      <c r="U28" s="268"/>
      <c r="V28" s="309"/>
      <c r="W28" s="310"/>
      <c r="X28" s="268"/>
      <c r="Y28" s="268"/>
      <c r="Z28" s="268"/>
    </row>
    <row r="29" spans="1:26" ht="24.75" customHeight="1">
      <c r="A29" s="309" t="s">
        <v>5232</v>
      </c>
      <c r="B29" s="268"/>
      <c r="C29" s="268"/>
      <c r="D29" s="268"/>
      <c r="E29" s="268"/>
      <c r="F29" s="268"/>
      <c r="G29" s="230" t="s">
        <v>5233</v>
      </c>
      <c r="H29" s="241" t="s">
        <v>4585</v>
      </c>
      <c r="I29" s="268"/>
      <c r="J29" s="268"/>
      <c r="K29" s="268"/>
      <c r="L29" s="334"/>
      <c r="M29" s="268"/>
      <c r="N29" s="268"/>
      <c r="O29" s="310"/>
      <c r="P29" s="268"/>
      <c r="Q29" s="334"/>
      <c r="R29" s="268"/>
      <c r="S29" s="341"/>
      <c r="T29" s="342"/>
      <c r="U29" s="337"/>
      <c r="V29" s="338"/>
      <c r="W29" s="339"/>
      <c r="X29" s="340"/>
      <c r="Y29" s="340"/>
      <c r="Z29" s="340"/>
    </row>
    <row r="30" spans="1:26" ht="24.75" customHeight="1">
      <c r="A30" s="268" t="s">
        <v>5234</v>
      </c>
      <c r="B30" s="268"/>
      <c r="C30" s="268"/>
      <c r="D30" s="268"/>
      <c r="E30" s="268"/>
      <c r="F30" s="268"/>
      <c r="G30" s="230" t="s">
        <v>5235</v>
      </c>
      <c r="H30" s="241" t="s">
        <v>4585</v>
      </c>
      <c r="I30" s="268"/>
      <c r="J30" s="268"/>
      <c r="K30" s="268"/>
      <c r="L30" s="334"/>
      <c r="M30" s="268"/>
      <c r="N30" s="268"/>
      <c r="O30" s="310"/>
      <c r="P30" s="268"/>
      <c r="Q30" s="334"/>
      <c r="R30" s="268"/>
      <c r="S30" s="341"/>
      <c r="T30" s="342"/>
      <c r="U30" s="337"/>
      <c r="V30" s="338"/>
      <c r="W30" s="339"/>
      <c r="X30" s="340"/>
      <c r="Y30" s="340"/>
      <c r="Z30" s="340"/>
    </row>
    <row r="31" spans="1:26" ht="24.75" customHeight="1">
      <c r="A31" s="268"/>
      <c r="B31" s="268"/>
      <c r="C31" s="268"/>
      <c r="D31" s="268"/>
      <c r="E31" s="268"/>
      <c r="F31" s="268"/>
      <c r="G31" s="268"/>
      <c r="H31" s="268"/>
      <c r="I31" s="268"/>
      <c r="J31" s="268"/>
      <c r="K31" s="268"/>
      <c r="L31" s="334"/>
      <c r="M31" s="268"/>
      <c r="N31" s="268"/>
      <c r="O31" s="310"/>
      <c r="P31" s="268"/>
      <c r="Q31" s="334"/>
      <c r="R31" s="268"/>
      <c r="S31" s="341"/>
      <c r="T31" s="342"/>
      <c r="U31" s="337"/>
      <c r="V31" s="338"/>
      <c r="W31" s="339"/>
      <c r="X31" s="340"/>
      <c r="Y31" s="340"/>
      <c r="Z31" s="340"/>
    </row>
    <row r="32" spans="1:26" ht="24.75" customHeight="1">
      <c r="A32" s="268"/>
      <c r="B32" s="268"/>
      <c r="C32" s="268"/>
      <c r="D32" s="268"/>
      <c r="E32" s="268"/>
      <c r="F32" s="268"/>
      <c r="G32" s="268"/>
      <c r="H32" s="268"/>
      <c r="I32" s="268"/>
      <c r="J32" s="268"/>
      <c r="K32" s="268"/>
      <c r="L32" s="334"/>
      <c r="M32" s="268"/>
      <c r="N32" s="268"/>
      <c r="O32" s="310"/>
      <c r="P32" s="268"/>
      <c r="Q32" s="334"/>
      <c r="R32" s="268"/>
      <c r="S32" s="313"/>
      <c r="T32" s="313"/>
      <c r="U32" s="268"/>
      <c r="V32" s="309"/>
      <c r="W32" s="310"/>
      <c r="X32" s="268"/>
      <c r="Y32" s="268"/>
      <c r="Z32" s="268"/>
    </row>
    <row r="33" spans="1:26" ht="24.75" customHeight="1">
      <c r="A33" s="437" t="s">
        <v>5236</v>
      </c>
      <c r="B33" s="268"/>
      <c r="C33" s="268"/>
      <c r="D33" s="268"/>
      <c r="E33" s="268"/>
      <c r="F33" s="268"/>
      <c r="G33" s="230" t="s">
        <v>5237</v>
      </c>
      <c r="H33" s="244" t="s">
        <v>2863</v>
      </c>
      <c r="I33" s="268"/>
      <c r="J33" s="268"/>
      <c r="K33" s="268"/>
      <c r="L33" s="334"/>
      <c r="M33" s="268"/>
      <c r="N33" s="268"/>
      <c r="O33" s="310"/>
      <c r="P33" s="268"/>
      <c r="Q33" s="334"/>
      <c r="R33" s="268"/>
      <c r="S33" s="341"/>
      <c r="T33" s="342"/>
      <c r="U33" s="337"/>
      <c r="V33" s="338"/>
      <c r="W33" s="339"/>
      <c r="X33" s="340"/>
      <c r="Y33" s="340"/>
      <c r="Z33" s="340"/>
    </row>
    <row r="34" spans="1:26" ht="24.75" customHeight="1">
      <c r="A34" s="437"/>
      <c r="B34" s="268"/>
      <c r="C34" s="268"/>
      <c r="D34" s="268"/>
      <c r="E34" s="268"/>
      <c r="F34" s="268"/>
      <c r="G34" s="230" t="s">
        <v>5238</v>
      </c>
      <c r="H34" s="244" t="s">
        <v>2863</v>
      </c>
      <c r="I34" s="268"/>
      <c r="J34" s="268"/>
      <c r="K34" s="268"/>
      <c r="L34" s="334"/>
      <c r="M34" s="268"/>
      <c r="N34" s="268"/>
      <c r="O34" s="310"/>
      <c r="P34" s="268"/>
      <c r="Q34" s="334"/>
      <c r="R34" s="268"/>
      <c r="S34" s="341"/>
      <c r="T34" s="342"/>
      <c r="U34" s="337"/>
      <c r="V34" s="338"/>
      <c r="W34" s="339"/>
      <c r="X34" s="340"/>
      <c r="Y34" s="340"/>
      <c r="Z34" s="340"/>
    </row>
    <row r="35" spans="1:26" ht="24.75" customHeight="1">
      <c r="A35" s="437"/>
      <c r="B35" s="268"/>
      <c r="C35" s="268"/>
      <c r="D35" s="268"/>
      <c r="E35" s="268"/>
      <c r="F35" s="268"/>
      <c r="G35" s="230" t="s">
        <v>5239</v>
      </c>
      <c r="H35" s="244" t="s">
        <v>2863</v>
      </c>
      <c r="I35" s="268"/>
      <c r="J35" s="268"/>
      <c r="K35" s="268"/>
      <c r="L35" s="334"/>
      <c r="M35" s="268"/>
      <c r="N35" s="268"/>
      <c r="O35" s="310"/>
      <c r="P35" s="268"/>
      <c r="Q35" s="334"/>
      <c r="R35" s="268"/>
      <c r="S35" s="341"/>
      <c r="T35" s="342"/>
      <c r="U35" s="337"/>
      <c r="V35" s="338"/>
      <c r="W35" s="339"/>
      <c r="X35" s="340"/>
      <c r="Y35" s="340"/>
      <c r="Z35" s="340"/>
    </row>
    <row r="36" spans="1:26" ht="24.75" customHeight="1">
      <c r="A36" s="437"/>
      <c r="B36" s="268"/>
      <c r="C36" s="268"/>
      <c r="D36" s="268"/>
      <c r="E36" s="268"/>
      <c r="F36" s="268"/>
      <c r="G36" s="230" t="s">
        <v>5240</v>
      </c>
      <c r="H36" s="244" t="s">
        <v>2863</v>
      </c>
      <c r="I36" s="268"/>
      <c r="J36" s="268"/>
      <c r="K36" s="268"/>
      <c r="L36" s="334"/>
      <c r="M36" s="268"/>
      <c r="N36" s="268"/>
      <c r="O36" s="310"/>
      <c r="P36" s="268"/>
      <c r="Q36" s="334"/>
      <c r="R36" s="268"/>
      <c r="S36" s="313"/>
      <c r="T36" s="313"/>
      <c r="U36" s="268"/>
      <c r="V36" s="309"/>
      <c r="W36" s="310"/>
      <c r="X36" s="268"/>
      <c r="Y36" s="268"/>
      <c r="Z36" s="268"/>
    </row>
    <row r="37" spans="1:26" ht="24.75" customHeight="1">
      <c r="A37" s="437"/>
      <c r="B37" s="268"/>
      <c r="C37" s="268"/>
      <c r="D37" s="268"/>
      <c r="E37" s="268"/>
      <c r="F37" s="268"/>
      <c r="G37" s="230" t="s">
        <v>5241</v>
      </c>
      <c r="H37" s="244" t="s">
        <v>2863</v>
      </c>
      <c r="I37" s="268"/>
      <c r="J37" s="268"/>
      <c r="K37" s="268"/>
      <c r="L37" s="334"/>
      <c r="M37" s="268"/>
      <c r="N37" s="268"/>
      <c r="O37" s="310"/>
      <c r="P37" s="268"/>
      <c r="Q37" s="334"/>
      <c r="R37" s="268"/>
      <c r="S37" s="341"/>
      <c r="T37" s="342"/>
      <c r="U37" s="337"/>
      <c r="V37" s="338"/>
      <c r="W37" s="339"/>
      <c r="X37" s="340"/>
      <c r="Y37" s="340"/>
      <c r="Z37" s="340"/>
    </row>
    <row r="38" spans="1:26" ht="24.75" customHeight="1">
      <c r="A38" s="437"/>
      <c r="B38" s="268"/>
      <c r="C38" s="268"/>
      <c r="D38" s="268"/>
      <c r="E38" s="268"/>
      <c r="F38" s="268"/>
      <c r="G38" s="230" t="s">
        <v>5242</v>
      </c>
      <c r="H38" s="244" t="s">
        <v>2863</v>
      </c>
      <c r="I38" s="268"/>
      <c r="J38" s="268"/>
      <c r="K38" s="268"/>
      <c r="L38" s="334"/>
      <c r="M38" s="268"/>
      <c r="N38" s="268"/>
      <c r="O38" s="310"/>
      <c r="P38" s="268"/>
      <c r="Q38" s="334"/>
      <c r="R38" s="268"/>
      <c r="S38" s="341"/>
      <c r="T38" s="342"/>
      <c r="U38" s="337"/>
      <c r="V38" s="338"/>
      <c r="W38" s="339"/>
      <c r="X38" s="340"/>
      <c r="Y38" s="340"/>
      <c r="Z38" s="340"/>
    </row>
    <row r="39" spans="1:26" ht="24.75" customHeight="1">
      <c r="A39" s="437"/>
      <c r="B39" s="268"/>
      <c r="C39" s="268"/>
      <c r="D39" s="268"/>
      <c r="E39" s="268"/>
      <c r="F39" s="268"/>
      <c r="G39" s="230" t="s">
        <v>5243</v>
      </c>
      <c r="H39" s="244" t="s">
        <v>2863</v>
      </c>
      <c r="I39" s="268"/>
      <c r="J39" s="268"/>
      <c r="K39" s="268"/>
      <c r="L39" s="334"/>
      <c r="M39" s="268"/>
      <c r="N39" s="268"/>
      <c r="O39" s="310"/>
      <c r="P39" s="268"/>
      <c r="Q39" s="334"/>
      <c r="R39" s="268"/>
      <c r="S39" s="313"/>
      <c r="T39" s="313"/>
      <c r="U39" s="268"/>
      <c r="V39" s="309"/>
      <c r="W39" s="310"/>
      <c r="X39" s="268"/>
      <c r="Y39" s="268"/>
      <c r="Z39" s="268"/>
    </row>
    <row r="40" spans="1:26" ht="24.75" customHeight="1">
      <c r="A40" s="437" t="s">
        <v>5226</v>
      </c>
      <c r="B40" s="268"/>
      <c r="C40" s="268"/>
      <c r="D40" s="268"/>
      <c r="E40" s="268"/>
      <c r="F40" s="268"/>
      <c r="G40" s="230" t="s">
        <v>5244</v>
      </c>
      <c r="H40" s="244" t="s">
        <v>2863</v>
      </c>
      <c r="I40" s="268"/>
      <c r="J40" s="268"/>
      <c r="K40" s="268"/>
      <c r="L40" s="334"/>
      <c r="M40" s="268"/>
      <c r="N40" s="268"/>
      <c r="O40" s="310"/>
      <c r="P40" s="268"/>
      <c r="Q40" s="334"/>
      <c r="R40" s="268"/>
      <c r="S40" s="313"/>
      <c r="T40" s="313"/>
      <c r="U40" s="268"/>
      <c r="V40" s="309"/>
      <c r="W40" s="310"/>
      <c r="X40" s="268"/>
      <c r="Y40" s="268"/>
      <c r="Z40" s="268"/>
    </row>
    <row r="41" spans="1:26" ht="24.75" customHeight="1">
      <c r="A41" s="437"/>
      <c r="B41" s="268"/>
      <c r="C41" s="268"/>
      <c r="D41" s="268"/>
      <c r="E41" s="268"/>
      <c r="F41" s="268"/>
      <c r="G41" s="230" t="s">
        <v>5245</v>
      </c>
      <c r="H41" s="244" t="s">
        <v>2863</v>
      </c>
      <c r="I41" s="268"/>
      <c r="J41" s="268"/>
      <c r="K41" s="268"/>
      <c r="L41" s="334"/>
      <c r="M41" s="268"/>
      <c r="N41" s="268"/>
      <c r="O41" s="310"/>
      <c r="P41" s="268"/>
      <c r="Q41" s="334"/>
      <c r="R41" s="268"/>
      <c r="S41" s="263"/>
      <c r="T41" s="313"/>
      <c r="U41" s="313"/>
      <c r="V41" s="263"/>
      <c r="W41" s="263"/>
      <c r="X41" s="263"/>
      <c r="Y41" s="263"/>
      <c r="Z41" s="263"/>
    </row>
    <row r="42" spans="1:26" ht="24.75" customHeight="1">
      <c r="A42" s="437"/>
      <c r="B42" s="268"/>
      <c r="C42" s="268"/>
      <c r="D42" s="268"/>
      <c r="E42" s="268"/>
      <c r="F42" s="268"/>
      <c r="G42" s="230" t="s">
        <v>5246</v>
      </c>
      <c r="H42" s="244" t="s">
        <v>2863</v>
      </c>
      <c r="I42" s="268"/>
      <c r="J42" s="268"/>
      <c r="K42" s="268"/>
      <c r="L42" s="334"/>
      <c r="M42" s="268"/>
      <c r="N42" s="268"/>
      <c r="O42" s="310"/>
      <c r="P42" s="268"/>
      <c r="Q42" s="334"/>
      <c r="R42" s="268"/>
      <c r="S42" s="313"/>
      <c r="T42" s="313"/>
      <c r="U42" s="230"/>
      <c r="V42" s="256"/>
      <c r="W42" s="257"/>
      <c r="X42" s="230"/>
      <c r="Y42" s="230"/>
      <c r="Z42" s="230"/>
    </row>
    <row r="43" spans="1:26" ht="24.75" customHeight="1">
      <c r="A43" s="437"/>
      <c r="B43" s="268"/>
      <c r="C43" s="268"/>
      <c r="D43" s="268"/>
      <c r="E43" s="268"/>
      <c r="F43" s="268"/>
      <c r="G43" s="230" t="s">
        <v>5247</v>
      </c>
      <c r="H43" s="244" t="s">
        <v>2863</v>
      </c>
      <c r="I43" s="268"/>
      <c r="J43" s="268"/>
      <c r="K43" s="268"/>
      <c r="L43" s="334"/>
      <c r="M43" s="268"/>
      <c r="N43" s="268"/>
      <c r="O43" s="310"/>
      <c r="P43" s="268"/>
      <c r="Q43" s="334"/>
      <c r="R43" s="268"/>
      <c r="S43" s="313"/>
      <c r="T43" s="313"/>
      <c r="U43" s="268"/>
      <c r="V43" s="309"/>
      <c r="W43" s="310"/>
      <c r="X43" s="268"/>
      <c r="Y43" s="268"/>
      <c r="Z43" s="268"/>
    </row>
    <row r="44" spans="1:26" ht="24.75" customHeight="1">
      <c r="A44" s="437"/>
      <c r="B44" s="268"/>
      <c r="C44" s="268"/>
      <c r="D44" s="268"/>
      <c r="E44" s="268"/>
      <c r="F44" s="268"/>
      <c r="G44" s="230" t="s">
        <v>5248</v>
      </c>
      <c r="H44" s="244" t="s">
        <v>2863</v>
      </c>
      <c r="I44" s="268"/>
      <c r="J44" s="268"/>
      <c r="K44" s="268"/>
      <c r="L44" s="334"/>
      <c r="M44" s="268"/>
      <c r="N44" s="268"/>
      <c r="O44" s="310"/>
      <c r="P44" s="268"/>
      <c r="Q44" s="334"/>
      <c r="R44" s="268"/>
      <c r="S44" s="313"/>
      <c r="T44" s="313"/>
      <c r="U44" s="268"/>
      <c r="V44" s="309"/>
      <c r="W44" s="310"/>
      <c r="X44" s="268"/>
      <c r="Y44" s="268"/>
      <c r="Z44" s="268"/>
    </row>
    <row r="45" spans="1:26" ht="24.75" customHeight="1">
      <c r="A45" s="437"/>
      <c r="B45" s="268"/>
      <c r="C45" s="268"/>
      <c r="D45" s="268"/>
      <c r="E45" s="268"/>
      <c r="F45" s="268"/>
      <c r="G45" s="230" t="s">
        <v>5249</v>
      </c>
      <c r="H45" s="244" t="s">
        <v>2863</v>
      </c>
      <c r="I45" s="268"/>
      <c r="J45" s="268"/>
      <c r="K45" s="268"/>
      <c r="L45" s="334"/>
      <c r="M45" s="268"/>
      <c r="N45" s="268"/>
      <c r="O45" s="310"/>
      <c r="P45" s="268"/>
      <c r="Q45" s="334"/>
      <c r="R45" s="268"/>
      <c r="S45" s="313"/>
      <c r="T45" s="313"/>
      <c r="U45" s="230"/>
      <c r="V45" s="256"/>
      <c r="W45" s="257"/>
      <c r="X45" s="230"/>
      <c r="Y45" s="230"/>
      <c r="Z45" s="230"/>
    </row>
    <row r="46" spans="1:26" ht="24.75" customHeight="1">
      <c r="A46" s="437"/>
      <c r="B46" s="268"/>
      <c r="C46" s="268"/>
      <c r="D46" s="268"/>
      <c r="E46" s="268"/>
      <c r="F46" s="268"/>
      <c r="G46" s="230" t="s">
        <v>5250</v>
      </c>
      <c r="H46" s="244" t="s">
        <v>2863</v>
      </c>
      <c r="I46" s="268"/>
      <c r="J46" s="268"/>
      <c r="K46" s="268"/>
      <c r="L46" s="334"/>
      <c r="M46" s="268"/>
      <c r="N46" s="268"/>
      <c r="O46" s="310"/>
      <c r="P46" s="268"/>
      <c r="Q46" s="334"/>
      <c r="R46" s="268"/>
      <c r="S46" s="313"/>
      <c r="T46" s="313"/>
      <c r="U46" s="268"/>
      <c r="V46" s="309"/>
      <c r="W46" s="310"/>
      <c r="X46" s="268"/>
      <c r="Y46" s="268"/>
      <c r="Z46" s="268"/>
    </row>
    <row r="47" spans="1:26" ht="24.75" customHeight="1">
      <c r="A47" s="437"/>
      <c r="B47" s="268"/>
      <c r="C47" s="268"/>
      <c r="D47" s="268"/>
      <c r="E47" s="268"/>
      <c r="F47" s="268"/>
      <c r="G47" s="230" t="s">
        <v>5251</v>
      </c>
      <c r="H47" s="244" t="s">
        <v>2863</v>
      </c>
      <c r="I47" s="268"/>
      <c r="J47" s="268"/>
      <c r="K47" s="268"/>
      <c r="L47" s="334"/>
      <c r="M47" s="268"/>
      <c r="N47" s="268"/>
      <c r="O47" s="310"/>
      <c r="P47" s="268"/>
      <c r="Q47" s="334"/>
      <c r="R47" s="268"/>
      <c r="S47" s="313"/>
      <c r="T47" s="313"/>
      <c r="U47" s="268"/>
      <c r="V47" s="309"/>
      <c r="W47" s="310"/>
      <c r="X47" s="268"/>
      <c r="Y47" s="268"/>
      <c r="Z47" s="268"/>
    </row>
    <row r="48" spans="1:26" ht="24.75" customHeight="1">
      <c r="A48" s="437"/>
      <c r="B48" s="268"/>
      <c r="C48" s="268"/>
      <c r="D48" s="268"/>
      <c r="E48" s="268"/>
      <c r="F48" s="268"/>
      <c r="G48" s="230" t="s">
        <v>5252</v>
      </c>
      <c r="H48" s="244" t="s">
        <v>2863</v>
      </c>
      <c r="I48" s="268"/>
      <c r="J48" s="268"/>
      <c r="K48" s="268"/>
      <c r="L48" s="334"/>
      <c r="M48" s="268"/>
      <c r="N48" s="268"/>
      <c r="O48" s="310"/>
      <c r="P48" s="268"/>
      <c r="Q48" s="334"/>
      <c r="R48" s="268"/>
      <c r="S48" s="313"/>
      <c r="T48" s="313"/>
      <c r="U48" s="268"/>
      <c r="V48" s="309"/>
      <c r="W48" s="310"/>
      <c r="X48" s="268"/>
      <c r="Y48" s="268"/>
      <c r="Z48" s="268"/>
    </row>
    <row r="49" spans="1:26" ht="24.75" customHeight="1">
      <c r="A49" s="437"/>
      <c r="B49" s="268"/>
      <c r="C49" s="268"/>
      <c r="D49" s="268"/>
      <c r="E49" s="268"/>
      <c r="F49" s="268"/>
      <c r="G49" s="230" t="s">
        <v>5253</v>
      </c>
      <c r="H49" s="244" t="s">
        <v>2863</v>
      </c>
      <c r="I49" s="268"/>
      <c r="J49" s="268"/>
      <c r="K49" s="268"/>
      <c r="L49" s="334"/>
      <c r="M49" s="268"/>
      <c r="N49" s="268"/>
      <c r="O49" s="310"/>
      <c r="P49" s="268"/>
      <c r="Q49" s="334"/>
      <c r="R49" s="268"/>
      <c r="S49" s="313"/>
      <c r="T49" s="313"/>
      <c r="U49" s="268"/>
      <c r="V49" s="309"/>
      <c r="W49" s="310"/>
      <c r="X49" s="268"/>
      <c r="Y49" s="268"/>
      <c r="Z49" s="268"/>
    </row>
    <row r="50" spans="1:26" ht="24.75" customHeight="1">
      <c r="A50" s="437"/>
      <c r="B50" s="268"/>
      <c r="C50" s="268"/>
      <c r="D50" s="268"/>
      <c r="E50" s="268"/>
      <c r="F50" s="268"/>
      <c r="G50" s="230" t="s">
        <v>5254</v>
      </c>
      <c r="H50" s="244" t="s">
        <v>2863</v>
      </c>
      <c r="I50" s="268"/>
      <c r="J50" s="268"/>
      <c r="K50" s="268"/>
      <c r="L50" s="334"/>
      <c r="M50" s="268"/>
      <c r="N50" s="268"/>
      <c r="O50" s="310"/>
      <c r="P50" s="268"/>
      <c r="Q50" s="334"/>
      <c r="R50" s="268"/>
      <c r="S50" s="313"/>
      <c r="T50" s="313"/>
      <c r="U50" s="268"/>
      <c r="V50" s="309"/>
      <c r="W50" s="310"/>
      <c r="X50" s="268"/>
      <c r="Y50" s="268"/>
      <c r="Z50" s="268"/>
    </row>
    <row r="51" spans="1:26" ht="24.75" customHeight="1">
      <c r="A51" s="437"/>
      <c r="B51" s="268"/>
      <c r="C51" s="268"/>
      <c r="D51" s="268"/>
      <c r="E51" s="268"/>
      <c r="F51" s="268"/>
      <c r="G51" s="230" t="s">
        <v>5255</v>
      </c>
      <c r="H51" s="244" t="s">
        <v>2863</v>
      </c>
      <c r="I51" s="268"/>
      <c r="J51" s="268"/>
      <c r="K51" s="268"/>
      <c r="L51" s="334"/>
      <c r="M51" s="268"/>
      <c r="N51" s="268"/>
      <c r="O51" s="310"/>
      <c r="P51" s="268"/>
      <c r="Q51" s="334"/>
      <c r="R51" s="268"/>
      <c r="S51" s="313"/>
      <c r="T51" s="313"/>
      <c r="U51" s="268"/>
      <c r="V51" s="309"/>
      <c r="W51" s="310"/>
      <c r="X51" s="268"/>
      <c r="Y51" s="268"/>
      <c r="Z51" s="268"/>
    </row>
    <row r="52" spans="1:26" ht="24.75" customHeight="1">
      <c r="A52" s="437"/>
      <c r="B52" s="268"/>
      <c r="C52" s="268"/>
      <c r="D52" s="268"/>
      <c r="E52" s="268"/>
      <c r="F52" s="268"/>
      <c r="G52" s="230" t="s">
        <v>5256</v>
      </c>
      <c r="H52" s="244" t="s">
        <v>2863</v>
      </c>
      <c r="I52" s="268"/>
      <c r="J52" s="268"/>
      <c r="K52" s="268"/>
      <c r="L52" s="334"/>
      <c r="M52" s="268"/>
      <c r="N52" s="268"/>
      <c r="O52" s="310"/>
      <c r="P52" s="268"/>
      <c r="Q52" s="334"/>
      <c r="R52" s="268"/>
      <c r="S52" s="313"/>
      <c r="T52" s="313"/>
      <c r="U52" s="268"/>
      <c r="V52" s="309"/>
      <c r="W52" s="310"/>
      <c r="X52" s="268"/>
      <c r="Y52" s="268"/>
      <c r="Z52" s="268"/>
    </row>
    <row r="53" spans="1:26" ht="24.75" customHeight="1">
      <c r="A53" s="437" t="s">
        <v>5257</v>
      </c>
      <c r="B53" s="268"/>
      <c r="C53" s="268"/>
      <c r="D53" s="268"/>
      <c r="E53" s="268"/>
      <c r="F53" s="268"/>
      <c r="G53" s="230" t="s">
        <v>5258</v>
      </c>
      <c r="H53" s="244" t="s">
        <v>2863</v>
      </c>
      <c r="I53" s="268"/>
      <c r="J53" s="268"/>
      <c r="K53" s="268"/>
      <c r="L53" s="334"/>
      <c r="M53" s="268"/>
      <c r="N53" s="268"/>
      <c r="O53" s="310"/>
      <c r="P53" s="268"/>
      <c r="Q53" s="334"/>
      <c r="R53" s="268"/>
      <c r="S53" s="313"/>
      <c r="T53" s="313"/>
      <c r="U53" s="268"/>
      <c r="V53" s="309"/>
      <c r="W53" s="310"/>
      <c r="X53" s="268"/>
      <c r="Y53" s="268"/>
      <c r="Z53" s="268"/>
    </row>
    <row r="54" spans="1:26" ht="24.75" customHeight="1">
      <c r="A54" s="437"/>
      <c r="B54" s="268"/>
      <c r="C54" s="268"/>
      <c r="D54" s="268"/>
      <c r="E54" s="268"/>
      <c r="F54" s="268"/>
      <c r="G54" s="230" t="s">
        <v>5259</v>
      </c>
      <c r="H54" s="244" t="s">
        <v>2863</v>
      </c>
      <c r="I54" s="268"/>
      <c r="J54" s="268"/>
      <c r="K54" s="268"/>
      <c r="L54" s="334"/>
      <c r="M54" s="268"/>
      <c r="N54" s="268"/>
      <c r="O54" s="310"/>
      <c r="P54" s="268"/>
      <c r="Q54" s="334"/>
      <c r="R54" s="268"/>
      <c r="S54" s="313"/>
      <c r="T54" s="313"/>
      <c r="U54" s="268"/>
      <c r="V54" s="309"/>
      <c r="W54" s="310"/>
      <c r="X54" s="268"/>
      <c r="Y54" s="268"/>
      <c r="Z54" s="268"/>
    </row>
    <row r="55" spans="1:26" ht="24.75" customHeight="1">
      <c r="A55" s="437"/>
      <c r="B55" s="268"/>
      <c r="C55" s="268"/>
      <c r="D55" s="268"/>
      <c r="E55" s="268"/>
      <c r="F55" s="268"/>
      <c r="G55" s="230" t="s">
        <v>5260</v>
      </c>
      <c r="H55" s="244" t="s">
        <v>2863</v>
      </c>
      <c r="I55" s="268"/>
      <c r="J55" s="268"/>
      <c r="K55" s="268"/>
      <c r="L55" s="334"/>
      <c r="M55" s="268"/>
      <c r="N55" s="268"/>
      <c r="O55" s="310"/>
      <c r="P55" s="268"/>
      <c r="Q55" s="334"/>
      <c r="R55" s="268"/>
      <c r="S55" s="313"/>
      <c r="T55" s="313"/>
      <c r="U55" s="268"/>
      <c r="V55" s="309"/>
      <c r="W55" s="310"/>
      <c r="X55" s="268"/>
      <c r="Y55" s="268"/>
      <c r="Z55" s="268"/>
    </row>
    <row r="56" spans="1:26" ht="24.75" customHeight="1">
      <c r="A56" s="437"/>
      <c r="B56" s="268"/>
      <c r="C56" s="268"/>
      <c r="D56" s="268"/>
      <c r="E56" s="268"/>
      <c r="F56" s="268"/>
      <c r="G56" s="230" t="s">
        <v>5261</v>
      </c>
      <c r="H56" s="244" t="s">
        <v>2863</v>
      </c>
      <c r="I56" s="268"/>
      <c r="J56" s="268"/>
      <c r="K56" s="268"/>
      <c r="L56" s="334"/>
      <c r="M56" s="268"/>
      <c r="N56" s="268"/>
      <c r="O56" s="310"/>
      <c r="P56" s="268"/>
      <c r="Q56" s="334"/>
      <c r="R56" s="268"/>
      <c r="S56" s="313"/>
      <c r="T56" s="313"/>
      <c r="U56" s="268"/>
      <c r="V56" s="309"/>
      <c r="W56" s="310"/>
      <c r="X56" s="268"/>
      <c r="Y56" s="268"/>
      <c r="Z56" s="268"/>
    </row>
    <row r="57" spans="1:26" ht="24.75" customHeight="1">
      <c r="A57" s="437"/>
      <c r="B57" s="268"/>
      <c r="C57" s="268"/>
      <c r="D57" s="268"/>
      <c r="E57" s="268"/>
      <c r="F57" s="268"/>
      <c r="G57" s="230" t="s">
        <v>5262</v>
      </c>
      <c r="H57" s="244" t="s">
        <v>2863</v>
      </c>
      <c r="I57" s="268"/>
      <c r="J57" s="268"/>
      <c r="K57" s="268"/>
      <c r="L57" s="334"/>
      <c r="M57" s="268"/>
      <c r="N57" s="268"/>
      <c r="O57" s="310"/>
      <c r="P57" s="268"/>
      <c r="Q57" s="334"/>
      <c r="R57" s="268"/>
      <c r="S57" s="313"/>
      <c r="T57" s="313"/>
      <c r="U57" s="268"/>
      <c r="V57" s="309"/>
      <c r="W57" s="310"/>
      <c r="X57" s="268"/>
      <c r="Y57" s="268"/>
      <c r="Z57" s="268"/>
    </row>
    <row r="58" spans="1:26" ht="24.75" customHeight="1">
      <c r="A58" s="437"/>
      <c r="B58" s="268"/>
      <c r="C58" s="268"/>
      <c r="D58" s="268"/>
      <c r="E58" s="268"/>
      <c r="F58" s="268"/>
      <c r="G58" s="230" t="s">
        <v>5263</v>
      </c>
      <c r="H58" s="244" t="s">
        <v>2863</v>
      </c>
      <c r="I58" s="268"/>
      <c r="J58" s="268"/>
      <c r="K58" s="268"/>
      <c r="L58" s="334"/>
      <c r="M58" s="268"/>
      <c r="N58" s="268"/>
      <c r="O58" s="310"/>
      <c r="P58" s="268"/>
      <c r="Q58" s="334"/>
      <c r="R58" s="268"/>
      <c r="S58" s="313"/>
      <c r="T58" s="313"/>
      <c r="U58" s="268"/>
      <c r="V58" s="309"/>
      <c r="W58" s="310"/>
      <c r="X58" s="268"/>
      <c r="Y58" s="268"/>
      <c r="Z58" s="268"/>
    </row>
    <row r="59" spans="1:26" ht="24.75" customHeight="1">
      <c r="A59" s="437"/>
      <c r="B59" s="268"/>
      <c r="C59" s="268"/>
      <c r="D59" s="268"/>
      <c r="E59" s="268"/>
      <c r="F59" s="268"/>
      <c r="G59" s="230" t="s">
        <v>5264</v>
      </c>
      <c r="H59" s="244" t="s">
        <v>2863</v>
      </c>
      <c r="I59" s="268"/>
      <c r="J59" s="268"/>
      <c r="K59" s="268"/>
      <c r="L59" s="334"/>
      <c r="M59" s="268"/>
      <c r="N59" s="268"/>
      <c r="O59" s="310"/>
      <c r="P59" s="268"/>
      <c r="Q59" s="334"/>
      <c r="R59" s="268"/>
      <c r="S59" s="263"/>
      <c r="T59" s="263"/>
      <c r="U59" s="263"/>
      <c r="V59" s="263"/>
      <c r="W59" s="263"/>
      <c r="X59" s="263"/>
      <c r="Y59" s="263"/>
      <c r="Z59" s="263"/>
    </row>
    <row r="60" spans="1:26" ht="24.75" customHeight="1">
      <c r="A60" s="437"/>
      <c r="B60" s="268"/>
      <c r="C60" s="268"/>
      <c r="D60" s="268"/>
      <c r="E60" s="268"/>
      <c r="F60" s="268"/>
      <c r="G60" s="230" t="s">
        <v>5265</v>
      </c>
      <c r="H60" s="244" t="s">
        <v>2863</v>
      </c>
      <c r="I60" s="268"/>
      <c r="J60" s="268"/>
      <c r="K60" s="268"/>
      <c r="L60" s="334"/>
      <c r="M60" s="268"/>
      <c r="N60" s="268"/>
      <c r="O60" s="310"/>
      <c r="P60" s="268"/>
      <c r="Q60" s="334"/>
      <c r="R60" s="268"/>
      <c r="S60" s="313"/>
      <c r="T60" s="313"/>
      <c r="U60" s="268"/>
      <c r="V60" s="309"/>
      <c r="W60" s="310"/>
      <c r="X60" s="268"/>
      <c r="Y60" s="268"/>
      <c r="Z60" s="268"/>
    </row>
    <row r="61" spans="1:26" ht="24.75" customHeight="1">
      <c r="A61" s="437"/>
      <c r="B61" s="268"/>
      <c r="C61" s="268"/>
      <c r="D61" s="268"/>
      <c r="E61" s="268"/>
      <c r="F61" s="268"/>
      <c r="G61" s="230" t="s">
        <v>5266</v>
      </c>
      <c r="H61" s="244" t="s">
        <v>2863</v>
      </c>
      <c r="I61" s="268"/>
      <c r="J61" s="268"/>
      <c r="K61" s="268"/>
      <c r="L61" s="334"/>
      <c r="M61" s="268"/>
      <c r="N61" s="268"/>
      <c r="O61" s="310"/>
      <c r="P61" s="268"/>
      <c r="Q61" s="334"/>
      <c r="R61" s="268"/>
      <c r="S61" s="313"/>
      <c r="T61" s="313"/>
      <c r="U61" s="248"/>
      <c r="V61" s="253"/>
      <c r="W61" s="254"/>
      <c r="X61" s="248"/>
      <c r="Y61" s="248"/>
      <c r="Z61" s="248"/>
    </row>
    <row r="62" spans="1:26" ht="24.75" customHeight="1">
      <c r="A62" s="437"/>
      <c r="B62" s="268"/>
      <c r="C62" s="268"/>
      <c r="D62" s="268"/>
      <c r="E62" s="268"/>
      <c r="F62" s="268"/>
      <c r="G62" s="230" t="s">
        <v>5267</v>
      </c>
      <c r="H62" s="244" t="s">
        <v>2863</v>
      </c>
      <c r="I62" s="268"/>
      <c r="J62" s="268"/>
      <c r="K62" s="268"/>
      <c r="L62" s="334"/>
      <c r="M62" s="268"/>
      <c r="N62" s="268"/>
      <c r="O62" s="310"/>
      <c r="P62" s="268"/>
      <c r="Q62" s="334"/>
      <c r="R62" s="268"/>
      <c r="S62" s="313"/>
      <c r="T62" s="313"/>
      <c r="U62" s="268"/>
      <c r="V62" s="309"/>
      <c r="W62" s="310"/>
      <c r="X62" s="268"/>
      <c r="Y62" s="268"/>
      <c r="Z62" s="268"/>
    </row>
    <row r="63" spans="1:26" ht="24.75" customHeight="1">
      <c r="A63" s="437"/>
      <c r="B63" s="268"/>
      <c r="C63" s="268"/>
      <c r="D63" s="268"/>
      <c r="E63" s="268"/>
      <c r="F63" s="268"/>
      <c r="G63" s="230" t="s">
        <v>5268</v>
      </c>
      <c r="H63" s="244" t="s">
        <v>2863</v>
      </c>
      <c r="I63" s="268"/>
      <c r="J63" s="268"/>
      <c r="K63" s="268"/>
      <c r="L63" s="334"/>
      <c r="M63" s="268"/>
      <c r="N63" s="268"/>
      <c r="O63" s="310"/>
      <c r="P63" s="268"/>
      <c r="Q63" s="334"/>
      <c r="R63" s="268"/>
      <c r="S63" s="263"/>
      <c r="T63" s="313"/>
      <c r="U63" s="313"/>
      <c r="V63" s="263"/>
      <c r="W63" s="263"/>
      <c r="X63" s="263"/>
      <c r="Y63" s="263"/>
      <c r="Z63" s="263"/>
    </row>
    <row r="64" spans="1:26" ht="24.75" customHeight="1">
      <c r="A64" s="437"/>
      <c r="B64" s="268"/>
      <c r="C64" s="268"/>
      <c r="D64" s="268"/>
      <c r="E64" s="268"/>
      <c r="F64" s="268"/>
      <c r="G64" s="230" t="s">
        <v>5269</v>
      </c>
      <c r="H64" s="244" t="s">
        <v>2863</v>
      </c>
      <c r="I64" s="268"/>
      <c r="J64" s="268"/>
      <c r="K64" s="268"/>
      <c r="L64" s="334"/>
      <c r="M64" s="268"/>
      <c r="N64" s="268"/>
      <c r="O64" s="310"/>
      <c r="P64" s="268"/>
      <c r="Q64" s="334"/>
      <c r="R64" s="268"/>
      <c r="S64" s="313"/>
      <c r="T64" s="313"/>
      <c r="U64" s="268"/>
      <c r="V64" s="309"/>
      <c r="W64" s="310"/>
      <c r="X64" s="268"/>
      <c r="Y64" s="268"/>
      <c r="Z64" s="268"/>
    </row>
    <row r="65" spans="1:26" ht="24.75" customHeight="1">
      <c r="A65" s="437"/>
      <c r="B65" s="268"/>
      <c r="C65" s="268"/>
      <c r="D65" s="268"/>
      <c r="E65" s="268"/>
      <c r="F65" s="268"/>
      <c r="G65" s="230" t="s">
        <v>5270</v>
      </c>
      <c r="H65" s="244" t="s">
        <v>2863</v>
      </c>
      <c r="I65" s="268"/>
      <c r="J65" s="268"/>
      <c r="K65" s="268"/>
      <c r="L65" s="334"/>
      <c r="M65" s="268"/>
      <c r="N65" s="268"/>
      <c r="O65" s="310"/>
      <c r="P65" s="268"/>
      <c r="Q65" s="334"/>
      <c r="R65" s="268"/>
      <c r="S65" s="313"/>
      <c r="T65" s="313"/>
      <c r="U65" s="268"/>
      <c r="V65" s="309"/>
      <c r="W65" s="310"/>
      <c r="X65" s="268"/>
      <c r="Y65" s="268"/>
      <c r="Z65" s="268"/>
    </row>
    <row r="66" spans="1:26" ht="24.75" customHeight="1">
      <c r="A66" s="437"/>
      <c r="B66" s="268"/>
      <c r="C66" s="268"/>
      <c r="D66" s="268"/>
      <c r="E66" s="268"/>
      <c r="F66" s="268"/>
      <c r="G66" s="230" t="s">
        <v>5271</v>
      </c>
      <c r="H66" s="244" t="s">
        <v>2863</v>
      </c>
      <c r="I66" s="268"/>
      <c r="J66" s="268"/>
      <c r="K66" s="268"/>
      <c r="L66" s="334"/>
      <c r="M66" s="268"/>
      <c r="N66" s="268"/>
      <c r="O66" s="310"/>
      <c r="P66" s="268"/>
      <c r="Q66" s="334"/>
      <c r="R66" s="268"/>
      <c r="S66" s="263"/>
      <c r="T66" s="313"/>
      <c r="U66" s="313"/>
      <c r="V66" s="263"/>
      <c r="W66" s="263"/>
      <c r="X66" s="263"/>
      <c r="Y66" s="263"/>
      <c r="Z66" s="263"/>
    </row>
    <row r="67" spans="1:26" ht="24.75" customHeight="1">
      <c r="A67" s="437"/>
      <c r="B67" s="268"/>
      <c r="C67" s="268"/>
      <c r="D67" s="268"/>
      <c r="E67" s="268"/>
      <c r="F67" s="268"/>
      <c r="G67" s="230" t="s">
        <v>5272</v>
      </c>
      <c r="H67" s="244" t="s">
        <v>2863</v>
      </c>
      <c r="I67" s="268"/>
      <c r="J67" s="268"/>
      <c r="K67" s="268"/>
      <c r="L67" s="334"/>
      <c r="M67" s="268"/>
      <c r="N67" s="268"/>
      <c r="O67" s="310"/>
      <c r="P67" s="268"/>
      <c r="Q67" s="334"/>
      <c r="R67" s="268"/>
      <c r="S67" s="313"/>
      <c r="T67" s="313"/>
      <c r="U67" s="268"/>
      <c r="V67" s="309"/>
      <c r="W67" s="310"/>
      <c r="X67" s="268"/>
      <c r="Y67" s="268"/>
      <c r="Z67" s="268"/>
    </row>
    <row r="68" spans="1:26" ht="24.75" customHeight="1">
      <c r="A68" s="437"/>
      <c r="B68" s="268"/>
      <c r="C68" s="268"/>
      <c r="D68" s="268"/>
      <c r="E68" s="268"/>
      <c r="F68" s="268"/>
      <c r="G68" s="230" t="s">
        <v>5273</v>
      </c>
      <c r="H68" s="244" t="s">
        <v>2863</v>
      </c>
      <c r="I68" s="268"/>
      <c r="J68" s="268"/>
      <c r="K68" s="268"/>
      <c r="L68" s="334"/>
      <c r="M68" s="268"/>
      <c r="N68" s="268"/>
      <c r="O68" s="310"/>
      <c r="P68" s="268"/>
      <c r="Q68" s="334"/>
      <c r="R68" s="268"/>
      <c r="S68" s="263"/>
      <c r="T68" s="313"/>
      <c r="U68" s="313"/>
      <c r="V68" s="263"/>
      <c r="W68" s="263"/>
      <c r="X68" s="263"/>
      <c r="Y68" s="263"/>
      <c r="Z68" s="263"/>
    </row>
    <row r="69" spans="1:26" ht="24.75" customHeight="1">
      <c r="A69" s="437"/>
      <c r="B69" s="268"/>
      <c r="C69" s="268"/>
      <c r="D69" s="268"/>
      <c r="E69" s="268"/>
      <c r="F69" s="268"/>
      <c r="G69" s="230" t="s">
        <v>5274</v>
      </c>
      <c r="H69" s="244" t="s">
        <v>2863</v>
      </c>
      <c r="I69" s="268"/>
      <c r="J69" s="268"/>
      <c r="K69" s="268"/>
      <c r="L69" s="334"/>
      <c r="M69" s="268"/>
      <c r="N69" s="268"/>
      <c r="O69" s="310"/>
      <c r="P69" s="268"/>
      <c r="Q69" s="334"/>
      <c r="R69" s="268"/>
      <c r="S69" s="313"/>
      <c r="T69" s="313"/>
      <c r="U69" s="268"/>
      <c r="V69" s="309"/>
      <c r="W69" s="310"/>
      <c r="X69" s="268"/>
      <c r="Y69" s="268"/>
      <c r="Z69" s="268"/>
    </row>
    <row r="70" spans="1:26" ht="24.75" customHeight="1">
      <c r="A70" s="437"/>
      <c r="B70" s="268"/>
      <c r="C70" s="268"/>
      <c r="D70" s="268"/>
      <c r="E70" s="268"/>
      <c r="F70" s="268"/>
      <c r="G70" s="230" t="s">
        <v>5275</v>
      </c>
      <c r="H70" s="244" t="s">
        <v>2863</v>
      </c>
      <c r="I70" s="268"/>
      <c r="J70" s="268"/>
      <c r="K70" s="268"/>
      <c r="L70" s="334"/>
      <c r="M70" s="268"/>
      <c r="N70" s="268"/>
      <c r="O70" s="310"/>
      <c r="P70" s="268"/>
      <c r="Q70" s="334"/>
      <c r="R70" s="268"/>
      <c r="S70" s="313"/>
      <c r="T70" s="313"/>
      <c r="U70" s="268"/>
      <c r="V70" s="309"/>
      <c r="W70" s="310"/>
      <c r="X70" s="268"/>
      <c r="Y70" s="268"/>
      <c r="Z70" s="268"/>
    </row>
    <row r="71" spans="1:26" ht="24.75" customHeight="1">
      <c r="A71" s="437"/>
      <c r="B71" s="268"/>
      <c r="C71" s="268"/>
      <c r="D71" s="268"/>
      <c r="E71" s="268"/>
      <c r="F71" s="268"/>
      <c r="G71" s="230" t="s">
        <v>5276</v>
      </c>
      <c r="H71" s="244" t="s">
        <v>2863</v>
      </c>
      <c r="I71" s="268"/>
      <c r="J71" s="268"/>
      <c r="K71" s="268"/>
      <c r="L71" s="334"/>
      <c r="M71" s="268"/>
      <c r="N71" s="268"/>
      <c r="O71" s="310"/>
      <c r="P71" s="268"/>
      <c r="Q71" s="334"/>
      <c r="R71" s="268"/>
      <c r="S71" s="313"/>
      <c r="T71" s="313"/>
      <c r="U71" s="268"/>
      <c r="V71" s="309"/>
      <c r="W71" s="310"/>
      <c r="X71" s="268"/>
      <c r="Y71" s="268"/>
      <c r="Z71" s="268"/>
    </row>
    <row r="72" spans="1:26" ht="24.75" customHeight="1">
      <c r="A72" s="437"/>
      <c r="B72" s="268"/>
      <c r="C72" s="268"/>
      <c r="D72" s="268"/>
      <c r="E72" s="268"/>
      <c r="F72" s="268"/>
      <c r="G72" s="230" t="s">
        <v>5277</v>
      </c>
      <c r="H72" s="244" t="s">
        <v>2863</v>
      </c>
      <c r="I72" s="268"/>
      <c r="J72" s="268"/>
      <c r="K72" s="268"/>
      <c r="L72" s="334"/>
      <c r="M72" s="268"/>
      <c r="N72" s="268"/>
      <c r="O72" s="310"/>
      <c r="P72" s="268"/>
      <c r="Q72" s="334"/>
      <c r="R72" s="268"/>
      <c r="S72" s="263"/>
      <c r="T72" s="313"/>
      <c r="U72" s="313"/>
      <c r="V72" s="263"/>
      <c r="W72" s="263"/>
      <c r="X72" s="263"/>
      <c r="Y72" s="263"/>
      <c r="Z72" s="263"/>
    </row>
    <row r="73" spans="1:26" ht="24.75" customHeight="1">
      <c r="A73" s="437"/>
      <c r="B73" s="268"/>
      <c r="C73" s="268"/>
      <c r="D73" s="268"/>
      <c r="E73" s="268"/>
      <c r="F73" s="268"/>
      <c r="G73" s="230" t="s">
        <v>5278</v>
      </c>
      <c r="H73" s="244" t="s">
        <v>2863</v>
      </c>
      <c r="I73" s="268"/>
      <c r="J73" s="268"/>
      <c r="K73" s="268"/>
      <c r="L73" s="334"/>
      <c r="M73" s="268"/>
      <c r="N73" s="268"/>
      <c r="O73" s="310"/>
      <c r="P73" s="268"/>
      <c r="Q73" s="334"/>
      <c r="R73" s="268"/>
      <c r="S73" s="263"/>
      <c r="T73" s="313"/>
      <c r="U73" s="313"/>
      <c r="V73" s="263"/>
      <c r="W73" s="263"/>
      <c r="X73" s="263"/>
      <c r="Y73" s="263"/>
      <c r="Z73" s="263"/>
    </row>
    <row r="74" spans="1:26" ht="24.75" customHeight="1">
      <c r="A74" s="437" t="s">
        <v>5279</v>
      </c>
      <c r="B74" s="268"/>
      <c r="C74" s="268"/>
      <c r="D74" s="268"/>
      <c r="E74" s="268"/>
      <c r="F74" s="268"/>
      <c r="G74" s="230" t="s">
        <v>5280</v>
      </c>
      <c r="H74" s="244" t="s">
        <v>2863</v>
      </c>
      <c r="I74" s="268"/>
      <c r="J74" s="268"/>
      <c r="K74" s="268"/>
      <c r="L74" s="334"/>
      <c r="M74" s="268"/>
      <c r="N74" s="268"/>
      <c r="O74" s="310"/>
      <c r="P74" s="268"/>
      <c r="Q74" s="334"/>
      <c r="R74" s="268"/>
      <c r="S74" s="313"/>
      <c r="T74" s="313"/>
      <c r="U74" s="268"/>
      <c r="V74" s="309"/>
      <c r="W74" s="310"/>
      <c r="X74" s="268"/>
      <c r="Y74" s="268"/>
      <c r="Z74" s="268"/>
    </row>
    <row r="75" spans="1:26" ht="24.75" customHeight="1">
      <c r="A75" s="437"/>
      <c r="B75" s="268"/>
      <c r="C75" s="268"/>
      <c r="D75" s="268"/>
      <c r="E75" s="268"/>
      <c r="F75" s="268"/>
      <c r="G75" s="230" t="s">
        <v>5281</v>
      </c>
      <c r="H75" s="244" t="s">
        <v>2863</v>
      </c>
      <c r="I75" s="268"/>
      <c r="J75" s="268"/>
      <c r="K75" s="268"/>
      <c r="L75" s="334"/>
      <c r="M75" s="268"/>
      <c r="N75" s="268"/>
      <c r="O75" s="310"/>
      <c r="P75" s="268"/>
      <c r="Q75" s="334"/>
      <c r="R75" s="268"/>
      <c r="S75" s="313"/>
      <c r="T75" s="313"/>
      <c r="U75" s="268"/>
      <c r="V75" s="309"/>
      <c r="W75" s="310"/>
      <c r="X75" s="268"/>
      <c r="Y75" s="268"/>
      <c r="Z75" s="268"/>
    </row>
    <row r="76" spans="1:26" ht="24.75" customHeight="1">
      <c r="A76" s="437"/>
      <c r="B76" s="268"/>
      <c r="C76" s="268"/>
      <c r="D76" s="268"/>
      <c r="E76" s="268"/>
      <c r="F76" s="268"/>
      <c r="G76" s="230" t="s">
        <v>5282</v>
      </c>
      <c r="H76" s="244" t="s">
        <v>2863</v>
      </c>
      <c r="I76" s="268"/>
      <c r="J76" s="268"/>
      <c r="K76" s="268"/>
      <c r="L76" s="334"/>
      <c r="M76" s="268"/>
      <c r="N76" s="268"/>
      <c r="O76" s="310"/>
      <c r="P76" s="268"/>
      <c r="Q76" s="334"/>
      <c r="R76" s="268"/>
      <c r="S76" s="263"/>
      <c r="T76" s="313"/>
      <c r="U76" s="313"/>
      <c r="V76" s="263"/>
      <c r="W76" s="263"/>
      <c r="X76" s="263"/>
      <c r="Y76" s="263"/>
      <c r="Z76" s="263"/>
    </row>
    <row r="77" spans="1:26" ht="24.75" customHeight="1">
      <c r="A77" s="437"/>
      <c r="B77" s="268"/>
      <c r="C77" s="268"/>
      <c r="D77" s="268"/>
      <c r="E77" s="268"/>
      <c r="F77" s="268"/>
      <c r="G77" s="230" t="s">
        <v>5283</v>
      </c>
      <c r="H77" s="244" t="s">
        <v>2863</v>
      </c>
      <c r="I77" s="268"/>
      <c r="J77" s="268"/>
      <c r="K77" s="268"/>
      <c r="L77" s="334"/>
      <c r="M77" s="268"/>
      <c r="N77" s="268"/>
      <c r="O77" s="310"/>
      <c r="P77" s="268"/>
      <c r="Q77" s="334"/>
      <c r="R77" s="268"/>
      <c r="S77" s="313"/>
      <c r="T77" s="313"/>
      <c r="U77" s="268"/>
      <c r="V77" s="309"/>
      <c r="W77" s="310"/>
      <c r="X77" s="268"/>
      <c r="Y77" s="268"/>
      <c r="Z77" s="268"/>
    </row>
    <row r="78" spans="1:26" ht="24.75" customHeight="1">
      <c r="A78" s="437"/>
      <c r="B78" s="268"/>
      <c r="C78" s="268"/>
      <c r="D78" s="268"/>
      <c r="E78" s="268"/>
      <c r="F78" s="268"/>
      <c r="G78" s="230" t="s">
        <v>5284</v>
      </c>
      <c r="H78" s="244" t="s">
        <v>2863</v>
      </c>
      <c r="I78" s="268"/>
      <c r="J78" s="268"/>
      <c r="K78" s="268"/>
      <c r="L78" s="334"/>
      <c r="M78" s="268"/>
      <c r="N78" s="268"/>
      <c r="O78" s="310"/>
      <c r="P78" s="268"/>
      <c r="Q78" s="334"/>
      <c r="R78" s="268"/>
      <c r="S78" s="313"/>
      <c r="T78" s="313"/>
      <c r="U78" s="268"/>
      <c r="V78" s="309"/>
      <c r="W78" s="310"/>
      <c r="X78" s="268"/>
      <c r="Y78" s="268"/>
      <c r="Z78" s="268"/>
    </row>
    <row r="79" spans="1:26" ht="24.75" customHeight="1">
      <c r="A79" s="309" t="s">
        <v>5257</v>
      </c>
      <c r="B79" s="268"/>
      <c r="C79" s="268"/>
      <c r="D79" s="268"/>
      <c r="E79" s="268"/>
      <c r="F79" s="268"/>
      <c r="G79" s="346" t="s">
        <v>5285</v>
      </c>
      <c r="H79" s="244" t="s">
        <v>2863</v>
      </c>
      <c r="I79" s="268"/>
      <c r="J79" s="268"/>
      <c r="K79" s="268"/>
      <c r="L79" s="334"/>
      <c r="M79" s="268"/>
      <c r="N79" s="268"/>
      <c r="O79" s="310"/>
      <c r="P79" s="268"/>
      <c r="Q79" s="334"/>
      <c r="R79" s="268"/>
      <c r="S79" s="313"/>
      <c r="T79" s="313"/>
      <c r="U79" s="248"/>
      <c r="V79" s="253"/>
      <c r="W79" s="254"/>
      <c r="X79" s="248"/>
      <c r="Y79" s="248"/>
      <c r="Z79" s="248"/>
    </row>
    <row r="80" spans="1:26" ht="24.75" customHeight="1">
      <c r="A80" s="437" t="s">
        <v>5257</v>
      </c>
      <c r="B80" s="268"/>
      <c r="C80" s="268"/>
      <c r="D80" s="268"/>
      <c r="E80" s="268"/>
      <c r="F80" s="268"/>
      <c r="G80" s="346" t="s">
        <v>5286</v>
      </c>
      <c r="H80" s="244" t="s">
        <v>2863</v>
      </c>
      <c r="I80" s="268"/>
      <c r="J80" s="268"/>
      <c r="K80" s="268"/>
      <c r="L80" s="334"/>
      <c r="M80" s="268"/>
      <c r="N80" s="268"/>
      <c r="O80" s="310"/>
      <c r="P80" s="268"/>
      <c r="Q80" s="334"/>
      <c r="R80" s="268"/>
      <c r="S80" s="313"/>
      <c r="T80" s="313"/>
      <c r="U80" s="268"/>
      <c r="V80" s="309"/>
      <c r="W80" s="310"/>
      <c r="X80" s="268"/>
      <c r="Y80" s="268"/>
      <c r="Z80" s="268"/>
    </row>
    <row r="81" spans="1:26" ht="24.75" customHeight="1">
      <c r="A81" s="437"/>
      <c r="B81" s="268"/>
      <c r="C81" s="268"/>
      <c r="D81" s="268"/>
      <c r="E81" s="268"/>
      <c r="F81" s="268"/>
      <c r="G81" s="346" t="s">
        <v>5287</v>
      </c>
      <c r="H81" s="244" t="s">
        <v>2863</v>
      </c>
      <c r="I81" s="268"/>
      <c r="J81" s="268"/>
      <c r="K81" s="268"/>
      <c r="L81" s="334"/>
      <c r="M81" s="268"/>
      <c r="N81" s="268"/>
      <c r="O81" s="310"/>
      <c r="P81" s="268"/>
      <c r="Q81" s="334"/>
      <c r="R81" s="268"/>
      <c r="S81" s="313"/>
      <c r="T81" s="313"/>
      <c r="U81" s="268"/>
      <c r="V81" s="309"/>
      <c r="W81" s="310"/>
      <c r="X81" s="268"/>
      <c r="Y81" s="268"/>
      <c r="Z81" s="268"/>
    </row>
    <row r="82" spans="1:26" ht="24.75" customHeight="1">
      <c r="A82" s="437"/>
      <c r="B82" s="268"/>
      <c r="C82" s="268"/>
      <c r="D82" s="268"/>
      <c r="E82" s="268"/>
      <c r="F82" s="268"/>
      <c r="G82" s="346" t="s">
        <v>5288</v>
      </c>
      <c r="H82" s="244" t="s">
        <v>2863</v>
      </c>
      <c r="I82" s="268"/>
      <c r="J82" s="268"/>
      <c r="K82" s="268"/>
      <c r="L82" s="334" t="s">
        <v>5289</v>
      </c>
      <c r="M82" s="268"/>
      <c r="N82" s="268"/>
      <c r="O82" s="310"/>
      <c r="P82" s="268"/>
      <c r="Q82" s="334"/>
      <c r="R82" s="268"/>
      <c r="S82" s="313"/>
      <c r="T82" s="313"/>
      <c r="U82" s="268"/>
      <c r="V82" s="309"/>
      <c r="W82" s="310"/>
      <c r="X82" s="268"/>
      <c r="Y82" s="268"/>
      <c r="Z82" s="268"/>
    </row>
    <row r="83" spans="1:26" ht="24.75" customHeight="1">
      <c r="A83" s="347" t="s">
        <v>5257</v>
      </c>
      <c r="B83" s="268"/>
      <c r="C83" s="268"/>
      <c r="D83" s="268"/>
      <c r="E83" s="268"/>
      <c r="F83" s="268"/>
      <c r="G83" s="346" t="s">
        <v>5290</v>
      </c>
      <c r="H83" s="244" t="s">
        <v>2863</v>
      </c>
      <c r="I83" s="268"/>
      <c r="J83" s="268"/>
      <c r="K83" s="268"/>
      <c r="L83" s="334"/>
      <c r="M83" s="268"/>
      <c r="N83" s="268"/>
      <c r="O83" s="310"/>
      <c r="P83" s="268"/>
      <c r="Q83" s="334"/>
      <c r="R83" s="268"/>
      <c r="S83" s="313"/>
      <c r="T83" s="313"/>
      <c r="U83" s="268"/>
      <c r="V83" s="309"/>
      <c r="W83" s="310"/>
      <c r="X83" s="268"/>
      <c r="Y83" s="268"/>
      <c r="Z83" s="268"/>
    </row>
    <row r="84" spans="1:26" ht="24.75" customHeight="1">
      <c r="A84" s="437" t="s">
        <v>5257</v>
      </c>
      <c r="B84" s="268"/>
      <c r="C84" s="268"/>
      <c r="D84" s="268"/>
      <c r="E84" s="268"/>
      <c r="F84" s="268"/>
      <c r="G84" s="346" t="s">
        <v>5275</v>
      </c>
      <c r="H84" s="244" t="s">
        <v>2863</v>
      </c>
      <c r="I84" s="268"/>
      <c r="J84" s="268"/>
      <c r="K84" s="268"/>
      <c r="L84" s="334"/>
      <c r="M84" s="268"/>
      <c r="N84" s="268"/>
      <c r="O84" s="310"/>
      <c r="P84" s="268"/>
      <c r="Q84" s="334"/>
      <c r="R84" s="268"/>
      <c r="S84" s="313"/>
      <c r="T84" s="313"/>
      <c r="U84" s="268"/>
      <c r="V84" s="309"/>
      <c r="W84" s="310"/>
      <c r="X84" s="268"/>
      <c r="Y84" s="268"/>
      <c r="Z84" s="268"/>
    </row>
    <row r="85" spans="1:26" ht="24.75" customHeight="1">
      <c r="A85" s="437"/>
      <c r="B85" s="268"/>
      <c r="C85" s="268"/>
      <c r="D85" s="268"/>
      <c r="E85" s="268"/>
      <c r="F85" s="268"/>
      <c r="G85" s="346" t="s">
        <v>5292</v>
      </c>
      <c r="H85" s="244" t="s">
        <v>2863</v>
      </c>
      <c r="I85" s="268"/>
      <c r="J85" s="268"/>
      <c r="K85" s="268"/>
      <c r="L85" s="334"/>
      <c r="M85" s="268"/>
      <c r="N85" s="268"/>
      <c r="O85" s="310"/>
      <c r="P85" s="268"/>
      <c r="Q85" s="334"/>
      <c r="R85" s="268"/>
      <c r="S85" s="313"/>
      <c r="T85" s="313"/>
      <c r="U85" s="248"/>
      <c r="V85" s="253"/>
      <c r="W85" s="254"/>
      <c r="X85" s="248"/>
      <c r="Y85" s="248"/>
      <c r="Z85" s="248"/>
    </row>
    <row r="86" spans="1:26" ht="24.75" customHeight="1">
      <c r="A86" s="221" t="s">
        <v>5257</v>
      </c>
      <c r="B86" s="268"/>
      <c r="C86" s="268"/>
      <c r="D86" s="268"/>
      <c r="E86" s="268"/>
      <c r="F86" s="268"/>
      <c r="G86" s="346" t="s">
        <v>5293</v>
      </c>
      <c r="H86" s="244" t="s">
        <v>2863</v>
      </c>
      <c r="I86" s="268"/>
      <c r="J86" s="268"/>
      <c r="K86" s="268"/>
      <c r="L86" s="334"/>
      <c r="M86" s="268"/>
      <c r="N86" s="268"/>
      <c r="O86" s="310"/>
      <c r="P86" s="268"/>
      <c r="Q86" s="334"/>
      <c r="R86" s="268"/>
      <c r="S86" s="313"/>
      <c r="T86" s="313"/>
      <c r="U86" s="268"/>
      <c r="V86" s="309"/>
      <c r="W86" s="310"/>
      <c r="X86" s="268"/>
      <c r="Y86" s="268"/>
      <c r="Z86" s="268"/>
    </row>
    <row r="87" spans="1:26" ht="24.75" customHeight="1">
      <c r="A87" s="221" t="s">
        <v>5257</v>
      </c>
      <c r="B87" s="268"/>
      <c r="C87" s="268"/>
      <c r="D87" s="268"/>
      <c r="E87" s="268"/>
      <c r="F87" s="268"/>
      <c r="G87" s="346" t="s">
        <v>5294</v>
      </c>
      <c r="H87" s="244" t="s">
        <v>2863</v>
      </c>
      <c r="I87" s="268"/>
      <c r="J87" s="268"/>
      <c r="K87" s="268"/>
      <c r="L87" s="334"/>
      <c r="M87" s="268"/>
      <c r="N87" s="268"/>
      <c r="O87" s="310"/>
      <c r="P87" s="268"/>
      <c r="Q87" s="334"/>
      <c r="R87" s="268"/>
      <c r="S87" s="313"/>
      <c r="T87" s="313"/>
      <c r="U87" s="230"/>
      <c r="V87" s="256"/>
      <c r="W87" s="257"/>
      <c r="X87" s="230"/>
      <c r="Y87" s="230"/>
      <c r="Z87" s="230"/>
    </row>
    <row r="88" spans="1:26" ht="24.75" customHeight="1">
      <c r="A88" s="437" t="s">
        <v>5257</v>
      </c>
      <c r="B88" s="268"/>
      <c r="C88" s="268"/>
      <c r="D88" s="268"/>
      <c r="E88" s="268"/>
      <c r="F88" s="268"/>
      <c r="G88" s="346" t="s">
        <v>5295</v>
      </c>
      <c r="H88" s="244" t="s">
        <v>2863</v>
      </c>
      <c r="I88" s="268"/>
      <c r="J88" s="268"/>
      <c r="K88" s="268"/>
      <c r="L88" s="334"/>
      <c r="M88" s="268"/>
      <c r="N88" s="268"/>
      <c r="O88" s="310"/>
      <c r="P88" s="268"/>
      <c r="Q88" s="334"/>
      <c r="R88" s="268"/>
      <c r="S88" s="313"/>
      <c r="T88" s="313"/>
      <c r="U88" s="268"/>
      <c r="V88" s="309"/>
      <c r="W88" s="310"/>
      <c r="X88" s="268"/>
      <c r="Y88" s="268"/>
      <c r="Z88" s="268"/>
    </row>
    <row r="89" spans="1:26" ht="24.75" customHeight="1">
      <c r="A89" s="437"/>
      <c r="B89" s="268"/>
      <c r="C89" s="268"/>
      <c r="D89" s="268"/>
      <c r="E89" s="268"/>
      <c r="F89" s="268"/>
      <c r="G89" s="346" t="s">
        <v>5296</v>
      </c>
      <c r="H89" s="244" t="s">
        <v>2863</v>
      </c>
      <c r="I89" s="268"/>
      <c r="J89" s="268"/>
      <c r="K89" s="268"/>
      <c r="L89" s="334"/>
      <c r="M89" s="268"/>
      <c r="N89" s="268"/>
      <c r="O89" s="310"/>
      <c r="P89" s="268"/>
      <c r="Q89" s="334"/>
      <c r="R89" s="268"/>
      <c r="S89" s="313"/>
      <c r="T89" s="313"/>
      <c r="U89" s="268"/>
      <c r="V89" s="309"/>
      <c r="W89" s="310"/>
      <c r="X89" s="268"/>
      <c r="Y89" s="268"/>
      <c r="Z89" s="268"/>
    </row>
    <row r="90" spans="1:26" ht="24.75" customHeight="1">
      <c r="A90" s="268"/>
      <c r="B90" s="268"/>
      <c r="C90" s="268"/>
      <c r="D90" s="268"/>
      <c r="E90" s="268"/>
      <c r="F90" s="268"/>
      <c r="G90" s="268"/>
      <c r="H90" s="268"/>
      <c r="I90" s="268"/>
      <c r="J90" s="268"/>
      <c r="K90" s="268"/>
      <c r="L90" s="334"/>
      <c r="M90" s="268"/>
      <c r="N90" s="268"/>
      <c r="O90" s="310"/>
      <c r="P90" s="268"/>
      <c r="Q90" s="334"/>
      <c r="R90" s="268"/>
      <c r="S90" s="313"/>
      <c r="T90" s="313"/>
      <c r="U90" s="268"/>
      <c r="V90" s="309"/>
      <c r="W90" s="310"/>
      <c r="X90" s="268"/>
      <c r="Y90" s="268"/>
      <c r="Z90" s="268"/>
    </row>
    <row r="91" spans="1:26" ht="24.75" customHeight="1">
      <c r="A91" s="268"/>
      <c r="B91" s="268"/>
      <c r="C91" s="268"/>
      <c r="D91" s="268"/>
      <c r="E91" s="268"/>
      <c r="F91" s="268"/>
      <c r="G91" s="268"/>
      <c r="H91" s="268"/>
      <c r="I91" s="268"/>
      <c r="J91" s="268"/>
      <c r="K91" s="268"/>
      <c r="L91" s="334"/>
      <c r="M91" s="268"/>
      <c r="N91" s="268"/>
      <c r="O91" s="310"/>
      <c r="P91" s="268"/>
      <c r="Q91" s="334"/>
      <c r="R91" s="268"/>
      <c r="S91" s="263"/>
      <c r="T91" s="313"/>
      <c r="U91" s="313"/>
      <c r="V91" s="263"/>
      <c r="W91" s="263"/>
      <c r="X91" s="263"/>
      <c r="Y91" s="263"/>
      <c r="Z91" s="263"/>
    </row>
    <row r="92" spans="1:26" ht="24.75" customHeight="1">
      <c r="A92" s="268"/>
      <c r="B92" s="268"/>
      <c r="C92" s="268"/>
      <c r="D92" s="268"/>
      <c r="E92" s="268"/>
      <c r="F92" s="268"/>
      <c r="G92" s="268"/>
      <c r="H92" s="268"/>
      <c r="I92" s="268"/>
      <c r="J92" s="268"/>
      <c r="K92" s="268"/>
      <c r="L92" s="334"/>
      <c r="M92" s="268"/>
      <c r="N92" s="268"/>
      <c r="O92" s="310"/>
      <c r="P92" s="268"/>
      <c r="Q92" s="334"/>
      <c r="R92" s="268"/>
      <c r="S92" s="263"/>
      <c r="T92" s="263"/>
      <c r="U92" s="263"/>
      <c r="V92" s="263"/>
      <c r="W92" s="263"/>
      <c r="X92" s="263"/>
      <c r="Y92" s="263"/>
      <c r="Z92" s="263"/>
    </row>
    <row r="93" spans="1:26" ht="24.75" customHeight="1">
      <c r="A93" s="268"/>
      <c r="B93" s="268"/>
      <c r="C93" s="268"/>
      <c r="D93" s="268"/>
      <c r="E93" s="268"/>
      <c r="F93" s="268"/>
      <c r="G93" s="268"/>
      <c r="H93" s="268"/>
      <c r="I93" s="268"/>
      <c r="J93" s="268"/>
      <c r="K93" s="268"/>
      <c r="L93" s="334"/>
      <c r="M93" s="268"/>
      <c r="N93" s="268"/>
      <c r="O93" s="310"/>
      <c r="P93" s="268"/>
      <c r="Q93" s="334"/>
      <c r="R93" s="268"/>
      <c r="S93" s="313"/>
      <c r="T93" s="313"/>
      <c r="U93" s="268"/>
      <c r="V93" s="309"/>
      <c r="W93" s="310"/>
      <c r="X93" s="268"/>
      <c r="Y93" s="268"/>
      <c r="Z93" s="268"/>
    </row>
    <row r="94" spans="1:26" ht="24.75" customHeight="1">
      <c r="A94" s="268"/>
      <c r="B94" s="268"/>
      <c r="C94" s="268"/>
      <c r="D94" s="268"/>
      <c r="E94" s="268"/>
      <c r="F94" s="268"/>
      <c r="G94" s="268"/>
      <c r="H94" s="268"/>
      <c r="I94" s="268"/>
      <c r="J94" s="268"/>
      <c r="K94" s="268"/>
      <c r="L94" s="334"/>
      <c r="M94" s="268"/>
      <c r="N94" s="268"/>
      <c r="O94" s="310"/>
      <c r="P94" s="268"/>
      <c r="Q94" s="334"/>
      <c r="R94" s="268"/>
      <c r="S94" s="313"/>
      <c r="T94" s="313"/>
      <c r="U94" s="268"/>
      <c r="V94" s="309"/>
      <c r="W94" s="310"/>
      <c r="X94" s="268"/>
      <c r="Y94" s="268"/>
      <c r="Z94" s="268"/>
    </row>
    <row r="95" spans="1:26" ht="24.75" customHeight="1">
      <c r="A95" s="268"/>
      <c r="B95" s="268"/>
      <c r="C95" s="268"/>
      <c r="D95" s="268"/>
      <c r="E95" s="268"/>
      <c r="F95" s="268"/>
      <c r="G95" s="268"/>
      <c r="H95" s="268"/>
      <c r="I95" s="268"/>
      <c r="J95" s="268"/>
      <c r="K95" s="268"/>
      <c r="L95" s="334"/>
      <c r="M95" s="268"/>
      <c r="N95" s="268"/>
      <c r="O95" s="310"/>
      <c r="P95" s="268"/>
      <c r="Q95" s="334"/>
      <c r="R95" s="268"/>
      <c r="S95" s="313"/>
      <c r="T95" s="313"/>
      <c r="U95" s="268"/>
      <c r="V95" s="309"/>
      <c r="W95" s="310"/>
      <c r="X95" s="268"/>
      <c r="Y95" s="268"/>
      <c r="Z95" s="268"/>
    </row>
    <row r="96" spans="1:26" ht="24.75" customHeight="1">
      <c r="A96" s="268"/>
      <c r="B96" s="268"/>
      <c r="C96" s="268"/>
      <c r="D96" s="268"/>
      <c r="E96" s="268"/>
      <c r="F96" s="268"/>
      <c r="G96" s="268"/>
      <c r="H96" s="268"/>
      <c r="I96" s="268"/>
      <c r="J96" s="268"/>
      <c r="K96" s="268"/>
      <c r="L96" s="334"/>
      <c r="M96" s="268"/>
      <c r="N96" s="268"/>
      <c r="O96" s="310"/>
      <c r="P96" s="268"/>
      <c r="Q96" s="334"/>
      <c r="R96" s="268"/>
      <c r="S96" s="313"/>
      <c r="T96" s="313"/>
      <c r="U96" s="268"/>
      <c r="V96" s="309"/>
      <c r="W96" s="310"/>
      <c r="X96" s="268"/>
      <c r="Y96" s="268"/>
      <c r="Z96" s="268"/>
    </row>
    <row r="97" spans="1:26" ht="24.75" customHeight="1">
      <c r="A97" s="268"/>
      <c r="B97" s="268"/>
      <c r="C97" s="268"/>
      <c r="D97" s="268"/>
      <c r="E97" s="268"/>
      <c r="F97" s="268"/>
      <c r="G97" s="268"/>
      <c r="H97" s="268"/>
      <c r="I97" s="268"/>
      <c r="J97" s="268"/>
      <c r="K97" s="268"/>
      <c r="L97" s="334"/>
      <c r="M97" s="268"/>
      <c r="N97" s="268"/>
      <c r="O97" s="310"/>
      <c r="P97" s="268"/>
      <c r="Q97" s="334"/>
      <c r="R97" s="268"/>
      <c r="S97" s="313"/>
      <c r="T97" s="313"/>
      <c r="U97" s="268"/>
      <c r="V97" s="309"/>
      <c r="W97" s="310"/>
      <c r="X97" s="268"/>
      <c r="Y97" s="268"/>
      <c r="Z97" s="268"/>
    </row>
    <row r="98" spans="1:26" ht="24.75" customHeight="1">
      <c r="A98" s="268"/>
      <c r="B98" s="268"/>
      <c r="C98" s="268"/>
      <c r="D98" s="268"/>
      <c r="E98" s="268"/>
      <c r="F98" s="268"/>
      <c r="G98" s="268"/>
      <c r="H98" s="268"/>
      <c r="I98" s="268"/>
      <c r="J98" s="268"/>
      <c r="K98" s="268"/>
      <c r="L98" s="334"/>
      <c r="M98" s="268"/>
      <c r="N98" s="268"/>
      <c r="O98" s="310"/>
      <c r="P98" s="268"/>
      <c r="Q98" s="334"/>
      <c r="R98" s="268"/>
      <c r="S98" s="313"/>
      <c r="T98" s="313"/>
      <c r="U98" s="268"/>
      <c r="V98" s="309"/>
      <c r="W98" s="310"/>
      <c r="X98" s="268"/>
      <c r="Y98" s="268"/>
      <c r="Z98" s="268"/>
    </row>
    <row r="99" spans="1:26" ht="24.75" customHeight="1">
      <c r="A99" s="268"/>
      <c r="B99" s="268"/>
      <c r="C99" s="268"/>
      <c r="D99" s="268"/>
      <c r="E99" s="268"/>
      <c r="F99" s="268"/>
      <c r="G99" s="268"/>
      <c r="H99" s="268"/>
      <c r="I99" s="268"/>
      <c r="J99" s="268"/>
      <c r="K99" s="268"/>
      <c r="L99" s="334"/>
      <c r="M99" s="268"/>
      <c r="N99" s="268"/>
      <c r="O99" s="310"/>
      <c r="P99" s="268"/>
      <c r="Q99" s="334"/>
      <c r="R99" s="268"/>
      <c r="S99" s="313"/>
      <c r="T99" s="313"/>
      <c r="U99" s="268"/>
      <c r="V99" s="309"/>
      <c r="W99" s="310"/>
      <c r="X99" s="268"/>
      <c r="Y99" s="268"/>
      <c r="Z99" s="268"/>
    </row>
    <row r="100" spans="1:26" ht="24.75" customHeight="1">
      <c r="A100" s="268"/>
      <c r="B100" s="268"/>
      <c r="C100" s="268"/>
      <c r="D100" s="268"/>
      <c r="E100" s="268"/>
      <c r="F100" s="268"/>
      <c r="G100" s="268"/>
      <c r="H100" s="268"/>
      <c r="I100" s="268"/>
      <c r="J100" s="268"/>
      <c r="K100" s="268"/>
      <c r="L100" s="334"/>
      <c r="M100" s="268"/>
      <c r="N100" s="268"/>
      <c r="O100" s="310"/>
      <c r="P100" s="268"/>
      <c r="Q100" s="334"/>
      <c r="R100" s="268"/>
      <c r="S100" s="313"/>
      <c r="T100" s="313"/>
      <c r="U100" s="268"/>
      <c r="V100" s="309"/>
      <c r="W100" s="310"/>
      <c r="X100" s="268"/>
      <c r="Y100" s="268"/>
      <c r="Z100" s="268"/>
    </row>
    <row r="101" spans="1:26" ht="24.75" customHeight="1">
      <c r="A101" s="268"/>
      <c r="B101" s="268"/>
      <c r="C101" s="268"/>
      <c r="D101" s="268"/>
      <c r="E101" s="268"/>
      <c r="F101" s="268"/>
      <c r="G101" s="268"/>
      <c r="H101" s="268"/>
      <c r="I101" s="268"/>
      <c r="J101" s="268"/>
      <c r="K101" s="268"/>
      <c r="L101" s="334"/>
      <c r="M101" s="268"/>
      <c r="N101" s="268"/>
      <c r="O101" s="310"/>
      <c r="P101" s="268"/>
      <c r="Q101" s="334"/>
      <c r="R101" s="268"/>
      <c r="S101" s="313"/>
      <c r="T101" s="313"/>
      <c r="U101" s="268"/>
      <c r="V101" s="309"/>
      <c r="W101" s="310"/>
      <c r="X101" s="268"/>
      <c r="Y101" s="268"/>
      <c r="Z101" s="268"/>
    </row>
    <row r="102" spans="1:26" ht="24.75" customHeight="1">
      <c r="A102" s="268"/>
      <c r="B102" s="268"/>
      <c r="C102" s="268"/>
      <c r="D102" s="268"/>
      <c r="E102" s="268"/>
      <c r="F102" s="268"/>
      <c r="G102" s="268"/>
      <c r="H102" s="268"/>
      <c r="I102" s="268"/>
      <c r="J102" s="268"/>
      <c r="K102" s="268"/>
      <c r="L102" s="334"/>
      <c r="M102" s="268"/>
      <c r="N102" s="268"/>
      <c r="O102" s="310"/>
      <c r="P102" s="268"/>
      <c r="Q102" s="334"/>
      <c r="R102" s="268"/>
      <c r="S102" s="313"/>
      <c r="T102" s="313"/>
      <c r="U102" s="268"/>
      <c r="V102" s="309"/>
      <c r="W102" s="310"/>
      <c r="X102" s="268"/>
      <c r="Y102" s="268"/>
      <c r="Z102" s="268"/>
    </row>
    <row r="103" spans="1:26" ht="24.75" customHeight="1">
      <c r="A103" s="268"/>
      <c r="B103" s="268"/>
      <c r="C103" s="268"/>
      <c r="D103" s="268"/>
      <c r="E103" s="268"/>
      <c r="F103" s="268"/>
      <c r="G103" s="268"/>
      <c r="H103" s="268"/>
      <c r="I103" s="268"/>
      <c r="J103" s="268"/>
      <c r="K103" s="268"/>
      <c r="L103" s="334"/>
      <c r="M103" s="268"/>
      <c r="N103" s="268"/>
      <c r="O103" s="310"/>
      <c r="P103" s="268"/>
      <c r="Q103" s="334"/>
      <c r="R103" s="268"/>
      <c r="S103" s="313"/>
      <c r="T103" s="313"/>
      <c r="U103" s="268"/>
      <c r="V103" s="309"/>
      <c r="W103" s="310"/>
      <c r="X103" s="268"/>
      <c r="Y103" s="268"/>
      <c r="Z103" s="268"/>
    </row>
    <row r="104" spans="1:26" ht="24.75" customHeight="1">
      <c r="A104" s="268"/>
      <c r="B104" s="268"/>
      <c r="C104" s="268"/>
      <c r="D104" s="268"/>
      <c r="E104" s="268"/>
      <c r="F104" s="268"/>
      <c r="G104" s="268"/>
      <c r="H104" s="268"/>
      <c r="I104" s="268"/>
      <c r="J104" s="268"/>
      <c r="K104" s="268"/>
      <c r="L104" s="334"/>
      <c r="M104" s="268"/>
      <c r="N104" s="268"/>
      <c r="O104" s="310"/>
      <c r="P104" s="268"/>
      <c r="Q104" s="334"/>
      <c r="R104" s="268"/>
      <c r="S104" s="313"/>
      <c r="T104" s="313"/>
      <c r="U104" s="268"/>
      <c r="V104" s="309"/>
      <c r="W104" s="310"/>
      <c r="X104" s="268"/>
      <c r="Y104" s="268"/>
      <c r="Z104" s="268"/>
    </row>
    <row r="105" spans="1:26" ht="24.75" customHeight="1">
      <c r="A105" s="268"/>
      <c r="B105" s="268"/>
      <c r="C105" s="268"/>
      <c r="D105" s="268"/>
      <c r="E105" s="268"/>
      <c r="F105" s="268"/>
      <c r="G105" s="268"/>
      <c r="H105" s="268"/>
      <c r="I105" s="268"/>
      <c r="J105" s="268"/>
      <c r="K105" s="268"/>
      <c r="L105" s="334"/>
      <c r="M105" s="268"/>
      <c r="N105" s="268"/>
      <c r="O105" s="310"/>
      <c r="P105" s="268"/>
      <c r="Q105" s="334"/>
      <c r="R105" s="268"/>
      <c r="S105" s="313"/>
      <c r="T105" s="313"/>
      <c r="U105" s="268"/>
      <c r="V105" s="309"/>
      <c r="W105" s="310"/>
      <c r="X105" s="268"/>
      <c r="Y105" s="268"/>
      <c r="Z105" s="268"/>
    </row>
    <row r="106" spans="1:26" ht="24.75" customHeight="1">
      <c r="A106" s="268"/>
      <c r="B106" s="268"/>
      <c r="C106" s="268"/>
      <c r="D106" s="268"/>
      <c r="E106" s="268"/>
      <c r="F106" s="268"/>
      <c r="G106" s="268"/>
      <c r="H106" s="268"/>
      <c r="I106" s="268"/>
      <c r="J106" s="268"/>
      <c r="K106" s="268"/>
      <c r="L106" s="334"/>
      <c r="M106" s="268"/>
      <c r="N106" s="268"/>
      <c r="O106" s="310"/>
      <c r="P106" s="268"/>
      <c r="Q106" s="334"/>
      <c r="R106" s="268"/>
      <c r="S106" s="313"/>
      <c r="T106" s="313"/>
      <c r="U106" s="268"/>
      <c r="V106" s="309"/>
      <c r="W106" s="310"/>
      <c r="X106" s="268"/>
      <c r="Y106" s="268"/>
      <c r="Z106" s="268"/>
    </row>
    <row r="107" spans="1:26" ht="24.75" customHeight="1">
      <c r="A107" s="268"/>
      <c r="B107" s="268"/>
      <c r="C107" s="268"/>
      <c r="D107" s="268"/>
      <c r="E107" s="268"/>
      <c r="F107" s="268"/>
      <c r="G107" s="268"/>
      <c r="H107" s="268"/>
      <c r="I107" s="268"/>
      <c r="J107" s="268"/>
      <c r="K107" s="268"/>
      <c r="L107" s="334"/>
      <c r="M107" s="268"/>
      <c r="N107" s="268"/>
      <c r="O107" s="310"/>
      <c r="P107" s="268"/>
      <c r="Q107" s="334"/>
      <c r="R107" s="268"/>
      <c r="S107" s="313"/>
      <c r="T107" s="313"/>
      <c r="U107" s="268"/>
      <c r="V107" s="309"/>
      <c r="W107" s="310"/>
      <c r="X107" s="268"/>
      <c r="Y107" s="268"/>
      <c r="Z107" s="268"/>
    </row>
    <row r="108" spans="1:26" ht="24.75" customHeight="1">
      <c r="A108" s="268"/>
      <c r="B108" s="268"/>
      <c r="C108" s="268"/>
      <c r="D108" s="268"/>
      <c r="E108" s="268"/>
      <c r="F108" s="268"/>
      <c r="G108" s="268"/>
      <c r="H108" s="268"/>
      <c r="I108" s="268"/>
      <c r="J108" s="268"/>
      <c r="K108" s="268"/>
      <c r="L108" s="334"/>
      <c r="M108" s="268"/>
      <c r="N108" s="268"/>
      <c r="O108" s="310"/>
      <c r="P108" s="268"/>
      <c r="Q108" s="334"/>
      <c r="R108" s="268"/>
      <c r="S108" s="313"/>
      <c r="T108" s="313"/>
      <c r="U108" s="268"/>
      <c r="V108" s="309"/>
      <c r="W108" s="310"/>
      <c r="X108" s="268"/>
      <c r="Y108" s="268"/>
      <c r="Z108" s="268"/>
    </row>
    <row r="109" spans="1:26" ht="24.75" customHeight="1">
      <c r="A109" s="268"/>
      <c r="B109" s="268"/>
      <c r="C109" s="268"/>
      <c r="D109" s="268"/>
      <c r="E109" s="268"/>
      <c r="F109" s="268"/>
      <c r="G109" s="268"/>
      <c r="H109" s="268"/>
      <c r="I109" s="268"/>
      <c r="J109" s="268"/>
      <c r="K109" s="268"/>
      <c r="L109" s="334"/>
      <c r="M109" s="268"/>
      <c r="N109" s="268"/>
      <c r="O109" s="310"/>
      <c r="P109" s="268"/>
      <c r="Q109" s="334"/>
      <c r="R109" s="268"/>
      <c r="S109" s="313"/>
      <c r="T109" s="313"/>
      <c r="U109" s="268"/>
      <c r="V109" s="309"/>
      <c r="W109" s="310"/>
      <c r="X109" s="268"/>
      <c r="Y109" s="268"/>
      <c r="Z109" s="268"/>
    </row>
    <row r="110" spans="1:26" ht="24.75" customHeight="1">
      <c r="A110" s="268"/>
      <c r="B110" s="268"/>
      <c r="C110" s="268"/>
      <c r="D110" s="268"/>
      <c r="E110" s="268"/>
      <c r="F110" s="268"/>
      <c r="G110" s="268"/>
      <c r="H110" s="268"/>
      <c r="I110" s="268"/>
      <c r="J110" s="268"/>
      <c r="K110" s="268"/>
      <c r="L110" s="334"/>
      <c r="M110" s="268"/>
      <c r="N110" s="268"/>
      <c r="O110" s="310"/>
      <c r="P110" s="268"/>
      <c r="Q110" s="334"/>
      <c r="R110" s="268"/>
      <c r="S110" s="313"/>
      <c r="T110" s="313"/>
      <c r="U110" s="268"/>
      <c r="V110" s="309"/>
      <c r="W110" s="310"/>
      <c r="X110" s="268"/>
      <c r="Y110" s="268"/>
      <c r="Z110" s="268"/>
    </row>
    <row r="111" spans="1:26" ht="24.75" customHeight="1">
      <c r="A111" s="268"/>
      <c r="B111" s="268"/>
      <c r="C111" s="268"/>
      <c r="D111" s="268"/>
      <c r="E111" s="268"/>
      <c r="F111" s="268"/>
      <c r="G111" s="268"/>
      <c r="H111" s="268"/>
      <c r="I111" s="268"/>
      <c r="J111" s="268"/>
      <c r="K111" s="268"/>
      <c r="L111" s="334"/>
      <c r="M111" s="268"/>
      <c r="N111" s="268"/>
      <c r="O111" s="310"/>
      <c r="P111" s="268"/>
      <c r="Q111" s="334"/>
      <c r="R111" s="268"/>
      <c r="S111" s="313"/>
      <c r="T111" s="313"/>
      <c r="U111" s="248"/>
      <c r="V111" s="253"/>
      <c r="W111" s="254"/>
      <c r="X111" s="248"/>
      <c r="Y111" s="248"/>
      <c r="Z111" s="248"/>
    </row>
    <row r="112" spans="1:26" ht="24.75" customHeight="1">
      <c r="A112" s="268"/>
      <c r="B112" s="268"/>
      <c r="C112" s="268"/>
      <c r="D112" s="268"/>
      <c r="E112" s="268"/>
      <c r="F112" s="268"/>
      <c r="G112" s="268"/>
      <c r="H112" s="268"/>
      <c r="I112" s="268"/>
      <c r="J112" s="268"/>
      <c r="K112" s="268"/>
      <c r="L112" s="334"/>
      <c r="M112" s="268"/>
      <c r="N112" s="268"/>
      <c r="O112" s="310"/>
      <c r="P112" s="268"/>
      <c r="Q112" s="334"/>
      <c r="R112" s="268"/>
      <c r="S112" s="313"/>
      <c r="T112" s="313"/>
      <c r="U112" s="268"/>
      <c r="V112" s="309"/>
      <c r="W112" s="310"/>
      <c r="X112" s="268"/>
      <c r="Y112" s="268"/>
      <c r="Z112" s="268"/>
    </row>
    <row r="113" spans="1:26" ht="24.75" customHeight="1">
      <c r="A113" s="268"/>
      <c r="B113" s="268"/>
      <c r="C113" s="268"/>
      <c r="D113" s="268"/>
      <c r="E113" s="268"/>
      <c r="F113" s="268"/>
      <c r="G113" s="268"/>
      <c r="H113" s="268"/>
      <c r="I113" s="268"/>
      <c r="J113" s="268"/>
      <c r="K113" s="268"/>
      <c r="L113" s="334"/>
      <c r="M113" s="268"/>
      <c r="N113" s="268"/>
      <c r="O113" s="310"/>
      <c r="P113" s="268"/>
      <c r="Q113" s="334"/>
      <c r="R113" s="268"/>
      <c r="S113" s="313"/>
      <c r="T113" s="313"/>
      <c r="U113" s="268"/>
      <c r="V113" s="309"/>
      <c r="W113" s="310"/>
      <c r="X113" s="268"/>
      <c r="Y113" s="268"/>
      <c r="Z113" s="268"/>
    </row>
    <row r="114" spans="1:26" ht="24.75" customHeight="1">
      <c r="A114" s="268"/>
      <c r="B114" s="268"/>
      <c r="C114" s="268"/>
      <c r="D114" s="268"/>
      <c r="E114" s="268"/>
      <c r="F114" s="268"/>
      <c r="G114" s="268"/>
      <c r="H114" s="268"/>
      <c r="I114" s="268"/>
      <c r="J114" s="268"/>
      <c r="K114" s="268"/>
      <c r="L114" s="334"/>
      <c r="M114" s="268"/>
      <c r="N114" s="268"/>
      <c r="O114" s="310"/>
      <c r="P114" s="268"/>
      <c r="Q114" s="334"/>
      <c r="R114" s="268"/>
      <c r="S114" s="313"/>
      <c r="T114" s="313"/>
      <c r="U114" s="268"/>
      <c r="V114" s="309"/>
      <c r="W114" s="310"/>
      <c r="X114" s="268"/>
      <c r="Y114" s="268"/>
      <c r="Z114" s="268"/>
    </row>
    <row r="115" spans="1:26" ht="24.75" customHeight="1">
      <c r="A115" s="268"/>
      <c r="B115" s="268"/>
      <c r="C115" s="268"/>
      <c r="D115" s="268"/>
      <c r="E115" s="268"/>
      <c r="F115" s="268"/>
      <c r="G115" s="268"/>
      <c r="H115" s="268"/>
      <c r="I115" s="268"/>
      <c r="J115" s="268"/>
      <c r="K115" s="268"/>
      <c r="L115" s="334"/>
      <c r="M115" s="268"/>
      <c r="N115" s="268"/>
      <c r="O115" s="310"/>
      <c r="P115" s="268"/>
      <c r="Q115" s="334"/>
      <c r="R115" s="268"/>
      <c r="S115" s="313"/>
      <c r="T115" s="313"/>
      <c r="U115" s="268"/>
      <c r="V115" s="309"/>
      <c r="W115" s="310"/>
      <c r="X115" s="268"/>
      <c r="Y115" s="268"/>
      <c r="Z115" s="268"/>
    </row>
    <row r="116" spans="1:26" ht="24.75" customHeight="1">
      <c r="A116" s="268"/>
      <c r="B116" s="268"/>
      <c r="C116" s="268"/>
      <c r="D116" s="268"/>
      <c r="E116" s="268"/>
      <c r="F116" s="268"/>
      <c r="G116" s="268"/>
      <c r="H116" s="268"/>
      <c r="I116" s="268"/>
      <c r="J116" s="268"/>
      <c r="K116" s="268"/>
      <c r="L116" s="334"/>
      <c r="M116" s="268"/>
      <c r="N116" s="268"/>
      <c r="O116" s="310"/>
      <c r="P116" s="268"/>
      <c r="Q116" s="334"/>
      <c r="R116" s="268"/>
      <c r="S116" s="313"/>
      <c r="T116" s="313"/>
      <c r="U116" s="268"/>
      <c r="V116" s="309"/>
      <c r="W116" s="310"/>
      <c r="X116" s="268"/>
      <c r="Y116" s="268"/>
      <c r="Z116" s="268"/>
    </row>
    <row r="117" spans="1:26" ht="24.75" customHeight="1">
      <c r="A117" s="268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334"/>
      <c r="M117" s="268"/>
      <c r="N117" s="268"/>
      <c r="O117" s="310"/>
      <c r="P117" s="268"/>
      <c r="Q117" s="334"/>
      <c r="R117" s="268"/>
      <c r="S117" s="313"/>
      <c r="T117" s="313"/>
      <c r="U117" s="268"/>
      <c r="V117" s="309"/>
      <c r="W117" s="310"/>
      <c r="X117" s="268"/>
      <c r="Y117" s="268"/>
      <c r="Z117" s="268"/>
    </row>
    <row r="118" spans="1:26" ht="24.75" customHeight="1">
      <c r="A118" s="268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334"/>
      <c r="M118" s="268"/>
      <c r="N118" s="268"/>
      <c r="O118" s="310"/>
      <c r="P118" s="268"/>
      <c r="Q118" s="334"/>
      <c r="R118" s="268"/>
      <c r="S118" s="313"/>
      <c r="T118" s="313"/>
      <c r="U118" s="268"/>
      <c r="V118" s="309"/>
      <c r="W118" s="310"/>
      <c r="X118" s="268"/>
      <c r="Y118" s="268"/>
      <c r="Z118" s="268"/>
    </row>
    <row r="119" spans="1:26" ht="24.75" customHeight="1">
      <c r="A119" s="268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334"/>
      <c r="M119" s="268"/>
      <c r="N119" s="268"/>
      <c r="O119" s="310"/>
      <c r="P119" s="268"/>
      <c r="Q119" s="334"/>
      <c r="R119" s="268"/>
      <c r="S119" s="313"/>
      <c r="T119" s="313"/>
      <c r="U119" s="268"/>
      <c r="V119" s="309"/>
      <c r="W119" s="310"/>
      <c r="X119" s="268"/>
      <c r="Y119" s="268"/>
      <c r="Z119" s="268"/>
    </row>
    <row r="120" spans="1:26" ht="24.75" customHeight="1">
      <c r="A120" s="268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334"/>
      <c r="M120" s="268"/>
      <c r="N120" s="268"/>
      <c r="O120" s="310"/>
      <c r="P120" s="268"/>
      <c r="Q120" s="334"/>
      <c r="R120" s="268"/>
      <c r="S120" s="313"/>
      <c r="T120" s="313"/>
      <c r="U120" s="268"/>
      <c r="V120" s="309"/>
      <c r="W120" s="310"/>
      <c r="X120" s="268"/>
      <c r="Y120" s="268"/>
      <c r="Z120" s="268"/>
    </row>
    <row r="121" spans="1:26" ht="24.75" customHeight="1">
      <c r="A121" s="268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334"/>
      <c r="M121" s="268"/>
      <c r="N121" s="268"/>
      <c r="O121" s="310"/>
      <c r="P121" s="268"/>
      <c r="Q121" s="334"/>
      <c r="R121" s="268"/>
      <c r="S121" s="313"/>
      <c r="T121" s="313"/>
      <c r="U121" s="268"/>
      <c r="V121" s="309"/>
      <c r="W121" s="310"/>
      <c r="X121" s="268"/>
      <c r="Y121" s="268"/>
      <c r="Z121" s="268"/>
    </row>
    <row r="122" spans="1:26" ht="24.75" customHeight="1">
      <c r="A122" s="268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334"/>
      <c r="M122" s="268"/>
      <c r="N122" s="268"/>
      <c r="O122" s="310"/>
      <c r="P122" s="268"/>
      <c r="Q122" s="334"/>
      <c r="R122" s="268"/>
      <c r="S122" s="313"/>
      <c r="T122" s="313"/>
      <c r="U122" s="268"/>
      <c r="V122" s="309"/>
      <c r="W122" s="310"/>
      <c r="X122" s="268"/>
      <c r="Y122" s="268"/>
      <c r="Z122" s="268"/>
    </row>
    <row r="123" spans="1:26" ht="24.75" customHeight="1">
      <c r="A123" s="268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334"/>
      <c r="M123" s="268"/>
      <c r="N123" s="268"/>
      <c r="O123" s="310"/>
      <c r="P123" s="268"/>
      <c r="Q123" s="334"/>
      <c r="R123" s="268"/>
      <c r="S123" s="313"/>
      <c r="T123" s="313"/>
      <c r="U123" s="230"/>
      <c r="V123" s="256"/>
      <c r="W123" s="257"/>
      <c r="X123" s="230"/>
      <c r="Y123" s="230"/>
      <c r="Z123" s="230"/>
    </row>
    <row r="124" spans="1:26" ht="24.75" customHeight="1">
      <c r="A124" s="268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334"/>
      <c r="M124" s="268"/>
      <c r="N124" s="268"/>
      <c r="O124" s="310"/>
      <c r="P124" s="268"/>
      <c r="Q124" s="334"/>
      <c r="R124" s="268"/>
      <c r="S124" s="313"/>
      <c r="T124" s="313"/>
      <c r="U124" s="268"/>
      <c r="V124" s="309"/>
      <c r="W124" s="310"/>
      <c r="X124" s="268"/>
      <c r="Y124" s="268"/>
      <c r="Z124" s="268"/>
    </row>
    <row r="125" spans="1:26" ht="24.75" customHeight="1">
      <c r="A125" s="268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334"/>
      <c r="M125" s="268"/>
      <c r="N125" s="268"/>
      <c r="O125" s="310"/>
      <c r="P125" s="268"/>
      <c r="Q125" s="334"/>
      <c r="R125" s="268"/>
      <c r="S125" s="313"/>
      <c r="T125" s="313"/>
      <c r="U125" s="292"/>
      <c r="V125" s="293"/>
      <c r="W125" s="294"/>
      <c r="X125" s="292"/>
      <c r="Y125" s="292"/>
      <c r="Z125" s="292"/>
    </row>
    <row r="126" spans="1:26" ht="24.75" customHeight="1">
      <c r="A126" s="268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334"/>
      <c r="M126" s="268"/>
      <c r="N126" s="268"/>
      <c r="O126" s="310"/>
      <c r="P126" s="268"/>
      <c r="Q126" s="334"/>
      <c r="R126" s="268"/>
      <c r="S126" s="313"/>
      <c r="T126" s="313"/>
      <c r="U126" s="292"/>
      <c r="V126" s="293"/>
      <c r="W126" s="294"/>
      <c r="X126" s="292"/>
      <c r="Y126" s="292"/>
      <c r="Z126" s="292"/>
    </row>
    <row r="127" spans="1:26" ht="24.75" customHeight="1">
      <c r="A127" s="268"/>
      <c r="B127" s="268"/>
      <c r="C127" s="268"/>
      <c r="D127" s="268"/>
      <c r="E127" s="268"/>
      <c r="F127" s="268"/>
      <c r="G127" s="268"/>
      <c r="H127" s="268"/>
      <c r="I127" s="268"/>
      <c r="J127" s="268"/>
      <c r="K127" s="268"/>
      <c r="L127" s="334"/>
      <c r="M127" s="268"/>
      <c r="N127" s="268"/>
      <c r="O127" s="310"/>
      <c r="P127" s="268"/>
      <c r="Q127" s="334"/>
      <c r="R127" s="268"/>
      <c r="S127" s="313"/>
      <c r="T127" s="313"/>
      <c r="U127" s="268"/>
      <c r="V127" s="309"/>
      <c r="W127" s="310"/>
      <c r="X127" s="268"/>
      <c r="Y127" s="268"/>
      <c r="Z127" s="268"/>
    </row>
    <row r="128" spans="1:26" ht="24.75" customHeight="1">
      <c r="A128" s="268"/>
      <c r="B128" s="268"/>
      <c r="C128" s="268"/>
      <c r="D128" s="268"/>
      <c r="E128" s="268"/>
      <c r="F128" s="268"/>
      <c r="G128" s="268"/>
      <c r="H128" s="268"/>
      <c r="I128" s="268"/>
      <c r="J128" s="268"/>
      <c r="K128" s="268"/>
      <c r="L128" s="334"/>
      <c r="M128" s="268"/>
      <c r="N128" s="268"/>
      <c r="O128" s="310"/>
      <c r="P128" s="268"/>
      <c r="Q128" s="334"/>
      <c r="R128" s="268"/>
      <c r="S128" s="313"/>
      <c r="T128" s="313"/>
      <c r="U128" s="248"/>
      <c r="V128" s="253"/>
      <c r="W128" s="254"/>
      <c r="X128" s="248"/>
      <c r="Y128" s="248"/>
      <c r="Z128" s="248"/>
    </row>
    <row r="129" spans="1:26" ht="24.75" customHeight="1">
      <c r="A129" s="268"/>
      <c r="B129" s="268"/>
      <c r="C129" s="268"/>
      <c r="D129" s="268"/>
      <c r="E129" s="268"/>
      <c r="F129" s="268"/>
      <c r="G129" s="268"/>
      <c r="H129" s="268"/>
      <c r="I129" s="268"/>
      <c r="J129" s="268"/>
      <c r="K129" s="268"/>
      <c r="L129" s="334"/>
      <c r="M129" s="268"/>
      <c r="N129" s="268"/>
      <c r="O129" s="310"/>
      <c r="P129" s="268"/>
      <c r="Q129" s="334"/>
      <c r="R129" s="268"/>
      <c r="S129" s="313"/>
      <c r="T129" s="313"/>
      <c r="U129" s="268"/>
      <c r="V129" s="309"/>
      <c r="W129" s="310"/>
      <c r="X129" s="268"/>
      <c r="Y129" s="268"/>
      <c r="Z129" s="268"/>
    </row>
    <row r="130" spans="1:26" ht="24.75" customHeight="1">
      <c r="A130" s="268"/>
      <c r="B130" s="268"/>
      <c r="C130" s="268"/>
      <c r="D130" s="268"/>
      <c r="E130" s="268"/>
      <c r="F130" s="268"/>
      <c r="G130" s="268"/>
      <c r="H130" s="268"/>
      <c r="I130" s="268"/>
      <c r="J130" s="268"/>
      <c r="K130" s="268"/>
      <c r="L130" s="334"/>
      <c r="M130" s="268"/>
      <c r="N130" s="268"/>
      <c r="O130" s="310"/>
      <c r="P130" s="268"/>
      <c r="Q130" s="334"/>
      <c r="R130" s="268"/>
      <c r="S130" s="313"/>
      <c r="T130" s="313"/>
      <c r="U130" s="268"/>
      <c r="V130" s="309"/>
      <c r="W130" s="310"/>
      <c r="X130" s="268"/>
      <c r="Y130" s="268"/>
      <c r="Z130" s="268"/>
    </row>
    <row r="131" spans="1:26" ht="24.75" customHeight="1">
      <c r="A131" s="268"/>
      <c r="B131" s="268"/>
      <c r="C131" s="268"/>
      <c r="D131" s="268"/>
      <c r="E131" s="268"/>
      <c r="F131" s="268"/>
      <c r="G131" s="268"/>
      <c r="H131" s="268"/>
      <c r="I131" s="268"/>
      <c r="J131" s="268"/>
      <c r="K131" s="268"/>
      <c r="L131" s="334"/>
      <c r="M131" s="268"/>
      <c r="N131" s="268"/>
      <c r="O131" s="310"/>
      <c r="P131" s="268"/>
      <c r="Q131" s="334"/>
      <c r="R131" s="268"/>
      <c r="S131" s="313"/>
      <c r="T131" s="313"/>
      <c r="U131" s="268"/>
      <c r="V131" s="309"/>
      <c r="W131" s="310"/>
      <c r="X131" s="268"/>
      <c r="Y131" s="268"/>
      <c r="Z131" s="268"/>
    </row>
    <row r="132" spans="1:26" ht="24.75" customHeight="1">
      <c r="A132" s="268"/>
      <c r="B132" s="268"/>
      <c r="C132" s="268"/>
      <c r="D132" s="268"/>
      <c r="E132" s="268"/>
      <c r="F132" s="268"/>
      <c r="G132" s="268"/>
      <c r="H132" s="268"/>
      <c r="I132" s="268"/>
      <c r="J132" s="268"/>
      <c r="K132" s="268"/>
      <c r="L132" s="334"/>
      <c r="M132" s="268"/>
      <c r="N132" s="268"/>
      <c r="O132" s="310"/>
      <c r="P132" s="268"/>
      <c r="Q132" s="334"/>
      <c r="R132" s="268"/>
      <c r="S132" s="313"/>
      <c r="T132" s="313"/>
      <c r="U132" s="268"/>
      <c r="V132" s="309"/>
      <c r="W132" s="310"/>
      <c r="X132" s="268"/>
      <c r="Y132" s="268"/>
      <c r="Z132" s="268"/>
    </row>
    <row r="133" spans="1:26" ht="24.75" customHeight="1">
      <c r="A133" s="268"/>
      <c r="B133" s="268"/>
      <c r="C133" s="268"/>
      <c r="D133" s="268"/>
      <c r="E133" s="268"/>
      <c r="F133" s="268"/>
      <c r="G133" s="268"/>
      <c r="H133" s="268"/>
      <c r="I133" s="268"/>
      <c r="J133" s="268"/>
      <c r="K133" s="268"/>
      <c r="L133" s="334"/>
      <c r="M133" s="268"/>
      <c r="N133" s="268"/>
      <c r="O133" s="310"/>
      <c r="P133" s="268"/>
      <c r="Q133" s="334"/>
      <c r="R133" s="268"/>
      <c r="S133" s="313"/>
      <c r="T133" s="313"/>
      <c r="U133" s="268"/>
      <c r="V133" s="309"/>
      <c r="W133" s="310"/>
      <c r="X133" s="268"/>
      <c r="Y133" s="268"/>
      <c r="Z133" s="268"/>
    </row>
    <row r="134" spans="1:26" ht="24.75" customHeight="1">
      <c r="A134" s="268"/>
      <c r="B134" s="268"/>
      <c r="C134" s="268"/>
      <c r="D134" s="268"/>
      <c r="E134" s="268"/>
      <c r="F134" s="268"/>
      <c r="G134" s="268"/>
      <c r="H134" s="268"/>
      <c r="I134" s="268"/>
      <c r="J134" s="268"/>
      <c r="K134" s="268"/>
      <c r="L134" s="334"/>
      <c r="M134" s="268"/>
      <c r="N134" s="268"/>
      <c r="O134" s="310"/>
      <c r="P134" s="268"/>
      <c r="Q134" s="334"/>
      <c r="R134" s="268"/>
      <c r="S134" s="313"/>
      <c r="T134" s="313"/>
      <c r="U134" s="268"/>
      <c r="V134" s="309"/>
      <c r="W134" s="310"/>
      <c r="X134" s="268"/>
      <c r="Y134" s="268"/>
      <c r="Z134" s="268"/>
    </row>
    <row r="135" spans="1:26" ht="24.75" customHeight="1">
      <c r="A135" s="268"/>
      <c r="B135" s="268"/>
      <c r="C135" s="268"/>
      <c r="D135" s="268"/>
      <c r="E135" s="268"/>
      <c r="F135" s="268"/>
      <c r="G135" s="268"/>
      <c r="H135" s="268"/>
      <c r="I135" s="268"/>
      <c r="J135" s="268"/>
      <c r="K135" s="268"/>
      <c r="L135" s="334"/>
      <c r="M135" s="268"/>
      <c r="N135" s="268"/>
      <c r="O135" s="310"/>
      <c r="P135" s="268"/>
      <c r="Q135" s="334"/>
      <c r="R135" s="268"/>
      <c r="S135" s="313"/>
      <c r="T135" s="313"/>
      <c r="U135" s="268"/>
      <c r="V135" s="309"/>
      <c r="W135" s="310"/>
      <c r="X135" s="268"/>
      <c r="Y135" s="268"/>
      <c r="Z135" s="268"/>
    </row>
    <row r="136" spans="1:26" ht="24.75" customHeight="1">
      <c r="A136" s="268"/>
      <c r="B136" s="268"/>
      <c r="C136" s="268"/>
      <c r="D136" s="268"/>
      <c r="E136" s="268"/>
      <c r="F136" s="268"/>
      <c r="G136" s="268"/>
      <c r="H136" s="268"/>
      <c r="I136" s="268"/>
      <c r="J136" s="268"/>
      <c r="K136" s="268"/>
      <c r="L136" s="334"/>
      <c r="M136" s="268"/>
      <c r="N136" s="268"/>
      <c r="O136" s="310"/>
      <c r="P136" s="268"/>
      <c r="Q136" s="334"/>
      <c r="R136" s="268"/>
      <c r="S136" s="313"/>
      <c r="T136" s="313"/>
      <c r="U136" s="268"/>
      <c r="V136" s="309"/>
      <c r="W136" s="310"/>
      <c r="X136" s="268"/>
      <c r="Y136" s="268"/>
      <c r="Z136" s="268"/>
    </row>
    <row r="137" spans="1:26" ht="24.75" customHeight="1">
      <c r="A137" s="268"/>
      <c r="B137" s="268"/>
      <c r="C137" s="268"/>
      <c r="D137" s="268"/>
      <c r="E137" s="268"/>
      <c r="F137" s="268"/>
      <c r="G137" s="268"/>
      <c r="H137" s="268"/>
      <c r="I137" s="268"/>
      <c r="J137" s="268"/>
      <c r="K137" s="268"/>
      <c r="L137" s="334"/>
      <c r="M137" s="268"/>
      <c r="N137" s="268"/>
      <c r="O137" s="310"/>
      <c r="P137" s="268"/>
      <c r="Q137" s="334"/>
      <c r="R137" s="268"/>
      <c r="S137" s="313"/>
      <c r="T137" s="313"/>
      <c r="U137" s="248"/>
      <c r="V137" s="253"/>
      <c r="W137" s="254"/>
      <c r="X137" s="248"/>
      <c r="Y137" s="248"/>
      <c r="Z137" s="248"/>
    </row>
    <row r="138" spans="1:26" ht="24.75" customHeight="1">
      <c r="A138" s="268"/>
      <c r="B138" s="268"/>
      <c r="C138" s="268"/>
      <c r="D138" s="268"/>
      <c r="E138" s="268"/>
      <c r="F138" s="268"/>
      <c r="G138" s="268"/>
      <c r="H138" s="268"/>
      <c r="I138" s="268"/>
      <c r="J138" s="268"/>
      <c r="K138" s="268"/>
      <c r="L138" s="334"/>
      <c r="M138" s="268"/>
      <c r="N138" s="268"/>
      <c r="O138" s="310"/>
      <c r="P138" s="268"/>
      <c r="Q138" s="334"/>
      <c r="R138" s="268"/>
      <c r="S138" s="313"/>
      <c r="T138" s="313"/>
      <c r="U138" s="268"/>
      <c r="V138" s="309"/>
      <c r="W138" s="310"/>
      <c r="X138" s="268"/>
      <c r="Y138" s="268"/>
      <c r="Z138" s="268"/>
    </row>
    <row r="139" spans="1:26" ht="24.75" customHeight="1">
      <c r="A139" s="268"/>
      <c r="B139" s="268"/>
      <c r="C139" s="268"/>
      <c r="D139" s="268"/>
      <c r="E139" s="268"/>
      <c r="F139" s="268"/>
      <c r="G139" s="268"/>
      <c r="H139" s="268"/>
      <c r="I139" s="268"/>
      <c r="J139" s="268"/>
      <c r="K139" s="268"/>
      <c r="L139" s="334"/>
      <c r="M139" s="268"/>
      <c r="N139" s="268"/>
      <c r="O139" s="310"/>
      <c r="P139" s="268"/>
      <c r="Q139" s="334"/>
      <c r="R139" s="268"/>
      <c r="S139" s="313"/>
      <c r="T139" s="313"/>
      <c r="U139" s="357"/>
      <c r="V139" s="359"/>
      <c r="W139" s="361"/>
      <c r="X139" s="357"/>
      <c r="Y139" s="357"/>
      <c r="Z139" s="357"/>
    </row>
    <row r="140" spans="1:26" ht="24.75" customHeight="1">
      <c r="A140" s="268"/>
      <c r="B140" s="268"/>
      <c r="C140" s="268"/>
      <c r="D140" s="268"/>
      <c r="E140" s="268"/>
      <c r="F140" s="268"/>
      <c r="G140" s="268"/>
      <c r="H140" s="268"/>
      <c r="I140" s="268"/>
      <c r="J140" s="268"/>
      <c r="K140" s="268"/>
      <c r="L140" s="334"/>
      <c r="M140" s="268"/>
      <c r="N140" s="268"/>
      <c r="O140" s="310"/>
      <c r="P140" s="268"/>
      <c r="Q140" s="334"/>
      <c r="R140" s="268"/>
      <c r="S140" s="313"/>
      <c r="T140" s="313"/>
      <c r="U140" s="268"/>
      <c r="V140" s="309"/>
      <c r="W140" s="310"/>
      <c r="X140" s="268"/>
      <c r="Y140" s="268"/>
      <c r="Z140" s="268"/>
    </row>
    <row r="141" spans="1:26" ht="24.75" customHeight="1">
      <c r="A141" s="268"/>
      <c r="B141" s="268"/>
      <c r="C141" s="268"/>
      <c r="D141" s="268"/>
      <c r="E141" s="268"/>
      <c r="F141" s="268"/>
      <c r="G141" s="268"/>
      <c r="H141" s="268"/>
      <c r="I141" s="268"/>
      <c r="J141" s="268"/>
      <c r="K141" s="268"/>
      <c r="L141" s="334"/>
      <c r="M141" s="268"/>
      <c r="N141" s="268"/>
      <c r="O141" s="310"/>
      <c r="P141" s="268"/>
      <c r="Q141" s="334"/>
      <c r="R141" s="268"/>
      <c r="S141" s="313"/>
      <c r="T141" s="313"/>
      <c r="U141" s="268"/>
      <c r="V141" s="309"/>
      <c r="W141" s="310"/>
      <c r="X141" s="268"/>
      <c r="Y141" s="268"/>
      <c r="Z141" s="268"/>
    </row>
    <row r="142" spans="1:26" ht="24.75" customHeight="1">
      <c r="A142" s="268"/>
      <c r="B142" s="268"/>
      <c r="C142" s="268"/>
      <c r="D142" s="268"/>
      <c r="E142" s="268"/>
      <c r="F142" s="268"/>
      <c r="G142" s="268"/>
      <c r="H142" s="268"/>
      <c r="I142" s="268"/>
      <c r="J142" s="268"/>
      <c r="K142" s="268"/>
      <c r="L142" s="334"/>
      <c r="M142" s="268"/>
      <c r="N142" s="268"/>
      <c r="O142" s="310"/>
      <c r="P142" s="268"/>
      <c r="Q142" s="334"/>
      <c r="R142" s="268"/>
      <c r="S142" s="313"/>
      <c r="T142" s="313"/>
      <c r="U142" s="268"/>
      <c r="V142" s="309"/>
      <c r="W142" s="310"/>
      <c r="X142" s="268"/>
      <c r="Y142" s="268"/>
      <c r="Z142" s="268"/>
    </row>
    <row r="143" spans="1:26" ht="24.75" customHeight="1">
      <c r="A143" s="268"/>
      <c r="B143" s="268"/>
      <c r="C143" s="268"/>
      <c r="D143" s="268"/>
      <c r="E143" s="268"/>
      <c r="F143" s="268"/>
      <c r="G143" s="268"/>
      <c r="H143" s="268"/>
      <c r="I143" s="268"/>
      <c r="J143" s="268"/>
      <c r="K143" s="268"/>
      <c r="L143" s="334"/>
      <c r="M143" s="268"/>
      <c r="N143" s="268"/>
      <c r="O143" s="310"/>
      <c r="P143" s="268"/>
      <c r="Q143" s="334"/>
      <c r="R143" s="268"/>
      <c r="S143" s="313"/>
      <c r="T143" s="313"/>
      <c r="U143" s="268"/>
      <c r="V143" s="309"/>
      <c r="W143" s="310"/>
      <c r="X143" s="268"/>
      <c r="Y143" s="268"/>
      <c r="Z143" s="268"/>
    </row>
    <row r="144" spans="1:26" ht="24.75" customHeight="1">
      <c r="A144" s="268"/>
      <c r="B144" s="268"/>
      <c r="C144" s="268"/>
      <c r="D144" s="268"/>
      <c r="E144" s="268"/>
      <c r="F144" s="268"/>
      <c r="G144" s="268"/>
      <c r="H144" s="268"/>
      <c r="I144" s="268"/>
      <c r="J144" s="268"/>
      <c r="K144" s="268"/>
      <c r="L144" s="334"/>
      <c r="M144" s="268"/>
      <c r="N144" s="268"/>
      <c r="O144" s="310"/>
      <c r="P144" s="268"/>
      <c r="Q144" s="334"/>
      <c r="R144" s="268"/>
      <c r="S144" s="313"/>
      <c r="T144" s="313"/>
      <c r="U144" s="268"/>
      <c r="V144" s="309"/>
      <c r="W144" s="310"/>
      <c r="X144" s="268"/>
      <c r="Y144" s="268"/>
      <c r="Z144" s="268"/>
    </row>
    <row r="145" spans="1:26" ht="24.75" customHeight="1">
      <c r="A145" s="268"/>
      <c r="B145" s="268"/>
      <c r="C145" s="268"/>
      <c r="D145" s="268"/>
      <c r="E145" s="268"/>
      <c r="F145" s="268"/>
      <c r="G145" s="268"/>
      <c r="H145" s="268"/>
      <c r="I145" s="268"/>
      <c r="J145" s="268"/>
      <c r="K145" s="268"/>
      <c r="L145" s="334"/>
      <c r="M145" s="268"/>
      <c r="N145" s="268"/>
      <c r="O145" s="310"/>
      <c r="P145" s="268"/>
      <c r="Q145" s="334"/>
      <c r="R145" s="268"/>
      <c r="S145" s="313"/>
      <c r="T145" s="313"/>
      <c r="U145" s="268"/>
      <c r="V145" s="309"/>
      <c r="W145" s="310"/>
      <c r="X145" s="268"/>
      <c r="Y145" s="268"/>
      <c r="Z145" s="268"/>
    </row>
    <row r="146" spans="1:26" ht="24.75" customHeight="1">
      <c r="A146" s="268"/>
      <c r="B146" s="268"/>
      <c r="C146" s="268"/>
      <c r="D146" s="268"/>
      <c r="E146" s="268"/>
      <c r="F146" s="268"/>
      <c r="G146" s="268"/>
      <c r="H146" s="268"/>
      <c r="I146" s="268"/>
      <c r="J146" s="268"/>
      <c r="K146" s="268"/>
      <c r="L146" s="334"/>
      <c r="M146" s="268"/>
      <c r="N146" s="268"/>
      <c r="O146" s="310"/>
      <c r="P146" s="268"/>
      <c r="Q146" s="334"/>
      <c r="R146" s="268"/>
      <c r="S146" s="313"/>
      <c r="T146" s="313"/>
      <c r="U146" s="268"/>
      <c r="V146" s="309"/>
      <c r="W146" s="310"/>
      <c r="X146" s="268"/>
      <c r="Y146" s="268"/>
      <c r="Z146" s="268"/>
    </row>
    <row r="147" spans="1:26" ht="24.75" customHeight="1">
      <c r="A147" s="268"/>
      <c r="B147" s="268"/>
      <c r="C147" s="268"/>
      <c r="D147" s="268"/>
      <c r="E147" s="268"/>
      <c r="F147" s="268"/>
      <c r="G147" s="268"/>
      <c r="H147" s="268"/>
      <c r="I147" s="268"/>
      <c r="J147" s="268"/>
      <c r="K147" s="268"/>
      <c r="L147" s="334"/>
      <c r="M147" s="268"/>
      <c r="N147" s="268"/>
      <c r="O147" s="310"/>
      <c r="P147" s="268"/>
      <c r="Q147" s="334"/>
      <c r="R147" s="268"/>
      <c r="S147" s="313"/>
      <c r="T147" s="313"/>
      <c r="U147" s="268"/>
      <c r="V147" s="309"/>
      <c r="W147" s="310"/>
      <c r="X147" s="268"/>
      <c r="Y147" s="268"/>
      <c r="Z147" s="268"/>
    </row>
    <row r="148" spans="1:26" ht="24.75" customHeight="1">
      <c r="A148" s="268"/>
      <c r="B148" s="268"/>
      <c r="C148" s="268"/>
      <c r="D148" s="268"/>
      <c r="E148" s="268"/>
      <c r="F148" s="268"/>
      <c r="G148" s="268"/>
      <c r="H148" s="268"/>
      <c r="I148" s="268"/>
      <c r="J148" s="268"/>
      <c r="K148" s="268"/>
      <c r="L148" s="334"/>
      <c r="M148" s="268"/>
      <c r="N148" s="268"/>
      <c r="O148" s="310"/>
      <c r="P148" s="268"/>
      <c r="Q148" s="334"/>
      <c r="R148" s="268"/>
      <c r="S148" s="313"/>
      <c r="T148" s="313"/>
      <c r="U148" s="248"/>
      <c r="V148" s="253"/>
      <c r="W148" s="254"/>
      <c r="X148" s="248"/>
      <c r="Y148" s="248"/>
      <c r="Z148" s="248"/>
    </row>
    <row r="149" spans="1:26" ht="24.75" customHeight="1">
      <c r="A149" s="268"/>
      <c r="B149" s="268"/>
      <c r="C149" s="268"/>
      <c r="D149" s="268"/>
      <c r="E149" s="268"/>
      <c r="F149" s="268"/>
      <c r="G149" s="268"/>
      <c r="H149" s="268"/>
      <c r="I149" s="268"/>
      <c r="J149" s="268"/>
      <c r="K149" s="268"/>
      <c r="L149" s="334"/>
      <c r="M149" s="268"/>
      <c r="N149" s="268"/>
      <c r="O149" s="310"/>
      <c r="P149" s="268"/>
      <c r="Q149" s="334"/>
      <c r="R149" s="268"/>
      <c r="S149" s="313"/>
      <c r="T149" s="313"/>
      <c r="U149" s="268"/>
      <c r="V149" s="309"/>
      <c r="W149" s="310"/>
      <c r="X149" s="268"/>
      <c r="Y149" s="268"/>
      <c r="Z149" s="268"/>
    </row>
    <row r="150" spans="1:26" ht="24.75" customHeight="1">
      <c r="A150" s="268"/>
      <c r="B150" s="268"/>
      <c r="C150" s="268"/>
      <c r="D150" s="268"/>
      <c r="E150" s="268"/>
      <c r="F150" s="268"/>
      <c r="G150" s="268"/>
      <c r="H150" s="268"/>
      <c r="I150" s="268"/>
      <c r="J150" s="268"/>
      <c r="K150" s="268"/>
      <c r="L150" s="334"/>
      <c r="M150" s="268"/>
      <c r="N150" s="268"/>
      <c r="O150" s="310"/>
      <c r="P150" s="268"/>
      <c r="Q150" s="334"/>
      <c r="R150" s="268"/>
      <c r="S150" s="313"/>
      <c r="T150" s="313"/>
      <c r="U150" s="268"/>
      <c r="V150" s="309"/>
      <c r="W150" s="310"/>
      <c r="X150" s="268"/>
      <c r="Y150" s="268"/>
      <c r="Z150" s="268"/>
    </row>
    <row r="151" spans="1:26" ht="24.75" customHeight="1">
      <c r="A151" s="268"/>
      <c r="B151" s="268"/>
      <c r="C151" s="268"/>
      <c r="D151" s="268"/>
      <c r="E151" s="268"/>
      <c r="F151" s="268"/>
      <c r="G151" s="268"/>
      <c r="H151" s="268"/>
      <c r="I151" s="268"/>
      <c r="J151" s="268"/>
      <c r="K151" s="268"/>
      <c r="L151" s="334"/>
      <c r="M151" s="268"/>
      <c r="N151" s="268"/>
      <c r="O151" s="310"/>
      <c r="P151" s="268"/>
      <c r="Q151" s="334"/>
      <c r="R151" s="268"/>
      <c r="S151" s="313"/>
      <c r="T151" s="313"/>
      <c r="U151" s="248"/>
      <c r="V151" s="253"/>
      <c r="W151" s="254"/>
      <c r="X151" s="248"/>
      <c r="Y151" s="248"/>
      <c r="Z151" s="248"/>
    </row>
    <row r="152" spans="1:26" ht="24.75" customHeight="1">
      <c r="A152" s="268"/>
      <c r="B152" s="268"/>
      <c r="C152" s="268"/>
      <c r="D152" s="268"/>
      <c r="E152" s="268"/>
      <c r="F152" s="268"/>
      <c r="G152" s="268"/>
      <c r="H152" s="268"/>
      <c r="I152" s="268"/>
      <c r="J152" s="268"/>
      <c r="K152" s="268"/>
      <c r="L152" s="334"/>
      <c r="M152" s="268"/>
      <c r="N152" s="268"/>
      <c r="O152" s="310"/>
      <c r="P152" s="268"/>
      <c r="Q152" s="334"/>
      <c r="R152" s="268"/>
      <c r="S152" s="313"/>
      <c r="T152" s="313"/>
      <c r="U152" s="268"/>
      <c r="V152" s="309"/>
      <c r="W152" s="310"/>
      <c r="X152" s="268"/>
      <c r="Y152" s="268"/>
      <c r="Z152" s="268"/>
    </row>
    <row r="153" spans="1:26" ht="24.75" customHeight="1">
      <c r="A153" s="268"/>
      <c r="B153" s="268"/>
      <c r="C153" s="268"/>
      <c r="D153" s="268"/>
      <c r="E153" s="268"/>
      <c r="F153" s="268"/>
      <c r="G153" s="268"/>
      <c r="H153" s="268"/>
      <c r="I153" s="268"/>
      <c r="J153" s="268"/>
      <c r="K153" s="268"/>
      <c r="L153" s="334"/>
      <c r="M153" s="268"/>
      <c r="N153" s="268"/>
      <c r="O153" s="310"/>
      <c r="P153" s="268"/>
      <c r="Q153" s="334"/>
      <c r="R153" s="268"/>
      <c r="S153" s="313"/>
      <c r="T153" s="313"/>
      <c r="U153" s="268"/>
      <c r="V153" s="309"/>
      <c r="W153" s="310"/>
      <c r="X153" s="268"/>
      <c r="Y153" s="268"/>
      <c r="Z153" s="268"/>
    </row>
    <row r="154" spans="1:26" ht="24.75" customHeight="1">
      <c r="A154" s="268"/>
      <c r="B154" s="268"/>
      <c r="C154" s="268"/>
      <c r="D154" s="268"/>
      <c r="E154" s="268"/>
      <c r="F154" s="268"/>
      <c r="G154" s="268"/>
      <c r="H154" s="268"/>
      <c r="I154" s="268"/>
      <c r="J154" s="268"/>
      <c r="K154" s="268"/>
      <c r="L154" s="334"/>
      <c r="M154" s="268"/>
      <c r="N154" s="268"/>
      <c r="O154" s="310"/>
      <c r="P154" s="268"/>
      <c r="Q154" s="334"/>
      <c r="R154" s="268"/>
      <c r="S154" s="313"/>
      <c r="T154" s="313"/>
      <c r="U154" s="268"/>
      <c r="V154" s="309"/>
      <c r="W154" s="310"/>
      <c r="X154" s="268"/>
      <c r="Y154" s="268"/>
      <c r="Z154" s="268"/>
    </row>
    <row r="155" spans="1:26" ht="24.75" customHeight="1">
      <c r="A155" s="268"/>
      <c r="B155" s="268"/>
      <c r="C155" s="268"/>
      <c r="D155" s="268"/>
      <c r="E155" s="268"/>
      <c r="F155" s="268"/>
      <c r="G155" s="268"/>
      <c r="H155" s="268"/>
      <c r="I155" s="268"/>
      <c r="J155" s="268"/>
      <c r="K155" s="268"/>
      <c r="L155" s="334"/>
      <c r="M155" s="268"/>
      <c r="N155" s="268"/>
      <c r="O155" s="310"/>
      <c r="P155" s="268"/>
      <c r="Q155" s="334"/>
      <c r="R155" s="268"/>
      <c r="S155" s="313"/>
      <c r="T155" s="313"/>
      <c r="U155" s="268"/>
      <c r="V155" s="309"/>
      <c r="W155" s="310"/>
      <c r="X155" s="268"/>
      <c r="Y155" s="268"/>
      <c r="Z155" s="268"/>
    </row>
    <row r="156" spans="1:26" ht="24.75" customHeight="1">
      <c r="A156" s="268"/>
      <c r="B156" s="268"/>
      <c r="C156" s="268"/>
      <c r="D156" s="268"/>
      <c r="E156" s="268"/>
      <c r="F156" s="268"/>
      <c r="G156" s="268"/>
      <c r="H156" s="268"/>
      <c r="I156" s="268"/>
      <c r="J156" s="268"/>
      <c r="K156" s="268"/>
      <c r="L156" s="334"/>
      <c r="M156" s="268"/>
      <c r="N156" s="268"/>
      <c r="O156" s="310"/>
      <c r="P156" s="268"/>
      <c r="Q156" s="334"/>
      <c r="R156" s="268"/>
      <c r="S156" s="313"/>
      <c r="T156" s="313"/>
      <c r="U156" s="268"/>
      <c r="V156" s="309"/>
      <c r="W156" s="310"/>
      <c r="X156" s="268"/>
      <c r="Y156" s="268"/>
      <c r="Z156" s="268"/>
    </row>
    <row r="157" spans="1:26" ht="24.75" customHeight="1">
      <c r="A157" s="268"/>
      <c r="B157" s="268"/>
      <c r="C157" s="268"/>
      <c r="D157" s="268"/>
      <c r="E157" s="268"/>
      <c r="F157" s="268"/>
      <c r="G157" s="268"/>
      <c r="H157" s="268"/>
      <c r="I157" s="268"/>
      <c r="J157" s="268"/>
      <c r="K157" s="268"/>
      <c r="L157" s="334"/>
      <c r="M157" s="268"/>
      <c r="N157" s="268"/>
      <c r="O157" s="310"/>
      <c r="P157" s="268"/>
      <c r="Q157" s="334"/>
      <c r="R157" s="268"/>
      <c r="S157" s="313"/>
      <c r="T157" s="313"/>
      <c r="U157" s="268"/>
      <c r="V157" s="309"/>
      <c r="W157" s="310"/>
      <c r="X157" s="268"/>
      <c r="Y157" s="268"/>
      <c r="Z157" s="268"/>
    </row>
    <row r="158" spans="1:26" ht="24.75" customHeight="1">
      <c r="A158" s="268"/>
      <c r="B158" s="268"/>
      <c r="C158" s="268"/>
      <c r="D158" s="268"/>
      <c r="E158" s="268"/>
      <c r="F158" s="268"/>
      <c r="G158" s="268"/>
      <c r="H158" s="268"/>
      <c r="I158" s="268"/>
      <c r="J158" s="268"/>
      <c r="K158" s="268"/>
      <c r="L158" s="334"/>
      <c r="M158" s="268"/>
      <c r="N158" s="268"/>
      <c r="O158" s="310"/>
      <c r="P158" s="268"/>
      <c r="Q158" s="334"/>
      <c r="R158" s="268"/>
      <c r="S158" s="313"/>
      <c r="T158" s="313"/>
      <c r="U158" s="248"/>
      <c r="V158" s="253"/>
      <c r="W158" s="254"/>
      <c r="X158" s="248"/>
      <c r="Y158" s="248"/>
      <c r="Z158" s="248"/>
    </row>
    <row r="159" spans="1:26" ht="24.75" customHeight="1">
      <c r="A159" s="268"/>
      <c r="B159" s="268"/>
      <c r="C159" s="268"/>
      <c r="D159" s="268"/>
      <c r="E159" s="268"/>
      <c r="F159" s="268"/>
      <c r="G159" s="268"/>
      <c r="H159" s="268"/>
      <c r="I159" s="268"/>
      <c r="J159" s="268"/>
      <c r="K159" s="268"/>
      <c r="L159" s="334"/>
      <c r="M159" s="268"/>
      <c r="N159" s="268"/>
      <c r="O159" s="310"/>
      <c r="P159" s="268"/>
      <c r="Q159" s="334"/>
      <c r="R159" s="268"/>
      <c r="S159" s="313"/>
      <c r="T159" s="313"/>
      <c r="U159" s="268"/>
      <c r="V159" s="309"/>
      <c r="W159" s="310"/>
      <c r="X159" s="268"/>
      <c r="Y159" s="268"/>
      <c r="Z159" s="268"/>
    </row>
    <row r="160" spans="1:26" ht="24.75" customHeight="1">
      <c r="A160" s="268"/>
      <c r="B160" s="268"/>
      <c r="C160" s="268"/>
      <c r="D160" s="268"/>
      <c r="E160" s="268"/>
      <c r="F160" s="268"/>
      <c r="G160" s="268"/>
      <c r="H160" s="268"/>
      <c r="I160" s="268"/>
      <c r="J160" s="268"/>
      <c r="K160" s="268"/>
      <c r="L160" s="334"/>
      <c r="M160" s="268"/>
      <c r="N160" s="268"/>
      <c r="O160" s="310"/>
      <c r="P160" s="268"/>
      <c r="Q160" s="334"/>
      <c r="R160" s="268"/>
      <c r="S160" s="313"/>
      <c r="T160" s="313"/>
      <c r="U160" s="268"/>
      <c r="V160" s="309"/>
      <c r="W160" s="310"/>
      <c r="X160" s="268"/>
      <c r="Y160" s="268"/>
      <c r="Z160" s="268"/>
    </row>
    <row r="161" spans="1:26" ht="24.75" customHeight="1">
      <c r="A161" s="268"/>
      <c r="B161" s="268"/>
      <c r="C161" s="268"/>
      <c r="D161" s="268"/>
      <c r="E161" s="268"/>
      <c r="F161" s="268"/>
      <c r="G161" s="268"/>
      <c r="H161" s="268"/>
      <c r="I161" s="268"/>
      <c r="J161" s="268"/>
      <c r="K161" s="268"/>
      <c r="L161" s="334"/>
      <c r="M161" s="268"/>
      <c r="N161" s="268"/>
      <c r="O161" s="310"/>
      <c r="P161" s="268"/>
      <c r="Q161" s="334"/>
      <c r="R161" s="268"/>
      <c r="S161" s="313"/>
      <c r="T161" s="313"/>
      <c r="U161" s="268"/>
      <c r="V161" s="309"/>
      <c r="W161" s="310"/>
      <c r="X161" s="268"/>
      <c r="Y161" s="268"/>
      <c r="Z161" s="268"/>
    </row>
    <row r="162" spans="1:26" ht="24.75" customHeight="1">
      <c r="A162" s="268"/>
      <c r="B162" s="268"/>
      <c r="C162" s="268"/>
      <c r="D162" s="268"/>
      <c r="E162" s="268"/>
      <c r="F162" s="268"/>
      <c r="G162" s="268"/>
      <c r="H162" s="268"/>
      <c r="I162" s="268"/>
      <c r="J162" s="268"/>
      <c r="K162" s="268"/>
      <c r="L162" s="334"/>
      <c r="M162" s="268"/>
      <c r="N162" s="268"/>
      <c r="O162" s="310"/>
      <c r="P162" s="268"/>
      <c r="Q162" s="334"/>
      <c r="R162" s="268"/>
      <c r="S162" s="313"/>
      <c r="T162" s="313"/>
      <c r="U162" s="268"/>
      <c r="V162" s="309"/>
      <c r="W162" s="310"/>
      <c r="X162" s="268"/>
      <c r="Y162" s="268"/>
      <c r="Z162" s="268"/>
    </row>
    <row r="163" spans="1:26" ht="24.75" customHeight="1">
      <c r="A163" s="268"/>
      <c r="B163" s="268"/>
      <c r="C163" s="268"/>
      <c r="D163" s="268"/>
      <c r="E163" s="268"/>
      <c r="F163" s="268"/>
      <c r="G163" s="268"/>
      <c r="H163" s="268"/>
      <c r="I163" s="268"/>
      <c r="J163" s="268"/>
      <c r="K163" s="268"/>
      <c r="L163" s="334"/>
      <c r="M163" s="268"/>
      <c r="N163" s="268"/>
      <c r="O163" s="310"/>
      <c r="P163" s="268"/>
      <c r="Q163" s="334"/>
      <c r="R163" s="268"/>
      <c r="S163" s="313"/>
      <c r="T163" s="313"/>
      <c r="U163" s="268"/>
      <c r="V163" s="309"/>
      <c r="W163" s="310"/>
      <c r="X163" s="268"/>
      <c r="Y163" s="268"/>
      <c r="Z163" s="268"/>
    </row>
    <row r="164" spans="1:26" ht="24.75" customHeight="1">
      <c r="A164" s="268"/>
      <c r="B164" s="268"/>
      <c r="C164" s="268"/>
      <c r="D164" s="268"/>
      <c r="E164" s="268"/>
      <c r="F164" s="268"/>
      <c r="G164" s="268"/>
      <c r="H164" s="268"/>
      <c r="I164" s="268"/>
      <c r="J164" s="268"/>
      <c r="K164" s="268"/>
      <c r="L164" s="334"/>
      <c r="M164" s="268"/>
      <c r="N164" s="268"/>
      <c r="O164" s="310"/>
      <c r="P164" s="268"/>
      <c r="Q164" s="334"/>
      <c r="R164" s="268"/>
      <c r="S164" s="313"/>
      <c r="T164" s="313"/>
      <c r="U164" s="268"/>
      <c r="V164" s="309"/>
      <c r="W164" s="310"/>
      <c r="X164" s="268"/>
      <c r="Y164" s="268"/>
      <c r="Z164" s="268"/>
    </row>
    <row r="165" spans="1:26" ht="24.75" customHeight="1">
      <c r="A165" s="268"/>
      <c r="B165" s="268"/>
      <c r="C165" s="268"/>
      <c r="D165" s="268"/>
      <c r="E165" s="268"/>
      <c r="F165" s="268"/>
      <c r="G165" s="268"/>
      <c r="H165" s="268"/>
      <c r="I165" s="268"/>
      <c r="J165" s="268"/>
      <c r="K165" s="268"/>
      <c r="L165" s="334"/>
      <c r="M165" s="268"/>
      <c r="N165" s="268"/>
      <c r="O165" s="310"/>
      <c r="P165" s="268"/>
      <c r="Q165" s="334"/>
      <c r="R165" s="268"/>
      <c r="S165" s="313"/>
      <c r="T165" s="313"/>
      <c r="U165" s="268"/>
      <c r="V165" s="309"/>
      <c r="W165" s="310"/>
      <c r="X165" s="268"/>
      <c r="Y165" s="268"/>
      <c r="Z165" s="268"/>
    </row>
    <row r="166" spans="1:26" ht="24.75" customHeight="1">
      <c r="A166" s="268"/>
      <c r="B166" s="268"/>
      <c r="C166" s="268"/>
      <c r="D166" s="268"/>
      <c r="E166" s="268"/>
      <c r="F166" s="268"/>
      <c r="G166" s="268"/>
      <c r="H166" s="268"/>
      <c r="I166" s="268"/>
      <c r="J166" s="268"/>
      <c r="K166" s="268"/>
      <c r="L166" s="334"/>
      <c r="M166" s="268"/>
      <c r="N166" s="268"/>
      <c r="O166" s="310"/>
      <c r="P166" s="268"/>
      <c r="Q166" s="334"/>
      <c r="R166" s="268"/>
      <c r="S166" s="313"/>
      <c r="T166" s="313"/>
      <c r="U166" s="248"/>
      <c r="V166" s="253"/>
      <c r="W166" s="254"/>
      <c r="X166" s="248"/>
      <c r="Y166" s="248"/>
      <c r="Z166" s="248"/>
    </row>
    <row r="167" spans="1:26" ht="24.75" customHeight="1">
      <c r="A167" s="268"/>
      <c r="B167" s="268"/>
      <c r="C167" s="268"/>
      <c r="D167" s="268"/>
      <c r="E167" s="268"/>
      <c r="F167" s="268"/>
      <c r="G167" s="268"/>
      <c r="H167" s="268"/>
      <c r="I167" s="268"/>
      <c r="J167" s="268"/>
      <c r="K167" s="268"/>
      <c r="L167" s="334"/>
      <c r="M167" s="268"/>
      <c r="N167" s="268"/>
      <c r="O167" s="310"/>
      <c r="P167" s="268"/>
      <c r="Q167" s="334"/>
      <c r="R167" s="268"/>
      <c r="S167" s="313"/>
      <c r="T167" s="313"/>
      <c r="U167" s="268"/>
      <c r="V167" s="309"/>
      <c r="W167" s="310"/>
      <c r="X167" s="268"/>
      <c r="Y167" s="268"/>
      <c r="Z167" s="268"/>
    </row>
    <row r="168" spans="1:26" ht="24.75" customHeight="1">
      <c r="A168" s="268"/>
      <c r="B168" s="268"/>
      <c r="C168" s="268"/>
      <c r="D168" s="268"/>
      <c r="E168" s="268"/>
      <c r="F168" s="268"/>
      <c r="G168" s="268"/>
      <c r="H168" s="268"/>
      <c r="I168" s="268"/>
      <c r="J168" s="268"/>
      <c r="K168" s="268"/>
      <c r="L168" s="334"/>
      <c r="M168" s="268"/>
      <c r="N168" s="268"/>
      <c r="O168" s="310"/>
      <c r="P168" s="268"/>
      <c r="Q168" s="334"/>
      <c r="R168" s="268"/>
      <c r="S168" s="313"/>
      <c r="T168" s="313"/>
      <c r="U168" s="268"/>
      <c r="V168" s="309"/>
      <c r="W168" s="310"/>
      <c r="X168" s="268"/>
      <c r="Y168" s="268"/>
      <c r="Z168" s="268"/>
    </row>
    <row r="169" spans="1:26" ht="24.75" customHeight="1">
      <c r="A169" s="268"/>
      <c r="B169" s="268"/>
      <c r="C169" s="268"/>
      <c r="D169" s="268"/>
      <c r="E169" s="268"/>
      <c r="F169" s="268"/>
      <c r="G169" s="268"/>
      <c r="H169" s="268"/>
      <c r="I169" s="268"/>
      <c r="J169" s="268"/>
      <c r="K169" s="268"/>
      <c r="L169" s="334"/>
      <c r="M169" s="268"/>
      <c r="N169" s="268"/>
      <c r="O169" s="310"/>
      <c r="P169" s="268"/>
      <c r="Q169" s="334"/>
      <c r="R169" s="268"/>
      <c r="S169" s="263"/>
      <c r="T169" s="313"/>
      <c r="U169" s="313"/>
      <c r="V169" s="263"/>
      <c r="W169" s="263"/>
      <c r="X169" s="263"/>
      <c r="Y169" s="263"/>
      <c r="Z169" s="263"/>
    </row>
    <row r="170" spans="1:26" ht="24.75" customHeight="1">
      <c r="A170" s="268"/>
      <c r="B170" s="268"/>
      <c r="C170" s="268"/>
      <c r="D170" s="268"/>
      <c r="E170" s="268"/>
      <c r="F170" s="268"/>
      <c r="G170" s="268"/>
      <c r="H170" s="268"/>
      <c r="I170" s="268"/>
      <c r="J170" s="268"/>
      <c r="K170" s="268"/>
      <c r="L170" s="334"/>
      <c r="M170" s="268"/>
      <c r="N170" s="268"/>
      <c r="O170" s="310"/>
      <c r="P170" s="268"/>
      <c r="Q170" s="334"/>
      <c r="R170" s="268"/>
      <c r="S170" s="313"/>
      <c r="T170" s="313"/>
      <c r="U170" s="268"/>
      <c r="V170" s="309"/>
      <c r="W170" s="310"/>
      <c r="X170" s="268"/>
      <c r="Y170" s="268"/>
      <c r="Z170" s="268"/>
    </row>
    <row r="171" spans="1:26" ht="24.75" customHeight="1">
      <c r="A171" s="268"/>
      <c r="B171" s="268"/>
      <c r="C171" s="268"/>
      <c r="D171" s="268"/>
      <c r="E171" s="268"/>
      <c r="F171" s="268"/>
      <c r="G171" s="268"/>
      <c r="H171" s="268"/>
      <c r="I171" s="268"/>
      <c r="J171" s="268"/>
      <c r="K171" s="268"/>
      <c r="L171" s="334"/>
      <c r="M171" s="268"/>
      <c r="N171" s="268"/>
      <c r="O171" s="310"/>
      <c r="P171" s="268"/>
      <c r="Q171" s="334"/>
      <c r="R171" s="268"/>
      <c r="S171" s="313"/>
      <c r="T171" s="313"/>
      <c r="U171" s="268"/>
      <c r="V171" s="309"/>
      <c r="W171" s="310"/>
      <c r="X171" s="268"/>
      <c r="Y171" s="268"/>
      <c r="Z171" s="268"/>
    </row>
    <row r="172" spans="1:26" ht="24.75" customHeight="1">
      <c r="A172" s="268"/>
      <c r="B172" s="268"/>
      <c r="C172" s="268"/>
      <c r="D172" s="268"/>
      <c r="E172" s="268"/>
      <c r="F172" s="268"/>
      <c r="G172" s="268"/>
      <c r="H172" s="268"/>
      <c r="I172" s="268"/>
      <c r="J172" s="268"/>
      <c r="K172" s="268"/>
      <c r="L172" s="334"/>
      <c r="M172" s="268"/>
      <c r="N172" s="268"/>
      <c r="O172" s="310"/>
      <c r="P172" s="268"/>
      <c r="Q172" s="334"/>
      <c r="R172" s="268"/>
      <c r="S172" s="313"/>
      <c r="T172" s="313"/>
      <c r="U172" s="268"/>
      <c r="V172" s="309"/>
      <c r="W172" s="310"/>
      <c r="X172" s="268"/>
      <c r="Y172" s="268"/>
      <c r="Z172" s="268"/>
    </row>
    <row r="173" spans="1:26" ht="24.75" customHeight="1">
      <c r="A173" s="268"/>
      <c r="B173" s="268"/>
      <c r="C173" s="268"/>
      <c r="D173" s="268"/>
      <c r="E173" s="268"/>
      <c r="F173" s="268"/>
      <c r="G173" s="268"/>
      <c r="H173" s="268"/>
      <c r="I173" s="268"/>
      <c r="J173" s="268"/>
      <c r="K173" s="268"/>
      <c r="L173" s="334"/>
      <c r="M173" s="268"/>
      <c r="N173" s="268"/>
      <c r="O173" s="310"/>
      <c r="P173" s="268"/>
      <c r="Q173" s="334"/>
      <c r="R173" s="268"/>
      <c r="S173" s="313"/>
      <c r="T173" s="313"/>
      <c r="U173" s="248"/>
      <c r="V173" s="253"/>
      <c r="W173" s="254"/>
      <c r="X173" s="248"/>
      <c r="Y173" s="248"/>
      <c r="Z173" s="248"/>
    </row>
    <row r="174" spans="1:26" ht="24.75" customHeight="1">
      <c r="A174" s="268"/>
      <c r="B174" s="268"/>
      <c r="C174" s="268"/>
      <c r="D174" s="268"/>
      <c r="E174" s="268"/>
      <c r="F174" s="268"/>
      <c r="G174" s="268"/>
      <c r="H174" s="268"/>
      <c r="I174" s="268"/>
      <c r="J174" s="268"/>
      <c r="K174" s="268"/>
      <c r="L174" s="334"/>
      <c r="M174" s="268"/>
      <c r="N174" s="268"/>
      <c r="O174" s="310"/>
      <c r="P174" s="268"/>
      <c r="Q174" s="334"/>
      <c r="R174" s="268"/>
      <c r="S174" s="313"/>
      <c r="T174" s="313"/>
      <c r="U174" s="268"/>
      <c r="V174" s="309"/>
      <c r="W174" s="310"/>
      <c r="X174" s="268"/>
      <c r="Y174" s="268"/>
      <c r="Z174" s="268"/>
    </row>
    <row r="175" spans="1:26" ht="24.75" customHeight="1">
      <c r="A175" s="268"/>
      <c r="B175" s="268"/>
      <c r="C175" s="268"/>
      <c r="D175" s="268"/>
      <c r="E175" s="268"/>
      <c r="F175" s="268"/>
      <c r="G175" s="268"/>
      <c r="H175" s="268"/>
      <c r="I175" s="268"/>
      <c r="J175" s="268"/>
      <c r="K175" s="268"/>
      <c r="L175" s="334"/>
      <c r="M175" s="268"/>
      <c r="N175" s="268"/>
      <c r="O175" s="310"/>
      <c r="P175" s="268"/>
      <c r="Q175" s="334"/>
      <c r="R175" s="268"/>
      <c r="S175" s="313"/>
      <c r="T175" s="313"/>
      <c r="U175" s="268"/>
      <c r="V175" s="309"/>
      <c r="W175" s="310"/>
      <c r="X175" s="268"/>
      <c r="Y175" s="268"/>
      <c r="Z175" s="268"/>
    </row>
    <row r="176" spans="1:26" ht="24.75" customHeight="1">
      <c r="A176" s="268"/>
      <c r="B176" s="268"/>
      <c r="C176" s="268"/>
      <c r="D176" s="268"/>
      <c r="E176" s="268"/>
      <c r="F176" s="268"/>
      <c r="G176" s="268"/>
      <c r="H176" s="268"/>
      <c r="I176" s="268"/>
      <c r="J176" s="268"/>
      <c r="K176" s="268"/>
      <c r="L176" s="334"/>
      <c r="M176" s="268"/>
      <c r="N176" s="268"/>
      <c r="O176" s="310"/>
      <c r="P176" s="268"/>
      <c r="Q176" s="334"/>
      <c r="R176" s="268"/>
      <c r="S176" s="313"/>
      <c r="T176" s="313"/>
      <c r="U176" s="268"/>
      <c r="V176" s="309"/>
      <c r="W176" s="310"/>
      <c r="X176" s="268"/>
      <c r="Y176" s="268"/>
      <c r="Z176" s="268"/>
    </row>
    <row r="177" spans="1:26" ht="24.75" customHeight="1">
      <c r="A177" s="268"/>
      <c r="B177" s="268"/>
      <c r="C177" s="268"/>
      <c r="D177" s="268"/>
      <c r="E177" s="268"/>
      <c r="F177" s="268"/>
      <c r="G177" s="268"/>
      <c r="H177" s="268"/>
      <c r="I177" s="268"/>
      <c r="J177" s="268"/>
      <c r="K177" s="268"/>
      <c r="L177" s="334"/>
      <c r="M177" s="268"/>
      <c r="N177" s="268"/>
      <c r="O177" s="310"/>
      <c r="P177" s="268"/>
      <c r="Q177" s="334"/>
      <c r="R177" s="268"/>
      <c r="S177" s="313"/>
      <c r="T177" s="313"/>
      <c r="U177" s="268"/>
      <c r="V177" s="309"/>
      <c r="W177" s="310"/>
      <c r="X177" s="268"/>
      <c r="Y177" s="268"/>
      <c r="Z177" s="268"/>
    </row>
    <row r="178" spans="1:26" ht="24.75" customHeight="1">
      <c r="A178" s="268"/>
      <c r="B178" s="268"/>
      <c r="C178" s="268"/>
      <c r="D178" s="268"/>
      <c r="E178" s="268"/>
      <c r="F178" s="268"/>
      <c r="G178" s="268"/>
      <c r="H178" s="268"/>
      <c r="I178" s="268"/>
      <c r="J178" s="268"/>
      <c r="K178" s="268"/>
      <c r="L178" s="334"/>
      <c r="M178" s="268"/>
      <c r="N178" s="268"/>
      <c r="O178" s="310"/>
      <c r="P178" s="268"/>
      <c r="Q178" s="334"/>
      <c r="R178" s="268"/>
      <c r="S178" s="313"/>
      <c r="T178" s="313"/>
      <c r="U178" s="268"/>
      <c r="V178" s="309"/>
      <c r="W178" s="310"/>
      <c r="X178" s="268"/>
      <c r="Y178" s="268"/>
      <c r="Z178" s="268"/>
    </row>
    <row r="179" spans="1:26" ht="24.75" customHeight="1">
      <c r="A179" s="268"/>
      <c r="B179" s="268"/>
      <c r="C179" s="268"/>
      <c r="D179" s="268"/>
      <c r="E179" s="268"/>
      <c r="F179" s="268"/>
      <c r="G179" s="268"/>
      <c r="H179" s="268"/>
      <c r="I179" s="268"/>
      <c r="J179" s="268"/>
      <c r="K179" s="268"/>
      <c r="L179" s="334"/>
      <c r="M179" s="268"/>
      <c r="N179" s="268"/>
      <c r="O179" s="310"/>
      <c r="P179" s="268"/>
      <c r="Q179" s="334"/>
      <c r="R179" s="268"/>
      <c r="S179" s="313"/>
      <c r="T179" s="313"/>
      <c r="U179" s="268"/>
      <c r="V179" s="309"/>
      <c r="W179" s="310"/>
      <c r="X179" s="268"/>
      <c r="Y179" s="268"/>
      <c r="Z179" s="268"/>
    </row>
    <row r="180" spans="1:26" ht="24.75" customHeight="1">
      <c r="A180" s="268"/>
      <c r="B180" s="268"/>
      <c r="C180" s="268"/>
      <c r="D180" s="268"/>
      <c r="E180" s="268"/>
      <c r="F180" s="268"/>
      <c r="G180" s="268"/>
      <c r="H180" s="268"/>
      <c r="I180" s="268"/>
      <c r="J180" s="268"/>
      <c r="K180" s="268"/>
      <c r="L180" s="334"/>
      <c r="M180" s="268"/>
      <c r="N180" s="268"/>
      <c r="O180" s="310"/>
      <c r="P180" s="268"/>
      <c r="Q180" s="334"/>
      <c r="R180" s="268"/>
      <c r="S180" s="313"/>
      <c r="T180" s="313"/>
      <c r="U180" s="268"/>
      <c r="V180" s="309"/>
      <c r="W180" s="310"/>
      <c r="X180" s="268"/>
      <c r="Y180" s="268"/>
      <c r="Z180" s="268"/>
    </row>
    <row r="181" spans="1:26" ht="24.75" customHeight="1">
      <c r="A181" s="268"/>
      <c r="B181" s="268"/>
      <c r="C181" s="268"/>
      <c r="D181" s="268"/>
      <c r="E181" s="268"/>
      <c r="F181" s="268"/>
      <c r="G181" s="268"/>
      <c r="H181" s="268"/>
      <c r="I181" s="268"/>
      <c r="J181" s="268"/>
      <c r="K181" s="268"/>
      <c r="L181" s="334"/>
      <c r="M181" s="268"/>
      <c r="N181" s="268"/>
      <c r="O181" s="310"/>
      <c r="P181" s="268"/>
      <c r="Q181" s="334"/>
      <c r="R181" s="268"/>
      <c r="S181" s="313"/>
      <c r="T181" s="313"/>
      <c r="U181" s="268"/>
      <c r="V181" s="309"/>
      <c r="W181" s="310"/>
      <c r="X181" s="268"/>
      <c r="Y181" s="268"/>
      <c r="Z181" s="268"/>
    </row>
    <row r="182" spans="1:26" ht="24.75" customHeight="1">
      <c r="A182" s="268"/>
      <c r="B182" s="268"/>
      <c r="C182" s="268"/>
      <c r="D182" s="268"/>
      <c r="E182" s="268"/>
      <c r="F182" s="268"/>
      <c r="G182" s="268"/>
      <c r="H182" s="268"/>
      <c r="I182" s="268"/>
      <c r="J182" s="268"/>
      <c r="K182" s="268"/>
      <c r="L182" s="334"/>
      <c r="M182" s="268"/>
      <c r="N182" s="268"/>
      <c r="O182" s="310"/>
      <c r="P182" s="268"/>
      <c r="Q182" s="334"/>
      <c r="R182" s="268"/>
      <c r="S182" s="313"/>
      <c r="T182" s="313"/>
      <c r="U182" s="268"/>
      <c r="V182" s="309"/>
      <c r="W182" s="310"/>
      <c r="X182" s="268"/>
      <c r="Y182" s="268"/>
      <c r="Z182" s="268"/>
    </row>
    <row r="183" spans="1:26" ht="24.75" customHeight="1">
      <c r="A183" s="268"/>
      <c r="B183" s="268"/>
      <c r="C183" s="268"/>
      <c r="D183" s="268"/>
      <c r="E183" s="268"/>
      <c r="F183" s="268"/>
      <c r="G183" s="268"/>
      <c r="H183" s="268"/>
      <c r="I183" s="268"/>
      <c r="J183" s="268"/>
      <c r="K183" s="268"/>
      <c r="L183" s="334"/>
      <c r="M183" s="268"/>
      <c r="N183" s="268"/>
      <c r="O183" s="310"/>
      <c r="P183" s="268"/>
      <c r="Q183" s="334"/>
      <c r="R183" s="268"/>
      <c r="S183" s="313"/>
      <c r="T183" s="313"/>
      <c r="U183" s="268"/>
      <c r="V183" s="309"/>
      <c r="W183" s="310"/>
      <c r="X183" s="268"/>
      <c r="Y183" s="268"/>
      <c r="Z183" s="268"/>
    </row>
    <row r="184" spans="1:26" ht="24.75" customHeight="1">
      <c r="A184" s="268"/>
      <c r="B184" s="268"/>
      <c r="C184" s="268"/>
      <c r="D184" s="268"/>
      <c r="E184" s="268"/>
      <c r="F184" s="268"/>
      <c r="G184" s="268"/>
      <c r="H184" s="268"/>
      <c r="I184" s="268"/>
      <c r="J184" s="268"/>
      <c r="K184" s="268"/>
      <c r="L184" s="334"/>
      <c r="M184" s="268"/>
      <c r="N184" s="268"/>
      <c r="O184" s="310"/>
      <c r="P184" s="268"/>
      <c r="Q184" s="334"/>
      <c r="R184" s="268"/>
      <c r="S184" s="313"/>
      <c r="T184" s="313"/>
      <c r="U184" s="268"/>
      <c r="V184" s="309"/>
      <c r="W184" s="310"/>
      <c r="X184" s="268"/>
      <c r="Y184" s="268"/>
      <c r="Z184" s="268"/>
    </row>
    <row r="185" spans="1:26" ht="24.75" customHeight="1">
      <c r="A185" s="268"/>
      <c r="B185" s="268"/>
      <c r="C185" s="268"/>
      <c r="D185" s="268"/>
      <c r="E185" s="268"/>
      <c r="F185" s="268"/>
      <c r="G185" s="268"/>
      <c r="H185" s="268"/>
      <c r="I185" s="268"/>
      <c r="J185" s="268"/>
      <c r="K185" s="268"/>
      <c r="L185" s="334"/>
      <c r="M185" s="268"/>
      <c r="N185" s="268"/>
      <c r="O185" s="310"/>
      <c r="P185" s="268"/>
      <c r="Q185" s="334"/>
      <c r="R185" s="268"/>
      <c r="S185" s="313"/>
      <c r="T185" s="313"/>
      <c r="U185" s="268"/>
      <c r="V185" s="309"/>
      <c r="W185" s="310"/>
      <c r="X185" s="268"/>
      <c r="Y185" s="268"/>
      <c r="Z185" s="268"/>
    </row>
    <row r="186" spans="1:26" ht="24.75" customHeight="1">
      <c r="A186" s="268"/>
      <c r="B186" s="268"/>
      <c r="C186" s="268"/>
      <c r="D186" s="268"/>
      <c r="E186" s="268"/>
      <c r="F186" s="268"/>
      <c r="G186" s="268"/>
      <c r="H186" s="268"/>
      <c r="I186" s="268"/>
      <c r="J186" s="268"/>
      <c r="K186" s="268"/>
      <c r="L186" s="334"/>
      <c r="M186" s="268"/>
      <c r="N186" s="268"/>
      <c r="O186" s="310"/>
      <c r="P186" s="268"/>
      <c r="Q186" s="334"/>
      <c r="R186" s="268"/>
      <c r="S186" s="313"/>
      <c r="T186" s="313"/>
      <c r="U186" s="268"/>
      <c r="V186" s="309"/>
      <c r="W186" s="310"/>
      <c r="X186" s="268"/>
      <c r="Y186" s="268"/>
      <c r="Z186" s="268"/>
    </row>
    <row r="187" spans="1:26" ht="24.75" customHeight="1">
      <c r="A187" s="268"/>
      <c r="B187" s="268"/>
      <c r="C187" s="268"/>
      <c r="D187" s="268"/>
      <c r="E187" s="268"/>
      <c r="F187" s="268"/>
      <c r="G187" s="268"/>
      <c r="H187" s="268"/>
      <c r="I187" s="268"/>
      <c r="J187" s="268"/>
      <c r="K187" s="268"/>
      <c r="L187" s="334"/>
      <c r="M187" s="268"/>
      <c r="N187" s="268"/>
      <c r="O187" s="310"/>
      <c r="P187" s="268"/>
      <c r="Q187" s="334"/>
      <c r="R187" s="268"/>
      <c r="S187" s="313"/>
      <c r="T187" s="313"/>
      <c r="U187" s="268"/>
      <c r="V187" s="309"/>
      <c r="W187" s="310"/>
      <c r="X187" s="268"/>
      <c r="Y187" s="268"/>
      <c r="Z187" s="268"/>
    </row>
    <row r="188" spans="1:26" ht="24.75" customHeight="1">
      <c r="A188" s="268"/>
      <c r="B188" s="268"/>
      <c r="C188" s="268"/>
      <c r="D188" s="268"/>
      <c r="E188" s="268"/>
      <c r="F188" s="268"/>
      <c r="G188" s="268"/>
      <c r="H188" s="268"/>
      <c r="I188" s="268"/>
      <c r="J188" s="268"/>
      <c r="K188" s="268"/>
      <c r="L188" s="334"/>
      <c r="M188" s="268"/>
      <c r="N188" s="268"/>
      <c r="O188" s="310"/>
      <c r="P188" s="268"/>
      <c r="Q188" s="334"/>
      <c r="R188" s="268"/>
      <c r="S188" s="313"/>
      <c r="T188" s="313"/>
      <c r="U188" s="268"/>
      <c r="V188" s="309"/>
      <c r="W188" s="310"/>
      <c r="X188" s="268"/>
      <c r="Y188" s="268"/>
      <c r="Z188" s="268"/>
    </row>
    <row r="189" spans="1:26" ht="24.75" customHeight="1">
      <c r="A189" s="268"/>
      <c r="B189" s="268"/>
      <c r="C189" s="268"/>
      <c r="D189" s="268"/>
      <c r="E189" s="268"/>
      <c r="F189" s="268"/>
      <c r="G189" s="268"/>
      <c r="H189" s="268"/>
      <c r="I189" s="268"/>
      <c r="J189" s="268"/>
      <c r="K189" s="268"/>
      <c r="L189" s="334"/>
      <c r="M189" s="268"/>
      <c r="N189" s="268"/>
      <c r="O189" s="310"/>
      <c r="P189" s="268"/>
      <c r="Q189" s="334"/>
      <c r="R189" s="268"/>
      <c r="S189" s="313"/>
      <c r="T189" s="313"/>
      <c r="U189" s="268"/>
      <c r="V189" s="309"/>
      <c r="W189" s="310"/>
      <c r="X189" s="268"/>
      <c r="Y189" s="268"/>
      <c r="Z189" s="268"/>
    </row>
    <row r="190" spans="1:26" ht="24.75" customHeight="1">
      <c r="A190" s="268"/>
      <c r="B190" s="268"/>
      <c r="C190" s="268"/>
      <c r="D190" s="268"/>
      <c r="E190" s="268"/>
      <c r="F190" s="268"/>
      <c r="G190" s="268"/>
      <c r="H190" s="268"/>
      <c r="I190" s="268"/>
      <c r="J190" s="268"/>
      <c r="K190" s="268"/>
      <c r="L190" s="334"/>
      <c r="M190" s="268"/>
      <c r="N190" s="268"/>
      <c r="O190" s="310"/>
      <c r="P190" s="268"/>
      <c r="Q190" s="334"/>
      <c r="R190" s="268"/>
      <c r="S190" s="313"/>
      <c r="T190" s="313"/>
      <c r="U190" s="230"/>
      <c r="V190" s="256"/>
      <c r="W190" s="257"/>
      <c r="X190" s="230"/>
      <c r="Y190" s="230"/>
      <c r="Z190" s="230"/>
    </row>
    <row r="191" spans="1:26" ht="24.75" customHeight="1">
      <c r="A191" s="268"/>
      <c r="B191" s="268"/>
      <c r="C191" s="268"/>
      <c r="D191" s="268"/>
      <c r="E191" s="268"/>
      <c r="F191" s="268"/>
      <c r="G191" s="268"/>
      <c r="H191" s="268"/>
      <c r="I191" s="268"/>
      <c r="J191" s="268"/>
      <c r="K191" s="268"/>
      <c r="L191" s="334"/>
      <c r="M191" s="268"/>
      <c r="N191" s="268"/>
      <c r="O191" s="310"/>
      <c r="P191" s="268"/>
      <c r="Q191" s="334"/>
      <c r="R191" s="268"/>
      <c r="S191" s="313"/>
      <c r="T191" s="313"/>
      <c r="U191" s="230"/>
      <c r="V191" s="256"/>
      <c r="W191" s="257"/>
      <c r="X191" s="230"/>
      <c r="Y191" s="230"/>
      <c r="Z191" s="230"/>
    </row>
    <row r="192" spans="1:26" ht="24.75" customHeight="1">
      <c r="A192" s="268"/>
      <c r="B192" s="268"/>
      <c r="C192" s="268"/>
      <c r="D192" s="268"/>
      <c r="E192" s="268"/>
      <c r="F192" s="268"/>
      <c r="G192" s="268"/>
      <c r="H192" s="268"/>
      <c r="I192" s="268"/>
      <c r="J192" s="268"/>
      <c r="K192" s="268"/>
      <c r="L192" s="334"/>
      <c r="M192" s="268"/>
      <c r="N192" s="268"/>
      <c r="O192" s="310"/>
      <c r="P192" s="268"/>
      <c r="Q192" s="334"/>
      <c r="R192" s="268"/>
      <c r="S192" s="313"/>
      <c r="T192" s="313"/>
      <c r="U192" s="268"/>
      <c r="V192" s="309"/>
      <c r="W192" s="310"/>
      <c r="X192" s="268"/>
      <c r="Y192" s="268"/>
      <c r="Z192" s="268"/>
    </row>
    <row r="193" spans="1:26" ht="24.75" customHeight="1">
      <c r="A193" s="268"/>
      <c r="B193" s="268"/>
      <c r="C193" s="268"/>
      <c r="D193" s="268"/>
      <c r="E193" s="268"/>
      <c r="F193" s="268"/>
      <c r="G193" s="268"/>
      <c r="H193" s="268"/>
      <c r="I193" s="268"/>
      <c r="J193" s="268"/>
      <c r="K193" s="268"/>
      <c r="L193" s="334"/>
      <c r="M193" s="268"/>
      <c r="N193" s="268"/>
      <c r="O193" s="310"/>
      <c r="P193" s="268"/>
      <c r="Q193" s="334"/>
      <c r="R193" s="268"/>
      <c r="S193" s="313"/>
      <c r="T193" s="313"/>
      <c r="U193" s="268"/>
      <c r="V193" s="309"/>
      <c r="W193" s="310"/>
      <c r="X193" s="268"/>
      <c r="Y193" s="268"/>
      <c r="Z193" s="268"/>
    </row>
    <row r="194" spans="1:26" ht="24.75" customHeight="1">
      <c r="A194" s="268"/>
      <c r="B194" s="268"/>
      <c r="C194" s="268"/>
      <c r="D194" s="268"/>
      <c r="E194" s="268"/>
      <c r="F194" s="268"/>
      <c r="G194" s="268"/>
      <c r="H194" s="268"/>
      <c r="I194" s="268"/>
      <c r="J194" s="268"/>
      <c r="K194" s="268"/>
      <c r="L194" s="334"/>
      <c r="M194" s="268"/>
      <c r="N194" s="268"/>
      <c r="O194" s="310"/>
      <c r="P194" s="268"/>
      <c r="Q194" s="334"/>
      <c r="R194" s="268"/>
      <c r="S194" s="313"/>
      <c r="T194" s="313"/>
      <c r="U194" s="268"/>
      <c r="V194" s="309"/>
      <c r="W194" s="310"/>
      <c r="X194" s="268"/>
      <c r="Y194" s="268"/>
      <c r="Z194" s="268"/>
    </row>
    <row r="195" spans="1:26" ht="24.75" customHeight="1">
      <c r="A195" s="268"/>
      <c r="B195" s="268"/>
      <c r="C195" s="268"/>
      <c r="D195" s="268"/>
      <c r="E195" s="268"/>
      <c r="F195" s="268"/>
      <c r="G195" s="268"/>
      <c r="H195" s="268"/>
      <c r="I195" s="268"/>
      <c r="J195" s="268"/>
      <c r="K195" s="268"/>
      <c r="L195" s="334"/>
      <c r="M195" s="268"/>
      <c r="N195" s="268"/>
      <c r="O195" s="310"/>
      <c r="P195" s="268"/>
      <c r="Q195" s="334"/>
      <c r="R195" s="268"/>
      <c r="S195" s="313"/>
      <c r="T195" s="313"/>
      <c r="U195" s="268"/>
      <c r="V195" s="309"/>
      <c r="W195" s="310"/>
      <c r="X195" s="268"/>
      <c r="Y195" s="268"/>
      <c r="Z195" s="268"/>
    </row>
    <row r="196" spans="1:26" ht="24.75" customHeight="1">
      <c r="A196" s="268"/>
      <c r="B196" s="268"/>
      <c r="C196" s="268"/>
      <c r="D196" s="268"/>
      <c r="E196" s="268"/>
      <c r="F196" s="268"/>
      <c r="G196" s="268"/>
      <c r="H196" s="268"/>
      <c r="I196" s="268"/>
      <c r="J196" s="268"/>
      <c r="K196" s="268"/>
      <c r="L196" s="334"/>
      <c r="M196" s="268"/>
      <c r="N196" s="268"/>
      <c r="O196" s="310"/>
      <c r="P196" s="268"/>
      <c r="Q196" s="334"/>
      <c r="R196" s="268"/>
      <c r="S196" s="313"/>
      <c r="T196" s="313"/>
      <c r="U196" s="268"/>
      <c r="V196" s="309"/>
      <c r="W196" s="310"/>
      <c r="X196" s="268"/>
      <c r="Y196" s="268"/>
      <c r="Z196" s="268"/>
    </row>
    <row r="197" spans="1:26" ht="24.75" customHeight="1">
      <c r="A197" s="268"/>
      <c r="B197" s="268"/>
      <c r="C197" s="268"/>
      <c r="D197" s="268"/>
      <c r="E197" s="268"/>
      <c r="F197" s="268"/>
      <c r="G197" s="268"/>
      <c r="H197" s="268"/>
      <c r="I197" s="268"/>
      <c r="J197" s="268"/>
      <c r="K197" s="268"/>
      <c r="L197" s="334"/>
      <c r="M197" s="268"/>
      <c r="N197" s="268"/>
      <c r="O197" s="310"/>
      <c r="P197" s="268"/>
      <c r="Q197" s="334"/>
      <c r="R197" s="268"/>
      <c r="S197" s="313"/>
      <c r="T197" s="313"/>
      <c r="U197" s="268"/>
      <c r="V197" s="309"/>
      <c r="W197" s="310"/>
      <c r="X197" s="268"/>
      <c r="Y197" s="268"/>
      <c r="Z197" s="268"/>
    </row>
    <row r="198" spans="1:26" ht="24.75" customHeight="1">
      <c r="A198" s="268"/>
      <c r="B198" s="268"/>
      <c r="C198" s="268"/>
      <c r="D198" s="268"/>
      <c r="E198" s="268"/>
      <c r="F198" s="268"/>
      <c r="G198" s="268"/>
      <c r="H198" s="268"/>
      <c r="I198" s="268"/>
      <c r="J198" s="268"/>
      <c r="K198" s="268"/>
      <c r="L198" s="334"/>
      <c r="M198" s="268"/>
      <c r="N198" s="268"/>
      <c r="O198" s="310"/>
      <c r="P198" s="268"/>
      <c r="Q198" s="334"/>
      <c r="R198" s="268"/>
      <c r="S198" s="313"/>
      <c r="T198" s="313"/>
      <c r="U198" s="230"/>
      <c r="V198" s="256"/>
      <c r="W198" s="257"/>
      <c r="X198" s="230"/>
      <c r="Y198" s="230"/>
      <c r="Z198" s="230"/>
    </row>
    <row r="199" spans="1:26" ht="24.75" customHeight="1">
      <c r="A199" s="268"/>
      <c r="B199" s="268"/>
      <c r="C199" s="268"/>
      <c r="D199" s="268"/>
      <c r="E199" s="268"/>
      <c r="F199" s="268"/>
      <c r="G199" s="268"/>
      <c r="H199" s="268"/>
      <c r="I199" s="268"/>
      <c r="J199" s="268"/>
      <c r="K199" s="268"/>
      <c r="L199" s="334"/>
      <c r="M199" s="268"/>
      <c r="N199" s="268"/>
      <c r="O199" s="310"/>
      <c r="P199" s="268"/>
      <c r="Q199" s="334"/>
      <c r="R199" s="268"/>
      <c r="S199" s="313"/>
      <c r="T199" s="313"/>
      <c r="U199" s="268"/>
      <c r="V199" s="309"/>
      <c r="W199" s="310"/>
      <c r="X199" s="268"/>
      <c r="Y199" s="268"/>
      <c r="Z199" s="268"/>
    </row>
    <row r="200" spans="1:26" ht="24.75" customHeight="1">
      <c r="A200" s="268"/>
      <c r="B200" s="268"/>
      <c r="C200" s="268"/>
      <c r="D200" s="268"/>
      <c r="E200" s="268"/>
      <c r="F200" s="268"/>
      <c r="G200" s="268"/>
      <c r="H200" s="268"/>
      <c r="I200" s="268"/>
      <c r="J200" s="268"/>
      <c r="K200" s="268"/>
      <c r="L200" s="334"/>
      <c r="M200" s="268"/>
      <c r="N200" s="268"/>
      <c r="O200" s="310"/>
      <c r="P200" s="268"/>
      <c r="Q200" s="334"/>
      <c r="R200" s="268"/>
      <c r="S200" s="313"/>
      <c r="T200" s="313"/>
      <c r="U200" s="230"/>
      <c r="V200" s="256"/>
      <c r="W200" s="257"/>
      <c r="X200" s="230"/>
      <c r="Y200" s="230"/>
      <c r="Z200" s="230"/>
    </row>
    <row r="201" spans="1:26" ht="24.75" customHeight="1">
      <c r="A201" s="268"/>
      <c r="B201" s="268"/>
      <c r="C201" s="268"/>
      <c r="D201" s="268"/>
      <c r="E201" s="268"/>
      <c r="F201" s="268"/>
      <c r="G201" s="268"/>
      <c r="H201" s="268"/>
      <c r="I201" s="268"/>
      <c r="J201" s="268"/>
      <c r="K201" s="268"/>
      <c r="L201" s="334"/>
      <c r="M201" s="268"/>
      <c r="N201" s="268"/>
      <c r="O201" s="310"/>
      <c r="P201" s="268"/>
      <c r="Q201" s="334"/>
      <c r="R201" s="268"/>
      <c r="S201" s="313"/>
      <c r="T201" s="313"/>
      <c r="U201" s="268"/>
      <c r="V201" s="309"/>
      <c r="W201" s="310"/>
      <c r="X201" s="268"/>
      <c r="Y201" s="268"/>
      <c r="Z201" s="268"/>
    </row>
    <row r="202" spans="1:26" ht="24.75" customHeight="1">
      <c r="A202" s="268"/>
      <c r="B202" s="268"/>
      <c r="C202" s="268"/>
      <c r="D202" s="268"/>
      <c r="E202" s="268"/>
      <c r="F202" s="268"/>
      <c r="G202" s="268"/>
      <c r="H202" s="268"/>
      <c r="I202" s="268"/>
      <c r="J202" s="268"/>
      <c r="K202" s="268"/>
      <c r="L202" s="334"/>
      <c r="M202" s="268"/>
      <c r="N202" s="268"/>
      <c r="O202" s="310"/>
      <c r="P202" s="268"/>
      <c r="Q202" s="334"/>
      <c r="R202" s="268"/>
      <c r="S202" s="313"/>
      <c r="T202" s="313"/>
      <c r="U202" s="268"/>
      <c r="V202" s="309"/>
      <c r="W202" s="310"/>
      <c r="X202" s="268"/>
      <c r="Y202" s="268"/>
      <c r="Z202" s="268"/>
    </row>
    <row r="203" spans="1:26" ht="24.75" customHeight="1">
      <c r="A203" s="268"/>
      <c r="B203" s="268"/>
      <c r="C203" s="268"/>
      <c r="D203" s="268"/>
      <c r="E203" s="268"/>
      <c r="F203" s="268"/>
      <c r="G203" s="268"/>
      <c r="H203" s="268"/>
      <c r="I203" s="268"/>
      <c r="J203" s="268"/>
      <c r="K203" s="268"/>
      <c r="L203" s="334"/>
      <c r="M203" s="268"/>
      <c r="N203" s="268"/>
      <c r="O203" s="310"/>
      <c r="P203" s="268"/>
      <c r="Q203" s="334"/>
      <c r="R203" s="268"/>
      <c r="S203" s="313"/>
      <c r="T203" s="313"/>
      <c r="U203" s="268"/>
      <c r="V203" s="309"/>
      <c r="W203" s="310"/>
      <c r="X203" s="268"/>
      <c r="Y203" s="268"/>
      <c r="Z203" s="268"/>
    </row>
    <row r="204" spans="1:26" ht="24.75" customHeight="1">
      <c r="A204" s="268"/>
      <c r="B204" s="268"/>
      <c r="C204" s="268"/>
      <c r="D204" s="268"/>
      <c r="E204" s="268"/>
      <c r="F204" s="268"/>
      <c r="G204" s="268"/>
      <c r="H204" s="268"/>
      <c r="I204" s="268"/>
      <c r="J204" s="268"/>
      <c r="K204" s="268"/>
      <c r="L204" s="334"/>
      <c r="M204" s="268"/>
      <c r="N204" s="268"/>
      <c r="O204" s="310"/>
      <c r="P204" s="268"/>
      <c r="Q204" s="334"/>
      <c r="R204" s="268"/>
      <c r="S204" s="313"/>
      <c r="T204" s="313"/>
      <c r="U204" s="268"/>
      <c r="V204" s="309"/>
      <c r="W204" s="310"/>
      <c r="X204" s="268"/>
      <c r="Y204" s="268"/>
      <c r="Z204" s="268"/>
    </row>
    <row r="205" spans="1:26" ht="24.75" customHeight="1">
      <c r="A205" s="268"/>
      <c r="B205" s="268"/>
      <c r="C205" s="268"/>
      <c r="D205" s="268"/>
      <c r="E205" s="268"/>
      <c r="F205" s="268"/>
      <c r="G205" s="268"/>
      <c r="H205" s="268"/>
      <c r="I205" s="268"/>
      <c r="J205" s="268"/>
      <c r="K205" s="268"/>
      <c r="L205" s="334"/>
      <c r="M205" s="268"/>
      <c r="N205" s="268"/>
      <c r="O205" s="310"/>
      <c r="P205" s="268"/>
      <c r="Q205" s="334"/>
      <c r="R205" s="268"/>
      <c r="S205" s="313"/>
      <c r="T205" s="313"/>
      <c r="U205" s="230"/>
      <c r="V205" s="256"/>
      <c r="W205" s="257"/>
      <c r="X205" s="230"/>
      <c r="Y205" s="230"/>
      <c r="Z205" s="230"/>
    </row>
    <row r="206" spans="1:26" ht="24.75" customHeight="1">
      <c r="A206" s="268"/>
      <c r="B206" s="268"/>
      <c r="C206" s="268"/>
      <c r="D206" s="268"/>
      <c r="E206" s="268"/>
      <c r="F206" s="268"/>
      <c r="G206" s="268"/>
      <c r="H206" s="268"/>
      <c r="I206" s="268"/>
      <c r="J206" s="268"/>
      <c r="K206" s="268"/>
      <c r="L206" s="334"/>
      <c r="M206" s="268"/>
      <c r="N206" s="268"/>
      <c r="O206" s="310"/>
      <c r="P206" s="268"/>
      <c r="Q206" s="334"/>
      <c r="R206" s="268"/>
      <c r="S206" s="313"/>
      <c r="T206" s="313"/>
      <c r="U206" s="248"/>
      <c r="V206" s="253"/>
      <c r="W206" s="254"/>
      <c r="X206" s="248"/>
      <c r="Y206" s="248"/>
      <c r="Z206" s="248"/>
    </row>
    <row r="207" spans="1:26" ht="24.75" customHeight="1">
      <c r="A207" s="268"/>
      <c r="B207" s="268"/>
      <c r="C207" s="268"/>
      <c r="D207" s="268"/>
      <c r="E207" s="268"/>
      <c r="F207" s="268"/>
      <c r="G207" s="268"/>
      <c r="H207" s="268"/>
      <c r="I207" s="268"/>
      <c r="J207" s="268"/>
      <c r="K207" s="268"/>
      <c r="L207" s="334"/>
      <c r="M207" s="268"/>
      <c r="N207" s="268"/>
      <c r="O207" s="310"/>
      <c r="P207" s="268"/>
      <c r="Q207" s="334"/>
      <c r="R207" s="268"/>
      <c r="S207" s="313"/>
      <c r="T207" s="313"/>
      <c r="U207" s="248"/>
      <c r="V207" s="253"/>
      <c r="W207" s="254"/>
      <c r="X207" s="248"/>
      <c r="Y207" s="248"/>
      <c r="Z207" s="248"/>
    </row>
    <row r="208" spans="1:26" ht="24.75" customHeight="1">
      <c r="A208" s="268"/>
      <c r="B208" s="268"/>
      <c r="C208" s="268"/>
      <c r="D208" s="268"/>
      <c r="E208" s="268"/>
      <c r="F208" s="268"/>
      <c r="G208" s="268"/>
      <c r="H208" s="268"/>
      <c r="I208" s="268"/>
      <c r="J208" s="268"/>
      <c r="K208" s="268"/>
      <c r="L208" s="334"/>
      <c r="M208" s="268"/>
      <c r="N208" s="268"/>
      <c r="O208" s="310"/>
      <c r="P208" s="268"/>
      <c r="Q208" s="334"/>
      <c r="R208" s="268"/>
      <c r="S208" s="313"/>
      <c r="T208" s="313"/>
      <c r="U208" s="248"/>
      <c r="V208" s="253"/>
      <c r="W208" s="254"/>
      <c r="X208" s="248"/>
      <c r="Y208" s="248"/>
      <c r="Z208" s="248"/>
    </row>
    <row r="209" spans="1:26" ht="24.75" customHeight="1">
      <c r="A209" s="268"/>
      <c r="B209" s="268"/>
      <c r="C209" s="268"/>
      <c r="D209" s="268"/>
      <c r="E209" s="268"/>
      <c r="F209" s="268"/>
      <c r="G209" s="268"/>
      <c r="H209" s="268"/>
      <c r="I209" s="268"/>
      <c r="J209" s="268"/>
      <c r="K209" s="268"/>
      <c r="L209" s="334"/>
      <c r="M209" s="268"/>
      <c r="N209" s="268"/>
      <c r="O209" s="310"/>
      <c r="P209" s="268"/>
      <c r="Q209" s="334"/>
      <c r="R209" s="268"/>
      <c r="S209" s="313"/>
      <c r="T209" s="313"/>
      <c r="U209" s="248"/>
      <c r="V209" s="253"/>
      <c r="W209" s="254"/>
      <c r="X209" s="248"/>
      <c r="Y209" s="248"/>
      <c r="Z209" s="248"/>
    </row>
    <row r="210" spans="1:26" ht="24.75" customHeight="1">
      <c r="A210" s="268"/>
      <c r="B210" s="268"/>
      <c r="C210" s="268"/>
      <c r="D210" s="268"/>
      <c r="E210" s="268"/>
      <c r="F210" s="268"/>
      <c r="G210" s="268"/>
      <c r="H210" s="268"/>
      <c r="I210" s="268"/>
      <c r="J210" s="268"/>
      <c r="K210" s="268"/>
      <c r="L210" s="334"/>
      <c r="M210" s="268"/>
      <c r="N210" s="268"/>
      <c r="O210" s="310"/>
      <c r="P210" s="268"/>
      <c r="Q210" s="334"/>
      <c r="R210" s="268"/>
      <c r="S210" s="313"/>
      <c r="T210" s="313"/>
      <c r="U210" s="248"/>
      <c r="V210" s="253"/>
      <c r="W210" s="254"/>
      <c r="X210" s="248"/>
      <c r="Y210" s="248"/>
      <c r="Z210" s="248"/>
    </row>
    <row r="211" spans="1:26" ht="24.75" customHeight="1">
      <c r="A211" s="268"/>
      <c r="B211" s="268"/>
      <c r="C211" s="268"/>
      <c r="D211" s="268"/>
      <c r="E211" s="268"/>
      <c r="F211" s="268"/>
      <c r="G211" s="268"/>
      <c r="H211" s="268"/>
      <c r="I211" s="268"/>
      <c r="J211" s="268"/>
      <c r="K211" s="268"/>
      <c r="L211" s="334"/>
      <c r="M211" s="268"/>
      <c r="N211" s="268"/>
      <c r="O211" s="310"/>
      <c r="P211" s="268"/>
      <c r="Q211" s="334"/>
      <c r="R211" s="268"/>
      <c r="S211" s="313"/>
      <c r="T211" s="313"/>
      <c r="U211" s="248"/>
      <c r="V211" s="253"/>
      <c r="W211" s="254"/>
      <c r="X211" s="248"/>
      <c r="Y211" s="248"/>
      <c r="Z211" s="248"/>
    </row>
    <row r="212" spans="1:26" ht="24.75" customHeight="1">
      <c r="A212" s="268"/>
      <c r="B212" s="268"/>
      <c r="C212" s="268"/>
      <c r="D212" s="268"/>
      <c r="E212" s="268"/>
      <c r="F212" s="268"/>
      <c r="G212" s="268"/>
      <c r="H212" s="268"/>
      <c r="I212" s="268"/>
      <c r="J212" s="268"/>
      <c r="K212" s="268"/>
      <c r="L212" s="334"/>
      <c r="M212" s="268"/>
      <c r="N212" s="268"/>
      <c r="O212" s="310"/>
      <c r="P212" s="268"/>
      <c r="Q212" s="334"/>
      <c r="R212" s="268"/>
      <c r="S212" s="313"/>
      <c r="T212" s="313"/>
      <c r="U212" s="248"/>
      <c r="V212" s="253"/>
      <c r="W212" s="254"/>
      <c r="X212" s="248"/>
      <c r="Y212" s="248"/>
      <c r="Z212" s="248"/>
    </row>
    <row r="213" spans="1:26" ht="24.75" customHeight="1">
      <c r="A213" s="268"/>
      <c r="B213" s="268"/>
      <c r="C213" s="268"/>
      <c r="D213" s="268"/>
      <c r="E213" s="268"/>
      <c r="F213" s="268"/>
      <c r="G213" s="268"/>
      <c r="H213" s="268"/>
      <c r="I213" s="268"/>
      <c r="J213" s="268"/>
      <c r="K213" s="268"/>
      <c r="L213" s="334"/>
      <c r="M213" s="268"/>
      <c r="N213" s="268"/>
      <c r="O213" s="310"/>
      <c r="P213" s="268"/>
      <c r="Q213" s="334"/>
      <c r="R213" s="268"/>
      <c r="S213" s="313"/>
      <c r="T213" s="313"/>
      <c r="U213" s="268"/>
      <c r="V213" s="309"/>
      <c r="W213" s="310"/>
      <c r="X213" s="268"/>
      <c r="Y213" s="268"/>
      <c r="Z213" s="268"/>
    </row>
    <row r="214" spans="1:26" ht="24.75" customHeight="1">
      <c r="A214" s="268"/>
      <c r="B214" s="268"/>
      <c r="C214" s="268"/>
      <c r="D214" s="268"/>
      <c r="E214" s="268"/>
      <c r="F214" s="268"/>
      <c r="G214" s="268"/>
      <c r="H214" s="268"/>
      <c r="I214" s="268"/>
      <c r="J214" s="268"/>
      <c r="K214" s="268"/>
      <c r="L214" s="334"/>
      <c r="M214" s="268"/>
      <c r="N214" s="268"/>
      <c r="O214" s="310"/>
      <c r="P214" s="268"/>
      <c r="Q214" s="334"/>
      <c r="R214" s="268"/>
      <c r="S214" s="313"/>
      <c r="T214" s="313"/>
      <c r="U214" s="268"/>
      <c r="V214" s="309"/>
      <c r="W214" s="310"/>
      <c r="X214" s="268"/>
      <c r="Y214" s="268"/>
      <c r="Z214" s="268"/>
    </row>
    <row r="215" spans="1:26" ht="24.75" customHeight="1">
      <c r="A215" s="268"/>
      <c r="B215" s="268"/>
      <c r="C215" s="268"/>
      <c r="D215" s="268"/>
      <c r="E215" s="268"/>
      <c r="F215" s="268"/>
      <c r="G215" s="268"/>
      <c r="H215" s="268"/>
      <c r="I215" s="268"/>
      <c r="J215" s="268"/>
      <c r="K215" s="268"/>
      <c r="L215" s="334"/>
      <c r="M215" s="268"/>
      <c r="N215" s="268"/>
      <c r="O215" s="310"/>
      <c r="P215" s="268"/>
      <c r="Q215" s="334"/>
      <c r="R215" s="268"/>
      <c r="S215" s="313"/>
      <c r="T215" s="313"/>
      <c r="U215" s="268"/>
      <c r="V215" s="309"/>
      <c r="W215" s="310"/>
      <c r="X215" s="268"/>
      <c r="Y215" s="268"/>
      <c r="Z215" s="268"/>
    </row>
    <row r="216" spans="1:26" ht="24.75" customHeight="1">
      <c r="A216" s="268"/>
      <c r="B216" s="268"/>
      <c r="C216" s="268"/>
      <c r="D216" s="268"/>
      <c r="E216" s="268"/>
      <c r="F216" s="268"/>
      <c r="G216" s="268"/>
      <c r="H216" s="268"/>
      <c r="I216" s="268"/>
      <c r="J216" s="268"/>
      <c r="K216" s="268"/>
      <c r="L216" s="334"/>
      <c r="M216" s="268"/>
      <c r="N216" s="268"/>
      <c r="O216" s="310"/>
      <c r="P216" s="268"/>
      <c r="Q216" s="334"/>
      <c r="R216" s="268"/>
      <c r="S216" s="313"/>
      <c r="T216" s="313"/>
      <c r="U216" s="268"/>
      <c r="V216" s="309"/>
      <c r="W216" s="310"/>
      <c r="X216" s="268"/>
      <c r="Y216" s="268"/>
      <c r="Z216" s="268"/>
    </row>
    <row r="217" spans="1:26" ht="24.75" customHeight="1">
      <c r="A217" s="268"/>
      <c r="B217" s="268"/>
      <c r="C217" s="268"/>
      <c r="D217" s="268"/>
      <c r="E217" s="268"/>
      <c r="F217" s="268"/>
      <c r="G217" s="268"/>
      <c r="H217" s="268"/>
      <c r="I217" s="268"/>
      <c r="J217" s="268"/>
      <c r="K217" s="268"/>
      <c r="L217" s="334"/>
      <c r="M217" s="268"/>
      <c r="N217" s="268"/>
      <c r="O217" s="310"/>
      <c r="P217" s="268"/>
      <c r="Q217" s="334"/>
      <c r="R217" s="268"/>
      <c r="S217" s="313"/>
      <c r="T217" s="313"/>
      <c r="U217" s="248"/>
      <c r="V217" s="253"/>
      <c r="W217" s="254"/>
      <c r="X217" s="248"/>
      <c r="Y217" s="248"/>
      <c r="Z217" s="248"/>
    </row>
    <row r="218" spans="1:26" ht="24.75" customHeight="1">
      <c r="A218" s="268"/>
      <c r="B218" s="268"/>
      <c r="C218" s="268"/>
      <c r="D218" s="268"/>
      <c r="E218" s="268"/>
      <c r="F218" s="268"/>
      <c r="G218" s="268"/>
      <c r="H218" s="268"/>
      <c r="I218" s="268"/>
      <c r="J218" s="268"/>
      <c r="K218" s="268"/>
      <c r="L218" s="334"/>
      <c r="M218" s="268"/>
      <c r="N218" s="268"/>
      <c r="O218" s="310"/>
      <c r="P218" s="268"/>
      <c r="Q218" s="334"/>
      <c r="R218" s="268"/>
      <c r="S218" s="313"/>
      <c r="T218" s="313"/>
      <c r="U218" s="268"/>
      <c r="V218" s="309"/>
      <c r="W218" s="310"/>
      <c r="X218" s="268"/>
      <c r="Y218" s="268"/>
      <c r="Z218" s="268"/>
    </row>
    <row r="219" spans="1:26" ht="24.75" customHeight="1">
      <c r="A219" s="268"/>
      <c r="B219" s="268"/>
      <c r="C219" s="268"/>
      <c r="D219" s="268"/>
      <c r="E219" s="268"/>
      <c r="F219" s="268"/>
      <c r="G219" s="268"/>
      <c r="H219" s="268"/>
      <c r="I219" s="268"/>
      <c r="J219" s="268"/>
      <c r="K219" s="268"/>
      <c r="L219" s="334"/>
      <c r="M219" s="268"/>
      <c r="N219" s="268"/>
      <c r="O219" s="310"/>
      <c r="P219" s="268"/>
      <c r="Q219" s="334"/>
      <c r="R219" s="268"/>
      <c r="S219" s="313"/>
      <c r="T219" s="313"/>
      <c r="U219" s="248"/>
      <c r="V219" s="253"/>
      <c r="W219" s="254"/>
      <c r="X219" s="248"/>
      <c r="Y219" s="248"/>
      <c r="Z219" s="248"/>
    </row>
    <row r="220" spans="1:26" ht="24.75" customHeight="1">
      <c r="A220" s="268"/>
      <c r="B220" s="268"/>
      <c r="C220" s="268"/>
      <c r="D220" s="268"/>
      <c r="E220" s="268"/>
      <c r="F220" s="268"/>
      <c r="G220" s="268"/>
      <c r="H220" s="268"/>
      <c r="I220" s="268"/>
      <c r="J220" s="268"/>
      <c r="K220" s="268"/>
      <c r="L220" s="334"/>
      <c r="M220" s="268"/>
      <c r="N220" s="268"/>
      <c r="O220" s="310"/>
      <c r="P220" s="268"/>
      <c r="Q220" s="334"/>
      <c r="R220" s="268"/>
      <c r="S220" s="313"/>
      <c r="T220" s="313"/>
      <c r="U220" s="268"/>
      <c r="V220" s="309"/>
      <c r="W220" s="310"/>
      <c r="X220" s="268"/>
      <c r="Y220" s="268"/>
      <c r="Z220" s="268"/>
    </row>
    <row r="221" spans="1:26" ht="24.75" customHeight="1">
      <c r="A221" s="268"/>
      <c r="B221" s="268"/>
      <c r="C221" s="268"/>
      <c r="D221" s="268"/>
      <c r="E221" s="268"/>
      <c r="F221" s="268"/>
      <c r="G221" s="268"/>
      <c r="H221" s="268"/>
      <c r="I221" s="268"/>
      <c r="J221" s="268"/>
      <c r="K221" s="268"/>
      <c r="L221" s="334"/>
      <c r="M221" s="268"/>
      <c r="N221" s="268"/>
      <c r="O221" s="310"/>
      <c r="P221" s="268"/>
      <c r="Q221" s="334"/>
      <c r="R221" s="268"/>
      <c r="S221" s="313"/>
      <c r="T221" s="313"/>
      <c r="U221" s="268"/>
      <c r="V221" s="309"/>
      <c r="W221" s="310"/>
      <c r="X221" s="268"/>
      <c r="Y221" s="268"/>
      <c r="Z221" s="268"/>
    </row>
    <row r="222" spans="1:26" ht="24.75" customHeight="1">
      <c r="A222" s="268"/>
      <c r="B222" s="268"/>
      <c r="C222" s="268"/>
      <c r="D222" s="268"/>
      <c r="E222" s="268"/>
      <c r="F222" s="268"/>
      <c r="G222" s="268"/>
      <c r="H222" s="268"/>
      <c r="I222" s="268"/>
      <c r="J222" s="268"/>
      <c r="K222" s="268"/>
      <c r="L222" s="334"/>
      <c r="M222" s="268"/>
      <c r="N222" s="268"/>
      <c r="O222" s="310"/>
      <c r="P222" s="268"/>
      <c r="Q222" s="334"/>
      <c r="R222" s="268"/>
      <c r="S222" s="313"/>
      <c r="T222" s="313"/>
      <c r="U222" s="268"/>
      <c r="V222" s="309"/>
      <c r="W222" s="310"/>
      <c r="X222" s="268"/>
      <c r="Y222" s="268"/>
      <c r="Z222" s="268"/>
    </row>
    <row r="223" spans="1:26" ht="24.75" customHeight="1">
      <c r="A223" s="268"/>
      <c r="B223" s="268"/>
      <c r="C223" s="268"/>
      <c r="D223" s="268"/>
      <c r="E223" s="268"/>
      <c r="F223" s="268"/>
      <c r="G223" s="268"/>
      <c r="H223" s="268"/>
      <c r="I223" s="268"/>
      <c r="J223" s="268"/>
      <c r="K223" s="268"/>
      <c r="L223" s="334"/>
      <c r="M223" s="268"/>
      <c r="N223" s="268"/>
      <c r="O223" s="310"/>
      <c r="P223" s="268"/>
      <c r="Q223" s="334"/>
      <c r="R223" s="268"/>
      <c r="S223" s="313"/>
      <c r="T223" s="313"/>
      <c r="U223" s="230"/>
      <c r="V223" s="256"/>
      <c r="W223" s="257"/>
      <c r="X223" s="230"/>
      <c r="Y223" s="230"/>
      <c r="Z223" s="230"/>
    </row>
    <row r="224" spans="1:26" ht="24.75" customHeight="1">
      <c r="A224" s="268"/>
      <c r="B224" s="268"/>
      <c r="C224" s="268"/>
      <c r="D224" s="268"/>
      <c r="E224" s="268"/>
      <c r="F224" s="268"/>
      <c r="G224" s="268"/>
      <c r="H224" s="268"/>
      <c r="I224" s="268"/>
      <c r="J224" s="268"/>
      <c r="K224" s="268"/>
      <c r="L224" s="334"/>
      <c r="M224" s="268"/>
      <c r="N224" s="268"/>
      <c r="O224" s="310"/>
      <c r="P224" s="268"/>
      <c r="Q224" s="334"/>
      <c r="R224" s="268"/>
      <c r="S224" s="313"/>
      <c r="T224" s="313"/>
      <c r="U224" s="268"/>
      <c r="V224" s="309"/>
      <c r="W224" s="310"/>
      <c r="X224" s="268"/>
      <c r="Y224" s="268"/>
      <c r="Z224" s="268"/>
    </row>
    <row r="225" spans="1:26" ht="24.75" customHeight="1">
      <c r="A225" s="268"/>
      <c r="B225" s="268"/>
      <c r="C225" s="268"/>
      <c r="D225" s="268"/>
      <c r="E225" s="268"/>
      <c r="F225" s="268"/>
      <c r="G225" s="268"/>
      <c r="H225" s="268"/>
      <c r="I225" s="268"/>
      <c r="J225" s="268"/>
      <c r="K225" s="268"/>
      <c r="L225" s="334"/>
      <c r="M225" s="268"/>
      <c r="N225" s="268"/>
      <c r="O225" s="310"/>
      <c r="P225" s="268"/>
      <c r="Q225" s="334"/>
      <c r="R225" s="268"/>
      <c r="S225" s="313"/>
      <c r="T225" s="313"/>
      <c r="U225" s="268"/>
      <c r="V225" s="309"/>
      <c r="W225" s="310"/>
      <c r="X225" s="268"/>
      <c r="Y225" s="268"/>
      <c r="Z225" s="268"/>
    </row>
    <row r="226" spans="1:26" ht="24.75" customHeight="1">
      <c r="A226" s="268"/>
      <c r="B226" s="268"/>
      <c r="C226" s="268"/>
      <c r="D226" s="268"/>
      <c r="E226" s="268"/>
      <c r="F226" s="268"/>
      <c r="G226" s="268"/>
      <c r="H226" s="268"/>
      <c r="I226" s="268"/>
      <c r="J226" s="268"/>
      <c r="K226" s="268"/>
      <c r="L226" s="334"/>
      <c r="M226" s="268"/>
      <c r="N226" s="268"/>
      <c r="O226" s="310"/>
      <c r="P226" s="268"/>
      <c r="Q226" s="334"/>
      <c r="R226" s="268"/>
      <c r="S226" s="313"/>
      <c r="T226" s="313"/>
      <c r="U226" s="268"/>
      <c r="V226" s="309"/>
      <c r="W226" s="310"/>
      <c r="X226" s="268"/>
      <c r="Y226" s="268"/>
      <c r="Z226" s="268"/>
    </row>
    <row r="227" spans="1:26" ht="24.75" customHeight="1">
      <c r="A227" s="268"/>
      <c r="B227" s="268"/>
      <c r="C227" s="268"/>
      <c r="D227" s="268"/>
      <c r="E227" s="268"/>
      <c r="F227" s="268"/>
      <c r="G227" s="268"/>
      <c r="H227" s="268"/>
      <c r="I227" s="268"/>
      <c r="J227" s="268"/>
      <c r="K227" s="268"/>
      <c r="L227" s="334"/>
      <c r="M227" s="268"/>
      <c r="N227" s="268"/>
      <c r="O227" s="310"/>
      <c r="P227" s="268"/>
      <c r="Q227" s="334"/>
      <c r="R227" s="268"/>
      <c r="S227" s="313"/>
      <c r="T227" s="313"/>
      <c r="U227" s="268"/>
      <c r="V227" s="309"/>
      <c r="W227" s="310"/>
      <c r="X227" s="268"/>
      <c r="Y227" s="268"/>
      <c r="Z227" s="268"/>
    </row>
    <row r="228" spans="1:26" ht="24.75" customHeight="1">
      <c r="A228" s="268"/>
      <c r="B228" s="268"/>
      <c r="C228" s="268"/>
      <c r="D228" s="268"/>
      <c r="E228" s="268"/>
      <c r="F228" s="268"/>
      <c r="G228" s="268"/>
      <c r="H228" s="268"/>
      <c r="I228" s="268"/>
      <c r="J228" s="268"/>
      <c r="K228" s="268"/>
      <c r="L228" s="334"/>
      <c r="M228" s="268"/>
      <c r="N228" s="268"/>
      <c r="O228" s="310"/>
      <c r="P228" s="268"/>
      <c r="Q228" s="334"/>
      <c r="R228" s="268"/>
      <c r="S228" s="313"/>
      <c r="T228" s="313"/>
      <c r="U228" s="268"/>
      <c r="V228" s="309"/>
      <c r="W228" s="310"/>
      <c r="X228" s="268"/>
      <c r="Y228" s="268"/>
      <c r="Z228" s="268"/>
    </row>
    <row r="229" spans="1:26" ht="24.75" customHeight="1">
      <c r="A229" s="268"/>
      <c r="B229" s="268"/>
      <c r="C229" s="268"/>
      <c r="D229" s="268"/>
      <c r="E229" s="268"/>
      <c r="F229" s="268"/>
      <c r="G229" s="268"/>
      <c r="H229" s="268"/>
      <c r="I229" s="268"/>
      <c r="J229" s="268"/>
      <c r="K229" s="268"/>
      <c r="L229" s="334"/>
      <c r="M229" s="268"/>
      <c r="N229" s="268"/>
      <c r="O229" s="310"/>
      <c r="P229" s="268"/>
      <c r="Q229" s="334"/>
      <c r="R229" s="268"/>
      <c r="S229" s="313"/>
      <c r="T229" s="313"/>
      <c r="U229" s="268"/>
      <c r="V229" s="309"/>
      <c r="W229" s="310"/>
      <c r="X229" s="268"/>
      <c r="Y229" s="268"/>
      <c r="Z229" s="268"/>
    </row>
    <row r="230" spans="1:26" ht="24.75" customHeight="1">
      <c r="A230" s="268"/>
      <c r="B230" s="268"/>
      <c r="C230" s="268"/>
      <c r="D230" s="268"/>
      <c r="E230" s="268"/>
      <c r="F230" s="268"/>
      <c r="G230" s="268"/>
      <c r="H230" s="268"/>
      <c r="I230" s="268"/>
      <c r="J230" s="268"/>
      <c r="K230" s="268"/>
      <c r="L230" s="334"/>
      <c r="M230" s="268"/>
      <c r="N230" s="268"/>
      <c r="O230" s="310"/>
      <c r="P230" s="268"/>
      <c r="Q230" s="334"/>
      <c r="R230" s="268"/>
      <c r="S230" s="313"/>
      <c r="T230" s="313"/>
      <c r="U230" s="268"/>
      <c r="V230" s="309"/>
      <c r="W230" s="310"/>
      <c r="X230" s="268"/>
      <c r="Y230" s="268"/>
      <c r="Z230" s="268"/>
    </row>
    <row r="231" spans="1:26" ht="24.75" customHeight="1">
      <c r="A231" s="268"/>
      <c r="B231" s="268"/>
      <c r="C231" s="268"/>
      <c r="D231" s="268"/>
      <c r="E231" s="268"/>
      <c r="F231" s="268"/>
      <c r="G231" s="268"/>
      <c r="H231" s="268"/>
      <c r="I231" s="268"/>
      <c r="J231" s="268"/>
      <c r="K231" s="268"/>
      <c r="L231" s="334"/>
      <c r="M231" s="268"/>
      <c r="N231" s="268"/>
      <c r="O231" s="310"/>
      <c r="P231" s="268"/>
      <c r="Q231" s="334"/>
      <c r="R231" s="268"/>
      <c r="S231" s="313"/>
      <c r="T231" s="313"/>
      <c r="U231" s="268"/>
      <c r="V231" s="309"/>
      <c r="W231" s="310"/>
      <c r="X231" s="268"/>
      <c r="Y231" s="268"/>
      <c r="Z231" s="268"/>
    </row>
    <row r="232" spans="1:26" ht="24.75" customHeight="1">
      <c r="A232" s="268"/>
      <c r="B232" s="268"/>
      <c r="C232" s="268"/>
      <c r="D232" s="268"/>
      <c r="E232" s="268"/>
      <c r="F232" s="268"/>
      <c r="G232" s="268"/>
      <c r="H232" s="268"/>
      <c r="I232" s="268"/>
      <c r="J232" s="268"/>
      <c r="K232" s="268"/>
      <c r="L232" s="334"/>
      <c r="M232" s="268"/>
      <c r="N232" s="268"/>
      <c r="O232" s="310"/>
      <c r="P232" s="268"/>
      <c r="Q232" s="334"/>
      <c r="R232" s="268"/>
      <c r="S232" s="313"/>
      <c r="T232" s="313"/>
      <c r="U232" s="268"/>
      <c r="V232" s="309"/>
      <c r="W232" s="310"/>
      <c r="X232" s="268"/>
      <c r="Y232" s="268"/>
      <c r="Z232" s="268"/>
    </row>
    <row r="233" spans="1:26" ht="24.75" customHeight="1">
      <c r="A233" s="268"/>
      <c r="B233" s="268"/>
      <c r="C233" s="268"/>
      <c r="D233" s="268"/>
      <c r="E233" s="268"/>
      <c r="F233" s="268"/>
      <c r="G233" s="268"/>
      <c r="H233" s="268"/>
      <c r="I233" s="268"/>
      <c r="J233" s="268"/>
      <c r="K233" s="268"/>
      <c r="L233" s="334"/>
      <c r="M233" s="268"/>
      <c r="N233" s="268"/>
      <c r="O233" s="310"/>
      <c r="P233" s="268"/>
      <c r="Q233" s="334"/>
      <c r="R233" s="268"/>
      <c r="S233" s="313"/>
      <c r="T233" s="313"/>
      <c r="U233" s="268"/>
      <c r="V233" s="309"/>
      <c r="W233" s="310"/>
      <c r="X233" s="268"/>
      <c r="Y233" s="268"/>
      <c r="Z233" s="268"/>
    </row>
    <row r="234" spans="1:26" ht="24.75" customHeight="1">
      <c r="A234" s="268"/>
      <c r="B234" s="268"/>
      <c r="C234" s="268"/>
      <c r="D234" s="268"/>
      <c r="E234" s="268"/>
      <c r="F234" s="268"/>
      <c r="G234" s="268"/>
      <c r="H234" s="268"/>
      <c r="I234" s="268"/>
      <c r="J234" s="268"/>
      <c r="K234" s="268"/>
      <c r="L234" s="334"/>
      <c r="M234" s="268"/>
      <c r="N234" s="268"/>
      <c r="O234" s="310"/>
      <c r="P234" s="268"/>
      <c r="Q234" s="334"/>
      <c r="R234" s="268"/>
      <c r="S234" s="313"/>
      <c r="T234" s="313"/>
      <c r="U234" s="268"/>
      <c r="V234" s="309"/>
      <c r="W234" s="310"/>
      <c r="X234" s="268"/>
      <c r="Y234" s="268"/>
      <c r="Z234" s="268"/>
    </row>
    <row r="235" spans="1:26" ht="24.75" customHeight="1">
      <c r="A235" s="268"/>
      <c r="B235" s="268"/>
      <c r="C235" s="268"/>
      <c r="D235" s="268"/>
      <c r="E235" s="268"/>
      <c r="F235" s="268"/>
      <c r="G235" s="268"/>
      <c r="H235" s="268"/>
      <c r="I235" s="268"/>
      <c r="J235" s="268"/>
      <c r="K235" s="268"/>
      <c r="L235" s="334"/>
      <c r="M235" s="268"/>
      <c r="N235" s="268"/>
      <c r="O235" s="310"/>
      <c r="P235" s="268"/>
      <c r="Q235" s="334"/>
      <c r="R235" s="268"/>
      <c r="S235" s="313"/>
      <c r="T235" s="313"/>
      <c r="U235" s="230"/>
      <c r="V235" s="256"/>
      <c r="W235" s="257"/>
      <c r="X235" s="230"/>
      <c r="Y235" s="230"/>
      <c r="Z235" s="230"/>
    </row>
    <row r="236" spans="1:26" ht="24.75" customHeight="1">
      <c r="A236" s="268"/>
      <c r="B236" s="268"/>
      <c r="C236" s="268"/>
      <c r="D236" s="268"/>
      <c r="E236" s="268"/>
      <c r="F236" s="268"/>
      <c r="G236" s="268"/>
      <c r="H236" s="268"/>
      <c r="I236" s="268"/>
      <c r="J236" s="268"/>
      <c r="K236" s="268"/>
      <c r="L236" s="334"/>
      <c r="M236" s="268"/>
      <c r="N236" s="268"/>
      <c r="O236" s="310"/>
      <c r="P236" s="268"/>
      <c r="Q236" s="334"/>
      <c r="R236" s="268"/>
      <c r="S236" s="313"/>
      <c r="T236" s="313"/>
      <c r="U236" s="248"/>
      <c r="V236" s="253"/>
      <c r="W236" s="254"/>
      <c r="X236" s="248"/>
      <c r="Y236" s="248"/>
      <c r="Z236" s="248"/>
    </row>
    <row r="237" spans="1:26" ht="24.75" customHeight="1">
      <c r="A237" s="268"/>
      <c r="B237" s="268"/>
      <c r="C237" s="268"/>
      <c r="D237" s="268"/>
      <c r="E237" s="268"/>
      <c r="F237" s="268"/>
      <c r="G237" s="268"/>
      <c r="H237" s="268"/>
      <c r="I237" s="268"/>
      <c r="J237" s="268"/>
      <c r="K237" s="268"/>
      <c r="L237" s="334"/>
      <c r="M237" s="268"/>
      <c r="N237" s="268"/>
      <c r="O237" s="310"/>
      <c r="P237" s="268"/>
      <c r="Q237" s="334"/>
      <c r="R237" s="268"/>
      <c r="S237" s="313"/>
      <c r="T237" s="313"/>
      <c r="U237" s="230"/>
      <c r="V237" s="256"/>
      <c r="W237" s="257"/>
      <c r="X237" s="230"/>
      <c r="Y237" s="230"/>
      <c r="Z237" s="230"/>
    </row>
    <row r="238" spans="1:26" ht="24.75" customHeight="1">
      <c r="A238" s="268"/>
      <c r="B238" s="268"/>
      <c r="C238" s="268"/>
      <c r="D238" s="268"/>
      <c r="E238" s="268"/>
      <c r="F238" s="268"/>
      <c r="G238" s="268"/>
      <c r="H238" s="268"/>
      <c r="I238" s="268"/>
      <c r="J238" s="268"/>
      <c r="K238" s="268"/>
      <c r="L238" s="334"/>
      <c r="M238" s="268"/>
      <c r="N238" s="268"/>
      <c r="O238" s="310"/>
      <c r="P238" s="268"/>
      <c r="Q238" s="334"/>
      <c r="R238" s="268"/>
      <c r="S238" s="313"/>
      <c r="T238" s="313"/>
      <c r="U238" s="268"/>
      <c r="V238" s="309"/>
      <c r="W238" s="310"/>
      <c r="X238" s="268"/>
      <c r="Y238" s="268"/>
      <c r="Z238" s="268"/>
    </row>
    <row r="239" spans="1:26" ht="24.75" customHeight="1">
      <c r="A239" s="268"/>
      <c r="B239" s="268"/>
      <c r="C239" s="268"/>
      <c r="D239" s="268"/>
      <c r="E239" s="268"/>
      <c r="F239" s="268"/>
      <c r="G239" s="268"/>
      <c r="H239" s="268"/>
      <c r="I239" s="268"/>
      <c r="J239" s="268"/>
      <c r="K239" s="268"/>
      <c r="L239" s="334"/>
      <c r="M239" s="268"/>
      <c r="N239" s="268"/>
      <c r="O239" s="310"/>
      <c r="P239" s="268"/>
      <c r="Q239" s="334"/>
      <c r="R239" s="268"/>
      <c r="S239" s="313"/>
      <c r="T239" s="313"/>
      <c r="U239" s="268"/>
      <c r="V239" s="309"/>
      <c r="W239" s="310"/>
      <c r="X239" s="268"/>
      <c r="Y239" s="268"/>
      <c r="Z239" s="268"/>
    </row>
    <row r="240" spans="1:26" ht="24.75" customHeight="1">
      <c r="A240" s="268"/>
      <c r="B240" s="268"/>
      <c r="C240" s="268"/>
      <c r="D240" s="268"/>
      <c r="E240" s="268"/>
      <c r="F240" s="268"/>
      <c r="G240" s="268"/>
      <c r="H240" s="268"/>
      <c r="I240" s="268"/>
      <c r="J240" s="268"/>
      <c r="K240" s="268"/>
      <c r="L240" s="334"/>
      <c r="M240" s="268"/>
      <c r="N240" s="268"/>
      <c r="O240" s="310"/>
      <c r="P240" s="268"/>
      <c r="Q240" s="334"/>
      <c r="R240" s="268"/>
      <c r="S240" s="313"/>
      <c r="T240" s="313"/>
      <c r="U240" s="268"/>
      <c r="V240" s="309"/>
      <c r="W240" s="310"/>
      <c r="X240" s="268"/>
      <c r="Y240" s="268"/>
      <c r="Z240" s="268"/>
    </row>
    <row r="241" spans="1:26" ht="24.75" customHeight="1">
      <c r="A241" s="268"/>
      <c r="B241" s="268"/>
      <c r="C241" s="268"/>
      <c r="D241" s="268"/>
      <c r="E241" s="268"/>
      <c r="F241" s="268"/>
      <c r="G241" s="268"/>
      <c r="H241" s="268"/>
      <c r="I241" s="268"/>
      <c r="J241" s="268"/>
      <c r="K241" s="268"/>
      <c r="L241" s="334"/>
      <c r="M241" s="268"/>
      <c r="N241" s="268"/>
      <c r="O241" s="310"/>
      <c r="P241" s="268"/>
      <c r="Q241" s="334"/>
      <c r="R241" s="268"/>
      <c r="S241" s="313"/>
      <c r="T241" s="313"/>
      <c r="U241" s="268"/>
      <c r="V241" s="309"/>
      <c r="W241" s="310"/>
      <c r="X241" s="268"/>
      <c r="Y241" s="268"/>
      <c r="Z241" s="268"/>
    </row>
    <row r="242" spans="1:26" ht="24.75" customHeight="1">
      <c r="A242" s="268"/>
      <c r="B242" s="268"/>
      <c r="C242" s="268"/>
      <c r="D242" s="268"/>
      <c r="E242" s="268"/>
      <c r="F242" s="268"/>
      <c r="G242" s="268"/>
      <c r="H242" s="268"/>
      <c r="I242" s="268"/>
      <c r="J242" s="268"/>
      <c r="K242" s="268"/>
      <c r="L242" s="334"/>
      <c r="M242" s="268"/>
      <c r="N242" s="268"/>
      <c r="O242" s="310"/>
      <c r="P242" s="268"/>
      <c r="Q242" s="334"/>
      <c r="R242" s="268"/>
      <c r="S242" s="313"/>
      <c r="T242" s="313"/>
      <c r="U242" s="248"/>
      <c r="V242" s="253"/>
      <c r="W242" s="254"/>
      <c r="X242" s="248"/>
      <c r="Y242" s="248"/>
      <c r="Z242" s="248"/>
    </row>
    <row r="243" spans="1:26" ht="24.75" customHeight="1">
      <c r="A243" s="268"/>
      <c r="B243" s="268"/>
      <c r="C243" s="268"/>
      <c r="D243" s="268"/>
      <c r="E243" s="268"/>
      <c r="F243" s="268"/>
      <c r="G243" s="268"/>
      <c r="H243" s="268"/>
      <c r="I243" s="268"/>
      <c r="J243" s="268"/>
      <c r="K243" s="268"/>
      <c r="L243" s="334"/>
      <c r="M243" s="268"/>
      <c r="N243" s="268"/>
      <c r="O243" s="310"/>
      <c r="P243" s="268"/>
      <c r="Q243" s="334"/>
      <c r="R243" s="268"/>
      <c r="S243" s="313"/>
      <c r="T243" s="313"/>
      <c r="U243" s="230"/>
      <c r="V243" s="256"/>
      <c r="W243" s="257"/>
      <c r="X243" s="230"/>
      <c r="Y243" s="230"/>
      <c r="Z243" s="230"/>
    </row>
    <row r="244" spans="1:26" ht="24.75" customHeight="1">
      <c r="A244" s="268"/>
      <c r="B244" s="268"/>
      <c r="C244" s="268"/>
      <c r="D244" s="268"/>
      <c r="E244" s="268"/>
      <c r="F244" s="268"/>
      <c r="G244" s="268"/>
      <c r="H244" s="268"/>
      <c r="I244" s="268"/>
      <c r="J244" s="268"/>
      <c r="K244" s="268"/>
      <c r="L244" s="334"/>
      <c r="M244" s="268"/>
      <c r="N244" s="268"/>
      <c r="O244" s="310"/>
      <c r="P244" s="268"/>
      <c r="Q244" s="334"/>
      <c r="R244" s="268"/>
      <c r="S244" s="313"/>
      <c r="T244" s="313"/>
      <c r="U244" s="230"/>
      <c r="V244" s="256"/>
      <c r="W244" s="257"/>
      <c r="X244" s="230"/>
      <c r="Y244" s="230"/>
      <c r="Z244" s="230"/>
    </row>
    <row r="245" spans="1:26" ht="24.75" customHeight="1">
      <c r="A245" s="268"/>
      <c r="B245" s="268"/>
      <c r="C245" s="268"/>
      <c r="D245" s="268"/>
      <c r="E245" s="268"/>
      <c r="F245" s="268"/>
      <c r="G245" s="268"/>
      <c r="H245" s="268"/>
      <c r="I245" s="268"/>
      <c r="J245" s="268"/>
      <c r="K245" s="268"/>
      <c r="L245" s="334"/>
      <c r="M245" s="268"/>
      <c r="N245" s="268"/>
      <c r="O245" s="310"/>
      <c r="P245" s="268"/>
      <c r="Q245" s="334"/>
      <c r="R245" s="268"/>
      <c r="S245" s="313"/>
      <c r="T245" s="313"/>
      <c r="U245" s="268"/>
      <c r="V245" s="309"/>
      <c r="W245" s="310"/>
      <c r="X245" s="268"/>
      <c r="Y245" s="268"/>
      <c r="Z245" s="268"/>
    </row>
    <row r="246" spans="1:26" ht="24.75" customHeight="1">
      <c r="A246" s="268"/>
      <c r="B246" s="268"/>
      <c r="C246" s="268"/>
      <c r="D246" s="268"/>
      <c r="E246" s="268"/>
      <c r="F246" s="268"/>
      <c r="G246" s="268"/>
      <c r="H246" s="268"/>
      <c r="I246" s="268"/>
      <c r="J246" s="268"/>
      <c r="K246" s="268"/>
      <c r="L246" s="334"/>
      <c r="M246" s="268"/>
      <c r="N246" s="268"/>
      <c r="O246" s="310"/>
      <c r="P246" s="268"/>
      <c r="Q246" s="334"/>
      <c r="R246" s="268"/>
      <c r="S246" s="313"/>
      <c r="T246" s="313"/>
      <c r="U246" s="268"/>
      <c r="V246" s="309"/>
      <c r="W246" s="310"/>
      <c r="X246" s="268"/>
      <c r="Y246" s="268"/>
      <c r="Z246" s="268"/>
    </row>
    <row r="247" spans="1:26" ht="24.75" customHeight="1">
      <c r="A247" s="268"/>
      <c r="B247" s="268"/>
      <c r="C247" s="268"/>
      <c r="D247" s="268"/>
      <c r="E247" s="268"/>
      <c r="F247" s="268"/>
      <c r="G247" s="268"/>
      <c r="H247" s="268"/>
      <c r="I247" s="268"/>
      <c r="J247" s="268"/>
      <c r="K247" s="268"/>
      <c r="L247" s="334"/>
      <c r="M247" s="268"/>
      <c r="N247" s="268"/>
      <c r="O247" s="310"/>
      <c r="P247" s="268"/>
      <c r="Q247" s="334"/>
      <c r="R247" s="268"/>
      <c r="S247" s="313"/>
      <c r="T247" s="313"/>
      <c r="U247" s="268"/>
      <c r="V247" s="309"/>
      <c r="W247" s="310"/>
      <c r="X247" s="268"/>
      <c r="Y247" s="268"/>
      <c r="Z247" s="268"/>
    </row>
    <row r="248" spans="1:26" ht="24.75" customHeight="1">
      <c r="A248" s="268"/>
      <c r="B248" s="268"/>
      <c r="C248" s="268"/>
      <c r="D248" s="268"/>
      <c r="E248" s="268"/>
      <c r="F248" s="268"/>
      <c r="G248" s="268"/>
      <c r="H248" s="268"/>
      <c r="I248" s="268"/>
      <c r="J248" s="268"/>
      <c r="K248" s="268"/>
      <c r="L248" s="334"/>
      <c r="M248" s="268"/>
      <c r="N248" s="268"/>
      <c r="O248" s="310"/>
      <c r="P248" s="268"/>
      <c r="Q248" s="334"/>
      <c r="R248" s="268"/>
      <c r="S248" s="313"/>
      <c r="T248" s="313"/>
      <c r="U248" s="268"/>
      <c r="V248" s="309"/>
      <c r="W248" s="310"/>
      <c r="X248" s="268"/>
      <c r="Y248" s="268"/>
      <c r="Z248" s="268"/>
    </row>
    <row r="249" spans="1:26" ht="24.75" customHeight="1">
      <c r="A249" s="268"/>
      <c r="B249" s="268"/>
      <c r="C249" s="268"/>
      <c r="D249" s="268"/>
      <c r="E249" s="268"/>
      <c r="F249" s="268"/>
      <c r="G249" s="268"/>
      <c r="H249" s="268"/>
      <c r="I249" s="268"/>
      <c r="J249" s="268"/>
      <c r="K249" s="268"/>
      <c r="L249" s="334"/>
      <c r="M249" s="268"/>
      <c r="N249" s="268"/>
      <c r="O249" s="310"/>
      <c r="P249" s="268"/>
      <c r="Q249" s="334"/>
      <c r="R249" s="268"/>
      <c r="S249" s="313"/>
      <c r="T249" s="313"/>
      <c r="U249" s="268"/>
      <c r="V249" s="309"/>
      <c r="W249" s="310"/>
      <c r="X249" s="268"/>
      <c r="Y249" s="268"/>
      <c r="Z249" s="268"/>
    </row>
    <row r="250" spans="1:26" ht="24.75" customHeight="1">
      <c r="A250" s="268"/>
      <c r="B250" s="268"/>
      <c r="C250" s="268"/>
      <c r="D250" s="268"/>
      <c r="E250" s="268"/>
      <c r="F250" s="268"/>
      <c r="G250" s="268"/>
      <c r="H250" s="268"/>
      <c r="I250" s="268"/>
      <c r="J250" s="268"/>
      <c r="K250" s="268"/>
      <c r="L250" s="334"/>
      <c r="M250" s="268"/>
      <c r="N250" s="268"/>
      <c r="O250" s="310"/>
      <c r="P250" s="268"/>
      <c r="Q250" s="334"/>
      <c r="R250" s="268"/>
      <c r="S250" s="313"/>
      <c r="T250" s="313"/>
      <c r="U250" s="268"/>
      <c r="V250" s="309"/>
      <c r="W250" s="310"/>
      <c r="X250" s="268"/>
      <c r="Y250" s="268"/>
      <c r="Z250" s="268"/>
    </row>
    <row r="251" spans="1:26" ht="24.75" customHeight="1">
      <c r="A251" s="268"/>
      <c r="B251" s="268"/>
      <c r="C251" s="268"/>
      <c r="D251" s="268"/>
      <c r="E251" s="268"/>
      <c r="F251" s="268"/>
      <c r="G251" s="268"/>
      <c r="H251" s="268"/>
      <c r="I251" s="268"/>
      <c r="J251" s="268"/>
      <c r="K251" s="268"/>
      <c r="L251" s="334"/>
      <c r="M251" s="268"/>
      <c r="N251" s="268"/>
      <c r="O251" s="310"/>
      <c r="P251" s="268"/>
      <c r="Q251" s="334"/>
      <c r="R251" s="268"/>
      <c r="S251" s="313"/>
      <c r="T251" s="313"/>
      <c r="U251" s="268"/>
      <c r="V251" s="309"/>
      <c r="W251" s="310"/>
      <c r="X251" s="268"/>
      <c r="Y251" s="268"/>
      <c r="Z251" s="268"/>
    </row>
    <row r="252" spans="1:26" ht="24.75" customHeight="1">
      <c r="A252" s="268"/>
      <c r="B252" s="268"/>
      <c r="C252" s="268"/>
      <c r="D252" s="268"/>
      <c r="E252" s="268"/>
      <c r="F252" s="268"/>
      <c r="G252" s="268"/>
      <c r="H252" s="268"/>
      <c r="I252" s="268"/>
      <c r="J252" s="268"/>
      <c r="K252" s="268"/>
      <c r="L252" s="334"/>
      <c r="M252" s="268"/>
      <c r="N252" s="268"/>
      <c r="O252" s="310"/>
      <c r="P252" s="268"/>
      <c r="Q252" s="334"/>
      <c r="R252" s="268"/>
      <c r="S252" s="313"/>
      <c r="T252" s="313"/>
      <c r="U252" s="268"/>
      <c r="V252" s="309"/>
      <c r="W252" s="310"/>
      <c r="X252" s="268"/>
      <c r="Y252" s="268"/>
      <c r="Z252" s="268"/>
    </row>
    <row r="253" spans="1:26" ht="24.75" customHeight="1">
      <c r="A253" s="268"/>
      <c r="B253" s="268"/>
      <c r="C253" s="268"/>
      <c r="D253" s="268"/>
      <c r="E253" s="268"/>
      <c r="F253" s="268"/>
      <c r="G253" s="268"/>
      <c r="H253" s="268"/>
      <c r="I253" s="268"/>
      <c r="J253" s="268"/>
      <c r="K253" s="268"/>
      <c r="L253" s="334"/>
      <c r="M253" s="268"/>
      <c r="N253" s="268"/>
      <c r="O253" s="310"/>
      <c r="P253" s="268"/>
      <c r="Q253" s="334"/>
      <c r="R253" s="268"/>
      <c r="S253" s="313"/>
      <c r="T253" s="313"/>
      <c r="U253" s="268"/>
      <c r="V253" s="309"/>
      <c r="W253" s="310"/>
      <c r="X253" s="268"/>
      <c r="Y253" s="268"/>
      <c r="Z253" s="268"/>
    </row>
    <row r="254" spans="1:26" ht="24.75" customHeight="1">
      <c r="A254" s="268"/>
      <c r="B254" s="268"/>
      <c r="C254" s="268"/>
      <c r="D254" s="268"/>
      <c r="E254" s="268"/>
      <c r="F254" s="268"/>
      <c r="G254" s="268"/>
      <c r="H254" s="268"/>
      <c r="I254" s="268"/>
      <c r="J254" s="268"/>
      <c r="K254" s="268"/>
      <c r="L254" s="334"/>
      <c r="M254" s="268"/>
      <c r="N254" s="268"/>
      <c r="O254" s="310"/>
      <c r="P254" s="268"/>
      <c r="Q254" s="334"/>
      <c r="R254" s="268"/>
      <c r="S254" s="313"/>
      <c r="T254" s="313"/>
      <c r="U254" s="248"/>
      <c r="V254" s="253"/>
      <c r="W254" s="254"/>
      <c r="X254" s="248"/>
      <c r="Y254" s="248"/>
      <c r="Z254" s="248"/>
    </row>
    <row r="255" spans="1:26" ht="24.75" customHeight="1">
      <c r="A255" s="268"/>
      <c r="B255" s="268"/>
      <c r="C255" s="268"/>
      <c r="D255" s="268"/>
      <c r="E255" s="268"/>
      <c r="F255" s="268"/>
      <c r="G255" s="268"/>
      <c r="H255" s="268"/>
      <c r="I255" s="268"/>
      <c r="J255" s="268"/>
      <c r="K255" s="268"/>
      <c r="L255" s="334"/>
      <c r="M255" s="268"/>
      <c r="N255" s="268"/>
      <c r="O255" s="310"/>
      <c r="P255" s="268"/>
      <c r="Q255" s="334"/>
      <c r="R255" s="268"/>
      <c r="S255" s="313"/>
      <c r="T255" s="313"/>
      <c r="U255" s="248"/>
      <c r="V255" s="253"/>
      <c r="W255" s="254"/>
      <c r="X255" s="248"/>
      <c r="Y255" s="248"/>
      <c r="Z255" s="248"/>
    </row>
    <row r="256" spans="1:26" ht="24.75" customHeight="1">
      <c r="A256" s="268"/>
      <c r="B256" s="268"/>
      <c r="C256" s="268"/>
      <c r="D256" s="268"/>
      <c r="E256" s="268"/>
      <c r="F256" s="268"/>
      <c r="G256" s="268"/>
      <c r="H256" s="268"/>
      <c r="I256" s="268"/>
      <c r="J256" s="268"/>
      <c r="K256" s="268"/>
      <c r="L256" s="334"/>
      <c r="M256" s="268"/>
      <c r="N256" s="268"/>
      <c r="O256" s="310"/>
      <c r="P256" s="268"/>
      <c r="Q256" s="334"/>
      <c r="R256" s="268"/>
      <c r="S256" s="313"/>
      <c r="T256" s="313"/>
      <c r="U256" s="230"/>
      <c r="V256" s="256"/>
      <c r="W256" s="257"/>
      <c r="X256" s="230"/>
      <c r="Y256" s="230"/>
      <c r="Z256" s="230"/>
    </row>
    <row r="257" spans="1:26" ht="24.75" customHeight="1">
      <c r="A257" s="268"/>
      <c r="B257" s="268"/>
      <c r="C257" s="268"/>
      <c r="D257" s="268"/>
      <c r="E257" s="268"/>
      <c r="F257" s="268"/>
      <c r="G257" s="268"/>
      <c r="H257" s="268"/>
      <c r="I257" s="268"/>
      <c r="J257" s="268"/>
      <c r="K257" s="268"/>
      <c r="L257" s="334"/>
      <c r="M257" s="268"/>
      <c r="N257" s="268"/>
      <c r="O257" s="310"/>
      <c r="P257" s="268"/>
      <c r="Q257" s="334"/>
      <c r="R257" s="268"/>
      <c r="S257" s="313"/>
      <c r="T257" s="313"/>
      <c r="U257" s="292"/>
      <c r="V257" s="293"/>
      <c r="W257" s="294"/>
      <c r="X257" s="292"/>
      <c r="Y257" s="292"/>
      <c r="Z257" s="292"/>
    </row>
    <row r="258" spans="1:26" ht="24.75" customHeight="1">
      <c r="A258" s="268"/>
      <c r="B258" s="268"/>
      <c r="C258" s="268"/>
      <c r="D258" s="268"/>
      <c r="E258" s="268"/>
      <c r="F258" s="268"/>
      <c r="G258" s="268"/>
      <c r="H258" s="268"/>
      <c r="I258" s="268"/>
      <c r="J258" s="268"/>
      <c r="K258" s="268"/>
      <c r="L258" s="334"/>
      <c r="M258" s="268"/>
      <c r="N258" s="268"/>
      <c r="O258" s="310"/>
      <c r="P258" s="268"/>
      <c r="Q258" s="334"/>
      <c r="R258" s="268"/>
      <c r="S258" s="313"/>
      <c r="T258" s="313"/>
      <c r="U258" s="292"/>
      <c r="V258" s="293"/>
      <c r="W258" s="294"/>
      <c r="X258" s="292"/>
      <c r="Y258" s="292"/>
      <c r="Z258" s="292"/>
    </row>
    <row r="259" spans="1:26" ht="24.75" customHeight="1">
      <c r="A259" s="268"/>
      <c r="B259" s="268"/>
      <c r="C259" s="268"/>
      <c r="D259" s="268"/>
      <c r="E259" s="268"/>
      <c r="F259" s="268"/>
      <c r="G259" s="268"/>
      <c r="H259" s="268"/>
      <c r="I259" s="268"/>
      <c r="J259" s="268"/>
      <c r="K259" s="268"/>
      <c r="L259" s="334"/>
      <c r="M259" s="268"/>
      <c r="N259" s="268"/>
      <c r="O259" s="310"/>
      <c r="P259" s="268"/>
      <c r="Q259" s="334"/>
      <c r="R259" s="268"/>
      <c r="S259" s="313"/>
      <c r="T259" s="313"/>
      <c r="U259" s="230"/>
      <c r="V259" s="256"/>
      <c r="W259" s="257"/>
      <c r="X259" s="230"/>
      <c r="Y259" s="230"/>
      <c r="Z259" s="230"/>
    </row>
    <row r="260" spans="1:26" ht="24.75" customHeight="1">
      <c r="A260" s="268"/>
      <c r="B260" s="268"/>
      <c r="C260" s="268"/>
      <c r="D260" s="268"/>
      <c r="E260" s="268"/>
      <c r="F260" s="268"/>
      <c r="G260" s="268"/>
      <c r="H260" s="268"/>
      <c r="I260" s="268"/>
      <c r="J260" s="268"/>
      <c r="K260" s="268"/>
      <c r="L260" s="334"/>
      <c r="M260" s="268"/>
      <c r="N260" s="268"/>
      <c r="O260" s="310"/>
      <c r="P260" s="268"/>
      <c r="Q260" s="334"/>
      <c r="R260" s="268"/>
      <c r="S260" s="313"/>
      <c r="T260" s="313"/>
      <c r="U260" s="230"/>
      <c r="V260" s="256"/>
      <c r="W260" s="257"/>
      <c r="X260" s="230"/>
      <c r="Y260" s="230"/>
      <c r="Z260" s="230"/>
    </row>
    <row r="261" spans="1:26" ht="24.75" customHeight="1">
      <c r="A261" s="268"/>
      <c r="B261" s="268"/>
      <c r="C261" s="268"/>
      <c r="D261" s="268"/>
      <c r="E261" s="268"/>
      <c r="F261" s="268"/>
      <c r="G261" s="268"/>
      <c r="H261" s="268"/>
      <c r="I261" s="268"/>
      <c r="J261" s="268"/>
      <c r="K261" s="268"/>
      <c r="L261" s="334"/>
      <c r="M261" s="268"/>
      <c r="N261" s="268"/>
      <c r="O261" s="310"/>
      <c r="P261" s="268"/>
      <c r="Q261" s="334"/>
      <c r="R261" s="268"/>
      <c r="S261" s="313"/>
      <c r="T261" s="313"/>
      <c r="U261" s="268"/>
      <c r="V261" s="309"/>
      <c r="W261" s="310"/>
      <c r="X261" s="268"/>
      <c r="Y261" s="268"/>
      <c r="Z261" s="268"/>
    </row>
    <row r="262" spans="1:26" ht="24.75" customHeight="1">
      <c r="A262" s="268"/>
      <c r="B262" s="268"/>
      <c r="C262" s="268"/>
      <c r="D262" s="268"/>
      <c r="E262" s="268"/>
      <c r="F262" s="268"/>
      <c r="G262" s="268"/>
      <c r="H262" s="268"/>
      <c r="I262" s="268"/>
      <c r="J262" s="268"/>
      <c r="K262" s="268"/>
      <c r="L262" s="334"/>
      <c r="M262" s="268"/>
      <c r="N262" s="268"/>
      <c r="O262" s="310"/>
      <c r="P262" s="268"/>
      <c r="Q262" s="334"/>
      <c r="R262" s="268"/>
      <c r="S262" s="313"/>
      <c r="T262" s="313"/>
      <c r="U262" s="292"/>
      <c r="V262" s="293"/>
      <c r="W262" s="294"/>
      <c r="X262" s="292"/>
      <c r="Y262" s="292"/>
      <c r="Z262" s="292"/>
    </row>
    <row r="263" spans="1:26" ht="24.75" customHeight="1">
      <c r="A263" s="268"/>
      <c r="B263" s="268"/>
      <c r="C263" s="268"/>
      <c r="D263" s="268"/>
      <c r="E263" s="268"/>
      <c r="F263" s="268"/>
      <c r="G263" s="268"/>
      <c r="H263" s="268"/>
      <c r="I263" s="268"/>
      <c r="J263" s="268"/>
      <c r="K263" s="268"/>
      <c r="L263" s="334"/>
      <c r="M263" s="268"/>
      <c r="N263" s="268"/>
      <c r="O263" s="310"/>
      <c r="P263" s="268"/>
      <c r="Q263" s="334"/>
      <c r="R263" s="268"/>
      <c r="S263" s="313"/>
      <c r="T263" s="313"/>
      <c r="U263" s="292"/>
      <c r="V263" s="293"/>
      <c r="W263" s="294"/>
      <c r="X263" s="292"/>
      <c r="Y263" s="292"/>
      <c r="Z263" s="292"/>
    </row>
    <row r="264" spans="1:26" ht="24.75" customHeight="1">
      <c r="A264" s="268"/>
      <c r="B264" s="268"/>
      <c r="C264" s="268"/>
      <c r="D264" s="268"/>
      <c r="E264" s="268"/>
      <c r="F264" s="268"/>
      <c r="G264" s="268"/>
      <c r="H264" s="268"/>
      <c r="I264" s="268"/>
      <c r="J264" s="268"/>
      <c r="K264" s="268"/>
      <c r="L264" s="334"/>
      <c r="M264" s="268"/>
      <c r="N264" s="268"/>
      <c r="O264" s="310"/>
      <c r="P264" s="268"/>
      <c r="Q264" s="334"/>
      <c r="R264" s="268"/>
      <c r="S264" s="313"/>
      <c r="T264" s="313"/>
      <c r="U264" s="292"/>
      <c r="V264" s="293"/>
      <c r="W264" s="294"/>
      <c r="X264" s="292"/>
      <c r="Y264" s="292"/>
      <c r="Z264" s="292"/>
    </row>
    <row r="265" spans="1:26" ht="24.75" customHeight="1">
      <c r="A265" s="268"/>
      <c r="B265" s="268"/>
      <c r="C265" s="268"/>
      <c r="D265" s="268"/>
      <c r="E265" s="268"/>
      <c r="F265" s="268"/>
      <c r="G265" s="268"/>
      <c r="H265" s="268"/>
      <c r="I265" s="268"/>
      <c r="J265" s="268"/>
      <c r="K265" s="268"/>
      <c r="L265" s="334"/>
      <c r="M265" s="268"/>
      <c r="N265" s="268"/>
      <c r="O265" s="310"/>
      <c r="P265" s="268"/>
      <c r="Q265" s="334"/>
      <c r="R265" s="268"/>
      <c r="S265" s="313"/>
      <c r="T265" s="313"/>
      <c r="U265" s="292"/>
      <c r="V265" s="293"/>
      <c r="W265" s="294"/>
      <c r="X265" s="292"/>
      <c r="Y265" s="292"/>
      <c r="Z265" s="292"/>
    </row>
    <row r="266" spans="1:26" ht="24.75" customHeight="1">
      <c r="A266" s="268"/>
      <c r="B266" s="268"/>
      <c r="C266" s="268"/>
      <c r="D266" s="268"/>
      <c r="E266" s="268"/>
      <c r="F266" s="268"/>
      <c r="G266" s="268"/>
      <c r="H266" s="268"/>
      <c r="I266" s="268"/>
      <c r="J266" s="268"/>
      <c r="K266" s="268"/>
      <c r="L266" s="334"/>
      <c r="M266" s="268"/>
      <c r="N266" s="268"/>
      <c r="O266" s="310"/>
      <c r="P266" s="268"/>
      <c r="Q266" s="334"/>
      <c r="R266" s="268"/>
      <c r="S266" s="313"/>
      <c r="T266" s="313"/>
      <c r="U266" s="292"/>
      <c r="V266" s="293"/>
      <c r="W266" s="294"/>
      <c r="X266" s="292"/>
      <c r="Y266" s="292"/>
      <c r="Z266" s="292"/>
    </row>
    <row r="267" spans="1:26" ht="24.75" customHeight="1">
      <c r="A267" s="268"/>
      <c r="B267" s="268"/>
      <c r="C267" s="268"/>
      <c r="D267" s="268"/>
      <c r="E267" s="268"/>
      <c r="F267" s="268"/>
      <c r="G267" s="268"/>
      <c r="H267" s="268"/>
      <c r="I267" s="268"/>
      <c r="J267" s="268"/>
      <c r="K267" s="268"/>
      <c r="L267" s="334"/>
      <c r="M267" s="268"/>
      <c r="N267" s="268"/>
      <c r="O267" s="310"/>
      <c r="P267" s="268"/>
      <c r="Q267" s="334"/>
      <c r="R267" s="268"/>
      <c r="S267" s="313"/>
      <c r="T267" s="313"/>
      <c r="U267" s="268"/>
      <c r="V267" s="309"/>
      <c r="W267" s="310"/>
      <c r="X267" s="268"/>
      <c r="Y267" s="268"/>
      <c r="Z267" s="268"/>
    </row>
    <row r="268" spans="1:26" ht="24.75" customHeight="1">
      <c r="A268" s="268"/>
      <c r="B268" s="268"/>
      <c r="C268" s="268"/>
      <c r="D268" s="268"/>
      <c r="E268" s="268"/>
      <c r="F268" s="268"/>
      <c r="G268" s="268"/>
      <c r="H268" s="268"/>
      <c r="I268" s="268"/>
      <c r="J268" s="268"/>
      <c r="K268" s="268"/>
      <c r="L268" s="334"/>
      <c r="M268" s="268"/>
      <c r="N268" s="268"/>
      <c r="O268" s="310"/>
      <c r="P268" s="268"/>
      <c r="Q268" s="334"/>
      <c r="R268" s="268"/>
      <c r="S268" s="313"/>
      <c r="T268" s="313"/>
      <c r="U268" s="268"/>
      <c r="V268" s="309"/>
      <c r="W268" s="310"/>
      <c r="X268" s="268"/>
      <c r="Y268" s="268"/>
      <c r="Z268" s="268"/>
    </row>
    <row r="269" spans="1:26" ht="24.75" customHeight="1">
      <c r="A269" s="268"/>
      <c r="B269" s="268"/>
      <c r="C269" s="268"/>
      <c r="D269" s="268"/>
      <c r="E269" s="268"/>
      <c r="F269" s="268"/>
      <c r="G269" s="268"/>
      <c r="H269" s="268"/>
      <c r="I269" s="268"/>
      <c r="J269" s="268"/>
      <c r="K269" s="268"/>
      <c r="L269" s="334"/>
      <c r="M269" s="268"/>
      <c r="N269" s="268"/>
      <c r="O269" s="310"/>
      <c r="P269" s="268"/>
      <c r="Q269" s="334"/>
      <c r="R269" s="268"/>
      <c r="S269" s="313"/>
      <c r="T269" s="313"/>
      <c r="U269" s="268"/>
      <c r="V269" s="309"/>
      <c r="W269" s="310"/>
      <c r="X269" s="268"/>
      <c r="Y269" s="268"/>
      <c r="Z269" s="268"/>
    </row>
    <row r="270" spans="1:26" ht="24.75" customHeight="1">
      <c r="A270" s="268"/>
      <c r="B270" s="268"/>
      <c r="C270" s="268"/>
      <c r="D270" s="268"/>
      <c r="E270" s="268"/>
      <c r="F270" s="268"/>
      <c r="G270" s="268"/>
      <c r="H270" s="268"/>
      <c r="I270" s="268"/>
      <c r="J270" s="268"/>
      <c r="K270" s="268"/>
      <c r="L270" s="334"/>
      <c r="M270" s="268"/>
      <c r="N270" s="268"/>
      <c r="O270" s="310"/>
      <c r="P270" s="268"/>
      <c r="Q270" s="334"/>
      <c r="R270" s="268"/>
      <c r="S270" s="313"/>
      <c r="T270" s="313"/>
      <c r="U270" s="268"/>
      <c r="V270" s="309"/>
      <c r="W270" s="310"/>
      <c r="X270" s="268"/>
      <c r="Y270" s="268"/>
      <c r="Z270" s="268"/>
    </row>
    <row r="271" spans="1:26" ht="24.75" customHeight="1">
      <c r="A271" s="268"/>
      <c r="B271" s="268"/>
      <c r="C271" s="268"/>
      <c r="D271" s="268"/>
      <c r="E271" s="268"/>
      <c r="F271" s="268"/>
      <c r="G271" s="268"/>
      <c r="H271" s="268"/>
      <c r="I271" s="268"/>
      <c r="J271" s="268"/>
      <c r="K271" s="268"/>
      <c r="L271" s="334"/>
      <c r="M271" s="268"/>
      <c r="N271" s="268"/>
      <c r="O271" s="310"/>
      <c r="P271" s="268"/>
      <c r="Q271" s="334"/>
      <c r="R271" s="268"/>
      <c r="S271" s="313"/>
      <c r="T271" s="313"/>
      <c r="U271" s="268"/>
      <c r="V271" s="309"/>
      <c r="W271" s="310"/>
      <c r="X271" s="268"/>
      <c r="Y271" s="268"/>
      <c r="Z271" s="268"/>
    </row>
    <row r="272" spans="1:26" ht="24.75" customHeight="1">
      <c r="A272" s="268"/>
      <c r="B272" s="268"/>
      <c r="C272" s="268"/>
      <c r="D272" s="268"/>
      <c r="E272" s="268"/>
      <c r="F272" s="268"/>
      <c r="G272" s="268"/>
      <c r="H272" s="268"/>
      <c r="I272" s="268"/>
      <c r="J272" s="268"/>
      <c r="K272" s="268"/>
      <c r="L272" s="334"/>
      <c r="M272" s="268"/>
      <c r="N272" s="268"/>
      <c r="O272" s="310"/>
      <c r="P272" s="268"/>
      <c r="Q272" s="334"/>
      <c r="R272" s="268"/>
      <c r="S272" s="313"/>
      <c r="T272" s="313"/>
      <c r="U272" s="268"/>
      <c r="V272" s="309"/>
      <c r="W272" s="310"/>
      <c r="X272" s="268"/>
      <c r="Y272" s="268"/>
      <c r="Z272" s="268"/>
    </row>
    <row r="273" spans="1:26" ht="24.75" customHeight="1">
      <c r="A273" s="268"/>
      <c r="B273" s="268"/>
      <c r="C273" s="268"/>
      <c r="D273" s="268"/>
      <c r="E273" s="268"/>
      <c r="F273" s="268"/>
      <c r="G273" s="268"/>
      <c r="H273" s="268"/>
      <c r="I273" s="268"/>
      <c r="J273" s="268"/>
      <c r="K273" s="268"/>
      <c r="L273" s="334"/>
      <c r="M273" s="268"/>
      <c r="N273" s="268"/>
      <c r="O273" s="310"/>
      <c r="P273" s="268"/>
      <c r="Q273" s="334"/>
      <c r="R273" s="268"/>
      <c r="S273" s="313"/>
      <c r="T273" s="313"/>
      <c r="U273" s="230"/>
      <c r="V273" s="256"/>
      <c r="W273" s="257"/>
      <c r="X273" s="230"/>
      <c r="Y273" s="230"/>
      <c r="Z273" s="230"/>
    </row>
    <row r="274" spans="1:26" ht="24.75" customHeight="1">
      <c r="A274" s="268"/>
      <c r="B274" s="268"/>
      <c r="C274" s="268"/>
      <c r="D274" s="268"/>
      <c r="E274" s="268"/>
      <c r="F274" s="268"/>
      <c r="G274" s="268"/>
      <c r="H274" s="268"/>
      <c r="I274" s="268"/>
      <c r="J274" s="268"/>
      <c r="K274" s="268"/>
      <c r="L274" s="334"/>
      <c r="M274" s="268"/>
      <c r="N274" s="268"/>
      <c r="O274" s="310"/>
      <c r="P274" s="268"/>
      <c r="Q274" s="334"/>
      <c r="R274" s="268"/>
      <c r="S274" s="313"/>
      <c r="T274" s="313"/>
      <c r="U274" s="268"/>
      <c r="V274" s="309"/>
      <c r="W274" s="310"/>
      <c r="X274" s="268"/>
      <c r="Y274" s="268"/>
      <c r="Z274" s="268"/>
    </row>
    <row r="275" spans="1:26" ht="24.75" customHeight="1">
      <c r="A275" s="268"/>
      <c r="B275" s="268"/>
      <c r="C275" s="268"/>
      <c r="D275" s="268"/>
      <c r="E275" s="268"/>
      <c r="F275" s="268"/>
      <c r="G275" s="268"/>
      <c r="H275" s="268"/>
      <c r="I275" s="268"/>
      <c r="J275" s="268"/>
      <c r="K275" s="268"/>
      <c r="L275" s="334"/>
      <c r="M275" s="268"/>
      <c r="N275" s="268"/>
      <c r="O275" s="310"/>
      <c r="P275" s="268"/>
      <c r="Q275" s="334"/>
      <c r="R275" s="268"/>
      <c r="S275" s="313"/>
      <c r="T275" s="313"/>
      <c r="U275" s="230"/>
      <c r="V275" s="256"/>
      <c r="W275" s="257"/>
      <c r="X275" s="230"/>
      <c r="Y275" s="230"/>
      <c r="Z275" s="230"/>
    </row>
    <row r="276" spans="1:26" ht="24.75" customHeight="1">
      <c r="A276" s="268"/>
      <c r="B276" s="268"/>
      <c r="C276" s="268"/>
      <c r="D276" s="268"/>
      <c r="E276" s="268"/>
      <c r="F276" s="268"/>
      <c r="G276" s="268"/>
      <c r="H276" s="268"/>
      <c r="I276" s="268"/>
      <c r="J276" s="268"/>
      <c r="K276" s="268"/>
      <c r="L276" s="334"/>
      <c r="M276" s="268"/>
      <c r="N276" s="268"/>
      <c r="O276" s="310"/>
      <c r="P276" s="268"/>
      <c r="Q276" s="334"/>
      <c r="R276" s="268"/>
      <c r="S276" s="313"/>
      <c r="T276" s="313"/>
      <c r="U276" s="268"/>
      <c r="V276" s="309"/>
      <c r="W276" s="310"/>
      <c r="X276" s="268"/>
      <c r="Y276" s="268"/>
      <c r="Z276" s="268"/>
    </row>
    <row r="277" spans="1:26" ht="24.75" customHeight="1">
      <c r="A277" s="268"/>
      <c r="B277" s="268"/>
      <c r="C277" s="268"/>
      <c r="D277" s="268"/>
      <c r="E277" s="268"/>
      <c r="F277" s="268"/>
      <c r="G277" s="268"/>
      <c r="H277" s="268"/>
      <c r="I277" s="268"/>
      <c r="J277" s="268"/>
      <c r="K277" s="268"/>
      <c r="L277" s="334"/>
      <c r="M277" s="268"/>
      <c r="N277" s="268"/>
      <c r="O277" s="310"/>
      <c r="P277" s="268"/>
      <c r="Q277" s="334"/>
      <c r="R277" s="268"/>
      <c r="S277" s="313"/>
      <c r="T277" s="313"/>
      <c r="U277" s="268"/>
      <c r="V277" s="309"/>
      <c r="W277" s="310"/>
      <c r="X277" s="268"/>
      <c r="Y277" s="268"/>
      <c r="Z277" s="268"/>
    </row>
    <row r="278" spans="1:26" ht="24.75" customHeight="1">
      <c r="A278" s="268"/>
      <c r="B278" s="268"/>
      <c r="C278" s="268"/>
      <c r="D278" s="268"/>
      <c r="E278" s="268"/>
      <c r="F278" s="268"/>
      <c r="G278" s="268"/>
      <c r="H278" s="268"/>
      <c r="I278" s="268"/>
      <c r="J278" s="268"/>
      <c r="K278" s="268"/>
      <c r="L278" s="334"/>
      <c r="M278" s="268"/>
      <c r="N278" s="268"/>
      <c r="O278" s="310"/>
      <c r="P278" s="268"/>
      <c r="Q278" s="334"/>
      <c r="R278" s="268"/>
      <c r="S278" s="313"/>
      <c r="T278" s="313"/>
      <c r="U278" s="268"/>
      <c r="V278" s="309"/>
      <c r="W278" s="310"/>
      <c r="X278" s="268"/>
      <c r="Y278" s="268"/>
      <c r="Z278" s="268"/>
    </row>
    <row r="279" spans="1:26" ht="24.75" customHeight="1">
      <c r="A279" s="268"/>
      <c r="B279" s="268"/>
      <c r="C279" s="268"/>
      <c r="D279" s="268"/>
      <c r="E279" s="268"/>
      <c r="F279" s="268"/>
      <c r="G279" s="268"/>
      <c r="H279" s="268"/>
      <c r="I279" s="268"/>
      <c r="J279" s="268"/>
      <c r="K279" s="268"/>
      <c r="L279" s="334"/>
      <c r="M279" s="268"/>
      <c r="N279" s="268"/>
      <c r="O279" s="310"/>
      <c r="P279" s="268"/>
      <c r="Q279" s="334"/>
      <c r="R279" s="268"/>
      <c r="S279" s="313"/>
      <c r="T279" s="313"/>
      <c r="U279" s="268"/>
      <c r="V279" s="309"/>
      <c r="W279" s="310"/>
      <c r="X279" s="268"/>
      <c r="Y279" s="268"/>
      <c r="Z279" s="268"/>
    </row>
    <row r="280" spans="1:26" ht="24.75" customHeight="1">
      <c r="A280" s="268"/>
      <c r="B280" s="268"/>
      <c r="C280" s="268"/>
      <c r="D280" s="268"/>
      <c r="E280" s="268"/>
      <c r="F280" s="268"/>
      <c r="G280" s="268"/>
      <c r="H280" s="268"/>
      <c r="I280" s="268"/>
      <c r="J280" s="268"/>
      <c r="K280" s="268"/>
      <c r="L280" s="334"/>
      <c r="M280" s="268"/>
      <c r="N280" s="268"/>
      <c r="O280" s="310"/>
      <c r="P280" s="268"/>
      <c r="Q280" s="334"/>
      <c r="R280" s="268"/>
      <c r="S280" s="313"/>
      <c r="T280" s="313"/>
      <c r="U280" s="268"/>
      <c r="V280" s="309"/>
      <c r="W280" s="310"/>
      <c r="X280" s="268"/>
      <c r="Y280" s="268"/>
      <c r="Z280" s="268"/>
    </row>
    <row r="281" spans="1:26" ht="24.75" customHeight="1">
      <c r="A281" s="268"/>
      <c r="B281" s="268"/>
      <c r="C281" s="268"/>
      <c r="D281" s="268"/>
      <c r="E281" s="268"/>
      <c r="F281" s="268"/>
      <c r="G281" s="268"/>
      <c r="H281" s="268"/>
      <c r="I281" s="268"/>
      <c r="J281" s="268"/>
      <c r="K281" s="268"/>
      <c r="L281" s="334"/>
      <c r="M281" s="268"/>
      <c r="N281" s="268"/>
      <c r="O281" s="310"/>
      <c r="P281" s="268"/>
      <c r="Q281" s="334"/>
      <c r="R281" s="268"/>
      <c r="S281" s="313"/>
      <c r="T281" s="313"/>
      <c r="U281" s="268"/>
      <c r="V281" s="309"/>
      <c r="W281" s="310"/>
      <c r="X281" s="268"/>
      <c r="Y281" s="268"/>
      <c r="Z281" s="268"/>
    </row>
    <row r="282" spans="1:26" ht="24.75" customHeight="1">
      <c r="A282" s="268"/>
      <c r="B282" s="268"/>
      <c r="C282" s="268"/>
      <c r="D282" s="268"/>
      <c r="E282" s="268"/>
      <c r="F282" s="268"/>
      <c r="G282" s="268"/>
      <c r="H282" s="268"/>
      <c r="I282" s="268"/>
      <c r="J282" s="268"/>
      <c r="K282" s="268"/>
      <c r="L282" s="334"/>
      <c r="M282" s="268"/>
      <c r="N282" s="268"/>
      <c r="O282" s="310"/>
      <c r="P282" s="268"/>
      <c r="Q282" s="334"/>
      <c r="R282" s="268"/>
      <c r="S282" s="313"/>
      <c r="T282" s="313"/>
      <c r="U282" s="268"/>
      <c r="V282" s="309"/>
      <c r="W282" s="310"/>
      <c r="X282" s="268"/>
      <c r="Y282" s="268"/>
      <c r="Z282" s="268"/>
    </row>
    <row r="283" spans="1:26" ht="24.75" customHeight="1">
      <c r="A283" s="268"/>
      <c r="B283" s="268"/>
      <c r="C283" s="268"/>
      <c r="D283" s="268"/>
      <c r="E283" s="268"/>
      <c r="F283" s="268"/>
      <c r="G283" s="268"/>
      <c r="H283" s="268"/>
      <c r="I283" s="268"/>
      <c r="J283" s="268"/>
      <c r="K283" s="268"/>
      <c r="L283" s="334"/>
      <c r="M283" s="268"/>
      <c r="N283" s="268"/>
      <c r="O283" s="310"/>
      <c r="P283" s="268"/>
      <c r="Q283" s="334"/>
      <c r="R283" s="268"/>
      <c r="S283" s="313"/>
      <c r="T283" s="313"/>
      <c r="U283" s="268"/>
      <c r="V283" s="309"/>
      <c r="W283" s="310"/>
      <c r="X283" s="268"/>
      <c r="Y283" s="268"/>
      <c r="Z283" s="268"/>
    </row>
    <row r="284" spans="1:26" ht="24.75" customHeight="1">
      <c r="A284" s="268"/>
      <c r="B284" s="268"/>
      <c r="C284" s="268"/>
      <c r="D284" s="268"/>
      <c r="E284" s="268"/>
      <c r="F284" s="268"/>
      <c r="G284" s="268"/>
      <c r="H284" s="268"/>
      <c r="I284" s="268"/>
      <c r="J284" s="268"/>
      <c r="K284" s="268"/>
      <c r="L284" s="334"/>
      <c r="M284" s="268"/>
      <c r="N284" s="268"/>
      <c r="O284" s="310"/>
      <c r="P284" s="268"/>
      <c r="Q284" s="334"/>
      <c r="R284" s="268"/>
      <c r="S284" s="313"/>
      <c r="T284" s="313"/>
      <c r="U284" s="268"/>
      <c r="V284" s="309"/>
      <c r="W284" s="310"/>
      <c r="X284" s="268"/>
      <c r="Y284" s="268"/>
      <c r="Z284" s="268"/>
    </row>
    <row r="285" spans="1:26" ht="24.75" customHeight="1">
      <c r="A285" s="268"/>
      <c r="B285" s="268"/>
      <c r="C285" s="268"/>
      <c r="D285" s="268"/>
      <c r="E285" s="268"/>
      <c r="F285" s="268"/>
      <c r="G285" s="268"/>
      <c r="H285" s="268"/>
      <c r="I285" s="268"/>
      <c r="J285" s="268"/>
      <c r="K285" s="268"/>
      <c r="L285" s="334"/>
      <c r="M285" s="268"/>
      <c r="N285" s="268"/>
      <c r="O285" s="310"/>
      <c r="P285" s="268"/>
      <c r="Q285" s="334"/>
      <c r="R285" s="268"/>
      <c r="S285" s="313"/>
      <c r="T285" s="313"/>
      <c r="U285" s="268"/>
      <c r="V285" s="309"/>
      <c r="W285" s="310"/>
      <c r="X285" s="268"/>
      <c r="Y285" s="268"/>
      <c r="Z285" s="268"/>
    </row>
    <row r="286" spans="1:26" ht="24.75" customHeight="1">
      <c r="A286" s="268"/>
      <c r="B286" s="268"/>
      <c r="C286" s="268"/>
      <c r="D286" s="268"/>
      <c r="E286" s="268"/>
      <c r="F286" s="268"/>
      <c r="G286" s="268"/>
      <c r="H286" s="268"/>
      <c r="I286" s="268"/>
      <c r="J286" s="268"/>
      <c r="K286" s="268"/>
      <c r="L286" s="334"/>
      <c r="M286" s="268"/>
      <c r="N286" s="268"/>
      <c r="O286" s="310"/>
      <c r="P286" s="268"/>
      <c r="Q286" s="334"/>
      <c r="R286" s="268"/>
      <c r="S286" s="313"/>
      <c r="T286" s="313"/>
      <c r="U286" s="268"/>
      <c r="V286" s="309"/>
      <c r="W286" s="310"/>
      <c r="X286" s="268"/>
      <c r="Y286" s="268"/>
      <c r="Z286" s="268"/>
    </row>
    <row r="287" spans="1:26" ht="24.75" customHeight="1">
      <c r="A287" s="268"/>
      <c r="B287" s="268"/>
      <c r="C287" s="268"/>
      <c r="D287" s="268"/>
      <c r="E287" s="268"/>
      <c r="F287" s="268"/>
      <c r="G287" s="268"/>
      <c r="H287" s="268"/>
      <c r="I287" s="268"/>
      <c r="J287" s="268"/>
      <c r="K287" s="268"/>
      <c r="L287" s="334"/>
      <c r="M287" s="268"/>
      <c r="N287" s="268"/>
      <c r="O287" s="310"/>
      <c r="P287" s="268"/>
      <c r="Q287" s="334"/>
      <c r="R287" s="268"/>
      <c r="S287" s="313"/>
      <c r="T287" s="313"/>
      <c r="U287" s="268"/>
      <c r="V287" s="309"/>
      <c r="W287" s="310"/>
      <c r="X287" s="268"/>
      <c r="Y287" s="268"/>
      <c r="Z287" s="268"/>
    </row>
    <row r="288" spans="1:26" ht="24.75" customHeight="1">
      <c r="A288" s="268"/>
      <c r="B288" s="268"/>
      <c r="C288" s="268"/>
      <c r="D288" s="268"/>
      <c r="E288" s="268"/>
      <c r="F288" s="268"/>
      <c r="G288" s="268"/>
      <c r="H288" s="268"/>
      <c r="I288" s="268"/>
      <c r="J288" s="268"/>
      <c r="K288" s="268"/>
      <c r="L288" s="334"/>
      <c r="M288" s="268"/>
      <c r="N288" s="268"/>
      <c r="O288" s="310"/>
      <c r="P288" s="268"/>
      <c r="Q288" s="334"/>
      <c r="R288" s="268"/>
      <c r="S288" s="313"/>
      <c r="T288" s="313"/>
      <c r="U288" s="230"/>
      <c r="V288" s="256"/>
      <c r="W288" s="257"/>
      <c r="X288" s="230"/>
      <c r="Y288" s="230"/>
      <c r="Z288" s="230"/>
    </row>
    <row r="289" spans="1:26" ht="24.75" customHeight="1">
      <c r="A289" s="268"/>
      <c r="B289" s="268"/>
      <c r="C289" s="268"/>
      <c r="D289" s="268"/>
      <c r="E289" s="268"/>
      <c r="F289" s="268"/>
      <c r="G289" s="268"/>
      <c r="H289" s="268"/>
      <c r="I289" s="268"/>
      <c r="J289" s="268"/>
      <c r="K289" s="268"/>
      <c r="L289" s="334"/>
      <c r="M289" s="268"/>
      <c r="N289" s="268"/>
      <c r="O289" s="310"/>
      <c r="P289" s="268"/>
      <c r="Q289" s="334"/>
      <c r="R289" s="268"/>
      <c r="S289" s="313"/>
      <c r="T289" s="313"/>
      <c r="U289" s="248"/>
      <c r="V289" s="253"/>
      <c r="W289" s="254"/>
      <c r="X289" s="248"/>
      <c r="Y289" s="248"/>
      <c r="Z289" s="248"/>
    </row>
    <row r="290" spans="1:26" ht="24.75" customHeight="1">
      <c r="A290" s="268"/>
      <c r="B290" s="268"/>
      <c r="C290" s="268"/>
      <c r="D290" s="268"/>
      <c r="E290" s="268"/>
      <c r="F290" s="268"/>
      <c r="G290" s="268"/>
      <c r="H290" s="268"/>
      <c r="I290" s="268"/>
      <c r="J290" s="268"/>
      <c r="K290" s="268"/>
      <c r="L290" s="334"/>
      <c r="M290" s="268"/>
      <c r="N290" s="268"/>
      <c r="O290" s="310"/>
      <c r="P290" s="268"/>
      <c r="Q290" s="334"/>
      <c r="R290" s="268"/>
      <c r="S290" s="313"/>
      <c r="T290" s="313"/>
      <c r="U290" s="268"/>
      <c r="V290" s="309"/>
      <c r="W290" s="310"/>
      <c r="X290" s="268"/>
      <c r="Y290" s="268"/>
      <c r="Z290" s="268"/>
    </row>
    <row r="291" spans="1:26" ht="24.75" customHeight="1">
      <c r="A291" s="268"/>
      <c r="B291" s="268"/>
      <c r="C291" s="268"/>
      <c r="D291" s="268"/>
      <c r="E291" s="268"/>
      <c r="F291" s="268"/>
      <c r="G291" s="268"/>
      <c r="H291" s="268"/>
      <c r="I291" s="268"/>
      <c r="J291" s="268"/>
      <c r="K291" s="268"/>
      <c r="L291" s="334"/>
      <c r="M291" s="268"/>
      <c r="N291" s="268"/>
      <c r="O291" s="310"/>
      <c r="P291" s="268"/>
      <c r="Q291" s="334"/>
      <c r="R291" s="268"/>
      <c r="S291" s="313"/>
      <c r="T291" s="313"/>
      <c r="U291" s="268"/>
      <c r="V291" s="309"/>
      <c r="W291" s="310"/>
      <c r="X291" s="268"/>
      <c r="Y291" s="268"/>
      <c r="Z291" s="268"/>
    </row>
    <row r="292" spans="1:26" ht="24.75" customHeight="1">
      <c r="A292" s="268"/>
      <c r="B292" s="268"/>
      <c r="C292" s="268"/>
      <c r="D292" s="268"/>
      <c r="E292" s="268"/>
      <c r="F292" s="268"/>
      <c r="G292" s="268"/>
      <c r="H292" s="268"/>
      <c r="I292" s="268"/>
      <c r="J292" s="268"/>
      <c r="K292" s="268"/>
      <c r="L292" s="334"/>
      <c r="M292" s="268"/>
      <c r="N292" s="268"/>
      <c r="O292" s="310"/>
      <c r="P292" s="268"/>
      <c r="Q292" s="334"/>
      <c r="R292" s="268"/>
      <c r="S292" s="313"/>
      <c r="T292" s="313"/>
      <c r="U292" s="268"/>
      <c r="V292" s="309"/>
      <c r="W292" s="310"/>
      <c r="X292" s="268"/>
      <c r="Y292" s="268"/>
      <c r="Z292" s="268"/>
    </row>
    <row r="293" spans="1:26" ht="24.75" customHeight="1">
      <c r="A293" s="268"/>
      <c r="B293" s="268"/>
      <c r="C293" s="268"/>
      <c r="D293" s="268"/>
      <c r="E293" s="268"/>
      <c r="F293" s="268"/>
      <c r="G293" s="268"/>
      <c r="H293" s="268"/>
      <c r="I293" s="268"/>
      <c r="J293" s="268"/>
      <c r="K293" s="268"/>
      <c r="L293" s="334"/>
      <c r="M293" s="268"/>
      <c r="N293" s="268"/>
      <c r="O293" s="310"/>
      <c r="P293" s="268"/>
      <c r="Q293" s="334"/>
      <c r="R293" s="268"/>
      <c r="S293" s="313"/>
      <c r="T293" s="313"/>
      <c r="U293" s="268"/>
      <c r="V293" s="309"/>
      <c r="W293" s="310"/>
      <c r="X293" s="268"/>
      <c r="Y293" s="268"/>
      <c r="Z293" s="268"/>
    </row>
    <row r="294" spans="1:26" ht="24.75" customHeight="1">
      <c r="A294" s="268"/>
      <c r="B294" s="268"/>
      <c r="C294" s="268"/>
      <c r="D294" s="268"/>
      <c r="E294" s="268"/>
      <c r="F294" s="268"/>
      <c r="G294" s="268"/>
      <c r="H294" s="268"/>
      <c r="I294" s="268"/>
      <c r="J294" s="268"/>
      <c r="K294" s="268"/>
      <c r="L294" s="334"/>
      <c r="M294" s="268"/>
      <c r="N294" s="268"/>
      <c r="O294" s="310"/>
      <c r="P294" s="268"/>
      <c r="Q294" s="334"/>
      <c r="R294" s="268"/>
      <c r="S294" s="313"/>
      <c r="T294" s="313"/>
      <c r="U294" s="268"/>
      <c r="V294" s="309"/>
      <c r="W294" s="310"/>
      <c r="X294" s="268"/>
      <c r="Y294" s="268"/>
      <c r="Z294" s="268"/>
    </row>
    <row r="295" spans="1:26" ht="24.75" customHeight="1">
      <c r="A295" s="268"/>
      <c r="B295" s="268"/>
      <c r="C295" s="268"/>
      <c r="D295" s="268"/>
      <c r="E295" s="268"/>
      <c r="F295" s="268"/>
      <c r="G295" s="268"/>
      <c r="H295" s="268"/>
      <c r="I295" s="268"/>
      <c r="J295" s="268"/>
      <c r="K295" s="268"/>
      <c r="L295" s="334"/>
      <c r="M295" s="268"/>
      <c r="N295" s="268"/>
      <c r="O295" s="310"/>
      <c r="P295" s="268"/>
      <c r="Q295" s="334"/>
      <c r="R295" s="268"/>
      <c r="S295" s="313"/>
      <c r="T295" s="313"/>
      <c r="U295" s="268"/>
      <c r="V295" s="309"/>
      <c r="W295" s="310"/>
      <c r="X295" s="268"/>
      <c r="Y295" s="268"/>
      <c r="Z295" s="268"/>
    </row>
    <row r="296" spans="1:26" ht="24.75" customHeight="1">
      <c r="A296" s="268"/>
      <c r="B296" s="268"/>
      <c r="C296" s="268"/>
      <c r="D296" s="268"/>
      <c r="E296" s="268"/>
      <c r="F296" s="268"/>
      <c r="G296" s="268"/>
      <c r="H296" s="268"/>
      <c r="I296" s="268"/>
      <c r="J296" s="268"/>
      <c r="K296" s="268"/>
      <c r="L296" s="334"/>
      <c r="M296" s="268"/>
      <c r="N296" s="268"/>
      <c r="O296" s="310"/>
      <c r="P296" s="268"/>
      <c r="Q296" s="334"/>
      <c r="R296" s="268"/>
      <c r="S296" s="313"/>
      <c r="T296" s="313"/>
      <c r="U296" s="268"/>
      <c r="V296" s="309"/>
      <c r="W296" s="310"/>
      <c r="X296" s="268"/>
      <c r="Y296" s="268"/>
      <c r="Z296" s="268"/>
    </row>
    <row r="297" spans="1:26" ht="24.75" customHeight="1">
      <c r="A297" s="268"/>
      <c r="B297" s="268"/>
      <c r="C297" s="268"/>
      <c r="D297" s="268"/>
      <c r="E297" s="268"/>
      <c r="F297" s="268"/>
      <c r="G297" s="268"/>
      <c r="H297" s="268"/>
      <c r="I297" s="268"/>
      <c r="J297" s="268"/>
      <c r="K297" s="268"/>
      <c r="L297" s="334"/>
      <c r="M297" s="268"/>
      <c r="N297" s="268"/>
      <c r="O297" s="310"/>
      <c r="P297" s="268"/>
      <c r="Q297" s="334"/>
      <c r="R297" s="268"/>
      <c r="S297" s="313"/>
      <c r="T297" s="313"/>
      <c r="U297" s="268"/>
      <c r="V297" s="309"/>
      <c r="W297" s="310"/>
      <c r="X297" s="268"/>
      <c r="Y297" s="268"/>
      <c r="Z297" s="268"/>
    </row>
    <row r="298" spans="1:26" ht="24.75" customHeight="1">
      <c r="A298" s="268"/>
      <c r="B298" s="268"/>
      <c r="C298" s="268"/>
      <c r="D298" s="268"/>
      <c r="E298" s="268"/>
      <c r="F298" s="268"/>
      <c r="G298" s="268"/>
      <c r="H298" s="268"/>
      <c r="I298" s="268"/>
      <c r="J298" s="268"/>
      <c r="K298" s="268"/>
      <c r="L298" s="334"/>
      <c r="M298" s="268"/>
      <c r="N298" s="268"/>
      <c r="O298" s="310"/>
      <c r="P298" s="268"/>
      <c r="Q298" s="334"/>
      <c r="R298" s="268"/>
      <c r="S298" s="313"/>
      <c r="T298" s="313"/>
      <c r="U298" s="268"/>
      <c r="V298" s="309"/>
      <c r="W298" s="310"/>
      <c r="X298" s="268"/>
      <c r="Y298" s="268"/>
      <c r="Z298" s="268"/>
    </row>
    <row r="299" spans="1:26" ht="24.75" customHeight="1">
      <c r="A299" s="268"/>
      <c r="B299" s="268"/>
      <c r="C299" s="268"/>
      <c r="D299" s="268"/>
      <c r="E299" s="268"/>
      <c r="F299" s="268"/>
      <c r="G299" s="268"/>
      <c r="H299" s="268"/>
      <c r="I299" s="268"/>
      <c r="J299" s="268"/>
      <c r="K299" s="268"/>
      <c r="L299" s="334"/>
      <c r="M299" s="268"/>
      <c r="N299" s="268"/>
      <c r="O299" s="310"/>
      <c r="P299" s="268"/>
      <c r="Q299" s="334"/>
      <c r="R299" s="268"/>
      <c r="S299" s="313"/>
      <c r="T299" s="313"/>
      <c r="U299" s="268"/>
      <c r="V299" s="309"/>
      <c r="W299" s="310"/>
      <c r="X299" s="268"/>
      <c r="Y299" s="268"/>
      <c r="Z299" s="268"/>
    </row>
    <row r="300" spans="1:26" ht="24.75" customHeight="1">
      <c r="A300" s="268"/>
      <c r="B300" s="268"/>
      <c r="C300" s="268"/>
      <c r="D300" s="268"/>
      <c r="E300" s="268"/>
      <c r="F300" s="268"/>
      <c r="G300" s="268"/>
      <c r="H300" s="268"/>
      <c r="I300" s="268"/>
      <c r="J300" s="268"/>
      <c r="K300" s="268"/>
      <c r="L300" s="334"/>
      <c r="M300" s="268"/>
      <c r="N300" s="268"/>
      <c r="O300" s="310"/>
      <c r="P300" s="268"/>
      <c r="Q300" s="334"/>
      <c r="R300" s="268"/>
      <c r="S300" s="313"/>
      <c r="T300" s="313"/>
      <c r="U300" s="268"/>
      <c r="V300" s="309"/>
      <c r="W300" s="310"/>
      <c r="X300" s="268"/>
      <c r="Y300" s="268"/>
      <c r="Z300" s="268"/>
    </row>
    <row r="301" spans="1:26" ht="24.75" customHeight="1">
      <c r="A301" s="268"/>
      <c r="B301" s="268"/>
      <c r="C301" s="268"/>
      <c r="D301" s="268"/>
      <c r="E301" s="268"/>
      <c r="F301" s="268"/>
      <c r="G301" s="268"/>
      <c r="H301" s="268"/>
      <c r="I301" s="268"/>
      <c r="J301" s="268"/>
      <c r="K301" s="268"/>
      <c r="L301" s="334"/>
      <c r="M301" s="268"/>
      <c r="N301" s="268"/>
      <c r="O301" s="310"/>
      <c r="P301" s="268"/>
      <c r="Q301" s="334"/>
      <c r="R301" s="268"/>
      <c r="S301" s="313"/>
      <c r="T301" s="313"/>
      <c r="U301" s="268"/>
      <c r="V301" s="309"/>
      <c r="W301" s="310"/>
      <c r="X301" s="268"/>
      <c r="Y301" s="268"/>
      <c r="Z301" s="268"/>
    </row>
    <row r="302" spans="1:26" ht="24.75" customHeight="1">
      <c r="A302" s="268"/>
      <c r="B302" s="268"/>
      <c r="C302" s="268"/>
      <c r="D302" s="268"/>
      <c r="E302" s="268"/>
      <c r="F302" s="268"/>
      <c r="G302" s="268"/>
      <c r="H302" s="268"/>
      <c r="I302" s="268"/>
      <c r="J302" s="268"/>
      <c r="K302" s="268"/>
      <c r="L302" s="334"/>
      <c r="M302" s="268"/>
      <c r="N302" s="268"/>
      <c r="O302" s="310"/>
      <c r="P302" s="268"/>
      <c r="Q302" s="334"/>
      <c r="R302" s="268"/>
      <c r="S302" s="313"/>
      <c r="T302" s="313"/>
      <c r="U302" s="268"/>
      <c r="V302" s="309"/>
      <c r="W302" s="310"/>
      <c r="X302" s="268"/>
      <c r="Y302" s="268"/>
      <c r="Z302" s="268"/>
    </row>
    <row r="303" spans="1:26" ht="24.75" customHeight="1">
      <c r="A303" s="268"/>
      <c r="B303" s="268"/>
      <c r="C303" s="268"/>
      <c r="D303" s="268"/>
      <c r="E303" s="268"/>
      <c r="F303" s="268"/>
      <c r="G303" s="268"/>
      <c r="H303" s="268"/>
      <c r="I303" s="268"/>
      <c r="J303" s="268"/>
      <c r="K303" s="268"/>
      <c r="L303" s="334"/>
      <c r="M303" s="268"/>
      <c r="N303" s="268"/>
      <c r="O303" s="310"/>
      <c r="P303" s="268"/>
      <c r="Q303" s="334"/>
      <c r="R303" s="268"/>
      <c r="S303" s="313"/>
      <c r="T303" s="313"/>
      <c r="U303" s="268"/>
      <c r="V303" s="309"/>
      <c r="W303" s="310"/>
      <c r="X303" s="268"/>
      <c r="Y303" s="268"/>
      <c r="Z303" s="268"/>
    </row>
    <row r="304" spans="1:26" ht="24.75" customHeight="1">
      <c r="A304" s="268"/>
      <c r="B304" s="268"/>
      <c r="C304" s="268"/>
      <c r="D304" s="268"/>
      <c r="E304" s="268"/>
      <c r="F304" s="268"/>
      <c r="G304" s="268"/>
      <c r="H304" s="268"/>
      <c r="I304" s="268"/>
      <c r="J304" s="268"/>
      <c r="K304" s="268"/>
      <c r="L304" s="334"/>
      <c r="M304" s="268"/>
      <c r="N304" s="268"/>
      <c r="O304" s="310"/>
      <c r="P304" s="268"/>
      <c r="Q304" s="334"/>
      <c r="R304" s="268"/>
      <c r="S304" s="313"/>
      <c r="T304" s="313"/>
      <c r="U304" s="268"/>
      <c r="V304" s="309"/>
      <c r="W304" s="310"/>
      <c r="X304" s="268"/>
      <c r="Y304" s="268"/>
      <c r="Z304" s="268"/>
    </row>
    <row r="305" spans="1:26" ht="24.75" customHeight="1">
      <c r="A305" s="268"/>
      <c r="B305" s="268"/>
      <c r="C305" s="268"/>
      <c r="D305" s="268"/>
      <c r="E305" s="268"/>
      <c r="F305" s="268"/>
      <c r="G305" s="268"/>
      <c r="H305" s="268"/>
      <c r="I305" s="268"/>
      <c r="J305" s="268"/>
      <c r="K305" s="268"/>
      <c r="L305" s="334"/>
      <c r="M305" s="268"/>
      <c r="N305" s="268"/>
      <c r="O305" s="310"/>
      <c r="P305" s="268"/>
      <c r="Q305" s="334"/>
      <c r="R305" s="268"/>
      <c r="S305" s="313"/>
      <c r="T305" s="313"/>
      <c r="U305" s="268"/>
      <c r="V305" s="309"/>
      <c r="W305" s="310"/>
      <c r="X305" s="268"/>
      <c r="Y305" s="268"/>
      <c r="Z305" s="268"/>
    </row>
    <row r="306" spans="1:26" ht="24.75" customHeight="1">
      <c r="A306" s="268"/>
      <c r="B306" s="268"/>
      <c r="C306" s="268"/>
      <c r="D306" s="268"/>
      <c r="E306" s="268"/>
      <c r="F306" s="268"/>
      <c r="G306" s="268"/>
      <c r="H306" s="268"/>
      <c r="I306" s="268"/>
      <c r="J306" s="268"/>
      <c r="K306" s="268"/>
      <c r="L306" s="334"/>
      <c r="M306" s="268"/>
      <c r="N306" s="268"/>
      <c r="O306" s="310"/>
      <c r="P306" s="268"/>
      <c r="Q306" s="334"/>
      <c r="R306" s="268"/>
      <c r="S306" s="313"/>
      <c r="T306" s="313"/>
      <c r="U306" s="268"/>
      <c r="V306" s="309"/>
      <c r="W306" s="310"/>
      <c r="X306" s="268"/>
      <c r="Y306" s="268"/>
      <c r="Z306" s="268"/>
    </row>
    <row r="307" spans="1:26" ht="24.75" customHeight="1">
      <c r="A307" s="268"/>
      <c r="B307" s="268"/>
      <c r="C307" s="268"/>
      <c r="D307" s="268"/>
      <c r="E307" s="268"/>
      <c r="F307" s="268"/>
      <c r="G307" s="268"/>
      <c r="H307" s="268"/>
      <c r="I307" s="268"/>
      <c r="J307" s="268"/>
      <c r="K307" s="268"/>
      <c r="L307" s="334"/>
      <c r="M307" s="268"/>
      <c r="N307" s="268"/>
      <c r="O307" s="310"/>
      <c r="P307" s="268"/>
      <c r="Q307" s="334"/>
      <c r="R307" s="268"/>
      <c r="S307" s="313"/>
      <c r="T307" s="313"/>
      <c r="U307" s="268"/>
      <c r="V307" s="309"/>
      <c r="W307" s="310"/>
      <c r="X307" s="268"/>
      <c r="Y307" s="268"/>
      <c r="Z307" s="268"/>
    </row>
    <row r="308" spans="1:26" ht="24.75" customHeight="1">
      <c r="A308" s="268"/>
      <c r="B308" s="268"/>
      <c r="C308" s="268"/>
      <c r="D308" s="268"/>
      <c r="E308" s="268"/>
      <c r="F308" s="268"/>
      <c r="G308" s="268"/>
      <c r="H308" s="268"/>
      <c r="I308" s="268"/>
      <c r="J308" s="268"/>
      <c r="K308" s="268"/>
      <c r="L308" s="334"/>
      <c r="M308" s="268"/>
      <c r="N308" s="268"/>
      <c r="O308" s="310"/>
      <c r="P308" s="268"/>
      <c r="Q308" s="334"/>
      <c r="R308" s="268"/>
      <c r="S308" s="313"/>
      <c r="T308" s="313"/>
      <c r="U308" s="268"/>
      <c r="V308" s="309"/>
      <c r="W308" s="310"/>
      <c r="X308" s="268"/>
      <c r="Y308" s="268"/>
      <c r="Z308" s="268"/>
    </row>
    <row r="309" spans="1:26" ht="24.75" customHeight="1">
      <c r="A309" s="268"/>
      <c r="B309" s="268"/>
      <c r="C309" s="268"/>
      <c r="D309" s="268"/>
      <c r="E309" s="268"/>
      <c r="F309" s="268"/>
      <c r="G309" s="268"/>
      <c r="H309" s="268"/>
      <c r="I309" s="268"/>
      <c r="J309" s="268"/>
      <c r="K309" s="268"/>
      <c r="L309" s="334"/>
      <c r="M309" s="268"/>
      <c r="N309" s="268"/>
      <c r="O309" s="310"/>
      <c r="P309" s="268"/>
      <c r="Q309" s="334"/>
      <c r="R309" s="268"/>
      <c r="S309" s="313"/>
      <c r="T309" s="313"/>
      <c r="U309" s="268"/>
      <c r="V309" s="309"/>
      <c r="W309" s="310"/>
      <c r="X309" s="268"/>
      <c r="Y309" s="268"/>
      <c r="Z309" s="268"/>
    </row>
    <row r="310" spans="1:26" ht="24.75" customHeight="1">
      <c r="A310" s="268"/>
      <c r="B310" s="268"/>
      <c r="C310" s="268"/>
      <c r="D310" s="268"/>
      <c r="E310" s="268"/>
      <c r="F310" s="268"/>
      <c r="G310" s="268"/>
      <c r="H310" s="268"/>
      <c r="I310" s="268"/>
      <c r="J310" s="268"/>
      <c r="K310" s="268"/>
      <c r="L310" s="334"/>
      <c r="M310" s="268"/>
      <c r="N310" s="268"/>
      <c r="O310" s="310"/>
      <c r="P310" s="268"/>
      <c r="Q310" s="334"/>
      <c r="R310" s="268"/>
      <c r="S310" s="313"/>
      <c r="T310" s="313"/>
      <c r="U310" s="268"/>
      <c r="V310" s="309"/>
      <c r="W310" s="310"/>
      <c r="X310" s="268"/>
      <c r="Y310" s="268"/>
      <c r="Z310" s="268"/>
    </row>
    <row r="311" spans="1:26" ht="24.75" customHeight="1">
      <c r="A311" s="268"/>
      <c r="B311" s="268"/>
      <c r="C311" s="268"/>
      <c r="D311" s="268"/>
      <c r="E311" s="268"/>
      <c r="F311" s="268"/>
      <c r="G311" s="268"/>
      <c r="H311" s="268"/>
      <c r="I311" s="268"/>
      <c r="J311" s="268"/>
      <c r="K311" s="268"/>
      <c r="L311" s="334"/>
      <c r="M311" s="268"/>
      <c r="N311" s="268"/>
      <c r="O311" s="310"/>
      <c r="P311" s="268"/>
      <c r="Q311" s="334"/>
      <c r="R311" s="268"/>
      <c r="S311" s="313"/>
      <c r="T311" s="313"/>
      <c r="U311" s="268"/>
      <c r="V311" s="309"/>
      <c r="W311" s="310"/>
      <c r="X311" s="268"/>
      <c r="Y311" s="268"/>
      <c r="Z311" s="268"/>
    </row>
    <row r="312" spans="1:26" ht="24.75" customHeight="1">
      <c r="A312" s="268"/>
      <c r="B312" s="268"/>
      <c r="C312" s="268"/>
      <c r="D312" s="268"/>
      <c r="E312" s="268"/>
      <c r="F312" s="268"/>
      <c r="G312" s="268"/>
      <c r="H312" s="268"/>
      <c r="I312" s="268"/>
      <c r="J312" s="268"/>
      <c r="K312" s="268"/>
      <c r="L312" s="334"/>
      <c r="M312" s="268"/>
      <c r="N312" s="268"/>
      <c r="O312" s="310"/>
      <c r="P312" s="268"/>
      <c r="Q312" s="334"/>
      <c r="R312" s="268"/>
      <c r="S312" s="313"/>
      <c r="T312" s="313"/>
      <c r="U312" s="268"/>
      <c r="V312" s="309"/>
      <c r="W312" s="310"/>
      <c r="X312" s="268"/>
      <c r="Y312" s="268"/>
      <c r="Z312" s="268"/>
    </row>
    <row r="313" spans="1:26" ht="24.75" customHeight="1">
      <c r="A313" s="268"/>
      <c r="B313" s="268"/>
      <c r="C313" s="268"/>
      <c r="D313" s="268"/>
      <c r="E313" s="268"/>
      <c r="F313" s="268"/>
      <c r="G313" s="268"/>
      <c r="H313" s="268"/>
      <c r="I313" s="268"/>
      <c r="J313" s="268"/>
      <c r="K313" s="268"/>
      <c r="L313" s="334"/>
      <c r="M313" s="268"/>
      <c r="N313" s="268"/>
      <c r="O313" s="310"/>
      <c r="P313" s="268"/>
      <c r="Q313" s="334"/>
      <c r="R313" s="268"/>
      <c r="S313" s="313"/>
      <c r="T313" s="313"/>
      <c r="U313" s="268"/>
      <c r="V313" s="309"/>
      <c r="W313" s="310"/>
      <c r="X313" s="268"/>
      <c r="Y313" s="268"/>
      <c r="Z313" s="268"/>
    </row>
    <row r="314" spans="1:26" ht="24.75" customHeight="1">
      <c r="A314" s="268"/>
      <c r="B314" s="268"/>
      <c r="C314" s="268"/>
      <c r="D314" s="268"/>
      <c r="E314" s="268"/>
      <c r="F314" s="268"/>
      <c r="G314" s="268"/>
      <c r="H314" s="268"/>
      <c r="I314" s="268"/>
      <c r="J314" s="268"/>
      <c r="K314" s="268"/>
      <c r="L314" s="334"/>
      <c r="M314" s="268"/>
      <c r="N314" s="268"/>
      <c r="O314" s="310"/>
      <c r="P314" s="268"/>
      <c r="Q314" s="334"/>
      <c r="R314" s="268"/>
      <c r="S314" s="313"/>
      <c r="T314" s="313"/>
      <c r="U314" s="268"/>
      <c r="V314" s="309"/>
      <c r="W314" s="310"/>
      <c r="X314" s="268"/>
      <c r="Y314" s="268"/>
      <c r="Z314" s="268"/>
    </row>
    <row r="315" spans="1:26" ht="24.75" customHeight="1">
      <c r="A315" s="268"/>
      <c r="B315" s="268"/>
      <c r="C315" s="268"/>
      <c r="D315" s="268"/>
      <c r="E315" s="268"/>
      <c r="F315" s="268"/>
      <c r="G315" s="268"/>
      <c r="H315" s="268"/>
      <c r="I315" s="268"/>
      <c r="J315" s="268"/>
      <c r="K315" s="268"/>
      <c r="L315" s="334"/>
      <c r="M315" s="268"/>
      <c r="N315" s="268"/>
      <c r="O315" s="310"/>
      <c r="P315" s="268"/>
      <c r="Q315" s="334"/>
      <c r="R315" s="268"/>
      <c r="S315" s="313"/>
      <c r="T315" s="313"/>
      <c r="U315" s="268"/>
      <c r="V315" s="309"/>
      <c r="W315" s="310"/>
      <c r="X315" s="268"/>
      <c r="Y315" s="268"/>
      <c r="Z315" s="268"/>
    </row>
    <row r="316" spans="1:26" ht="24.75" customHeight="1">
      <c r="A316" s="268"/>
      <c r="B316" s="268"/>
      <c r="C316" s="268"/>
      <c r="D316" s="268"/>
      <c r="E316" s="268"/>
      <c r="F316" s="268"/>
      <c r="G316" s="268"/>
      <c r="H316" s="268"/>
      <c r="I316" s="268"/>
      <c r="J316" s="268"/>
      <c r="K316" s="268"/>
      <c r="L316" s="334"/>
      <c r="M316" s="268"/>
      <c r="N316" s="268"/>
      <c r="O316" s="310"/>
      <c r="P316" s="268"/>
      <c r="Q316" s="334"/>
      <c r="R316" s="268"/>
      <c r="S316" s="313"/>
      <c r="T316" s="313"/>
      <c r="U316" s="268"/>
      <c r="V316" s="309"/>
      <c r="W316" s="310"/>
      <c r="X316" s="268"/>
      <c r="Y316" s="268"/>
      <c r="Z316" s="268"/>
    </row>
    <row r="317" spans="1:26" ht="24.75" customHeight="1">
      <c r="A317" s="268"/>
      <c r="B317" s="268"/>
      <c r="C317" s="268"/>
      <c r="D317" s="268"/>
      <c r="E317" s="268"/>
      <c r="F317" s="268"/>
      <c r="G317" s="268"/>
      <c r="H317" s="268"/>
      <c r="I317" s="268"/>
      <c r="J317" s="268"/>
      <c r="K317" s="268"/>
      <c r="L317" s="334"/>
      <c r="M317" s="268"/>
      <c r="N317" s="268"/>
      <c r="O317" s="310"/>
      <c r="P317" s="268"/>
      <c r="Q317" s="334"/>
      <c r="R317" s="268"/>
      <c r="S317" s="313"/>
      <c r="T317" s="313"/>
      <c r="U317" s="268"/>
      <c r="V317" s="309"/>
      <c r="W317" s="310"/>
      <c r="X317" s="268"/>
      <c r="Y317" s="268"/>
      <c r="Z317" s="268"/>
    </row>
    <row r="318" spans="1:26" ht="24.75" customHeight="1">
      <c r="A318" s="268"/>
      <c r="B318" s="268"/>
      <c r="C318" s="268"/>
      <c r="D318" s="268"/>
      <c r="E318" s="268"/>
      <c r="F318" s="268"/>
      <c r="G318" s="268"/>
      <c r="H318" s="268"/>
      <c r="I318" s="268"/>
      <c r="J318" s="268"/>
      <c r="K318" s="268"/>
      <c r="L318" s="334"/>
      <c r="M318" s="268"/>
      <c r="N318" s="268"/>
      <c r="O318" s="310"/>
      <c r="P318" s="268"/>
      <c r="Q318" s="334"/>
      <c r="R318" s="268"/>
      <c r="S318" s="313"/>
      <c r="T318" s="313"/>
      <c r="U318" s="268"/>
      <c r="V318" s="309"/>
      <c r="W318" s="310"/>
      <c r="X318" s="268"/>
      <c r="Y318" s="268"/>
      <c r="Z318" s="268"/>
    </row>
    <row r="319" spans="1:26" ht="24.75" customHeight="1">
      <c r="A319" s="268"/>
      <c r="B319" s="268"/>
      <c r="C319" s="268"/>
      <c r="D319" s="268"/>
      <c r="E319" s="268"/>
      <c r="F319" s="268"/>
      <c r="G319" s="268"/>
      <c r="H319" s="268"/>
      <c r="I319" s="268"/>
      <c r="J319" s="268"/>
      <c r="K319" s="268"/>
      <c r="L319" s="334"/>
      <c r="M319" s="268"/>
      <c r="N319" s="268"/>
      <c r="O319" s="310"/>
      <c r="P319" s="268"/>
      <c r="Q319" s="334"/>
      <c r="R319" s="268"/>
      <c r="S319" s="313"/>
      <c r="T319" s="313"/>
      <c r="U319" s="268"/>
      <c r="V319" s="309"/>
      <c r="W319" s="310"/>
      <c r="X319" s="268"/>
      <c r="Y319" s="268"/>
      <c r="Z319" s="268"/>
    </row>
    <row r="320" spans="1:26" ht="24.75" customHeight="1">
      <c r="A320" s="268"/>
      <c r="B320" s="268"/>
      <c r="C320" s="268"/>
      <c r="D320" s="268"/>
      <c r="E320" s="268"/>
      <c r="F320" s="268"/>
      <c r="G320" s="268"/>
      <c r="H320" s="268"/>
      <c r="I320" s="268"/>
      <c r="J320" s="268"/>
      <c r="K320" s="268"/>
      <c r="L320" s="334"/>
      <c r="M320" s="268"/>
      <c r="N320" s="268"/>
      <c r="O320" s="310"/>
      <c r="P320" s="268"/>
      <c r="Q320" s="334"/>
      <c r="R320" s="268"/>
      <c r="S320" s="313"/>
      <c r="T320" s="313"/>
      <c r="U320" s="268"/>
      <c r="V320" s="309"/>
      <c r="W320" s="310"/>
      <c r="X320" s="268"/>
      <c r="Y320" s="268"/>
      <c r="Z320" s="268"/>
    </row>
    <row r="321" spans="1:26" ht="24.75" customHeight="1">
      <c r="A321" s="268"/>
      <c r="B321" s="268"/>
      <c r="C321" s="268"/>
      <c r="D321" s="268"/>
      <c r="E321" s="268"/>
      <c r="F321" s="268"/>
      <c r="G321" s="268"/>
      <c r="H321" s="268"/>
      <c r="I321" s="268"/>
      <c r="J321" s="268"/>
      <c r="K321" s="268"/>
      <c r="L321" s="334"/>
      <c r="M321" s="268"/>
      <c r="N321" s="268"/>
      <c r="O321" s="310"/>
      <c r="P321" s="268"/>
      <c r="Q321" s="334"/>
      <c r="R321" s="268"/>
      <c r="S321" s="313"/>
      <c r="T321" s="313"/>
      <c r="U321" s="268"/>
      <c r="V321" s="309"/>
      <c r="W321" s="310"/>
      <c r="X321" s="268"/>
      <c r="Y321" s="268"/>
      <c r="Z321" s="268"/>
    </row>
    <row r="322" spans="1:26" ht="24.75" customHeight="1">
      <c r="A322" s="268"/>
      <c r="B322" s="268"/>
      <c r="C322" s="268"/>
      <c r="D322" s="268"/>
      <c r="E322" s="268"/>
      <c r="F322" s="268"/>
      <c r="G322" s="268"/>
      <c r="H322" s="268"/>
      <c r="I322" s="268"/>
      <c r="J322" s="268"/>
      <c r="K322" s="268"/>
      <c r="L322" s="334"/>
      <c r="M322" s="268"/>
      <c r="N322" s="268"/>
      <c r="O322" s="310"/>
      <c r="P322" s="268"/>
      <c r="Q322" s="334"/>
      <c r="R322" s="268"/>
      <c r="S322" s="313"/>
      <c r="T322" s="313"/>
      <c r="U322" s="268"/>
      <c r="V322" s="309"/>
      <c r="W322" s="310"/>
      <c r="X322" s="268"/>
      <c r="Y322" s="268"/>
      <c r="Z322" s="268"/>
    </row>
    <row r="323" spans="1:26" ht="24.75" customHeight="1">
      <c r="A323" s="268"/>
      <c r="B323" s="268"/>
      <c r="C323" s="268"/>
      <c r="D323" s="268"/>
      <c r="E323" s="268"/>
      <c r="F323" s="268"/>
      <c r="G323" s="268"/>
      <c r="H323" s="268"/>
      <c r="I323" s="268"/>
      <c r="J323" s="268"/>
      <c r="K323" s="268"/>
      <c r="L323" s="334"/>
      <c r="M323" s="268"/>
      <c r="N323" s="268"/>
      <c r="O323" s="310"/>
      <c r="P323" s="268"/>
      <c r="Q323" s="334"/>
      <c r="R323" s="268"/>
      <c r="S323" s="313"/>
      <c r="T323" s="313"/>
      <c r="U323" s="268"/>
      <c r="V323" s="309"/>
      <c r="W323" s="310"/>
      <c r="X323" s="268"/>
      <c r="Y323" s="268"/>
      <c r="Z323" s="268"/>
    </row>
    <row r="324" spans="1:26" ht="24.75" customHeight="1">
      <c r="A324" s="268"/>
      <c r="B324" s="268"/>
      <c r="C324" s="268"/>
      <c r="D324" s="268"/>
      <c r="E324" s="268"/>
      <c r="F324" s="268"/>
      <c r="G324" s="268"/>
      <c r="H324" s="268"/>
      <c r="I324" s="268"/>
      <c r="J324" s="268"/>
      <c r="K324" s="268"/>
      <c r="L324" s="334"/>
      <c r="M324" s="268"/>
      <c r="N324" s="268"/>
      <c r="O324" s="310"/>
      <c r="P324" s="268"/>
      <c r="Q324" s="334"/>
      <c r="R324" s="268"/>
      <c r="S324" s="313"/>
      <c r="T324" s="313"/>
      <c r="U324" s="268"/>
      <c r="V324" s="309"/>
      <c r="W324" s="310"/>
      <c r="X324" s="268"/>
      <c r="Y324" s="268"/>
      <c r="Z324" s="268"/>
    </row>
    <row r="325" spans="1:26" ht="24.75" customHeight="1">
      <c r="A325" s="268"/>
      <c r="B325" s="268"/>
      <c r="C325" s="268"/>
      <c r="D325" s="268"/>
      <c r="E325" s="268"/>
      <c r="F325" s="268"/>
      <c r="G325" s="268"/>
      <c r="H325" s="268"/>
      <c r="I325" s="268"/>
      <c r="J325" s="268"/>
      <c r="K325" s="268"/>
      <c r="L325" s="334"/>
      <c r="M325" s="268"/>
      <c r="N325" s="268"/>
      <c r="O325" s="310"/>
      <c r="P325" s="268"/>
      <c r="Q325" s="334"/>
      <c r="R325" s="268"/>
      <c r="S325" s="313"/>
      <c r="T325" s="313"/>
      <c r="U325" s="268"/>
      <c r="V325" s="309"/>
      <c r="W325" s="310"/>
      <c r="X325" s="268"/>
      <c r="Y325" s="268"/>
      <c r="Z325" s="268"/>
    </row>
    <row r="326" spans="1:26" ht="24.75" customHeight="1">
      <c r="A326" s="268"/>
      <c r="B326" s="268"/>
      <c r="C326" s="268"/>
      <c r="D326" s="268"/>
      <c r="E326" s="268"/>
      <c r="F326" s="268"/>
      <c r="G326" s="268"/>
      <c r="H326" s="268"/>
      <c r="I326" s="268"/>
      <c r="J326" s="268"/>
      <c r="K326" s="268"/>
      <c r="L326" s="334"/>
      <c r="M326" s="268"/>
      <c r="N326" s="268"/>
      <c r="O326" s="310"/>
      <c r="P326" s="268"/>
      <c r="Q326" s="334"/>
      <c r="R326" s="268"/>
      <c r="S326" s="313"/>
      <c r="T326" s="313"/>
      <c r="U326" s="268"/>
      <c r="V326" s="309"/>
      <c r="W326" s="310"/>
      <c r="X326" s="268"/>
      <c r="Y326" s="268"/>
      <c r="Z326" s="268"/>
    </row>
    <row r="327" spans="1:26" ht="24.75" customHeight="1">
      <c r="A327" s="268"/>
      <c r="B327" s="268"/>
      <c r="C327" s="268"/>
      <c r="D327" s="268"/>
      <c r="E327" s="268"/>
      <c r="F327" s="268"/>
      <c r="G327" s="268"/>
      <c r="H327" s="268"/>
      <c r="I327" s="268"/>
      <c r="J327" s="268"/>
      <c r="K327" s="268"/>
      <c r="L327" s="334"/>
      <c r="M327" s="268"/>
      <c r="N327" s="268"/>
      <c r="O327" s="310"/>
      <c r="P327" s="268"/>
      <c r="Q327" s="334"/>
      <c r="R327" s="268"/>
      <c r="S327" s="313"/>
      <c r="T327" s="313"/>
      <c r="U327" s="268"/>
      <c r="V327" s="309"/>
      <c r="W327" s="310"/>
      <c r="X327" s="268"/>
      <c r="Y327" s="268"/>
      <c r="Z327" s="268"/>
    </row>
    <row r="328" spans="1:26" ht="24.75" customHeight="1">
      <c r="A328" s="268"/>
      <c r="B328" s="268"/>
      <c r="C328" s="268"/>
      <c r="D328" s="268"/>
      <c r="E328" s="268"/>
      <c r="F328" s="268"/>
      <c r="G328" s="268"/>
      <c r="H328" s="268"/>
      <c r="I328" s="268"/>
      <c r="J328" s="268"/>
      <c r="K328" s="268"/>
      <c r="L328" s="334"/>
      <c r="M328" s="268"/>
      <c r="N328" s="268"/>
      <c r="O328" s="310"/>
      <c r="P328" s="268"/>
      <c r="Q328" s="334"/>
      <c r="R328" s="268"/>
      <c r="S328" s="313"/>
      <c r="T328" s="313"/>
      <c r="U328" s="268"/>
      <c r="V328" s="309"/>
      <c r="W328" s="310"/>
      <c r="X328" s="268"/>
      <c r="Y328" s="268"/>
      <c r="Z328" s="268"/>
    </row>
    <row r="329" spans="1:26" ht="24.75" customHeight="1">
      <c r="A329" s="268"/>
      <c r="B329" s="268"/>
      <c r="C329" s="268"/>
      <c r="D329" s="268"/>
      <c r="E329" s="268"/>
      <c r="F329" s="268"/>
      <c r="G329" s="268"/>
      <c r="H329" s="268"/>
      <c r="I329" s="268"/>
      <c r="J329" s="268"/>
      <c r="K329" s="268"/>
      <c r="L329" s="334"/>
      <c r="M329" s="268"/>
      <c r="N329" s="268"/>
      <c r="O329" s="310"/>
      <c r="P329" s="268"/>
      <c r="Q329" s="334"/>
      <c r="R329" s="268"/>
      <c r="S329" s="313"/>
      <c r="T329" s="313"/>
      <c r="U329" s="268"/>
      <c r="V329" s="309"/>
      <c r="W329" s="310"/>
      <c r="X329" s="268"/>
      <c r="Y329" s="268"/>
      <c r="Z329" s="268"/>
    </row>
    <row r="330" spans="1:26" ht="24.75" customHeight="1">
      <c r="A330" s="268"/>
      <c r="B330" s="268"/>
      <c r="C330" s="268"/>
      <c r="D330" s="268"/>
      <c r="E330" s="268"/>
      <c r="F330" s="268"/>
      <c r="G330" s="268"/>
      <c r="H330" s="268"/>
      <c r="I330" s="268"/>
      <c r="J330" s="268"/>
      <c r="K330" s="268"/>
      <c r="L330" s="334"/>
      <c r="M330" s="268"/>
      <c r="N330" s="268"/>
      <c r="O330" s="310"/>
      <c r="P330" s="268"/>
      <c r="Q330" s="334"/>
      <c r="R330" s="268"/>
      <c r="S330" s="313"/>
      <c r="T330" s="313"/>
      <c r="U330" s="268"/>
      <c r="V330" s="309"/>
      <c r="W330" s="310"/>
      <c r="X330" s="268"/>
      <c r="Y330" s="268"/>
      <c r="Z330" s="268"/>
    </row>
    <row r="331" spans="1:26" ht="24.75" customHeight="1">
      <c r="A331" s="268"/>
      <c r="B331" s="268"/>
      <c r="C331" s="268"/>
      <c r="D331" s="268"/>
      <c r="E331" s="268"/>
      <c r="F331" s="268"/>
      <c r="G331" s="268"/>
      <c r="H331" s="268"/>
      <c r="I331" s="268"/>
      <c r="J331" s="268"/>
      <c r="K331" s="268"/>
      <c r="L331" s="334"/>
      <c r="M331" s="268"/>
      <c r="N331" s="268"/>
      <c r="O331" s="310"/>
      <c r="P331" s="268"/>
      <c r="Q331" s="334"/>
      <c r="R331" s="268"/>
      <c r="S331" s="313"/>
      <c r="T331" s="313"/>
      <c r="U331" s="268"/>
      <c r="V331" s="309"/>
      <c r="W331" s="310"/>
      <c r="X331" s="268"/>
      <c r="Y331" s="268"/>
      <c r="Z331" s="268"/>
    </row>
    <row r="332" spans="1:26" ht="24.75" customHeight="1">
      <c r="A332" s="268"/>
      <c r="B332" s="268"/>
      <c r="C332" s="268"/>
      <c r="D332" s="268"/>
      <c r="E332" s="268"/>
      <c r="F332" s="268"/>
      <c r="G332" s="268"/>
      <c r="H332" s="268"/>
      <c r="I332" s="268"/>
      <c r="J332" s="268"/>
      <c r="K332" s="268"/>
      <c r="L332" s="334"/>
      <c r="M332" s="268"/>
      <c r="N332" s="268"/>
      <c r="O332" s="310"/>
      <c r="P332" s="268"/>
      <c r="Q332" s="334"/>
      <c r="R332" s="268"/>
      <c r="S332" s="313"/>
      <c r="T332" s="313"/>
      <c r="U332" s="268"/>
      <c r="V332" s="309"/>
      <c r="W332" s="310"/>
      <c r="X332" s="268"/>
      <c r="Y332" s="268"/>
      <c r="Z332" s="268"/>
    </row>
    <row r="333" spans="1:26" ht="24.75" customHeight="1">
      <c r="A333" s="268"/>
      <c r="B333" s="268"/>
      <c r="C333" s="268"/>
      <c r="D333" s="268"/>
      <c r="E333" s="268"/>
      <c r="F333" s="268"/>
      <c r="G333" s="268"/>
      <c r="H333" s="268"/>
      <c r="I333" s="268"/>
      <c r="J333" s="268"/>
      <c r="K333" s="268"/>
      <c r="L333" s="334"/>
      <c r="M333" s="268"/>
      <c r="N333" s="268"/>
      <c r="O333" s="310"/>
      <c r="P333" s="268"/>
      <c r="Q333" s="334"/>
      <c r="R333" s="268"/>
      <c r="S333" s="313"/>
      <c r="T333" s="313"/>
      <c r="U333" s="268"/>
      <c r="V333" s="309"/>
      <c r="W333" s="310"/>
      <c r="X333" s="268"/>
      <c r="Y333" s="268"/>
      <c r="Z333" s="268"/>
    </row>
    <row r="334" spans="1:26" ht="24.75" customHeight="1">
      <c r="A334" s="268"/>
      <c r="B334" s="268"/>
      <c r="C334" s="268"/>
      <c r="D334" s="268"/>
      <c r="E334" s="268"/>
      <c r="F334" s="268"/>
      <c r="G334" s="268"/>
      <c r="H334" s="268"/>
      <c r="I334" s="268"/>
      <c r="J334" s="268"/>
      <c r="K334" s="268"/>
      <c r="L334" s="334"/>
      <c r="M334" s="268"/>
      <c r="N334" s="268"/>
      <c r="O334" s="310"/>
      <c r="P334" s="268"/>
      <c r="Q334" s="334"/>
      <c r="R334" s="268"/>
      <c r="S334" s="313"/>
      <c r="T334" s="313"/>
      <c r="U334" s="268"/>
      <c r="V334" s="309"/>
      <c r="W334" s="310"/>
      <c r="X334" s="268"/>
      <c r="Y334" s="268"/>
      <c r="Z334" s="268"/>
    </row>
    <row r="335" spans="1:26" ht="24.75" customHeight="1">
      <c r="A335" s="268"/>
      <c r="B335" s="268"/>
      <c r="C335" s="268"/>
      <c r="D335" s="268"/>
      <c r="E335" s="268"/>
      <c r="F335" s="268"/>
      <c r="G335" s="268"/>
      <c r="H335" s="268"/>
      <c r="I335" s="268"/>
      <c r="J335" s="268"/>
      <c r="K335" s="268"/>
      <c r="L335" s="334"/>
      <c r="M335" s="268"/>
      <c r="N335" s="268"/>
      <c r="O335" s="310"/>
      <c r="P335" s="268"/>
      <c r="Q335" s="334"/>
      <c r="R335" s="268"/>
      <c r="S335" s="313"/>
      <c r="T335" s="313"/>
      <c r="U335" s="268"/>
      <c r="V335" s="309"/>
      <c r="W335" s="310"/>
      <c r="X335" s="268"/>
      <c r="Y335" s="268"/>
      <c r="Z335" s="268"/>
    </row>
    <row r="336" spans="1:26" ht="24.75" customHeight="1">
      <c r="A336" s="268"/>
      <c r="B336" s="268"/>
      <c r="C336" s="268"/>
      <c r="D336" s="268"/>
      <c r="E336" s="268"/>
      <c r="F336" s="268"/>
      <c r="G336" s="268"/>
      <c r="H336" s="268"/>
      <c r="I336" s="268"/>
      <c r="J336" s="268"/>
      <c r="K336" s="268"/>
      <c r="L336" s="334"/>
      <c r="M336" s="268"/>
      <c r="N336" s="268"/>
      <c r="O336" s="310"/>
      <c r="P336" s="268"/>
      <c r="Q336" s="334"/>
      <c r="R336" s="268"/>
      <c r="S336" s="313"/>
      <c r="T336" s="313"/>
      <c r="U336" s="268"/>
      <c r="V336" s="309"/>
      <c r="W336" s="310"/>
      <c r="X336" s="268"/>
      <c r="Y336" s="268"/>
      <c r="Z336" s="268"/>
    </row>
    <row r="337" spans="1:26" ht="24.75" customHeight="1">
      <c r="A337" s="268"/>
      <c r="B337" s="268"/>
      <c r="C337" s="268"/>
      <c r="D337" s="268"/>
      <c r="E337" s="268"/>
      <c r="F337" s="268"/>
      <c r="G337" s="268"/>
      <c r="H337" s="268"/>
      <c r="I337" s="268"/>
      <c r="J337" s="268"/>
      <c r="K337" s="268"/>
      <c r="L337" s="334"/>
      <c r="M337" s="268"/>
      <c r="N337" s="268"/>
      <c r="O337" s="310"/>
      <c r="P337" s="268"/>
      <c r="Q337" s="334"/>
      <c r="R337" s="268"/>
      <c r="S337" s="313"/>
      <c r="T337" s="313"/>
      <c r="U337" s="268"/>
      <c r="V337" s="309"/>
      <c r="W337" s="310"/>
      <c r="X337" s="268"/>
      <c r="Y337" s="268"/>
      <c r="Z337" s="268"/>
    </row>
    <row r="338" spans="1:26" ht="24.75" customHeight="1">
      <c r="A338" s="268"/>
      <c r="B338" s="268"/>
      <c r="C338" s="268"/>
      <c r="D338" s="268"/>
      <c r="E338" s="268"/>
      <c r="F338" s="268"/>
      <c r="G338" s="268"/>
      <c r="H338" s="268"/>
      <c r="I338" s="268"/>
      <c r="J338" s="268"/>
      <c r="K338" s="268"/>
      <c r="L338" s="334"/>
      <c r="M338" s="268"/>
      <c r="N338" s="268"/>
      <c r="O338" s="310"/>
      <c r="P338" s="268"/>
      <c r="Q338" s="334"/>
      <c r="R338" s="268"/>
      <c r="S338" s="313"/>
      <c r="T338" s="313"/>
      <c r="U338" s="268"/>
      <c r="V338" s="309"/>
      <c r="W338" s="310"/>
      <c r="X338" s="268"/>
      <c r="Y338" s="268"/>
      <c r="Z338" s="268"/>
    </row>
    <row r="339" spans="1:26" ht="24.75" customHeight="1">
      <c r="A339" s="268"/>
      <c r="B339" s="268"/>
      <c r="C339" s="268"/>
      <c r="D339" s="268"/>
      <c r="E339" s="268"/>
      <c r="F339" s="268"/>
      <c r="G339" s="268"/>
      <c r="H339" s="268"/>
      <c r="I339" s="268"/>
      <c r="J339" s="268"/>
      <c r="K339" s="268"/>
      <c r="L339" s="334"/>
      <c r="M339" s="268"/>
      <c r="N339" s="268"/>
      <c r="O339" s="310"/>
      <c r="P339" s="268"/>
      <c r="Q339" s="334"/>
      <c r="R339" s="268"/>
      <c r="S339" s="313"/>
      <c r="T339" s="313"/>
      <c r="U339" s="268"/>
      <c r="V339" s="309"/>
      <c r="W339" s="310"/>
      <c r="X339" s="268"/>
      <c r="Y339" s="268"/>
      <c r="Z339" s="268"/>
    </row>
    <row r="340" spans="1:26" ht="24.75" customHeight="1">
      <c r="A340" s="268"/>
      <c r="B340" s="268"/>
      <c r="C340" s="268"/>
      <c r="D340" s="268"/>
      <c r="E340" s="268"/>
      <c r="F340" s="268"/>
      <c r="G340" s="268"/>
      <c r="H340" s="268"/>
      <c r="I340" s="268"/>
      <c r="J340" s="268"/>
      <c r="K340" s="268"/>
      <c r="L340" s="334"/>
      <c r="M340" s="268"/>
      <c r="N340" s="268"/>
      <c r="O340" s="310"/>
      <c r="P340" s="268"/>
      <c r="Q340" s="334"/>
      <c r="R340" s="268"/>
      <c r="S340" s="313"/>
      <c r="T340" s="313"/>
      <c r="U340" s="268"/>
      <c r="V340" s="309"/>
      <c r="W340" s="310"/>
      <c r="X340" s="268"/>
      <c r="Y340" s="268"/>
      <c r="Z340" s="268"/>
    </row>
    <row r="341" spans="1:26" ht="24.75" customHeight="1">
      <c r="A341" s="268"/>
      <c r="B341" s="268"/>
      <c r="C341" s="268"/>
      <c r="D341" s="268"/>
      <c r="E341" s="268"/>
      <c r="F341" s="268"/>
      <c r="G341" s="268"/>
      <c r="H341" s="268"/>
      <c r="I341" s="268"/>
      <c r="J341" s="268"/>
      <c r="K341" s="268"/>
      <c r="L341" s="334"/>
      <c r="M341" s="268"/>
      <c r="N341" s="268"/>
      <c r="O341" s="310"/>
      <c r="P341" s="268"/>
      <c r="Q341" s="334"/>
      <c r="R341" s="268"/>
      <c r="S341" s="313"/>
      <c r="T341" s="313"/>
      <c r="U341" s="268"/>
      <c r="V341" s="309"/>
      <c r="W341" s="310"/>
      <c r="X341" s="268"/>
      <c r="Y341" s="268"/>
      <c r="Z341" s="268"/>
    </row>
    <row r="342" spans="1:26" ht="24.75" customHeight="1">
      <c r="A342" s="268"/>
      <c r="B342" s="268"/>
      <c r="C342" s="268"/>
      <c r="D342" s="268"/>
      <c r="E342" s="268"/>
      <c r="F342" s="268"/>
      <c r="G342" s="268"/>
      <c r="H342" s="268"/>
      <c r="I342" s="268"/>
      <c r="J342" s="268"/>
      <c r="K342" s="268"/>
      <c r="L342" s="334"/>
      <c r="M342" s="268"/>
      <c r="N342" s="268"/>
      <c r="O342" s="310"/>
      <c r="P342" s="268"/>
      <c r="Q342" s="334"/>
      <c r="R342" s="268"/>
      <c r="S342" s="313"/>
      <c r="T342" s="313"/>
      <c r="U342" s="268"/>
      <c r="V342" s="309"/>
      <c r="W342" s="310"/>
      <c r="X342" s="268"/>
      <c r="Y342" s="268"/>
      <c r="Z342" s="268"/>
    </row>
    <row r="343" spans="1:26" ht="24.75" customHeight="1">
      <c r="A343" s="268"/>
      <c r="B343" s="268"/>
      <c r="C343" s="268"/>
      <c r="D343" s="268"/>
      <c r="E343" s="268"/>
      <c r="F343" s="268"/>
      <c r="G343" s="268"/>
      <c r="H343" s="268"/>
      <c r="I343" s="268"/>
      <c r="J343" s="268"/>
      <c r="K343" s="268"/>
      <c r="L343" s="334"/>
      <c r="M343" s="268"/>
      <c r="N343" s="268"/>
      <c r="O343" s="310"/>
      <c r="P343" s="268"/>
      <c r="Q343" s="334"/>
      <c r="R343" s="268"/>
      <c r="S343" s="313"/>
      <c r="T343" s="313"/>
      <c r="U343" s="268"/>
      <c r="V343" s="309"/>
      <c r="W343" s="310"/>
      <c r="X343" s="268"/>
      <c r="Y343" s="268"/>
      <c r="Z343" s="268"/>
    </row>
    <row r="344" spans="1:26" ht="24.75" customHeight="1">
      <c r="A344" s="268"/>
      <c r="B344" s="268"/>
      <c r="C344" s="268"/>
      <c r="D344" s="268"/>
      <c r="E344" s="268"/>
      <c r="F344" s="268"/>
      <c r="G344" s="268"/>
      <c r="H344" s="268"/>
      <c r="I344" s="268"/>
      <c r="J344" s="268"/>
      <c r="K344" s="268"/>
      <c r="L344" s="334"/>
      <c r="M344" s="268"/>
      <c r="N344" s="268"/>
      <c r="O344" s="310"/>
      <c r="P344" s="268"/>
      <c r="Q344" s="334"/>
      <c r="R344" s="268"/>
      <c r="S344" s="313"/>
      <c r="T344" s="313"/>
      <c r="U344" s="268"/>
      <c r="V344" s="309"/>
      <c r="W344" s="310"/>
      <c r="X344" s="268"/>
      <c r="Y344" s="268"/>
      <c r="Z344" s="268"/>
    </row>
    <row r="345" spans="1:26" ht="24.75" customHeight="1">
      <c r="A345" s="268"/>
      <c r="B345" s="268"/>
      <c r="C345" s="268"/>
      <c r="D345" s="268"/>
      <c r="E345" s="268"/>
      <c r="F345" s="268"/>
      <c r="G345" s="268"/>
      <c r="H345" s="268"/>
      <c r="I345" s="268"/>
      <c r="J345" s="268"/>
      <c r="K345" s="268"/>
      <c r="L345" s="334"/>
      <c r="M345" s="268"/>
      <c r="N345" s="268"/>
      <c r="O345" s="310"/>
      <c r="P345" s="268"/>
      <c r="Q345" s="334"/>
      <c r="R345" s="268"/>
      <c r="S345" s="313"/>
      <c r="T345" s="313"/>
      <c r="U345" s="268"/>
      <c r="V345" s="309"/>
      <c r="W345" s="310"/>
      <c r="X345" s="268"/>
      <c r="Y345" s="268"/>
      <c r="Z345" s="268"/>
    </row>
    <row r="346" spans="1:26" ht="24.75" customHeight="1">
      <c r="A346" s="268"/>
      <c r="B346" s="268"/>
      <c r="C346" s="268"/>
      <c r="D346" s="268"/>
      <c r="E346" s="268"/>
      <c r="F346" s="268"/>
      <c r="G346" s="268"/>
      <c r="H346" s="268"/>
      <c r="I346" s="268"/>
      <c r="J346" s="268"/>
      <c r="K346" s="268"/>
      <c r="L346" s="334"/>
      <c r="M346" s="268"/>
      <c r="N346" s="268"/>
      <c r="O346" s="310"/>
      <c r="P346" s="268"/>
      <c r="Q346" s="334"/>
      <c r="R346" s="268"/>
      <c r="S346" s="313"/>
      <c r="T346" s="313"/>
      <c r="U346" s="268"/>
      <c r="V346" s="309"/>
      <c r="W346" s="310"/>
      <c r="X346" s="268"/>
      <c r="Y346" s="268"/>
      <c r="Z346" s="268"/>
    </row>
    <row r="347" spans="1:26" ht="24.75" customHeight="1">
      <c r="A347" s="268"/>
      <c r="B347" s="268"/>
      <c r="C347" s="268"/>
      <c r="D347" s="268"/>
      <c r="E347" s="268"/>
      <c r="F347" s="268"/>
      <c r="G347" s="268"/>
      <c r="H347" s="268"/>
      <c r="I347" s="268"/>
      <c r="J347" s="268"/>
      <c r="K347" s="268"/>
      <c r="L347" s="334"/>
      <c r="M347" s="268"/>
      <c r="N347" s="268"/>
      <c r="O347" s="310"/>
      <c r="P347" s="268"/>
      <c r="Q347" s="334"/>
      <c r="R347" s="268"/>
      <c r="S347" s="313"/>
      <c r="T347" s="313"/>
      <c r="U347" s="268"/>
      <c r="V347" s="309"/>
      <c r="W347" s="310"/>
      <c r="X347" s="268"/>
      <c r="Y347" s="268"/>
      <c r="Z347" s="268"/>
    </row>
    <row r="348" spans="1:26" ht="24.75" customHeight="1">
      <c r="A348" s="268"/>
      <c r="B348" s="268"/>
      <c r="C348" s="268"/>
      <c r="D348" s="268"/>
      <c r="E348" s="268"/>
      <c r="F348" s="268"/>
      <c r="G348" s="268"/>
      <c r="H348" s="268"/>
      <c r="I348" s="268"/>
      <c r="J348" s="268"/>
      <c r="K348" s="268"/>
      <c r="L348" s="334"/>
      <c r="M348" s="268"/>
      <c r="N348" s="268"/>
      <c r="O348" s="310"/>
      <c r="P348" s="268"/>
      <c r="Q348" s="334"/>
      <c r="R348" s="268"/>
      <c r="S348" s="313"/>
      <c r="T348" s="313"/>
      <c r="U348" s="268"/>
      <c r="V348" s="309"/>
      <c r="W348" s="310"/>
      <c r="X348" s="268"/>
      <c r="Y348" s="268"/>
      <c r="Z348" s="268"/>
    </row>
    <row r="349" spans="1:26" ht="24.75" customHeight="1">
      <c r="A349" s="268"/>
      <c r="B349" s="268"/>
      <c r="C349" s="268"/>
      <c r="D349" s="268"/>
      <c r="E349" s="268"/>
      <c r="F349" s="268"/>
      <c r="G349" s="268"/>
      <c r="H349" s="268"/>
      <c r="I349" s="268"/>
      <c r="J349" s="268"/>
      <c r="K349" s="268"/>
      <c r="L349" s="334"/>
      <c r="M349" s="268"/>
      <c r="N349" s="268"/>
      <c r="O349" s="310"/>
      <c r="P349" s="268"/>
      <c r="Q349" s="334"/>
      <c r="R349" s="268"/>
      <c r="S349" s="313"/>
      <c r="T349" s="313"/>
      <c r="U349" s="268"/>
      <c r="V349" s="309"/>
      <c r="W349" s="310"/>
      <c r="X349" s="268"/>
      <c r="Y349" s="268"/>
      <c r="Z349" s="268"/>
    </row>
    <row r="350" spans="1:26" ht="24.75" customHeight="1">
      <c r="A350" s="268"/>
      <c r="B350" s="268"/>
      <c r="C350" s="268"/>
      <c r="D350" s="268"/>
      <c r="E350" s="268"/>
      <c r="F350" s="268"/>
      <c r="G350" s="268"/>
      <c r="H350" s="268"/>
      <c r="I350" s="268"/>
      <c r="J350" s="268"/>
      <c r="K350" s="268"/>
      <c r="L350" s="334"/>
      <c r="M350" s="268"/>
      <c r="N350" s="268"/>
      <c r="O350" s="310"/>
      <c r="P350" s="268"/>
      <c r="Q350" s="334"/>
      <c r="R350" s="268"/>
      <c r="S350" s="313"/>
      <c r="T350" s="313"/>
      <c r="U350" s="268"/>
      <c r="V350" s="309"/>
      <c r="W350" s="310"/>
      <c r="X350" s="268"/>
      <c r="Y350" s="268"/>
      <c r="Z350" s="268"/>
    </row>
    <row r="351" spans="1:26" ht="24.75" customHeight="1">
      <c r="A351" s="268"/>
      <c r="B351" s="268"/>
      <c r="C351" s="268"/>
      <c r="D351" s="268"/>
      <c r="E351" s="268"/>
      <c r="F351" s="268"/>
      <c r="G351" s="268"/>
      <c r="H351" s="268"/>
      <c r="I351" s="268"/>
      <c r="J351" s="268"/>
      <c r="K351" s="268"/>
      <c r="L351" s="334"/>
      <c r="M351" s="268"/>
      <c r="N351" s="268"/>
      <c r="O351" s="310"/>
      <c r="P351" s="268"/>
      <c r="Q351" s="334"/>
      <c r="R351" s="268"/>
      <c r="S351" s="313"/>
      <c r="T351" s="313"/>
      <c r="U351" s="268"/>
      <c r="V351" s="309"/>
      <c r="W351" s="310"/>
      <c r="X351" s="268"/>
      <c r="Y351" s="268"/>
      <c r="Z351" s="268"/>
    </row>
    <row r="352" spans="1:26" ht="24.75" customHeight="1">
      <c r="A352" s="268"/>
      <c r="B352" s="268"/>
      <c r="C352" s="268"/>
      <c r="D352" s="268"/>
      <c r="E352" s="268"/>
      <c r="F352" s="268"/>
      <c r="G352" s="268"/>
      <c r="H352" s="268"/>
      <c r="I352" s="268"/>
      <c r="J352" s="268"/>
      <c r="K352" s="268"/>
      <c r="L352" s="334"/>
      <c r="M352" s="268"/>
      <c r="N352" s="268"/>
      <c r="O352" s="310"/>
      <c r="P352" s="268"/>
      <c r="Q352" s="334"/>
      <c r="R352" s="268"/>
      <c r="S352" s="313"/>
      <c r="T352" s="313"/>
      <c r="U352" s="268"/>
      <c r="V352" s="309"/>
      <c r="W352" s="310"/>
      <c r="X352" s="268"/>
      <c r="Y352" s="268"/>
      <c r="Z352" s="268"/>
    </row>
    <row r="353" spans="1:26" ht="24.75" customHeight="1">
      <c r="A353" s="268"/>
      <c r="B353" s="268"/>
      <c r="C353" s="268"/>
      <c r="D353" s="268"/>
      <c r="E353" s="268"/>
      <c r="F353" s="268"/>
      <c r="G353" s="268"/>
      <c r="H353" s="268"/>
      <c r="I353" s="268"/>
      <c r="J353" s="268"/>
      <c r="K353" s="268"/>
      <c r="L353" s="334"/>
      <c r="M353" s="268"/>
      <c r="N353" s="268"/>
      <c r="O353" s="310"/>
      <c r="P353" s="268"/>
      <c r="Q353" s="334"/>
      <c r="R353" s="268"/>
      <c r="S353" s="313"/>
      <c r="T353" s="313"/>
      <c r="U353" s="268"/>
      <c r="V353" s="309"/>
      <c r="W353" s="310"/>
      <c r="X353" s="268"/>
      <c r="Y353" s="268"/>
      <c r="Z353" s="268"/>
    </row>
    <row r="354" spans="1:26" ht="24.75" customHeight="1">
      <c r="A354" s="268"/>
      <c r="B354" s="268"/>
      <c r="C354" s="268"/>
      <c r="D354" s="268"/>
      <c r="E354" s="268"/>
      <c r="F354" s="268"/>
      <c r="G354" s="268"/>
      <c r="H354" s="268"/>
      <c r="I354" s="268"/>
      <c r="J354" s="268"/>
      <c r="K354" s="268"/>
      <c r="L354" s="334"/>
      <c r="M354" s="268"/>
      <c r="N354" s="268"/>
      <c r="O354" s="310"/>
      <c r="P354" s="268"/>
      <c r="Q354" s="334"/>
      <c r="R354" s="268"/>
      <c r="S354" s="313"/>
      <c r="T354" s="313"/>
      <c r="U354" s="268"/>
      <c r="V354" s="309"/>
      <c r="W354" s="310"/>
      <c r="X354" s="268"/>
      <c r="Y354" s="268"/>
      <c r="Z354" s="268"/>
    </row>
    <row r="355" spans="1:26" ht="24.75" customHeight="1">
      <c r="A355" s="268"/>
      <c r="B355" s="268"/>
      <c r="C355" s="268"/>
      <c r="D355" s="268"/>
      <c r="E355" s="268"/>
      <c r="F355" s="268"/>
      <c r="G355" s="268"/>
      <c r="H355" s="268"/>
      <c r="I355" s="268"/>
      <c r="J355" s="268"/>
      <c r="K355" s="268"/>
      <c r="L355" s="334"/>
      <c r="M355" s="268"/>
      <c r="N355" s="268"/>
      <c r="O355" s="310"/>
      <c r="P355" s="268"/>
      <c r="Q355" s="334"/>
      <c r="R355" s="268"/>
      <c r="S355" s="313"/>
      <c r="T355" s="313"/>
      <c r="U355" s="268"/>
      <c r="V355" s="309"/>
      <c r="W355" s="310"/>
      <c r="X355" s="268"/>
      <c r="Y355" s="268"/>
      <c r="Z355" s="268"/>
    </row>
    <row r="356" spans="1:26" ht="24.75" customHeight="1">
      <c r="A356" s="268"/>
      <c r="B356" s="268"/>
      <c r="C356" s="268"/>
      <c r="D356" s="268"/>
      <c r="E356" s="268"/>
      <c r="F356" s="268"/>
      <c r="G356" s="268"/>
      <c r="H356" s="268"/>
      <c r="I356" s="268"/>
      <c r="J356" s="268"/>
      <c r="K356" s="268"/>
      <c r="L356" s="334"/>
      <c r="M356" s="268"/>
      <c r="N356" s="268"/>
      <c r="O356" s="310"/>
      <c r="P356" s="268"/>
      <c r="Q356" s="334"/>
      <c r="R356" s="268"/>
      <c r="S356" s="313"/>
      <c r="T356" s="313"/>
      <c r="U356" s="268"/>
      <c r="V356" s="309"/>
      <c r="W356" s="310"/>
      <c r="X356" s="268"/>
      <c r="Y356" s="268"/>
      <c r="Z356" s="268"/>
    </row>
    <row r="357" spans="1:26" ht="24.75" customHeight="1">
      <c r="A357" s="268"/>
      <c r="B357" s="268"/>
      <c r="C357" s="268"/>
      <c r="D357" s="268"/>
      <c r="E357" s="268"/>
      <c r="F357" s="268"/>
      <c r="G357" s="268"/>
      <c r="H357" s="268"/>
      <c r="I357" s="268"/>
      <c r="J357" s="268"/>
      <c r="K357" s="268"/>
      <c r="L357" s="334"/>
      <c r="M357" s="268"/>
      <c r="N357" s="268"/>
      <c r="O357" s="310"/>
      <c r="P357" s="268"/>
      <c r="Q357" s="334"/>
      <c r="R357" s="268"/>
      <c r="S357" s="313"/>
      <c r="T357" s="313"/>
      <c r="U357" s="268"/>
      <c r="V357" s="309"/>
      <c r="W357" s="310"/>
      <c r="X357" s="268"/>
      <c r="Y357" s="268"/>
      <c r="Z357" s="268"/>
    </row>
    <row r="358" spans="1:26" ht="24.75" customHeight="1">
      <c r="A358" s="268"/>
      <c r="B358" s="268"/>
      <c r="C358" s="268"/>
      <c r="D358" s="268"/>
      <c r="E358" s="268"/>
      <c r="F358" s="268"/>
      <c r="G358" s="268"/>
      <c r="H358" s="268"/>
      <c r="I358" s="268"/>
      <c r="J358" s="268"/>
      <c r="K358" s="268"/>
      <c r="L358" s="334"/>
      <c r="M358" s="268"/>
      <c r="N358" s="268"/>
      <c r="O358" s="310"/>
      <c r="P358" s="268"/>
      <c r="Q358" s="334"/>
      <c r="R358" s="268"/>
      <c r="S358" s="313"/>
      <c r="T358" s="313"/>
      <c r="U358" s="268"/>
      <c r="V358" s="309"/>
      <c r="W358" s="310"/>
      <c r="X358" s="268"/>
      <c r="Y358" s="268"/>
      <c r="Z358" s="268"/>
    </row>
    <row r="359" spans="1:26" ht="24.75" customHeight="1">
      <c r="A359" s="268"/>
      <c r="B359" s="268"/>
      <c r="C359" s="268"/>
      <c r="D359" s="268"/>
      <c r="E359" s="268"/>
      <c r="F359" s="268"/>
      <c r="G359" s="268"/>
      <c r="H359" s="268"/>
      <c r="I359" s="268"/>
      <c r="J359" s="268"/>
      <c r="K359" s="268"/>
      <c r="L359" s="334"/>
      <c r="M359" s="268"/>
      <c r="N359" s="268"/>
      <c r="O359" s="310"/>
      <c r="P359" s="268"/>
      <c r="Q359" s="334"/>
      <c r="R359" s="268"/>
      <c r="S359" s="313"/>
      <c r="T359" s="313"/>
      <c r="U359" s="268"/>
      <c r="V359" s="309"/>
      <c r="W359" s="310"/>
      <c r="X359" s="268"/>
      <c r="Y359" s="268"/>
      <c r="Z359" s="268"/>
    </row>
    <row r="360" spans="1:26" ht="24.75" customHeight="1">
      <c r="A360" s="268"/>
      <c r="B360" s="268"/>
      <c r="C360" s="268"/>
      <c r="D360" s="268"/>
      <c r="E360" s="268"/>
      <c r="F360" s="268"/>
      <c r="G360" s="268"/>
      <c r="H360" s="268"/>
      <c r="I360" s="268"/>
      <c r="J360" s="268"/>
      <c r="K360" s="268"/>
      <c r="L360" s="334"/>
      <c r="M360" s="268"/>
      <c r="N360" s="268"/>
      <c r="O360" s="310"/>
      <c r="P360" s="268"/>
      <c r="Q360" s="334"/>
      <c r="R360" s="268"/>
      <c r="S360" s="313"/>
      <c r="T360" s="313"/>
      <c r="U360" s="268"/>
      <c r="V360" s="309"/>
      <c r="W360" s="310"/>
      <c r="X360" s="268"/>
      <c r="Y360" s="268"/>
      <c r="Z360" s="268"/>
    </row>
    <row r="361" spans="1:26" ht="24.75" customHeight="1">
      <c r="A361" s="268"/>
      <c r="B361" s="268"/>
      <c r="C361" s="268"/>
      <c r="D361" s="268"/>
      <c r="E361" s="268"/>
      <c r="F361" s="268"/>
      <c r="G361" s="268"/>
      <c r="H361" s="268"/>
      <c r="I361" s="268"/>
      <c r="J361" s="268"/>
      <c r="K361" s="268"/>
      <c r="L361" s="334"/>
      <c r="M361" s="268"/>
      <c r="N361" s="268"/>
      <c r="O361" s="310"/>
      <c r="P361" s="268"/>
      <c r="Q361" s="334"/>
      <c r="R361" s="268"/>
      <c r="S361" s="313"/>
      <c r="T361" s="313"/>
      <c r="U361" s="268"/>
      <c r="V361" s="309"/>
      <c r="W361" s="310"/>
      <c r="X361" s="268"/>
      <c r="Y361" s="268"/>
      <c r="Z361" s="268"/>
    </row>
    <row r="362" spans="1:26" ht="24.75" customHeight="1">
      <c r="A362" s="268"/>
      <c r="B362" s="268"/>
      <c r="C362" s="268"/>
      <c r="D362" s="268"/>
      <c r="E362" s="268"/>
      <c r="F362" s="268"/>
      <c r="G362" s="268"/>
      <c r="H362" s="268"/>
      <c r="I362" s="268"/>
      <c r="J362" s="268"/>
      <c r="K362" s="268"/>
      <c r="L362" s="334"/>
      <c r="M362" s="268"/>
      <c r="N362" s="268"/>
      <c r="O362" s="310"/>
      <c r="P362" s="268"/>
      <c r="Q362" s="334"/>
      <c r="R362" s="268"/>
      <c r="S362" s="313"/>
      <c r="T362" s="313"/>
      <c r="U362" s="268"/>
      <c r="V362" s="309"/>
      <c r="W362" s="310"/>
      <c r="X362" s="268"/>
      <c r="Y362" s="268"/>
      <c r="Z362" s="268"/>
    </row>
    <row r="363" spans="1:26" ht="24.75" customHeight="1">
      <c r="A363" s="268"/>
      <c r="B363" s="268"/>
      <c r="C363" s="268"/>
      <c r="D363" s="268"/>
      <c r="E363" s="268"/>
      <c r="F363" s="268"/>
      <c r="G363" s="268"/>
      <c r="H363" s="268"/>
      <c r="I363" s="268"/>
      <c r="J363" s="268"/>
      <c r="K363" s="268"/>
      <c r="L363" s="334"/>
      <c r="M363" s="268"/>
      <c r="N363" s="268"/>
      <c r="O363" s="310"/>
      <c r="P363" s="268"/>
      <c r="Q363" s="334"/>
      <c r="R363" s="268"/>
      <c r="S363" s="313"/>
      <c r="T363" s="313"/>
      <c r="U363" s="268"/>
      <c r="V363" s="309"/>
      <c r="W363" s="310"/>
      <c r="X363" s="268"/>
      <c r="Y363" s="268"/>
      <c r="Z363" s="268"/>
    </row>
    <row r="364" spans="1:26" ht="24.75" customHeight="1">
      <c r="A364" s="268"/>
      <c r="B364" s="268"/>
      <c r="C364" s="268"/>
      <c r="D364" s="268"/>
      <c r="E364" s="268"/>
      <c r="F364" s="268"/>
      <c r="G364" s="268"/>
      <c r="H364" s="268"/>
      <c r="I364" s="268"/>
      <c r="J364" s="268"/>
      <c r="K364" s="268"/>
      <c r="L364" s="334"/>
      <c r="M364" s="268"/>
      <c r="N364" s="268"/>
      <c r="O364" s="310"/>
      <c r="P364" s="268"/>
      <c r="Q364" s="334"/>
      <c r="R364" s="268"/>
      <c r="S364" s="313"/>
      <c r="T364" s="313"/>
      <c r="U364" s="268"/>
      <c r="V364" s="309"/>
      <c r="W364" s="310"/>
      <c r="X364" s="268"/>
      <c r="Y364" s="268"/>
      <c r="Z364" s="268"/>
    </row>
    <row r="365" spans="1:26" ht="24.75" customHeight="1">
      <c r="A365" s="268"/>
      <c r="B365" s="268"/>
      <c r="C365" s="268"/>
      <c r="D365" s="268"/>
      <c r="E365" s="268"/>
      <c r="F365" s="268"/>
      <c r="G365" s="268"/>
      <c r="H365" s="268"/>
      <c r="I365" s="268"/>
      <c r="J365" s="268"/>
      <c r="K365" s="268"/>
      <c r="L365" s="334"/>
      <c r="M365" s="268"/>
      <c r="N365" s="268"/>
      <c r="O365" s="310"/>
      <c r="P365" s="268"/>
      <c r="Q365" s="334"/>
      <c r="R365" s="268"/>
      <c r="S365" s="313"/>
      <c r="T365" s="313"/>
      <c r="U365" s="268"/>
      <c r="V365" s="309"/>
      <c r="W365" s="310"/>
      <c r="X365" s="268"/>
      <c r="Y365" s="268"/>
      <c r="Z365" s="268"/>
    </row>
    <row r="366" spans="1:26" ht="24.75" customHeight="1">
      <c r="A366" s="268"/>
      <c r="B366" s="268"/>
      <c r="C366" s="268"/>
      <c r="D366" s="268"/>
      <c r="E366" s="268"/>
      <c r="F366" s="268"/>
      <c r="G366" s="268"/>
      <c r="H366" s="268"/>
      <c r="I366" s="268"/>
      <c r="J366" s="268"/>
      <c r="K366" s="268"/>
      <c r="L366" s="334"/>
      <c r="M366" s="268"/>
      <c r="N366" s="268"/>
      <c r="O366" s="310"/>
      <c r="P366" s="268"/>
      <c r="Q366" s="334"/>
      <c r="R366" s="268"/>
      <c r="S366" s="313"/>
      <c r="T366" s="313"/>
      <c r="U366" s="268"/>
      <c r="V366" s="309"/>
      <c r="W366" s="310"/>
      <c r="X366" s="268"/>
      <c r="Y366" s="268"/>
      <c r="Z366" s="268"/>
    </row>
    <row r="367" spans="1:26" ht="24.75" customHeight="1">
      <c r="A367" s="268"/>
      <c r="B367" s="268"/>
      <c r="C367" s="268"/>
      <c r="D367" s="268"/>
      <c r="E367" s="268"/>
      <c r="F367" s="268"/>
      <c r="G367" s="268"/>
      <c r="H367" s="268"/>
      <c r="I367" s="268"/>
      <c r="J367" s="268"/>
      <c r="K367" s="268"/>
      <c r="L367" s="334"/>
      <c r="M367" s="268"/>
      <c r="N367" s="268"/>
      <c r="O367" s="310"/>
      <c r="P367" s="268"/>
      <c r="Q367" s="334"/>
      <c r="R367" s="268"/>
      <c r="S367" s="313"/>
      <c r="T367" s="313"/>
      <c r="U367" s="268"/>
      <c r="V367" s="309"/>
      <c r="W367" s="310"/>
      <c r="X367" s="268"/>
      <c r="Y367" s="268"/>
      <c r="Z367" s="268"/>
    </row>
    <row r="368" spans="1:26" ht="24.75" customHeight="1">
      <c r="A368" s="268"/>
      <c r="B368" s="268"/>
      <c r="C368" s="268"/>
      <c r="D368" s="268"/>
      <c r="E368" s="268"/>
      <c r="F368" s="268"/>
      <c r="G368" s="268"/>
      <c r="H368" s="268"/>
      <c r="I368" s="268"/>
      <c r="J368" s="268"/>
      <c r="K368" s="268"/>
      <c r="L368" s="334"/>
      <c r="M368" s="268"/>
      <c r="N368" s="268"/>
      <c r="O368" s="310"/>
      <c r="P368" s="268"/>
      <c r="Q368" s="334"/>
      <c r="R368" s="268"/>
      <c r="S368" s="313"/>
      <c r="T368" s="313"/>
      <c r="U368" s="268"/>
      <c r="V368" s="309"/>
      <c r="W368" s="310"/>
      <c r="X368" s="268"/>
      <c r="Y368" s="268"/>
      <c r="Z368" s="268"/>
    </row>
    <row r="369" spans="1:26" ht="24.75" customHeight="1">
      <c r="A369" s="268"/>
      <c r="B369" s="268"/>
      <c r="C369" s="268"/>
      <c r="D369" s="268"/>
      <c r="E369" s="268"/>
      <c r="F369" s="268"/>
      <c r="G369" s="268"/>
      <c r="H369" s="268"/>
      <c r="I369" s="268"/>
      <c r="J369" s="268"/>
      <c r="K369" s="268"/>
      <c r="L369" s="334"/>
      <c r="M369" s="268"/>
      <c r="N369" s="268"/>
      <c r="O369" s="310"/>
      <c r="P369" s="268"/>
      <c r="Q369" s="334"/>
      <c r="R369" s="268"/>
      <c r="S369" s="313"/>
      <c r="T369" s="313"/>
      <c r="U369" s="268"/>
      <c r="V369" s="309"/>
      <c r="W369" s="310"/>
      <c r="X369" s="268"/>
      <c r="Y369" s="268"/>
      <c r="Z369" s="268"/>
    </row>
    <row r="370" spans="1:26" ht="24.75" customHeight="1">
      <c r="A370" s="268"/>
      <c r="B370" s="268"/>
      <c r="C370" s="268"/>
      <c r="D370" s="268"/>
      <c r="E370" s="268"/>
      <c r="F370" s="268"/>
      <c r="G370" s="268"/>
      <c r="H370" s="268"/>
      <c r="I370" s="268"/>
      <c r="J370" s="268"/>
      <c r="K370" s="268"/>
      <c r="L370" s="334"/>
      <c r="M370" s="268"/>
      <c r="N370" s="268"/>
      <c r="O370" s="310"/>
      <c r="P370" s="268"/>
      <c r="Q370" s="334"/>
      <c r="R370" s="268"/>
      <c r="S370" s="313"/>
      <c r="T370" s="313"/>
      <c r="U370" s="268"/>
      <c r="V370" s="309"/>
      <c r="W370" s="310"/>
      <c r="X370" s="268"/>
      <c r="Y370" s="268"/>
      <c r="Z370" s="268"/>
    </row>
    <row r="371" spans="1:26" ht="24.75" customHeight="1">
      <c r="A371" s="268"/>
      <c r="B371" s="268"/>
      <c r="C371" s="268"/>
      <c r="D371" s="268"/>
      <c r="E371" s="268"/>
      <c r="F371" s="268"/>
      <c r="G371" s="268"/>
      <c r="H371" s="268"/>
      <c r="I371" s="268"/>
      <c r="J371" s="268"/>
      <c r="K371" s="268"/>
      <c r="L371" s="334"/>
      <c r="M371" s="268"/>
      <c r="N371" s="268"/>
      <c r="O371" s="310"/>
      <c r="P371" s="268"/>
      <c r="Q371" s="334"/>
      <c r="R371" s="268"/>
      <c r="S371" s="313"/>
      <c r="T371" s="313"/>
      <c r="U371" s="268"/>
      <c r="V371" s="309"/>
      <c r="W371" s="310"/>
      <c r="X371" s="268"/>
      <c r="Y371" s="268"/>
      <c r="Z371" s="268"/>
    </row>
    <row r="372" spans="1:26" ht="24.75" customHeight="1">
      <c r="A372" s="268"/>
      <c r="B372" s="268"/>
      <c r="C372" s="268"/>
      <c r="D372" s="268"/>
      <c r="E372" s="268"/>
      <c r="F372" s="268"/>
      <c r="G372" s="268"/>
      <c r="H372" s="268"/>
      <c r="I372" s="268"/>
      <c r="J372" s="268"/>
      <c r="K372" s="268"/>
      <c r="L372" s="334"/>
      <c r="M372" s="268"/>
      <c r="N372" s="268"/>
      <c r="O372" s="310"/>
      <c r="P372" s="268"/>
      <c r="Q372" s="334"/>
      <c r="R372" s="268"/>
      <c r="S372" s="313"/>
      <c r="T372" s="313"/>
      <c r="U372" s="268"/>
      <c r="V372" s="309"/>
      <c r="W372" s="310"/>
      <c r="X372" s="268"/>
      <c r="Y372" s="268"/>
      <c r="Z372" s="268"/>
    </row>
    <row r="373" spans="1:26" ht="24.75" customHeight="1">
      <c r="A373" s="268"/>
      <c r="B373" s="268"/>
      <c r="C373" s="268"/>
      <c r="D373" s="268"/>
      <c r="E373" s="268"/>
      <c r="F373" s="268"/>
      <c r="G373" s="268"/>
      <c r="H373" s="268"/>
      <c r="I373" s="268"/>
      <c r="J373" s="268"/>
      <c r="K373" s="268"/>
      <c r="L373" s="334"/>
      <c r="M373" s="268"/>
      <c r="N373" s="268"/>
      <c r="O373" s="310"/>
      <c r="P373" s="268"/>
      <c r="Q373" s="334"/>
      <c r="R373" s="268"/>
      <c r="S373" s="313"/>
      <c r="T373" s="313"/>
      <c r="U373" s="268"/>
      <c r="V373" s="309"/>
      <c r="W373" s="310"/>
      <c r="X373" s="268"/>
      <c r="Y373" s="268"/>
      <c r="Z373" s="268"/>
    </row>
    <row r="374" spans="1:26" ht="24.75" customHeight="1">
      <c r="A374" s="268"/>
      <c r="B374" s="268"/>
      <c r="C374" s="268"/>
      <c r="D374" s="268"/>
      <c r="E374" s="268"/>
      <c r="F374" s="268"/>
      <c r="G374" s="268"/>
      <c r="H374" s="268"/>
      <c r="I374" s="268"/>
      <c r="J374" s="268"/>
      <c r="K374" s="268"/>
      <c r="L374" s="334"/>
      <c r="M374" s="268"/>
      <c r="N374" s="268"/>
      <c r="O374" s="310"/>
      <c r="P374" s="268"/>
      <c r="Q374" s="334"/>
      <c r="R374" s="268"/>
      <c r="S374" s="313"/>
      <c r="T374" s="313"/>
      <c r="U374" s="268"/>
      <c r="V374" s="309"/>
      <c r="W374" s="310"/>
      <c r="X374" s="268"/>
      <c r="Y374" s="268"/>
      <c r="Z374" s="268"/>
    </row>
    <row r="375" spans="1:26" ht="24.75" customHeight="1">
      <c r="A375" s="268"/>
      <c r="B375" s="268"/>
      <c r="C375" s="268"/>
      <c r="D375" s="268"/>
      <c r="E375" s="268"/>
      <c r="F375" s="268"/>
      <c r="G375" s="268"/>
      <c r="H375" s="268"/>
      <c r="I375" s="268"/>
      <c r="J375" s="268"/>
      <c r="K375" s="268"/>
      <c r="L375" s="334"/>
      <c r="M375" s="268"/>
      <c r="N375" s="268"/>
      <c r="O375" s="310"/>
      <c r="P375" s="268"/>
      <c r="Q375" s="334"/>
      <c r="R375" s="268"/>
      <c r="S375" s="313"/>
      <c r="T375" s="313"/>
      <c r="U375" s="268"/>
      <c r="V375" s="309"/>
      <c r="W375" s="310"/>
      <c r="X375" s="268"/>
      <c r="Y375" s="268"/>
      <c r="Z375" s="268"/>
    </row>
    <row r="376" spans="1:26" ht="24.75" customHeight="1">
      <c r="A376" s="268"/>
      <c r="B376" s="268"/>
      <c r="C376" s="268"/>
      <c r="D376" s="268"/>
      <c r="E376" s="268"/>
      <c r="F376" s="268"/>
      <c r="G376" s="268"/>
      <c r="H376" s="268"/>
      <c r="I376" s="268"/>
      <c r="J376" s="268"/>
      <c r="K376" s="268"/>
      <c r="L376" s="334"/>
      <c r="M376" s="268"/>
      <c r="N376" s="268"/>
      <c r="O376" s="310"/>
      <c r="P376" s="268"/>
      <c r="Q376" s="334"/>
      <c r="R376" s="268"/>
      <c r="S376" s="313"/>
      <c r="T376" s="313"/>
      <c r="U376" s="268"/>
      <c r="V376" s="309"/>
      <c r="W376" s="310"/>
      <c r="X376" s="268"/>
      <c r="Y376" s="268"/>
      <c r="Z376" s="268"/>
    </row>
    <row r="377" spans="1:26" ht="24.75" customHeight="1">
      <c r="A377" s="268"/>
      <c r="B377" s="268"/>
      <c r="C377" s="268"/>
      <c r="D377" s="268"/>
      <c r="E377" s="268"/>
      <c r="F377" s="268"/>
      <c r="G377" s="268"/>
      <c r="H377" s="268"/>
      <c r="I377" s="268"/>
      <c r="J377" s="268"/>
      <c r="K377" s="268"/>
      <c r="L377" s="334"/>
      <c r="M377" s="268"/>
      <c r="N377" s="268"/>
      <c r="O377" s="310"/>
      <c r="P377" s="268"/>
      <c r="Q377" s="334"/>
      <c r="R377" s="268"/>
      <c r="S377" s="313"/>
      <c r="T377" s="313"/>
      <c r="U377" s="268"/>
      <c r="V377" s="309"/>
      <c r="W377" s="310"/>
      <c r="X377" s="268"/>
      <c r="Y377" s="268"/>
      <c r="Z377" s="268"/>
    </row>
    <row r="378" spans="1:26" ht="24.75" customHeight="1">
      <c r="A378" s="268"/>
      <c r="B378" s="268"/>
      <c r="C378" s="268"/>
      <c r="D378" s="268"/>
      <c r="E378" s="268"/>
      <c r="F378" s="268"/>
      <c r="G378" s="268"/>
      <c r="H378" s="268"/>
      <c r="I378" s="268"/>
      <c r="J378" s="268"/>
      <c r="K378" s="268"/>
      <c r="L378" s="334"/>
      <c r="M378" s="268"/>
      <c r="N378" s="268"/>
      <c r="O378" s="310"/>
      <c r="P378" s="268"/>
      <c r="Q378" s="334"/>
      <c r="R378" s="268"/>
      <c r="S378" s="313"/>
      <c r="T378" s="313"/>
      <c r="U378" s="268"/>
      <c r="V378" s="309"/>
      <c r="W378" s="310"/>
      <c r="X378" s="268"/>
      <c r="Y378" s="268"/>
      <c r="Z378" s="268"/>
    </row>
    <row r="379" spans="1:26" ht="24.75" customHeight="1">
      <c r="A379" s="268"/>
      <c r="B379" s="268"/>
      <c r="C379" s="268"/>
      <c r="D379" s="268"/>
      <c r="E379" s="268"/>
      <c r="F379" s="268"/>
      <c r="G379" s="268"/>
      <c r="H379" s="268"/>
      <c r="I379" s="268"/>
      <c r="J379" s="268"/>
      <c r="K379" s="268"/>
      <c r="L379" s="334"/>
      <c r="M379" s="268"/>
      <c r="N379" s="268"/>
      <c r="O379" s="310"/>
      <c r="P379" s="268"/>
      <c r="Q379" s="334"/>
      <c r="R379" s="268"/>
      <c r="S379" s="313"/>
      <c r="T379" s="313"/>
      <c r="U379" s="268"/>
      <c r="V379" s="309"/>
      <c r="W379" s="310"/>
      <c r="X379" s="268"/>
      <c r="Y379" s="268"/>
      <c r="Z379" s="268"/>
    </row>
    <row r="380" spans="1:26" ht="24.75" customHeight="1">
      <c r="A380" s="268"/>
      <c r="B380" s="268"/>
      <c r="C380" s="268"/>
      <c r="D380" s="268"/>
      <c r="E380" s="268"/>
      <c r="F380" s="268"/>
      <c r="G380" s="268"/>
      <c r="H380" s="268"/>
      <c r="I380" s="268"/>
      <c r="J380" s="268"/>
      <c r="K380" s="268"/>
      <c r="L380" s="334"/>
      <c r="M380" s="268"/>
      <c r="N380" s="268"/>
      <c r="O380" s="310"/>
      <c r="P380" s="268"/>
      <c r="Q380" s="334"/>
      <c r="R380" s="268"/>
      <c r="S380" s="313"/>
      <c r="T380" s="313"/>
      <c r="U380" s="268"/>
      <c r="V380" s="309"/>
      <c r="W380" s="310"/>
      <c r="X380" s="268"/>
      <c r="Y380" s="268"/>
      <c r="Z380" s="268"/>
    </row>
    <row r="381" spans="1:26" ht="24.75" customHeight="1">
      <c r="A381" s="268"/>
      <c r="B381" s="268"/>
      <c r="C381" s="268"/>
      <c r="D381" s="268"/>
      <c r="E381" s="268"/>
      <c r="F381" s="268"/>
      <c r="G381" s="268"/>
      <c r="H381" s="268"/>
      <c r="I381" s="268"/>
      <c r="J381" s="268"/>
      <c r="K381" s="268"/>
      <c r="L381" s="334"/>
      <c r="M381" s="268"/>
      <c r="N381" s="268"/>
      <c r="O381" s="310"/>
      <c r="P381" s="268"/>
      <c r="Q381" s="334"/>
      <c r="R381" s="268"/>
      <c r="S381" s="313"/>
      <c r="T381" s="313"/>
      <c r="U381" s="268"/>
      <c r="V381" s="309"/>
      <c r="W381" s="310"/>
      <c r="X381" s="268"/>
      <c r="Y381" s="268"/>
      <c r="Z381" s="268"/>
    </row>
    <row r="382" spans="1:26" ht="24.75" customHeight="1">
      <c r="A382" s="268"/>
      <c r="B382" s="268"/>
      <c r="C382" s="268"/>
      <c r="D382" s="268"/>
      <c r="E382" s="268"/>
      <c r="F382" s="268"/>
      <c r="G382" s="268"/>
      <c r="H382" s="268"/>
      <c r="I382" s="268"/>
      <c r="J382" s="268"/>
      <c r="K382" s="268"/>
      <c r="L382" s="334"/>
      <c r="M382" s="268"/>
      <c r="N382" s="268"/>
      <c r="O382" s="310"/>
      <c r="P382" s="268"/>
      <c r="Q382" s="334"/>
      <c r="R382" s="268"/>
      <c r="S382" s="313"/>
      <c r="T382" s="313"/>
      <c r="U382" s="268"/>
      <c r="V382" s="309"/>
      <c r="W382" s="310"/>
      <c r="X382" s="268"/>
      <c r="Y382" s="268"/>
      <c r="Z382" s="268"/>
    </row>
    <row r="383" spans="1:26" ht="24.75" customHeight="1">
      <c r="A383" s="268"/>
      <c r="B383" s="268"/>
      <c r="C383" s="268"/>
      <c r="D383" s="268"/>
      <c r="E383" s="268"/>
      <c r="F383" s="268"/>
      <c r="G383" s="268"/>
      <c r="H383" s="268"/>
      <c r="I383" s="268"/>
      <c r="J383" s="268"/>
      <c r="K383" s="268"/>
      <c r="L383" s="334"/>
      <c r="M383" s="268"/>
      <c r="N383" s="268"/>
      <c r="O383" s="310"/>
      <c r="P383" s="268"/>
      <c r="Q383" s="334"/>
      <c r="R383" s="268"/>
      <c r="S383" s="313"/>
      <c r="T383" s="313"/>
      <c r="U383" s="268"/>
      <c r="V383" s="309"/>
      <c r="W383" s="310"/>
      <c r="X383" s="268"/>
      <c r="Y383" s="268"/>
      <c r="Z383" s="268"/>
    </row>
    <row r="384" spans="1:26" ht="24.75" customHeight="1">
      <c r="A384" s="268"/>
      <c r="B384" s="268"/>
      <c r="C384" s="268"/>
      <c r="D384" s="268"/>
      <c r="E384" s="268"/>
      <c r="F384" s="268"/>
      <c r="G384" s="268"/>
      <c r="H384" s="268"/>
      <c r="I384" s="268"/>
      <c r="J384" s="268"/>
      <c r="K384" s="268"/>
      <c r="L384" s="334"/>
      <c r="M384" s="268"/>
      <c r="N384" s="268"/>
      <c r="O384" s="310"/>
      <c r="P384" s="268"/>
      <c r="Q384" s="334"/>
      <c r="R384" s="268"/>
      <c r="S384" s="313"/>
      <c r="T384" s="313"/>
      <c r="U384" s="268"/>
      <c r="V384" s="309"/>
      <c r="W384" s="310"/>
      <c r="X384" s="268"/>
      <c r="Y384" s="268"/>
      <c r="Z384" s="268"/>
    </row>
    <row r="385" spans="1:26" ht="24.75" customHeight="1">
      <c r="A385" s="268"/>
      <c r="B385" s="268"/>
      <c r="C385" s="268"/>
      <c r="D385" s="268"/>
      <c r="E385" s="268"/>
      <c r="F385" s="268"/>
      <c r="G385" s="268"/>
      <c r="H385" s="268"/>
      <c r="I385" s="268"/>
      <c r="J385" s="268"/>
      <c r="K385" s="268"/>
      <c r="L385" s="334"/>
      <c r="M385" s="268"/>
      <c r="N385" s="268"/>
      <c r="O385" s="310"/>
      <c r="P385" s="268"/>
      <c r="Q385" s="334"/>
      <c r="R385" s="268"/>
      <c r="S385" s="313"/>
      <c r="T385" s="313"/>
      <c r="U385" s="268"/>
      <c r="V385" s="309"/>
      <c r="W385" s="310"/>
      <c r="X385" s="268"/>
      <c r="Y385" s="268"/>
      <c r="Z385" s="268"/>
    </row>
    <row r="386" spans="1:26" ht="24.75" customHeight="1">
      <c r="A386" s="268"/>
      <c r="B386" s="268"/>
      <c r="C386" s="268"/>
      <c r="D386" s="268"/>
      <c r="E386" s="268"/>
      <c r="F386" s="268"/>
      <c r="G386" s="268"/>
      <c r="H386" s="268"/>
      <c r="I386" s="268"/>
      <c r="J386" s="268"/>
      <c r="K386" s="268"/>
      <c r="L386" s="334"/>
      <c r="M386" s="268"/>
      <c r="N386" s="268"/>
      <c r="O386" s="310"/>
      <c r="P386" s="268"/>
      <c r="Q386" s="334"/>
      <c r="R386" s="268"/>
      <c r="S386" s="313"/>
      <c r="T386" s="313"/>
      <c r="U386" s="268"/>
      <c r="V386" s="309"/>
      <c r="W386" s="310"/>
      <c r="X386" s="268"/>
      <c r="Y386" s="268"/>
      <c r="Z386" s="268"/>
    </row>
    <row r="387" spans="1:26" ht="24.75" customHeight="1">
      <c r="A387" s="268"/>
      <c r="B387" s="268"/>
      <c r="C387" s="268"/>
      <c r="D387" s="268"/>
      <c r="E387" s="268"/>
      <c r="F387" s="268"/>
      <c r="G387" s="268"/>
      <c r="H387" s="268"/>
      <c r="I387" s="268"/>
      <c r="J387" s="268"/>
      <c r="K387" s="268"/>
      <c r="L387" s="334"/>
      <c r="M387" s="268"/>
      <c r="N387" s="268"/>
      <c r="O387" s="310"/>
      <c r="P387" s="268"/>
      <c r="Q387" s="334"/>
      <c r="R387" s="268"/>
      <c r="S387" s="313"/>
      <c r="T387" s="313"/>
      <c r="U387" s="268"/>
      <c r="V387" s="309"/>
      <c r="W387" s="310"/>
      <c r="X387" s="268"/>
      <c r="Y387" s="268"/>
      <c r="Z387" s="268"/>
    </row>
    <row r="388" spans="1:26" ht="24.75" customHeight="1">
      <c r="A388" s="268"/>
      <c r="B388" s="268"/>
      <c r="C388" s="268"/>
      <c r="D388" s="268"/>
      <c r="E388" s="268"/>
      <c r="F388" s="268"/>
      <c r="G388" s="268"/>
      <c r="H388" s="268"/>
      <c r="I388" s="268"/>
      <c r="J388" s="268"/>
      <c r="K388" s="268"/>
      <c r="L388" s="334"/>
      <c r="M388" s="268"/>
      <c r="N388" s="268"/>
      <c r="O388" s="310"/>
      <c r="P388" s="268"/>
      <c r="Q388" s="334"/>
      <c r="R388" s="268"/>
      <c r="S388" s="313"/>
      <c r="T388" s="313"/>
      <c r="U388" s="268"/>
      <c r="V388" s="309"/>
      <c r="W388" s="310"/>
      <c r="X388" s="268"/>
      <c r="Y388" s="268"/>
      <c r="Z388" s="268"/>
    </row>
    <row r="389" spans="1:26" ht="24.75" customHeight="1">
      <c r="A389" s="268"/>
      <c r="B389" s="268"/>
      <c r="C389" s="268"/>
      <c r="D389" s="268"/>
      <c r="E389" s="268"/>
      <c r="F389" s="268"/>
      <c r="G389" s="268"/>
      <c r="H389" s="268"/>
      <c r="I389" s="268"/>
      <c r="J389" s="268"/>
      <c r="K389" s="268"/>
      <c r="L389" s="334"/>
      <c r="M389" s="268"/>
      <c r="N389" s="268"/>
      <c r="O389" s="310"/>
      <c r="P389" s="268"/>
      <c r="Q389" s="334"/>
      <c r="R389" s="268"/>
      <c r="S389" s="313"/>
      <c r="T389" s="313"/>
      <c r="U389" s="268"/>
      <c r="V389" s="309"/>
      <c r="W389" s="310"/>
      <c r="X389" s="268"/>
      <c r="Y389" s="268"/>
      <c r="Z389" s="268"/>
    </row>
    <row r="390" spans="1:26" ht="24.75" customHeight="1">
      <c r="A390" s="268"/>
      <c r="B390" s="268"/>
      <c r="C390" s="268"/>
      <c r="D390" s="268"/>
      <c r="E390" s="268"/>
      <c r="F390" s="268"/>
      <c r="G390" s="268"/>
      <c r="H390" s="268"/>
      <c r="I390" s="268"/>
      <c r="J390" s="268"/>
      <c r="K390" s="268"/>
      <c r="L390" s="334"/>
      <c r="M390" s="268"/>
      <c r="N390" s="268"/>
      <c r="O390" s="310"/>
      <c r="P390" s="268"/>
      <c r="Q390" s="334"/>
      <c r="R390" s="268"/>
      <c r="S390" s="313"/>
      <c r="T390" s="313"/>
      <c r="U390" s="268"/>
      <c r="V390" s="309"/>
      <c r="W390" s="310"/>
      <c r="X390" s="268"/>
      <c r="Y390" s="268"/>
      <c r="Z390" s="268"/>
    </row>
    <row r="391" spans="1:26" ht="24.75" customHeight="1">
      <c r="A391" s="268"/>
      <c r="B391" s="268"/>
      <c r="C391" s="268"/>
      <c r="D391" s="268"/>
      <c r="E391" s="268"/>
      <c r="F391" s="268"/>
      <c r="G391" s="268"/>
      <c r="H391" s="268"/>
      <c r="I391" s="268"/>
      <c r="J391" s="268"/>
      <c r="K391" s="268"/>
      <c r="L391" s="334"/>
      <c r="M391" s="268"/>
      <c r="N391" s="268"/>
      <c r="O391" s="310"/>
      <c r="P391" s="268"/>
      <c r="Q391" s="334"/>
      <c r="R391" s="268"/>
      <c r="S391" s="313"/>
      <c r="T391" s="313"/>
      <c r="U391" s="268"/>
      <c r="V391" s="309"/>
      <c r="W391" s="310"/>
      <c r="X391" s="268"/>
      <c r="Y391" s="268"/>
      <c r="Z391" s="268"/>
    </row>
    <row r="392" spans="1:26" ht="24.75" customHeight="1">
      <c r="A392" s="268"/>
      <c r="B392" s="268"/>
      <c r="C392" s="268"/>
      <c r="D392" s="268"/>
      <c r="E392" s="268"/>
      <c r="F392" s="268"/>
      <c r="G392" s="268"/>
      <c r="H392" s="268"/>
      <c r="I392" s="268"/>
      <c r="J392" s="268"/>
      <c r="K392" s="268"/>
      <c r="L392" s="334"/>
      <c r="M392" s="268"/>
      <c r="N392" s="268"/>
      <c r="O392" s="310"/>
      <c r="P392" s="268"/>
      <c r="Q392" s="334"/>
      <c r="R392" s="268"/>
      <c r="S392" s="313"/>
      <c r="T392" s="313"/>
      <c r="U392" s="268"/>
      <c r="V392" s="309"/>
      <c r="W392" s="310"/>
      <c r="X392" s="268"/>
      <c r="Y392" s="268"/>
      <c r="Z392" s="268"/>
    </row>
    <row r="393" spans="1:26" ht="24.75" customHeight="1">
      <c r="A393" s="268"/>
      <c r="B393" s="268"/>
      <c r="C393" s="268"/>
      <c r="D393" s="268"/>
      <c r="E393" s="268"/>
      <c r="F393" s="268"/>
      <c r="G393" s="268"/>
      <c r="H393" s="268"/>
      <c r="I393" s="268"/>
      <c r="J393" s="268"/>
      <c r="K393" s="268"/>
      <c r="L393" s="334"/>
      <c r="M393" s="268"/>
      <c r="N393" s="268"/>
      <c r="O393" s="310"/>
      <c r="P393" s="268"/>
      <c r="Q393" s="334"/>
      <c r="R393" s="268"/>
      <c r="S393" s="313"/>
      <c r="T393" s="313"/>
      <c r="U393" s="268"/>
      <c r="V393" s="309"/>
      <c r="W393" s="310"/>
      <c r="X393" s="268"/>
      <c r="Y393" s="268"/>
      <c r="Z393" s="268"/>
    </row>
    <row r="394" spans="1:26" ht="24.75" customHeight="1">
      <c r="A394" s="268"/>
      <c r="B394" s="268"/>
      <c r="C394" s="268"/>
      <c r="D394" s="268"/>
      <c r="E394" s="268"/>
      <c r="F394" s="268"/>
      <c r="G394" s="268"/>
      <c r="H394" s="268"/>
      <c r="I394" s="268"/>
      <c r="J394" s="268"/>
      <c r="K394" s="268"/>
      <c r="L394" s="334"/>
      <c r="M394" s="268"/>
      <c r="N394" s="268"/>
      <c r="O394" s="310"/>
      <c r="P394" s="268"/>
      <c r="Q394" s="334"/>
      <c r="R394" s="268"/>
      <c r="S394" s="313"/>
      <c r="T394" s="313"/>
      <c r="U394" s="268"/>
      <c r="V394" s="309"/>
      <c r="W394" s="310"/>
      <c r="X394" s="268"/>
      <c r="Y394" s="268"/>
      <c r="Z394" s="268"/>
    </row>
    <row r="395" spans="1:26" ht="24.75" customHeight="1">
      <c r="A395" s="268"/>
      <c r="B395" s="268"/>
      <c r="C395" s="268"/>
      <c r="D395" s="268"/>
      <c r="E395" s="268"/>
      <c r="F395" s="268"/>
      <c r="G395" s="268"/>
      <c r="H395" s="268"/>
      <c r="I395" s="268"/>
      <c r="J395" s="268"/>
      <c r="K395" s="268"/>
      <c r="L395" s="334"/>
      <c r="M395" s="268"/>
      <c r="N395" s="268"/>
      <c r="O395" s="310"/>
      <c r="P395" s="268"/>
      <c r="Q395" s="334"/>
      <c r="R395" s="268"/>
      <c r="S395" s="313"/>
      <c r="T395" s="313"/>
      <c r="U395" s="268"/>
      <c r="V395" s="309"/>
      <c r="W395" s="310"/>
      <c r="X395" s="268"/>
      <c r="Y395" s="268"/>
      <c r="Z395" s="268"/>
    </row>
    <row r="396" spans="1:26" ht="24.75" customHeight="1">
      <c r="A396" s="268"/>
      <c r="B396" s="268"/>
      <c r="C396" s="268"/>
      <c r="D396" s="268"/>
      <c r="E396" s="268"/>
      <c r="F396" s="268"/>
      <c r="G396" s="268"/>
      <c r="H396" s="268"/>
      <c r="I396" s="268"/>
      <c r="J396" s="268"/>
      <c r="K396" s="268"/>
      <c r="L396" s="334"/>
      <c r="M396" s="268"/>
      <c r="N396" s="268"/>
      <c r="O396" s="310"/>
      <c r="P396" s="268"/>
      <c r="Q396" s="334"/>
      <c r="R396" s="268"/>
      <c r="S396" s="313"/>
      <c r="T396" s="313"/>
      <c r="U396" s="268"/>
      <c r="V396" s="309"/>
      <c r="W396" s="310"/>
      <c r="X396" s="268"/>
      <c r="Y396" s="268"/>
      <c r="Z396" s="268"/>
    </row>
    <row r="397" spans="1:26" ht="24.75" customHeight="1">
      <c r="A397" s="268"/>
      <c r="B397" s="268"/>
      <c r="C397" s="268"/>
      <c r="D397" s="268"/>
      <c r="E397" s="268"/>
      <c r="F397" s="268"/>
      <c r="G397" s="268"/>
      <c r="H397" s="268"/>
      <c r="I397" s="268"/>
      <c r="J397" s="268"/>
      <c r="K397" s="268"/>
      <c r="L397" s="334"/>
      <c r="M397" s="268"/>
      <c r="N397" s="268"/>
      <c r="O397" s="310"/>
      <c r="P397" s="268"/>
      <c r="Q397" s="334"/>
      <c r="R397" s="268"/>
      <c r="S397" s="313"/>
      <c r="T397" s="313"/>
      <c r="U397" s="268"/>
      <c r="V397" s="309"/>
      <c r="W397" s="310"/>
      <c r="X397" s="268"/>
      <c r="Y397" s="268"/>
      <c r="Z397" s="268"/>
    </row>
    <row r="398" spans="1:26" ht="24.75" customHeight="1">
      <c r="A398" s="268"/>
      <c r="B398" s="268"/>
      <c r="C398" s="268"/>
      <c r="D398" s="268"/>
      <c r="E398" s="268"/>
      <c r="F398" s="268"/>
      <c r="G398" s="268"/>
      <c r="H398" s="268"/>
      <c r="I398" s="268"/>
      <c r="J398" s="268"/>
      <c r="K398" s="268"/>
      <c r="L398" s="334"/>
      <c r="M398" s="268"/>
      <c r="N398" s="268"/>
      <c r="O398" s="310"/>
      <c r="P398" s="268"/>
      <c r="Q398" s="334"/>
      <c r="R398" s="268"/>
      <c r="S398" s="313"/>
      <c r="T398" s="313"/>
      <c r="U398" s="268"/>
      <c r="V398" s="309"/>
      <c r="W398" s="310"/>
      <c r="X398" s="268"/>
      <c r="Y398" s="268"/>
      <c r="Z398" s="268"/>
    </row>
    <row r="399" spans="1:26" ht="24.75" customHeight="1">
      <c r="A399" s="268"/>
      <c r="B399" s="268"/>
      <c r="C399" s="268"/>
      <c r="D399" s="268"/>
      <c r="E399" s="268"/>
      <c r="F399" s="268"/>
      <c r="G399" s="268"/>
      <c r="H399" s="268"/>
      <c r="I399" s="268"/>
      <c r="J399" s="268"/>
      <c r="K399" s="268"/>
      <c r="L399" s="334"/>
      <c r="M399" s="268"/>
      <c r="N399" s="268"/>
      <c r="O399" s="310"/>
      <c r="P399" s="268"/>
      <c r="Q399" s="334"/>
      <c r="R399" s="268"/>
      <c r="S399" s="313"/>
      <c r="T399" s="313"/>
      <c r="U399" s="268"/>
      <c r="V399" s="309"/>
      <c r="W399" s="310"/>
      <c r="X399" s="268"/>
      <c r="Y399" s="268"/>
      <c r="Z399" s="268"/>
    </row>
    <row r="400" spans="1:26" ht="24.75" customHeight="1">
      <c r="A400" s="268"/>
      <c r="B400" s="268"/>
      <c r="C400" s="268"/>
      <c r="D400" s="268"/>
      <c r="E400" s="268"/>
      <c r="F400" s="268"/>
      <c r="G400" s="268"/>
      <c r="H400" s="268"/>
      <c r="I400" s="268"/>
      <c r="J400" s="268"/>
      <c r="K400" s="268"/>
      <c r="L400" s="334"/>
      <c r="M400" s="268"/>
      <c r="N400" s="268"/>
      <c r="O400" s="310"/>
      <c r="P400" s="268"/>
      <c r="Q400" s="334"/>
      <c r="R400" s="268"/>
      <c r="S400" s="313"/>
      <c r="T400" s="313"/>
      <c r="U400" s="268"/>
      <c r="V400" s="309"/>
      <c r="W400" s="310"/>
      <c r="X400" s="268"/>
      <c r="Y400" s="268"/>
      <c r="Z400" s="268"/>
    </row>
    <row r="401" spans="1:26" ht="24.75" customHeight="1">
      <c r="A401" s="268"/>
      <c r="B401" s="268"/>
      <c r="C401" s="268"/>
      <c r="D401" s="268"/>
      <c r="E401" s="268"/>
      <c r="F401" s="268"/>
      <c r="G401" s="268"/>
      <c r="H401" s="268"/>
      <c r="I401" s="268"/>
      <c r="J401" s="268"/>
      <c r="K401" s="268"/>
      <c r="L401" s="334"/>
      <c r="M401" s="268"/>
      <c r="N401" s="268"/>
      <c r="O401" s="310"/>
      <c r="P401" s="268"/>
      <c r="Q401" s="334"/>
      <c r="R401" s="268"/>
      <c r="S401" s="313"/>
      <c r="T401" s="313"/>
      <c r="U401" s="268"/>
      <c r="V401" s="309"/>
      <c r="W401" s="310"/>
      <c r="X401" s="268"/>
      <c r="Y401" s="268"/>
      <c r="Z401" s="268"/>
    </row>
    <row r="402" spans="1:26" ht="24.75" customHeight="1">
      <c r="A402" s="268"/>
      <c r="B402" s="268"/>
      <c r="C402" s="268"/>
      <c r="D402" s="268"/>
      <c r="E402" s="268"/>
      <c r="F402" s="268"/>
      <c r="G402" s="268"/>
      <c r="H402" s="268"/>
      <c r="I402" s="268"/>
      <c r="J402" s="268"/>
      <c r="K402" s="268"/>
      <c r="L402" s="334"/>
      <c r="M402" s="268"/>
      <c r="N402" s="268"/>
      <c r="O402" s="310"/>
      <c r="P402" s="268"/>
      <c r="Q402" s="334"/>
      <c r="R402" s="268"/>
      <c r="S402" s="313"/>
      <c r="T402" s="313"/>
      <c r="U402" s="268"/>
      <c r="V402" s="309"/>
      <c r="W402" s="310"/>
      <c r="X402" s="268"/>
      <c r="Y402" s="268"/>
      <c r="Z402" s="268"/>
    </row>
    <row r="403" spans="1:26" ht="24.75" customHeight="1">
      <c r="A403" s="268"/>
      <c r="B403" s="268"/>
      <c r="C403" s="268"/>
      <c r="D403" s="268"/>
      <c r="E403" s="268"/>
      <c r="F403" s="268"/>
      <c r="G403" s="268"/>
      <c r="H403" s="268"/>
      <c r="I403" s="268"/>
      <c r="J403" s="268"/>
      <c r="K403" s="268"/>
      <c r="L403" s="334"/>
      <c r="M403" s="268"/>
      <c r="N403" s="268"/>
      <c r="O403" s="310"/>
      <c r="P403" s="268"/>
      <c r="Q403" s="334"/>
      <c r="R403" s="268"/>
      <c r="S403" s="313"/>
      <c r="T403" s="313"/>
      <c r="U403" s="268"/>
      <c r="V403" s="309"/>
      <c r="W403" s="310"/>
      <c r="X403" s="268"/>
      <c r="Y403" s="268"/>
      <c r="Z403" s="268"/>
    </row>
    <row r="404" spans="1:26" ht="24.75" customHeight="1">
      <c r="A404" s="268"/>
      <c r="B404" s="268"/>
      <c r="C404" s="268"/>
      <c r="D404" s="268"/>
      <c r="E404" s="268"/>
      <c r="F404" s="268"/>
      <c r="G404" s="268"/>
      <c r="H404" s="268"/>
      <c r="I404" s="268"/>
      <c r="J404" s="268"/>
      <c r="K404" s="268"/>
      <c r="L404" s="334"/>
      <c r="M404" s="268"/>
      <c r="N404" s="268"/>
      <c r="O404" s="310"/>
      <c r="P404" s="268"/>
      <c r="Q404" s="334"/>
      <c r="R404" s="268"/>
      <c r="S404" s="313"/>
      <c r="T404" s="313"/>
      <c r="U404" s="268"/>
      <c r="V404" s="309"/>
      <c r="W404" s="310"/>
      <c r="X404" s="268"/>
      <c r="Y404" s="268"/>
      <c r="Z404" s="268"/>
    </row>
    <row r="405" spans="1:26" ht="24.75" customHeight="1">
      <c r="A405" s="268"/>
      <c r="B405" s="268"/>
      <c r="C405" s="268"/>
      <c r="D405" s="268"/>
      <c r="E405" s="268"/>
      <c r="F405" s="268"/>
      <c r="G405" s="268"/>
      <c r="H405" s="268"/>
      <c r="I405" s="268"/>
      <c r="J405" s="268"/>
      <c r="K405" s="268"/>
      <c r="L405" s="334"/>
      <c r="M405" s="268"/>
      <c r="N405" s="268"/>
      <c r="O405" s="310"/>
      <c r="P405" s="268"/>
      <c r="Q405" s="334"/>
      <c r="R405" s="268"/>
      <c r="S405" s="313"/>
      <c r="T405" s="313"/>
      <c r="U405" s="268"/>
      <c r="V405" s="309"/>
      <c r="W405" s="310"/>
      <c r="X405" s="268"/>
      <c r="Y405" s="268"/>
      <c r="Z405" s="268"/>
    </row>
    <row r="406" spans="1:26" ht="24.75" customHeight="1">
      <c r="A406" s="268"/>
      <c r="B406" s="268"/>
      <c r="C406" s="268"/>
      <c r="D406" s="268"/>
      <c r="E406" s="268"/>
      <c r="F406" s="268"/>
      <c r="G406" s="268"/>
      <c r="H406" s="268"/>
      <c r="I406" s="268"/>
      <c r="J406" s="268"/>
      <c r="K406" s="268"/>
      <c r="L406" s="334"/>
      <c r="M406" s="268"/>
      <c r="N406" s="268"/>
      <c r="O406" s="310"/>
      <c r="P406" s="268"/>
      <c r="Q406" s="334"/>
      <c r="R406" s="268"/>
      <c r="S406" s="313"/>
      <c r="T406" s="313"/>
      <c r="U406" s="268"/>
      <c r="V406" s="309"/>
      <c r="W406" s="310"/>
      <c r="X406" s="268"/>
      <c r="Y406" s="268"/>
      <c r="Z406" s="268"/>
    </row>
    <row r="407" spans="1:26" ht="24.75" customHeight="1">
      <c r="A407" s="268"/>
      <c r="B407" s="268"/>
      <c r="C407" s="268"/>
      <c r="D407" s="268"/>
      <c r="E407" s="268"/>
      <c r="F407" s="268"/>
      <c r="G407" s="268"/>
      <c r="H407" s="268"/>
      <c r="I407" s="268"/>
      <c r="J407" s="268"/>
      <c r="K407" s="268"/>
      <c r="L407" s="334"/>
      <c r="M407" s="268"/>
      <c r="N407" s="268"/>
      <c r="O407" s="310"/>
      <c r="P407" s="268"/>
      <c r="Q407" s="334"/>
      <c r="R407" s="268"/>
      <c r="S407" s="313"/>
      <c r="T407" s="313"/>
      <c r="U407" s="268"/>
      <c r="V407" s="309"/>
      <c r="W407" s="310"/>
      <c r="X407" s="268"/>
      <c r="Y407" s="268"/>
      <c r="Z407" s="268"/>
    </row>
    <row r="408" spans="1:26" ht="24.75" customHeight="1">
      <c r="A408" s="268"/>
      <c r="B408" s="268"/>
      <c r="C408" s="268"/>
      <c r="D408" s="268"/>
      <c r="E408" s="268"/>
      <c r="F408" s="268"/>
      <c r="G408" s="268"/>
      <c r="H408" s="268"/>
      <c r="I408" s="268"/>
      <c r="J408" s="268"/>
      <c r="K408" s="268"/>
      <c r="L408" s="334"/>
      <c r="M408" s="268"/>
      <c r="N408" s="268"/>
      <c r="O408" s="310"/>
      <c r="P408" s="268"/>
      <c r="Q408" s="334"/>
      <c r="R408" s="268"/>
      <c r="S408" s="313"/>
      <c r="T408" s="313"/>
      <c r="U408" s="268"/>
      <c r="V408" s="309"/>
      <c r="W408" s="310"/>
      <c r="X408" s="268"/>
      <c r="Y408" s="268"/>
      <c r="Z408" s="268"/>
    </row>
    <row r="409" spans="1:26" ht="24.75" customHeight="1">
      <c r="A409" s="268"/>
      <c r="B409" s="268"/>
      <c r="C409" s="268"/>
      <c r="D409" s="268"/>
      <c r="E409" s="268"/>
      <c r="F409" s="268"/>
      <c r="G409" s="268"/>
      <c r="H409" s="268"/>
      <c r="I409" s="268"/>
      <c r="J409" s="268"/>
      <c r="K409" s="268"/>
      <c r="L409" s="334"/>
      <c r="M409" s="268"/>
      <c r="N409" s="268"/>
      <c r="O409" s="310"/>
      <c r="P409" s="268"/>
      <c r="Q409" s="334"/>
      <c r="R409" s="268"/>
      <c r="S409" s="313"/>
      <c r="T409" s="313"/>
      <c r="U409" s="268"/>
      <c r="V409" s="309"/>
      <c r="W409" s="310"/>
      <c r="X409" s="268"/>
      <c r="Y409" s="268"/>
      <c r="Z409" s="268"/>
    </row>
    <row r="410" spans="1:26" ht="24.75" customHeight="1">
      <c r="A410" s="268"/>
      <c r="B410" s="268"/>
      <c r="C410" s="268"/>
      <c r="D410" s="268"/>
      <c r="E410" s="268"/>
      <c r="F410" s="268"/>
      <c r="G410" s="268"/>
      <c r="H410" s="268"/>
      <c r="I410" s="268"/>
      <c r="J410" s="268"/>
      <c r="K410" s="268"/>
      <c r="L410" s="334"/>
      <c r="M410" s="268"/>
      <c r="N410" s="268"/>
      <c r="O410" s="310"/>
      <c r="P410" s="268"/>
      <c r="Q410" s="334"/>
      <c r="R410" s="268"/>
      <c r="S410" s="313"/>
      <c r="T410" s="313"/>
      <c r="U410" s="268"/>
      <c r="V410" s="309"/>
      <c r="W410" s="310"/>
      <c r="X410" s="268"/>
      <c r="Y410" s="268"/>
      <c r="Z410" s="268"/>
    </row>
    <row r="411" spans="1:26" ht="24.75" customHeight="1">
      <c r="A411" s="268"/>
      <c r="B411" s="268"/>
      <c r="C411" s="268"/>
      <c r="D411" s="268"/>
      <c r="E411" s="268"/>
      <c r="F411" s="268"/>
      <c r="G411" s="268"/>
      <c r="H411" s="268"/>
      <c r="I411" s="268"/>
      <c r="J411" s="268"/>
      <c r="K411" s="268"/>
      <c r="L411" s="334"/>
      <c r="M411" s="268"/>
      <c r="N411" s="268"/>
      <c r="O411" s="310"/>
      <c r="P411" s="268"/>
      <c r="Q411" s="334"/>
      <c r="R411" s="268"/>
      <c r="S411" s="313"/>
      <c r="T411" s="313"/>
      <c r="U411" s="268"/>
      <c r="V411" s="309"/>
      <c r="W411" s="310"/>
      <c r="X411" s="268"/>
      <c r="Y411" s="268"/>
      <c r="Z411" s="268"/>
    </row>
    <row r="412" spans="1:26" ht="24.75" customHeight="1">
      <c r="A412" s="268"/>
      <c r="B412" s="268"/>
      <c r="C412" s="268"/>
      <c r="D412" s="268"/>
      <c r="E412" s="268"/>
      <c r="F412" s="268"/>
      <c r="G412" s="268"/>
      <c r="H412" s="268"/>
      <c r="I412" s="268"/>
      <c r="J412" s="268"/>
      <c r="K412" s="268"/>
      <c r="L412" s="334"/>
      <c r="M412" s="268"/>
      <c r="N412" s="268"/>
      <c r="O412" s="310"/>
      <c r="P412" s="268"/>
      <c r="Q412" s="334"/>
      <c r="R412" s="268"/>
      <c r="S412" s="313"/>
      <c r="T412" s="313"/>
      <c r="U412" s="268"/>
      <c r="V412" s="309"/>
      <c r="W412" s="310"/>
      <c r="X412" s="268"/>
      <c r="Y412" s="268"/>
      <c r="Z412" s="268"/>
    </row>
    <row r="413" spans="1:26" ht="24.75" customHeight="1">
      <c r="A413" s="268"/>
      <c r="B413" s="268"/>
      <c r="C413" s="268"/>
      <c r="D413" s="268"/>
      <c r="E413" s="268"/>
      <c r="F413" s="268"/>
      <c r="G413" s="268"/>
      <c r="H413" s="268"/>
      <c r="I413" s="268"/>
      <c r="J413" s="268"/>
      <c r="K413" s="268"/>
      <c r="L413" s="334"/>
      <c r="M413" s="268"/>
      <c r="N413" s="268"/>
      <c r="O413" s="310"/>
      <c r="P413" s="268"/>
      <c r="Q413" s="334"/>
      <c r="R413" s="268"/>
      <c r="S413" s="313"/>
      <c r="T413" s="313"/>
      <c r="U413" s="268"/>
      <c r="V413" s="309"/>
      <c r="W413" s="310"/>
      <c r="X413" s="268"/>
      <c r="Y413" s="268"/>
      <c r="Z413" s="268"/>
    </row>
    <row r="414" spans="1:26" ht="24.75" customHeight="1">
      <c r="A414" s="268"/>
      <c r="B414" s="268"/>
      <c r="C414" s="268"/>
      <c r="D414" s="268"/>
      <c r="E414" s="268"/>
      <c r="F414" s="268"/>
      <c r="G414" s="268"/>
      <c r="H414" s="268"/>
      <c r="I414" s="268"/>
      <c r="J414" s="268"/>
      <c r="K414" s="268"/>
      <c r="L414" s="334"/>
      <c r="M414" s="268"/>
      <c r="N414" s="268"/>
      <c r="O414" s="310"/>
      <c r="P414" s="268"/>
      <c r="Q414" s="334"/>
      <c r="R414" s="268"/>
      <c r="S414" s="313"/>
      <c r="T414" s="313"/>
      <c r="U414" s="268"/>
      <c r="V414" s="309"/>
      <c r="W414" s="310"/>
      <c r="X414" s="268"/>
      <c r="Y414" s="268"/>
      <c r="Z414" s="268"/>
    </row>
    <row r="415" spans="1:26" ht="24.75" customHeight="1">
      <c r="A415" s="268"/>
      <c r="B415" s="268"/>
      <c r="C415" s="268"/>
      <c r="D415" s="268"/>
      <c r="E415" s="268"/>
      <c r="F415" s="268"/>
      <c r="G415" s="268"/>
      <c r="H415" s="268"/>
      <c r="I415" s="268"/>
      <c r="J415" s="268"/>
      <c r="K415" s="268"/>
      <c r="L415" s="334"/>
      <c r="M415" s="268"/>
      <c r="N415" s="268"/>
      <c r="O415" s="310"/>
      <c r="P415" s="268"/>
      <c r="Q415" s="334"/>
      <c r="R415" s="268"/>
      <c r="S415" s="313"/>
      <c r="T415" s="313"/>
      <c r="U415" s="268"/>
      <c r="V415" s="309"/>
      <c r="W415" s="310"/>
      <c r="X415" s="268"/>
      <c r="Y415" s="268"/>
      <c r="Z415" s="268"/>
    </row>
    <row r="416" spans="1:26" ht="24.75" customHeight="1">
      <c r="A416" s="268"/>
      <c r="B416" s="268"/>
      <c r="C416" s="268"/>
      <c r="D416" s="268"/>
      <c r="E416" s="268"/>
      <c r="F416" s="268"/>
      <c r="G416" s="268"/>
      <c r="H416" s="268"/>
      <c r="I416" s="268"/>
      <c r="J416" s="268"/>
      <c r="K416" s="268"/>
      <c r="L416" s="334"/>
      <c r="M416" s="268"/>
      <c r="N416" s="268"/>
      <c r="O416" s="310"/>
      <c r="P416" s="268"/>
      <c r="Q416" s="334"/>
      <c r="R416" s="268"/>
      <c r="S416" s="313"/>
      <c r="T416" s="313"/>
      <c r="U416" s="268"/>
      <c r="V416" s="309"/>
      <c r="W416" s="310"/>
      <c r="X416" s="268"/>
      <c r="Y416" s="268"/>
      <c r="Z416" s="268"/>
    </row>
    <row r="417" spans="1:26" ht="24.75" customHeight="1">
      <c r="A417" s="268"/>
      <c r="B417" s="268"/>
      <c r="C417" s="268"/>
      <c r="D417" s="268"/>
      <c r="E417" s="268"/>
      <c r="F417" s="268"/>
      <c r="G417" s="268"/>
      <c r="H417" s="268"/>
      <c r="I417" s="268"/>
      <c r="J417" s="268"/>
      <c r="K417" s="268"/>
      <c r="L417" s="334"/>
      <c r="M417" s="268"/>
      <c r="N417" s="268"/>
      <c r="O417" s="310"/>
      <c r="P417" s="268"/>
      <c r="Q417" s="334"/>
      <c r="R417" s="268"/>
      <c r="S417" s="313"/>
      <c r="T417" s="313"/>
      <c r="U417" s="268"/>
      <c r="V417" s="309"/>
      <c r="W417" s="310"/>
      <c r="X417" s="268"/>
      <c r="Y417" s="268"/>
      <c r="Z417" s="268"/>
    </row>
    <row r="418" spans="1:26" ht="24.75" customHeight="1">
      <c r="A418" s="268"/>
      <c r="B418" s="268"/>
      <c r="C418" s="268"/>
      <c r="D418" s="268"/>
      <c r="E418" s="268"/>
      <c r="F418" s="268"/>
      <c r="G418" s="268"/>
      <c r="H418" s="268"/>
      <c r="I418" s="268"/>
      <c r="J418" s="268"/>
      <c r="K418" s="268"/>
      <c r="L418" s="334"/>
      <c r="M418" s="268"/>
      <c r="N418" s="268"/>
      <c r="O418" s="310"/>
      <c r="P418" s="268"/>
      <c r="Q418" s="334"/>
      <c r="R418" s="268"/>
      <c r="S418" s="313"/>
      <c r="T418" s="313"/>
      <c r="U418" s="268"/>
      <c r="V418" s="309"/>
      <c r="W418" s="310"/>
      <c r="X418" s="268"/>
      <c r="Y418" s="268"/>
      <c r="Z418" s="268"/>
    </row>
    <row r="419" spans="1:26" ht="24.75" customHeight="1">
      <c r="A419" s="268"/>
      <c r="B419" s="268"/>
      <c r="C419" s="268"/>
      <c r="D419" s="268"/>
      <c r="E419" s="268"/>
      <c r="F419" s="268"/>
      <c r="G419" s="268"/>
      <c r="H419" s="268"/>
      <c r="I419" s="268"/>
      <c r="J419" s="268"/>
      <c r="K419" s="268"/>
      <c r="L419" s="334"/>
      <c r="M419" s="268"/>
      <c r="N419" s="268"/>
      <c r="O419" s="310"/>
      <c r="P419" s="268"/>
      <c r="Q419" s="334"/>
      <c r="R419" s="268"/>
      <c r="S419" s="313"/>
      <c r="T419" s="313"/>
      <c r="U419" s="268"/>
      <c r="V419" s="309"/>
      <c r="W419" s="310"/>
      <c r="X419" s="268"/>
      <c r="Y419" s="268"/>
      <c r="Z419" s="268"/>
    </row>
    <row r="420" spans="1:26" ht="24.75" customHeight="1">
      <c r="A420" s="268"/>
      <c r="B420" s="268"/>
      <c r="C420" s="268"/>
      <c r="D420" s="268"/>
      <c r="E420" s="268"/>
      <c r="F420" s="268"/>
      <c r="G420" s="268"/>
      <c r="H420" s="268"/>
      <c r="I420" s="268"/>
      <c r="J420" s="268"/>
      <c r="K420" s="268"/>
      <c r="L420" s="334"/>
      <c r="M420" s="268"/>
      <c r="N420" s="268"/>
      <c r="O420" s="310"/>
      <c r="P420" s="268"/>
      <c r="Q420" s="334"/>
      <c r="R420" s="268"/>
      <c r="S420" s="313"/>
      <c r="T420" s="313"/>
      <c r="U420" s="268"/>
      <c r="V420" s="309"/>
      <c r="W420" s="310"/>
      <c r="X420" s="268"/>
      <c r="Y420" s="268"/>
      <c r="Z420" s="268"/>
    </row>
    <row r="421" spans="1:26" ht="24.75" customHeight="1">
      <c r="A421" s="268"/>
      <c r="B421" s="268"/>
      <c r="C421" s="268"/>
      <c r="D421" s="268"/>
      <c r="E421" s="268"/>
      <c r="F421" s="268"/>
      <c r="G421" s="268"/>
      <c r="H421" s="268"/>
      <c r="I421" s="268"/>
      <c r="J421" s="268"/>
      <c r="K421" s="268"/>
      <c r="L421" s="334"/>
      <c r="M421" s="268"/>
      <c r="N421" s="268"/>
      <c r="O421" s="310"/>
      <c r="P421" s="268"/>
      <c r="Q421" s="334"/>
      <c r="R421" s="268"/>
      <c r="S421" s="313"/>
      <c r="T421" s="313"/>
      <c r="U421" s="268"/>
      <c r="V421" s="309"/>
      <c r="W421" s="310"/>
      <c r="X421" s="268"/>
      <c r="Y421" s="268"/>
      <c r="Z421" s="268"/>
    </row>
    <row r="422" spans="1:26" ht="24.75" customHeight="1">
      <c r="A422" s="268"/>
      <c r="B422" s="268"/>
      <c r="C422" s="268"/>
      <c r="D422" s="268"/>
      <c r="E422" s="268"/>
      <c r="F422" s="268"/>
      <c r="G422" s="268"/>
      <c r="H422" s="268"/>
      <c r="I422" s="268"/>
      <c r="J422" s="268"/>
      <c r="K422" s="268"/>
      <c r="L422" s="334"/>
      <c r="M422" s="268"/>
      <c r="N422" s="268"/>
      <c r="O422" s="310"/>
      <c r="P422" s="268"/>
      <c r="Q422" s="334"/>
      <c r="R422" s="268"/>
      <c r="S422" s="313"/>
      <c r="T422" s="313"/>
      <c r="U422" s="268"/>
      <c r="V422" s="309"/>
      <c r="W422" s="310"/>
      <c r="X422" s="268"/>
      <c r="Y422" s="268"/>
      <c r="Z422" s="268"/>
    </row>
    <row r="423" spans="1:26" ht="24.75" customHeight="1">
      <c r="A423" s="268"/>
      <c r="B423" s="268"/>
      <c r="C423" s="268"/>
      <c r="D423" s="268"/>
      <c r="E423" s="268"/>
      <c r="F423" s="268"/>
      <c r="G423" s="268"/>
      <c r="H423" s="268"/>
      <c r="I423" s="268"/>
      <c r="J423" s="268"/>
      <c r="K423" s="268"/>
      <c r="L423" s="334"/>
      <c r="M423" s="268"/>
      <c r="N423" s="268"/>
      <c r="O423" s="310"/>
      <c r="P423" s="268"/>
      <c r="Q423" s="334"/>
      <c r="R423" s="268"/>
      <c r="S423" s="313"/>
      <c r="T423" s="313"/>
      <c r="U423" s="268"/>
      <c r="V423" s="309"/>
      <c r="W423" s="310"/>
      <c r="X423" s="268"/>
      <c r="Y423" s="268"/>
      <c r="Z423" s="268"/>
    </row>
    <row r="424" spans="1:26" ht="24.75" customHeight="1">
      <c r="A424" s="268"/>
      <c r="B424" s="268"/>
      <c r="C424" s="268"/>
      <c r="D424" s="268"/>
      <c r="E424" s="268"/>
      <c r="F424" s="268"/>
      <c r="G424" s="268"/>
      <c r="H424" s="268"/>
      <c r="I424" s="268"/>
      <c r="J424" s="268"/>
      <c r="K424" s="268"/>
      <c r="L424" s="334"/>
      <c r="M424" s="268"/>
      <c r="N424" s="268"/>
      <c r="O424" s="310"/>
      <c r="P424" s="268"/>
      <c r="Q424" s="334"/>
      <c r="R424" s="268"/>
      <c r="S424" s="313"/>
      <c r="T424" s="313"/>
      <c r="U424" s="268"/>
      <c r="V424" s="309"/>
      <c r="W424" s="310"/>
      <c r="X424" s="268"/>
      <c r="Y424" s="268"/>
      <c r="Z424" s="268"/>
    </row>
    <row r="425" spans="1:26" ht="24.75" customHeight="1">
      <c r="A425" s="268"/>
      <c r="B425" s="268"/>
      <c r="C425" s="268"/>
      <c r="D425" s="268"/>
      <c r="E425" s="268"/>
      <c r="F425" s="268"/>
      <c r="G425" s="268"/>
      <c r="H425" s="268"/>
      <c r="I425" s="268"/>
      <c r="J425" s="268"/>
      <c r="K425" s="268"/>
      <c r="L425" s="334"/>
      <c r="M425" s="268"/>
      <c r="N425" s="268"/>
      <c r="O425" s="310"/>
      <c r="P425" s="268"/>
      <c r="Q425" s="334"/>
      <c r="R425" s="268"/>
      <c r="S425" s="313"/>
      <c r="T425" s="313"/>
      <c r="U425" s="268"/>
      <c r="V425" s="309"/>
      <c r="W425" s="310"/>
      <c r="X425" s="268"/>
      <c r="Y425" s="268"/>
      <c r="Z425" s="268"/>
    </row>
    <row r="426" spans="1:26" ht="24.75" customHeight="1">
      <c r="A426" s="268"/>
      <c r="B426" s="268"/>
      <c r="C426" s="268"/>
      <c r="D426" s="268"/>
      <c r="E426" s="268"/>
      <c r="F426" s="268"/>
      <c r="G426" s="268"/>
      <c r="H426" s="268"/>
      <c r="I426" s="268"/>
      <c r="J426" s="268"/>
      <c r="K426" s="268"/>
      <c r="L426" s="334"/>
      <c r="M426" s="268"/>
      <c r="N426" s="268"/>
      <c r="O426" s="310"/>
      <c r="P426" s="268"/>
      <c r="Q426" s="334"/>
      <c r="R426" s="268"/>
      <c r="S426" s="313"/>
      <c r="T426" s="313"/>
      <c r="U426" s="268"/>
      <c r="V426" s="309"/>
      <c r="W426" s="310"/>
      <c r="X426" s="268"/>
      <c r="Y426" s="268"/>
      <c r="Z426" s="268"/>
    </row>
    <row r="427" spans="1:26" ht="24.75" customHeight="1">
      <c r="A427" s="268"/>
      <c r="B427" s="268"/>
      <c r="C427" s="268"/>
      <c r="D427" s="268"/>
      <c r="E427" s="268"/>
      <c r="F427" s="268"/>
      <c r="G427" s="268"/>
      <c r="H427" s="268"/>
      <c r="I427" s="268"/>
      <c r="J427" s="268"/>
      <c r="K427" s="268"/>
      <c r="L427" s="334"/>
      <c r="M427" s="268"/>
      <c r="N427" s="268"/>
      <c r="O427" s="310"/>
      <c r="P427" s="268"/>
      <c r="Q427" s="334"/>
      <c r="R427" s="268"/>
      <c r="S427" s="313"/>
      <c r="T427" s="313"/>
      <c r="U427" s="268"/>
      <c r="V427" s="309"/>
      <c r="W427" s="310"/>
      <c r="X427" s="268"/>
      <c r="Y427" s="268"/>
      <c r="Z427" s="268"/>
    </row>
    <row r="428" spans="1:26" ht="24.75" customHeight="1">
      <c r="A428" s="268"/>
      <c r="B428" s="268"/>
      <c r="C428" s="268"/>
      <c r="D428" s="268"/>
      <c r="E428" s="268"/>
      <c r="F428" s="268"/>
      <c r="G428" s="268"/>
      <c r="H428" s="268"/>
      <c r="I428" s="268"/>
      <c r="J428" s="268"/>
      <c r="K428" s="268"/>
      <c r="L428" s="334"/>
      <c r="M428" s="268"/>
      <c r="N428" s="268"/>
      <c r="O428" s="310"/>
      <c r="P428" s="268"/>
      <c r="Q428" s="334"/>
      <c r="R428" s="268"/>
      <c r="S428" s="313"/>
      <c r="T428" s="313"/>
      <c r="U428" s="268"/>
      <c r="V428" s="309"/>
      <c r="W428" s="310"/>
      <c r="X428" s="268"/>
      <c r="Y428" s="268"/>
      <c r="Z428" s="268"/>
    </row>
    <row r="429" spans="1:26" ht="24.75" customHeight="1">
      <c r="A429" s="268"/>
      <c r="B429" s="268"/>
      <c r="C429" s="268"/>
      <c r="D429" s="268"/>
      <c r="E429" s="268"/>
      <c r="F429" s="268"/>
      <c r="G429" s="268"/>
      <c r="H429" s="268"/>
      <c r="I429" s="268"/>
      <c r="J429" s="268"/>
      <c r="K429" s="268"/>
      <c r="L429" s="334"/>
      <c r="M429" s="268"/>
      <c r="N429" s="268"/>
      <c r="O429" s="310"/>
      <c r="P429" s="268"/>
      <c r="Q429" s="334"/>
      <c r="R429" s="268"/>
      <c r="S429" s="313"/>
      <c r="T429" s="313"/>
      <c r="U429" s="268"/>
      <c r="V429" s="309"/>
      <c r="W429" s="310"/>
      <c r="X429" s="268"/>
      <c r="Y429" s="268"/>
      <c r="Z429" s="268"/>
    </row>
    <row r="430" spans="1:26" ht="24.75" customHeight="1">
      <c r="A430" s="268"/>
      <c r="B430" s="268"/>
      <c r="C430" s="268"/>
      <c r="D430" s="268"/>
      <c r="E430" s="268"/>
      <c r="F430" s="268"/>
      <c r="G430" s="268"/>
      <c r="H430" s="268"/>
      <c r="I430" s="268"/>
      <c r="J430" s="268"/>
      <c r="K430" s="268"/>
      <c r="L430" s="334"/>
      <c r="M430" s="268"/>
      <c r="N430" s="268"/>
      <c r="O430" s="310"/>
      <c r="P430" s="268"/>
      <c r="Q430" s="334"/>
      <c r="R430" s="268"/>
      <c r="S430" s="313"/>
      <c r="T430" s="313"/>
      <c r="U430" s="268"/>
      <c r="V430" s="309"/>
      <c r="W430" s="310"/>
      <c r="X430" s="268"/>
      <c r="Y430" s="268"/>
      <c r="Z430" s="268"/>
    </row>
    <row r="431" spans="1:26" ht="24.75" customHeight="1">
      <c r="A431" s="268"/>
      <c r="B431" s="268"/>
      <c r="C431" s="268"/>
      <c r="D431" s="268"/>
      <c r="E431" s="268"/>
      <c r="F431" s="268"/>
      <c r="G431" s="268"/>
      <c r="H431" s="268"/>
      <c r="I431" s="268"/>
      <c r="J431" s="268"/>
      <c r="K431" s="268"/>
      <c r="L431" s="334"/>
      <c r="M431" s="268"/>
      <c r="N431" s="268"/>
      <c r="O431" s="310"/>
      <c r="P431" s="268"/>
      <c r="Q431" s="334"/>
      <c r="R431" s="268"/>
      <c r="S431" s="313"/>
      <c r="T431" s="313"/>
      <c r="U431" s="268"/>
      <c r="V431" s="309"/>
      <c r="W431" s="310"/>
      <c r="X431" s="268"/>
      <c r="Y431" s="268"/>
      <c r="Z431" s="268"/>
    </row>
    <row r="432" spans="1:26" ht="24.75" customHeight="1">
      <c r="A432" s="268"/>
      <c r="B432" s="268"/>
      <c r="C432" s="268"/>
      <c r="D432" s="268"/>
      <c r="E432" s="268"/>
      <c r="F432" s="268"/>
      <c r="G432" s="268"/>
      <c r="H432" s="268"/>
      <c r="I432" s="268"/>
      <c r="J432" s="268"/>
      <c r="K432" s="268"/>
      <c r="L432" s="334"/>
      <c r="M432" s="268"/>
      <c r="N432" s="268"/>
      <c r="O432" s="310"/>
      <c r="P432" s="268"/>
      <c r="Q432" s="334"/>
      <c r="R432" s="268"/>
      <c r="S432" s="313"/>
      <c r="T432" s="313"/>
      <c r="U432" s="268"/>
      <c r="V432" s="309"/>
      <c r="W432" s="310"/>
      <c r="X432" s="268"/>
      <c r="Y432" s="268"/>
      <c r="Z432" s="268"/>
    </row>
    <row r="433" spans="1:26" ht="24.75" customHeight="1">
      <c r="A433" s="268"/>
      <c r="B433" s="268"/>
      <c r="C433" s="268"/>
      <c r="D433" s="268"/>
      <c r="E433" s="268"/>
      <c r="F433" s="268"/>
      <c r="G433" s="268"/>
      <c r="H433" s="268"/>
      <c r="I433" s="268"/>
      <c r="J433" s="268"/>
      <c r="K433" s="268"/>
      <c r="L433" s="334"/>
      <c r="M433" s="268"/>
      <c r="N433" s="268"/>
      <c r="O433" s="310"/>
      <c r="P433" s="268"/>
      <c r="Q433" s="334"/>
      <c r="R433" s="268"/>
      <c r="S433" s="313"/>
      <c r="T433" s="313"/>
      <c r="U433" s="268"/>
      <c r="V433" s="309"/>
      <c r="W433" s="310"/>
      <c r="X433" s="268"/>
      <c r="Y433" s="268"/>
      <c r="Z433" s="268"/>
    </row>
    <row r="434" spans="1:26" ht="24.75" customHeight="1">
      <c r="A434" s="268"/>
      <c r="B434" s="268"/>
      <c r="C434" s="268"/>
      <c r="D434" s="268"/>
      <c r="E434" s="268"/>
      <c r="F434" s="268"/>
      <c r="G434" s="268"/>
      <c r="H434" s="268"/>
      <c r="I434" s="268"/>
      <c r="J434" s="268"/>
      <c r="K434" s="268"/>
      <c r="L434" s="334"/>
      <c r="M434" s="268"/>
      <c r="N434" s="268"/>
      <c r="O434" s="310"/>
      <c r="P434" s="268"/>
      <c r="Q434" s="334"/>
      <c r="R434" s="268"/>
      <c r="S434" s="313"/>
      <c r="T434" s="313"/>
      <c r="U434" s="268"/>
      <c r="V434" s="309"/>
      <c r="W434" s="310"/>
      <c r="X434" s="268"/>
      <c r="Y434" s="268"/>
      <c r="Z434" s="268"/>
    </row>
    <row r="435" spans="1:26" ht="24.75" customHeight="1">
      <c r="A435" s="268"/>
      <c r="B435" s="268"/>
      <c r="C435" s="268"/>
      <c r="D435" s="268"/>
      <c r="E435" s="268"/>
      <c r="F435" s="268"/>
      <c r="G435" s="268"/>
      <c r="H435" s="268"/>
      <c r="I435" s="268"/>
      <c r="J435" s="268"/>
      <c r="K435" s="268"/>
      <c r="L435" s="334"/>
      <c r="M435" s="268"/>
      <c r="N435" s="268"/>
      <c r="O435" s="310"/>
      <c r="P435" s="268"/>
      <c r="Q435" s="334"/>
      <c r="R435" s="268"/>
      <c r="S435" s="313"/>
      <c r="T435" s="313"/>
      <c r="U435" s="268"/>
      <c r="V435" s="309"/>
      <c r="W435" s="310"/>
      <c r="X435" s="268"/>
      <c r="Y435" s="268"/>
      <c r="Z435" s="268"/>
    </row>
    <row r="436" spans="1:26" ht="24.75" customHeight="1">
      <c r="A436" s="268"/>
      <c r="B436" s="268"/>
      <c r="C436" s="268"/>
      <c r="D436" s="268"/>
      <c r="E436" s="268"/>
      <c r="F436" s="268"/>
      <c r="G436" s="268"/>
      <c r="H436" s="268"/>
      <c r="I436" s="268"/>
      <c r="J436" s="268"/>
      <c r="K436" s="268"/>
      <c r="L436" s="334"/>
      <c r="M436" s="268"/>
      <c r="N436" s="268"/>
      <c r="O436" s="310"/>
      <c r="P436" s="268"/>
      <c r="Q436" s="334"/>
      <c r="R436" s="268"/>
      <c r="S436" s="313"/>
      <c r="T436" s="313"/>
      <c r="U436" s="268"/>
      <c r="V436" s="309"/>
      <c r="W436" s="310"/>
      <c r="X436" s="268"/>
      <c r="Y436" s="268"/>
      <c r="Z436" s="268"/>
    </row>
    <row r="437" spans="1:26" ht="24.75" customHeight="1">
      <c r="A437" s="268"/>
      <c r="B437" s="268"/>
      <c r="C437" s="268"/>
      <c r="D437" s="268"/>
      <c r="E437" s="268"/>
      <c r="F437" s="268"/>
      <c r="G437" s="268"/>
      <c r="H437" s="268"/>
      <c r="I437" s="268"/>
      <c r="J437" s="268"/>
      <c r="K437" s="268"/>
      <c r="L437" s="334"/>
      <c r="M437" s="268"/>
      <c r="N437" s="268"/>
      <c r="O437" s="310"/>
      <c r="P437" s="268"/>
      <c r="Q437" s="334"/>
      <c r="R437" s="268"/>
      <c r="S437" s="313"/>
      <c r="T437" s="313"/>
      <c r="U437" s="268"/>
      <c r="V437" s="309"/>
      <c r="W437" s="310"/>
      <c r="X437" s="268"/>
      <c r="Y437" s="268"/>
      <c r="Z437" s="268"/>
    </row>
    <row r="438" spans="1:26" ht="24.75" customHeight="1">
      <c r="A438" s="268"/>
      <c r="B438" s="268"/>
      <c r="C438" s="268"/>
      <c r="D438" s="268"/>
      <c r="E438" s="268"/>
      <c r="F438" s="268"/>
      <c r="G438" s="268"/>
      <c r="H438" s="268"/>
      <c r="I438" s="268"/>
      <c r="J438" s="268"/>
      <c r="K438" s="268"/>
      <c r="L438" s="334"/>
      <c r="M438" s="268"/>
      <c r="N438" s="268"/>
      <c r="O438" s="310"/>
      <c r="P438" s="268"/>
      <c r="Q438" s="334"/>
      <c r="R438" s="268"/>
      <c r="S438" s="313"/>
      <c r="T438" s="313"/>
      <c r="U438" s="268"/>
      <c r="V438" s="309"/>
      <c r="W438" s="310"/>
      <c r="X438" s="268"/>
      <c r="Y438" s="268"/>
      <c r="Z438" s="268"/>
    </row>
    <row r="439" spans="1:26" ht="24.75" customHeight="1">
      <c r="A439" s="268"/>
      <c r="B439" s="268"/>
      <c r="C439" s="268"/>
      <c r="D439" s="268"/>
      <c r="E439" s="268"/>
      <c r="F439" s="268"/>
      <c r="G439" s="268"/>
      <c r="H439" s="268"/>
      <c r="I439" s="268"/>
      <c r="J439" s="268"/>
      <c r="K439" s="268"/>
      <c r="L439" s="334"/>
      <c r="M439" s="268"/>
      <c r="N439" s="268"/>
      <c r="O439" s="310"/>
      <c r="P439" s="268"/>
      <c r="Q439" s="334"/>
      <c r="R439" s="268"/>
      <c r="S439" s="313"/>
      <c r="T439" s="313"/>
      <c r="U439" s="268"/>
      <c r="V439" s="309"/>
      <c r="W439" s="310"/>
      <c r="X439" s="268"/>
      <c r="Y439" s="268"/>
      <c r="Z439" s="268"/>
    </row>
    <row r="440" spans="1:26" ht="24.75" customHeight="1">
      <c r="A440" s="268"/>
      <c r="B440" s="268"/>
      <c r="C440" s="268"/>
      <c r="D440" s="268"/>
      <c r="E440" s="268"/>
      <c r="F440" s="268"/>
      <c r="G440" s="268"/>
      <c r="H440" s="268"/>
      <c r="I440" s="268"/>
      <c r="J440" s="268"/>
      <c r="K440" s="268"/>
      <c r="L440" s="334"/>
      <c r="M440" s="268"/>
      <c r="N440" s="268"/>
      <c r="O440" s="310"/>
      <c r="P440" s="268"/>
      <c r="Q440" s="334"/>
      <c r="R440" s="268"/>
      <c r="S440" s="313"/>
      <c r="T440" s="313"/>
      <c r="U440" s="268"/>
      <c r="V440" s="309"/>
      <c r="W440" s="310"/>
      <c r="X440" s="268"/>
      <c r="Y440" s="268"/>
      <c r="Z440" s="268"/>
    </row>
    <row r="441" spans="1:26" ht="24.75" customHeight="1">
      <c r="A441" s="268"/>
      <c r="B441" s="268"/>
      <c r="C441" s="268"/>
      <c r="D441" s="268"/>
      <c r="E441" s="268"/>
      <c r="F441" s="268"/>
      <c r="G441" s="268"/>
      <c r="H441" s="268"/>
      <c r="I441" s="268"/>
      <c r="J441" s="268"/>
      <c r="K441" s="268"/>
      <c r="L441" s="334"/>
      <c r="M441" s="268"/>
      <c r="N441" s="268"/>
      <c r="O441" s="310"/>
      <c r="P441" s="268"/>
      <c r="Q441" s="334"/>
      <c r="R441" s="268"/>
      <c r="S441" s="313"/>
      <c r="T441" s="313"/>
      <c r="U441" s="268"/>
      <c r="V441" s="309"/>
      <c r="W441" s="310"/>
      <c r="X441" s="268"/>
      <c r="Y441" s="268"/>
      <c r="Z441" s="268"/>
    </row>
    <row r="442" spans="1:26" ht="24.75" customHeight="1">
      <c r="A442" s="268"/>
      <c r="B442" s="268"/>
      <c r="C442" s="268"/>
      <c r="D442" s="268"/>
      <c r="E442" s="268"/>
      <c r="F442" s="268"/>
      <c r="G442" s="268"/>
      <c r="H442" s="268"/>
      <c r="I442" s="268"/>
      <c r="J442" s="268"/>
      <c r="K442" s="268"/>
      <c r="L442" s="334"/>
      <c r="M442" s="268"/>
      <c r="N442" s="268"/>
      <c r="O442" s="310"/>
      <c r="P442" s="268"/>
      <c r="Q442" s="334"/>
      <c r="R442" s="268"/>
      <c r="S442" s="313"/>
      <c r="T442" s="313"/>
      <c r="U442" s="268"/>
      <c r="V442" s="309"/>
      <c r="W442" s="310"/>
      <c r="X442" s="268"/>
      <c r="Y442" s="268"/>
      <c r="Z442" s="268"/>
    </row>
    <row r="443" spans="1:26" ht="24.75" customHeight="1">
      <c r="A443" s="268"/>
      <c r="B443" s="268"/>
      <c r="C443" s="268"/>
      <c r="D443" s="268"/>
      <c r="E443" s="268"/>
      <c r="F443" s="268"/>
      <c r="G443" s="268"/>
      <c r="H443" s="268"/>
      <c r="I443" s="268"/>
      <c r="J443" s="268"/>
      <c r="K443" s="268"/>
      <c r="L443" s="334"/>
      <c r="M443" s="268"/>
      <c r="N443" s="268"/>
      <c r="O443" s="310"/>
      <c r="P443" s="268"/>
      <c r="Q443" s="334"/>
      <c r="R443" s="268"/>
      <c r="S443" s="313"/>
      <c r="T443" s="313"/>
      <c r="U443" s="268"/>
      <c r="V443" s="309"/>
      <c r="W443" s="310"/>
      <c r="X443" s="268"/>
      <c r="Y443" s="268"/>
      <c r="Z443" s="268"/>
    </row>
    <row r="444" spans="1:26" ht="24.75" customHeight="1">
      <c r="A444" s="268"/>
      <c r="B444" s="268"/>
      <c r="C444" s="268"/>
      <c r="D444" s="268"/>
      <c r="E444" s="268"/>
      <c r="F444" s="268"/>
      <c r="G444" s="268"/>
      <c r="H444" s="268"/>
      <c r="I444" s="268"/>
      <c r="J444" s="268"/>
      <c r="K444" s="268"/>
      <c r="L444" s="334"/>
      <c r="M444" s="268"/>
      <c r="N444" s="268"/>
      <c r="O444" s="310"/>
      <c r="P444" s="268"/>
      <c r="Q444" s="334"/>
      <c r="R444" s="268"/>
      <c r="S444" s="313"/>
      <c r="T444" s="313"/>
      <c r="U444" s="268"/>
      <c r="V444" s="309"/>
      <c r="W444" s="310"/>
      <c r="X444" s="268"/>
      <c r="Y444" s="268"/>
      <c r="Z444" s="268"/>
    </row>
    <row r="445" spans="1:26" ht="24.75" customHeight="1">
      <c r="A445" s="268"/>
      <c r="B445" s="268"/>
      <c r="C445" s="268"/>
      <c r="D445" s="268"/>
      <c r="E445" s="268"/>
      <c r="F445" s="268"/>
      <c r="G445" s="268"/>
      <c r="H445" s="268"/>
      <c r="I445" s="268"/>
      <c r="J445" s="268"/>
      <c r="K445" s="268"/>
      <c r="L445" s="334"/>
      <c r="M445" s="268"/>
      <c r="N445" s="268"/>
      <c r="O445" s="310"/>
      <c r="P445" s="268"/>
      <c r="Q445" s="334"/>
      <c r="R445" s="268"/>
      <c r="S445" s="313"/>
      <c r="T445" s="313"/>
      <c r="U445" s="268"/>
      <c r="V445" s="309"/>
      <c r="W445" s="310"/>
      <c r="X445" s="268"/>
      <c r="Y445" s="268"/>
      <c r="Z445" s="268"/>
    </row>
    <row r="446" spans="1:26" ht="24.75" customHeight="1">
      <c r="A446" s="268"/>
      <c r="B446" s="268"/>
      <c r="C446" s="268"/>
      <c r="D446" s="268"/>
      <c r="E446" s="268"/>
      <c r="F446" s="268"/>
      <c r="G446" s="268"/>
      <c r="H446" s="268"/>
      <c r="I446" s="268"/>
      <c r="J446" s="268"/>
      <c r="K446" s="268"/>
      <c r="L446" s="334"/>
      <c r="M446" s="268"/>
      <c r="N446" s="268"/>
      <c r="O446" s="310"/>
      <c r="P446" s="268"/>
      <c r="Q446" s="334"/>
      <c r="R446" s="268"/>
      <c r="S446" s="313"/>
      <c r="T446" s="313"/>
      <c r="U446" s="268"/>
      <c r="V446" s="309"/>
      <c r="W446" s="310"/>
      <c r="X446" s="268"/>
      <c r="Y446" s="268"/>
      <c r="Z446" s="268"/>
    </row>
    <row r="447" spans="1:26" ht="24.75" customHeight="1">
      <c r="A447" s="268"/>
      <c r="B447" s="268"/>
      <c r="C447" s="268"/>
      <c r="D447" s="268"/>
      <c r="E447" s="268"/>
      <c r="F447" s="268"/>
      <c r="G447" s="268"/>
      <c r="H447" s="268"/>
      <c r="I447" s="268"/>
      <c r="J447" s="268"/>
      <c r="K447" s="268"/>
      <c r="L447" s="334"/>
      <c r="M447" s="268"/>
      <c r="N447" s="268"/>
      <c r="O447" s="310"/>
      <c r="P447" s="268"/>
      <c r="Q447" s="334"/>
      <c r="R447" s="268"/>
      <c r="S447" s="313"/>
      <c r="T447" s="313"/>
      <c r="U447" s="268"/>
      <c r="V447" s="309"/>
      <c r="W447" s="310"/>
      <c r="X447" s="268"/>
      <c r="Y447" s="268"/>
      <c r="Z447" s="268"/>
    </row>
    <row r="448" spans="1:26" ht="24.75" customHeight="1">
      <c r="A448" s="268"/>
      <c r="B448" s="268"/>
      <c r="C448" s="268"/>
      <c r="D448" s="268"/>
      <c r="E448" s="268"/>
      <c r="F448" s="268"/>
      <c r="G448" s="268"/>
      <c r="H448" s="268"/>
      <c r="I448" s="268"/>
      <c r="J448" s="268"/>
      <c r="K448" s="268"/>
      <c r="L448" s="334"/>
      <c r="M448" s="268"/>
      <c r="N448" s="268"/>
      <c r="O448" s="310"/>
      <c r="P448" s="268"/>
      <c r="Q448" s="334"/>
      <c r="R448" s="268"/>
      <c r="S448" s="313"/>
      <c r="T448" s="313"/>
      <c r="U448" s="268"/>
      <c r="V448" s="309"/>
      <c r="W448" s="310"/>
      <c r="X448" s="268"/>
      <c r="Y448" s="268"/>
      <c r="Z448" s="268"/>
    </row>
    <row r="449" spans="1:26" ht="24.75" customHeight="1">
      <c r="A449" s="268"/>
      <c r="B449" s="268"/>
      <c r="C449" s="268"/>
      <c r="D449" s="268"/>
      <c r="E449" s="268"/>
      <c r="F449" s="268"/>
      <c r="G449" s="268"/>
      <c r="H449" s="268"/>
      <c r="I449" s="268"/>
      <c r="J449" s="268"/>
      <c r="K449" s="268"/>
      <c r="L449" s="334"/>
      <c r="M449" s="268"/>
      <c r="N449" s="268"/>
      <c r="O449" s="310"/>
      <c r="P449" s="268"/>
      <c r="Q449" s="334"/>
      <c r="R449" s="268"/>
      <c r="S449" s="313"/>
      <c r="T449" s="313"/>
      <c r="U449" s="268"/>
      <c r="V449" s="309"/>
      <c r="W449" s="310"/>
      <c r="X449" s="268"/>
      <c r="Y449" s="268"/>
      <c r="Z449" s="268"/>
    </row>
    <row r="450" spans="1:26" ht="24.75" customHeight="1">
      <c r="A450" s="268"/>
      <c r="B450" s="268"/>
      <c r="C450" s="268"/>
      <c r="D450" s="268"/>
      <c r="E450" s="268"/>
      <c r="F450" s="268"/>
      <c r="G450" s="268"/>
      <c r="H450" s="268"/>
      <c r="I450" s="268"/>
      <c r="J450" s="268"/>
      <c r="K450" s="268"/>
      <c r="L450" s="334"/>
      <c r="M450" s="268"/>
      <c r="N450" s="268"/>
      <c r="O450" s="310"/>
      <c r="P450" s="268"/>
      <c r="Q450" s="334"/>
      <c r="R450" s="268"/>
      <c r="S450" s="313"/>
      <c r="T450" s="313"/>
      <c r="U450" s="268"/>
      <c r="V450" s="309"/>
      <c r="W450" s="310"/>
      <c r="X450" s="268"/>
      <c r="Y450" s="268"/>
      <c r="Z450" s="268"/>
    </row>
    <row r="451" spans="1:26" ht="24.75" customHeight="1">
      <c r="A451" s="268"/>
      <c r="B451" s="268"/>
      <c r="C451" s="268"/>
      <c r="D451" s="268"/>
      <c r="E451" s="268"/>
      <c r="F451" s="268"/>
      <c r="G451" s="268"/>
      <c r="H451" s="268"/>
      <c r="I451" s="268"/>
      <c r="J451" s="268"/>
      <c r="K451" s="268"/>
      <c r="L451" s="334"/>
      <c r="M451" s="268"/>
      <c r="N451" s="268"/>
      <c r="O451" s="310"/>
      <c r="P451" s="268"/>
      <c r="Q451" s="334"/>
      <c r="R451" s="268"/>
      <c r="S451" s="313"/>
      <c r="T451" s="313"/>
      <c r="U451" s="268"/>
      <c r="V451" s="309"/>
      <c r="W451" s="310"/>
      <c r="X451" s="268"/>
      <c r="Y451" s="268"/>
      <c r="Z451" s="268"/>
    </row>
    <row r="452" spans="1:26" ht="24.75" customHeight="1">
      <c r="A452" s="268"/>
      <c r="B452" s="268"/>
      <c r="C452" s="268"/>
      <c r="D452" s="268"/>
      <c r="E452" s="268"/>
      <c r="F452" s="268"/>
      <c r="G452" s="268"/>
      <c r="H452" s="268"/>
      <c r="I452" s="268"/>
      <c r="J452" s="268"/>
      <c r="K452" s="268"/>
      <c r="L452" s="334"/>
      <c r="M452" s="268"/>
      <c r="N452" s="268"/>
      <c r="O452" s="310"/>
      <c r="P452" s="268"/>
      <c r="Q452" s="334"/>
      <c r="R452" s="268"/>
      <c r="S452" s="313"/>
      <c r="T452" s="313"/>
      <c r="U452" s="268"/>
      <c r="V452" s="309"/>
      <c r="W452" s="310"/>
      <c r="X452" s="268"/>
      <c r="Y452" s="268"/>
      <c r="Z452" s="268"/>
    </row>
    <row r="453" spans="1:26" ht="24.75" customHeight="1">
      <c r="A453" s="268"/>
      <c r="B453" s="268"/>
      <c r="C453" s="268"/>
      <c r="D453" s="268"/>
      <c r="E453" s="268"/>
      <c r="F453" s="268"/>
      <c r="G453" s="268"/>
      <c r="H453" s="268"/>
      <c r="I453" s="268"/>
      <c r="J453" s="268"/>
      <c r="K453" s="268"/>
      <c r="L453" s="334"/>
      <c r="M453" s="268"/>
      <c r="N453" s="268"/>
      <c r="O453" s="310"/>
      <c r="P453" s="268"/>
      <c r="Q453" s="334"/>
      <c r="R453" s="268"/>
      <c r="S453" s="313"/>
      <c r="T453" s="313"/>
      <c r="U453" s="268"/>
      <c r="V453" s="309"/>
      <c r="W453" s="310"/>
      <c r="X453" s="268"/>
      <c r="Y453" s="268"/>
      <c r="Z453" s="268"/>
    </row>
    <row r="454" spans="1:26" ht="24.75" customHeight="1">
      <c r="A454" s="268"/>
      <c r="B454" s="268"/>
      <c r="C454" s="268"/>
      <c r="D454" s="268"/>
      <c r="E454" s="268"/>
      <c r="F454" s="268"/>
      <c r="G454" s="268"/>
      <c r="H454" s="268"/>
      <c r="I454" s="268"/>
      <c r="J454" s="268"/>
      <c r="K454" s="268"/>
      <c r="L454" s="334"/>
      <c r="M454" s="268"/>
      <c r="N454" s="268"/>
      <c r="O454" s="310"/>
      <c r="P454" s="268"/>
      <c r="Q454" s="334"/>
      <c r="R454" s="268"/>
      <c r="S454" s="313"/>
      <c r="T454" s="313"/>
      <c r="U454" s="268"/>
      <c r="V454" s="309"/>
      <c r="W454" s="310"/>
      <c r="X454" s="268"/>
      <c r="Y454" s="268"/>
      <c r="Z454" s="268"/>
    </row>
    <row r="455" spans="1:26" ht="24.75" customHeight="1">
      <c r="A455" s="268"/>
      <c r="B455" s="268"/>
      <c r="C455" s="268"/>
      <c r="D455" s="268"/>
      <c r="E455" s="268"/>
      <c r="F455" s="268"/>
      <c r="G455" s="268"/>
      <c r="H455" s="268"/>
      <c r="I455" s="268"/>
      <c r="J455" s="268"/>
      <c r="K455" s="268"/>
      <c r="L455" s="334"/>
      <c r="M455" s="268"/>
      <c r="N455" s="268"/>
      <c r="O455" s="310"/>
      <c r="P455" s="268"/>
      <c r="Q455" s="334"/>
      <c r="R455" s="268"/>
      <c r="S455" s="313"/>
      <c r="T455" s="313"/>
      <c r="U455" s="268"/>
      <c r="V455" s="309"/>
      <c r="W455" s="310"/>
      <c r="X455" s="268"/>
      <c r="Y455" s="268"/>
      <c r="Z455" s="268"/>
    </row>
    <row r="456" spans="1:26" ht="24.75" customHeight="1">
      <c r="A456" s="268"/>
      <c r="B456" s="268"/>
      <c r="C456" s="268"/>
      <c r="D456" s="268"/>
      <c r="E456" s="268"/>
      <c r="F456" s="268"/>
      <c r="G456" s="268"/>
      <c r="H456" s="268"/>
      <c r="I456" s="268"/>
      <c r="J456" s="268"/>
      <c r="K456" s="268"/>
      <c r="L456" s="334"/>
      <c r="M456" s="268"/>
      <c r="N456" s="268"/>
      <c r="O456" s="310"/>
      <c r="P456" s="268"/>
      <c r="Q456" s="334"/>
      <c r="R456" s="268"/>
      <c r="S456" s="313"/>
      <c r="T456" s="313"/>
      <c r="U456" s="268"/>
      <c r="V456" s="309"/>
      <c r="W456" s="310"/>
      <c r="X456" s="268"/>
      <c r="Y456" s="268"/>
      <c r="Z456" s="268"/>
    </row>
    <row r="457" spans="1:26" ht="24.75" customHeight="1">
      <c r="A457" s="268"/>
      <c r="B457" s="268"/>
      <c r="C457" s="268"/>
      <c r="D457" s="268"/>
      <c r="E457" s="268"/>
      <c r="F457" s="268"/>
      <c r="G457" s="268"/>
      <c r="H457" s="268"/>
      <c r="I457" s="268"/>
      <c r="J457" s="268"/>
      <c r="K457" s="268"/>
      <c r="L457" s="334"/>
      <c r="M457" s="268"/>
      <c r="N457" s="268"/>
      <c r="O457" s="310"/>
      <c r="P457" s="268"/>
      <c r="Q457" s="334"/>
      <c r="R457" s="268"/>
      <c r="S457" s="313"/>
      <c r="T457" s="313"/>
      <c r="U457" s="268"/>
      <c r="V457" s="309"/>
      <c r="W457" s="310"/>
      <c r="X457" s="268"/>
      <c r="Y457" s="268"/>
      <c r="Z457" s="268"/>
    </row>
    <row r="458" spans="1:26" ht="24.75" customHeight="1">
      <c r="A458" s="268"/>
      <c r="B458" s="268"/>
      <c r="C458" s="268"/>
      <c r="D458" s="268"/>
      <c r="E458" s="268"/>
      <c r="F458" s="268"/>
      <c r="G458" s="268"/>
      <c r="H458" s="268"/>
      <c r="I458" s="268"/>
      <c r="J458" s="268"/>
      <c r="K458" s="268"/>
      <c r="L458" s="334"/>
      <c r="M458" s="268"/>
      <c r="N458" s="268"/>
      <c r="O458" s="310"/>
      <c r="P458" s="268"/>
      <c r="Q458" s="334"/>
      <c r="R458" s="268"/>
      <c r="S458" s="313"/>
      <c r="T458" s="313"/>
      <c r="U458" s="268"/>
      <c r="V458" s="309"/>
      <c r="W458" s="310"/>
      <c r="X458" s="268"/>
      <c r="Y458" s="268"/>
      <c r="Z458" s="268"/>
    </row>
    <row r="459" spans="1:26" ht="24.75" customHeight="1">
      <c r="A459" s="268"/>
      <c r="B459" s="268"/>
      <c r="C459" s="268"/>
      <c r="D459" s="268"/>
      <c r="E459" s="268"/>
      <c r="F459" s="268"/>
      <c r="G459" s="268"/>
      <c r="H459" s="268"/>
      <c r="I459" s="268"/>
      <c r="J459" s="268"/>
      <c r="K459" s="268"/>
      <c r="L459" s="334"/>
      <c r="M459" s="268"/>
      <c r="N459" s="268"/>
      <c r="O459" s="310"/>
      <c r="P459" s="268"/>
      <c r="Q459" s="334"/>
      <c r="R459" s="268"/>
      <c r="S459" s="313"/>
      <c r="T459" s="313"/>
      <c r="U459" s="268"/>
      <c r="V459" s="309"/>
      <c r="W459" s="310"/>
      <c r="X459" s="268"/>
      <c r="Y459" s="268"/>
      <c r="Z459" s="268"/>
    </row>
    <row r="460" spans="1:26" ht="24.75" customHeight="1">
      <c r="A460" s="268"/>
      <c r="B460" s="268"/>
      <c r="C460" s="268"/>
      <c r="D460" s="268"/>
      <c r="E460" s="268"/>
      <c r="F460" s="268"/>
      <c r="G460" s="268"/>
      <c r="H460" s="268"/>
      <c r="I460" s="268"/>
      <c r="J460" s="268"/>
      <c r="K460" s="268"/>
      <c r="L460" s="334"/>
      <c r="M460" s="268"/>
      <c r="N460" s="268"/>
      <c r="O460" s="310"/>
      <c r="P460" s="268"/>
      <c r="Q460" s="334"/>
      <c r="R460" s="268"/>
      <c r="S460" s="313"/>
      <c r="T460" s="313"/>
      <c r="U460" s="268"/>
      <c r="V460" s="309"/>
      <c r="W460" s="310"/>
      <c r="X460" s="268"/>
      <c r="Y460" s="268"/>
      <c r="Z460" s="268"/>
    </row>
    <row r="461" spans="1:26" ht="24.75" customHeight="1">
      <c r="A461" s="268"/>
      <c r="B461" s="268"/>
      <c r="C461" s="268"/>
      <c r="D461" s="268"/>
      <c r="E461" s="268"/>
      <c r="F461" s="268"/>
      <c r="G461" s="268"/>
      <c r="H461" s="268"/>
      <c r="I461" s="268"/>
      <c r="J461" s="268"/>
      <c r="K461" s="268"/>
      <c r="L461" s="334"/>
      <c r="M461" s="268"/>
      <c r="N461" s="268"/>
      <c r="O461" s="310"/>
      <c r="P461" s="268"/>
      <c r="Q461" s="334"/>
      <c r="R461" s="268"/>
      <c r="S461" s="313"/>
      <c r="T461" s="313"/>
      <c r="U461" s="268"/>
      <c r="V461" s="309"/>
      <c r="W461" s="310"/>
      <c r="X461" s="268"/>
      <c r="Y461" s="268"/>
      <c r="Z461" s="268"/>
    </row>
    <row r="462" spans="1:26" ht="24.75" customHeight="1">
      <c r="A462" s="268"/>
      <c r="B462" s="268"/>
      <c r="C462" s="268"/>
      <c r="D462" s="268"/>
      <c r="E462" s="268"/>
      <c r="F462" s="268"/>
      <c r="G462" s="268"/>
      <c r="H462" s="268"/>
      <c r="I462" s="268"/>
      <c r="J462" s="268"/>
      <c r="K462" s="268"/>
      <c r="L462" s="334"/>
      <c r="M462" s="268"/>
      <c r="N462" s="268"/>
      <c r="O462" s="310"/>
      <c r="P462" s="268"/>
      <c r="Q462" s="334"/>
      <c r="R462" s="268"/>
      <c r="S462" s="313"/>
      <c r="T462" s="313"/>
      <c r="U462" s="268"/>
      <c r="V462" s="309"/>
      <c r="W462" s="310"/>
      <c r="X462" s="268"/>
      <c r="Y462" s="268"/>
      <c r="Z462" s="268"/>
    </row>
    <row r="463" spans="1:26" ht="24.75" customHeight="1">
      <c r="A463" s="268"/>
      <c r="B463" s="268"/>
      <c r="C463" s="268"/>
      <c r="D463" s="268"/>
      <c r="E463" s="268"/>
      <c r="F463" s="268"/>
      <c r="G463" s="268"/>
      <c r="H463" s="268"/>
      <c r="I463" s="268"/>
      <c r="J463" s="268"/>
      <c r="K463" s="268"/>
      <c r="L463" s="334"/>
      <c r="M463" s="268"/>
      <c r="N463" s="268"/>
      <c r="O463" s="310"/>
      <c r="P463" s="268"/>
      <c r="Q463" s="334"/>
      <c r="R463" s="268"/>
      <c r="S463" s="313"/>
      <c r="T463" s="313"/>
      <c r="U463" s="268"/>
      <c r="V463" s="309"/>
      <c r="W463" s="310"/>
      <c r="X463" s="268"/>
      <c r="Y463" s="268"/>
      <c r="Z463" s="268"/>
    </row>
    <row r="464" spans="1:26" ht="24.75" customHeight="1">
      <c r="A464" s="268"/>
      <c r="B464" s="268"/>
      <c r="C464" s="268"/>
      <c r="D464" s="268"/>
      <c r="E464" s="268"/>
      <c r="F464" s="268"/>
      <c r="G464" s="268"/>
      <c r="H464" s="268"/>
      <c r="I464" s="268"/>
      <c r="J464" s="268"/>
      <c r="K464" s="268"/>
      <c r="L464" s="334"/>
      <c r="M464" s="268"/>
      <c r="N464" s="268"/>
      <c r="O464" s="310"/>
      <c r="P464" s="268"/>
      <c r="Q464" s="334"/>
      <c r="R464" s="268"/>
      <c r="S464" s="313"/>
      <c r="T464" s="313"/>
      <c r="U464" s="268"/>
      <c r="V464" s="309"/>
      <c r="W464" s="310"/>
      <c r="X464" s="268"/>
      <c r="Y464" s="268"/>
      <c r="Z464" s="268"/>
    </row>
    <row r="465" spans="1:26" ht="24.75" customHeight="1">
      <c r="A465" s="268"/>
      <c r="B465" s="268"/>
      <c r="C465" s="268"/>
      <c r="D465" s="268"/>
      <c r="E465" s="268"/>
      <c r="F465" s="268"/>
      <c r="G465" s="268"/>
      <c r="H465" s="268"/>
      <c r="I465" s="268"/>
      <c r="J465" s="268"/>
      <c r="K465" s="268"/>
      <c r="L465" s="334"/>
      <c r="M465" s="268"/>
      <c r="N465" s="268"/>
      <c r="O465" s="310"/>
      <c r="P465" s="268"/>
      <c r="Q465" s="334"/>
      <c r="R465" s="268"/>
      <c r="S465" s="313"/>
      <c r="T465" s="313"/>
      <c r="U465" s="268"/>
      <c r="V465" s="309"/>
      <c r="W465" s="310"/>
      <c r="X465" s="268"/>
      <c r="Y465" s="268"/>
      <c r="Z465" s="268"/>
    </row>
    <row r="466" spans="1:26" ht="24.75" customHeight="1">
      <c r="A466" s="268"/>
      <c r="B466" s="268"/>
      <c r="C466" s="268"/>
      <c r="D466" s="268"/>
      <c r="E466" s="268"/>
      <c r="F466" s="268"/>
      <c r="G466" s="268"/>
      <c r="H466" s="268"/>
      <c r="I466" s="268"/>
      <c r="J466" s="268"/>
      <c r="K466" s="268"/>
      <c r="L466" s="334"/>
      <c r="M466" s="268"/>
      <c r="N466" s="268"/>
      <c r="O466" s="310"/>
      <c r="P466" s="268"/>
      <c r="Q466" s="334"/>
      <c r="R466" s="268"/>
      <c r="S466" s="313"/>
      <c r="T466" s="313"/>
      <c r="U466" s="268"/>
      <c r="V466" s="309"/>
      <c r="W466" s="310"/>
      <c r="X466" s="268"/>
      <c r="Y466" s="268"/>
      <c r="Z466" s="268"/>
    </row>
    <row r="467" spans="1:26" ht="24.75" customHeight="1">
      <c r="A467" s="268"/>
      <c r="B467" s="268"/>
      <c r="C467" s="268"/>
      <c r="D467" s="268"/>
      <c r="E467" s="268"/>
      <c r="F467" s="268"/>
      <c r="G467" s="268"/>
      <c r="H467" s="268"/>
      <c r="I467" s="268"/>
      <c r="J467" s="268"/>
      <c r="K467" s="268"/>
      <c r="L467" s="334"/>
      <c r="M467" s="268"/>
      <c r="N467" s="268"/>
      <c r="O467" s="310"/>
      <c r="P467" s="268"/>
      <c r="Q467" s="334"/>
      <c r="R467" s="268"/>
      <c r="S467" s="313"/>
      <c r="T467" s="313"/>
      <c r="U467" s="268"/>
      <c r="V467" s="309"/>
      <c r="W467" s="310"/>
      <c r="X467" s="268"/>
      <c r="Y467" s="268"/>
      <c r="Z467" s="268"/>
    </row>
    <row r="468" spans="1:26" ht="24.75" customHeight="1">
      <c r="A468" s="268"/>
      <c r="B468" s="268"/>
      <c r="C468" s="268"/>
      <c r="D468" s="268"/>
      <c r="E468" s="268"/>
      <c r="F468" s="268"/>
      <c r="G468" s="268"/>
      <c r="H468" s="268"/>
      <c r="I468" s="268"/>
      <c r="J468" s="268"/>
      <c r="K468" s="268"/>
      <c r="L468" s="334"/>
      <c r="M468" s="268"/>
      <c r="N468" s="268"/>
      <c r="O468" s="310"/>
      <c r="P468" s="268"/>
      <c r="Q468" s="334"/>
      <c r="R468" s="268"/>
      <c r="S468" s="313"/>
      <c r="T468" s="313"/>
      <c r="U468" s="268"/>
      <c r="V468" s="309"/>
      <c r="W468" s="310"/>
      <c r="X468" s="268"/>
      <c r="Y468" s="268"/>
      <c r="Z468" s="268"/>
    </row>
    <row r="469" spans="1:26" ht="24.75" customHeight="1">
      <c r="A469" s="268"/>
      <c r="B469" s="268"/>
      <c r="C469" s="268"/>
      <c r="D469" s="268"/>
      <c r="E469" s="268"/>
      <c r="F469" s="268"/>
      <c r="G469" s="268"/>
      <c r="H469" s="268"/>
      <c r="I469" s="268"/>
      <c r="J469" s="268"/>
      <c r="K469" s="268"/>
      <c r="L469" s="334"/>
      <c r="M469" s="268"/>
      <c r="N469" s="268"/>
      <c r="O469" s="310"/>
      <c r="P469" s="268"/>
      <c r="Q469" s="334"/>
      <c r="R469" s="268"/>
      <c r="S469" s="313"/>
      <c r="T469" s="313"/>
      <c r="U469" s="268"/>
      <c r="V469" s="309"/>
      <c r="W469" s="310"/>
      <c r="X469" s="268"/>
      <c r="Y469" s="268"/>
      <c r="Z469" s="268"/>
    </row>
    <row r="470" spans="1:26" ht="24.75" customHeight="1">
      <c r="A470" s="268"/>
      <c r="B470" s="268"/>
      <c r="C470" s="268"/>
      <c r="D470" s="268"/>
      <c r="E470" s="268"/>
      <c r="F470" s="268"/>
      <c r="G470" s="268"/>
      <c r="H470" s="268"/>
      <c r="I470" s="268"/>
      <c r="J470" s="268"/>
      <c r="K470" s="268"/>
      <c r="L470" s="334"/>
      <c r="M470" s="268"/>
      <c r="N470" s="268"/>
      <c r="O470" s="310"/>
      <c r="P470" s="268"/>
      <c r="Q470" s="334"/>
      <c r="R470" s="268"/>
      <c r="S470" s="313"/>
      <c r="T470" s="313"/>
      <c r="U470" s="268"/>
      <c r="V470" s="309"/>
      <c r="W470" s="310"/>
      <c r="X470" s="268"/>
      <c r="Y470" s="268"/>
      <c r="Z470" s="268"/>
    </row>
    <row r="471" spans="1:26" ht="24.75" customHeight="1">
      <c r="A471" s="268"/>
      <c r="B471" s="268"/>
      <c r="C471" s="268"/>
      <c r="D471" s="268"/>
      <c r="E471" s="268"/>
      <c r="F471" s="268"/>
      <c r="G471" s="268"/>
      <c r="H471" s="268"/>
      <c r="I471" s="268"/>
      <c r="J471" s="268"/>
      <c r="K471" s="268"/>
      <c r="L471" s="334"/>
      <c r="M471" s="268"/>
      <c r="N471" s="268"/>
      <c r="O471" s="310"/>
      <c r="P471" s="268"/>
      <c r="Q471" s="334"/>
      <c r="R471" s="268"/>
      <c r="S471" s="313"/>
      <c r="T471" s="313"/>
      <c r="U471" s="268"/>
      <c r="V471" s="309"/>
      <c r="W471" s="310"/>
      <c r="X471" s="268"/>
      <c r="Y471" s="268"/>
      <c r="Z471" s="268"/>
    </row>
    <row r="472" spans="1:26" ht="24.75" customHeight="1">
      <c r="A472" s="268"/>
      <c r="B472" s="268"/>
      <c r="C472" s="268"/>
      <c r="D472" s="268"/>
      <c r="E472" s="268"/>
      <c r="F472" s="268"/>
      <c r="G472" s="268"/>
      <c r="H472" s="268"/>
      <c r="I472" s="268"/>
      <c r="J472" s="268"/>
      <c r="K472" s="268"/>
      <c r="L472" s="334"/>
      <c r="M472" s="268"/>
      <c r="N472" s="268"/>
      <c r="O472" s="310"/>
      <c r="P472" s="268"/>
      <c r="Q472" s="334"/>
      <c r="R472" s="268"/>
      <c r="S472" s="313"/>
      <c r="T472" s="313"/>
      <c r="U472" s="268"/>
      <c r="V472" s="309"/>
      <c r="W472" s="310"/>
      <c r="X472" s="268"/>
      <c r="Y472" s="268"/>
      <c r="Z472" s="268"/>
    </row>
    <row r="473" spans="1:26" ht="24.75" customHeight="1">
      <c r="A473" s="268"/>
      <c r="B473" s="268"/>
      <c r="C473" s="268"/>
      <c r="D473" s="268"/>
      <c r="E473" s="268"/>
      <c r="F473" s="268"/>
      <c r="G473" s="268"/>
      <c r="H473" s="268"/>
      <c r="I473" s="268"/>
      <c r="J473" s="268"/>
      <c r="K473" s="268"/>
      <c r="L473" s="334"/>
      <c r="M473" s="268"/>
      <c r="N473" s="268"/>
      <c r="O473" s="310"/>
      <c r="P473" s="268"/>
      <c r="Q473" s="334"/>
      <c r="R473" s="268"/>
      <c r="S473" s="313"/>
      <c r="T473" s="313"/>
      <c r="U473" s="268"/>
      <c r="V473" s="309"/>
      <c r="W473" s="310"/>
      <c r="X473" s="268"/>
      <c r="Y473" s="268"/>
      <c r="Z473" s="268"/>
    </row>
    <row r="474" spans="1:26" ht="24.75" customHeight="1">
      <c r="A474" s="268"/>
      <c r="B474" s="268"/>
      <c r="C474" s="268"/>
      <c r="D474" s="268"/>
      <c r="E474" s="268"/>
      <c r="F474" s="268"/>
      <c r="G474" s="268"/>
      <c r="H474" s="268"/>
      <c r="I474" s="268"/>
      <c r="J474" s="268"/>
      <c r="K474" s="268"/>
      <c r="L474" s="334"/>
      <c r="M474" s="268"/>
      <c r="N474" s="268"/>
      <c r="O474" s="310"/>
      <c r="P474" s="268"/>
      <c r="Q474" s="334"/>
      <c r="R474" s="268"/>
      <c r="S474" s="313"/>
      <c r="T474" s="313"/>
      <c r="U474" s="268"/>
      <c r="V474" s="309"/>
      <c r="W474" s="310"/>
      <c r="X474" s="268"/>
      <c r="Y474" s="268"/>
      <c r="Z474" s="268"/>
    </row>
    <row r="475" spans="1:26" ht="24.75" customHeight="1">
      <c r="A475" s="268"/>
      <c r="B475" s="268"/>
      <c r="C475" s="268"/>
      <c r="D475" s="268"/>
      <c r="E475" s="268"/>
      <c r="F475" s="268"/>
      <c r="G475" s="268"/>
      <c r="H475" s="268"/>
      <c r="I475" s="268"/>
      <c r="J475" s="268"/>
      <c r="K475" s="268"/>
      <c r="L475" s="334"/>
      <c r="M475" s="268"/>
      <c r="N475" s="268"/>
      <c r="O475" s="310"/>
      <c r="P475" s="268"/>
      <c r="Q475" s="334"/>
      <c r="R475" s="268"/>
      <c r="S475" s="313"/>
      <c r="T475" s="313"/>
      <c r="U475" s="268"/>
      <c r="V475" s="309"/>
      <c r="W475" s="310"/>
      <c r="X475" s="268"/>
      <c r="Y475" s="268"/>
      <c r="Z475" s="268"/>
    </row>
    <row r="476" spans="1:26" ht="24.75" customHeight="1">
      <c r="A476" s="268"/>
      <c r="B476" s="268"/>
      <c r="C476" s="268"/>
      <c r="D476" s="268"/>
      <c r="E476" s="268"/>
      <c r="F476" s="268"/>
      <c r="G476" s="268"/>
      <c r="H476" s="268"/>
      <c r="I476" s="268"/>
      <c r="J476" s="268"/>
      <c r="K476" s="268"/>
      <c r="L476" s="334"/>
      <c r="M476" s="268"/>
      <c r="N476" s="268"/>
      <c r="O476" s="310"/>
      <c r="P476" s="268"/>
      <c r="Q476" s="334"/>
      <c r="R476" s="268"/>
      <c r="S476" s="313"/>
      <c r="T476" s="313"/>
      <c r="U476" s="268"/>
      <c r="V476" s="309"/>
      <c r="W476" s="310"/>
      <c r="X476" s="268"/>
      <c r="Y476" s="268"/>
      <c r="Z476" s="268"/>
    </row>
    <row r="477" spans="1:26" ht="24.75" customHeight="1">
      <c r="A477" s="268"/>
      <c r="B477" s="268"/>
      <c r="C477" s="268"/>
      <c r="D477" s="268"/>
      <c r="E477" s="268"/>
      <c r="F477" s="268"/>
      <c r="G477" s="268"/>
      <c r="H477" s="268"/>
      <c r="I477" s="268"/>
      <c r="J477" s="268"/>
      <c r="K477" s="268"/>
      <c r="L477" s="334"/>
      <c r="M477" s="268"/>
      <c r="N477" s="268"/>
      <c r="O477" s="310"/>
      <c r="P477" s="268"/>
      <c r="Q477" s="334"/>
      <c r="R477" s="268"/>
      <c r="S477" s="313"/>
      <c r="T477" s="313"/>
      <c r="U477" s="268"/>
      <c r="V477" s="309"/>
      <c r="W477" s="310"/>
      <c r="X477" s="268"/>
      <c r="Y477" s="268"/>
      <c r="Z477" s="268"/>
    </row>
    <row r="478" spans="1:26" ht="24.75" customHeight="1">
      <c r="A478" s="268"/>
      <c r="B478" s="268"/>
      <c r="C478" s="268"/>
      <c r="D478" s="268"/>
      <c r="E478" s="268"/>
      <c r="F478" s="268"/>
      <c r="G478" s="268"/>
      <c r="H478" s="268"/>
      <c r="I478" s="268"/>
      <c r="J478" s="268"/>
      <c r="K478" s="268"/>
      <c r="L478" s="334"/>
      <c r="M478" s="268"/>
      <c r="N478" s="268"/>
      <c r="O478" s="310"/>
      <c r="P478" s="268"/>
      <c r="Q478" s="334"/>
      <c r="R478" s="268"/>
      <c r="S478" s="313"/>
      <c r="T478" s="313"/>
      <c r="U478" s="268"/>
      <c r="V478" s="309"/>
      <c r="W478" s="310"/>
      <c r="X478" s="268"/>
      <c r="Y478" s="268"/>
      <c r="Z478" s="268"/>
    </row>
    <row r="479" spans="1:26" ht="24.75" customHeight="1">
      <c r="A479" s="268"/>
      <c r="B479" s="268"/>
      <c r="C479" s="268"/>
      <c r="D479" s="268"/>
      <c r="E479" s="268"/>
      <c r="F479" s="268"/>
      <c r="G479" s="268"/>
      <c r="H479" s="268"/>
      <c r="I479" s="268"/>
      <c r="J479" s="268"/>
      <c r="K479" s="268"/>
      <c r="L479" s="334"/>
      <c r="M479" s="268"/>
      <c r="N479" s="268"/>
      <c r="O479" s="310"/>
      <c r="P479" s="268"/>
      <c r="Q479" s="334"/>
      <c r="R479" s="268"/>
      <c r="S479" s="313"/>
      <c r="T479" s="313"/>
      <c r="U479" s="268"/>
      <c r="V479" s="309"/>
      <c r="W479" s="310"/>
      <c r="X479" s="268"/>
      <c r="Y479" s="268"/>
      <c r="Z479" s="268"/>
    </row>
    <row r="480" spans="1:26" ht="24.75" customHeight="1">
      <c r="A480" s="268"/>
      <c r="B480" s="268"/>
      <c r="C480" s="268"/>
      <c r="D480" s="268"/>
      <c r="E480" s="268"/>
      <c r="F480" s="268"/>
      <c r="G480" s="268"/>
      <c r="H480" s="268"/>
      <c r="I480" s="268"/>
      <c r="J480" s="268"/>
      <c r="K480" s="268"/>
      <c r="L480" s="334"/>
      <c r="M480" s="268"/>
      <c r="N480" s="268"/>
      <c r="O480" s="310"/>
      <c r="P480" s="268"/>
      <c r="Q480" s="334"/>
      <c r="R480" s="268"/>
      <c r="S480" s="313"/>
      <c r="T480" s="313"/>
      <c r="U480" s="268"/>
      <c r="V480" s="309"/>
      <c r="W480" s="310"/>
      <c r="X480" s="268"/>
      <c r="Y480" s="268"/>
      <c r="Z480" s="268"/>
    </row>
    <row r="481" spans="1:26" ht="24.75" customHeight="1">
      <c r="A481" s="268"/>
      <c r="B481" s="268"/>
      <c r="C481" s="268"/>
      <c r="D481" s="268"/>
      <c r="E481" s="268"/>
      <c r="F481" s="268"/>
      <c r="G481" s="268"/>
      <c r="H481" s="268"/>
      <c r="I481" s="268"/>
      <c r="J481" s="268"/>
      <c r="K481" s="268"/>
      <c r="L481" s="334"/>
      <c r="M481" s="268"/>
      <c r="N481" s="268"/>
      <c r="O481" s="310"/>
      <c r="P481" s="268"/>
      <c r="Q481" s="334"/>
      <c r="R481" s="268"/>
      <c r="S481" s="313"/>
      <c r="T481" s="313"/>
      <c r="U481" s="268"/>
      <c r="V481" s="309"/>
      <c r="W481" s="310"/>
      <c r="X481" s="268"/>
      <c r="Y481" s="268"/>
      <c r="Z481" s="268"/>
    </row>
    <row r="482" spans="1:26" ht="24.75" customHeight="1">
      <c r="A482" s="268"/>
      <c r="B482" s="268"/>
      <c r="C482" s="268"/>
      <c r="D482" s="268"/>
      <c r="E482" s="268"/>
      <c r="F482" s="268"/>
      <c r="G482" s="268"/>
      <c r="H482" s="268"/>
      <c r="I482" s="268"/>
      <c r="J482" s="268"/>
      <c r="K482" s="268"/>
      <c r="L482" s="334"/>
      <c r="M482" s="268"/>
      <c r="N482" s="268"/>
      <c r="O482" s="310"/>
      <c r="P482" s="268"/>
      <c r="Q482" s="334"/>
      <c r="R482" s="268"/>
      <c r="S482" s="313"/>
      <c r="T482" s="313"/>
      <c r="U482" s="268"/>
      <c r="V482" s="309"/>
      <c r="W482" s="310"/>
      <c r="X482" s="268"/>
      <c r="Y482" s="268"/>
      <c r="Z482" s="268"/>
    </row>
    <row r="483" spans="1:26" ht="24.75" customHeight="1">
      <c r="A483" s="268"/>
      <c r="B483" s="268"/>
      <c r="C483" s="268"/>
      <c r="D483" s="268"/>
      <c r="E483" s="268"/>
      <c r="F483" s="268"/>
      <c r="G483" s="268"/>
      <c r="H483" s="268"/>
      <c r="I483" s="268"/>
      <c r="J483" s="268"/>
      <c r="K483" s="268"/>
      <c r="L483" s="334"/>
      <c r="M483" s="268"/>
      <c r="N483" s="268"/>
      <c r="O483" s="310"/>
      <c r="P483" s="268"/>
      <c r="Q483" s="334"/>
      <c r="R483" s="268"/>
      <c r="S483" s="313"/>
      <c r="T483" s="313"/>
      <c r="U483" s="268"/>
      <c r="V483" s="309"/>
      <c r="W483" s="310"/>
      <c r="X483" s="268"/>
      <c r="Y483" s="268"/>
      <c r="Z483" s="268"/>
    </row>
    <row r="484" spans="1:26" ht="24.75" customHeight="1">
      <c r="A484" s="268"/>
      <c r="B484" s="268"/>
      <c r="C484" s="268"/>
      <c r="D484" s="268"/>
      <c r="E484" s="268"/>
      <c r="F484" s="268"/>
      <c r="G484" s="268"/>
      <c r="H484" s="268"/>
      <c r="I484" s="268"/>
      <c r="J484" s="268"/>
      <c r="K484" s="268"/>
      <c r="L484" s="334"/>
      <c r="M484" s="268"/>
      <c r="N484" s="268"/>
      <c r="O484" s="310"/>
      <c r="P484" s="268"/>
      <c r="Q484" s="334"/>
      <c r="R484" s="268"/>
      <c r="S484" s="313"/>
      <c r="T484" s="313"/>
      <c r="U484" s="268"/>
      <c r="V484" s="309"/>
      <c r="W484" s="310"/>
      <c r="X484" s="268"/>
      <c r="Y484" s="268"/>
      <c r="Z484" s="268"/>
    </row>
    <row r="485" spans="1:26" ht="24.75" customHeight="1">
      <c r="A485" s="268"/>
      <c r="B485" s="268"/>
      <c r="C485" s="268"/>
      <c r="D485" s="268"/>
      <c r="E485" s="268"/>
      <c r="F485" s="268"/>
      <c r="G485" s="268"/>
      <c r="H485" s="268"/>
      <c r="I485" s="268"/>
      <c r="J485" s="268"/>
      <c r="K485" s="268"/>
      <c r="L485" s="334"/>
      <c r="M485" s="268"/>
      <c r="N485" s="268"/>
      <c r="O485" s="310"/>
      <c r="P485" s="268"/>
      <c r="Q485" s="334"/>
      <c r="R485" s="268"/>
      <c r="S485" s="313"/>
      <c r="T485" s="313"/>
      <c r="U485" s="268"/>
      <c r="V485" s="309"/>
      <c r="W485" s="310"/>
      <c r="X485" s="268"/>
      <c r="Y485" s="268"/>
      <c r="Z485" s="268"/>
    </row>
    <row r="486" spans="1:26" ht="24.75" customHeight="1">
      <c r="A486" s="268"/>
      <c r="B486" s="268"/>
      <c r="C486" s="268"/>
      <c r="D486" s="268"/>
      <c r="E486" s="268"/>
      <c r="F486" s="268"/>
      <c r="G486" s="268"/>
      <c r="H486" s="268"/>
      <c r="I486" s="268"/>
      <c r="J486" s="268"/>
      <c r="K486" s="268"/>
      <c r="L486" s="334"/>
      <c r="M486" s="268"/>
      <c r="N486" s="268"/>
      <c r="O486" s="310"/>
      <c r="P486" s="268"/>
      <c r="Q486" s="334"/>
      <c r="R486" s="268"/>
      <c r="S486" s="313"/>
      <c r="T486" s="313"/>
      <c r="U486" s="268"/>
      <c r="V486" s="309"/>
      <c r="W486" s="310"/>
      <c r="X486" s="268"/>
      <c r="Y486" s="268"/>
      <c r="Z486" s="268"/>
    </row>
    <row r="487" spans="1:26" ht="24.75" customHeight="1">
      <c r="A487" s="268"/>
      <c r="B487" s="268"/>
      <c r="C487" s="268"/>
      <c r="D487" s="268"/>
      <c r="E487" s="268"/>
      <c r="F487" s="268"/>
      <c r="G487" s="268"/>
      <c r="H487" s="268"/>
      <c r="I487" s="268"/>
      <c r="J487" s="268"/>
      <c r="K487" s="268"/>
      <c r="L487" s="334"/>
      <c r="M487" s="268"/>
      <c r="N487" s="268"/>
      <c r="O487" s="310"/>
      <c r="P487" s="268"/>
      <c r="Q487" s="334"/>
      <c r="R487" s="268"/>
      <c r="S487" s="313"/>
      <c r="T487" s="313"/>
      <c r="U487" s="268"/>
      <c r="V487" s="309"/>
      <c r="W487" s="310"/>
      <c r="X487" s="268"/>
      <c r="Y487" s="268"/>
      <c r="Z487" s="268"/>
    </row>
    <row r="488" spans="1:26" ht="24.75" customHeight="1">
      <c r="A488" s="268"/>
      <c r="B488" s="268"/>
      <c r="C488" s="268"/>
      <c r="D488" s="268"/>
      <c r="E488" s="268"/>
      <c r="F488" s="268"/>
      <c r="G488" s="268"/>
      <c r="H488" s="268"/>
      <c r="I488" s="268"/>
      <c r="J488" s="268"/>
      <c r="K488" s="268"/>
      <c r="L488" s="334"/>
      <c r="M488" s="268"/>
      <c r="N488" s="268"/>
      <c r="O488" s="310"/>
      <c r="P488" s="268"/>
      <c r="Q488" s="334"/>
      <c r="R488" s="268"/>
      <c r="S488" s="313"/>
      <c r="T488" s="313"/>
      <c r="U488" s="268"/>
      <c r="V488" s="309"/>
      <c r="W488" s="310"/>
      <c r="X488" s="268"/>
      <c r="Y488" s="268"/>
      <c r="Z488" s="268"/>
    </row>
    <row r="489" spans="1:26" ht="24.75" customHeight="1">
      <c r="A489" s="268"/>
      <c r="B489" s="268"/>
      <c r="C489" s="268"/>
      <c r="D489" s="268"/>
      <c r="E489" s="268"/>
      <c r="F489" s="268"/>
      <c r="G489" s="268"/>
      <c r="H489" s="268"/>
      <c r="I489" s="268"/>
      <c r="J489" s="268"/>
      <c r="K489" s="268"/>
      <c r="L489" s="334"/>
      <c r="M489" s="268"/>
      <c r="N489" s="268"/>
      <c r="O489" s="310"/>
      <c r="P489" s="268"/>
      <c r="Q489" s="334"/>
      <c r="R489" s="268"/>
      <c r="S489" s="313"/>
      <c r="T489" s="313"/>
      <c r="U489" s="268"/>
      <c r="V489" s="309"/>
      <c r="W489" s="310"/>
      <c r="X489" s="268"/>
      <c r="Y489" s="268"/>
      <c r="Z489" s="268"/>
    </row>
    <row r="490" spans="1:26" ht="24.75" customHeight="1">
      <c r="A490" s="268"/>
      <c r="B490" s="268"/>
      <c r="C490" s="268"/>
      <c r="D490" s="268"/>
      <c r="E490" s="268"/>
      <c r="F490" s="268"/>
      <c r="G490" s="268"/>
      <c r="H490" s="268"/>
      <c r="I490" s="268"/>
      <c r="J490" s="268"/>
      <c r="K490" s="268"/>
      <c r="L490" s="334"/>
      <c r="M490" s="268"/>
      <c r="N490" s="268"/>
      <c r="O490" s="310"/>
      <c r="P490" s="268"/>
      <c r="Q490" s="334"/>
      <c r="R490" s="268"/>
      <c r="S490" s="313"/>
      <c r="T490" s="313"/>
      <c r="U490" s="268"/>
      <c r="V490" s="309"/>
      <c r="W490" s="310"/>
      <c r="X490" s="268"/>
      <c r="Y490" s="268"/>
      <c r="Z490" s="268"/>
    </row>
    <row r="491" spans="1:26" ht="24.75" customHeight="1">
      <c r="A491" s="268"/>
      <c r="B491" s="268"/>
      <c r="C491" s="268"/>
      <c r="D491" s="268"/>
      <c r="E491" s="268"/>
      <c r="F491" s="268"/>
      <c r="G491" s="268"/>
      <c r="H491" s="268"/>
      <c r="I491" s="268"/>
      <c r="J491" s="268"/>
      <c r="K491" s="268"/>
      <c r="L491" s="334"/>
      <c r="M491" s="268"/>
      <c r="N491" s="268"/>
      <c r="O491" s="310"/>
      <c r="P491" s="268"/>
      <c r="Q491" s="334"/>
      <c r="R491" s="268"/>
      <c r="S491" s="313"/>
      <c r="T491" s="313"/>
      <c r="U491" s="268"/>
      <c r="V491" s="309"/>
      <c r="W491" s="310"/>
      <c r="X491" s="268"/>
      <c r="Y491" s="268"/>
      <c r="Z491" s="268"/>
    </row>
    <row r="492" spans="1:26" ht="24.75" customHeight="1">
      <c r="A492" s="268"/>
      <c r="B492" s="268"/>
      <c r="C492" s="268"/>
      <c r="D492" s="268"/>
      <c r="E492" s="268"/>
      <c r="F492" s="268"/>
      <c r="G492" s="268"/>
      <c r="H492" s="268"/>
      <c r="I492" s="268"/>
      <c r="J492" s="268"/>
      <c r="K492" s="268"/>
      <c r="L492" s="334"/>
      <c r="M492" s="268"/>
      <c r="N492" s="268"/>
      <c r="O492" s="310"/>
      <c r="P492" s="268"/>
      <c r="Q492" s="334"/>
      <c r="R492" s="268"/>
      <c r="S492" s="313"/>
      <c r="T492" s="313"/>
      <c r="U492" s="268"/>
      <c r="V492" s="309"/>
      <c r="W492" s="310"/>
      <c r="X492" s="268"/>
      <c r="Y492" s="268"/>
      <c r="Z492" s="268"/>
    </row>
    <row r="493" spans="1:26" ht="24.75" customHeight="1">
      <c r="A493" s="268"/>
      <c r="B493" s="268"/>
      <c r="C493" s="268"/>
      <c r="D493" s="268"/>
      <c r="E493" s="268"/>
      <c r="F493" s="268"/>
      <c r="G493" s="268"/>
      <c r="H493" s="268"/>
      <c r="I493" s="268"/>
      <c r="J493" s="268"/>
      <c r="K493" s="268"/>
      <c r="L493" s="334"/>
      <c r="M493" s="268"/>
      <c r="N493" s="268"/>
      <c r="O493" s="310"/>
      <c r="P493" s="268"/>
      <c r="Q493" s="334"/>
      <c r="R493" s="268"/>
      <c r="S493" s="313"/>
      <c r="T493" s="313"/>
      <c r="U493" s="268"/>
      <c r="V493" s="309"/>
      <c r="W493" s="310"/>
      <c r="X493" s="268"/>
      <c r="Y493" s="268"/>
      <c r="Z493" s="268"/>
    </row>
    <row r="494" spans="1:26" ht="24.75" customHeight="1">
      <c r="A494" s="268"/>
      <c r="B494" s="268"/>
      <c r="C494" s="268"/>
      <c r="D494" s="268"/>
      <c r="E494" s="268"/>
      <c r="F494" s="268"/>
      <c r="G494" s="268"/>
      <c r="H494" s="268"/>
      <c r="I494" s="268"/>
      <c r="J494" s="268"/>
      <c r="K494" s="268"/>
      <c r="L494" s="334"/>
      <c r="M494" s="268"/>
      <c r="N494" s="268"/>
      <c r="O494" s="310"/>
      <c r="P494" s="268"/>
      <c r="Q494" s="334"/>
      <c r="R494" s="268"/>
      <c r="S494" s="313"/>
      <c r="T494" s="313"/>
      <c r="U494" s="268"/>
      <c r="V494" s="309"/>
      <c r="W494" s="310"/>
      <c r="X494" s="268"/>
      <c r="Y494" s="268"/>
      <c r="Z494" s="268"/>
    </row>
    <row r="495" spans="1:26" ht="24.75" customHeight="1">
      <c r="A495" s="268"/>
      <c r="B495" s="268"/>
      <c r="C495" s="268"/>
      <c r="D495" s="268"/>
      <c r="E495" s="268"/>
      <c r="F495" s="268"/>
      <c r="G495" s="268"/>
      <c r="H495" s="268"/>
      <c r="I495" s="268"/>
      <c r="J495" s="268"/>
      <c r="K495" s="268"/>
      <c r="L495" s="334"/>
      <c r="M495" s="268"/>
      <c r="N495" s="268"/>
      <c r="O495" s="310"/>
      <c r="P495" s="268"/>
      <c r="Q495" s="334"/>
      <c r="R495" s="268"/>
      <c r="S495" s="313"/>
      <c r="T495" s="313"/>
      <c r="U495" s="268"/>
      <c r="V495" s="309"/>
      <c r="W495" s="310"/>
      <c r="X495" s="268"/>
      <c r="Y495" s="268"/>
      <c r="Z495" s="268"/>
    </row>
    <row r="496" spans="1:26" ht="24.75" customHeight="1">
      <c r="A496" s="268"/>
      <c r="B496" s="268"/>
      <c r="C496" s="268"/>
      <c r="D496" s="268"/>
      <c r="E496" s="268"/>
      <c r="F496" s="268"/>
      <c r="G496" s="268"/>
      <c r="H496" s="268"/>
      <c r="I496" s="268"/>
      <c r="J496" s="268"/>
      <c r="K496" s="268"/>
      <c r="L496" s="334"/>
      <c r="M496" s="268"/>
      <c r="N496" s="268"/>
      <c r="O496" s="310"/>
      <c r="P496" s="268"/>
      <c r="Q496" s="334"/>
      <c r="R496" s="268"/>
      <c r="S496" s="313"/>
      <c r="T496" s="313"/>
      <c r="U496" s="268"/>
      <c r="V496" s="309"/>
      <c r="W496" s="310"/>
      <c r="X496" s="268"/>
      <c r="Y496" s="268"/>
      <c r="Z496" s="268"/>
    </row>
    <row r="497" spans="1:26" ht="24.75" customHeight="1">
      <c r="A497" s="268"/>
      <c r="B497" s="268"/>
      <c r="C497" s="268"/>
      <c r="D497" s="268"/>
      <c r="E497" s="268"/>
      <c r="F497" s="268"/>
      <c r="G497" s="268"/>
      <c r="H497" s="268"/>
      <c r="I497" s="268"/>
      <c r="J497" s="268"/>
      <c r="K497" s="268"/>
      <c r="L497" s="334"/>
      <c r="M497" s="268"/>
      <c r="N497" s="268"/>
      <c r="O497" s="310"/>
      <c r="P497" s="268"/>
      <c r="Q497" s="334"/>
      <c r="R497" s="268"/>
      <c r="S497" s="313"/>
      <c r="T497" s="313"/>
      <c r="U497" s="268"/>
      <c r="V497" s="309"/>
      <c r="W497" s="310"/>
      <c r="X497" s="268"/>
      <c r="Y497" s="268"/>
      <c r="Z497" s="268"/>
    </row>
    <row r="498" spans="1:26" ht="24.75" customHeight="1">
      <c r="A498" s="268"/>
      <c r="B498" s="268"/>
      <c r="C498" s="268"/>
      <c r="D498" s="268"/>
      <c r="E498" s="268"/>
      <c r="F498" s="268"/>
      <c r="G498" s="268"/>
      <c r="H498" s="268"/>
      <c r="I498" s="268"/>
      <c r="J498" s="268"/>
      <c r="K498" s="268"/>
      <c r="L498" s="334"/>
      <c r="M498" s="268"/>
      <c r="N498" s="268"/>
      <c r="O498" s="310"/>
      <c r="P498" s="268"/>
      <c r="Q498" s="334"/>
      <c r="R498" s="268"/>
      <c r="S498" s="313"/>
      <c r="T498" s="313"/>
      <c r="U498" s="268"/>
      <c r="V498" s="309"/>
      <c r="W498" s="310"/>
      <c r="X498" s="268"/>
      <c r="Y498" s="268"/>
      <c r="Z498" s="268"/>
    </row>
    <row r="499" spans="1:26" ht="24.75" customHeight="1">
      <c r="A499" s="268"/>
      <c r="B499" s="268"/>
      <c r="C499" s="268"/>
      <c r="D499" s="268"/>
      <c r="E499" s="268"/>
      <c r="F499" s="268"/>
      <c r="G499" s="268"/>
      <c r="H499" s="268"/>
      <c r="I499" s="268"/>
      <c r="J499" s="268"/>
      <c r="K499" s="268"/>
      <c r="L499" s="334"/>
      <c r="M499" s="268"/>
      <c r="N499" s="268"/>
      <c r="O499" s="310"/>
      <c r="P499" s="268"/>
      <c r="Q499" s="334"/>
      <c r="R499" s="268"/>
      <c r="S499" s="313"/>
      <c r="T499" s="313"/>
      <c r="U499" s="268"/>
      <c r="V499" s="309"/>
      <c r="W499" s="310"/>
      <c r="X499" s="268"/>
      <c r="Y499" s="268"/>
      <c r="Z499" s="268"/>
    </row>
    <row r="500" spans="1:26" ht="24.75" customHeight="1">
      <c r="A500" s="268"/>
      <c r="B500" s="268"/>
      <c r="C500" s="268"/>
      <c r="D500" s="268"/>
      <c r="E500" s="268"/>
      <c r="F500" s="268"/>
      <c r="G500" s="268"/>
      <c r="H500" s="268"/>
      <c r="I500" s="268"/>
      <c r="J500" s="268"/>
      <c r="K500" s="268"/>
      <c r="L500" s="334"/>
      <c r="M500" s="268"/>
      <c r="N500" s="268"/>
      <c r="O500" s="310"/>
      <c r="P500" s="268"/>
      <c r="Q500" s="334"/>
      <c r="R500" s="268"/>
      <c r="S500" s="313"/>
      <c r="T500" s="313"/>
      <c r="U500" s="268"/>
      <c r="V500" s="309"/>
      <c r="W500" s="310"/>
      <c r="X500" s="268"/>
      <c r="Y500" s="268"/>
      <c r="Z500" s="268"/>
    </row>
    <row r="501" spans="1:26" ht="24.75" customHeight="1">
      <c r="A501" s="268"/>
      <c r="B501" s="268"/>
      <c r="C501" s="268"/>
      <c r="D501" s="268"/>
      <c r="E501" s="268"/>
      <c r="F501" s="268"/>
      <c r="G501" s="268"/>
      <c r="H501" s="268"/>
      <c r="I501" s="268"/>
      <c r="J501" s="268"/>
      <c r="K501" s="268"/>
      <c r="L501" s="334"/>
      <c r="M501" s="268"/>
      <c r="N501" s="268"/>
      <c r="O501" s="310"/>
      <c r="P501" s="268"/>
      <c r="Q501" s="334"/>
      <c r="R501" s="268"/>
      <c r="S501" s="313"/>
      <c r="T501" s="313"/>
      <c r="U501" s="268"/>
      <c r="V501" s="309"/>
      <c r="W501" s="310"/>
      <c r="X501" s="268"/>
      <c r="Y501" s="268"/>
      <c r="Z501" s="268"/>
    </row>
    <row r="502" spans="1:26" ht="24.75" customHeight="1">
      <c r="A502" s="268"/>
      <c r="B502" s="268"/>
      <c r="C502" s="268"/>
      <c r="D502" s="268"/>
      <c r="E502" s="268"/>
      <c r="F502" s="268"/>
      <c r="G502" s="268"/>
      <c r="H502" s="268"/>
      <c r="I502" s="268"/>
      <c r="J502" s="268"/>
      <c r="K502" s="268"/>
      <c r="L502" s="334"/>
      <c r="M502" s="268"/>
      <c r="N502" s="268"/>
      <c r="O502" s="310"/>
      <c r="P502" s="268"/>
      <c r="Q502" s="334"/>
      <c r="R502" s="268"/>
      <c r="S502" s="313"/>
      <c r="T502" s="313"/>
      <c r="U502" s="268"/>
      <c r="V502" s="309"/>
      <c r="W502" s="310"/>
      <c r="X502" s="268"/>
      <c r="Y502" s="268"/>
      <c r="Z502" s="268"/>
    </row>
    <row r="503" spans="1:26" ht="24.75" customHeight="1">
      <c r="A503" s="268"/>
      <c r="B503" s="268"/>
      <c r="C503" s="268"/>
      <c r="D503" s="268"/>
      <c r="E503" s="268"/>
      <c r="F503" s="268"/>
      <c r="G503" s="268"/>
      <c r="H503" s="268"/>
      <c r="I503" s="268"/>
      <c r="J503" s="268"/>
      <c r="K503" s="268"/>
      <c r="L503" s="334"/>
      <c r="M503" s="268"/>
      <c r="N503" s="268"/>
      <c r="O503" s="310"/>
      <c r="P503" s="268"/>
      <c r="Q503" s="334"/>
      <c r="R503" s="268"/>
      <c r="S503" s="313"/>
      <c r="T503" s="313"/>
      <c r="U503" s="268"/>
      <c r="V503" s="309"/>
      <c r="W503" s="310"/>
      <c r="X503" s="268"/>
      <c r="Y503" s="268"/>
      <c r="Z503" s="268"/>
    </row>
    <row r="504" spans="1:26" ht="24.75" customHeight="1">
      <c r="A504" s="268"/>
      <c r="B504" s="268"/>
      <c r="C504" s="268"/>
      <c r="D504" s="268"/>
      <c r="E504" s="268"/>
      <c r="F504" s="268"/>
      <c r="G504" s="268"/>
      <c r="H504" s="268"/>
      <c r="I504" s="268"/>
      <c r="J504" s="268"/>
      <c r="K504" s="268"/>
      <c r="L504" s="334"/>
      <c r="M504" s="268"/>
      <c r="N504" s="268"/>
      <c r="O504" s="310"/>
      <c r="P504" s="268"/>
      <c r="Q504" s="334"/>
      <c r="R504" s="268"/>
      <c r="S504" s="313"/>
      <c r="T504" s="313"/>
      <c r="U504" s="268"/>
      <c r="V504" s="309"/>
      <c r="W504" s="310"/>
      <c r="X504" s="268"/>
      <c r="Y504" s="268"/>
      <c r="Z504" s="268"/>
    </row>
    <row r="505" spans="1:26" ht="24.75" customHeight="1">
      <c r="A505" s="268"/>
      <c r="B505" s="268"/>
      <c r="C505" s="268"/>
      <c r="D505" s="268"/>
      <c r="E505" s="268"/>
      <c r="F505" s="268"/>
      <c r="G505" s="268"/>
      <c r="H505" s="268"/>
      <c r="I505" s="268"/>
      <c r="J505" s="268"/>
      <c r="K505" s="268"/>
      <c r="L505" s="334"/>
      <c r="M505" s="268"/>
      <c r="N505" s="268"/>
      <c r="O505" s="310"/>
      <c r="P505" s="268"/>
      <c r="Q505" s="334"/>
      <c r="R505" s="268"/>
      <c r="S505" s="313"/>
      <c r="T505" s="313"/>
      <c r="U505" s="268"/>
      <c r="V505" s="309"/>
      <c r="W505" s="310"/>
      <c r="X505" s="268"/>
      <c r="Y505" s="268"/>
      <c r="Z505" s="268"/>
    </row>
    <row r="506" spans="1:26" ht="24.75" customHeight="1">
      <c r="A506" s="268"/>
      <c r="B506" s="268"/>
      <c r="C506" s="268"/>
      <c r="D506" s="268"/>
      <c r="E506" s="268"/>
      <c r="F506" s="268"/>
      <c r="G506" s="268"/>
      <c r="H506" s="268"/>
      <c r="I506" s="268"/>
      <c r="J506" s="268"/>
      <c r="K506" s="268"/>
      <c r="L506" s="334"/>
      <c r="M506" s="268"/>
      <c r="N506" s="268"/>
      <c r="O506" s="310"/>
      <c r="P506" s="268"/>
      <c r="Q506" s="334"/>
      <c r="R506" s="268"/>
      <c r="S506" s="313"/>
      <c r="T506" s="313"/>
      <c r="U506" s="268"/>
      <c r="V506" s="309"/>
      <c r="W506" s="310"/>
      <c r="X506" s="268"/>
      <c r="Y506" s="268"/>
      <c r="Z506" s="268"/>
    </row>
    <row r="507" spans="1:26" ht="24.75" customHeight="1">
      <c r="A507" s="268"/>
      <c r="B507" s="268"/>
      <c r="C507" s="268"/>
      <c r="D507" s="268"/>
      <c r="E507" s="268"/>
      <c r="F507" s="268"/>
      <c r="G507" s="268"/>
      <c r="H507" s="268"/>
      <c r="I507" s="268"/>
      <c r="J507" s="268"/>
      <c r="K507" s="268"/>
      <c r="L507" s="334"/>
      <c r="M507" s="268"/>
      <c r="N507" s="268"/>
      <c r="O507" s="310"/>
      <c r="P507" s="268"/>
      <c r="Q507" s="334"/>
      <c r="R507" s="268"/>
      <c r="S507" s="313"/>
      <c r="T507" s="313"/>
      <c r="U507" s="268"/>
      <c r="V507" s="309"/>
      <c r="W507" s="310"/>
      <c r="X507" s="268"/>
      <c r="Y507" s="268"/>
      <c r="Z507" s="268"/>
    </row>
    <row r="508" spans="1:26" ht="24.75" customHeight="1">
      <c r="A508" s="268"/>
      <c r="B508" s="268"/>
      <c r="C508" s="268"/>
      <c r="D508" s="268"/>
      <c r="E508" s="268"/>
      <c r="F508" s="268"/>
      <c r="G508" s="268"/>
      <c r="H508" s="268"/>
      <c r="I508" s="268"/>
      <c r="J508" s="268"/>
      <c r="K508" s="268"/>
      <c r="L508" s="334"/>
      <c r="M508" s="268"/>
      <c r="N508" s="268"/>
      <c r="O508" s="310"/>
      <c r="P508" s="268"/>
      <c r="Q508" s="334"/>
      <c r="R508" s="268"/>
      <c r="S508" s="313"/>
      <c r="T508" s="313"/>
      <c r="U508" s="268"/>
      <c r="V508" s="309"/>
      <c r="W508" s="310"/>
      <c r="X508" s="268"/>
      <c r="Y508" s="268"/>
      <c r="Z508" s="268"/>
    </row>
    <row r="509" spans="1:26" ht="24.75" customHeight="1">
      <c r="A509" s="268"/>
      <c r="B509" s="268"/>
      <c r="C509" s="268"/>
      <c r="D509" s="268"/>
      <c r="E509" s="268"/>
      <c r="F509" s="268"/>
      <c r="G509" s="268"/>
      <c r="H509" s="268"/>
      <c r="I509" s="268"/>
      <c r="J509" s="268"/>
      <c r="K509" s="268"/>
      <c r="L509" s="334"/>
      <c r="M509" s="268"/>
      <c r="N509" s="268"/>
      <c r="O509" s="310"/>
      <c r="P509" s="268"/>
      <c r="Q509" s="334"/>
      <c r="R509" s="268"/>
      <c r="S509" s="313"/>
      <c r="T509" s="313"/>
      <c r="U509" s="268"/>
      <c r="V509" s="309"/>
      <c r="W509" s="310"/>
      <c r="X509" s="268"/>
      <c r="Y509" s="268"/>
      <c r="Z509" s="268"/>
    </row>
    <row r="510" spans="1:26" ht="24.75" customHeight="1">
      <c r="A510" s="268"/>
      <c r="B510" s="268"/>
      <c r="C510" s="268"/>
      <c r="D510" s="268"/>
      <c r="E510" s="268"/>
      <c r="F510" s="268"/>
      <c r="G510" s="268"/>
      <c r="H510" s="268"/>
      <c r="I510" s="268"/>
      <c r="J510" s="268"/>
      <c r="K510" s="268"/>
      <c r="L510" s="334"/>
      <c r="M510" s="268"/>
      <c r="N510" s="268"/>
      <c r="O510" s="310"/>
      <c r="P510" s="268"/>
      <c r="Q510" s="334"/>
      <c r="R510" s="268"/>
      <c r="S510" s="313"/>
      <c r="T510" s="313"/>
      <c r="U510" s="268"/>
      <c r="V510" s="309"/>
      <c r="W510" s="310"/>
      <c r="X510" s="268"/>
      <c r="Y510" s="268"/>
      <c r="Z510" s="268"/>
    </row>
    <row r="511" spans="1:26" ht="24.75" customHeight="1">
      <c r="A511" s="268"/>
      <c r="B511" s="268"/>
      <c r="C511" s="268"/>
      <c r="D511" s="268"/>
      <c r="E511" s="268"/>
      <c r="F511" s="268"/>
      <c r="G511" s="268"/>
      <c r="H511" s="268"/>
      <c r="I511" s="268"/>
      <c r="J511" s="268"/>
      <c r="K511" s="268"/>
      <c r="L511" s="334"/>
      <c r="M511" s="268"/>
      <c r="N511" s="268"/>
      <c r="O511" s="310"/>
      <c r="P511" s="268"/>
      <c r="Q511" s="334"/>
      <c r="R511" s="268"/>
      <c r="S511" s="313"/>
      <c r="T511" s="313"/>
      <c r="U511" s="268"/>
      <c r="V511" s="309"/>
      <c r="W511" s="310"/>
      <c r="X511" s="268"/>
      <c r="Y511" s="268"/>
      <c r="Z511" s="268"/>
    </row>
    <row r="512" spans="1:26" ht="24.75" customHeight="1">
      <c r="A512" s="268"/>
      <c r="B512" s="268"/>
      <c r="C512" s="268"/>
      <c r="D512" s="268"/>
      <c r="E512" s="268"/>
      <c r="F512" s="268"/>
      <c r="G512" s="268"/>
      <c r="H512" s="268"/>
      <c r="I512" s="268"/>
      <c r="J512" s="268"/>
      <c r="K512" s="268"/>
      <c r="L512" s="334"/>
      <c r="M512" s="268"/>
      <c r="N512" s="268"/>
      <c r="O512" s="310"/>
      <c r="P512" s="268"/>
      <c r="Q512" s="334"/>
      <c r="R512" s="268"/>
      <c r="S512" s="313"/>
      <c r="T512" s="313"/>
      <c r="U512" s="268"/>
      <c r="V512" s="309"/>
      <c r="W512" s="310"/>
      <c r="X512" s="268"/>
      <c r="Y512" s="268"/>
      <c r="Z512" s="268"/>
    </row>
    <row r="513" spans="1:26" ht="24.75" customHeight="1">
      <c r="A513" s="268"/>
      <c r="B513" s="268"/>
      <c r="C513" s="268"/>
      <c r="D513" s="268"/>
      <c r="E513" s="268"/>
      <c r="F513" s="268"/>
      <c r="G513" s="268"/>
      <c r="H513" s="268"/>
      <c r="I513" s="268"/>
      <c r="J513" s="268"/>
      <c r="K513" s="268"/>
      <c r="L513" s="334"/>
      <c r="M513" s="268"/>
      <c r="N513" s="268"/>
      <c r="O513" s="310"/>
      <c r="P513" s="268"/>
      <c r="Q513" s="334"/>
      <c r="R513" s="268"/>
      <c r="S513" s="313"/>
      <c r="T513" s="313"/>
      <c r="U513" s="268"/>
      <c r="V513" s="309"/>
      <c r="W513" s="310"/>
      <c r="X513" s="268"/>
      <c r="Y513" s="268"/>
      <c r="Z513" s="268"/>
    </row>
    <row r="514" spans="1:26" ht="24.75" customHeight="1">
      <c r="A514" s="268"/>
      <c r="B514" s="268"/>
      <c r="C514" s="268"/>
      <c r="D514" s="268"/>
      <c r="E514" s="268"/>
      <c r="F514" s="268"/>
      <c r="G514" s="268"/>
      <c r="H514" s="268"/>
      <c r="I514" s="268"/>
      <c r="J514" s="268"/>
      <c r="K514" s="268"/>
      <c r="L514" s="334"/>
      <c r="M514" s="268"/>
      <c r="N514" s="268"/>
      <c r="O514" s="310"/>
      <c r="P514" s="268"/>
      <c r="Q514" s="334"/>
      <c r="R514" s="268"/>
      <c r="S514" s="313"/>
      <c r="T514" s="313"/>
      <c r="U514" s="268"/>
      <c r="V514" s="309"/>
      <c r="W514" s="310"/>
      <c r="X514" s="268"/>
      <c r="Y514" s="268"/>
      <c r="Z514" s="268"/>
    </row>
    <row r="515" spans="1:26" ht="24.75" customHeight="1">
      <c r="A515" s="268"/>
      <c r="B515" s="268"/>
      <c r="C515" s="268"/>
      <c r="D515" s="268"/>
      <c r="E515" s="268"/>
      <c r="F515" s="268"/>
      <c r="G515" s="268"/>
      <c r="H515" s="268"/>
      <c r="I515" s="268"/>
      <c r="J515" s="268"/>
      <c r="K515" s="268"/>
      <c r="L515" s="334"/>
      <c r="M515" s="268"/>
      <c r="N515" s="268"/>
      <c r="O515" s="310"/>
      <c r="P515" s="268"/>
      <c r="Q515" s="334"/>
      <c r="R515" s="268"/>
      <c r="S515" s="313"/>
      <c r="T515" s="313"/>
      <c r="U515" s="268"/>
      <c r="V515" s="309"/>
      <c r="W515" s="310"/>
      <c r="X515" s="268"/>
      <c r="Y515" s="268"/>
      <c r="Z515" s="268"/>
    </row>
    <row r="516" spans="1:26" ht="24.75" customHeight="1">
      <c r="A516" s="268"/>
      <c r="B516" s="268"/>
      <c r="C516" s="268"/>
      <c r="D516" s="268"/>
      <c r="E516" s="268"/>
      <c r="F516" s="268"/>
      <c r="G516" s="268"/>
      <c r="H516" s="268"/>
      <c r="I516" s="268"/>
      <c r="J516" s="268"/>
      <c r="K516" s="268"/>
      <c r="L516" s="334"/>
      <c r="M516" s="268"/>
      <c r="N516" s="268"/>
      <c r="O516" s="310"/>
      <c r="P516" s="268"/>
      <c r="Q516" s="334"/>
      <c r="R516" s="268"/>
      <c r="S516" s="313"/>
      <c r="T516" s="313"/>
      <c r="U516" s="268"/>
      <c r="V516" s="309"/>
      <c r="W516" s="310"/>
      <c r="X516" s="268"/>
      <c r="Y516" s="268"/>
      <c r="Z516" s="268"/>
    </row>
    <row r="517" spans="1:26" ht="24.75" customHeight="1">
      <c r="A517" s="268"/>
      <c r="B517" s="268"/>
      <c r="C517" s="268"/>
      <c r="D517" s="268"/>
      <c r="E517" s="268"/>
      <c r="F517" s="268"/>
      <c r="G517" s="268"/>
      <c r="H517" s="268"/>
      <c r="I517" s="268"/>
      <c r="J517" s="268"/>
      <c r="K517" s="268"/>
      <c r="L517" s="334"/>
      <c r="M517" s="268"/>
      <c r="N517" s="268"/>
      <c r="O517" s="310"/>
      <c r="P517" s="268"/>
      <c r="Q517" s="334"/>
      <c r="R517" s="268"/>
      <c r="S517" s="313"/>
      <c r="T517" s="313"/>
      <c r="U517" s="268"/>
      <c r="V517" s="309"/>
      <c r="W517" s="310"/>
      <c r="X517" s="268"/>
      <c r="Y517" s="268"/>
      <c r="Z517" s="268"/>
    </row>
    <row r="518" spans="1:26" ht="24.75" customHeight="1">
      <c r="A518" s="268"/>
      <c r="B518" s="268"/>
      <c r="C518" s="268"/>
      <c r="D518" s="268"/>
      <c r="E518" s="268"/>
      <c r="F518" s="268"/>
      <c r="G518" s="268"/>
      <c r="H518" s="268"/>
      <c r="I518" s="268"/>
      <c r="J518" s="268"/>
      <c r="K518" s="268"/>
      <c r="L518" s="334"/>
      <c r="M518" s="268"/>
      <c r="N518" s="268"/>
      <c r="O518" s="310"/>
      <c r="P518" s="268"/>
      <c r="Q518" s="334"/>
      <c r="R518" s="268"/>
      <c r="S518" s="313"/>
      <c r="T518" s="313"/>
      <c r="U518" s="268"/>
      <c r="V518" s="309"/>
      <c r="W518" s="310"/>
      <c r="X518" s="268"/>
      <c r="Y518" s="268"/>
      <c r="Z518" s="268"/>
    </row>
    <row r="519" spans="1:26" ht="24.75" customHeight="1">
      <c r="A519" s="268"/>
      <c r="B519" s="268"/>
      <c r="C519" s="268"/>
      <c r="D519" s="268"/>
      <c r="E519" s="268"/>
      <c r="F519" s="268"/>
      <c r="G519" s="268"/>
      <c r="H519" s="268"/>
      <c r="I519" s="268"/>
      <c r="J519" s="268"/>
      <c r="K519" s="268"/>
      <c r="L519" s="334"/>
      <c r="M519" s="268"/>
      <c r="N519" s="268"/>
      <c r="O519" s="310"/>
      <c r="P519" s="268"/>
      <c r="Q519" s="334"/>
      <c r="R519" s="268"/>
      <c r="S519" s="313"/>
      <c r="T519" s="313"/>
      <c r="U519" s="268"/>
      <c r="V519" s="309"/>
      <c r="W519" s="310"/>
      <c r="X519" s="268"/>
      <c r="Y519" s="268"/>
      <c r="Z519" s="268"/>
    </row>
    <row r="520" spans="1:26" ht="24.75" customHeight="1">
      <c r="A520" s="268"/>
      <c r="B520" s="268"/>
      <c r="C520" s="268"/>
      <c r="D520" s="268"/>
      <c r="E520" s="268"/>
      <c r="F520" s="268"/>
      <c r="G520" s="268"/>
      <c r="H520" s="268"/>
      <c r="I520" s="268"/>
      <c r="J520" s="268"/>
      <c r="K520" s="268"/>
      <c r="L520" s="334"/>
      <c r="M520" s="268"/>
      <c r="N520" s="268"/>
      <c r="O520" s="310"/>
      <c r="P520" s="268"/>
      <c r="Q520" s="334"/>
      <c r="R520" s="268"/>
      <c r="S520" s="313"/>
      <c r="T520" s="313"/>
      <c r="U520" s="268"/>
      <c r="V520" s="309"/>
      <c r="W520" s="310"/>
      <c r="X520" s="268"/>
      <c r="Y520" s="268"/>
      <c r="Z520" s="268"/>
    </row>
    <row r="521" spans="1:26" ht="24.75" customHeight="1">
      <c r="A521" s="268"/>
      <c r="B521" s="268"/>
      <c r="C521" s="268"/>
      <c r="D521" s="268"/>
      <c r="E521" s="268"/>
      <c r="F521" s="268"/>
      <c r="G521" s="268"/>
      <c r="H521" s="268"/>
      <c r="I521" s="268"/>
      <c r="J521" s="268"/>
      <c r="K521" s="268"/>
      <c r="L521" s="334"/>
      <c r="M521" s="268"/>
      <c r="N521" s="268"/>
      <c r="O521" s="310"/>
      <c r="P521" s="268"/>
      <c r="Q521" s="334"/>
      <c r="R521" s="268"/>
      <c r="S521" s="313"/>
      <c r="T521" s="313"/>
      <c r="U521" s="268"/>
      <c r="V521" s="309"/>
      <c r="W521" s="310"/>
      <c r="X521" s="268"/>
      <c r="Y521" s="268"/>
      <c r="Z521" s="268"/>
    </row>
    <row r="522" spans="1:26" ht="24.75" customHeight="1">
      <c r="A522" s="268"/>
      <c r="B522" s="268"/>
      <c r="C522" s="268"/>
      <c r="D522" s="268"/>
      <c r="E522" s="268"/>
      <c r="F522" s="268"/>
      <c r="G522" s="268"/>
      <c r="H522" s="268"/>
      <c r="I522" s="268"/>
      <c r="J522" s="268"/>
      <c r="K522" s="268"/>
      <c r="L522" s="334"/>
      <c r="M522" s="268"/>
      <c r="N522" s="268"/>
      <c r="O522" s="310"/>
      <c r="P522" s="268"/>
      <c r="Q522" s="334"/>
      <c r="R522" s="268"/>
      <c r="S522" s="313"/>
      <c r="T522" s="313"/>
      <c r="U522" s="268"/>
      <c r="V522" s="309"/>
      <c r="W522" s="310"/>
      <c r="X522" s="268"/>
      <c r="Y522" s="268"/>
      <c r="Z522" s="268"/>
    </row>
    <row r="523" spans="1:26" ht="24.75" customHeight="1">
      <c r="A523" s="268"/>
      <c r="B523" s="268"/>
      <c r="C523" s="268"/>
      <c r="D523" s="268"/>
      <c r="E523" s="268"/>
      <c r="F523" s="268"/>
      <c r="G523" s="268"/>
      <c r="H523" s="268"/>
      <c r="I523" s="268"/>
      <c r="J523" s="268"/>
      <c r="K523" s="268"/>
      <c r="L523" s="334"/>
      <c r="M523" s="268"/>
      <c r="N523" s="268"/>
      <c r="O523" s="310"/>
      <c r="P523" s="268"/>
      <c r="Q523" s="334"/>
      <c r="R523" s="268"/>
      <c r="S523" s="313"/>
      <c r="T523" s="313"/>
      <c r="U523" s="268"/>
      <c r="V523" s="309"/>
      <c r="W523" s="310"/>
      <c r="X523" s="268"/>
      <c r="Y523" s="268"/>
      <c r="Z523" s="268"/>
    </row>
    <row r="524" spans="1:26" ht="24.75" customHeight="1">
      <c r="A524" s="268"/>
      <c r="B524" s="268"/>
      <c r="C524" s="268"/>
      <c r="D524" s="268"/>
      <c r="E524" s="268"/>
      <c r="F524" s="268"/>
      <c r="G524" s="268"/>
      <c r="H524" s="268"/>
      <c r="I524" s="268"/>
      <c r="J524" s="268"/>
      <c r="K524" s="268"/>
      <c r="L524" s="334"/>
      <c r="M524" s="268"/>
      <c r="N524" s="268"/>
      <c r="O524" s="310"/>
      <c r="P524" s="268"/>
      <c r="Q524" s="334"/>
      <c r="R524" s="268"/>
      <c r="S524" s="313"/>
      <c r="T524" s="313"/>
      <c r="U524" s="268"/>
      <c r="V524" s="309"/>
      <c r="W524" s="310"/>
      <c r="X524" s="268"/>
      <c r="Y524" s="268"/>
      <c r="Z524" s="268"/>
    </row>
    <row r="525" spans="1:26" ht="24.75" customHeight="1">
      <c r="A525" s="268"/>
      <c r="B525" s="268"/>
      <c r="C525" s="268"/>
      <c r="D525" s="268"/>
      <c r="E525" s="268"/>
      <c r="F525" s="268"/>
      <c r="G525" s="268"/>
      <c r="H525" s="268"/>
      <c r="I525" s="268"/>
      <c r="J525" s="268"/>
      <c r="K525" s="268"/>
      <c r="L525" s="334"/>
      <c r="M525" s="268"/>
      <c r="N525" s="268"/>
      <c r="O525" s="310"/>
      <c r="P525" s="268"/>
      <c r="Q525" s="334"/>
      <c r="R525" s="268"/>
      <c r="S525" s="313"/>
      <c r="T525" s="313"/>
      <c r="U525" s="268"/>
      <c r="V525" s="309"/>
      <c r="W525" s="310"/>
      <c r="X525" s="268"/>
      <c r="Y525" s="268"/>
      <c r="Z525" s="268"/>
    </row>
    <row r="526" spans="1:26" ht="24.75" customHeight="1">
      <c r="A526" s="268"/>
      <c r="B526" s="268"/>
      <c r="C526" s="268"/>
      <c r="D526" s="268"/>
      <c r="E526" s="268"/>
      <c r="F526" s="268"/>
      <c r="G526" s="268"/>
      <c r="H526" s="268"/>
      <c r="I526" s="268"/>
      <c r="J526" s="268"/>
      <c r="K526" s="268"/>
      <c r="L526" s="334"/>
      <c r="M526" s="268"/>
      <c r="N526" s="268"/>
      <c r="O526" s="310"/>
      <c r="P526" s="268"/>
      <c r="Q526" s="334"/>
      <c r="R526" s="268"/>
      <c r="S526" s="313"/>
      <c r="T526" s="313"/>
      <c r="U526" s="268"/>
      <c r="V526" s="309"/>
      <c r="W526" s="310"/>
      <c r="X526" s="268"/>
      <c r="Y526" s="268"/>
      <c r="Z526" s="268"/>
    </row>
    <row r="527" spans="1:26" ht="24.75" customHeight="1">
      <c r="A527" s="268"/>
      <c r="B527" s="268"/>
      <c r="C527" s="268"/>
      <c r="D527" s="268"/>
      <c r="E527" s="268"/>
      <c r="F527" s="268"/>
      <c r="G527" s="268"/>
      <c r="H527" s="268"/>
      <c r="I527" s="268"/>
      <c r="J527" s="268"/>
      <c r="K527" s="268"/>
      <c r="L527" s="334"/>
      <c r="M527" s="268"/>
      <c r="N527" s="268"/>
      <c r="O527" s="310"/>
      <c r="P527" s="268"/>
      <c r="Q527" s="334"/>
      <c r="R527" s="268"/>
      <c r="S527" s="313"/>
      <c r="T527" s="313"/>
      <c r="U527" s="268"/>
      <c r="V527" s="309"/>
      <c r="W527" s="310"/>
      <c r="X527" s="268"/>
      <c r="Y527" s="268"/>
      <c r="Z527" s="268"/>
    </row>
    <row r="528" spans="1:26" ht="24.75" customHeight="1">
      <c r="A528" s="268"/>
      <c r="B528" s="268"/>
      <c r="C528" s="268"/>
      <c r="D528" s="268"/>
      <c r="E528" s="268"/>
      <c r="F528" s="268"/>
      <c r="G528" s="268"/>
      <c r="H528" s="268"/>
      <c r="I528" s="268"/>
      <c r="J528" s="268"/>
      <c r="K528" s="268"/>
      <c r="L528" s="334"/>
      <c r="M528" s="268"/>
      <c r="N528" s="268"/>
      <c r="O528" s="310"/>
      <c r="P528" s="268"/>
      <c r="Q528" s="334"/>
      <c r="R528" s="268"/>
      <c r="S528" s="313"/>
      <c r="T528" s="313"/>
      <c r="U528" s="268"/>
      <c r="V528" s="309"/>
      <c r="W528" s="310"/>
      <c r="X528" s="268"/>
      <c r="Y528" s="268"/>
      <c r="Z528" s="268"/>
    </row>
    <row r="529" spans="1:26" ht="24.75" customHeight="1">
      <c r="A529" s="268"/>
      <c r="B529" s="268"/>
      <c r="C529" s="268"/>
      <c r="D529" s="268"/>
      <c r="E529" s="268"/>
      <c r="F529" s="268"/>
      <c r="G529" s="268"/>
      <c r="H529" s="268"/>
      <c r="I529" s="268"/>
      <c r="J529" s="268"/>
      <c r="K529" s="268"/>
      <c r="L529" s="334"/>
      <c r="M529" s="268"/>
      <c r="N529" s="268"/>
      <c r="O529" s="310"/>
      <c r="P529" s="268"/>
      <c r="Q529" s="334"/>
      <c r="R529" s="268"/>
      <c r="S529" s="313"/>
      <c r="T529" s="313"/>
      <c r="U529" s="268"/>
      <c r="V529" s="309"/>
      <c r="W529" s="310"/>
      <c r="X529" s="268"/>
      <c r="Y529" s="268"/>
      <c r="Z529" s="268"/>
    </row>
    <row r="530" spans="1:26" ht="24.75" customHeight="1">
      <c r="A530" s="268"/>
      <c r="B530" s="268"/>
      <c r="C530" s="268"/>
      <c r="D530" s="268"/>
      <c r="E530" s="268"/>
      <c r="F530" s="268"/>
      <c r="G530" s="268"/>
      <c r="H530" s="268"/>
      <c r="I530" s="268"/>
      <c r="J530" s="268"/>
      <c r="K530" s="268"/>
      <c r="L530" s="334"/>
      <c r="M530" s="268"/>
      <c r="N530" s="268"/>
      <c r="O530" s="310"/>
      <c r="P530" s="268"/>
      <c r="Q530" s="334"/>
      <c r="R530" s="268"/>
      <c r="S530" s="313"/>
      <c r="T530" s="313"/>
      <c r="U530" s="268"/>
      <c r="V530" s="309"/>
      <c r="W530" s="310"/>
      <c r="X530" s="268"/>
      <c r="Y530" s="268"/>
      <c r="Z530" s="268"/>
    </row>
    <row r="531" spans="1:26" ht="24.75" customHeight="1">
      <c r="A531" s="268"/>
      <c r="B531" s="268"/>
      <c r="C531" s="268"/>
      <c r="D531" s="268"/>
      <c r="E531" s="268"/>
      <c r="F531" s="268"/>
      <c r="G531" s="268"/>
      <c r="H531" s="268"/>
      <c r="I531" s="268"/>
      <c r="J531" s="268"/>
      <c r="K531" s="268"/>
      <c r="L531" s="334"/>
      <c r="M531" s="268"/>
      <c r="N531" s="268"/>
      <c r="O531" s="310"/>
      <c r="P531" s="268"/>
      <c r="Q531" s="334"/>
      <c r="R531" s="268"/>
      <c r="S531" s="313"/>
      <c r="T531" s="313"/>
      <c r="U531" s="268"/>
      <c r="V531" s="309"/>
      <c r="W531" s="310"/>
      <c r="X531" s="268"/>
      <c r="Y531" s="268"/>
      <c r="Z531" s="268"/>
    </row>
    <row r="532" spans="1:26" ht="24.75" customHeight="1">
      <c r="A532" s="268"/>
      <c r="B532" s="268"/>
      <c r="C532" s="268"/>
      <c r="D532" s="268"/>
      <c r="E532" s="268"/>
      <c r="F532" s="268"/>
      <c r="G532" s="268"/>
      <c r="H532" s="268"/>
      <c r="I532" s="268"/>
      <c r="J532" s="268"/>
      <c r="K532" s="268"/>
      <c r="L532" s="334"/>
      <c r="M532" s="268"/>
      <c r="N532" s="268"/>
      <c r="O532" s="310"/>
      <c r="P532" s="268"/>
      <c r="Q532" s="334"/>
      <c r="R532" s="268"/>
      <c r="S532" s="313"/>
      <c r="T532" s="313"/>
      <c r="U532" s="268"/>
      <c r="V532" s="309"/>
      <c r="W532" s="310"/>
      <c r="X532" s="268"/>
      <c r="Y532" s="268"/>
      <c r="Z532" s="268"/>
    </row>
    <row r="533" spans="1:26" ht="24.75" customHeight="1">
      <c r="A533" s="268"/>
      <c r="B533" s="268"/>
      <c r="C533" s="268"/>
      <c r="D533" s="268"/>
      <c r="E533" s="268"/>
      <c r="F533" s="268"/>
      <c r="G533" s="268"/>
      <c r="H533" s="268"/>
      <c r="I533" s="268"/>
      <c r="J533" s="268"/>
      <c r="K533" s="268"/>
      <c r="L533" s="334"/>
      <c r="M533" s="268"/>
      <c r="N533" s="268"/>
      <c r="O533" s="310"/>
      <c r="P533" s="268"/>
      <c r="Q533" s="334"/>
      <c r="R533" s="268"/>
      <c r="S533" s="313"/>
      <c r="T533" s="313"/>
      <c r="U533" s="268"/>
      <c r="V533" s="309"/>
      <c r="W533" s="310"/>
      <c r="X533" s="268"/>
      <c r="Y533" s="268"/>
      <c r="Z533" s="268"/>
    </row>
    <row r="534" spans="1:26" ht="24.75" customHeight="1">
      <c r="A534" s="268"/>
      <c r="B534" s="268"/>
      <c r="C534" s="268"/>
      <c r="D534" s="268"/>
      <c r="E534" s="268"/>
      <c r="F534" s="268"/>
      <c r="G534" s="268"/>
      <c r="H534" s="268"/>
      <c r="I534" s="268"/>
      <c r="J534" s="268"/>
      <c r="K534" s="268"/>
      <c r="L534" s="334"/>
      <c r="M534" s="268"/>
      <c r="N534" s="268"/>
      <c r="O534" s="310"/>
      <c r="P534" s="268"/>
      <c r="Q534" s="334"/>
      <c r="R534" s="268"/>
      <c r="S534" s="313"/>
      <c r="T534" s="313"/>
      <c r="U534" s="268"/>
      <c r="V534" s="309"/>
      <c r="W534" s="310"/>
      <c r="X534" s="268"/>
      <c r="Y534" s="268"/>
      <c r="Z534" s="268"/>
    </row>
    <row r="535" spans="1:26" ht="24.75" customHeight="1">
      <c r="A535" s="268"/>
      <c r="B535" s="268"/>
      <c r="C535" s="268"/>
      <c r="D535" s="268"/>
      <c r="E535" s="268"/>
      <c r="F535" s="268"/>
      <c r="G535" s="268"/>
      <c r="H535" s="268"/>
      <c r="I535" s="268"/>
      <c r="J535" s="268"/>
      <c r="K535" s="268"/>
      <c r="L535" s="334"/>
      <c r="M535" s="268"/>
      <c r="N535" s="268"/>
      <c r="O535" s="310"/>
      <c r="P535" s="268"/>
      <c r="Q535" s="334"/>
      <c r="R535" s="268"/>
      <c r="S535" s="313"/>
      <c r="T535" s="313"/>
      <c r="U535" s="268"/>
      <c r="V535" s="309"/>
      <c r="W535" s="310"/>
      <c r="X535" s="268"/>
      <c r="Y535" s="268"/>
      <c r="Z535" s="268"/>
    </row>
    <row r="536" spans="1:26" ht="24.75" customHeight="1">
      <c r="A536" s="268"/>
      <c r="B536" s="268"/>
      <c r="C536" s="268"/>
      <c r="D536" s="268"/>
      <c r="E536" s="268"/>
      <c r="F536" s="268"/>
      <c r="G536" s="268"/>
      <c r="H536" s="268"/>
      <c r="I536" s="268"/>
      <c r="J536" s="268"/>
      <c r="K536" s="268"/>
      <c r="L536" s="334"/>
      <c r="M536" s="268"/>
      <c r="N536" s="268"/>
      <c r="O536" s="310"/>
      <c r="P536" s="268"/>
      <c r="Q536" s="334"/>
      <c r="R536" s="268"/>
      <c r="S536" s="313"/>
      <c r="T536" s="313"/>
      <c r="U536" s="268"/>
      <c r="V536" s="309"/>
      <c r="W536" s="310"/>
      <c r="X536" s="268"/>
      <c r="Y536" s="268"/>
      <c r="Z536" s="268"/>
    </row>
    <row r="537" spans="1:26" ht="24.75" customHeight="1">
      <c r="A537" s="268"/>
      <c r="B537" s="268"/>
      <c r="C537" s="268"/>
      <c r="D537" s="268"/>
      <c r="E537" s="268"/>
      <c r="F537" s="268"/>
      <c r="G537" s="268"/>
      <c r="H537" s="268"/>
      <c r="I537" s="268"/>
      <c r="J537" s="268"/>
      <c r="K537" s="268"/>
      <c r="L537" s="334"/>
      <c r="M537" s="268"/>
      <c r="N537" s="268"/>
      <c r="O537" s="310"/>
      <c r="P537" s="268"/>
      <c r="Q537" s="334"/>
      <c r="R537" s="268"/>
      <c r="S537" s="313"/>
      <c r="T537" s="313"/>
      <c r="U537" s="268"/>
      <c r="V537" s="309"/>
      <c r="W537" s="310"/>
      <c r="X537" s="268"/>
      <c r="Y537" s="268"/>
      <c r="Z537" s="268"/>
    </row>
    <row r="538" spans="1:26" ht="24.75" customHeight="1">
      <c r="A538" s="268"/>
      <c r="B538" s="268"/>
      <c r="C538" s="268"/>
      <c r="D538" s="268"/>
      <c r="E538" s="268"/>
      <c r="F538" s="268"/>
      <c r="G538" s="268"/>
      <c r="H538" s="268"/>
      <c r="I538" s="268"/>
      <c r="J538" s="268"/>
      <c r="K538" s="268"/>
      <c r="L538" s="334"/>
      <c r="M538" s="268"/>
      <c r="N538" s="268"/>
      <c r="O538" s="310"/>
      <c r="P538" s="268"/>
      <c r="Q538" s="334"/>
      <c r="R538" s="268"/>
      <c r="S538" s="313"/>
      <c r="T538" s="313"/>
      <c r="U538" s="268"/>
      <c r="V538" s="309"/>
      <c r="W538" s="310"/>
      <c r="X538" s="268"/>
      <c r="Y538" s="268"/>
      <c r="Z538" s="268"/>
    </row>
    <row r="539" spans="1:26" ht="24.75" customHeight="1">
      <c r="A539" s="268"/>
      <c r="B539" s="268"/>
      <c r="C539" s="268"/>
      <c r="D539" s="268"/>
      <c r="E539" s="268"/>
      <c r="F539" s="268"/>
      <c r="G539" s="268"/>
      <c r="H539" s="268"/>
      <c r="I539" s="268"/>
      <c r="J539" s="268"/>
      <c r="K539" s="268"/>
      <c r="L539" s="334"/>
      <c r="M539" s="268"/>
      <c r="N539" s="268"/>
      <c r="O539" s="310"/>
      <c r="P539" s="268"/>
      <c r="Q539" s="334"/>
      <c r="R539" s="268"/>
      <c r="S539" s="313"/>
      <c r="T539" s="313"/>
      <c r="U539" s="268"/>
      <c r="V539" s="309"/>
      <c r="W539" s="310"/>
      <c r="X539" s="268"/>
      <c r="Y539" s="268"/>
      <c r="Z539" s="268"/>
    </row>
    <row r="540" spans="1:26" ht="24.75" customHeight="1">
      <c r="A540" s="268"/>
      <c r="B540" s="268"/>
      <c r="C540" s="268"/>
      <c r="D540" s="268"/>
      <c r="E540" s="268"/>
      <c r="F540" s="268"/>
      <c r="G540" s="268"/>
      <c r="H540" s="268"/>
      <c r="I540" s="268"/>
      <c r="J540" s="268"/>
      <c r="K540" s="268"/>
      <c r="L540" s="334"/>
      <c r="M540" s="268"/>
      <c r="N540" s="268"/>
      <c r="O540" s="310"/>
      <c r="P540" s="268"/>
      <c r="Q540" s="334"/>
      <c r="R540" s="268"/>
      <c r="S540" s="313"/>
      <c r="T540" s="313"/>
      <c r="U540" s="268"/>
      <c r="V540" s="309"/>
      <c r="W540" s="310"/>
      <c r="X540" s="268"/>
      <c r="Y540" s="268"/>
      <c r="Z540" s="268"/>
    </row>
    <row r="541" spans="1:26" ht="24.75" customHeight="1">
      <c r="A541" s="268"/>
      <c r="B541" s="268"/>
      <c r="C541" s="268"/>
      <c r="D541" s="268"/>
      <c r="E541" s="268"/>
      <c r="F541" s="268"/>
      <c r="G541" s="268"/>
      <c r="H541" s="268"/>
      <c r="I541" s="268"/>
      <c r="J541" s="268"/>
      <c r="K541" s="268"/>
      <c r="L541" s="334"/>
      <c r="M541" s="268"/>
      <c r="N541" s="268"/>
      <c r="O541" s="310"/>
      <c r="P541" s="268"/>
      <c r="Q541" s="334"/>
      <c r="R541" s="268"/>
      <c r="S541" s="313"/>
      <c r="T541" s="313"/>
      <c r="U541" s="268"/>
      <c r="V541" s="309"/>
      <c r="W541" s="310"/>
      <c r="X541" s="268"/>
      <c r="Y541" s="268"/>
      <c r="Z541" s="268"/>
    </row>
    <row r="542" spans="1:26" ht="24.75" customHeight="1">
      <c r="A542" s="268"/>
      <c r="B542" s="268"/>
      <c r="C542" s="268"/>
      <c r="D542" s="268"/>
      <c r="E542" s="268"/>
      <c r="F542" s="268"/>
      <c r="G542" s="268"/>
      <c r="H542" s="268"/>
      <c r="I542" s="268"/>
      <c r="J542" s="268"/>
      <c r="K542" s="268"/>
      <c r="L542" s="334"/>
      <c r="M542" s="268"/>
      <c r="N542" s="268"/>
      <c r="O542" s="310"/>
      <c r="P542" s="268"/>
      <c r="Q542" s="334"/>
      <c r="R542" s="268"/>
      <c r="S542" s="313"/>
      <c r="T542" s="313"/>
      <c r="U542" s="268"/>
      <c r="V542" s="309"/>
      <c r="W542" s="310"/>
      <c r="X542" s="268"/>
      <c r="Y542" s="268"/>
      <c r="Z542" s="268"/>
    </row>
    <row r="543" spans="1:26" ht="24.75" customHeight="1">
      <c r="A543" s="268"/>
      <c r="B543" s="268"/>
      <c r="C543" s="268"/>
      <c r="D543" s="268"/>
      <c r="E543" s="268"/>
      <c r="F543" s="268"/>
      <c r="G543" s="268"/>
      <c r="H543" s="268"/>
      <c r="I543" s="268"/>
      <c r="J543" s="268"/>
      <c r="K543" s="268"/>
      <c r="L543" s="334"/>
      <c r="M543" s="268"/>
      <c r="N543" s="268"/>
      <c r="O543" s="310"/>
      <c r="P543" s="268"/>
      <c r="Q543" s="334"/>
      <c r="R543" s="268"/>
      <c r="S543" s="313"/>
      <c r="T543" s="313"/>
      <c r="U543" s="268"/>
      <c r="V543" s="309"/>
      <c r="W543" s="310"/>
      <c r="X543" s="268"/>
      <c r="Y543" s="268"/>
      <c r="Z543" s="268"/>
    </row>
    <row r="544" spans="1:26" ht="24.75" customHeight="1">
      <c r="A544" s="268"/>
      <c r="B544" s="268"/>
      <c r="C544" s="268"/>
      <c r="D544" s="268"/>
      <c r="E544" s="268"/>
      <c r="F544" s="268"/>
      <c r="G544" s="268"/>
      <c r="H544" s="268"/>
      <c r="I544" s="268"/>
      <c r="J544" s="268"/>
      <c r="K544" s="268"/>
      <c r="L544" s="334"/>
      <c r="M544" s="268"/>
      <c r="N544" s="268"/>
      <c r="O544" s="310"/>
      <c r="P544" s="268"/>
      <c r="Q544" s="334"/>
      <c r="R544" s="268"/>
      <c r="S544" s="313"/>
      <c r="T544" s="313"/>
      <c r="U544" s="268"/>
      <c r="V544" s="309"/>
      <c r="W544" s="310"/>
      <c r="X544" s="268"/>
      <c r="Y544" s="268"/>
      <c r="Z544" s="268"/>
    </row>
    <row r="545" spans="1:26" ht="24.75" customHeight="1">
      <c r="A545" s="268"/>
      <c r="B545" s="268"/>
      <c r="C545" s="268"/>
      <c r="D545" s="268"/>
      <c r="E545" s="268"/>
      <c r="F545" s="268"/>
      <c r="G545" s="268"/>
      <c r="H545" s="268"/>
      <c r="I545" s="268"/>
      <c r="J545" s="268"/>
      <c r="K545" s="268"/>
      <c r="L545" s="334"/>
      <c r="M545" s="268"/>
      <c r="N545" s="268"/>
      <c r="O545" s="310"/>
      <c r="P545" s="268"/>
      <c r="Q545" s="334"/>
      <c r="R545" s="268"/>
      <c r="S545" s="313"/>
      <c r="T545" s="313"/>
      <c r="U545" s="268"/>
      <c r="V545" s="309"/>
      <c r="W545" s="310"/>
      <c r="X545" s="268"/>
      <c r="Y545" s="268"/>
      <c r="Z545" s="268"/>
    </row>
    <row r="546" spans="1:26" ht="24.75" customHeight="1">
      <c r="A546" s="268"/>
      <c r="B546" s="268"/>
      <c r="C546" s="268"/>
      <c r="D546" s="268"/>
      <c r="E546" s="268"/>
      <c r="F546" s="268"/>
      <c r="G546" s="268"/>
      <c r="H546" s="268"/>
      <c r="I546" s="268"/>
      <c r="J546" s="268"/>
      <c r="K546" s="268"/>
      <c r="L546" s="334"/>
      <c r="M546" s="268"/>
      <c r="N546" s="268"/>
      <c r="O546" s="310"/>
      <c r="P546" s="268"/>
      <c r="Q546" s="334"/>
      <c r="R546" s="268"/>
      <c r="S546" s="313"/>
      <c r="T546" s="313"/>
      <c r="U546" s="268"/>
      <c r="V546" s="309"/>
      <c r="W546" s="310"/>
      <c r="X546" s="268"/>
      <c r="Y546" s="268"/>
      <c r="Z546" s="268"/>
    </row>
    <row r="547" spans="1:26" ht="24.75" customHeight="1">
      <c r="A547" s="268"/>
      <c r="B547" s="268"/>
      <c r="C547" s="268"/>
      <c r="D547" s="268"/>
      <c r="E547" s="268"/>
      <c r="F547" s="268"/>
      <c r="G547" s="268"/>
      <c r="H547" s="268"/>
      <c r="I547" s="268"/>
      <c r="J547" s="268"/>
      <c r="K547" s="268"/>
      <c r="L547" s="334"/>
      <c r="M547" s="268"/>
      <c r="N547" s="268"/>
      <c r="O547" s="310"/>
      <c r="P547" s="268"/>
      <c r="Q547" s="334"/>
      <c r="R547" s="268"/>
      <c r="S547" s="313"/>
      <c r="T547" s="313"/>
      <c r="U547" s="268"/>
      <c r="V547" s="309"/>
      <c r="W547" s="310"/>
      <c r="X547" s="268"/>
      <c r="Y547" s="268"/>
      <c r="Z547" s="268"/>
    </row>
    <row r="548" spans="1:26" ht="24.75" customHeight="1">
      <c r="A548" s="268"/>
      <c r="B548" s="268"/>
      <c r="C548" s="268"/>
      <c r="D548" s="268"/>
      <c r="E548" s="268"/>
      <c r="F548" s="268"/>
      <c r="G548" s="268"/>
      <c r="H548" s="268"/>
      <c r="I548" s="268"/>
      <c r="J548" s="268"/>
      <c r="K548" s="268"/>
      <c r="L548" s="334"/>
      <c r="M548" s="268"/>
      <c r="N548" s="268"/>
      <c r="O548" s="310"/>
      <c r="P548" s="268"/>
      <c r="Q548" s="334"/>
      <c r="R548" s="268"/>
      <c r="S548" s="313"/>
      <c r="T548" s="313"/>
      <c r="U548" s="268"/>
      <c r="V548" s="309"/>
      <c r="W548" s="310"/>
      <c r="X548" s="268"/>
      <c r="Y548" s="268"/>
      <c r="Z548" s="268"/>
    </row>
    <row r="549" spans="1:26" ht="24.75" customHeight="1">
      <c r="A549" s="268"/>
      <c r="B549" s="268"/>
      <c r="C549" s="268"/>
      <c r="D549" s="268"/>
      <c r="E549" s="268"/>
      <c r="F549" s="268"/>
      <c r="G549" s="268"/>
      <c r="H549" s="268"/>
      <c r="I549" s="268"/>
      <c r="J549" s="268"/>
      <c r="K549" s="268"/>
      <c r="L549" s="334"/>
      <c r="M549" s="268"/>
      <c r="N549" s="268"/>
      <c r="O549" s="310"/>
      <c r="P549" s="268"/>
      <c r="Q549" s="334"/>
      <c r="R549" s="268"/>
      <c r="S549" s="313"/>
      <c r="T549" s="313"/>
      <c r="U549" s="268"/>
      <c r="V549" s="309"/>
      <c r="W549" s="310"/>
      <c r="X549" s="268"/>
      <c r="Y549" s="268"/>
      <c r="Z549" s="268"/>
    </row>
    <row r="550" spans="1:26" ht="24.75" customHeight="1">
      <c r="A550" s="268"/>
      <c r="B550" s="268"/>
      <c r="C550" s="268"/>
      <c r="D550" s="268"/>
      <c r="E550" s="268"/>
      <c r="F550" s="268"/>
      <c r="G550" s="268"/>
      <c r="H550" s="268"/>
      <c r="I550" s="268"/>
      <c r="J550" s="268"/>
      <c r="K550" s="268"/>
      <c r="L550" s="334"/>
      <c r="M550" s="268"/>
      <c r="N550" s="268"/>
      <c r="O550" s="310"/>
      <c r="P550" s="268"/>
      <c r="Q550" s="334"/>
      <c r="R550" s="268"/>
      <c r="S550" s="313"/>
      <c r="T550" s="313"/>
      <c r="U550" s="268"/>
      <c r="V550" s="309"/>
      <c r="W550" s="310"/>
      <c r="X550" s="268"/>
      <c r="Y550" s="268"/>
      <c r="Z550" s="268"/>
    </row>
    <row r="551" spans="1:26" ht="24.75" customHeight="1">
      <c r="A551" s="268"/>
      <c r="B551" s="268"/>
      <c r="C551" s="268"/>
      <c r="D551" s="268"/>
      <c r="E551" s="268"/>
      <c r="F551" s="268"/>
      <c r="G551" s="268"/>
      <c r="H551" s="268"/>
      <c r="I551" s="268"/>
      <c r="J551" s="268"/>
      <c r="K551" s="268"/>
      <c r="L551" s="334"/>
      <c r="M551" s="268"/>
      <c r="N551" s="268"/>
      <c r="O551" s="310"/>
      <c r="P551" s="268"/>
      <c r="Q551" s="334"/>
      <c r="R551" s="268"/>
      <c r="S551" s="313"/>
      <c r="T551" s="313"/>
      <c r="U551" s="268"/>
      <c r="V551" s="309"/>
      <c r="W551" s="310"/>
      <c r="X551" s="268"/>
      <c r="Y551" s="268"/>
      <c r="Z551" s="268"/>
    </row>
    <row r="552" spans="1:26" ht="24.75" customHeight="1">
      <c r="A552" s="268"/>
      <c r="B552" s="268"/>
      <c r="C552" s="268"/>
      <c r="D552" s="268"/>
      <c r="E552" s="268"/>
      <c r="F552" s="268"/>
      <c r="G552" s="268"/>
      <c r="H552" s="268"/>
      <c r="I552" s="268"/>
      <c r="J552" s="268"/>
      <c r="K552" s="268"/>
      <c r="L552" s="334"/>
      <c r="M552" s="268"/>
      <c r="N552" s="268"/>
      <c r="O552" s="310"/>
      <c r="P552" s="268"/>
      <c r="Q552" s="334"/>
      <c r="R552" s="268"/>
      <c r="S552" s="313"/>
      <c r="T552" s="313"/>
      <c r="U552" s="268"/>
      <c r="V552" s="309"/>
      <c r="W552" s="310"/>
      <c r="X552" s="268"/>
      <c r="Y552" s="268"/>
      <c r="Z552" s="268"/>
    </row>
    <row r="553" spans="1:26" ht="24.75" customHeight="1">
      <c r="A553" s="268"/>
      <c r="B553" s="268"/>
      <c r="C553" s="268"/>
      <c r="D553" s="268"/>
      <c r="E553" s="268"/>
      <c r="F553" s="268"/>
      <c r="G553" s="268"/>
      <c r="H553" s="268"/>
      <c r="I553" s="268"/>
      <c r="J553" s="268"/>
      <c r="K553" s="268"/>
      <c r="L553" s="334"/>
      <c r="M553" s="268"/>
      <c r="N553" s="268"/>
      <c r="O553" s="310"/>
      <c r="P553" s="268"/>
      <c r="Q553" s="334"/>
      <c r="R553" s="268"/>
      <c r="S553" s="313"/>
      <c r="T553" s="313"/>
      <c r="U553" s="268"/>
      <c r="V553" s="309"/>
      <c r="W553" s="310"/>
      <c r="X553" s="268"/>
      <c r="Y553" s="268"/>
      <c r="Z553" s="268"/>
    </row>
    <row r="554" spans="1:26" ht="24.75" customHeight="1">
      <c r="A554" s="268"/>
      <c r="B554" s="268"/>
      <c r="C554" s="268"/>
      <c r="D554" s="268"/>
      <c r="E554" s="268"/>
      <c r="F554" s="268"/>
      <c r="G554" s="268"/>
      <c r="H554" s="268"/>
      <c r="I554" s="268"/>
      <c r="J554" s="268"/>
      <c r="K554" s="268"/>
      <c r="L554" s="334"/>
      <c r="M554" s="268"/>
      <c r="N554" s="268"/>
      <c r="O554" s="310"/>
      <c r="P554" s="268"/>
      <c r="Q554" s="334"/>
      <c r="R554" s="268"/>
      <c r="S554" s="313"/>
      <c r="T554" s="313"/>
      <c r="U554" s="268"/>
      <c r="V554" s="309"/>
      <c r="W554" s="310"/>
      <c r="X554" s="268"/>
      <c r="Y554" s="268"/>
      <c r="Z554" s="268"/>
    </row>
    <row r="555" spans="1:26" ht="24.75" customHeight="1">
      <c r="A555" s="268"/>
      <c r="B555" s="268"/>
      <c r="C555" s="268"/>
      <c r="D555" s="268"/>
      <c r="E555" s="268"/>
      <c r="F555" s="268"/>
      <c r="G555" s="268"/>
      <c r="H555" s="268"/>
      <c r="I555" s="268"/>
      <c r="J555" s="268"/>
      <c r="K555" s="268"/>
      <c r="L555" s="334"/>
      <c r="M555" s="268"/>
      <c r="N555" s="268"/>
      <c r="O555" s="310"/>
      <c r="P555" s="268"/>
      <c r="Q555" s="334"/>
      <c r="R555" s="268"/>
      <c r="S555" s="313"/>
      <c r="T555" s="313"/>
      <c r="U555" s="268"/>
      <c r="V555" s="309"/>
      <c r="W555" s="310"/>
      <c r="X555" s="268"/>
      <c r="Y555" s="268"/>
      <c r="Z555" s="268"/>
    </row>
    <row r="556" spans="1:26" ht="24.75" customHeight="1">
      <c r="A556" s="268"/>
      <c r="B556" s="268"/>
      <c r="C556" s="268"/>
      <c r="D556" s="268"/>
      <c r="E556" s="268"/>
      <c r="F556" s="268"/>
      <c r="G556" s="268"/>
      <c r="H556" s="268"/>
      <c r="I556" s="268"/>
      <c r="J556" s="268"/>
      <c r="K556" s="268"/>
      <c r="L556" s="334"/>
      <c r="M556" s="268"/>
      <c r="N556" s="268"/>
      <c r="O556" s="310"/>
      <c r="P556" s="268"/>
      <c r="Q556" s="334"/>
      <c r="R556" s="268"/>
      <c r="S556" s="313"/>
      <c r="T556" s="313"/>
      <c r="U556" s="268"/>
      <c r="V556" s="309"/>
      <c r="W556" s="310"/>
      <c r="X556" s="268"/>
      <c r="Y556" s="268"/>
      <c r="Z556" s="268"/>
    </row>
    <row r="557" spans="1:26" ht="24.75" customHeight="1">
      <c r="A557" s="268"/>
      <c r="B557" s="268"/>
      <c r="C557" s="268"/>
      <c r="D557" s="268"/>
      <c r="E557" s="268"/>
      <c r="F557" s="268"/>
      <c r="G557" s="268"/>
      <c r="H557" s="268"/>
      <c r="I557" s="268"/>
      <c r="J557" s="268"/>
      <c r="K557" s="268"/>
      <c r="L557" s="334"/>
      <c r="M557" s="268"/>
      <c r="N557" s="268"/>
      <c r="O557" s="310"/>
      <c r="P557" s="268"/>
      <c r="Q557" s="334"/>
      <c r="R557" s="268"/>
      <c r="S557" s="313"/>
      <c r="T557" s="313"/>
      <c r="U557" s="268"/>
      <c r="V557" s="309"/>
      <c r="W557" s="310"/>
      <c r="X557" s="268"/>
      <c r="Y557" s="268"/>
      <c r="Z557" s="268"/>
    </row>
    <row r="558" spans="1:26" ht="24.75" customHeight="1">
      <c r="A558" s="268"/>
      <c r="B558" s="268"/>
      <c r="C558" s="268"/>
      <c r="D558" s="268"/>
      <c r="E558" s="268"/>
      <c r="F558" s="268"/>
      <c r="G558" s="268"/>
      <c r="H558" s="268"/>
      <c r="I558" s="268"/>
      <c r="J558" s="268"/>
      <c r="K558" s="268"/>
      <c r="L558" s="334"/>
      <c r="M558" s="268"/>
      <c r="N558" s="268"/>
      <c r="O558" s="310"/>
      <c r="P558" s="268"/>
      <c r="Q558" s="334"/>
      <c r="R558" s="268"/>
      <c r="S558" s="313"/>
      <c r="T558" s="313"/>
      <c r="U558" s="268"/>
      <c r="V558" s="309"/>
      <c r="W558" s="310"/>
      <c r="X558" s="268"/>
      <c r="Y558" s="268"/>
      <c r="Z558" s="268"/>
    </row>
    <row r="559" spans="1:26" ht="24.75" customHeight="1">
      <c r="A559" s="268"/>
      <c r="B559" s="268"/>
      <c r="C559" s="268"/>
      <c r="D559" s="268"/>
      <c r="E559" s="268"/>
      <c r="F559" s="268"/>
      <c r="G559" s="268"/>
      <c r="H559" s="268"/>
      <c r="I559" s="268"/>
      <c r="J559" s="268"/>
      <c r="K559" s="268"/>
      <c r="L559" s="334"/>
      <c r="M559" s="268"/>
      <c r="N559" s="268"/>
      <c r="O559" s="310"/>
      <c r="P559" s="268"/>
      <c r="Q559" s="334"/>
      <c r="R559" s="268"/>
      <c r="S559" s="313"/>
      <c r="T559" s="313"/>
      <c r="U559" s="268"/>
      <c r="V559" s="309"/>
      <c r="W559" s="310"/>
      <c r="X559" s="268"/>
      <c r="Y559" s="268"/>
      <c r="Z559" s="268"/>
    </row>
    <row r="560" spans="1:26" ht="24.75" customHeight="1">
      <c r="A560" s="268"/>
      <c r="B560" s="268"/>
      <c r="C560" s="268"/>
      <c r="D560" s="268"/>
      <c r="E560" s="268"/>
      <c r="F560" s="268"/>
      <c r="G560" s="268"/>
      <c r="H560" s="268"/>
      <c r="I560" s="268"/>
      <c r="J560" s="268"/>
      <c r="K560" s="268"/>
      <c r="L560" s="334"/>
      <c r="M560" s="268"/>
      <c r="N560" s="268"/>
      <c r="O560" s="310"/>
      <c r="P560" s="268"/>
      <c r="Q560" s="334"/>
      <c r="R560" s="268"/>
      <c r="S560" s="313"/>
      <c r="T560" s="313"/>
      <c r="U560" s="268"/>
      <c r="V560" s="309"/>
      <c r="W560" s="310"/>
      <c r="X560" s="268"/>
      <c r="Y560" s="268"/>
      <c r="Z560" s="268"/>
    </row>
    <row r="561" spans="1:26" ht="24.75" customHeight="1">
      <c r="A561" s="268"/>
      <c r="B561" s="268"/>
      <c r="C561" s="268"/>
      <c r="D561" s="268"/>
      <c r="E561" s="268"/>
      <c r="F561" s="268"/>
      <c r="G561" s="268"/>
      <c r="H561" s="268"/>
      <c r="I561" s="268"/>
      <c r="J561" s="268"/>
      <c r="K561" s="268"/>
      <c r="L561" s="334"/>
      <c r="M561" s="268"/>
      <c r="N561" s="268"/>
      <c r="O561" s="310"/>
      <c r="P561" s="268"/>
      <c r="Q561" s="334"/>
      <c r="R561" s="268"/>
      <c r="S561" s="313"/>
      <c r="T561" s="313"/>
      <c r="U561" s="268"/>
      <c r="V561" s="309"/>
      <c r="W561" s="310"/>
      <c r="X561" s="268"/>
      <c r="Y561" s="268"/>
      <c r="Z561" s="268"/>
    </row>
    <row r="562" spans="1:26" ht="24.75" customHeight="1">
      <c r="A562" s="268"/>
      <c r="B562" s="268"/>
      <c r="C562" s="268"/>
      <c r="D562" s="268"/>
      <c r="E562" s="268"/>
      <c r="F562" s="268"/>
      <c r="G562" s="268"/>
      <c r="H562" s="268"/>
      <c r="I562" s="268"/>
      <c r="J562" s="268"/>
      <c r="K562" s="268"/>
      <c r="L562" s="334"/>
      <c r="M562" s="268"/>
      <c r="N562" s="268"/>
      <c r="O562" s="310"/>
      <c r="P562" s="268"/>
      <c r="Q562" s="334"/>
      <c r="R562" s="268"/>
      <c r="S562" s="313"/>
      <c r="T562" s="313"/>
      <c r="U562" s="268"/>
      <c r="V562" s="309"/>
      <c r="W562" s="310"/>
      <c r="X562" s="268"/>
      <c r="Y562" s="268"/>
      <c r="Z562" s="268"/>
    </row>
    <row r="563" spans="1:26" ht="24.75" customHeight="1">
      <c r="A563" s="268"/>
      <c r="B563" s="268"/>
      <c r="C563" s="268"/>
      <c r="D563" s="268"/>
      <c r="E563" s="268"/>
      <c r="F563" s="268"/>
      <c r="G563" s="268"/>
      <c r="H563" s="268"/>
      <c r="I563" s="268"/>
      <c r="J563" s="268"/>
      <c r="K563" s="268"/>
      <c r="L563" s="334"/>
      <c r="M563" s="268"/>
      <c r="N563" s="268"/>
      <c r="O563" s="310"/>
      <c r="P563" s="268"/>
      <c r="Q563" s="334"/>
      <c r="R563" s="268"/>
      <c r="S563" s="313"/>
      <c r="T563" s="313"/>
      <c r="U563" s="268"/>
      <c r="V563" s="309"/>
      <c r="W563" s="310"/>
      <c r="X563" s="268"/>
      <c r="Y563" s="268"/>
      <c r="Z563" s="268"/>
    </row>
    <row r="564" spans="1:26" ht="24.75" customHeight="1">
      <c r="A564" s="268"/>
      <c r="B564" s="268"/>
      <c r="C564" s="268"/>
      <c r="D564" s="268"/>
      <c r="E564" s="268"/>
      <c r="F564" s="268"/>
      <c r="G564" s="268"/>
      <c r="H564" s="268"/>
      <c r="I564" s="268"/>
      <c r="J564" s="268"/>
      <c r="K564" s="268"/>
      <c r="L564" s="334"/>
      <c r="M564" s="268"/>
      <c r="N564" s="268"/>
      <c r="O564" s="310"/>
      <c r="P564" s="268"/>
      <c r="Q564" s="334"/>
      <c r="R564" s="268"/>
      <c r="S564" s="313"/>
      <c r="T564" s="313"/>
      <c r="U564" s="268"/>
      <c r="V564" s="309"/>
      <c r="W564" s="310"/>
      <c r="X564" s="268"/>
      <c r="Y564" s="268"/>
      <c r="Z564" s="268"/>
    </row>
    <row r="565" spans="1:26" ht="24.75" customHeight="1">
      <c r="A565" s="268"/>
      <c r="B565" s="268"/>
      <c r="C565" s="268"/>
      <c r="D565" s="268"/>
      <c r="E565" s="268"/>
      <c r="F565" s="268"/>
      <c r="G565" s="268"/>
      <c r="H565" s="268"/>
      <c r="I565" s="268"/>
      <c r="J565" s="268"/>
      <c r="K565" s="268"/>
      <c r="L565" s="334"/>
      <c r="M565" s="268"/>
      <c r="N565" s="268"/>
      <c r="O565" s="310"/>
      <c r="P565" s="268"/>
      <c r="Q565" s="334"/>
      <c r="R565" s="268"/>
      <c r="S565" s="313"/>
      <c r="T565" s="313"/>
      <c r="U565" s="268"/>
      <c r="V565" s="309"/>
      <c r="W565" s="310"/>
      <c r="X565" s="268"/>
      <c r="Y565" s="268"/>
      <c r="Z565" s="268"/>
    </row>
    <row r="566" spans="1:26" ht="24.75" customHeight="1">
      <c r="A566" s="268"/>
      <c r="B566" s="268"/>
      <c r="C566" s="268"/>
      <c r="D566" s="268"/>
      <c r="E566" s="268"/>
      <c r="F566" s="268"/>
      <c r="G566" s="268"/>
      <c r="H566" s="268"/>
      <c r="I566" s="268"/>
      <c r="J566" s="268"/>
      <c r="K566" s="268"/>
      <c r="L566" s="334"/>
      <c r="M566" s="268"/>
      <c r="N566" s="268"/>
      <c r="O566" s="310"/>
      <c r="P566" s="268"/>
      <c r="Q566" s="334"/>
      <c r="R566" s="268"/>
      <c r="S566" s="313"/>
      <c r="T566" s="313"/>
      <c r="U566" s="268"/>
      <c r="V566" s="309"/>
      <c r="W566" s="310"/>
      <c r="X566" s="268"/>
      <c r="Y566" s="268"/>
      <c r="Z566" s="268"/>
    </row>
    <row r="567" spans="1:26" ht="24.75" customHeight="1">
      <c r="A567" s="268"/>
      <c r="B567" s="268"/>
      <c r="C567" s="268"/>
      <c r="D567" s="268"/>
      <c r="E567" s="268"/>
      <c r="F567" s="268"/>
      <c r="G567" s="268"/>
      <c r="H567" s="268"/>
      <c r="I567" s="268"/>
      <c r="J567" s="268"/>
      <c r="K567" s="268"/>
      <c r="L567" s="334"/>
      <c r="M567" s="268"/>
      <c r="N567" s="268"/>
      <c r="O567" s="310"/>
      <c r="P567" s="268"/>
      <c r="Q567" s="334"/>
      <c r="R567" s="268"/>
      <c r="S567" s="313"/>
      <c r="T567" s="313"/>
      <c r="U567" s="268"/>
      <c r="V567" s="309"/>
      <c r="W567" s="310"/>
      <c r="X567" s="268"/>
      <c r="Y567" s="268"/>
      <c r="Z567" s="268"/>
    </row>
    <row r="568" spans="1:26" ht="24.75" customHeight="1">
      <c r="A568" s="268"/>
      <c r="B568" s="268"/>
      <c r="C568" s="268"/>
      <c r="D568" s="268"/>
      <c r="E568" s="268"/>
      <c r="F568" s="268"/>
      <c r="G568" s="268"/>
      <c r="H568" s="268"/>
      <c r="I568" s="268"/>
      <c r="J568" s="268"/>
      <c r="K568" s="268"/>
      <c r="L568" s="334"/>
      <c r="M568" s="268"/>
      <c r="N568" s="268"/>
      <c r="O568" s="310"/>
      <c r="P568" s="268"/>
      <c r="Q568" s="334"/>
      <c r="R568" s="268"/>
      <c r="S568" s="313"/>
      <c r="T568" s="313"/>
      <c r="U568" s="268"/>
      <c r="V568" s="309"/>
      <c r="W568" s="310"/>
      <c r="X568" s="268"/>
      <c r="Y568" s="268"/>
      <c r="Z568" s="268"/>
    </row>
    <row r="569" spans="1:26" ht="24.75" customHeight="1">
      <c r="A569" s="268"/>
      <c r="B569" s="268"/>
      <c r="C569" s="268"/>
      <c r="D569" s="268"/>
      <c r="E569" s="268"/>
      <c r="F569" s="268"/>
      <c r="G569" s="268"/>
      <c r="H569" s="268"/>
      <c r="I569" s="268"/>
      <c r="J569" s="268"/>
      <c r="K569" s="268"/>
      <c r="L569" s="334"/>
      <c r="M569" s="268"/>
      <c r="N569" s="268"/>
      <c r="O569" s="310"/>
      <c r="P569" s="268"/>
      <c r="Q569" s="334"/>
      <c r="R569" s="268"/>
      <c r="S569" s="313"/>
      <c r="T569" s="313"/>
      <c r="U569" s="268"/>
      <c r="V569" s="309"/>
      <c r="W569" s="310"/>
      <c r="X569" s="268"/>
      <c r="Y569" s="268"/>
      <c r="Z569" s="268"/>
    </row>
    <row r="570" spans="1:26" ht="24.75" customHeight="1">
      <c r="A570" s="268"/>
      <c r="B570" s="268"/>
      <c r="C570" s="268"/>
      <c r="D570" s="268"/>
      <c r="E570" s="268"/>
      <c r="F570" s="268"/>
      <c r="G570" s="268"/>
      <c r="H570" s="268"/>
      <c r="I570" s="268"/>
      <c r="J570" s="268"/>
      <c r="K570" s="268"/>
      <c r="L570" s="334"/>
      <c r="M570" s="268"/>
      <c r="N570" s="268"/>
      <c r="O570" s="310"/>
      <c r="P570" s="268"/>
      <c r="Q570" s="334"/>
      <c r="R570" s="268"/>
      <c r="S570" s="313"/>
      <c r="T570" s="313"/>
      <c r="U570" s="268"/>
      <c r="V570" s="309"/>
      <c r="W570" s="310"/>
      <c r="X570" s="268"/>
      <c r="Y570" s="268"/>
      <c r="Z570" s="268"/>
    </row>
    <row r="571" spans="1:26" ht="24.75" customHeight="1">
      <c r="A571" s="268"/>
      <c r="B571" s="268"/>
      <c r="C571" s="268"/>
      <c r="D571" s="268"/>
      <c r="E571" s="268"/>
      <c r="F571" s="268"/>
      <c r="G571" s="268"/>
      <c r="H571" s="268"/>
      <c r="I571" s="268"/>
      <c r="J571" s="268"/>
      <c r="K571" s="268"/>
      <c r="L571" s="334"/>
      <c r="M571" s="268"/>
      <c r="N571" s="268"/>
      <c r="O571" s="310"/>
      <c r="P571" s="268"/>
      <c r="Q571" s="334"/>
      <c r="R571" s="268"/>
      <c r="S571" s="313"/>
      <c r="T571" s="313"/>
      <c r="U571" s="268"/>
      <c r="V571" s="309"/>
      <c r="W571" s="310"/>
      <c r="X571" s="268"/>
      <c r="Y571" s="268"/>
      <c r="Z571" s="268"/>
    </row>
    <row r="572" spans="1:26" ht="24.75" customHeight="1">
      <c r="A572" s="268"/>
      <c r="B572" s="268"/>
      <c r="C572" s="268"/>
      <c r="D572" s="268"/>
      <c r="E572" s="268"/>
      <c r="F572" s="268"/>
      <c r="G572" s="268"/>
      <c r="H572" s="268"/>
      <c r="I572" s="268"/>
      <c r="J572" s="268"/>
      <c r="K572" s="268"/>
      <c r="L572" s="334"/>
      <c r="M572" s="268"/>
      <c r="N572" s="268"/>
      <c r="O572" s="310"/>
      <c r="P572" s="268"/>
      <c r="Q572" s="334"/>
      <c r="R572" s="268"/>
      <c r="S572" s="313"/>
      <c r="T572" s="313"/>
      <c r="U572" s="268"/>
      <c r="V572" s="309"/>
      <c r="W572" s="310"/>
      <c r="X572" s="268"/>
      <c r="Y572" s="268"/>
      <c r="Z572" s="268"/>
    </row>
    <row r="573" spans="1:26" ht="24.75" customHeight="1">
      <c r="A573" s="268"/>
      <c r="B573" s="268"/>
      <c r="C573" s="268"/>
      <c r="D573" s="268"/>
      <c r="E573" s="268"/>
      <c r="F573" s="268"/>
      <c r="G573" s="268"/>
      <c r="H573" s="268"/>
      <c r="I573" s="268"/>
      <c r="J573" s="268"/>
      <c r="K573" s="268"/>
      <c r="L573" s="334"/>
      <c r="M573" s="268"/>
      <c r="N573" s="268"/>
      <c r="O573" s="310"/>
      <c r="P573" s="268"/>
      <c r="Q573" s="334"/>
      <c r="R573" s="268"/>
      <c r="S573" s="313"/>
      <c r="T573" s="313"/>
      <c r="U573" s="268"/>
      <c r="V573" s="309"/>
      <c r="W573" s="310"/>
      <c r="X573" s="268"/>
      <c r="Y573" s="268"/>
      <c r="Z573" s="268"/>
    </row>
    <row r="574" spans="1:26" ht="24.75" customHeight="1">
      <c r="A574" s="268"/>
      <c r="B574" s="268"/>
      <c r="C574" s="268"/>
      <c r="D574" s="268"/>
      <c r="E574" s="268"/>
      <c r="F574" s="268"/>
      <c r="G574" s="268"/>
      <c r="H574" s="268"/>
      <c r="I574" s="268"/>
      <c r="J574" s="268"/>
      <c r="K574" s="268"/>
      <c r="L574" s="334"/>
      <c r="M574" s="268"/>
      <c r="N574" s="268"/>
      <c r="O574" s="310"/>
      <c r="P574" s="268"/>
      <c r="Q574" s="334"/>
      <c r="R574" s="268"/>
      <c r="S574" s="313"/>
      <c r="T574" s="313"/>
      <c r="U574" s="268"/>
      <c r="V574" s="309"/>
      <c r="W574" s="310"/>
      <c r="X574" s="268"/>
      <c r="Y574" s="268"/>
      <c r="Z574" s="268"/>
    </row>
    <row r="575" spans="1:26" ht="24.75" customHeight="1">
      <c r="A575" s="268"/>
      <c r="B575" s="268"/>
      <c r="C575" s="268"/>
      <c r="D575" s="268"/>
      <c r="E575" s="268"/>
      <c r="F575" s="268"/>
      <c r="G575" s="268"/>
      <c r="H575" s="268"/>
      <c r="I575" s="268"/>
      <c r="J575" s="268"/>
      <c r="K575" s="268"/>
      <c r="L575" s="334"/>
      <c r="M575" s="268"/>
      <c r="N575" s="268"/>
      <c r="O575" s="310"/>
      <c r="P575" s="268"/>
      <c r="Q575" s="334"/>
      <c r="R575" s="268"/>
      <c r="S575" s="313"/>
      <c r="T575" s="313"/>
      <c r="U575" s="268"/>
      <c r="V575" s="309"/>
      <c r="W575" s="310"/>
      <c r="X575" s="268"/>
      <c r="Y575" s="268"/>
      <c r="Z575" s="268"/>
    </row>
    <row r="576" spans="1:26" ht="24.75" customHeight="1">
      <c r="A576" s="268"/>
      <c r="B576" s="268"/>
      <c r="C576" s="268"/>
      <c r="D576" s="268"/>
      <c r="E576" s="268"/>
      <c r="F576" s="268"/>
      <c r="G576" s="268"/>
      <c r="H576" s="268"/>
      <c r="I576" s="268"/>
      <c r="J576" s="268"/>
      <c r="K576" s="268"/>
      <c r="L576" s="334"/>
      <c r="M576" s="268"/>
      <c r="N576" s="268"/>
      <c r="O576" s="310"/>
      <c r="P576" s="268"/>
      <c r="Q576" s="334"/>
      <c r="R576" s="268"/>
      <c r="S576" s="313"/>
      <c r="T576" s="313"/>
      <c r="U576" s="268"/>
      <c r="V576" s="309"/>
      <c r="W576" s="310"/>
      <c r="X576" s="268"/>
      <c r="Y576" s="268"/>
      <c r="Z576" s="268"/>
    </row>
    <row r="577" spans="1:26" ht="24.75" customHeight="1">
      <c r="A577" s="268"/>
      <c r="B577" s="268"/>
      <c r="C577" s="268"/>
      <c r="D577" s="268"/>
      <c r="E577" s="268"/>
      <c r="F577" s="268"/>
      <c r="G577" s="268"/>
      <c r="H577" s="268"/>
      <c r="I577" s="268"/>
      <c r="J577" s="268"/>
      <c r="K577" s="268"/>
      <c r="L577" s="334"/>
      <c r="M577" s="268"/>
      <c r="N577" s="268"/>
      <c r="O577" s="310"/>
      <c r="P577" s="268"/>
      <c r="Q577" s="334"/>
      <c r="R577" s="268"/>
      <c r="S577" s="313"/>
      <c r="T577" s="313"/>
      <c r="U577" s="268"/>
      <c r="V577" s="309"/>
      <c r="W577" s="310"/>
      <c r="X577" s="268"/>
      <c r="Y577" s="268"/>
      <c r="Z577" s="268"/>
    </row>
    <row r="578" spans="1:26" ht="24.75" customHeight="1">
      <c r="A578" s="268"/>
      <c r="B578" s="268"/>
      <c r="C578" s="268"/>
      <c r="D578" s="268"/>
      <c r="E578" s="268"/>
      <c r="F578" s="268"/>
      <c r="G578" s="268"/>
      <c r="H578" s="268"/>
      <c r="I578" s="268"/>
      <c r="J578" s="268"/>
      <c r="K578" s="268"/>
      <c r="L578" s="334"/>
      <c r="M578" s="268"/>
      <c r="N578" s="268"/>
      <c r="O578" s="310"/>
      <c r="P578" s="268"/>
      <c r="Q578" s="334"/>
      <c r="R578" s="268"/>
      <c r="S578" s="313"/>
      <c r="T578" s="313"/>
      <c r="U578" s="268"/>
      <c r="V578" s="309"/>
      <c r="W578" s="310"/>
      <c r="X578" s="268"/>
      <c r="Y578" s="268"/>
      <c r="Z578" s="268"/>
    </row>
    <row r="579" spans="1:26" ht="24.75" customHeight="1">
      <c r="A579" s="268"/>
      <c r="B579" s="268"/>
      <c r="C579" s="268"/>
      <c r="D579" s="268"/>
      <c r="E579" s="268"/>
      <c r="F579" s="268"/>
      <c r="G579" s="268"/>
      <c r="H579" s="268"/>
      <c r="I579" s="268"/>
      <c r="J579" s="268"/>
      <c r="K579" s="268"/>
      <c r="L579" s="334"/>
      <c r="M579" s="268"/>
      <c r="N579" s="268"/>
      <c r="O579" s="310"/>
      <c r="P579" s="268"/>
      <c r="Q579" s="334"/>
      <c r="R579" s="268"/>
      <c r="S579" s="313"/>
      <c r="T579" s="313"/>
      <c r="U579" s="268"/>
      <c r="V579" s="309"/>
      <c r="W579" s="310"/>
      <c r="X579" s="268"/>
      <c r="Y579" s="268"/>
      <c r="Z579" s="268"/>
    </row>
    <row r="580" spans="1:26" ht="24.75" customHeight="1">
      <c r="A580" s="268"/>
      <c r="B580" s="268"/>
      <c r="C580" s="268"/>
      <c r="D580" s="268"/>
      <c r="E580" s="268"/>
      <c r="F580" s="268"/>
      <c r="G580" s="268"/>
      <c r="H580" s="268"/>
      <c r="I580" s="268"/>
      <c r="J580" s="268"/>
      <c r="K580" s="268"/>
      <c r="L580" s="334"/>
      <c r="M580" s="268"/>
      <c r="N580" s="268"/>
      <c r="O580" s="310"/>
      <c r="P580" s="268"/>
      <c r="Q580" s="334"/>
      <c r="R580" s="268"/>
      <c r="S580" s="313"/>
      <c r="T580" s="313"/>
      <c r="U580" s="268"/>
      <c r="V580" s="309"/>
      <c r="W580" s="310"/>
      <c r="X580" s="268"/>
      <c r="Y580" s="268"/>
      <c r="Z580" s="268"/>
    </row>
    <row r="581" spans="1:26" ht="24.75" customHeight="1">
      <c r="A581" s="268"/>
      <c r="B581" s="268"/>
      <c r="C581" s="268"/>
      <c r="D581" s="268"/>
      <c r="E581" s="268"/>
      <c r="F581" s="268"/>
      <c r="G581" s="268"/>
      <c r="H581" s="268"/>
      <c r="I581" s="268"/>
      <c r="J581" s="268"/>
      <c r="K581" s="268"/>
      <c r="L581" s="334"/>
      <c r="M581" s="268"/>
      <c r="N581" s="268"/>
      <c r="O581" s="310"/>
      <c r="P581" s="268"/>
      <c r="Q581" s="334"/>
      <c r="R581" s="268"/>
      <c r="S581" s="313"/>
      <c r="T581" s="313"/>
      <c r="U581" s="268"/>
      <c r="V581" s="309"/>
      <c r="W581" s="310"/>
      <c r="X581" s="268"/>
      <c r="Y581" s="268"/>
      <c r="Z581" s="268"/>
    </row>
    <row r="582" spans="1:26" ht="24.75" customHeight="1">
      <c r="A582" s="268"/>
      <c r="B582" s="268"/>
      <c r="C582" s="268"/>
      <c r="D582" s="268"/>
      <c r="E582" s="268"/>
      <c r="F582" s="268"/>
      <c r="G582" s="268"/>
      <c r="H582" s="268"/>
      <c r="I582" s="268"/>
      <c r="J582" s="268"/>
      <c r="K582" s="268"/>
      <c r="L582" s="334"/>
      <c r="M582" s="268"/>
      <c r="N582" s="268"/>
      <c r="O582" s="310"/>
      <c r="P582" s="268"/>
      <c r="Q582" s="334"/>
      <c r="R582" s="268"/>
      <c r="S582" s="313"/>
      <c r="T582" s="313"/>
      <c r="U582" s="268"/>
      <c r="V582" s="309"/>
      <c r="W582" s="310"/>
      <c r="X582" s="268"/>
      <c r="Y582" s="268"/>
      <c r="Z582" s="268"/>
    </row>
    <row r="583" spans="1:26" ht="24.75" customHeight="1">
      <c r="A583" s="268"/>
      <c r="B583" s="268"/>
      <c r="C583" s="268"/>
      <c r="D583" s="268"/>
      <c r="E583" s="268"/>
      <c r="F583" s="268"/>
      <c r="G583" s="268"/>
      <c r="H583" s="268"/>
      <c r="I583" s="268"/>
      <c r="J583" s="268"/>
      <c r="K583" s="268"/>
      <c r="L583" s="334"/>
      <c r="M583" s="268"/>
      <c r="N583" s="268"/>
      <c r="O583" s="310"/>
      <c r="P583" s="268"/>
      <c r="Q583" s="334"/>
      <c r="R583" s="268"/>
      <c r="S583" s="313"/>
      <c r="T583" s="313"/>
      <c r="U583" s="268"/>
      <c r="V583" s="309"/>
      <c r="W583" s="310"/>
      <c r="X583" s="268"/>
      <c r="Y583" s="268"/>
      <c r="Z583" s="268"/>
    </row>
    <row r="584" spans="1:26" ht="24.75" customHeight="1">
      <c r="A584" s="268"/>
      <c r="B584" s="268"/>
      <c r="C584" s="268"/>
      <c r="D584" s="268"/>
      <c r="E584" s="268"/>
      <c r="F584" s="268"/>
      <c r="G584" s="268"/>
      <c r="H584" s="268"/>
      <c r="I584" s="268"/>
      <c r="J584" s="268"/>
      <c r="K584" s="268"/>
      <c r="L584" s="334"/>
      <c r="M584" s="268"/>
      <c r="N584" s="268"/>
      <c r="O584" s="310"/>
      <c r="P584" s="268"/>
      <c r="Q584" s="334"/>
      <c r="R584" s="268"/>
      <c r="S584" s="313"/>
      <c r="T584" s="313"/>
      <c r="U584" s="268"/>
      <c r="V584" s="309"/>
      <c r="W584" s="310"/>
      <c r="X584" s="268"/>
      <c r="Y584" s="268"/>
      <c r="Z584" s="268"/>
    </row>
    <row r="585" spans="1:26" ht="24.75" customHeight="1">
      <c r="A585" s="268"/>
      <c r="B585" s="268"/>
      <c r="C585" s="268"/>
      <c r="D585" s="268"/>
      <c r="E585" s="268"/>
      <c r="F585" s="268"/>
      <c r="G585" s="268"/>
      <c r="H585" s="268"/>
      <c r="I585" s="268"/>
      <c r="J585" s="268"/>
      <c r="K585" s="268"/>
      <c r="L585" s="334"/>
      <c r="M585" s="268"/>
      <c r="N585" s="268"/>
      <c r="O585" s="310"/>
      <c r="P585" s="268"/>
      <c r="Q585" s="334"/>
      <c r="R585" s="268"/>
      <c r="S585" s="313"/>
      <c r="T585" s="313"/>
      <c r="U585" s="268"/>
      <c r="V585" s="309"/>
      <c r="W585" s="310"/>
      <c r="X585" s="268"/>
      <c r="Y585" s="268"/>
      <c r="Z585" s="268"/>
    </row>
    <row r="586" spans="1:26" ht="24.75" customHeight="1">
      <c r="A586" s="268"/>
      <c r="B586" s="268"/>
      <c r="C586" s="268"/>
      <c r="D586" s="268"/>
      <c r="E586" s="268"/>
      <c r="F586" s="268"/>
      <c r="G586" s="268"/>
      <c r="H586" s="268"/>
      <c r="I586" s="268"/>
      <c r="J586" s="268"/>
      <c r="K586" s="268"/>
      <c r="L586" s="334"/>
      <c r="M586" s="268"/>
      <c r="N586" s="268"/>
      <c r="O586" s="310"/>
      <c r="P586" s="268"/>
      <c r="Q586" s="334"/>
      <c r="R586" s="268"/>
      <c r="S586" s="313"/>
      <c r="T586" s="313"/>
      <c r="U586" s="268"/>
      <c r="V586" s="309"/>
      <c r="W586" s="310"/>
      <c r="X586" s="268"/>
      <c r="Y586" s="268"/>
      <c r="Z586" s="268"/>
    </row>
    <row r="587" spans="1:26" ht="24.75" customHeight="1">
      <c r="A587" s="268"/>
      <c r="B587" s="268"/>
      <c r="C587" s="268"/>
      <c r="D587" s="268"/>
      <c r="E587" s="268"/>
      <c r="F587" s="268"/>
      <c r="G587" s="268"/>
      <c r="H587" s="268"/>
      <c r="I587" s="268"/>
      <c r="J587" s="268"/>
      <c r="K587" s="268"/>
      <c r="L587" s="334"/>
      <c r="M587" s="268"/>
      <c r="N587" s="268"/>
      <c r="O587" s="310"/>
      <c r="P587" s="268"/>
      <c r="Q587" s="334"/>
      <c r="R587" s="268"/>
      <c r="S587" s="313"/>
      <c r="T587" s="313"/>
      <c r="U587" s="268"/>
      <c r="V587" s="309"/>
      <c r="W587" s="310"/>
      <c r="X587" s="268"/>
      <c r="Y587" s="268"/>
      <c r="Z587" s="268"/>
    </row>
    <row r="588" spans="1:26" ht="24.75" customHeight="1">
      <c r="A588" s="268"/>
      <c r="B588" s="268"/>
      <c r="C588" s="268"/>
      <c r="D588" s="268"/>
      <c r="E588" s="268"/>
      <c r="F588" s="268"/>
      <c r="G588" s="268"/>
      <c r="H588" s="268"/>
      <c r="I588" s="268"/>
      <c r="J588" s="268"/>
      <c r="K588" s="268"/>
      <c r="L588" s="334"/>
      <c r="M588" s="268"/>
      <c r="N588" s="268"/>
      <c r="O588" s="310"/>
      <c r="P588" s="268"/>
      <c r="Q588" s="334"/>
      <c r="R588" s="268"/>
      <c r="S588" s="313"/>
      <c r="T588" s="313"/>
      <c r="U588" s="268"/>
      <c r="V588" s="309"/>
      <c r="W588" s="310"/>
      <c r="X588" s="268"/>
      <c r="Y588" s="268"/>
      <c r="Z588" s="268"/>
    </row>
    <row r="589" spans="1:26" ht="24.75" customHeight="1">
      <c r="A589" s="268"/>
      <c r="B589" s="268"/>
      <c r="C589" s="268"/>
      <c r="D589" s="268"/>
      <c r="E589" s="268"/>
      <c r="F589" s="268"/>
      <c r="G589" s="268"/>
      <c r="H589" s="268"/>
      <c r="I589" s="268"/>
      <c r="J589" s="268"/>
      <c r="K589" s="268"/>
      <c r="L589" s="334"/>
      <c r="M589" s="268"/>
      <c r="N589" s="268"/>
      <c r="O589" s="310"/>
      <c r="P589" s="268"/>
      <c r="Q589" s="334"/>
      <c r="R589" s="268"/>
      <c r="S589" s="313"/>
      <c r="T589" s="313"/>
      <c r="U589" s="268"/>
      <c r="V589" s="309"/>
      <c r="W589" s="310"/>
      <c r="X589" s="268"/>
      <c r="Y589" s="268"/>
      <c r="Z589" s="268"/>
    </row>
    <row r="590" spans="1:26" ht="24.75" customHeight="1">
      <c r="A590" s="268"/>
      <c r="B590" s="268"/>
      <c r="C590" s="268"/>
      <c r="D590" s="268"/>
      <c r="E590" s="268"/>
      <c r="F590" s="268"/>
      <c r="G590" s="268"/>
      <c r="H590" s="268"/>
      <c r="I590" s="268"/>
      <c r="J590" s="268"/>
      <c r="K590" s="268"/>
      <c r="L590" s="334"/>
      <c r="M590" s="268"/>
      <c r="N590" s="268"/>
      <c r="O590" s="310"/>
      <c r="P590" s="268"/>
      <c r="Q590" s="334"/>
      <c r="R590" s="268"/>
      <c r="S590" s="313"/>
      <c r="T590" s="313"/>
      <c r="U590" s="268"/>
      <c r="V590" s="309"/>
      <c r="W590" s="310"/>
      <c r="X590" s="268"/>
      <c r="Y590" s="268"/>
      <c r="Z590" s="268"/>
    </row>
    <row r="591" spans="1:26" ht="24.75" customHeight="1">
      <c r="A591" s="268"/>
      <c r="B591" s="268"/>
      <c r="C591" s="268"/>
      <c r="D591" s="268"/>
      <c r="E591" s="268"/>
      <c r="F591" s="268"/>
      <c r="G591" s="268"/>
      <c r="H591" s="268"/>
      <c r="I591" s="268"/>
      <c r="J591" s="268"/>
      <c r="K591" s="268"/>
      <c r="L591" s="334"/>
      <c r="M591" s="268"/>
      <c r="N591" s="268"/>
      <c r="O591" s="310"/>
      <c r="P591" s="268"/>
      <c r="Q591" s="334"/>
      <c r="R591" s="268"/>
      <c r="S591" s="313"/>
      <c r="T591" s="313"/>
      <c r="U591" s="268"/>
      <c r="V591" s="309"/>
      <c r="W591" s="310"/>
      <c r="X591" s="268"/>
      <c r="Y591" s="268"/>
      <c r="Z591" s="268"/>
    </row>
    <row r="592" spans="1:26" ht="24.75" customHeight="1">
      <c r="A592" s="268"/>
      <c r="B592" s="268"/>
      <c r="C592" s="268"/>
      <c r="D592" s="268"/>
      <c r="E592" s="268"/>
      <c r="F592" s="268"/>
      <c r="G592" s="268"/>
      <c r="H592" s="268"/>
      <c r="I592" s="268"/>
      <c r="J592" s="268"/>
      <c r="K592" s="268"/>
      <c r="L592" s="334"/>
      <c r="M592" s="268"/>
      <c r="N592" s="268"/>
      <c r="O592" s="310"/>
      <c r="P592" s="268"/>
      <c r="Q592" s="334"/>
      <c r="R592" s="268"/>
      <c r="S592" s="313"/>
      <c r="T592" s="313"/>
      <c r="U592" s="268"/>
      <c r="V592" s="309"/>
      <c r="W592" s="310"/>
      <c r="X592" s="268"/>
      <c r="Y592" s="268"/>
      <c r="Z592" s="268"/>
    </row>
    <row r="593" spans="1:26" ht="24.75" customHeight="1">
      <c r="A593" s="268"/>
      <c r="B593" s="268"/>
      <c r="C593" s="268"/>
      <c r="D593" s="268"/>
      <c r="E593" s="268"/>
      <c r="F593" s="268"/>
      <c r="G593" s="268"/>
      <c r="H593" s="268"/>
      <c r="I593" s="268"/>
      <c r="J593" s="268"/>
      <c r="K593" s="268"/>
      <c r="L593" s="334"/>
      <c r="M593" s="268"/>
      <c r="N593" s="268"/>
      <c r="O593" s="310"/>
      <c r="P593" s="268"/>
      <c r="Q593" s="334"/>
      <c r="R593" s="268"/>
      <c r="S593" s="313"/>
      <c r="T593" s="313"/>
      <c r="U593" s="268"/>
      <c r="V593" s="309"/>
      <c r="W593" s="310"/>
      <c r="X593" s="268"/>
      <c r="Y593" s="268"/>
      <c r="Z593" s="268"/>
    </row>
    <row r="594" spans="1:26" ht="24.75" customHeight="1">
      <c r="A594" s="268"/>
      <c r="B594" s="268"/>
      <c r="C594" s="268"/>
      <c r="D594" s="268"/>
      <c r="E594" s="268"/>
      <c r="F594" s="268"/>
      <c r="G594" s="268"/>
      <c r="H594" s="268"/>
      <c r="I594" s="268"/>
      <c r="J594" s="268"/>
      <c r="K594" s="268"/>
      <c r="L594" s="334"/>
      <c r="M594" s="268"/>
      <c r="N594" s="268"/>
      <c r="O594" s="310"/>
      <c r="P594" s="268"/>
      <c r="Q594" s="334"/>
      <c r="R594" s="268"/>
      <c r="S594" s="313"/>
      <c r="T594" s="313"/>
      <c r="U594" s="268"/>
      <c r="V594" s="309"/>
      <c r="W594" s="310"/>
      <c r="X594" s="268"/>
      <c r="Y594" s="268"/>
      <c r="Z594" s="268"/>
    </row>
    <row r="595" spans="1:26" ht="24.75" customHeight="1">
      <c r="A595" s="268"/>
      <c r="B595" s="268"/>
      <c r="C595" s="268"/>
      <c r="D595" s="268"/>
      <c r="E595" s="268"/>
      <c r="F595" s="268"/>
      <c r="G595" s="268"/>
      <c r="H595" s="268"/>
      <c r="I595" s="268"/>
      <c r="J595" s="268"/>
      <c r="K595" s="268"/>
      <c r="L595" s="334"/>
      <c r="M595" s="268"/>
      <c r="N595" s="268"/>
      <c r="O595" s="310"/>
      <c r="P595" s="268"/>
      <c r="Q595" s="334"/>
      <c r="R595" s="268"/>
      <c r="S595" s="313"/>
      <c r="T595" s="313"/>
      <c r="U595" s="268"/>
      <c r="V595" s="309"/>
      <c r="W595" s="310"/>
      <c r="X595" s="268"/>
      <c r="Y595" s="268"/>
      <c r="Z595" s="268"/>
    </row>
    <row r="596" spans="1:26" ht="24.75" customHeight="1">
      <c r="A596" s="268"/>
      <c r="B596" s="268"/>
      <c r="C596" s="268"/>
      <c r="D596" s="268"/>
      <c r="E596" s="268"/>
      <c r="F596" s="268"/>
      <c r="G596" s="268"/>
      <c r="H596" s="268"/>
      <c r="I596" s="268"/>
      <c r="J596" s="268"/>
      <c r="K596" s="268"/>
      <c r="L596" s="334"/>
      <c r="M596" s="268"/>
      <c r="N596" s="268"/>
      <c r="O596" s="310"/>
      <c r="P596" s="268"/>
      <c r="Q596" s="334"/>
      <c r="R596" s="268"/>
      <c r="S596" s="313"/>
      <c r="T596" s="313"/>
      <c r="U596" s="268"/>
      <c r="V596" s="309"/>
      <c r="W596" s="310"/>
      <c r="X596" s="268"/>
      <c r="Y596" s="268"/>
      <c r="Z596" s="268"/>
    </row>
    <row r="597" spans="1:26" ht="24.75" customHeight="1">
      <c r="A597" s="268"/>
      <c r="B597" s="268"/>
      <c r="C597" s="268"/>
      <c r="D597" s="268"/>
      <c r="E597" s="268"/>
      <c r="F597" s="268"/>
      <c r="G597" s="268"/>
      <c r="H597" s="268"/>
      <c r="I597" s="268"/>
      <c r="J597" s="268"/>
      <c r="K597" s="268"/>
      <c r="L597" s="334"/>
      <c r="M597" s="268"/>
      <c r="N597" s="268"/>
      <c r="O597" s="310"/>
      <c r="P597" s="268"/>
      <c r="Q597" s="334"/>
      <c r="R597" s="268"/>
      <c r="S597" s="313"/>
      <c r="T597" s="313"/>
      <c r="U597" s="268"/>
      <c r="V597" s="309"/>
      <c r="W597" s="310"/>
      <c r="X597" s="268"/>
      <c r="Y597" s="268"/>
      <c r="Z597" s="268"/>
    </row>
    <row r="598" spans="1:26" ht="24.75" customHeight="1">
      <c r="A598" s="268"/>
      <c r="B598" s="268"/>
      <c r="C598" s="268"/>
      <c r="D598" s="268"/>
      <c r="E598" s="268"/>
      <c r="F598" s="268"/>
      <c r="G598" s="268"/>
      <c r="H598" s="268"/>
      <c r="I598" s="268"/>
      <c r="J598" s="268"/>
      <c r="K598" s="268"/>
      <c r="L598" s="334"/>
      <c r="M598" s="268"/>
      <c r="N598" s="268"/>
      <c r="O598" s="310"/>
      <c r="P598" s="268"/>
      <c r="Q598" s="334"/>
      <c r="R598" s="268"/>
      <c r="S598" s="313"/>
      <c r="T598" s="313"/>
      <c r="U598" s="268"/>
      <c r="V598" s="309"/>
      <c r="W598" s="310"/>
      <c r="X598" s="268"/>
      <c r="Y598" s="268"/>
      <c r="Z598" s="268"/>
    </row>
    <row r="599" spans="1:26" ht="24.75" customHeight="1">
      <c r="A599" s="268"/>
      <c r="B599" s="268"/>
      <c r="C599" s="268"/>
      <c r="D599" s="268"/>
      <c r="E599" s="268"/>
      <c r="F599" s="268"/>
      <c r="G599" s="268"/>
      <c r="H599" s="268"/>
      <c r="I599" s="268"/>
      <c r="J599" s="268"/>
      <c r="K599" s="268"/>
      <c r="L599" s="334"/>
      <c r="M599" s="268"/>
      <c r="N599" s="268"/>
      <c r="O599" s="310"/>
      <c r="P599" s="268"/>
      <c r="Q599" s="334"/>
      <c r="R599" s="268"/>
      <c r="S599" s="313"/>
      <c r="T599" s="313"/>
      <c r="U599" s="268"/>
      <c r="V599" s="309"/>
      <c r="W599" s="310"/>
      <c r="X599" s="268"/>
      <c r="Y599" s="268"/>
      <c r="Z599" s="268"/>
    </row>
    <row r="600" spans="1:26" ht="24.75" customHeight="1">
      <c r="A600" s="268"/>
      <c r="B600" s="268"/>
      <c r="C600" s="268"/>
      <c r="D600" s="268"/>
      <c r="E600" s="268"/>
      <c r="F600" s="268"/>
      <c r="G600" s="268"/>
      <c r="H600" s="268"/>
      <c r="I600" s="268"/>
      <c r="J600" s="268"/>
      <c r="K600" s="268"/>
      <c r="L600" s="334"/>
      <c r="M600" s="268"/>
      <c r="N600" s="268"/>
      <c r="O600" s="310"/>
      <c r="P600" s="268"/>
      <c r="Q600" s="334"/>
      <c r="R600" s="268"/>
      <c r="S600" s="313"/>
      <c r="T600" s="313"/>
      <c r="U600" s="268"/>
      <c r="V600" s="309"/>
      <c r="W600" s="310"/>
      <c r="X600" s="268"/>
      <c r="Y600" s="268"/>
      <c r="Z600" s="268"/>
    </row>
    <row r="601" spans="1:26" ht="24.75" customHeight="1">
      <c r="A601" s="268"/>
      <c r="B601" s="268"/>
      <c r="C601" s="268"/>
      <c r="D601" s="268"/>
      <c r="E601" s="268"/>
      <c r="F601" s="268"/>
      <c r="G601" s="268"/>
      <c r="H601" s="268"/>
      <c r="I601" s="268"/>
      <c r="J601" s="268"/>
      <c r="K601" s="268"/>
      <c r="L601" s="334"/>
      <c r="M601" s="268"/>
      <c r="N601" s="268"/>
      <c r="O601" s="310"/>
      <c r="P601" s="268"/>
      <c r="Q601" s="334"/>
      <c r="R601" s="268"/>
      <c r="S601" s="313"/>
      <c r="T601" s="313"/>
      <c r="U601" s="268"/>
      <c r="V601" s="309"/>
      <c r="W601" s="310"/>
      <c r="X601" s="268"/>
      <c r="Y601" s="268"/>
      <c r="Z601" s="268"/>
    </row>
    <row r="602" spans="1:26" ht="24.75" customHeight="1">
      <c r="A602" s="268"/>
      <c r="B602" s="268"/>
      <c r="C602" s="268"/>
      <c r="D602" s="268"/>
      <c r="E602" s="268"/>
      <c r="F602" s="268"/>
      <c r="G602" s="268"/>
      <c r="H602" s="268"/>
      <c r="I602" s="268"/>
      <c r="J602" s="268"/>
      <c r="K602" s="268"/>
      <c r="L602" s="334"/>
      <c r="M602" s="268"/>
      <c r="N602" s="268"/>
      <c r="O602" s="310"/>
      <c r="P602" s="268"/>
      <c r="Q602" s="334"/>
      <c r="R602" s="268"/>
      <c r="S602" s="313"/>
      <c r="T602" s="313"/>
      <c r="U602" s="268"/>
      <c r="V602" s="309"/>
      <c r="W602" s="310"/>
      <c r="X602" s="268"/>
      <c r="Y602" s="268"/>
      <c r="Z602" s="268"/>
    </row>
    <row r="603" spans="1:26" ht="24.75" customHeight="1">
      <c r="A603" s="268"/>
      <c r="B603" s="268"/>
      <c r="C603" s="268"/>
      <c r="D603" s="268"/>
      <c r="E603" s="268"/>
      <c r="F603" s="268"/>
      <c r="G603" s="268"/>
      <c r="H603" s="268"/>
      <c r="I603" s="268"/>
      <c r="J603" s="268"/>
      <c r="K603" s="268"/>
      <c r="L603" s="334"/>
      <c r="M603" s="268"/>
      <c r="N603" s="268"/>
      <c r="O603" s="310"/>
      <c r="P603" s="268"/>
      <c r="Q603" s="334"/>
      <c r="R603" s="268"/>
      <c r="S603" s="313"/>
      <c r="T603" s="313"/>
      <c r="U603" s="268"/>
      <c r="V603" s="309"/>
      <c r="W603" s="310"/>
      <c r="X603" s="268"/>
      <c r="Y603" s="268"/>
      <c r="Z603" s="268"/>
    </row>
    <row r="604" spans="1:26" ht="24.75" customHeight="1">
      <c r="A604" s="268"/>
      <c r="B604" s="268"/>
      <c r="C604" s="268"/>
      <c r="D604" s="268"/>
      <c r="E604" s="268"/>
      <c r="F604" s="268"/>
      <c r="G604" s="268"/>
      <c r="H604" s="268"/>
      <c r="I604" s="268"/>
      <c r="J604" s="268"/>
      <c r="K604" s="268"/>
      <c r="L604" s="334"/>
      <c r="M604" s="268"/>
      <c r="N604" s="268"/>
      <c r="O604" s="310"/>
      <c r="P604" s="268"/>
      <c r="Q604" s="334"/>
      <c r="R604" s="268"/>
      <c r="S604" s="313"/>
      <c r="T604" s="313"/>
      <c r="U604" s="268"/>
      <c r="V604" s="309"/>
      <c r="W604" s="310"/>
      <c r="X604" s="268"/>
      <c r="Y604" s="268"/>
      <c r="Z604" s="268"/>
    </row>
    <row r="605" spans="1:26" ht="24.75" customHeight="1">
      <c r="A605" s="268"/>
      <c r="B605" s="268"/>
      <c r="C605" s="268"/>
      <c r="D605" s="268"/>
      <c r="E605" s="268"/>
      <c r="F605" s="268"/>
      <c r="G605" s="268"/>
      <c r="H605" s="268"/>
      <c r="I605" s="268"/>
      <c r="J605" s="268"/>
      <c r="K605" s="268"/>
      <c r="L605" s="334"/>
      <c r="M605" s="268"/>
      <c r="N605" s="268"/>
      <c r="O605" s="310"/>
      <c r="P605" s="268"/>
      <c r="Q605" s="334"/>
      <c r="R605" s="268"/>
      <c r="S605" s="313"/>
      <c r="T605" s="313"/>
      <c r="U605" s="268"/>
      <c r="V605" s="309"/>
      <c r="W605" s="310"/>
      <c r="X605" s="268"/>
      <c r="Y605" s="268"/>
      <c r="Z605" s="268"/>
    </row>
    <row r="606" spans="1:26" ht="24.75" customHeight="1">
      <c r="A606" s="268"/>
      <c r="B606" s="268"/>
      <c r="C606" s="268"/>
      <c r="D606" s="268"/>
      <c r="E606" s="268"/>
      <c r="F606" s="268"/>
      <c r="G606" s="268"/>
      <c r="H606" s="268"/>
      <c r="I606" s="268"/>
      <c r="J606" s="268"/>
      <c r="K606" s="268"/>
      <c r="L606" s="334"/>
      <c r="M606" s="268"/>
      <c r="N606" s="268"/>
      <c r="O606" s="310"/>
      <c r="P606" s="268"/>
      <c r="Q606" s="334"/>
      <c r="R606" s="268"/>
      <c r="S606" s="313"/>
      <c r="T606" s="313"/>
      <c r="U606" s="268"/>
      <c r="V606" s="309"/>
      <c r="W606" s="310"/>
      <c r="X606" s="268"/>
      <c r="Y606" s="268"/>
      <c r="Z606" s="268"/>
    </row>
    <row r="607" spans="1:26" ht="24.75" customHeight="1">
      <c r="A607" s="268"/>
      <c r="B607" s="268"/>
      <c r="C607" s="268"/>
      <c r="D607" s="268"/>
      <c r="E607" s="268"/>
      <c r="F607" s="268"/>
      <c r="G607" s="268"/>
      <c r="H607" s="268"/>
      <c r="I607" s="268"/>
      <c r="J607" s="268"/>
      <c r="K607" s="268"/>
      <c r="L607" s="334"/>
      <c r="M607" s="268"/>
      <c r="N607" s="268"/>
      <c r="O607" s="310"/>
      <c r="P607" s="268"/>
      <c r="Q607" s="334"/>
      <c r="R607" s="268"/>
      <c r="S607" s="313"/>
      <c r="T607" s="313"/>
      <c r="U607" s="268"/>
      <c r="V607" s="309"/>
      <c r="W607" s="310"/>
      <c r="X607" s="268"/>
      <c r="Y607" s="268"/>
      <c r="Z607" s="268"/>
    </row>
    <row r="608" spans="1:26" ht="24.75" customHeight="1">
      <c r="A608" s="268"/>
      <c r="B608" s="268"/>
      <c r="C608" s="268"/>
      <c r="D608" s="268"/>
      <c r="E608" s="268"/>
      <c r="F608" s="268"/>
      <c r="G608" s="268"/>
      <c r="H608" s="268"/>
      <c r="I608" s="268"/>
      <c r="J608" s="268"/>
      <c r="K608" s="268"/>
      <c r="L608" s="334"/>
      <c r="M608" s="268"/>
      <c r="N608" s="268"/>
      <c r="O608" s="310"/>
      <c r="P608" s="268"/>
      <c r="Q608" s="334"/>
      <c r="R608" s="268"/>
      <c r="S608" s="313"/>
      <c r="T608" s="313"/>
      <c r="U608" s="268"/>
      <c r="V608" s="309"/>
      <c r="W608" s="310"/>
      <c r="X608" s="268"/>
      <c r="Y608" s="268"/>
      <c r="Z608" s="268"/>
    </row>
    <row r="609" spans="1:26" ht="24.75" customHeight="1">
      <c r="A609" s="268"/>
      <c r="B609" s="268"/>
      <c r="C609" s="268"/>
      <c r="D609" s="268"/>
      <c r="E609" s="268"/>
      <c r="F609" s="268"/>
      <c r="G609" s="268"/>
      <c r="H609" s="268"/>
      <c r="I609" s="268"/>
      <c r="J609" s="268"/>
      <c r="K609" s="268"/>
      <c r="L609" s="334"/>
      <c r="M609" s="268"/>
      <c r="N609" s="268"/>
      <c r="O609" s="310"/>
      <c r="P609" s="268"/>
      <c r="Q609" s="334"/>
      <c r="R609" s="268"/>
      <c r="S609" s="313"/>
      <c r="T609" s="313"/>
      <c r="U609" s="268"/>
      <c r="V609" s="309"/>
      <c r="W609" s="310"/>
      <c r="X609" s="268"/>
      <c r="Y609" s="268"/>
      <c r="Z609" s="268"/>
    </row>
    <row r="610" spans="1:26" ht="24.75" customHeight="1">
      <c r="A610" s="268"/>
      <c r="B610" s="268"/>
      <c r="C610" s="268"/>
      <c r="D610" s="268"/>
      <c r="E610" s="268"/>
      <c r="F610" s="268"/>
      <c r="G610" s="268"/>
      <c r="H610" s="268"/>
      <c r="I610" s="268"/>
      <c r="J610" s="268"/>
      <c r="K610" s="268"/>
      <c r="L610" s="334"/>
      <c r="M610" s="268"/>
      <c r="N610" s="268"/>
      <c r="O610" s="310"/>
      <c r="P610" s="268"/>
      <c r="Q610" s="334"/>
      <c r="R610" s="268"/>
      <c r="S610" s="313"/>
      <c r="T610" s="313"/>
      <c r="U610" s="268"/>
      <c r="V610" s="309"/>
      <c r="W610" s="310"/>
      <c r="X610" s="268"/>
      <c r="Y610" s="268"/>
      <c r="Z610" s="268"/>
    </row>
    <row r="611" spans="1:26" ht="24.75" customHeight="1">
      <c r="A611" s="268"/>
      <c r="B611" s="268"/>
      <c r="C611" s="268"/>
      <c r="D611" s="268"/>
      <c r="E611" s="268"/>
      <c r="F611" s="268"/>
      <c r="G611" s="268"/>
      <c r="H611" s="268"/>
      <c r="I611" s="268"/>
      <c r="J611" s="268"/>
      <c r="K611" s="268"/>
      <c r="L611" s="334"/>
      <c r="M611" s="268"/>
      <c r="N611" s="268"/>
      <c r="O611" s="310"/>
      <c r="P611" s="268"/>
      <c r="Q611" s="334"/>
      <c r="R611" s="268"/>
      <c r="S611" s="313"/>
      <c r="T611" s="313"/>
      <c r="U611" s="268"/>
      <c r="V611" s="309"/>
      <c r="W611" s="310"/>
      <c r="X611" s="268"/>
      <c r="Y611" s="268"/>
      <c r="Z611" s="268"/>
    </row>
    <row r="612" spans="1:26" ht="24.75" customHeight="1">
      <c r="A612" s="268"/>
      <c r="B612" s="268"/>
      <c r="C612" s="268"/>
      <c r="D612" s="268"/>
      <c r="E612" s="268"/>
      <c r="F612" s="268"/>
      <c r="G612" s="268"/>
      <c r="H612" s="268"/>
      <c r="I612" s="268"/>
      <c r="J612" s="268"/>
      <c r="K612" s="268"/>
      <c r="L612" s="334"/>
      <c r="M612" s="268"/>
      <c r="N612" s="268"/>
      <c r="O612" s="310"/>
      <c r="P612" s="268"/>
      <c r="Q612" s="334"/>
      <c r="R612" s="268"/>
      <c r="S612" s="313"/>
      <c r="T612" s="313"/>
      <c r="U612" s="268"/>
      <c r="V612" s="309"/>
      <c r="W612" s="310"/>
      <c r="X612" s="268"/>
      <c r="Y612" s="268"/>
      <c r="Z612" s="268"/>
    </row>
    <row r="613" spans="1:26" ht="24.75" customHeight="1">
      <c r="A613" s="268"/>
      <c r="B613" s="268"/>
      <c r="C613" s="268"/>
      <c r="D613" s="268"/>
      <c r="E613" s="268"/>
      <c r="F613" s="268"/>
      <c r="G613" s="268"/>
      <c r="H613" s="268"/>
      <c r="I613" s="268"/>
      <c r="J613" s="268"/>
      <c r="K613" s="268"/>
      <c r="L613" s="334"/>
      <c r="M613" s="268"/>
      <c r="N613" s="268"/>
      <c r="O613" s="310"/>
      <c r="P613" s="268"/>
      <c r="Q613" s="334"/>
      <c r="R613" s="268"/>
      <c r="S613" s="313"/>
      <c r="T613" s="313"/>
      <c r="U613" s="268"/>
      <c r="V613" s="309"/>
      <c r="W613" s="310"/>
      <c r="X613" s="268"/>
      <c r="Y613" s="268"/>
      <c r="Z613" s="268"/>
    </row>
    <row r="614" spans="1:26" ht="24.75" customHeight="1">
      <c r="A614" s="268"/>
      <c r="B614" s="268"/>
      <c r="C614" s="268"/>
      <c r="D614" s="268"/>
      <c r="E614" s="268"/>
      <c r="F614" s="268"/>
      <c r="G614" s="268"/>
      <c r="H614" s="268"/>
      <c r="I614" s="268"/>
      <c r="J614" s="268"/>
      <c r="K614" s="268"/>
      <c r="L614" s="334"/>
      <c r="M614" s="268"/>
      <c r="N614" s="268"/>
      <c r="O614" s="310"/>
      <c r="P614" s="268"/>
      <c r="Q614" s="334"/>
      <c r="R614" s="268"/>
      <c r="S614" s="313"/>
      <c r="T614" s="313"/>
      <c r="U614" s="268"/>
      <c r="V614" s="309"/>
      <c r="W614" s="310"/>
      <c r="X614" s="268"/>
      <c r="Y614" s="268"/>
      <c r="Z614" s="268"/>
    </row>
    <row r="615" spans="1:26" ht="24.75" customHeight="1">
      <c r="A615" s="268"/>
      <c r="B615" s="268"/>
      <c r="C615" s="268"/>
      <c r="D615" s="268"/>
      <c r="E615" s="268"/>
      <c r="F615" s="268"/>
      <c r="G615" s="268"/>
      <c r="H615" s="268"/>
      <c r="I615" s="268"/>
      <c r="J615" s="268"/>
      <c r="K615" s="268"/>
      <c r="L615" s="334"/>
      <c r="M615" s="268"/>
      <c r="N615" s="268"/>
      <c r="O615" s="310"/>
      <c r="P615" s="268"/>
      <c r="Q615" s="334"/>
      <c r="R615" s="268"/>
      <c r="S615" s="313"/>
      <c r="T615" s="313"/>
      <c r="U615" s="268"/>
      <c r="V615" s="309"/>
      <c r="W615" s="310"/>
      <c r="X615" s="268"/>
      <c r="Y615" s="268"/>
      <c r="Z615" s="268"/>
    </row>
    <row r="616" spans="1:26" ht="24.75" customHeight="1">
      <c r="A616" s="268"/>
      <c r="B616" s="268"/>
      <c r="C616" s="268"/>
      <c r="D616" s="268"/>
      <c r="E616" s="268"/>
      <c r="F616" s="268"/>
      <c r="G616" s="268"/>
      <c r="H616" s="268"/>
      <c r="I616" s="268"/>
      <c r="J616" s="268"/>
      <c r="K616" s="268"/>
      <c r="L616" s="334"/>
      <c r="M616" s="268"/>
      <c r="N616" s="268"/>
      <c r="O616" s="310"/>
      <c r="P616" s="268"/>
      <c r="Q616" s="334"/>
      <c r="R616" s="268"/>
      <c r="S616" s="313"/>
      <c r="T616" s="313"/>
      <c r="U616" s="268"/>
      <c r="V616" s="309"/>
      <c r="W616" s="310"/>
      <c r="X616" s="268"/>
      <c r="Y616" s="268"/>
      <c r="Z616" s="268"/>
    </row>
    <row r="617" spans="1:26" ht="24.75" customHeight="1">
      <c r="A617" s="268"/>
      <c r="B617" s="268"/>
      <c r="C617" s="268"/>
      <c r="D617" s="268"/>
      <c r="E617" s="268"/>
      <c r="F617" s="268"/>
      <c r="G617" s="268"/>
      <c r="H617" s="268"/>
      <c r="I617" s="268"/>
      <c r="J617" s="268"/>
      <c r="K617" s="268"/>
      <c r="L617" s="334"/>
      <c r="M617" s="268"/>
      <c r="N617" s="268"/>
      <c r="O617" s="310"/>
      <c r="P617" s="268"/>
      <c r="Q617" s="334"/>
      <c r="R617" s="268"/>
      <c r="S617" s="313"/>
      <c r="T617" s="313"/>
      <c r="U617" s="268"/>
      <c r="V617" s="309"/>
      <c r="W617" s="310"/>
      <c r="X617" s="268"/>
      <c r="Y617" s="268"/>
      <c r="Z617" s="268"/>
    </row>
    <row r="618" spans="1:26" ht="24.75" customHeight="1">
      <c r="A618" s="268"/>
      <c r="B618" s="268"/>
      <c r="C618" s="268"/>
      <c r="D618" s="268"/>
      <c r="E618" s="268"/>
      <c r="F618" s="268"/>
      <c r="G618" s="268"/>
      <c r="H618" s="268"/>
      <c r="I618" s="268"/>
      <c r="J618" s="268"/>
      <c r="K618" s="268"/>
      <c r="L618" s="334"/>
      <c r="M618" s="268"/>
      <c r="N618" s="268"/>
      <c r="O618" s="310"/>
      <c r="P618" s="268"/>
      <c r="Q618" s="334"/>
      <c r="R618" s="268"/>
      <c r="S618" s="313"/>
      <c r="T618" s="313"/>
      <c r="U618" s="268"/>
      <c r="V618" s="309"/>
      <c r="W618" s="310"/>
      <c r="X618" s="268"/>
      <c r="Y618" s="268"/>
      <c r="Z618" s="268"/>
    </row>
    <row r="619" spans="1:26" ht="24.75" customHeight="1">
      <c r="A619" s="268"/>
      <c r="B619" s="268"/>
      <c r="C619" s="268"/>
      <c r="D619" s="268"/>
      <c r="E619" s="268"/>
      <c r="F619" s="268"/>
      <c r="G619" s="268"/>
      <c r="H619" s="268"/>
      <c r="I619" s="268"/>
      <c r="J619" s="268"/>
      <c r="K619" s="268"/>
      <c r="L619" s="334"/>
      <c r="M619" s="268"/>
      <c r="N619" s="268"/>
      <c r="O619" s="310"/>
      <c r="P619" s="268"/>
      <c r="Q619" s="334"/>
      <c r="R619" s="268"/>
      <c r="S619" s="313"/>
      <c r="T619" s="313"/>
      <c r="U619" s="268"/>
      <c r="V619" s="309"/>
      <c r="W619" s="310"/>
      <c r="X619" s="268"/>
      <c r="Y619" s="268"/>
      <c r="Z619" s="268"/>
    </row>
    <row r="620" spans="1:26" ht="24.75" customHeight="1">
      <c r="A620" s="268"/>
      <c r="B620" s="268"/>
      <c r="C620" s="268"/>
      <c r="D620" s="268"/>
      <c r="E620" s="268"/>
      <c r="F620" s="268"/>
      <c r="G620" s="268"/>
      <c r="H620" s="268"/>
      <c r="I620" s="268"/>
      <c r="J620" s="268"/>
      <c r="K620" s="268"/>
      <c r="L620" s="334"/>
      <c r="M620" s="268"/>
      <c r="N620" s="268"/>
      <c r="O620" s="310"/>
      <c r="P620" s="268"/>
      <c r="Q620" s="334"/>
      <c r="R620" s="268"/>
      <c r="S620" s="313"/>
      <c r="T620" s="313"/>
      <c r="U620" s="268"/>
      <c r="V620" s="309"/>
      <c r="W620" s="310"/>
      <c r="X620" s="268"/>
      <c r="Y620" s="268"/>
      <c r="Z620" s="268"/>
    </row>
    <row r="621" spans="1:26" ht="24.75" customHeight="1">
      <c r="A621" s="268"/>
      <c r="B621" s="268"/>
      <c r="C621" s="268"/>
      <c r="D621" s="268"/>
      <c r="E621" s="268"/>
      <c r="F621" s="268"/>
      <c r="G621" s="268"/>
      <c r="H621" s="268"/>
      <c r="I621" s="268"/>
      <c r="J621" s="268"/>
      <c r="K621" s="268"/>
      <c r="L621" s="334"/>
      <c r="M621" s="268"/>
      <c r="N621" s="268"/>
      <c r="O621" s="310"/>
      <c r="P621" s="268"/>
      <c r="Q621" s="334"/>
      <c r="R621" s="268"/>
      <c r="S621" s="313"/>
      <c r="T621" s="313"/>
      <c r="U621" s="268"/>
      <c r="V621" s="309"/>
      <c r="W621" s="310"/>
      <c r="X621" s="268"/>
      <c r="Y621" s="268"/>
      <c r="Z621" s="268"/>
    </row>
    <row r="622" spans="1:26" ht="24.75" customHeight="1">
      <c r="A622" s="268"/>
      <c r="B622" s="268"/>
      <c r="C622" s="268"/>
      <c r="D622" s="268"/>
      <c r="E622" s="268"/>
      <c r="F622" s="268"/>
      <c r="G622" s="268"/>
      <c r="H622" s="268"/>
      <c r="I622" s="268"/>
      <c r="J622" s="268"/>
      <c r="K622" s="268"/>
      <c r="L622" s="334"/>
      <c r="M622" s="268"/>
      <c r="N622" s="268"/>
      <c r="O622" s="310"/>
      <c r="P622" s="268"/>
      <c r="Q622" s="334"/>
      <c r="R622" s="268"/>
      <c r="S622" s="313"/>
      <c r="T622" s="313"/>
      <c r="U622" s="268"/>
      <c r="V622" s="309"/>
      <c r="W622" s="310"/>
      <c r="X622" s="268"/>
      <c r="Y622" s="268"/>
      <c r="Z622" s="268"/>
    </row>
    <row r="623" spans="1:26" ht="24.75" customHeight="1">
      <c r="A623" s="268"/>
      <c r="B623" s="268"/>
      <c r="C623" s="268"/>
      <c r="D623" s="268"/>
      <c r="E623" s="268"/>
      <c r="F623" s="268"/>
      <c r="G623" s="268"/>
      <c r="H623" s="268"/>
      <c r="I623" s="268"/>
      <c r="J623" s="268"/>
      <c r="K623" s="268"/>
      <c r="L623" s="334"/>
      <c r="M623" s="268"/>
      <c r="N623" s="268"/>
      <c r="O623" s="310"/>
      <c r="P623" s="268"/>
      <c r="Q623" s="334"/>
      <c r="R623" s="268"/>
      <c r="S623" s="313"/>
      <c r="T623" s="313"/>
      <c r="U623" s="268"/>
      <c r="V623" s="309"/>
      <c r="W623" s="310"/>
      <c r="X623" s="268"/>
      <c r="Y623" s="268"/>
      <c r="Z623" s="268"/>
    </row>
    <row r="624" spans="1:26" ht="24.75" customHeight="1">
      <c r="A624" s="268"/>
      <c r="B624" s="268"/>
      <c r="C624" s="268"/>
      <c r="D624" s="268"/>
      <c r="E624" s="268"/>
      <c r="F624" s="268"/>
      <c r="G624" s="268"/>
      <c r="H624" s="268"/>
      <c r="I624" s="268"/>
      <c r="J624" s="268"/>
      <c r="K624" s="268"/>
      <c r="L624" s="334"/>
      <c r="M624" s="268"/>
      <c r="N624" s="268"/>
      <c r="O624" s="310"/>
      <c r="P624" s="268"/>
      <c r="Q624" s="334"/>
      <c r="R624" s="268"/>
      <c r="S624" s="313"/>
      <c r="T624" s="313"/>
      <c r="U624" s="268"/>
      <c r="V624" s="309"/>
      <c r="W624" s="310"/>
      <c r="X624" s="268"/>
      <c r="Y624" s="268"/>
      <c r="Z624" s="268"/>
    </row>
    <row r="625" spans="1:26" ht="24.75" customHeight="1">
      <c r="A625" s="268"/>
      <c r="B625" s="268"/>
      <c r="C625" s="268"/>
      <c r="D625" s="268"/>
      <c r="E625" s="268"/>
      <c r="F625" s="268"/>
      <c r="G625" s="268"/>
      <c r="H625" s="268"/>
      <c r="I625" s="268"/>
      <c r="J625" s="268"/>
      <c r="K625" s="268"/>
      <c r="L625" s="334"/>
      <c r="M625" s="268"/>
      <c r="N625" s="268"/>
      <c r="O625" s="310"/>
      <c r="P625" s="268"/>
      <c r="Q625" s="334"/>
      <c r="R625" s="268"/>
      <c r="S625" s="313"/>
      <c r="T625" s="313"/>
      <c r="U625" s="268"/>
      <c r="V625" s="309"/>
      <c r="W625" s="310"/>
      <c r="X625" s="268"/>
      <c r="Y625" s="268"/>
      <c r="Z625" s="268"/>
    </row>
    <row r="626" spans="1:26" ht="24.75" customHeight="1">
      <c r="A626" s="268"/>
      <c r="B626" s="268"/>
      <c r="C626" s="268"/>
      <c r="D626" s="268"/>
      <c r="E626" s="268"/>
      <c r="F626" s="268"/>
      <c r="G626" s="268"/>
      <c r="H626" s="268"/>
      <c r="I626" s="268"/>
      <c r="J626" s="268"/>
      <c r="K626" s="268"/>
      <c r="L626" s="334"/>
      <c r="M626" s="268"/>
      <c r="N626" s="268"/>
      <c r="O626" s="310"/>
      <c r="P626" s="268"/>
      <c r="Q626" s="334"/>
      <c r="R626" s="268"/>
      <c r="S626" s="313"/>
      <c r="T626" s="313"/>
      <c r="U626" s="268"/>
      <c r="V626" s="309"/>
      <c r="W626" s="310"/>
      <c r="X626" s="268"/>
      <c r="Y626" s="268"/>
      <c r="Z626" s="268"/>
    </row>
    <row r="627" spans="1:26" ht="24.75" customHeight="1">
      <c r="A627" s="268"/>
      <c r="B627" s="268"/>
      <c r="C627" s="268"/>
      <c r="D627" s="268"/>
      <c r="E627" s="268"/>
      <c r="F627" s="268"/>
      <c r="G627" s="268"/>
      <c r="H627" s="268"/>
      <c r="I627" s="268"/>
      <c r="J627" s="268"/>
      <c r="K627" s="268"/>
      <c r="L627" s="334"/>
      <c r="M627" s="268"/>
      <c r="N627" s="268"/>
      <c r="O627" s="310"/>
      <c r="P627" s="268"/>
      <c r="Q627" s="334"/>
      <c r="R627" s="268"/>
      <c r="S627" s="313"/>
      <c r="T627" s="313"/>
      <c r="U627" s="268"/>
      <c r="V627" s="309"/>
      <c r="W627" s="310"/>
      <c r="X627" s="268"/>
      <c r="Y627" s="268"/>
      <c r="Z627" s="268"/>
    </row>
    <row r="628" spans="1:26" ht="24.75" customHeight="1">
      <c r="A628" s="268"/>
      <c r="B628" s="268"/>
      <c r="C628" s="268"/>
      <c r="D628" s="268"/>
      <c r="E628" s="268"/>
      <c r="F628" s="268"/>
      <c r="G628" s="268"/>
      <c r="H628" s="268"/>
      <c r="I628" s="268"/>
      <c r="J628" s="268"/>
      <c r="K628" s="268"/>
      <c r="L628" s="334"/>
      <c r="M628" s="268"/>
      <c r="N628" s="268"/>
      <c r="O628" s="310"/>
      <c r="P628" s="268"/>
      <c r="Q628" s="334"/>
      <c r="R628" s="268"/>
      <c r="S628" s="313"/>
      <c r="T628" s="313"/>
      <c r="U628" s="268"/>
      <c r="V628" s="309"/>
      <c r="W628" s="310"/>
      <c r="X628" s="268"/>
      <c r="Y628" s="268"/>
      <c r="Z628" s="268"/>
    </row>
    <row r="629" spans="1:26" ht="24.75" customHeight="1">
      <c r="A629" s="268"/>
      <c r="B629" s="268"/>
      <c r="C629" s="268"/>
      <c r="D629" s="268"/>
      <c r="E629" s="268"/>
      <c r="F629" s="268"/>
      <c r="G629" s="268"/>
      <c r="H629" s="268"/>
      <c r="I629" s="268"/>
      <c r="J629" s="268"/>
      <c r="K629" s="268"/>
      <c r="L629" s="334"/>
      <c r="M629" s="268"/>
      <c r="N629" s="268"/>
      <c r="O629" s="310"/>
      <c r="P629" s="268"/>
      <c r="Q629" s="334"/>
      <c r="R629" s="268"/>
      <c r="S629" s="313"/>
      <c r="T629" s="313"/>
      <c r="U629" s="268"/>
      <c r="V629" s="309"/>
      <c r="W629" s="310"/>
      <c r="X629" s="268"/>
      <c r="Y629" s="268"/>
      <c r="Z629" s="268"/>
    </row>
    <row r="630" spans="1:26" ht="24.75" customHeight="1">
      <c r="A630" s="268"/>
      <c r="B630" s="268"/>
      <c r="C630" s="268"/>
      <c r="D630" s="268"/>
      <c r="E630" s="268"/>
      <c r="F630" s="268"/>
      <c r="G630" s="268"/>
      <c r="H630" s="268"/>
      <c r="I630" s="268"/>
      <c r="J630" s="268"/>
      <c r="K630" s="268"/>
      <c r="L630" s="334"/>
      <c r="M630" s="268"/>
      <c r="N630" s="268"/>
      <c r="O630" s="310"/>
      <c r="P630" s="268"/>
      <c r="Q630" s="334"/>
      <c r="R630" s="268"/>
      <c r="S630" s="313"/>
      <c r="T630" s="313"/>
      <c r="U630" s="268"/>
      <c r="V630" s="309"/>
      <c r="W630" s="310"/>
      <c r="X630" s="268"/>
      <c r="Y630" s="268"/>
      <c r="Z630" s="268"/>
    </row>
    <row r="631" spans="1:26" ht="24.75" customHeight="1">
      <c r="A631" s="268"/>
      <c r="B631" s="268"/>
      <c r="C631" s="268"/>
      <c r="D631" s="268"/>
      <c r="E631" s="268"/>
      <c r="F631" s="268"/>
      <c r="G631" s="268"/>
      <c r="H631" s="268"/>
      <c r="I631" s="268"/>
      <c r="J631" s="268"/>
      <c r="K631" s="268"/>
      <c r="L631" s="334"/>
      <c r="M631" s="268"/>
      <c r="N631" s="268"/>
      <c r="O631" s="310"/>
      <c r="P631" s="268"/>
      <c r="Q631" s="334"/>
      <c r="R631" s="268"/>
      <c r="S631" s="313"/>
      <c r="T631" s="313"/>
      <c r="U631" s="268"/>
      <c r="V631" s="309"/>
      <c r="W631" s="310"/>
      <c r="X631" s="268"/>
      <c r="Y631" s="268"/>
      <c r="Z631" s="268"/>
    </row>
    <row r="632" spans="1:26" ht="24.75" customHeight="1">
      <c r="A632" s="268"/>
      <c r="B632" s="268"/>
      <c r="C632" s="268"/>
      <c r="D632" s="268"/>
      <c r="E632" s="268"/>
      <c r="F632" s="268"/>
      <c r="G632" s="268"/>
      <c r="H632" s="268"/>
      <c r="I632" s="268"/>
      <c r="J632" s="268"/>
      <c r="K632" s="268"/>
      <c r="L632" s="334"/>
      <c r="M632" s="268"/>
      <c r="N632" s="268"/>
      <c r="O632" s="310"/>
      <c r="P632" s="268"/>
      <c r="Q632" s="334"/>
      <c r="R632" s="268"/>
      <c r="S632" s="313"/>
      <c r="T632" s="313"/>
      <c r="U632" s="268"/>
      <c r="V632" s="309"/>
      <c r="W632" s="310"/>
      <c r="X632" s="268"/>
      <c r="Y632" s="268"/>
      <c r="Z632" s="268"/>
    </row>
    <row r="633" spans="1:26" ht="24.75" customHeight="1">
      <c r="A633" s="268"/>
      <c r="B633" s="268"/>
      <c r="C633" s="268"/>
      <c r="D633" s="268"/>
      <c r="E633" s="268"/>
      <c r="F633" s="268"/>
      <c r="G633" s="268"/>
      <c r="H633" s="268"/>
      <c r="I633" s="268"/>
      <c r="J633" s="268"/>
      <c r="K633" s="268"/>
      <c r="L633" s="334"/>
      <c r="M633" s="268"/>
      <c r="N633" s="268"/>
      <c r="O633" s="310"/>
      <c r="P633" s="268"/>
      <c r="Q633" s="334"/>
      <c r="R633" s="268"/>
      <c r="S633" s="313"/>
      <c r="T633" s="313"/>
      <c r="U633" s="268"/>
      <c r="V633" s="309"/>
      <c r="W633" s="310"/>
      <c r="X633" s="268"/>
      <c r="Y633" s="268"/>
      <c r="Z633" s="268"/>
    </row>
    <row r="634" spans="1:26" ht="24.75" customHeight="1">
      <c r="A634" s="268"/>
      <c r="B634" s="268"/>
      <c r="C634" s="268"/>
      <c r="D634" s="268"/>
      <c r="E634" s="268"/>
      <c r="F634" s="268"/>
      <c r="G634" s="268"/>
      <c r="H634" s="268"/>
      <c r="I634" s="268"/>
      <c r="J634" s="268"/>
      <c r="K634" s="268"/>
      <c r="L634" s="334"/>
      <c r="M634" s="268"/>
      <c r="N634" s="268"/>
      <c r="O634" s="310"/>
      <c r="P634" s="268"/>
      <c r="Q634" s="334"/>
      <c r="R634" s="268"/>
      <c r="S634" s="313"/>
      <c r="T634" s="313"/>
      <c r="U634" s="268"/>
      <c r="V634" s="309"/>
      <c r="W634" s="310"/>
      <c r="X634" s="268"/>
      <c r="Y634" s="268"/>
      <c r="Z634" s="268"/>
    </row>
    <row r="635" spans="1:26" ht="24.75" customHeight="1">
      <c r="A635" s="268"/>
      <c r="B635" s="268"/>
      <c r="C635" s="268"/>
      <c r="D635" s="268"/>
      <c r="E635" s="268"/>
      <c r="F635" s="268"/>
      <c r="G635" s="268"/>
      <c r="H635" s="268"/>
      <c r="I635" s="268"/>
      <c r="J635" s="268"/>
      <c r="K635" s="268"/>
      <c r="L635" s="334"/>
      <c r="M635" s="268"/>
      <c r="N635" s="268"/>
      <c r="O635" s="310"/>
      <c r="P635" s="268"/>
      <c r="Q635" s="334"/>
      <c r="R635" s="268"/>
      <c r="S635" s="313"/>
      <c r="T635" s="313"/>
      <c r="U635" s="268"/>
      <c r="V635" s="309"/>
      <c r="W635" s="310"/>
      <c r="X635" s="268"/>
      <c r="Y635" s="268"/>
      <c r="Z635" s="268"/>
    </row>
    <row r="636" spans="1:26" ht="24.75" customHeight="1">
      <c r="A636" s="268"/>
      <c r="B636" s="268"/>
      <c r="C636" s="268"/>
      <c r="D636" s="268"/>
      <c r="E636" s="268"/>
      <c r="F636" s="268"/>
      <c r="G636" s="268"/>
      <c r="H636" s="268"/>
      <c r="I636" s="268"/>
      <c r="J636" s="268"/>
      <c r="K636" s="268"/>
      <c r="L636" s="334"/>
      <c r="M636" s="268"/>
      <c r="N636" s="268"/>
      <c r="O636" s="310"/>
      <c r="P636" s="268"/>
      <c r="Q636" s="334"/>
      <c r="R636" s="268"/>
      <c r="S636" s="313"/>
      <c r="T636" s="313"/>
      <c r="U636" s="268"/>
      <c r="V636" s="309"/>
      <c r="W636" s="310"/>
      <c r="X636" s="268"/>
      <c r="Y636" s="268"/>
      <c r="Z636" s="268"/>
    </row>
    <row r="637" spans="1:26" ht="24.75" customHeight="1">
      <c r="A637" s="268"/>
      <c r="B637" s="268"/>
      <c r="C637" s="268"/>
      <c r="D637" s="268"/>
      <c r="E637" s="268"/>
      <c r="F637" s="268"/>
      <c r="G637" s="268"/>
      <c r="H637" s="268"/>
      <c r="I637" s="268"/>
      <c r="J637" s="268"/>
      <c r="K637" s="268"/>
      <c r="L637" s="334"/>
      <c r="M637" s="268"/>
      <c r="N637" s="268"/>
      <c r="O637" s="310"/>
      <c r="P637" s="268"/>
      <c r="Q637" s="334"/>
      <c r="R637" s="268"/>
      <c r="S637" s="313"/>
      <c r="T637" s="313"/>
      <c r="U637" s="268"/>
      <c r="V637" s="309"/>
      <c r="W637" s="310"/>
      <c r="X637" s="268"/>
      <c r="Y637" s="268"/>
      <c r="Z637" s="268"/>
    </row>
    <row r="638" spans="1:26" ht="24.75" customHeight="1">
      <c r="A638" s="268"/>
      <c r="B638" s="268"/>
      <c r="C638" s="268"/>
      <c r="D638" s="268"/>
      <c r="E638" s="268"/>
      <c r="F638" s="268"/>
      <c r="G638" s="268"/>
      <c r="H638" s="268"/>
      <c r="I638" s="268"/>
      <c r="J638" s="268"/>
      <c r="K638" s="268"/>
      <c r="L638" s="334"/>
      <c r="M638" s="268"/>
      <c r="N638" s="268"/>
      <c r="O638" s="310"/>
      <c r="P638" s="268"/>
      <c r="Q638" s="334"/>
      <c r="R638" s="268"/>
      <c r="S638" s="313"/>
      <c r="T638" s="313"/>
      <c r="U638" s="268"/>
      <c r="V638" s="309"/>
      <c r="W638" s="310"/>
      <c r="X638" s="268"/>
      <c r="Y638" s="268"/>
      <c r="Z638" s="268"/>
    </row>
    <row r="639" spans="1:26" ht="24.75" customHeight="1">
      <c r="A639" s="268"/>
      <c r="B639" s="268"/>
      <c r="C639" s="268"/>
      <c r="D639" s="268"/>
      <c r="E639" s="268"/>
      <c r="F639" s="268"/>
      <c r="G639" s="268"/>
      <c r="H639" s="268"/>
      <c r="I639" s="268"/>
      <c r="J639" s="268"/>
      <c r="K639" s="268"/>
      <c r="L639" s="334"/>
      <c r="M639" s="268"/>
      <c r="N639" s="268"/>
      <c r="O639" s="310"/>
      <c r="P639" s="268"/>
      <c r="Q639" s="334"/>
      <c r="R639" s="268"/>
      <c r="S639" s="313"/>
      <c r="T639" s="313"/>
      <c r="U639" s="268"/>
      <c r="V639" s="309"/>
      <c r="W639" s="310"/>
      <c r="X639" s="268"/>
      <c r="Y639" s="268"/>
      <c r="Z639" s="268"/>
    </row>
    <row r="640" spans="1:26" ht="24.75" customHeight="1">
      <c r="A640" s="268"/>
      <c r="B640" s="268"/>
      <c r="C640" s="268"/>
      <c r="D640" s="268"/>
      <c r="E640" s="268"/>
      <c r="F640" s="268"/>
      <c r="G640" s="268"/>
      <c r="H640" s="268"/>
      <c r="I640" s="268"/>
      <c r="J640" s="268"/>
      <c r="K640" s="268"/>
      <c r="L640" s="334"/>
      <c r="M640" s="268"/>
      <c r="N640" s="268"/>
      <c r="O640" s="310"/>
      <c r="P640" s="268"/>
      <c r="Q640" s="334"/>
      <c r="R640" s="268"/>
      <c r="S640" s="313"/>
      <c r="T640" s="313"/>
      <c r="U640" s="268"/>
      <c r="V640" s="309"/>
      <c r="W640" s="310"/>
      <c r="X640" s="268"/>
      <c r="Y640" s="268"/>
      <c r="Z640" s="268"/>
    </row>
    <row r="641" spans="1:26" ht="24.75" customHeight="1">
      <c r="A641" s="268"/>
      <c r="B641" s="268"/>
      <c r="C641" s="268"/>
      <c r="D641" s="268"/>
      <c r="E641" s="268"/>
      <c r="F641" s="268"/>
      <c r="G641" s="268"/>
      <c r="H641" s="268"/>
      <c r="I641" s="268"/>
      <c r="J641" s="268"/>
      <c r="K641" s="268"/>
      <c r="L641" s="334"/>
      <c r="M641" s="268"/>
      <c r="N641" s="268"/>
      <c r="O641" s="310"/>
      <c r="P641" s="268"/>
      <c r="Q641" s="334"/>
      <c r="R641" s="268"/>
      <c r="S641" s="313"/>
      <c r="T641" s="313"/>
      <c r="U641" s="268"/>
      <c r="V641" s="309"/>
      <c r="W641" s="310"/>
      <c r="X641" s="268"/>
      <c r="Y641" s="268"/>
      <c r="Z641" s="268"/>
    </row>
    <row r="642" spans="1:26" ht="24.75" customHeight="1">
      <c r="A642" s="268"/>
      <c r="B642" s="268"/>
      <c r="C642" s="268"/>
      <c r="D642" s="268"/>
      <c r="E642" s="268"/>
      <c r="F642" s="268"/>
      <c r="G642" s="268"/>
      <c r="H642" s="268"/>
      <c r="I642" s="268"/>
      <c r="J642" s="268"/>
      <c r="K642" s="268"/>
      <c r="L642" s="334"/>
      <c r="M642" s="268"/>
      <c r="N642" s="268"/>
      <c r="O642" s="310"/>
      <c r="P642" s="268"/>
      <c r="Q642" s="334"/>
      <c r="R642" s="268"/>
      <c r="S642" s="313"/>
      <c r="T642" s="313"/>
      <c r="U642" s="268"/>
      <c r="V642" s="309"/>
      <c r="W642" s="310"/>
      <c r="X642" s="268"/>
      <c r="Y642" s="268"/>
      <c r="Z642" s="268"/>
    </row>
    <row r="643" spans="1:26" ht="24.75" customHeight="1">
      <c r="A643" s="268"/>
      <c r="B643" s="268"/>
      <c r="C643" s="268"/>
      <c r="D643" s="268"/>
      <c r="E643" s="268"/>
      <c r="F643" s="268"/>
      <c r="G643" s="268"/>
      <c r="H643" s="268"/>
      <c r="I643" s="268"/>
      <c r="J643" s="268"/>
      <c r="K643" s="268"/>
      <c r="L643" s="334"/>
      <c r="M643" s="268"/>
      <c r="N643" s="268"/>
      <c r="O643" s="310"/>
      <c r="P643" s="268"/>
      <c r="Q643" s="334"/>
      <c r="R643" s="268"/>
      <c r="S643" s="313"/>
      <c r="T643" s="313"/>
      <c r="U643" s="268"/>
      <c r="V643" s="309"/>
      <c r="W643" s="310"/>
      <c r="X643" s="268"/>
      <c r="Y643" s="268"/>
      <c r="Z643" s="268"/>
    </row>
    <row r="644" spans="1:26" ht="24.75" customHeight="1">
      <c r="A644" s="268"/>
      <c r="B644" s="268"/>
      <c r="C644" s="268"/>
      <c r="D644" s="268"/>
      <c r="E644" s="268"/>
      <c r="F644" s="268"/>
      <c r="G644" s="268"/>
      <c r="H644" s="268"/>
      <c r="I644" s="268"/>
      <c r="J644" s="268"/>
      <c r="K644" s="268"/>
      <c r="L644" s="334"/>
      <c r="M644" s="268"/>
      <c r="N644" s="268"/>
      <c r="O644" s="310"/>
      <c r="P644" s="268"/>
      <c r="Q644" s="334"/>
      <c r="R644" s="268"/>
      <c r="S644" s="313"/>
      <c r="T644" s="313"/>
      <c r="U644" s="268"/>
      <c r="V644" s="309"/>
      <c r="W644" s="310"/>
      <c r="X644" s="268"/>
      <c r="Y644" s="268"/>
      <c r="Z644" s="268"/>
    </row>
    <row r="645" spans="1:26" ht="24.75" customHeight="1">
      <c r="A645" s="268"/>
      <c r="B645" s="268"/>
      <c r="C645" s="268"/>
      <c r="D645" s="268"/>
      <c r="E645" s="268"/>
      <c r="F645" s="268"/>
      <c r="G645" s="268"/>
      <c r="H645" s="268"/>
      <c r="I645" s="268"/>
      <c r="J645" s="268"/>
      <c r="K645" s="268"/>
      <c r="L645" s="334"/>
      <c r="M645" s="268"/>
      <c r="N645" s="268"/>
      <c r="O645" s="310"/>
      <c r="P645" s="268"/>
      <c r="Q645" s="334"/>
      <c r="R645" s="268"/>
      <c r="S645" s="313"/>
      <c r="T645" s="313"/>
      <c r="U645" s="268"/>
      <c r="V645" s="309"/>
      <c r="W645" s="310"/>
      <c r="X645" s="268"/>
      <c r="Y645" s="268"/>
      <c r="Z645" s="268"/>
    </row>
    <row r="646" spans="1:26" ht="24.75" customHeight="1">
      <c r="A646" s="268"/>
      <c r="B646" s="268"/>
      <c r="C646" s="268"/>
      <c r="D646" s="268"/>
      <c r="E646" s="268"/>
      <c r="F646" s="268"/>
      <c r="G646" s="268"/>
      <c r="H646" s="268"/>
      <c r="I646" s="268"/>
      <c r="J646" s="268"/>
      <c r="K646" s="268"/>
      <c r="L646" s="334"/>
      <c r="M646" s="268"/>
      <c r="N646" s="268"/>
      <c r="O646" s="310"/>
      <c r="P646" s="268"/>
      <c r="Q646" s="334"/>
      <c r="R646" s="268"/>
      <c r="S646" s="313"/>
      <c r="T646" s="313"/>
      <c r="U646" s="268"/>
      <c r="V646" s="309"/>
      <c r="W646" s="310"/>
      <c r="X646" s="268"/>
      <c r="Y646" s="268"/>
      <c r="Z646" s="268"/>
    </row>
    <row r="647" spans="1:26" ht="24.75" customHeight="1">
      <c r="A647" s="268"/>
      <c r="B647" s="268"/>
      <c r="C647" s="268"/>
      <c r="D647" s="268"/>
      <c r="E647" s="268"/>
      <c r="F647" s="268"/>
      <c r="G647" s="268"/>
      <c r="H647" s="268"/>
      <c r="I647" s="268"/>
      <c r="J647" s="268"/>
      <c r="K647" s="268"/>
      <c r="L647" s="334"/>
      <c r="M647" s="268"/>
      <c r="N647" s="268"/>
      <c r="O647" s="310"/>
      <c r="P647" s="268"/>
      <c r="Q647" s="334"/>
      <c r="R647" s="268"/>
      <c r="S647" s="313"/>
      <c r="T647" s="313"/>
      <c r="U647" s="268"/>
      <c r="V647" s="309"/>
      <c r="W647" s="310"/>
      <c r="X647" s="268"/>
      <c r="Y647" s="268"/>
      <c r="Z647" s="268"/>
    </row>
    <row r="648" spans="1:26" ht="24.75" customHeight="1">
      <c r="A648" s="268"/>
      <c r="B648" s="268"/>
      <c r="C648" s="268"/>
      <c r="D648" s="268"/>
      <c r="E648" s="268"/>
      <c r="F648" s="268"/>
      <c r="G648" s="268"/>
      <c r="H648" s="268"/>
      <c r="I648" s="268"/>
      <c r="J648" s="268"/>
      <c r="K648" s="268"/>
      <c r="L648" s="334"/>
      <c r="M648" s="268"/>
      <c r="N648" s="268"/>
      <c r="O648" s="310"/>
      <c r="P648" s="268"/>
      <c r="Q648" s="334"/>
      <c r="R648" s="268"/>
      <c r="S648" s="313"/>
      <c r="T648" s="313"/>
      <c r="U648" s="268"/>
      <c r="V648" s="309"/>
      <c r="W648" s="310"/>
      <c r="X648" s="268"/>
      <c r="Y648" s="268"/>
      <c r="Z648" s="268"/>
    </row>
    <row r="649" spans="1:26" ht="24.75" customHeight="1">
      <c r="A649" s="268"/>
      <c r="B649" s="268"/>
      <c r="C649" s="268"/>
      <c r="D649" s="268"/>
      <c r="E649" s="268"/>
      <c r="F649" s="268"/>
      <c r="G649" s="268"/>
      <c r="H649" s="268"/>
      <c r="I649" s="268"/>
      <c r="J649" s="268"/>
      <c r="K649" s="268"/>
      <c r="L649" s="334"/>
      <c r="M649" s="268"/>
      <c r="N649" s="268"/>
      <c r="O649" s="310"/>
      <c r="P649" s="268"/>
      <c r="Q649" s="334"/>
      <c r="R649" s="268"/>
      <c r="S649" s="313"/>
      <c r="T649" s="313"/>
      <c r="U649" s="268"/>
      <c r="V649" s="309"/>
      <c r="W649" s="310"/>
      <c r="X649" s="268"/>
      <c r="Y649" s="268"/>
      <c r="Z649" s="268"/>
    </row>
    <row r="650" spans="1:26" ht="24.75" customHeight="1">
      <c r="A650" s="268"/>
      <c r="B650" s="268"/>
      <c r="C650" s="268"/>
      <c r="D650" s="268"/>
      <c r="E650" s="268"/>
      <c r="F650" s="268"/>
      <c r="G650" s="268"/>
      <c r="H650" s="268"/>
      <c r="I650" s="268"/>
      <c r="J650" s="268"/>
      <c r="K650" s="268"/>
      <c r="L650" s="334"/>
      <c r="M650" s="268"/>
      <c r="N650" s="268"/>
      <c r="O650" s="310"/>
      <c r="P650" s="268"/>
      <c r="Q650" s="334"/>
      <c r="R650" s="268"/>
      <c r="S650" s="313"/>
      <c r="T650" s="313"/>
      <c r="U650" s="268"/>
      <c r="V650" s="309"/>
      <c r="W650" s="310"/>
      <c r="X650" s="268"/>
      <c r="Y650" s="268"/>
      <c r="Z650" s="268"/>
    </row>
    <row r="651" spans="1:26" ht="24.75" customHeight="1">
      <c r="A651" s="268"/>
      <c r="B651" s="268"/>
      <c r="C651" s="268"/>
      <c r="D651" s="268"/>
      <c r="E651" s="268"/>
      <c r="F651" s="268"/>
      <c r="G651" s="268"/>
      <c r="H651" s="268"/>
      <c r="I651" s="268"/>
      <c r="J651" s="268"/>
      <c r="K651" s="268"/>
      <c r="L651" s="334"/>
      <c r="M651" s="268"/>
      <c r="N651" s="268"/>
      <c r="O651" s="310"/>
      <c r="P651" s="268"/>
      <c r="Q651" s="334"/>
      <c r="R651" s="268"/>
      <c r="S651" s="313"/>
      <c r="T651" s="313"/>
      <c r="U651" s="268"/>
      <c r="V651" s="309"/>
      <c r="W651" s="310"/>
      <c r="X651" s="268"/>
      <c r="Y651" s="268"/>
      <c r="Z651" s="268"/>
    </row>
    <row r="652" spans="1:26" ht="24.75" customHeight="1">
      <c r="A652" s="268"/>
      <c r="B652" s="268"/>
      <c r="C652" s="268"/>
      <c r="D652" s="268"/>
      <c r="E652" s="268"/>
      <c r="F652" s="268"/>
      <c r="G652" s="268"/>
      <c r="H652" s="268"/>
      <c r="I652" s="268"/>
      <c r="J652" s="268"/>
      <c r="K652" s="268"/>
      <c r="L652" s="334"/>
      <c r="M652" s="268"/>
      <c r="N652" s="268"/>
      <c r="O652" s="310"/>
      <c r="P652" s="268"/>
      <c r="Q652" s="334"/>
      <c r="R652" s="268"/>
      <c r="S652" s="313"/>
      <c r="T652" s="313"/>
      <c r="U652" s="268"/>
      <c r="V652" s="309"/>
      <c r="W652" s="310"/>
      <c r="X652" s="268"/>
      <c r="Y652" s="268"/>
      <c r="Z652" s="268"/>
    </row>
    <row r="653" spans="1:26" ht="24.75" customHeight="1">
      <c r="A653" s="268"/>
      <c r="B653" s="268"/>
      <c r="C653" s="268"/>
      <c r="D653" s="268"/>
      <c r="E653" s="268"/>
      <c r="F653" s="268"/>
      <c r="G653" s="268"/>
      <c r="H653" s="268"/>
      <c r="I653" s="268"/>
      <c r="J653" s="268"/>
      <c r="K653" s="268"/>
      <c r="L653" s="334"/>
      <c r="M653" s="268"/>
      <c r="N653" s="268"/>
      <c r="O653" s="310"/>
      <c r="P653" s="268"/>
      <c r="Q653" s="334"/>
      <c r="R653" s="268"/>
      <c r="S653" s="313"/>
      <c r="T653" s="313"/>
      <c r="U653" s="268"/>
      <c r="V653" s="309"/>
      <c r="W653" s="310"/>
      <c r="X653" s="268"/>
      <c r="Y653" s="268"/>
      <c r="Z653" s="268"/>
    </row>
    <row r="654" spans="1:26" ht="24.75" customHeight="1">
      <c r="A654" s="268"/>
      <c r="B654" s="268"/>
      <c r="C654" s="268"/>
      <c r="D654" s="268"/>
      <c r="E654" s="268"/>
      <c r="F654" s="268"/>
      <c r="G654" s="268"/>
      <c r="H654" s="268"/>
      <c r="I654" s="268"/>
      <c r="J654" s="268"/>
      <c r="K654" s="268"/>
      <c r="L654" s="334"/>
      <c r="M654" s="268"/>
      <c r="N654" s="268"/>
      <c r="O654" s="310"/>
      <c r="P654" s="268"/>
      <c r="Q654" s="334"/>
      <c r="R654" s="268"/>
      <c r="S654" s="313"/>
      <c r="T654" s="313"/>
      <c r="U654" s="268"/>
      <c r="V654" s="309"/>
      <c r="W654" s="310"/>
      <c r="X654" s="268"/>
      <c r="Y654" s="268"/>
      <c r="Z654" s="268"/>
    </row>
    <row r="655" spans="1:26" ht="24.75" customHeight="1">
      <c r="A655" s="268"/>
      <c r="B655" s="268"/>
      <c r="C655" s="268"/>
      <c r="D655" s="268"/>
      <c r="E655" s="268"/>
      <c r="F655" s="268"/>
      <c r="G655" s="268"/>
      <c r="H655" s="268"/>
      <c r="I655" s="268"/>
      <c r="J655" s="268"/>
      <c r="K655" s="268"/>
      <c r="L655" s="334"/>
      <c r="M655" s="268"/>
      <c r="N655" s="268"/>
      <c r="O655" s="310"/>
      <c r="P655" s="268"/>
      <c r="Q655" s="334"/>
      <c r="R655" s="268"/>
      <c r="S655" s="313"/>
      <c r="T655" s="313"/>
      <c r="U655" s="268"/>
      <c r="V655" s="309"/>
      <c r="W655" s="310"/>
      <c r="X655" s="268"/>
      <c r="Y655" s="268"/>
      <c r="Z655" s="268"/>
    </row>
    <row r="656" spans="1:26" ht="24.75" customHeight="1">
      <c r="A656" s="268"/>
      <c r="B656" s="268"/>
      <c r="C656" s="268"/>
      <c r="D656" s="268"/>
      <c r="E656" s="268"/>
      <c r="F656" s="268"/>
      <c r="G656" s="268"/>
      <c r="H656" s="268"/>
      <c r="I656" s="268"/>
      <c r="J656" s="268"/>
      <c r="K656" s="268"/>
      <c r="L656" s="334"/>
      <c r="M656" s="268"/>
      <c r="N656" s="268"/>
      <c r="O656" s="310"/>
      <c r="P656" s="268"/>
      <c r="Q656" s="334"/>
      <c r="R656" s="268"/>
      <c r="S656" s="313"/>
      <c r="T656" s="313"/>
      <c r="U656" s="268"/>
      <c r="V656" s="309"/>
      <c r="W656" s="310"/>
      <c r="X656" s="268"/>
      <c r="Y656" s="268"/>
      <c r="Z656" s="268"/>
    </row>
    <row r="657" spans="1:26" ht="24.75" customHeight="1">
      <c r="A657" s="268"/>
      <c r="B657" s="268"/>
      <c r="C657" s="268"/>
      <c r="D657" s="268"/>
      <c r="E657" s="268"/>
      <c r="F657" s="268"/>
      <c r="G657" s="268"/>
      <c r="H657" s="268"/>
      <c r="I657" s="268"/>
      <c r="J657" s="268"/>
      <c r="K657" s="268"/>
      <c r="L657" s="334"/>
      <c r="M657" s="268"/>
      <c r="N657" s="268"/>
      <c r="O657" s="310"/>
      <c r="P657" s="268"/>
      <c r="Q657" s="334"/>
      <c r="R657" s="268"/>
      <c r="S657" s="313"/>
      <c r="T657" s="313"/>
      <c r="U657" s="268"/>
      <c r="V657" s="309"/>
      <c r="W657" s="310"/>
      <c r="X657" s="268"/>
      <c r="Y657" s="268"/>
      <c r="Z657" s="268"/>
    </row>
    <row r="658" spans="1:26" ht="24.75" customHeight="1">
      <c r="A658" s="268"/>
      <c r="B658" s="268"/>
      <c r="C658" s="268"/>
      <c r="D658" s="268"/>
      <c r="E658" s="268"/>
      <c r="F658" s="268"/>
      <c r="G658" s="268"/>
      <c r="H658" s="268"/>
      <c r="I658" s="268"/>
      <c r="J658" s="268"/>
      <c r="K658" s="268"/>
      <c r="L658" s="334"/>
      <c r="M658" s="268"/>
      <c r="N658" s="268"/>
      <c r="O658" s="310"/>
      <c r="P658" s="268"/>
      <c r="Q658" s="334"/>
      <c r="R658" s="268"/>
      <c r="S658" s="313"/>
      <c r="T658" s="313"/>
      <c r="U658" s="268"/>
      <c r="V658" s="309"/>
      <c r="W658" s="310"/>
      <c r="X658" s="268"/>
      <c r="Y658" s="268"/>
      <c r="Z658" s="268"/>
    </row>
    <row r="659" spans="1:26" ht="24.75" customHeight="1">
      <c r="A659" s="268"/>
      <c r="B659" s="268"/>
      <c r="C659" s="268"/>
      <c r="D659" s="268"/>
      <c r="E659" s="268"/>
      <c r="F659" s="268"/>
      <c r="G659" s="268"/>
      <c r="H659" s="268"/>
      <c r="I659" s="268"/>
      <c r="J659" s="268"/>
      <c r="K659" s="268"/>
      <c r="L659" s="334"/>
      <c r="M659" s="268"/>
      <c r="N659" s="268"/>
      <c r="O659" s="310"/>
      <c r="P659" s="268"/>
      <c r="Q659" s="334"/>
      <c r="R659" s="268"/>
      <c r="S659" s="313"/>
      <c r="T659" s="313"/>
      <c r="U659" s="268"/>
      <c r="V659" s="309"/>
      <c r="W659" s="310"/>
      <c r="X659" s="268"/>
      <c r="Y659" s="268"/>
      <c r="Z659" s="268"/>
    </row>
    <row r="660" spans="1:26" ht="24.75" customHeight="1">
      <c r="A660" s="268"/>
      <c r="B660" s="268"/>
      <c r="C660" s="268"/>
      <c r="D660" s="268"/>
      <c r="E660" s="268"/>
      <c r="F660" s="268"/>
      <c r="G660" s="268"/>
      <c r="H660" s="268"/>
      <c r="I660" s="268"/>
      <c r="J660" s="268"/>
      <c r="K660" s="268"/>
      <c r="L660" s="334"/>
      <c r="M660" s="268"/>
      <c r="N660" s="268"/>
      <c r="O660" s="310"/>
      <c r="P660" s="268"/>
      <c r="Q660" s="334"/>
      <c r="R660" s="268"/>
      <c r="S660" s="313"/>
      <c r="T660" s="313"/>
      <c r="U660" s="268"/>
      <c r="V660" s="309"/>
      <c r="W660" s="310"/>
      <c r="X660" s="268"/>
      <c r="Y660" s="268"/>
      <c r="Z660" s="268"/>
    </row>
    <row r="661" spans="1:26" ht="24.75" customHeight="1">
      <c r="A661" s="268"/>
      <c r="B661" s="268"/>
      <c r="C661" s="268"/>
      <c r="D661" s="268"/>
      <c r="E661" s="268"/>
      <c r="F661" s="268"/>
      <c r="G661" s="268"/>
      <c r="H661" s="268"/>
      <c r="I661" s="268"/>
      <c r="J661" s="268"/>
      <c r="K661" s="268"/>
      <c r="L661" s="334"/>
      <c r="M661" s="268"/>
      <c r="N661" s="268"/>
      <c r="O661" s="310"/>
      <c r="P661" s="268"/>
      <c r="Q661" s="334"/>
      <c r="R661" s="268"/>
      <c r="S661" s="313"/>
      <c r="T661" s="313"/>
      <c r="U661" s="268"/>
      <c r="V661" s="309"/>
      <c r="W661" s="310"/>
      <c r="X661" s="268"/>
      <c r="Y661" s="268"/>
      <c r="Z661" s="268"/>
    </row>
    <row r="662" spans="1:26" ht="24.75" customHeight="1">
      <c r="A662" s="268"/>
      <c r="B662" s="268"/>
      <c r="C662" s="268"/>
      <c r="D662" s="268"/>
      <c r="E662" s="268"/>
      <c r="F662" s="268"/>
      <c r="G662" s="268"/>
      <c r="H662" s="268"/>
      <c r="I662" s="268"/>
      <c r="J662" s="268"/>
      <c r="K662" s="268"/>
      <c r="L662" s="334"/>
      <c r="M662" s="268"/>
      <c r="N662" s="268"/>
      <c r="O662" s="310"/>
      <c r="P662" s="268"/>
      <c r="Q662" s="334"/>
      <c r="R662" s="268"/>
      <c r="S662" s="313"/>
      <c r="T662" s="313"/>
      <c r="U662" s="268"/>
      <c r="V662" s="309"/>
      <c r="W662" s="310"/>
      <c r="X662" s="268"/>
      <c r="Y662" s="268"/>
      <c r="Z662" s="268"/>
    </row>
    <row r="663" spans="1:26" ht="24.75" customHeight="1">
      <c r="A663" s="268"/>
      <c r="B663" s="268"/>
      <c r="C663" s="268"/>
      <c r="D663" s="268"/>
      <c r="E663" s="268"/>
      <c r="F663" s="268"/>
      <c r="G663" s="268"/>
      <c r="H663" s="268"/>
      <c r="I663" s="268"/>
      <c r="J663" s="268"/>
      <c r="K663" s="268"/>
      <c r="L663" s="334"/>
      <c r="M663" s="268"/>
      <c r="N663" s="268"/>
      <c r="O663" s="310"/>
      <c r="P663" s="268"/>
      <c r="Q663" s="334"/>
      <c r="R663" s="268"/>
      <c r="S663" s="313"/>
      <c r="T663" s="313"/>
      <c r="U663" s="268"/>
      <c r="V663" s="309"/>
      <c r="W663" s="310"/>
      <c r="X663" s="268"/>
      <c r="Y663" s="268"/>
      <c r="Z663" s="268"/>
    </row>
    <row r="664" spans="1:26" ht="24.75" customHeight="1">
      <c r="A664" s="268"/>
      <c r="B664" s="268"/>
      <c r="C664" s="268"/>
      <c r="D664" s="268"/>
      <c r="E664" s="268"/>
      <c r="F664" s="268"/>
      <c r="G664" s="268"/>
      <c r="H664" s="268"/>
      <c r="I664" s="268"/>
      <c r="J664" s="268"/>
      <c r="K664" s="268"/>
      <c r="L664" s="334"/>
      <c r="M664" s="268"/>
      <c r="N664" s="268"/>
      <c r="O664" s="310"/>
      <c r="P664" s="268"/>
      <c r="Q664" s="334"/>
      <c r="R664" s="268"/>
      <c r="S664" s="313"/>
      <c r="T664" s="313"/>
      <c r="U664" s="268"/>
      <c r="V664" s="309"/>
      <c r="W664" s="310"/>
      <c r="X664" s="268"/>
      <c r="Y664" s="268"/>
      <c r="Z664" s="268"/>
    </row>
    <row r="665" spans="1:26" ht="24.75" customHeight="1">
      <c r="A665" s="268"/>
      <c r="B665" s="268"/>
      <c r="C665" s="268"/>
      <c r="D665" s="268"/>
      <c r="E665" s="268"/>
      <c r="F665" s="268"/>
      <c r="G665" s="268"/>
      <c r="H665" s="268"/>
      <c r="I665" s="268"/>
      <c r="J665" s="268"/>
      <c r="K665" s="268"/>
      <c r="L665" s="334"/>
      <c r="M665" s="268"/>
      <c r="N665" s="268"/>
      <c r="O665" s="310"/>
      <c r="P665" s="268"/>
      <c r="Q665" s="334"/>
      <c r="R665" s="268"/>
      <c r="S665" s="313"/>
      <c r="T665" s="313"/>
      <c r="U665" s="268"/>
      <c r="V665" s="309"/>
      <c r="W665" s="310"/>
      <c r="X665" s="268"/>
      <c r="Y665" s="268"/>
      <c r="Z665" s="268"/>
    </row>
    <row r="666" spans="1:26" ht="24.75" customHeight="1">
      <c r="A666" s="268"/>
      <c r="B666" s="268"/>
      <c r="C666" s="268"/>
      <c r="D666" s="268"/>
      <c r="E666" s="268"/>
      <c r="F666" s="268"/>
      <c r="G666" s="268"/>
      <c r="H666" s="268"/>
      <c r="I666" s="268"/>
      <c r="J666" s="268"/>
      <c r="K666" s="268"/>
      <c r="L666" s="334"/>
      <c r="M666" s="268"/>
      <c r="N666" s="268"/>
      <c r="O666" s="310"/>
      <c r="P666" s="268"/>
      <c r="Q666" s="334"/>
      <c r="R666" s="268"/>
      <c r="S666" s="313"/>
      <c r="T666" s="313"/>
      <c r="U666" s="268"/>
      <c r="V666" s="309"/>
      <c r="W666" s="310"/>
      <c r="X666" s="268"/>
      <c r="Y666" s="268"/>
      <c r="Z666" s="268"/>
    </row>
    <row r="667" spans="1:26" ht="24.75" customHeight="1">
      <c r="A667" s="268"/>
      <c r="B667" s="268"/>
      <c r="C667" s="268"/>
      <c r="D667" s="268"/>
      <c r="E667" s="268"/>
      <c r="F667" s="268"/>
      <c r="G667" s="268"/>
      <c r="H667" s="268"/>
      <c r="I667" s="268"/>
      <c r="J667" s="268"/>
      <c r="K667" s="268"/>
      <c r="L667" s="334"/>
      <c r="M667" s="268"/>
      <c r="N667" s="268"/>
      <c r="O667" s="310"/>
      <c r="P667" s="268"/>
      <c r="Q667" s="334"/>
      <c r="R667" s="268"/>
      <c r="S667" s="313"/>
      <c r="T667" s="313"/>
      <c r="U667" s="268"/>
      <c r="V667" s="309"/>
      <c r="W667" s="310"/>
      <c r="X667" s="268"/>
      <c r="Y667" s="268"/>
      <c r="Z667" s="268"/>
    </row>
    <row r="668" spans="1:26" ht="24.75" customHeight="1">
      <c r="A668" s="268"/>
      <c r="B668" s="268"/>
      <c r="C668" s="268"/>
      <c r="D668" s="268"/>
      <c r="E668" s="268"/>
      <c r="F668" s="268"/>
      <c r="G668" s="268"/>
      <c r="H668" s="268"/>
      <c r="I668" s="268"/>
      <c r="J668" s="268"/>
      <c r="K668" s="268"/>
      <c r="L668" s="334"/>
      <c r="M668" s="268"/>
      <c r="N668" s="268"/>
      <c r="O668" s="310"/>
      <c r="P668" s="268"/>
      <c r="Q668" s="334"/>
      <c r="R668" s="268"/>
      <c r="S668" s="313"/>
      <c r="T668" s="313"/>
      <c r="U668" s="268"/>
      <c r="V668" s="309"/>
      <c r="W668" s="310"/>
      <c r="X668" s="268"/>
      <c r="Y668" s="268"/>
      <c r="Z668" s="268"/>
    </row>
    <row r="669" spans="1:26" ht="24.75" customHeight="1">
      <c r="A669" s="268"/>
      <c r="B669" s="268"/>
      <c r="C669" s="268"/>
      <c r="D669" s="268"/>
      <c r="E669" s="268"/>
      <c r="F669" s="268"/>
      <c r="G669" s="268"/>
      <c r="H669" s="268"/>
      <c r="I669" s="268"/>
      <c r="J669" s="268"/>
      <c r="K669" s="268"/>
      <c r="L669" s="334"/>
      <c r="M669" s="268"/>
      <c r="N669" s="268"/>
      <c r="O669" s="310"/>
      <c r="P669" s="268"/>
      <c r="Q669" s="334"/>
      <c r="R669" s="268"/>
      <c r="S669" s="313"/>
      <c r="T669" s="313"/>
      <c r="U669" s="268"/>
      <c r="V669" s="309"/>
      <c r="W669" s="310"/>
      <c r="X669" s="268"/>
      <c r="Y669" s="268"/>
      <c r="Z669" s="268"/>
    </row>
    <row r="670" spans="1:26" ht="24.75" customHeight="1">
      <c r="A670" s="268"/>
      <c r="B670" s="268"/>
      <c r="C670" s="268"/>
      <c r="D670" s="268"/>
      <c r="E670" s="268"/>
      <c r="F670" s="268"/>
      <c r="G670" s="268"/>
      <c r="H670" s="268"/>
      <c r="I670" s="268"/>
      <c r="J670" s="268"/>
      <c r="K670" s="268"/>
      <c r="L670" s="334"/>
      <c r="M670" s="268"/>
      <c r="N670" s="268"/>
      <c r="O670" s="310"/>
      <c r="P670" s="268"/>
      <c r="Q670" s="334"/>
      <c r="R670" s="268"/>
      <c r="S670" s="313"/>
      <c r="T670" s="313"/>
      <c r="U670" s="268"/>
      <c r="V670" s="309"/>
      <c r="W670" s="310"/>
      <c r="X670" s="268"/>
      <c r="Y670" s="268"/>
      <c r="Z670" s="268"/>
    </row>
    <row r="671" spans="1:26" ht="24.75" customHeight="1">
      <c r="A671" s="268"/>
      <c r="B671" s="268"/>
      <c r="C671" s="268"/>
      <c r="D671" s="268"/>
      <c r="E671" s="268"/>
      <c r="F671" s="268"/>
      <c r="G671" s="268"/>
      <c r="H671" s="268"/>
      <c r="I671" s="268"/>
      <c r="J671" s="268"/>
      <c r="K671" s="268"/>
      <c r="L671" s="334"/>
      <c r="M671" s="268"/>
      <c r="N671" s="268"/>
      <c r="O671" s="310"/>
      <c r="P671" s="268"/>
      <c r="Q671" s="334"/>
      <c r="R671" s="268"/>
      <c r="S671" s="313"/>
      <c r="T671" s="313"/>
      <c r="U671" s="268"/>
      <c r="V671" s="309"/>
      <c r="W671" s="310"/>
      <c r="X671" s="268"/>
      <c r="Y671" s="268"/>
      <c r="Z671" s="268"/>
    </row>
    <row r="672" spans="1:26" ht="24.75" customHeight="1">
      <c r="A672" s="268"/>
      <c r="B672" s="268"/>
      <c r="C672" s="268"/>
      <c r="D672" s="268"/>
      <c r="E672" s="268"/>
      <c r="F672" s="268"/>
      <c r="G672" s="268"/>
      <c r="H672" s="268"/>
      <c r="I672" s="268"/>
      <c r="J672" s="268"/>
      <c r="K672" s="268"/>
      <c r="L672" s="334"/>
      <c r="M672" s="268"/>
      <c r="N672" s="268"/>
      <c r="O672" s="310"/>
      <c r="P672" s="268"/>
      <c r="Q672" s="334"/>
      <c r="R672" s="268"/>
      <c r="S672" s="313"/>
      <c r="T672" s="313"/>
      <c r="U672" s="268"/>
      <c r="V672" s="309"/>
      <c r="W672" s="310"/>
      <c r="X672" s="268"/>
      <c r="Y672" s="268"/>
      <c r="Z672" s="268"/>
    </row>
    <row r="673" spans="1:26" ht="24.75" customHeight="1">
      <c r="A673" s="268"/>
      <c r="B673" s="268"/>
      <c r="C673" s="268"/>
      <c r="D673" s="268"/>
      <c r="E673" s="268"/>
      <c r="F673" s="268"/>
      <c r="G673" s="268"/>
      <c r="H673" s="268"/>
      <c r="I673" s="268"/>
      <c r="J673" s="268"/>
      <c r="K673" s="268"/>
      <c r="L673" s="334"/>
      <c r="M673" s="268"/>
      <c r="N673" s="268"/>
      <c r="O673" s="310"/>
      <c r="P673" s="268"/>
      <c r="Q673" s="334"/>
      <c r="R673" s="268"/>
      <c r="S673" s="313"/>
      <c r="T673" s="313"/>
      <c r="U673" s="268"/>
      <c r="V673" s="309"/>
      <c r="W673" s="310"/>
      <c r="X673" s="268"/>
      <c r="Y673" s="268"/>
      <c r="Z673" s="268"/>
    </row>
    <row r="674" spans="1:26" ht="24.75" customHeight="1">
      <c r="A674" s="268"/>
      <c r="B674" s="268"/>
      <c r="C674" s="268"/>
      <c r="D674" s="268"/>
      <c r="E674" s="268"/>
      <c r="F674" s="268"/>
      <c r="G674" s="268"/>
      <c r="H674" s="268"/>
      <c r="I674" s="268"/>
      <c r="J674" s="268"/>
      <c r="K674" s="268"/>
      <c r="L674" s="334"/>
      <c r="M674" s="268"/>
      <c r="N674" s="268"/>
      <c r="O674" s="310"/>
      <c r="P674" s="268"/>
      <c r="Q674" s="334"/>
      <c r="R674" s="268"/>
      <c r="S674" s="313"/>
      <c r="T674" s="313"/>
      <c r="U674" s="268"/>
      <c r="V674" s="309"/>
      <c r="W674" s="310"/>
      <c r="X674" s="268"/>
      <c r="Y674" s="268"/>
      <c r="Z674" s="268"/>
    </row>
    <row r="675" spans="1:26" ht="24.75" customHeight="1">
      <c r="A675" s="268"/>
      <c r="B675" s="268"/>
      <c r="C675" s="268"/>
      <c r="D675" s="268"/>
      <c r="E675" s="268"/>
      <c r="F675" s="268"/>
      <c r="G675" s="268"/>
      <c r="H675" s="268"/>
      <c r="I675" s="268"/>
      <c r="J675" s="268"/>
      <c r="K675" s="268"/>
      <c r="L675" s="334"/>
      <c r="M675" s="268"/>
      <c r="N675" s="268"/>
      <c r="O675" s="310"/>
      <c r="P675" s="268"/>
      <c r="Q675" s="334"/>
      <c r="R675" s="268"/>
      <c r="S675" s="313"/>
      <c r="T675" s="313"/>
      <c r="U675" s="268"/>
      <c r="V675" s="309"/>
      <c r="W675" s="310"/>
      <c r="X675" s="268"/>
      <c r="Y675" s="268"/>
      <c r="Z675" s="268"/>
    </row>
    <row r="676" spans="1:26" ht="24.75" customHeight="1">
      <c r="A676" s="268"/>
      <c r="B676" s="268"/>
      <c r="C676" s="268"/>
      <c r="D676" s="268"/>
      <c r="E676" s="268"/>
      <c r="F676" s="268"/>
      <c r="G676" s="268"/>
      <c r="H676" s="268"/>
      <c r="I676" s="268"/>
      <c r="J676" s="268"/>
      <c r="K676" s="268"/>
      <c r="L676" s="334"/>
      <c r="M676" s="268"/>
      <c r="N676" s="268"/>
      <c r="O676" s="310"/>
      <c r="P676" s="268"/>
      <c r="Q676" s="334"/>
      <c r="R676" s="268"/>
      <c r="S676" s="313"/>
      <c r="T676" s="313"/>
      <c r="U676" s="268"/>
      <c r="V676" s="309"/>
      <c r="W676" s="310"/>
      <c r="X676" s="268"/>
      <c r="Y676" s="268"/>
      <c r="Z676" s="268"/>
    </row>
    <row r="677" spans="1:26" ht="24.75" customHeight="1">
      <c r="A677" s="268"/>
      <c r="B677" s="268"/>
      <c r="C677" s="268"/>
      <c r="D677" s="268"/>
      <c r="E677" s="268"/>
      <c r="F677" s="268"/>
      <c r="G677" s="268"/>
      <c r="H677" s="268"/>
      <c r="I677" s="268"/>
      <c r="J677" s="268"/>
      <c r="K677" s="268"/>
      <c r="L677" s="334"/>
      <c r="M677" s="268"/>
      <c r="N677" s="268"/>
      <c r="O677" s="310"/>
      <c r="P677" s="268"/>
      <c r="Q677" s="334"/>
      <c r="R677" s="268"/>
      <c r="S677" s="313"/>
      <c r="T677" s="313"/>
      <c r="U677" s="268"/>
      <c r="V677" s="309"/>
      <c r="W677" s="310"/>
      <c r="X677" s="268"/>
      <c r="Y677" s="268"/>
      <c r="Z677" s="268"/>
    </row>
    <row r="678" spans="1:26" ht="24.75" customHeight="1">
      <c r="A678" s="268"/>
      <c r="B678" s="268"/>
      <c r="C678" s="268"/>
      <c r="D678" s="268"/>
      <c r="E678" s="268"/>
      <c r="F678" s="268"/>
      <c r="G678" s="268"/>
      <c r="H678" s="268"/>
      <c r="I678" s="268"/>
      <c r="J678" s="268"/>
      <c r="K678" s="268"/>
      <c r="L678" s="334"/>
      <c r="M678" s="268"/>
      <c r="N678" s="268"/>
      <c r="O678" s="310"/>
      <c r="P678" s="268"/>
      <c r="Q678" s="334"/>
      <c r="R678" s="268"/>
      <c r="S678" s="313"/>
      <c r="T678" s="313"/>
      <c r="U678" s="268"/>
      <c r="V678" s="309"/>
      <c r="W678" s="310"/>
      <c r="X678" s="268"/>
      <c r="Y678" s="268"/>
      <c r="Z678" s="268"/>
    </row>
    <row r="679" spans="1:26" ht="24.75" customHeight="1">
      <c r="A679" s="268"/>
      <c r="B679" s="268"/>
      <c r="C679" s="268"/>
      <c r="D679" s="268"/>
      <c r="E679" s="268"/>
      <c r="F679" s="268"/>
      <c r="G679" s="268"/>
      <c r="H679" s="268"/>
      <c r="I679" s="268"/>
      <c r="J679" s="268"/>
      <c r="K679" s="268"/>
      <c r="L679" s="334"/>
      <c r="M679" s="268"/>
      <c r="N679" s="268"/>
      <c r="O679" s="310"/>
      <c r="P679" s="268"/>
      <c r="Q679" s="334"/>
      <c r="R679" s="268"/>
      <c r="S679" s="313"/>
      <c r="T679" s="313"/>
      <c r="U679" s="268"/>
      <c r="V679" s="309"/>
      <c r="W679" s="310"/>
      <c r="X679" s="268"/>
      <c r="Y679" s="268"/>
      <c r="Z679" s="268"/>
    </row>
    <row r="680" spans="1:26" ht="24.75" customHeight="1">
      <c r="A680" s="268"/>
      <c r="B680" s="268"/>
      <c r="C680" s="268"/>
      <c r="D680" s="268"/>
      <c r="E680" s="268"/>
      <c r="F680" s="268"/>
      <c r="G680" s="268"/>
      <c r="H680" s="268"/>
      <c r="I680" s="268"/>
      <c r="J680" s="268"/>
      <c r="K680" s="268"/>
      <c r="L680" s="334"/>
      <c r="M680" s="268"/>
      <c r="N680" s="268"/>
      <c r="O680" s="310"/>
      <c r="P680" s="268"/>
      <c r="Q680" s="334"/>
      <c r="R680" s="268"/>
      <c r="S680" s="313"/>
      <c r="T680" s="313"/>
      <c r="U680" s="268"/>
      <c r="V680" s="309"/>
      <c r="W680" s="310"/>
      <c r="X680" s="268"/>
      <c r="Y680" s="268"/>
      <c r="Z680" s="268"/>
    </row>
    <row r="681" spans="1:26" ht="24.75" customHeight="1">
      <c r="A681" s="268"/>
      <c r="B681" s="268"/>
      <c r="C681" s="268"/>
      <c r="D681" s="268"/>
      <c r="E681" s="268"/>
      <c r="F681" s="268"/>
      <c r="G681" s="268"/>
      <c r="H681" s="268"/>
      <c r="I681" s="268"/>
      <c r="J681" s="268"/>
      <c r="K681" s="268"/>
      <c r="L681" s="334"/>
      <c r="M681" s="268"/>
      <c r="N681" s="268"/>
      <c r="O681" s="310"/>
      <c r="P681" s="268"/>
      <c r="Q681" s="334"/>
      <c r="R681" s="268"/>
      <c r="S681" s="313"/>
      <c r="T681" s="313"/>
      <c r="U681" s="268"/>
      <c r="V681" s="309"/>
      <c r="W681" s="310"/>
      <c r="X681" s="268"/>
      <c r="Y681" s="268"/>
      <c r="Z681" s="268"/>
    </row>
    <row r="682" spans="1:26" ht="24.75" customHeight="1">
      <c r="A682" s="268"/>
      <c r="B682" s="268"/>
      <c r="C682" s="268"/>
      <c r="D682" s="268"/>
      <c r="E682" s="268"/>
      <c r="F682" s="268"/>
      <c r="G682" s="268"/>
      <c r="H682" s="268"/>
      <c r="I682" s="268"/>
      <c r="J682" s="268"/>
      <c r="K682" s="268"/>
      <c r="L682" s="334"/>
      <c r="M682" s="268"/>
      <c r="N682" s="268"/>
      <c r="O682" s="310"/>
      <c r="P682" s="268"/>
      <c r="Q682" s="334"/>
      <c r="R682" s="268"/>
      <c r="S682" s="313"/>
      <c r="T682" s="313"/>
      <c r="U682" s="268"/>
      <c r="V682" s="309"/>
      <c r="W682" s="310"/>
      <c r="X682" s="268"/>
      <c r="Y682" s="268"/>
      <c r="Z682" s="268"/>
    </row>
    <row r="683" spans="1:26" ht="24.75" customHeight="1">
      <c r="A683" s="268"/>
      <c r="B683" s="268"/>
      <c r="C683" s="268"/>
      <c r="D683" s="268"/>
      <c r="E683" s="268"/>
      <c r="F683" s="268"/>
      <c r="G683" s="268"/>
      <c r="H683" s="268"/>
      <c r="I683" s="268"/>
      <c r="J683" s="268"/>
      <c r="K683" s="268"/>
      <c r="L683" s="334"/>
      <c r="M683" s="268"/>
      <c r="N683" s="268"/>
      <c r="O683" s="310"/>
      <c r="P683" s="268"/>
      <c r="Q683" s="334"/>
      <c r="R683" s="268"/>
      <c r="S683" s="313"/>
      <c r="T683" s="313"/>
      <c r="U683" s="268"/>
      <c r="V683" s="309"/>
      <c r="W683" s="310"/>
      <c r="X683" s="268"/>
      <c r="Y683" s="268"/>
      <c r="Z683" s="268"/>
    </row>
    <row r="684" spans="1:26" ht="24.75" customHeight="1">
      <c r="A684" s="268"/>
      <c r="B684" s="268"/>
      <c r="C684" s="268"/>
      <c r="D684" s="268"/>
      <c r="E684" s="268"/>
      <c r="F684" s="268"/>
      <c r="G684" s="268"/>
      <c r="H684" s="268"/>
      <c r="I684" s="268"/>
      <c r="J684" s="268"/>
      <c r="K684" s="268"/>
      <c r="L684" s="334"/>
      <c r="M684" s="268"/>
      <c r="N684" s="268"/>
      <c r="O684" s="310"/>
      <c r="P684" s="268"/>
      <c r="Q684" s="334"/>
      <c r="R684" s="268"/>
      <c r="S684" s="313"/>
      <c r="T684" s="313"/>
      <c r="U684" s="268"/>
      <c r="V684" s="309"/>
      <c r="W684" s="310"/>
      <c r="X684" s="268"/>
      <c r="Y684" s="268"/>
      <c r="Z684" s="268"/>
    </row>
    <row r="685" spans="1:26" ht="24.75" customHeight="1">
      <c r="A685" s="268"/>
      <c r="B685" s="268"/>
      <c r="C685" s="268"/>
      <c r="D685" s="268"/>
      <c r="E685" s="268"/>
      <c r="F685" s="268"/>
      <c r="G685" s="268"/>
      <c r="H685" s="268"/>
      <c r="I685" s="268"/>
      <c r="J685" s="268"/>
      <c r="K685" s="268"/>
      <c r="L685" s="334"/>
      <c r="M685" s="268"/>
      <c r="N685" s="268"/>
      <c r="O685" s="310"/>
      <c r="P685" s="268"/>
      <c r="Q685" s="334"/>
      <c r="R685" s="268"/>
      <c r="S685" s="313"/>
      <c r="T685" s="313"/>
      <c r="U685" s="268"/>
      <c r="V685" s="309"/>
      <c r="W685" s="310"/>
      <c r="X685" s="268"/>
      <c r="Y685" s="268"/>
      <c r="Z685" s="268"/>
    </row>
    <row r="686" spans="1:26" ht="24.75" customHeight="1">
      <c r="A686" s="268"/>
      <c r="B686" s="268"/>
      <c r="C686" s="268"/>
      <c r="D686" s="268"/>
      <c r="E686" s="268"/>
      <c r="F686" s="268"/>
      <c r="G686" s="268"/>
      <c r="H686" s="268"/>
      <c r="I686" s="268"/>
      <c r="J686" s="268"/>
      <c r="K686" s="268"/>
      <c r="L686" s="334"/>
      <c r="M686" s="268"/>
      <c r="N686" s="268"/>
      <c r="O686" s="310"/>
      <c r="P686" s="268"/>
      <c r="Q686" s="334"/>
      <c r="R686" s="268"/>
      <c r="S686" s="313"/>
      <c r="T686" s="313"/>
      <c r="U686" s="268"/>
      <c r="V686" s="309"/>
      <c r="W686" s="310"/>
      <c r="X686" s="268"/>
      <c r="Y686" s="268"/>
      <c r="Z686" s="268"/>
    </row>
    <row r="687" spans="1:26" ht="24.75" customHeight="1">
      <c r="A687" s="268"/>
      <c r="B687" s="268"/>
      <c r="C687" s="268"/>
      <c r="D687" s="268"/>
      <c r="E687" s="268"/>
      <c r="F687" s="268"/>
      <c r="G687" s="268"/>
      <c r="H687" s="268"/>
      <c r="I687" s="268"/>
      <c r="J687" s="268"/>
      <c r="K687" s="268"/>
      <c r="L687" s="334"/>
      <c r="M687" s="268"/>
      <c r="N687" s="268"/>
      <c r="O687" s="310"/>
      <c r="P687" s="268"/>
      <c r="Q687" s="334"/>
      <c r="R687" s="268"/>
      <c r="S687" s="313"/>
      <c r="T687" s="313"/>
      <c r="U687" s="268"/>
      <c r="V687" s="309"/>
      <c r="W687" s="310"/>
      <c r="X687" s="268"/>
      <c r="Y687" s="268"/>
      <c r="Z687" s="268"/>
    </row>
    <row r="688" spans="1:26" ht="24.75" customHeight="1">
      <c r="A688" s="268"/>
      <c r="B688" s="268"/>
      <c r="C688" s="268"/>
      <c r="D688" s="268"/>
      <c r="E688" s="268"/>
      <c r="F688" s="268"/>
      <c r="G688" s="268"/>
      <c r="H688" s="268"/>
      <c r="I688" s="268"/>
      <c r="J688" s="268"/>
      <c r="K688" s="268"/>
      <c r="L688" s="334"/>
      <c r="M688" s="268"/>
      <c r="N688" s="268"/>
      <c r="O688" s="310"/>
      <c r="P688" s="268"/>
      <c r="Q688" s="334"/>
      <c r="R688" s="268"/>
      <c r="S688" s="313"/>
      <c r="T688" s="313"/>
      <c r="U688" s="268"/>
      <c r="V688" s="309"/>
      <c r="W688" s="310"/>
      <c r="X688" s="268"/>
      <c r="Y688" s="268"/>
      <c r="Z688" s="268"/>
    </row>
    <row r="689" spans="1:26" ht="24.75" customHeight="1">
      <c r="A689" s="268"/>
      <c r="B689" s="268"/>
      <c r="C689" s="268"/>
      <c r="D689" s="268"/>
      <c r="E689" s="268"/>
      <c r="F689" s="268"/>
      <c r="G689" s="268"/>
      <c r="H689" s="268"/>
      <c r="I689" s="268"/>
      <c r="J689" s="268"/>
      <c r="K689" s="268"/>
      <c r="L689" s="334"/>
      <c r="M689" s="268"/>
      <c r="N689" s="268"/>
      <c r="O689" s="310"/>
      <c r="P689" s="268"/>
      <c r="Q689" s="334"/>
      <c r="R689" s="268"/>
      <c r="S689" s="313"/>
      <c r="T689" s="313"/>
      <c r="U689" s="268"/>
      <c r="V689" s="309"/>
      <c r="W689" s="310"/>
      <c r="X689" s="268"/>
      <c r="Y689" s="268"/>
      <c r="Z689" s="268"/>
    </row>
    <row r="690" spans="1:26" ht="24.75" customHeight="1">
      <c r="A690" s="268"/>
      <c r="B690" s="268"/>
      <c r="C690" s="268"/>
      <c r="D690" s="268"/>
      <c r="E690" s="268"/>
      <c r="F690" s="268"/>
      <c r="G690" s="268"/>
      <c r="H690" s="268"/>
      <c r="I690" s="268"/>
      <c r="J690" s="268"/>
      <c r="K690" s="268"/>
      <c r="L690" s="334"/>
      <c r="M690" s="268"/>
      <c r="N690" s="268"/>
      <c r="O690" s="310"/>
      <c r="P690" s="268"/>
      <c r="Q690" s="334"/>
      <c r="R690" s="268"/>
      <c r="S690" s="313"/>
      <c r="T690" s="313"/>
      <c r="U690" s="268"/>
      <c r="V690" s="309"/>
      <c r="W690" s="310"/>
      <c r="X690" s="268"/>
      <c r="Y690" s="268"/>
      <c r="Z690" s="268"/>
    </row>
    <row r="691" spans="1:26" ht="24.75" customHeight="1">
      <c r="A691" s="268"/>
      <c r="B691" s="268"/>
      <c r="C691" s="268"/>
      <c r="D691" s="268"/>
      <c r="E691" s="268"/>
      <c r="F691" s="268"/>
      <c r="G691" s="268"/>
      <c r="H691" s="268"/>
      <c r="I691" s="268"/>
      <c r="J691" s="268"/>
      <c r="K691" s="268"/>
      <c r="L691" s="334"/>
      <c r="M691" s="268"/>
      <c r="N691" s="268"/>
      <c r="O691" s="310"/>
      <c r="P691" s="268"/>
      <c r="Q691" s="334"/>
      <c r="R691" s="268"/>
      <c r="S691" s="313"/>
      <c r="T691" s="313"/>
      <c r="U691" s="268"/>
      <c r="V691" s="309"/>
      <c r="W691" s="310"/>
      <c r="X691" s="268"/>
      <c r="Y691" s="268"/>
      <c r="Z691" s="268"/>
    </row>
    <row r="692" spans="1:26" ht="24.75" customHeight="1">
      <c r="A692" s="268"/>
      <c r="B692" s="268"/>
      <c r="C692" s="268"/>
      <c r="D692" s="268"/>
      <c r="E692" s="268"/>
      <c r="F692" s="268"/>
      <c r="G692" s="268"/>
      <c r="H692" s="268"/>
      <c r="I692" s="268"/>
      <c r="J692" s="268"/>
      <c r="K692" s="268"/>
      <c r="L692" s="334"/>
      <c r="M692" s="268"/>
      <c r="N692" s="268"/>
      <c r="O692" s="310"/>
      <c r="P692" s="268"/>
      <c r="Q692" s="334"/>
      <c r="R692" s="268"/>
      <c r="S692" s="313"/>
      <c r="T692" s="313"/>
      <c r="U692" s="268"/>
      <c r="V692" s="309"/>
      <c r="W692" s="310"/>
      <c r="X692" s="268"/>
      <c r="Y692" s="268"/>
      <c r="Z692" s="268"/>
    </row>
    <row r="693" spans="1:26" ht="24.75" customHeight="1">
      <c r="A693" s="268"/>
      <c r="B693" s="268"/>
      <c r="C693" s="268"/>
      <c r="D693" s="268"/>
      <c r="E693" s="268"/>
      <c r="F693" s="268"/>
      <c r="G693" s="268"/>
      <c r="H693" s="268"/>
      <c r="I693" s="268"/>
      <c r="J693" s="268"/>
      <c r="K693" s="268"/>
      <c r="L693" s="334"/>
      <c r="M693" s="268"/>
      <c r="N693" s="268"/>
      <c r="O693" s="310"/>
      <c r="P693" s="268"/>
      <c r="Q693" s="334"/>
      <c r="R693" s="268"/>
      <c r="S693" s="313"/>
      <c r="T693" s="313"/>
      <c r="U693" s="268"/>
      <c r="V693" s="309"/>
      <c r="W693" s="310"/>
      <c r="X693" s="268"/>
      <c r="Y693" s="268"/>
      <c r="Z693" s="268"/>
    </row>
    <row r="694" spans="1:26" ht="24.75" customHeight="1">
      <c r="A694" s="268"/>
      <c r="B694" s="268"/>
      <c r="C694" s="268"/>
      <c r="D694" s="268"/>
      <c r="E694" s="268"/>
      <c r="F694" s="268"/>
      <c r="G694" s="268"/>
      <c r="H694" s="268"/>
      <c r="I694" s="268"/>
      <c r="J694" s="268"/>
      <c r="K694" s="268"/>
      <c r="L694" s="334"/>
      <c r="M694" s="268"/>
      <c r="N694" s="268"/>
      <c r="O694" s="310"/>
      <c r="P694" s="268"/>
      <c r="Q694" s="334"/>
      <c r="R694" s="268"/>
      <c r="S694" s="313"/>
      <c r="T694" s="313"/>
      <c r="U694" s="268"/>
      <c r="V694" s="309"/>
      <c r="W694" s="310"/>
      <c r="X694" s="268"/>
      <c r="Y694" s="268"/>
      <c r="Z694" s="268"/>
    </row>
    <row r="695" spans="1:26" ht="24.75" customHeight="1">
      <c r="A695" s="268"/>
      <c r="B695" s="268"/>
      <c r="C695" s="268"/>
      <c r="D695" s="268"/>
      <c r="E695" s="268"/>
      <c r="F695" s="268"/>
      <c r="G695" s="268"/>
      <c r="H695" s="268"/>
      <c r="I695" s="268"/>
      <c r="J695" s="268"/>
      <c r="K695" s="268"/>
      <c r="L695" s="334"/>
      <c r="M695" s="268"/>
      <c r="N695" s="268"/>
      <c r="O695" s="310"/>
      <c r="P695" s="268"/>
      <c r="Q695" s="334"/>
      <c r="R695" s="268"/>
      <c r="S695" s="313"/>
      <c r="T695" s="313"/>
      <c r="U695" s="268"/>
      <c r="V695" s="309"/>
      <c r="W695" s="310"/>
      <c r="X695" s="268"/>
      <c r="Y695" s="268"/>
      <c r="Z695" s="268"/>
    </row>
    <row r="696" spans="1:26" ht="24.75" customHeight="1">
      <c r="A696" s="268"/>
      <c r="B696" s="268"/>
      <c r="C696" s="268"/>
      <c r="D696" s="268"/>
      <c r="E696" s="268"/>
      <c r="F696" s="268"/>
      <c r="G696" s="268"/>
      <c r="H696" s="268"/>
      <c r="I696" s="268"/>
      <c r="J696" s="268"/>
      <c r="K696" s="268"/>
      <c r="L696" s="334"/>
      <c r="M696" s="268"/>
      <c r="N696" s="268"/>
      <c r="O696" s="310"/>
      <c r="P696" s="268"/>
      <c r="Q696" s="334"/>
      <c r="R696" s="268"/>
      <c r="S696" s="313"/>
      <c r="T696" s="313"/>
      <c r="U696" s="268"/>
      <c r="V696" s="309"/>
      <c r="W696" s="310"/>
      <c r="X696" s="268"/>
      <c r="Y696" s="268"/>
      <c r="Z696" s="268"/>
    </row>
    <row r="697" spans="1:26" ht="24.75" customHeight="1">
      <c r="A697" s="268"/>
      <c r="B697" s="268"/>
      <c r="C697" s="268"/>
      <c r="D697" s="268"/>
      <c r="E697" s="268"/>
      <c r="F697" s="268"/>
      <c r="G697" s="268"/>
      <c r="H697" s="268"/>
      <c r="I697" s="268"/>
      <c r="J697" s="268"/>
      <c r="K697" s="268"/>
      <c r="L697" s="334"/>
      <c r="M697" s="268"/>
      <c r="N697" s="268"/>
      <c r="O697" s="310"/>
      <c r="P697" s="268"/>
      <c r="Q697" s="334"/>
      <c r="R697" s="268"/>
      <c r="S697" s="313"/>
      <c r="T697" s="313"/>
      <c r="U697" s="268"/>
      <c r="V697" s="309"/>
      <c r="W697" s="310"/>
      <c r="X697" s="268"/>
      <c r="Y697" s="268"/>
      <c r="Z697" s="268"/>
    </row>
    <row r="698" spans="1:26" ht="24.75" customHeight="1">
      <c r="A698" s="268"/>
      <c r="B698" s="268"/>
      <c r="C698" s="268"/>
      <c r="D698" s="268"/>
      <c r="E698" s="268"/>
      <c r="F698" s="268"/>
      <c r="G698" s="268"/>
      <c r="H698" s="268"/>
      <c r="I698" s="268"/>
      <c r="J698" s="268"/>
      <c r="K698" s="268"/>
      <c r="L698" s="334"/>
      <c r="M698" s="268"/>
      <c r="N698" s="268"/>
      <c r="O698" s="310"/>
      <c r="P698" s="268"/>
      <c r="Q698" s="334"/>
      <c r="R698" s="268"/>
      <c r="S698" s="313"/>
      <c r="T698" s="313"/>
      <c r="U698" s="268"/>
      <c r="V698" s="309"/>
      <c r="W698" s="310"/>
      <c r="X698" s="268"/>
      <c r="Y698" s="268"/>
      <c r="Z698" s="268"/>
    </row>
    <row r="699" spans="1:26" ht="24.75" customHeight="1">
      <c r="A699" s="268"/>
      <c r="B699" s="268"/>
      <c r="C699" s="268"/>
      <c r="D699" s="268"/>
      <c r="E699" s="268"/>
      <c r="F699" s="268"/>
      <c r="G699" s="268"/>
      <c r="H699" s="268"/>
      <c r="I699" s="268"/>
      <c r="J699" s="268"/>
      <c r="K699" s="268"/>
      <c r="L699" s="334"/>
      <c r="M699" s="268"/>
      <c r="N699" s="268"/>
      <c r="O699" s="310"/>
      <c r="P699" s="268"/>
      <c r="Q699" s="334"/>
      <c r="R699" s="268"/>
      <c r="S699" s="313"/>
      <c r="T699" s="313"/>
      <c r="U699" s="268"/>
      <c r="V699" s="309"/>
      <c r="W699" s="310"/>
      <c r="X699" s="268"/>
      <c r="Y699" s="268"/>
      <c r="Z699" s="268"/>
    </row>
    <row r="700" spans="1:26" ht="24.75" customHeight="1">
      <c r="A700" s="268"/>
      <c r="B700" s="268"/>
      <c r="C700" s="268"/>
      <c r="D700" s="268"/>
      <c r="E700" s="268"/>
      <c r="F700" s="268"/>
      <c r="G700" s="268"/>
      <c r="H700" s="268"/>
      <c r="I700" s="268"/>
      <c r="J700" s="268"/>
      <c r="K700" s="268"/>
      <c r="L700" s="334"/>
      <c r="M700" s="268"/>
      <c r="N700" s="268"/>
      <c r="O700" s="310"/>
      <c r="P700" s="268"/>
      <c r="Q700" s="334"/>
      <c r="R700" s="268"/>
      <c r="S700" s="313"/>
      <c r="T700" s="313"/>
      <c r="U700" s="268"/>
      <c r="V700" s="309"/>
      <c r="W700" s="310"/>
      <c r="X700" s="268"/>
      <c r="Y700" s="268"/>
      <c r="Z700" s="268"/>
    </row>
    <row r="701" spans="1:26" ht="24.75" customHeight="1">
      <c r="A701" s="268"/>
      <c r="B701" s="268"/>
      <c r="C701" s="268"/>
      <c r="D701" s="268"/>
      <c r="E701" s="268"/>
      <c r="F701" s="268"/>
      <c r="G701" s="268"/>
      <c r="H701" s="268"/>
      <c r="I701" s="268"/>
      <c r="J701" s="268"/>
      <c r="K701" s="268"/>
      <c r="L701" s="334"/>
      <c r="M701" s="268"/>
      <c r="N701" s="268"/>
      <c r="O701" s="310"/>
      <c r="P701" s="268"/>
      <c r="Q701" s="334"/>
      <c r="R701" s="268"/>
      <c r="S701" s="313"/>
      <c r="T701" s="313"/>
      <c r="U701" s="268"/>
      <c r="V701" s="309"/>
      <c r="W701" s="310"/>
      <c r="X701" s="268"/>
      <c r="Y701" s="268"/>
      <c r="Z701" s="268"/>
    </row>
    <row r="702" spans="1:26" ht="24.75" customHeight="1">
      <c r="A702" s="268"/>
      <c r="B702" s="268"/>
      <c r="C702" s="268"/>
      <c r="D702" s="268"/>
      <c r="E702" s="268"/>
      <c r="F702" s="268"/>
      <c r="G702" s="268"/>
      <c r="H702" s="268"/>
      <c r="I702" s="268"/>
      <c r="J702" s="268"/>
      <c r="K702" s="268"/>
      <c r="L702" s="334"/>
      <c r="M702" s="268"/>
      <c r="N702" s="268"/>
      <c r="O702" s="310"/>
      <c r="P702" s="268"/>
      <c r="Q702" s="334"/>
      <c r="R702" s="268"/>
      <c r="S702" s="313"/>
      <c r="T702" s="313"/>
      <c r="U702" s="268"/>
      <c r="V702" s="309"/>
      <c r="W702" s="310"/>
      <c r="X702" s="268"/>
      <c r="Y702" s="268"/>
      <c r="Z702" s="268"/>
    </row>
    <row r="703" spans="1:26" ht="24.75" customHeight="1">
      <c r="A703" s="268"/>
      <c r="B703" s="268"/>
      <c r="C703" s="268"/>
      <c r="D703" s="268"/>
      <c r="E703" s="268"/>
      <c r="F703" s="268"/>
      <c r="G703" s="268"/>
      <c r="H703" s="268"/>
      <c r="I703" s="268"/>
      <c r="J703" s="268"/>
      <c r="K703" s="268"/>
      <c r="L703" s="334"/>
      <c r="M703" s="268"/>
      <c r="N703" s="268"/>
      <c r="O703" s="310"/>
      <c r="P703" s="268"/>
      <c r="Q703" s="334"/>
      <c r="R703" s="268"/>
      <c r="S703" s="313"/>
      <c r="T703" s="313"/>
      <c r="U703" s="268"/>
      <c r="V703" s="309"/>
      <c r="W703" s="310"/>
      <c r="X703" s="268"/>
      <c r="Y703" s="268"/>
      <c r="Z703" s="268"/>
    </row>
    <row r="704" spans="1:26" ht="24.75" customHeight="1">
      <c r="A704" s="268"/>
      <c r="B704" s="268"/>
      <c r="C704" s="268"/>
      <c r="D704" s="268"/>
      <c r="E704" s="268"/>
      <c r="F704" s="268"/>
      <c r="G704" s="268"/>
      <c r="H704" s="268"/>
      <c r="I704" s="268"/>
      <c r="J704" s="268"/>
      <c r="K704" s="268"/>
      <c r="L704" s="334"/>
      <c r="M704" s="268"/>
      <c r="N704" s="268"/>
      <c r="O704" s="310"/>
      <c r="P704" s="268"/>
      <c r="Q704" s="334"/>
      <c r="R704" s="268"/>
      <c r="S704" s="313"/>
      <c r="T704" s="313"/>
      <c r="U704" s="268"/>
      <c r="V704" s="309"/>
      <c r="W704" s="310"/>
      <c r="X704" s="268"/>
      <c r="Y704" s="268"/>
      <c r="Z704" s="268"/>
    </row>
    <row r="705" spans="1:26" ht="24.75" customHeight="1">
      <c r="A705" s="268"/>
      <c r="B705" s="268"/>
      <c r="C705" s="268"/>
      <c r="D705" s="268"/>
      <c r="E705" s="268"/>
      <c r="F705" s="268"/>
      <c r="G705" s="268"/>
      <c r="H705" s="268"/>
      <c r="I705" s="268"/>
      <c r="J705" s="268"/>
      <c r="K705" s="268"/>
      <c r="L705" s="334"/>
      <c r="M705" s="268"/>
      <c r="N705" s="268"/>
      <c r="O705" s="310"/>
      <c r="P705" s="268"/>
      <c r="Q705" s="334"/>
      <c r="R705" s="268"/>
      <c r="S705" s="313"/>
      <c r="T705" s="313"/>
      <c r="U705" s="268"/>
      <c r="V705" s="309"/>
      <c r="W705" s="310"/>
      <c r="X705" s="268"/>
      <c r="Y705" s="268"/>
      <c r="Z705" s="268"/>
    </row>
    <row r="706" spans="1:26" ht="24.75" customHeight="1">
      <c r="A706" s="268"/>
      <c r="B706" s="268"/>
      <c r="C706" s="268"/>
      <c r="D706" s="268"/>
      <c r="E706" s="268"/>
      <c r="F706" s="268"/>
      <c r="G706" s="268"/>
      <c r="H706" s="268"/>
      <c r="I706" s="268"/>
      <c r="J706" s="268"/>
      <c r="K706" s="268"/>
      <c r="L706" s="334"/>
      <c r="M706" s="268"/>
      <c r="N706" s="268"/>
      <c r="O706" s="310"/>
      <c r="P706" s="268"/>
      <c r="Q706" s="334"/>
      <c r="R706" s="268"/>
      <c r="S706" s="313"/>
      <c r="T706" s="313"/>
      <c r="U706" s="268"/>
      <c r="V706" s="309"/>
      <c r="W706" s="310"/>
      <c r="X706" s="268"/>
      <c r="Y706" s="268"/>
      <c r="Z706" s="268"/>
    </row>
    <row r="707" spans="1:26" ht="24.75" customHeight="1">
      <c r="A707" s="268"/>
      <c r="B707" s="268"/>
      <c r="C707" s="268"/>
      <c r="D707" s="268"/>
      <c r="E707" s="268"/>
      <c r="F707" s="268"/>
      <c r="G707" s="268"/>
      <c r="H707" s="268"/>
      <c r="I707" s="268"/>
      <c r="J707" s="268"/>
      <c r="K707" s="268"/>
      <c r="L707" s="334"/>
      <c r="M707" s="268"/>
      <c r="N707" s="268"/>
      <c r="O707" s="310"/>
      <c r="P707" s="268"/>
      <c r="Q707" s="334"/>
      <c r="R707" s="268"/>
      <c r="S707" s="313"/>
      <c r="T707" s="313"/>
      <c r="U707" s="268"/>
      <c r="V707" s="309"/>
      <c r="W707" s="310"/>
      <c r="X707" s="268"/>
      <c r="Y707" s="268"/>
      <c r="Z707" s="268"/>
    </row>
    <row r="708" spans="1:26" ht="24.75" customHeight="1">
      <c r="A708" s="268"/>
      <c r="B708" s="268"/>
      <c r="C708" s="268"/>
      <c r="D708" s="268"/>
      <c r="E708" s="268"/>
      <c r="F708" s="268"/>
      <c r="G708" s="268"/>
      <c r="H708" s="268"/>
      <c r="I708" s="268"/>
      <c r="J708" s="268"/>
      <c r="K708" s="268"/>
      <c r="L708" s="334"/>
      <c r="M708" s="268"/>
      <c r="N708" s="268"/>
      <c r="O708" s="310"/>
      <c r="P708" s="268"/>
      <c r="Q708" s="334"/>
      <c r="R708" s="268"/>
      <c r="S708" s="313"/>
      <c r="T708" s="313"/>
      <c r="U708" s="268"/>
      <c r="V708" s="309"/>
      <c r="W708" s="310"/>
      <c r="X708" s="268"/>
      <c r="Y708" s="268"/>
      <c r="Z708" s="268"/>
    </row>
    <row r="709" spans="1:26" ht="24.75" customHeight="1">
      <c r="A709" s="268"/>
      <c r="B709" s="268"/>
      <c r="C709" s="268"/>
      <c r="D709" s="268"/>
      <c r="E709" s="268"/>
      <c r="F709" s="268"/>
      <c r="G709" s="268"/>
      <c r="H709" s="268"/>
      <c r="I709" s="268"/>
      <c r="J709" s="268"/>
      <c r="K709" s="268"/>
      <c r="L709" s="334"/>
      <c r="M709" s="268"/>
      <c r="N709" s="268"/>
      <c r="O709" s="310"/>
      <c r="P709" s="268"/>
      <c r="Q709" s="334"/>
      <c r="R709" s="268"/>
      <c r="S709" s="313"/>
      <c r="T709" s="313"/>
      <c r="U709" s="268"/>
      <c r="V709" s="309"/>
      <c r="W709" s="310"/>
      <c r="X709" s="268"/>
      <c r="Y709" s="268"/>
      <c r="Z709" s="268"/>
    </row>
    <row r="710" spans="1:26" ht="24.75" customHeight="1">
      <c r="A710" s="268"/>
      <c r="B710" s="268"/>
      <c r="C710" s="268"/>
      <c r="D710" s="268"/>
      <c r="E710" s="268"/>
      <c r="F710" s="268"/>
      <c r="G710" s="268"/>
      <c r="H710" s="268"/>
      <c r="I710" s="268"/>
      <c r="J710" s="268"/>
      <c r="K710" s="268"/>
      <c r="L710" s="334"/>
      <c r="M710" s="268"/>
      <c r="N710" s="268"/>
      <c r="O710" s="310"/>
      <c r="P710" s="268"/>
      <c r="Q710" s="334"/>
      <c r="R710" s="268"/>
      <c r="S710" s="313"/>
      <c r="T710" s="313"/>
      <c r="U710" s="268"/>
      <c r="V710" s="309"/>
      <c r="W710" s="310"/>
      <c r="X710" s="268"/>
      <c r="Y710" s="268"/>
      <c r="Z710" s="268"/>
    </row>
    <row r="711" spans="1:26" ht="24.75" customHeight="1">
      <c r="A711" s="268"/>
      <c r="B711" s="268"/>
      <c r="C711" s="268"/>
      <c r="D711" s="268"/>
      <c r="E711" s="268"/>
      <c r="F711" s="268"/>
      <c r="G711" s="268"/>
      <c r="H711" s="268"/>
      <c r="I711" s="268"/>
      <c r="J711" s="268"/>
      <c r="K711" s="268"/>
      <c r="L711" s="334"/>
      <c r="M711" s="268"/>
      <c r="N711" s="268"/>
      <c r="O711" s="310"/>
      <c r="P711" s="268"/>
      <c r="Q711" s="334"/>
      <c r="R711" s="268"/>
      <c r="S711" s="313"/>
      <c r="T711" s="313"/>
      <c r="U711" s="268"/>
      <c r="V711" s="309"/>
      <c r="W711" s="310"/>
      <c r="X711" s="268"/>
      <c r="Y711" s="268"/>
      <c r="Z711" s="268"/>
    </row>
    <row r="712" spans="1:26" ht="24.75" customHeight="1">
      <c r="A712" s="268"/>
      <c r="B712" s="268"/>
      <c r="C712" s="268"/>
      <c r="D712" s="268"/>
      <c r="E712" s="268"/>
      <c r="F712" s="268"/>
      <c r="G712" s="268"/>
      <c r="H712" s="268"/>
      <c r="I712" s="268"/>
      <c r="J712" s="268"/>
      <c r="K712" s="268"/>
      <c r="L712" s="334"/>
      <c r="M712" s="268"/>
      <c r="N712" s="268"/>
      <c r="O712" s="310"/>
      <c r="P712" s="268"/>
      <c r="Q712" s="334"/>
      <c r="R712" s="268"/>
      <c r="S712" s="313"/>
      <c r="T712" s="313"/>
      <c r="U712" s="268"/>
      <c r="V712" s="309"/>
      <c r="W712" s="310"/>
      <c r="X712" s="268"/>
      <c r="Y712" s="268"/>
      <c r="Z712" s="268"/>
    </row>
    <row r="713" spans="1:26" ht="24.75" customHeight="1">
      <c r="A713" s="268"/>
      <c r="B713" s="268"/>
      <c r="C713" s="268"/>
      <c r="D713" s="268"/>
      <c r="E713" s="268"/>
      <c r="F713" s="268"/>
      <c r="G713" s="268"/>
      <c r="H713" s="268"/>
      <c r="I713" s="268"/>
      <c r="J713" s="268"/>
      <c r="K713" s="268"/>
      <c r="L713" s="334"/>
      <c r="M713" s="268"/>
      <c r="N713" s="268"/>
      <c r="O713" s="310"/>
      <c r="P713" s="268"/>
      <c r="Q713" s="334"/>
      <c r="R713" s="268"/>
      <c r="S713" s="313"/>
      <c r="T713" s="313"/>
      <c r="U713" s="268"/>
      <c r="V713" s="309"/>
      <c r="W713" s="310"/>
      <c r="X713" s="268"/>
      <c r="Y713" s="268"/>
      <c r="Z713" s="268"/>
    </row>
    <row r="714" spans="1:26" ht="24.75" customHeight="1">
      <c r="A714" s="268"/>
      <c r="B714" s="268"/>
      <c r="C714" s="268"/>
      <c r="D714" s="268"/>
      <c r="E714" s="268"/>
      <c r="F714" s="268"/>
      <c r="G714" s="268"/>
      <c r="H714" s="268"/>
      <c r="I714" s="268"/>
      <c r="J714" s="268"/>
      <c r="K714" s="268"/>
      <c r="L714" s="334"/>
      <c r="M714" s="268"/>
      <c r="N714" s="268"/>
      <c r="O714" s="310"/>
      <c r="P714" s="268"/>
      <c r="Q714" s="334"/>
      <c r="R714" s="268"/>
      <c r="S714" s="313"/>
      <c r="T714" s="313"/>
      <c r="U714" s="268"/>
      <c r="V714" s="309"/>
      <c r="W714" s="310"/>
      <c r="X714" s="268"/>
      <c r="Y714" s="268"/>
      <c r="Z714" s="268"/>
    </row>
    <row r="715" spans="1:26" ht="24.75" customHeight="1">
      <c r="A715" s="268"/>
      <c r="B715" s="268"/>
      <c r="C715" s="268"/>
      <c r="D715" s="268"/>
      <c r="E715" s="268"/>
      <c r="F715" s="268"/>
      <c r="G715" s="268"/>
      <c r="H715" s="268"/>
      <c r="I715" s="268"/>
      <c r="J715" s="268"/>
      <c r="K715" s="268"/>
      <c r="L715" s="334"/>
      <c r="M715" s="268"/>
      <c r="N715" s="268"/>
      <c r="O715" s="310"/>
      <c r="P715" s="268"/>
      <c r="Q715" s="334"/>
      <c r="R715" s="268"/>
      <c r="S715" s="313"/>
      <c r="T715" s="313"/>
      <c r="U715" s="268"/>
      <c r="V715" s="309"/>
      <c r="W715" s="310"/>
      <c r="X715" s="268"/>
      <c r="Y715" s="268"/>
      <c r="Z715" s="268"/>
    </row>
    <row r="716" spans="1:26" ht="24.75" customHeight="1">
      <c r="A716" s="268"/>
      <c r="B716" s="268"/>
      <c r="C716" s="268"/>
      <c r="D716" s="268"/>
      <c r="E716" s="268"/>
      <c r="F716" s="268"/>
      <c r="G716" s="268"/>
      <c r="H716" s="268"/>
      <c r="I716" s="268"/>
      <c r="J716" s="268"/>
      <c r="K716" s="268"/>
      <c r="L716" s="334"/>
      <c r="M716" s="268"/>
      <c r="N716" s="268"/>
      <c r="O716" s="310"/>
      <c r="P716" s="268"/>
      <c r="Q716" s="334"/>
      <c r="R716" s="268"/>
      <c r="S716" s="313"/>
      <c r="T716" s="313"/>
      <c r="U716" s="268"/>
      <c r="V716" s="309"/>
      <c r="W716" s="310"/>
      <c r="X716" s="268"/>
      <c r="Y716" s="268"/>
      <c r="Z716" s="268"/>
    </row>
    <row r="717" spans="1:26" ht="24.75" customHeight="1">
      <c r="A717" s="268"/>
      <c r="B717" s="268"/>
      <c r="C717" s="268"/>
      <c r="D717" s="268"/>
      <c r="E717" s="268"/>
      <c r="F717" s="268"/>
      <c r="G717" s="268"/>
      <c r="H717" s="268"/>
      <c r="I717" s="268"/>
      <c r="J717" s="268"/>
      <c r="K717" s="268"/>
      <c r="L717" s="334"/>
      <c r="M717" s="268"/>
      <c r="N717" s="268"/>
      <c r="O717" s="310"/>
      <c r="P717" s="268"/>
      <c r="Q717" s="334"/>
      <c r="R717" s="268"/>
      <c r="S717" s="313"/>
      <c r="T717" s="313"/>
      <c r="U717" s="268"/>
      <c r="V717" s="309"/>
      <c r="W717" s="310"/>
      <c r="X717" s="268"/>
      <c r="Y717" s="268"/>
      <c r="Z717" s="268"/>
    </row>
    <row r="718" spans="1:26" ht="24.75" customHeight="1">
      <c r="A718" s="268"/>
      <c r="B718" s="268"/>
      <c r="C718" s="268"/>
      <c r="D718" s="268"/>
      <c r="E718" s="268"/>
      <c r="F718" s="268"/>
      <c r="G718" s="268"/>
      <c r="H718" s="268"/>
      <c r="I718" s="268"/>
      <c r="J718" s="268"/>
      <c r="K718" s="268"/>
      <c r="L718" s="334"/>
      <c r="M718" s="268"/>
      <c r="N718" s="268"/>
      <c r="O718" s="310"/>
      <c r="P718" s="268"/>
      <c r="Q718" s="334"/>
      <c r="R718" s="268"/>
      <c r="S718" s="313"/>
      <c r="T718" s="313"/>
      <c r="U718" s="268"/>
      <c r="V718" s="309"/>
      <c r="W718" s="310"/>
      <c r="X718" s="268"/>
      <c r="Y718" s="268"/>
      <c r="Z718" s="268"/>
    </row>
    <row r="719" spans="1:26" ht="24.75" customHeight="1">
      <c r="A719" s="268"/>
      <c r="B719" s="268"/>
      <c r="C719" s="268"/>
      <c r="D719" s="268"/>
      <c r="E719" s="268"/>
      <c r="F719" s="268"/>
      <c r="G719" s="268"/>
      <c r="H719" s="268"/>
      <c r="I719" s="268"/>
      <c r="J719" s="268"/>
      <c r="K719" s="268"/>
      <c r="L719" s="334"/>
      <c r="M719" s="268"/>
      <c r="N719" s="268"/>
      <c r="O719" s="310"/>
      <c r="P719" s="268"/>
      <c r="Q719" s="334"/>
      <c r="R719" s="268"/>
      <c r="S719" s="313"/>
      <c r="T719" s="313"/>
      <c r="U719" s="268"/>
      <c r="V719" s="309"/>
      <c r="W719" s="310"/>
      <c r="X719" s="268"/>
      <c r="Y719" s="268"/>
      <c r="Z719" s="268"/>
    </row>
    <row r="720" spans="1:26" ht="24.75" customHeight="1">
      <c r="A720" s="268"/>
      <c r="B720" s="268"/>
      <c r="C720" s="268"/>
      <c r="D720" s="268"/>
      <c r="E720" s="268"/>
      <c r="F720" s="268"/>
      <c r="G720" s="268"/>
      <c r="H720" s="268"/>
      <c r="I720" s="268"/>
      <c r="J720" s="268"/>
      <c r="K720" s="268"/>
      <c r="L720" s="334"/>
      <c r="M720" s="268"/>
      <c r="N720" s="268"/>
      <c r="O720" s="310"/>
      <c r="P720" s="268"/>
      <c r="Q720" s="334"/>
      <c r="R720" s="268"/>
      <c r="S720" s="313"/>
      <c r="T720" s="313"/>
      <c r="U720" s="268"/>
      <c r="V720" s="309"/>
      <c r="W720" s="310"/>
      <c r="X720" s="268"/>
      <c r="Y720" s="268"/>
      <c r="Z720" s="268"/>
    </row>
    <row r="721" spans="1:26" ht="24.75" customHeight="1">
      <c r="A721" s="268"/>
      <c r="B721" s="268"/>
      <c r="C721" s="268"/>
      <c r="D721" s="268"/>
      <c r="E721" s="268"/>
      <c r="F721" s="268"/>
      <c r="G721" s="268"/>
      <c r="H721" s="268"/>
      <c r="I721" s="268"/>
      <c r="J721" s="268"/>
      <c r="K721" s="268"/>
      <c r="L721" s="334"/>
      <c r="M721" s="268"/>
      <c r="N721" s="268"/>
      <c r="O721" s="310"/>
      <c r="P721" s="268"/>
      <c r="Q721" s="334"/>
      <c r="R721" s="268"/>
      <c r="S721" s="313"/>
      <c r="T721" s="313"/>
      <c r="U721" s="268"/>
      <c r="V721" s="309"/>
      <c r="W721" s="310"/>
      <c r="X721" s="268"/>
      <c r="Y721" s="268"/>
      <c r="Z721" s="268"/>
    </row>
    <row r="722" spans="1:26" ht="24.75" customHeight="1">
      <c r="A722" s="268"/>
      <c r="B722" s="268"/>
      <c r="C722" s="268"/>
      <c r="D722" s="268"/>
      <c r="E722" s="268"/>
      <c r="F722" s="268"/>
      <c r="G722" s="268"/>
      <c r="H722" s="268"/>
      <c r="I722" s="268"/>
      <c r="J722" s="268"/>
      <c r="K722" s="268"/>
      <c r="L722" s="334"/>
      <c r="M722" s="268"/>
      <c r="N722" s="268"/>
      <c r="O722" s="310"/>
      <c r="P722" s="268"/>
      <c r="Q722" s="334"/>
      <c r="R722" s="268"/>
      <c r="S722" s="313"/>
      <c r="T722" s="313"/>
      <c r="U722" s="268"/>
      <c r="V722" s="309"/>
      <c r="W722" s="310"/>
      <c r="X722" s="268"/>
      <c r="Y722" s="268"/>
      <c r="Z722" s="268"/>
    </row>
    <row r="723" spans="1:26" ht="24.75" customHeight="1">
      <c r="A723" s="268"/>
      <c r="B723" s="268"/>
      <c r="C723" s="268"/>
      <c r="D723" s="268"/>
      <c r="E723" s="268"/>
      <c r="F723" s="268"/>
      <c r="G723" s="268"/>
      <c r="H723" s="268"/>
      <c r="I723" s="268"/>
      <c r="J723" s="268"/>
      <c r="K723" s="268"/>
      <c r="L723" s="334"/>
      <c r="M723" s="268"/>
      <c r="N723" s="268"/>
      <c r="O723" s="310"/>
      <c r="P723" s="268"/>
      <c r="Q723" s="334"/>
      <c r="R723" s="268"/>
      <c r="S723" s="313"/>
      <c r="T723" s="313"/>
      <c r="U723" s="268"/>
      <c r="V723" s="309"/>
      <c r="W723" s="310"/>
      <c r="X723" s="268"/>
      <c r="Y723" s="268"/>
      <c r="Z723" s="268"/>
    </row>
    <row r="724" spans="1:26" ht="24.75" customHeight="1">
      <c r="A724" s="268"/>
      <c r="B724" s="268"/>
      <c r="C724" s="268"/>
      <c r="D724" s="268"/>
      <c r="E724" s="268"/>
      <c r="F724" s="268"/>
      <c r="G724" s="268"/>
      <c r="H724" s="268"/>
      <c r="I724" s="268"/>
      <c r="J724" s="268"/>
      <c r="K724" s="268"/>
      <c r="L724" s="334"/>
      <c r="M724" s="268"/>
      <c r="N724" s="268"/>
      <c r="O724" s="310"/>
      <c r="P724" s="268"/>
      <c r="Q724" s="334"/>
      <c r="R724" s="268"/>
      <c r="S724" s="313"/>
      <c r="T724" s="313"/>
      <c r="U724" s="268"/>
      <c r="V724" s="309"/>
      <c r="W724" s="310"/>
      <c r="X724" s="268"/>
      <c r="Y724" s="268"/>
      <c r="Z724" s="268"/>
    </row>
    <row r="725" spans="1:26" ht="24.75" customHeight="1">
      <c r="A725" s="268"/>
      <c r="B725" s="268"/>
      <c r="C725" s="268"/>
      <c r="D725" s="268"/>
      <c r="E725" s="268"/>
      <c r="F725" s="268"/>
      <c r="G725" s="268"/>
      <c r="H725" s="268"/>
      <c r="I725" s="268"/>
      <c r="J725" s="268"/>
      <c r="K725" s="268"/>
      <c r="L725" s="334"/>
      <c r="M725" s="268"/>
      <c r="N725" s="268"/>
      <c r="O725" s="310"/>
      <c r="P725" s="268"/>
      <c r="Q725" s="334"/>
      <c r="R725" s="268"/>
      <c r="S725" s="313"/>
      <c r="T725" s="313"/>
      <c r="U725" s="268"/>
      <c r="V725" s="309"/>
      <c r="W725" s="310"/>
      <c r="X725" s="268"/>
      <c r="Y725" s="268"/>
      <c r="Z725" s="268"/>
    </row>
    <row r="726" spans="1:26" ht="24.75" customHeight="1">
      <c r="A726" s="268"/>
      <c r="B726" s="268"/>
      <c r="C726" s="268"/>
      <c r="D726" s="268"/>
      <c r="E726" s="268"/>
      <c r="F726" s="268"/>
      <c r="G726" s="268"/>
      <c r="H726" s="268"/>
      <c r="I726" s="268"/>
      <c r="J726" s="268"/>
      <c r="K726" s="268"/>
      <c r="L726" s="334"/>
      <c r="M726" s="268"/>
      <c r="N726" s="268"/>
      <c r="O726" s="310"/>
      <c r="P726" s="268"/>
      <c r="Q726" s="334"/>
      <c r="R726" s="268"/>
      <c r="S726" s="313"/>
      <c r="T726" s="313"/>
      <c r="U726" s="268"/>
      <c r="V726" s="309"/>
      <c r="W726" s="310"/>
      <c r="X726" s="268"/>
      <c r="Y726" s="268"/>
      <c r="Z726" s="268"/>
    </row>
    <row r="727" spans="1:26" ht="24.75" customHeight="1">
      <c r="A727" s="268"/>
      <c r="B727" s="268"/>
      <c r="C727" s="268"/>
      <c r="D727" s="268"/>
      <c r="E727" s="268"/>
      <c r="F727" s="268"/>
      <c r="G727" s="268"/>
      <c r="H727" s="268"/>
      <c r="I727" s="268"/>
      <c r="J727" s="268"/>
      <c r="K727" s="268"/>
      <c r="L727" s="334"/>
      <c r="M727" s="268"/>
      <c r="N727" s="268"/>
      <c r="O727" s="310"/>
      <c r="P727" s="268"/>
      <c r="Q727" s="334"/>
      <c r="R727" s="268"/>
      <c r="S727" s="313"/>
      <c r="T727" s="313"/>
      <c r="U727" s="268"/>
      <c r="V727" s="309"/>
      <c r="W727" s="310"/>
      <c r="X727" s="268"/>
      <c r="Y727" s="268"/>
      <c r="Z727" s="268"/>
    </row>
    <row r="728" spans="1:26" ht="24.75" customHeight="1">
      <c r="A728" s="268"/>
      <c r="B728" s="268"/>
      <c r="C728" s="268"/>
      <c r="D728" s="268"/>
      <c r="E728" s="268"/>
      <c r="F728" s="268"/>
      <c r="G728" s="268"/>
      <c r="H728" s="268"/>
      <c r="I728" s="268"/>
      <c r="J728" s="268"/>
      <c r="K728" s="268"/>
      <c r="L728" s="334"/>
      <c r="M728" s="268"/>
      <c r="N728" s="268"/>
      <c r="O728" s="310"/>
      <c r="P728" s="268"/>
      <c r="Q728" s="334"/>
      <c r="R728" s="268"/>
      <c r="S728" s="313"/>
      <c r="T728" s="313"/>
      <c r="U728" s="268"/>
      <c r="V728" s="309"/>
      <c r="W728" s="310"/>
      <c r="X728" s="268"/>
      <c r="Y728" s="268"/>
      <c r="Z728" s="268"/>
    </row>
    <row r="729" spans="1:26" ht="24.75" customHeight="1">
      <c r="A729" s="268"/>
      <c r="B729" s="268"/>
      <c r="C729" s="268"/>
      <c r="D729" s="268"/>
      <c r="E729" s="268"/>
      <c r="F729" s="268"/>
      <c r="G729" s="268"/>
      <c r="H729" s="268"/>
      <c r="I729" s="268"/>
      <c r="J729" s="268"/>
      <c r="K729" s="268"/>
      <c r="L729" s="334"/>
      <c r="M729" s="268"/>
      <c r="N729" s="268"/>
      <c r="O729" s="310"/>
      <c r="P729" s="268"/>
      <c r="Q729" s="334"/>
      <c r="R729" s="268"/>
      <c r="S729" s="313"/>
      <c r="T729" s="313"/>
      <c r="U729" s="268"/>
      <c r="V729" s="309"/>
      <c r="W729" s="310"/>
      <c r="X729" s="268"/>
      <c r="Y729" s="268"/>
      <c r="Z729" s="268"/>
    </row>
    <row r="730" spans="1:26" ht="24.75" customHeight="1">
      <c r="A730" s="268"/>
      <c r="B730" s="268"/>
      <c r="C730" s="268"/>
      <c r="D730" s="268"/>
      <c r="E730" s="268"/>
      <c r="F730" s="268"/>
      <c r="G730" s="268"/>
      <c r="H730" s="268"/>
      <c r="I730" s="268"/>
      <c r="J730" s="268"/>
      <c r="K730" s="268"/>
      <c r="L730" s="334"/>
      <c r="M730" s="268"/>
      <c r="N730" s="268"/>
      <c r="O730" s="310"/>
      <c r="P730" s="268"/>
      <c r="Q730" s="334"/>
      <c r="R730" s="268"/>
      <c r="S730" s="313"/>
      <c r="T730" s="313"/>
      <c r="U730" s="268"/>
      <c r="V730" s="309"/>
      <c r="W730" s="310"/>
      <c r="X730" s="268"/>
      <c r="Y730" s="268"/>
      <c r="Z730" s="268"/>
    </row>
    <row r="731" spans="1:26" ht="24.75" customHeight="1">
      <c r="A731" s="268"/>
      <c r="B731" s="268"/>
      <c r="C731" s="268"/>
      <c r="D731" s="268"/>
      <c r="E731" s="268"/>
      <c r="F731" s="268"/>
      <c r="G731" s="268"/>
      <c r="H731" s="268"/>
      <c r="I731" s="268"/>
      <c r="J731" s="268"/>
      <c r="K731" s="268"/>
      <c r="L731" s="334"/>
      <c r="M731" s="268"/>
      <c r="N731" s="268"/>
      <c r="O731" s="310"/>
      <c r="P731" s="268"/>
      <c r="Q731" s="334"/>
      <c r="R731" s="268"/>
      <c r="S731" s="313"/>
      <c r="T731" s="313"/>
      <c r="U731" s="268"/>
      <c r="V731" s="309"/>
      <c r="W731" s="310"/>
      <c r="X731" s="268"/>
      <c r="Y731" s="268"/>
      <c r="Z731" s="268"/>
    </row>
    <row r="732" spans="1:26" ht="24.75" customHeight="1">
      <c r="A732" s="268"/>
      <c r="B732" s="268"/>
      <c r="C732" s="268"/>
      <c r="D732" s="268"/>
      <c r="E732" s="268"/>
      <c r="F732" s="268"/>
      <c r="G732" s="268"/>
      <c r="H732" s="268"/>
      <c r="I732" s="268"/>
      <c r="J732" s="268"/>
      <c r="K732" s="268"/>
      <c r="L732" s="334"/>
      <c r="M732" s="268"/>
      <c r="N732" s="268"/>
      <c r="O732" s="310"/>
      <c r="P732" s="268"/>
      <c r="Q732" s="334"/>
      <c r="R732" s="268"/>
      <c r="S732" s="313"/>
      <c r="T732" s="313"/>
      <c r="U732" s="268"/>
      <c r="V732" s="309"/>
      <c r="W732" s="310"/>
      <c r="X732" s="268"/>
      <c r="Y732" s="268"/>
      <c r="Z732" s="268"/>
    </row>
    <row r="733" spans="1:26" ht="24.75" customHeight="1">
      <c r="A733" s="268"/>
      <c r="B733" s="268"/>
      <c r="C733" s="268"/>
      <c r="D733" s="268"/>
      <c r="E733" s="268"/>
      <c r="F733" s="268"/>
      <c r="G733" s="268"/>
      <c r="H733" s="268"/>
      <c r="I733" s="268"/>
      <c r="J733" s="268"/>
      <c r="K733" s="268"/>
      <c r="L733" s="334"/>
      <c r="M733" s="268"/>
      <c r="N733" s="268"/>
      <c r="O733" s="310"/>
      <c r="P733" s="268"/>
      <c r="Q733" s="334"/>
      <c r="R733" s="268"/>
      <c r="S733" s="313"/>
      <c r="T733" s="313"/>
      <c r="U733" s="268"/>
      <c r="V733" s="309"/>
      <c r="W733" s="310"/>
      <c r="X733" s="268"/>
      <c r="Y733" s="268"/>
      <c r="Z733" s="268"/>
    </row>
    <row r="734" spans="1:26" ht="24.75" customHeight="1">
      <c r="A734" s="268"/>
      <c r="B734" s="268"/>
      <c r="C734" s="268"/>
      <c r="D734" s="268"/>
      <c r="E734" s="268"/>
      <c r="F734" s="268"/>
      <c r="G734" s="268"/>
      <c r="H734" s="268"/>
      <c r="I734" s="268"/>
      <c r="J734" s="268"/>
      <c r="K734" s="268"/>
      <c r="L734" s="334"/>
      <c r="M734" s="268"/>
      <c r="N734" s="268"/>
      <c r="O734" s="310"/>
      <c r="P734" s="268"/>
      <c r="Q734" s="334"/>
      <c r="R734" s="268"/>
      <c r="S734" s="313"/>
      <c r="T734" s="313"/>
      <c r="U734" s="268"/>
      <c r="V734" s="309"/>
      <c r="W734" s="310"/>
      <c r="X734" s="268"/>
      <c r="Y734" s="268"/>
      <c r="Z734" s="268"/>
    </row>
    <row r="735" spans="1:26" ht="24.75" customHeight="1">
      <c r="A735" s="268"/>
      <c r="B735" s="268"/>
      <c r="C735" s="268"/>
      <c r="D735" s="268"/>
      <c r="E735" s="268"/>
      <c r="F735" s="268"/>
      <c r="G735" s="268"/>
      <c r="H735" s="268"/>
      <c r="I735" s="268"/>
      <c r="J735" s="268"/>
      <c r="K735" s="268"/>
      <c r="L735" s="334"/>
      <c r="M735" s="268"/>
      <c r="N735" s="268"/>
      <c r="O735" s="310"/>
      <c r="P735" s="268"/>
      <c r="Q735" s="334"/>
      <c r="R735" s="268"/>
      <c r="S735" s="313"/>
      <c r="T735" s="313"/>
      <c r="U735" s="268"/>
      <c r="V735" s="309"/>
      <c r="W735" s="310"/>
      <c r="X735" s="268"/>
      <c r="Y735" s="268"/>
      <c r="Z735" s="268"/>
    </row>
    <row r="736" spans="1:26" ht="24.75" customHeight="1">
      <c r="A736" s="268"/>
      <c r="B736" s="268"/>
      <c r="C736" s="268"/>
      <c r="D736" s="268"/>
      <c r="E736" s="268"/>
      <c r="F736" s="268"/>
      <c r="G736" s="268"/>
      <c r="H736" s="268"/>
      <c r="I736" s="268"/>
      <c r="J736" s="268"/>
      <c r="K736" s="268"/>
      <c r="L736" s="334"/>
      <c r="M736" s="268"/>
      <c r="N736" s="268"/>
      <c r="O736" s="310"/>
      <c r="P736" s="268"/>
      <c r="Q736" s="334"/>
      <c r="R736" s="268"/>
      <c r="S736" s="313"/>
      <c r="T736" s="313"/>
      <c r="U736" s="268"/>
      <c r="V736" s="309"/>
      <c r="W736" s="310"/>
      <c r="X736" s="268"/>
      <c r="Y736" s="268"/>
      <c r="Z736" s="268"/>
    </row>
    <row r="737" spans="1:26" ht="24.75" customHeight="1">
      <c r="A737" s="268"/>
      <c r="B737" s="268"/>
      <c r="C737" s="268"/>
      <c r="D737" s="268"/>
      <c r="E737" s="268"/>
      <c r="F737" s="268"/>
      <c r="G737" s="268"/>
      <c r="H737" s="268"/>
      <c r="I737" s="268"/>
      <c r="J737" s="268"/>
      <c r="K737" s="268"/>
      <c r="L737" s="334"/>
      <c r="M737" s="268"/>
      <c r="N737" s="268"/>
      <c r="O737" s="310"/>
      <c r="P737" s="268"/>
      <c r="Q737" s="334"/>
      <c r="R737" s="268"/>
      <c r="S737" s="313"/>
      <c r="T737" s="313"/>
      <c r="U737" s="268"/>
      <c r="V737" s="309"/>
      <c r="W737" s="310"/>
      <c r="X737" s="268"/>
      <c r="Y737" s="268"/>
      <c r="Z737" s="268"/>
    </row>
    <row r="738" spans="1:26" ht="24.75" customHeight="1">
      <c r="A738" s="268"/>
      <c r="B738" s="268"/>
      <c r="C738" s="268"/>
      <c r="D738" s="268"/>
      <c r="E738" s="268"/>
      <c r="F738" s="268"/>
      <c r="G738" s="268"/>
      <c r="H738" s="268"/>
      <c r="I738" s="268"/>
      <c r="J738" s="268"/>
      <c r="K738" s="268"/>
      <c r="L738" s="334"/>
      <c r="M738" s="268"/>
      <c r="N738" s="268"/>
      <c r="O738" s="310"/>
      <c r="P738" s="268"/>
      <c r="Q738" s="334"/>
      <c r="R738" s="268"/>
      <c r="S738" s="313"/>
      <c r="T738" s="313"/>
      <c r="U738" s="268"/>
      <c r="V738" s="309"/>
      <c r="W738" s="310"/>
      <c r="X738" s="268"/>
      <c r="Y738" s="268"/>
      <c r="Z738" s="268"/>
    </row>
    <row r="739" spans="1:26" ht="24.75" customHeight="1">
      <c r="A739" s="268"/>
      <c r="B739" s="268"/>
      <c r="C739" s="268"/>
      <c r="D739" s="268"/>
      <c r="E739" s="268"/>
      <c r="F739" s="268"/>
      <c r="G739" s="268"/>
      <c r="H739" s="268"/>
      <c r="I739" s="268"/>
      <c r="J739" s="268"/>
      <c r="K739" s="268"/>
      <c r="L739" s="334"/>
      <c r="M739" s="268"/>
      <c r="N739" s="268"/>
      <c r="O739" s="310"/>
      <c r="P739" s="268"/>
      <c r="Q739" s="334"/>
      <c r="R739" s="268"/>
      <c r="S739" s="313"/>
      <c r="T739" s="313"/>
      <c r="U739" s="268"/>
      <c r="V739" s="309"/>
      <c r="W739" s="310"/>
      <c r="X739" s="268"/>
      <c r="Y739" s="268"/>
      <c r="Z739" s="268"/>
    </row>
    <row r="740" spans="1:26" ht="24.75" customHeight="1">
      <c r="A740" s="268"/>
      <c r="B740" s="268"/>
      <c r="C740" s="268"/>
      <c r="D740" s="268"/>
      <c r="E740" s="268"/>
      <c r="F740" s="268"/>
      <c r="G740" s="268"/>
      <c r="H740" s="268"/>
      <c r="I740" s="268"/>
      <c r="J740" s="268"/>
      <c r="K740" s="268"/>
      <c r="L740" s="334"/>
      <c r="M740" s="268"/>
      <c r="N740" s="268"/>
      <c r="O740" s="310"/>
      <c r="P740" s="268"/>
      <c r="Q740" s="334"/>
      <c r="R740" s="268"/>
      <c r="S740" s="313"/>
      <c r="T740" s="313"/>
      <c r="U740" s="268"/>
      <c r="V740" s="309"/>
      <c r="W740" s="310"/>
      <c r="X740" s="268"/>
      <c r="Y740" s="268"/>
      <c r="Z740" s="268"/>
    </row>
    <row r="741" spans="1:26" ht="24.75" customHeight="1">
      <c r="A741" s="268"/>
      <c r="B741" s="268"/>
      <c r="C741" s="268"/>
      <c r="D741" s="268"/>
      <c r="E741" s="268"/>
      <c r="F741" s="268"/>
      <c r="G741" s="268"/>
      <c r="H741" s="268"/>
      <c r="I741" s="268"/>
      <c r="J741" s="268"/>
      <c r="K741" s="268"/>
      <c r="L741" s="334"/>
      <c r="M741" s="268"/>
      <c r="N741" s="268"/>
      <c r="O741" s="310"/>
      <c r="P741" s="268"/>
      <c r="Q741" s="334"/>
      <c r="R741" s="268"/>
      <c r="S741" s="313"/>
      <c r="T741" s="313"/>
      <c r="U741" s="268"/>
      <c r="V741" s="309"/>
      <c r="W741" s="310"/>
      <c r="X741" s="268"/>
      <c r="Y741" s="268"/>
      <c r="Z741" s="268"/>
    </row>
    <row r="742" spans="1:26" ht="24.75" customHeight="1">
      <c r="A742" s="268"/>
      <c r="B742" s="268"/>
      <c r="C742" s="268"/>
      <c r="D742" s="268"/>
      <c r="E742" s="268"/>
      <c r="F742" s="268"/>
      <c r="G742" s="268"/>
      <c r="H742" s="268"/>
      <c r="I742" s="268"/>
      <c r="J742" s="268"/>
      <c r="K742" s="268"/>
      <c r="L742" s="334"/>
      <c r="M742" s="268"/>
      <c r="N742" s="268"/>
      <c r="O742" s="310"/>
      <c r="P742" s="268"/>
      <c r="Q742" s="334"/>
      <c r="R742" s="268"/>
      <c r="S742" s="313"/>
      <c r="T742" s="313"/>
      <c r="U742" s="268"/>
      <c r="V742" s="309"/>
      <c r="W742" s="310"/>
      <c r="X742" s="268"/>
      <c r="Y742" s="268"/>
      <c r="Z742" s="268"/>
    </row>
    <row r="743" spans="1:26" ht="24.75" customHeight="1">
      <c r="A743" s="268"/>
      <c r="B743" s="268"/>
      <c r="C743" s="268"/>
      <c r="D743" s="268"/>
      <c r="E743" s="268"/>
      <c r="F743" s="268"/>
      <c r="G743" s="268"/>
      <c r="H743" s="268"/>
      <c r="I743" s="268"/>
      <c r="J743" s="268"/>
      <c r="K743" s="268"/>
      <c r="L743" s="334"/>
      <c r="M743" s="268"/>
      <c r="N743" s="268"/>
      <c r="O743" s="310"/>
      <c r="P743" s="268"/>
      <c r="Q743" s="334"/>
      <c r="R743" s="268"/>
      <c r="S743" s="313"/>
      <c r="T743" s="313"/>
      <c r="U743" s="268"/>
      <c r="V743" s="309"/>
      <c r="W743" s="310"/>
      <c r="X743" s="268"/>
      <c r="Y743" s="268"/>
      <c r="Z743" s="268"/>
    </row>
    <row r="744" spans="1:26" ht="24.75" customHeight="1">
      <c r="A744" s="268"/>
      <c r="B744" s="268"/>
      <c r="C744" s="268"/>
      <c r="D744" s="268"/>
      <c r="E744" s="268"/>
      <c r="F744" s="268"/>
      <c r="G744" s="268"/>
      <c r="H744" s="268"/>
      <c r="I744" s="268"/>
      <c r="J744" s="268"/>
      <c r="K744" s="268"/>
      <c r="L744" s="334"/>
      <c r="M744" s="268"/>
      <c r="N744" s="268"/>
      <c r="O744" s="310"/>
      <c r="P744" s="268"/>
      <c r="Q744" s="334"/>
      <c r="R744" s="268"/>
      <c r="S744" s="313"/>
      <c r="T744" s="313"/>
      <c r="U744" s="268"/>
      <c r="V744" s="309"/>
      <c r="W744" s="310"/>
      <c r="X744" s="268"/>
      <c r="Y744" s="268"/>
      <c r="Z744" s="268"/>
    </row>
    <row r="745" spans="1:26" ht="24.75" customHeight="1">
      <c r="A745" s="268"/>
      <c r="B745" s="268"/>
      <c r="C745" s="268"/>
      <c r="D745" s="268"/>
      <c r="E745" s="268"/>
      <c r="F745" s="268"/>
      <c r="G745" s="268"/>
      <c r="H745" s="268"/>
      <c r="I745" s="268"/>
      <c r="J745" s="268"/>
      <c r="K745" s="268"/>
      <c r="L745" s="334"/>
      <c r="M745" s="268"/>
      <c r="N745" s="268"/>
      <c r="O745" s="310"/>
      <c r="P745" s="268"/>
      <c r="Q745" s="334"/>
      <c r="R745" s="268"/>
      <c r="S745" s="313"/>
      <c r="T745" s="313"/>
      <c r="U745" s="268"/>
      <c r="V745" s="309"/>
      <c r="W745" s="310"/>
      <c r="X745" s="268"/>
      <c r="Y745" s="268"/>
      <c r="Z745" s="268"/>
    </row>
    <row r="746" spans="1:26" ht="24.75" customHeight="1">
      <c r="A746" s="268"/>
      <c r="B746" s="268"/>
      <c r="C746" s="268"/>
      <c r="D746" s="268"/>
      <c r="E746" s="268"/>
      <c r="F746" s="268"/>
      <c r="G746" s="268"/>
      <c r="H746" s="268"/>
      <c r="I746" s="268"/>
      <c r="J746" s="268"/>
      <c r="K746" s="268"/>
      <c r="L746" s="334"/>
      <c r="M746" s="268"/>
      <c r="N746" s="268"/>
      <c r="O746" s="310"/>
      <c r="P746" s="268"/>
      <c r="Q746" s="334"/>
      <c r="R746" s="268"/>
      <c r="S746" s="313"/>
      <c r="T746" s="313"/>
      <c r="U746" s="268"/>
      <c r="V746" s="309"/>
      <c r="W746" s="310"/>
      <c r="X746" s="268"/>
      <c r="Y746" s="268"/>
      <c r="Z746" s="268"/>
    </row>
    <row r="747" spans="1:26" ht="24.75" customHeight="1">
      <c r="A747" s="268"/>
      <c r="B747" s="268"/>
      <c r="C747" s="268"/>
      <c r="D747" s="268"/>
      <c r="E747" s="268"/>
      <c r="F747" s="268"/>
      <c r="G747" s="268"/>
      <c r="H747" s="268"/>
      <c r="I747" s="268"/>
      <c r="J747" s="268"/>
      <c r="K747" s="268"/>
      <c r="L747" s="334"/>
      <c r="M747" s="268"/>
      <c r="N747" s="268"/>
      <c r="O747" s="310"/>
      <c r="P747" s="268"/>
      <c r="Q747" s="334"/>
      <c r="R747" s="268"/>
      <c r="S747" s="313"/>
      <c r="T747" s="313"/>
      <c r="U747" s="268"/>
      <c r="V747" s="309"/>
      <c r="W747" s="310"/>
      <c r="X747" s="268"/>
      <c r="Y747" s="268"/>
      <c r="Z747" s="268"/>
    </row>
    <row r="748" spans="1:26" ht="24.75" customHeight="1">
      <c r="A748" s="268"/>
      <c r="B748" s="268"/>
      <c r="C748" s="268"/>
      <c r="D748" s="268"/>
      <c r="E748" s="268"/>
      <c r="F748" s="268"/>
      <c r="G748" s="268"/>
      <c r="H748" s="268"/>
      <c r="I748" s="268"/>
      <c r="J748" s="268"/>
      <c r="K748" s="268"/>
      <c r="L748" s="334"/>
      <c r="M748" s="268"/>
      <c r="N748" s="268"/>
      <c r="O748" s="310"/>
      <c r="P748" s="268"/>
      <c r="Q748" s="334"/>
      <c r="R748" s="268"/>
      <c r="S748" s="313"/>
      <c r="T748" s="313"/>
      <c r="U748" s="268"/>
      <c r="V748" s="309"/>
      <c r="W748" s="310"/>
      <c r="X748" s="268"/>
      <c r="Y748" s="268"/>
      <c r="Z748" s="268"/>
    </row>
    <row r="749" spans="1:26" ht="24.75" customHeight="1">
      <c r="A749" s="268"/>
      <c r="B749" s="268"/>
      <c r="C749" s="268"/>
      <c r="D749" s="268"/>
      <c r="E749" s="268"/>
      <c r="F749" s="268"/>
      <c r="G749" s="268"/>
      <c r="H749" s="268"/>
      <c r="I749" s="268"/>
      <c r="J749" s="268"/>
      <c r="K749" s="268"/>
      <c r="L749" s="334"/>
      <c r="M749" s="268"/>
      <c r="N749" s="268"/>
      <c r="O749" s="310"/>
      <c r="P749" s="268"/>
      <c r="Q749" s="334"/>
      <c r="R749" s="268"/>
      <c r="S749" s="313"/>
      <c r="T749" s="313"/>
      <c r="U749" s="268"/>
      <c r="V749" s="309"/>
      <c r="W749" s="310"/>
      <c r="X749" s="268"/>
      <c r="Y749" s="268"/>
      <c r="Z749" s="268"/>
    </row>
    <row r="750" spans="1:26" ht="24.75" customHeight="1">
      <c r="A750" s="268"/>
      <c r="B750" s="268"/>
      <c r="C750" s="268"/>
      <c r="D750" s="268"/>
      <c r="E750" s="268"/>
      <c r="F750" s="268"/>
      <c r="G750" s="268"/>
      <c r="H750" s="268"/>
      <c r="I750" s="268"/>
      <c r="J750" s="268"/>
      <c r="K750" s="268"/>
      <c r="L750" s="334"/>
      <c r="M750" s="268"/>
      <c r="N750" s="268"/>
      <c r="O750" s="310"/>
      <c r="P750" s="268"/>
      <c r="Q750" s="334"/>
      <c r="R750" s="268"/>
      <c r="S750" s="313"/>
      <c r="T750" s="313"/>
      <c r="U750" s="268"/>
      <c r="V750" s="309"/>
      <c r="W750" s="310"/>
      <c r="X750" s="268"/>
      <c r="Y750" s="268"/>
      <c r="Z750" s="268"/>
    </row>
    <row r="751" spans="1:26" ht="24.75" customHeight="1">
      <c r="A751" s="268"/>
      <c r="B751" s="268"/>
      <c r="C751" s="268"/>
      <c r="D751" s="268"/>
      <c r="E751" s="268"/>
      <c r="F751" s="268"/>
      <c r="G751" s="268"/>
      <c r="H751" s="268"/>
      <c r="I751" s="268"/>
      <c r="J751" s="268"/>
      <c r="K751" s="268"/>
      <c r="L751" s="334"/>
      <c r="M751" s="268"/>
      <c r="N751" s="268"/>
      <c r="O751" s="310"/>
      <c r="P751" s="268"/>
      <c r="Q751" s="334"/>
      <c r="R751" s="268"/>
      <c r="S751" s="313"/>
      <c r="T751" s="313"/>
      <c r="U751" s="268"/>
      <c r="V751" s="309"/>
      <c r="W751" s="310"/>
      <c r="X751" s="268"/>
      <c r="Y751" s="268"/>
      <c r="Z751" s="268"/>
    </row>
    <row r="752" spans="1:26" ht="24.75" customHeight="1">
      <c r="A752" s="268"/>
      <c r="B752" s="268"/>
      <c r="C752" s="268"/>
      <c r="D752" s="268"/>
      <c r="E752" s="268"/>
      <c r="F752" s="268"/>
      <c r="G752" s="268"/>
      <c r="H752" s="268"/>
      <c r="I752" s="268"/>
      <c r="J752" s="268"/>
      <c r="K752" s="268"/>
      <c r="L752" s="334"/>
      <c r="M752" s="268"/>
      <c r="N752" s="268"/>
      <c r="O752" s="310"/>
      <c r="P752" s="268"/>
      <c r="Q752" s="334"/>
      <c r="R752" s="268"/>
      <c r="S752" s="313"/>
      <c r="T752" s="313"/>
      <c r="U752" s="268"/>
      <c r="V752" s="309"/>
      <c r="W752" s="310"/>
      <c r="X752" s="268"/>
      <c r="Y752" s="268"/>
      <c r="Z752" s="268"/>
    </row>
    <row r="753" spans="1:26" ht="24.75" customHeight="1">
      <c r="A753" s="268"/>
      <c r="B753" s="268"/>
      <c r="C753" s="268"/>
      <c r="D753" s="268"/>
      <c r="E753" s="268"/>
      <c r="F753" s="268"/>
      <c r="G753" s="268"/>
      <c r="H753" s="268"/>
      <c r="I753" s="268"/>
      <c r="J753" s="268"/>
      <c r="K753" s="268"/>
      <c r="L753" s="334"/>
      <c r="M753" s="268"/>
      <c r="N753" s="268"/>
      <c r="O753" s="310"/>
      <c r="P753" s="268"/>
      <c r="Q753" s="334"/>
      <c r="R753" s="268"/>
      <c r="S753" s="313"/>
      <c r="T753" s="313"/>
      <c r="U753" s="268"/>
      <c r="V753" s="309"/>
      <c r="W753" s="310"/>
      <c r="X753" s="268"/>
      <c r="Y753" s="268"/>
      <c r="Z753" s="268"/>
    </row>
    <row r="754" spans="1:26" ht="24.75" customHeight="1">
      <c r="A754" s="268"/>
      <c r="B754" s="268"/>
      <c r="C754" s="268"/>
      <c r="D754" s="268"/>
      <c r="E754" s="268"/>
      <c r="F754" s="268"/>
      <c r="G754" s="268"/>
      <c r="H754" s="268"/>
      <c r="I754" s="268"/>
      <c r="J754" s="268"/>
      <c r="K754" s="268"/>
      <c r="L754" s="334"/>
      <c r="M754" s="268"/>
      <c r="N754" s="268"/>
      <c r="O754" s="310"/>
      <c r="P754" s="268"/>
      <c r="Q754" s="334"/>
      <c r="R754" s="268"/>
      <c r="S754" s="313"/>
      <c r="T754" s="313"/>
      <c r="U754" s="268"/>
      <c r="V754" s="309"/>
      <c r="W754" s="310"/>
      <c r="X754" s="268"/>
      <c r="Y754" s="268"/>
      <c r="Z754" s="268"/>
    </row>
    <row r="755" spans="1:26" ht="24.75" customHeight="1">
      <c r="A755" s="268"/>
      <c r="B755" s="268"/>
      <c r="C755" s="268"/>
      <c r="D755" s="268"/>
      <c r="E755" s="268"/>
      <c r="F755" s="268"/>
      <c r="G755" s="268"/>
      <c r="H755" s="268"/>
      <c r="I755" s="268"/>
      <c r="J755" s="268"/>
      <c r="K755" s="268"/>
      <c r="L755" s="334"/>
      <c r="M755" s="268"/>
      <c r="N755" s="268"/>
      <c r="O755" s="310"/>
      <c r="P755" s="268"/>
      <c r="Q755" s="334"/>
      <c r="R755" s="268"/>
      <c r="S755" s="313"/>
      <c r="T755" s="313"/>
      <c r="U755" s="268"/>
      <c r="V755" s="309"/>
      <c r="W755" s="310"/>
      <c r="X755" s="268"/>
      <c r="Y755" s="268"/>
      <c r="Z755" s="268"/>
    </row>
    <row r="756" spans="1:26" ht="24.75" customHeight="1">
      <c r="A756" s="268"/>
      <c r="B756" s="268"/>
      <c r="C756" s="268"/>
      <c r="D756" s="268"/>
      <c r="E756" s="268"/>
      <c r="F756" s="268"/>
      <c r="G756" s="268"/>
      <c r="H756" s="268"/>
      <c r="I756" s="268"/>
      <c r="J756" s="268"/>
      <c r="K756" s="268"/>
      <c r="L756" s="334"/>
      <c r="M756" s="268"/>
      <c r="N756" s="268"/>
      <c r="O756" s="310"/>
      <c r="P756" s="268"/>
      <c r="Q756" s="334"/>
      <c r="R756" s="268"/>
      <c r="S756" s="313"/>
      <c r="T756" s="313"/>
      <c r="U756" s="268"/>
      <c r="V756" s="309"/>
      <c r="W756" s="310"/>
      <c r="X756" s="268"/>
      <c r="Y756" s="268"/>
      <c r="Z756" s="268"/>
    </row>
    <row r="757" spans="1:26" ht="24.75" customHeight="1">
      <c r="A757" s="268"/>
      <c r="B757" s="268"/>
      <c r="C757" s="268"/>
      <c r="D757" s="268"/>
      <c r="E757" s="268"/>
      <c r="F757" s="268"/>
      <c r="G757" s="268"/>
      <c r="H757" s="268"/>
      <c r="I757" s="268"/>
      <c r="J757" s="268"/>
      <c r="K757" s="268"/>
      <c r="L757" s="334"/>
      <c r="M757" s="268"/>
      <c r="N757" s="268"/>
      <c r="O757" s="310"/>
      <c r="P757" s="268"/>
      <c r="Q757" s="334"/>
      <c r="R757" s="268"/>
      <c r="S757" s="313"/>
      <c r="T757" s="313"/>
      <c r="U757" s="268"/>
      <c r="V757" s="309"/>
      <c r="W757" s="310"/>
      <c r="X757" s="268"/>
      <c r="Y757" s="268"/>
      <c r="Z757" s="268"/>
    </row>
    <row r="758" spans="1:26" ht="24.75" customHeight="1">
      <c r="A758" s="268"/>
      <c r="B758" s="268"/>
      <c r="C758" s="268"/>
      <c r="D758" s="268"/>
      <c r="E758" s="268"/>
      <c r="F758" s="268"/>
      <c r="G758" s="268"/>
      <c r="H758" s="268"/>
      <c r="I758" s="268"/>
      <c r="J758" s="268"/>
      <c r="K758" s="268"/>
      <c r="L758" s="334"/>
      <c r="M758" s="268"/>
      <c r="N758" s="268"/>
      <c r="O758" s="310"/>
      <c r="P758" s="268"/>
      <c r="Q758" s="334"/>
      <c r="R758" s="268"/>
      <c r="S758" s="313"/>
      <c r="T758" s="313"/>
      <c r="U758" s="268"/>
      <c r="V758" s="309"/>
      <c r="W758" s="310"/>
      <c r="X758" s="268"/>
      <c r="Y758" s="268"/>
      <c r="Z758" s="268"/>
    </row>
    <row r="759" spans="1:26" ht="24.75" customHeight="1">
      <c r="A759" s="268"/>
      <c r="B759" s="268"/>
      <c r="C759" s="268"/>
      <c r="D759" s="268"/>
      <c r="E759" s="268"/>
      <c r="F759" s="268"/>
      <c r="G759" s="268"/>
      <c r="H759" s="268"/>
      <c r="I759" s="268"/>
      <c r="J759" s="268"/>
      <c r="K759" s="268"/>
      <c r="L759" s="334"/>
      <c r="M759" s="268"/>
      <c r="N759" s="268"/>
      <c r="O759" s="310"/>
      <c r="P759" s="268"/>
      <c r="Q759" s="334"/>
      <c r="R759" s="268"/>
      <c r="S759" s="313"/>
      <c r="T759" s="313"/>
      <c r="U759" s="268"/>
      <c r="V759" s="309"/>
      <c r="W759" s="310"/>
      <c r="X759" s="268"/>
      <c r="Y759" s="268"/>
      <c r="Z759" s="268"/>
    </row>
    <row r="760" spans="1:26" ht="24.75" customHeight="1">
      <c r="A760" s="268"/>
      <c r="B760" s="268"/>
      <c r="C760" s="268"/>
      <c r="D760" s="268"/>
      <c r="E760" s="268"/>
      <c r="F760" s="268"/>
      <c r="G760" s="268"/>
      <c r="H760" s="268"/>
      <c r="I760" s="268"/>
      <c r="J760" s="268"/>
      <c r="K760" s="268"/>
      <c r="L760" s="334"/>
      <c r="M760" s="268"/>
      <c r="N760" s="268"/>
      <c r="O760" s="310"/>
      <c r="P760" s="268"/>
      <c r="Q760" s="334"/>
      <c r="R760" s="268"/>
      <c r="S760" s="313"/>
      <c r="T760" s="313"/>
      <c r="U760" s="268"/>
      <c r="V760" s="309"/>
      <c r="W760" s="310"/>
      <c r="X760" s="268"/>
      <c r="Y760" s="268"/>
      <c r="Z760" s="268"/>
    </row>
    <row r="761" spans="1:26" ht="24.75" customHeight="1">
      <c r="A761" s="268"/>
      <c r="B761" s="268"/>
      <c r="C761" s="268"/>
      <c r="D761" s="268"/>
      <c r="E761" s="268"/>
      <c r="F761" s="268"/>
      <c r="G761" s="268"/>
      <c r="H761" s="268"/>
      <c r="I761" s="268"/>
      <c r="J761" s="268"/>
      <c r="K761" s="268"/>
      <c r="L761" s="334"/>
      <c r="M761" s="268"/>
      <c r="N761" s="268"/>
      <c r="O761" s="310"/>
      <c r="P761" s="268"/>
      <c r="Q761" s="334"/>
      <c r="R761" s="268"/>
      <c r="S761" s="313"/>
      <c r="T761" s="313"/>
      <c r="U761" s="268"/>
      <c r="V761" s="309"/>
      <c r="W761" s="310"/>
      <c r="X761" s="268"/>
      <c r="Y761" s="268"/>
      <c r="Z761" s="268"/>
    </row>
    <row r="762" spans="1:26" ht="24.75" customHeight="1">
      <c r="A762" s="268"/>
      <c r="B762" s="268"/>
      <c r="C762" s="268"/>
      <c r="D762" s="268"/>
      <c r="E762" s="268"/>
      <c r="F762" s="268"/>
      <c r="G762" s="268"/>
      <c r="H762" s="268"/>
      <c r="I762" s="268"/>
      <c r="J762" s="268"/>
      <c r="K762" s="268"/>
      <c r="L762" s="334"/>
      <c r="M762" s="268"/>
      <c r="N762" s="268"/>
      <c r="O762" s="310"/>
      <c r="P762" s="268"/>
      <c r="Q762" s="334"/>
      <c r="R762" s="268"/>
      <c r="S762" s="313"/>
      <c r="T762" s="313"/>
      <c r="U762" s="268"/>
      <c r="V762" s="309"/>
      <c r="W762" s="310"/>
      <c r="X762" s="268"/>
      <c r="Y762" s="268"/>
      <c r="Z762" s="268"/>
    </row>
    <row r="763" spans="1:26" ht="24.75" customHeight="1">
      <c r="A763" s="268"/>
      <c r="B763" s="268"/>
      <c r="C763" s="268"/>
      <c r="D763" s="268"/>
      <c r="E763" s="268"/>
      <c r="F763" s="268"/>
      <c r="G763" s="268"/>
      <c r="H763" s="268"/>
      <c r="I763" s="268"/>
      <c r="J763" s="268"/>
      <c r="K763" s="268"/>
      <c r="L763" s="334"/>
      <c r="M763" s="268"/>
      <c r="N763" s="268"/>
      <c r="O763" s="310"/>
      <c r="P763" s="268"/>
      <c r="Q763" s="334"/>
      <c r="R763" s="268"/>
      <c r="S763" s="313"/>
      <c r="T763" s="313"/>
      <c r="U763" s="268"/>
      <c r="V763" s="309"/>
      <c r="W763" s="310"/>
      <c r="X763" s="268"/>
      <c r="Y763" s="268"/>
      <c r="Z763" s="268"/>
    </row>
    <row r="764" spans="1:26" ht="24.75" customHeight="1">
      <c r="A764" s="268"/>
      <c r="B764" s="268"/>
      <c r="C764" s="268"/>
      <c r="D764" s="268"/>
      <c r="E764" s="268"/>
      <c r="F764" s="268"/>
      <c r="G764" s="268"/>
      <c r="H764" s="268"/>
      <c r="I764" s="268"/>
      <c r="J764" s="268"/>
      <c r="K764" s="268"/>
      <c r="L764" s="334"/>
      <c r="M764" s="268"/>
      <c r="N764" s="268"/>
      <c r="O764" s="310"/>
      <c r="P764" s="268"/>
      <c r="Q764" s="334"/>
      <c r="R764" s="268"/>
      <c r="S764" s="313"/>
      <c r="T764" s="313"/>
      <c r="U764" s="268"/>
      <c r="V764" s="309"/>
      <c r="W764" s="310"/>
      <c r="X764" s="268"/>
      <c r="Y764" s="268"/>
      <c r="Z764" s="268"/>
    </row>
    <row r="765" spans="1:26" ht="24.75" customHeight="1">
      <c r="A765" s="268"/>
      <c r="B765" s="268"/>
      <c r="C765" s="268"/>
      <c r="D765" s="268"/>
      <c r="E765" s="268"/>
      <c r="F765" s="268"/>
      <c r="G765" s="268"/>
      <c r="H765" s="268"/>
      <c r="I765" s="268"/>
      <c r="J765" s="268"/>
      <c r="K765" s="268"/>
      <c r="L765" s="334"/>
      <c r="M765" s="268"/>
      <c r="N765" s="268"/>
      <c r="O765" s="310"/>
      <c r="P765" s="268"/>
      <c r="Q765" s="334"/>
      <c r="R765" s="268"/>
      <c r="S765" s="313"/>
      <c r="T765" s="313"/>
      <c r="U765" s="268"/>
      <c r="V765" s="309"/>
      <c r="W765" s="310"/>
      <c r="X765" s="268"/>
      <c r="Y765" s="268"/>
      <c r="Z765" s="268"/>
    </row>
    <row r="766" spans="1:26" ht="24.75" customHeight="1">
      <c r="A766" s="268"/>
      <c r="B766" s="268"/>
      <c r="C766" s="268"/>
      <c r="D766" s="268"/>
      <c r="E766" s="268"/>
      <c r="F766" s="268"/>
      <c r="G766" s="268"/>
      <c r="H766" s="268"/>
      <c r="I766" s="268"/>
      <c r="J766" s="268"/>
      <c r="K766" s="268"/>
      <c r="L766" s="334"/>
      <c r="M766" s="268"/>
      <c r="N766" s="268"/>
      <c r="O766" s="310"/>
      <c r="P766" s="268"/>
      <c r="Q766" s="334"/>
      <c r="R766" s="268"/>
      <c r="S766" s="313"/>
      <c r="T766" s="313"/>
      <c r="U766" s="268"/>
      <c r="V766" s="309"/>
      <c r="W766" s="310"/>
      <c r="X766" s="268"/>
      <c r="Y766" s="268"/>
      <c r="Z766" s="268"/>
    </row>
    <row r="767" spans="1:26" ht="24.75" customHeight="1">
      <c r="A767" s="268"/>
      <c r="B767" s="268"/>
      <c r="C767" s="268"/>
      <c r="D767" s="268"/>
      <c r="E767" s="268"/>
      <c r="F767" s="268"/>
      <c r="G767" s="268"/>
      <c r="H767" s="268"/>
      <c r="I767" s="268"/>
      <c r="J767" s="268"/>
      <c r="K767" s="268"/>
      <c r="L767" s="334"/>
      <c r="M767" s="268"/>
      <c r="N767" s="268"/>
      <c r="O767" s="310"/>
      <c r="P767" s="268"/>
      <c r="Q767" s="334"/>
      <c r="R767" s="268"/>
      <c r="S767" s="313"/>
      <c r="T767" s="313"/>
      <c r="U767" s="268"/>
      <c r="V767" s="309"/>
      <c r="W767" s="310"/>
      <c r="X767" s="268"/>
      <c r="Y767" s="268"/>
      <c r="Z767" s="268"/>
    </row>
    <row r="768" spans="1:26" ht="24.75" customHeight="1">
      <c r="A768" s="268"/>
      <c r="B768" s="268"/>
      <c r="C768" s="268"/>
      <c r="D768" s="268"/>
      <c r="E768" s="268"/>
      <c r="F768" s="268"/>
      <c r="G768" s="268"/>
      <c r="H768" s="268"/>
      <c r="I768" s="268"/>
      <c r="J768" s="268"/>
      <c r="K768" s="268"/>
      <c r="L768" s="334"/>
      <c r="M768" s="268"/>
      <c r="N768" s="268"/>
      <c r="O768" s="310"/>
      <c r="P768" s="268"/>
      <c r="Q768" s="334"/>
      <c r="R768" s="268"/>
      <c r="S768" s="313"/>
      <c r="T768" s="313"/>
      <c r="U768" s="268"/>
      <c r="V768" s="309"/>
      <c r="W768" s="310"/>
      <c r="X768" s="268"/>
      <c r="Y768" s="268"/>
      <c r="Z768" s="268"/>
    </row>
    <row r="769" spans="1:26" ht="24.75" customHeight="1">
      <c r="A769" s="268"/>
      <c r="B769" s="268"/>
      <c r="C769" s="268"/>
      <c r="D769" s="268"/>
      <c r="E769" s="268"/>
      <c r="F769" s="268"/>
      <c r="G769" s="268"/>
      <c r="H769" s="268"/>
      <c r="I769" s="268"/>
      <c r="J769" s="268"/>
      <c r="K769" s="268"/>
      <c r="L769" s="334"/>
      <c r="M769" s="268"/>
      <c r="N769" s="268"/>
      <c r="O769" s="310"/>
      <c r="P769" s="268"/>
      <c r="Q769" s="334"/>
      <c r="R769" s="268"/>
      <c r="S769" s="313"/>
      <c r="T769" s="313"/>
      <c r="U769" s="268"/>
      <c r="V769" s="309"/>
      <c r="W769" s="310"/>
      <c r="X769" s="268"/>
      <c r="Y769" s="268"/>
      <c r="Z769" s="268"/>
    </row>
    <row r="770" spans="1:26" ht="24.75" customHeight="1">
      <c r="A770" s="268"/>
      <c r="B770" s="268"/>
      <c r="C770" s="268"/>
      <c r="D770" s="268"/>
      <c r="E770" s="268"/>
      <c r="F770" s="268"/>
      <c r="G770" s="268"/>
      <c r="H770" s="268"/>
      <c r="I770" s="268"/>
      <c r="J770" s="268"/>
      <c r="K770" s="268"/>
      <c r="L770" s="334"/>
      <c r="M770" s="268"/>
      <c r="N770" s="268"/>
      <c r="O770" s="310"/>
      <c r="P770" s="268"/>
      <c r="Q770" s="334"/>
      <c r="R770" s="268"/>
      <c r="S770" s="313"/>
      <c r="T770" s="313"/>
      <c r="U770" s="268"/>
      <c r="V770" s="309"/>
      <c r="W770" s="310"/>
      <c r="X770" s="268"/>
      <c r="Y770" s="268"/>
      <c r="Z770" s="268"/>
    </row>
    <row r="771" spans="1:26" ht="24.75" customHeight="1">
      <c r="A771" s="268"/>
      <c r="B771" s="268"/>
      <c r="C771" s="268"/>
      <c r="D771" s="268"/>
      <c r="E771" s="268"/>
      <c r="F771" s="268"/>
      <c r="G771" s="268"/>
      <c r="H771" s="268"/>
      <c r="I771" s="268"/>
      <c r="J771" s="268"/>
      <c r="K771" s="268"/>
      <c r="L771" s="334"/>
      <c r="M771" s="268"/>
      <c r="N771" s="268"/>
      <c r="O771" s="310"/>
      <c r="P771" s="268"/>
      <c r="Q771" s="334"/>
      <c r="R771" s="268"/>
      <c r="S771" s="313"/>
      <c r="T771" s="313"/>
      <c r="U771" s="268"/>
      <c r="V771" s="309"/>
      <c r="W771" s="310"/>
      <c r="X771" s="268"/>
      <c r="Y771" s="268"/>
      <c r="Z771" s="268"/>
    </row>
    <row r="772" spans="1:26" ht="24.75" customHeight="1">
      <c r="A772" s="268"/>
      <c r="B772" s="268"/>
      <c r="C772" s="268"/>
      <c r="D772" s="268"/>
      <c r="E772" s="268"/>
      <c r="F772" s="268"/>
      <c r="G772" s="268"/>
      <c r="H772" s="268"/>
      <c r="I772" s="268"/>
      <c r="J772" s="268"/>
      <c r="K772" s="268"/>
      <c r="L772" s="334"/>
      <c r="M772" s="268"/>
      <c r="N772" s="268"/>
      <c r="O772" s="310"/>
      <c r="P772" s="268"/>
      <c r="Q772" s="334"/>
      <c r="R772" s="268"/>
      <c r="S772" s="313"/>
      <c r="T772" s="313"/>
      <c r="U772" s="268"/>
      <c r="V772" s="309"/>
      <c r="W772" s="310"/>
      <c r="X772" s="268"/>
      <c r="Y772" s="268"/>
      <c r="Z772" s="268"/>
    </row>
    <row r="773" spans="1:26" ht="24.75" customHeight="1">
      <c r="A773" s="268"/>
      <c r="B773" s="268"/>
      <c r="C773" s="268"/>
      <c r="D773" s="268"/>
      <c r="E773" s="268"/>
      <c r="F773" s="268"/>
      <c r="G773" s="268"/>
      <c r="H773" s="268"/>
      <c r="I773" s="268"/>
      <c r="J773" s="268"/>
      <c r="K773" s="268"/>
      <c r="L773" s="334"/>
      <c r="M773" s="268"/>
      <c r="N773" s="268"/>
      <c r="O773" s="310"/>
      <c r="P773" s="268"/>
      <c r="Q773" s="334"/>
      <c r="R773" s="268"/>
      <c r="S773" s="313"/>
      <c r="T773" s="313"/>
      <c r="U773" s="268"/>
      <c r="V773" s="309"/>
      <c r="W773" s="310"/>
      <c r="X773" s="268"/>
      <c r="Y773" s="268"/>
      <c r="Z773" s="268"/>
    </row>
    <row r="774" spans="1:26" ht="24.75" customHeight="1">
      <c r="A774" s="268"/>
      <c r="B774" s="268"/>
      <c r="C774" s="268"/>
      <c r="D774" s="268"/>
      <c r="E774" s="268"/>
      <c r="F774" s="268"/>
      <c r="G774" s="268"/>
      <c r="H774" s="268"/>
      <c r="I774" s="268"/>
      <c r="J774" s="268"/>
      <c r="K774" s="268"/>
      <c r="L774" s="334"/>
      <c r="M774" s="268"/>
      <c r="N774" s="268"/>
      <c r="O774" s="310"/>
      <c r="P774" s="268"/>
      <c r="Q774" s="334"/>
      <c r="R774" s="268"/>
      <c r="S774" s="313"/>
      <c r="T774" s="313"/>
      <c r="U774" s="268"/>
      <c r="V774" s="309"/>
      <c r="W774" s="310"/>
      <c r="X774" s="268"/>
      <c r="Y774" s="268"/>
      <c r="Z774" s="268"/>
    </row>
    <row r="775" spans="1:26" ht="24.75" customHeight="1">
      <c r="A775" s="268"/>
      <c r="B775" s="268"/>
      <c r="C775" s="268"/>
      <c r="D775" s="268"/>
      <c r="E775" s="268"/>
      <c r="F775" s="268"/>
      <c r="G775" s="268"/>
      <c r="H775" s="268"/>
      <c r="I775" s="268"/>
      <c r="J775" s="268"/>
      <c r="K775" s="268"/>
      <c r="L775" s="334"/>
      <c r="M775" s="268"/>
      <c r="N775" s="268"/>
      <c r="O775" s="310"/>
      <c r="P775" s="268"/>
      <c r="Q775" s="334"/>
      <c r="R775" s="268"/>
      <c r="S775" s="313"/>
      <c r="T775" s="313"/>
      <c r="U775" s="268"/>
      <c r="V775" s="309"/>
      <c r="W775" s="310"/>
      <c r="X775" s="268"/>
      <c r="Y775" s="268"/>
      <c r="Z775" s="268"/>
    </row>
    <row r="776" spans="1:26" ht="24.75" customHeight="1">
      <c r="A776" s="268"/>
      <c r="B776" s="268"/>
      <c r="C776" s="268"/>
      <c r="D776" s="268"/>
      <c r="E776" s="268"/>
      <c r="F776" s="268"/>
      <c r="G776" s="268"/>
      <c r="H776" s="268"/>
      <c r="I776" s="268"/>
      <c r="J776" s="268"/>
      <c r="K776" s="268"/>
      <c r="L776" s="334"/>
      <c r="M776" s="268"/>
      <c r="N776" s="268"/>
      <c r="O776" s="310"/>
      <c r="P776" s="268"/>
      <c r="Q776" s="334"/>
      <c r="R776" s="268"/>
      <c r="S776" s="313"/>
      <c r="T776" s="313"/>
      <c r="U776" s="268"/>
      <c r="V776" s="309"/>
      <c r="W776" s="310"/>
      <c r="X776" s="268"/>
      <c r="Y776" s="268"/>
      <c r="Z776" s="268"/>
    </row>
    <row r="777" spans="1:26" ht="24.75" customHeight="1">
      <c r="A777" s="268"/>
      <c r="B777" s="268"/>
      <c r="C777" s="268"/>
      <c r="D777" s="268"/>
      <c r="E777" s="268"/>
      <c r="F777" s="268"/>
      <c r="G777" s="268"/>
      <c r="H777" s="268"/>
      <c r="I777" s="268"/>
      <c r="J777" s="268"/>
      <c r="K777" s="268"/>
      <c r="L777" s="334"/>
      <c r="M777" s="268"/>
      <c r="N777" s="268"/>
      <c r="O777" s="310"/>
      <c r="P777" s="268"/>
      <c r="Q777" s="334"/>
      <c r="R777" s="268"/>
      <c r="S777" s="313"/>
      <c r="T777" s="313"/>
      <c r="U777" s="268"/>
      <c r="V777" s="309"/>
      <c r="W777" s="310"/>
      <c r="X777" s="268"/>
      <c r="Y777" s="268"/>
      <c r="Z777" s="268"/>
    </row>
    <row r="778" spans="1:26" ht="24.75" customHeight="1">
      <c r="A778" s="268"/>
      <c r="B778" s="268"/>
      <c r="C778" s="268"/>
      <c r="D778" s="268"/>
      <c r="E778" s="268"/>
      <c r="F778" s="268"/>
      <c r="G778" s="268"/>
      <c r="H778" s="268"/>
      <c r="I778" s="268"/>
      <c r="J778" s="268"/>
      <c r="K778" s="268"/>
      <c r="L778" s="334"/>
      <c r="M778" s="268"/>
      <c r="N778" s="268"/>
      <c r="O778" s="310"/>
      <c r="P778" s="268"/>
      <c r="Q778" s="334"/>
      <c r="R778" s="268"/>
      <c r="S778" s="313"/>
      <c r="T778" s="313"/>
      <c r="U778" s="268"/>
      <c r="V778" s="309"/>
      <c r="W778" s="310"/>
      <c r="X778" s="268"/>
      <c r="Y778" s="268"/>
      <c r="Z778" s="268"/>
    </row>
    <row r="779" spans="1:26" ht="24.75" customHeight="1">
      <c r="A779" s="268"/>
      <c r="B779" s="268"/>
      <c r="C779" s="268"/>
      <c r="D779" s="268"/>
      <c r="E779" s="268"/>
      <c r="F779" s="268"/>
      <c r="G779" s="268"/>
      <c r="H779" s="268"/>
      <c r="I779" s="268"/>
      <c r="J779" s="268"/>
      <c r="K779" s="268"/>
      <c r="L779" s="334"/>
      <c r="M779" s="268"/>
      <c r="N779" s="268"/>
      <c r="O779" s="310"/>
      <c r="P779" s="268"/>
      <c r="Q779" s="334"/>
      <c r="R779" s="268"/>
      <c r="S779" s="313"/>
      <c r="T779" s="313"/>
      <c r="U779" s="268"/>
      <c r="V779" s="309"/>
      <c r="W779" s="310"/>
      <c r="X779" s="268"/>
      <c r="Y779" s="268"/>
      <c r="Z779" s="268"/>
    </row>
    <row r="780" spans="1:26" ht="24.75" customHeight="1">
      <c r="A780" s="268"/>
      <c r="B780" s="268"/>
      <c r="C780" s="268"/>
      <c r="D780" s="268"/>
      <c r="E780" s="268"/>
      <c r="F780" s="268"/>
      <c r="G780" s="268"/>
      <c r="H780" s="268"/>
      <c r="I780" s="268"/>
      <c r="J780" s="268"/>
      <c r="K780" s="268"/>
      <c r="L780" s="334"/>
      <c r="M780" s="268"/>
      <c r="N780" s="268"/>
      <c r="O780" s="310"/>
      <c r="P780" s="268"/>
      <c r="Q780" s="334"/>
      <c r="R780" s="268"/>
      <c r="S780" s="313"/>
      <c r="T780" s="313"/>
      <c r="U780" s="268"/>
      <c r="V780" s="309"/>
      <c r="W780" s="310"/>
      <c r="X780" s="268"/>
      <c r="Y780" s="268"/>
      <c r="Z780" s="268"/>
    </row>
    <row r="781" spans="1:26" ht="24.75" customHeight="1">
      <c r="A781" s="268"/>
      <c r="B781" s="268"/>
      <c r="C781" s="268"/>
      <c r="D781" s="268"/>
      <c r="E781" s="268"/>
      <c r="F781" s="268"/>
      <c r="G781" s="268"/>
      <c r="H781" s="268"/>
      <c r="I781" s="268"/>
      <c r="J781" s="268"/>
      <c r="K781" s="268"/>
      <c r="L781" s="334"/>
      <c r="M781" s="268"/>
      <c r="N781" s="268"/>
      <c r="O781" s="310"/>
      <c r="P781" s="268"/>
      <c r="Q781" s="334"/>
      <c r="R781" s="268"/>
      <c r="S781" s="313"/>
      <c r="T781" s="313"/>
      <c r="U781" s="268"/>
      <c r="V781" s="309"/>
      <c r="W781" s="310"/>
      <c r="X781" s="268"/>
      <c r="Y781" s="268"/>
      <c r="Z781" s="268"/>
    </row>
    <row r="782" spans="1:26" ht="24.75" customHeight="1">
      <c r="A782" s="268"/>
      <c r="B782" s="268"/>
      <c r="C782" s="268"/>
      <c r="D782" s="268"/>
      <c r="E782" s="268"/>
      <c r="F782" s="268"/>
      <c r="G782" s="268"/>
      <c r="H782" s="268"/>
      <c r="I782" s="268"/>
      <c r="J782" s="268"/>
      <c r="K782" s="268"/>
      <c r="L782" s="334"/>
      <c r="M782" s="268"/>
      <c r="N782" s="268"/>
      <c r="O782" s="310"/>
      <c r="P782" s="268"/>
      <c r="Q782" s="334"/>
      <c r="R782" s="268"/>
      <c r="S782" s="313"/>
      <c r="T782" s="313"/>
      <c r="U782" s="268"/>
      <c r="V782" s="309"/>
      <c r="W782" s="310"/>
      <c r="X782" s="268"/>
      <c r="Y782" s="268"/>
      <c r="Z782" s="268"/>
    </row>
    <row r="783" spans="1:26" ht="24.75" customHeight="1">
      <c r="A783" s="268"/>
      <c r="B783" s="268"/>
      <c r="C783" s="268"/>
      <c r="D783" s="268"/>
      <c r="E783" s="268"/>
      <c r="F783" s="268"/>
      <c r="G783" s="268"/>
      <c r="H783" s="268"/>
      <c r="I783" s="268"/>
      <c r="J783" s="268"/>
      <c r="K783" s="268"/>
      <c r="L783" s="334"/>
      <c r="M783" s="268"/>
      <c r="N783" s="268"/>
      <c r="O783" s="310"/>
      <c r="P783" s="268"/>
      <c r="Q783" s="334"/>
      <c r="R783" s="268"/>
      <c r="S783" s="313"/>
      <c r="T783" s="313"/>
      <c r="U783" s="268"/>
      <c r="V783" s="309"/>
      <c r="W783" s="310"/>
      <c r="X783" s="268"/>
      <c r="Y783" s="268"/>
      <c r="Z783" s="268"/>
    </row>
    <row r="784" spans="1:26" ht="24.75" customHeight="1">
      <c r="A784" s="268"/>
      <c r="B784" s="268"/>
      <c r="C784" s="268"/>
      <c r="D784" s="268"/>
      <c r="E784" s="268"/>
      <c r="F784" s="268"/>
      <c r="G784" s="268"/>
      <c r="H784" s="268"/>
      <c r="I784" s="268"/>
      <c r="J784" s="268"/>
      <c r="K784" s="268"/>
      <c r="L784" s="334"/>
      <c r="M784" s="268"/>
      <c r="N784" s="268"/>
      <c r="O784" s="310"/>
      <c r="P784" s="268"/>
      <c r="Q784" s="334"/>
      <c r="R784" s="268"/>
      <c r="S784" s="313"/>
      <c r="T784" s="313"/>
      <c r="U784" s="268"/>
      <c r="V784" s="309"/>
      <c r="W784" s="310"/>
      <c r="X784" s="268"/>
      <c r="Y784" s="268"/>
      <c r="Z784" s="268"/>
    </row>
    <row r="785" spans="1:26" ht="24.75" customHeight="1">
      <c r="A785" s="268"/>
      <c r="B785" s="268"/>
      <c r="C785" s="268"/>
      <c r="D785" s="268"/>
      <c r="E785" s="268"/>
      <c r="F785" s="268"/>
      <c r="G785" s="268"/>
      <c r="H785" s="268"/>
      <c r="I785" s="268"/>
      <c r="J785" s="268"/>
      <c r="K785" s="268"/>
      <c r="L785" s="334"/>
      <c r="M785" s="268"/>
      <c r="N785" s="268"/>
      <c r="O785" s="310"/>
      <c r="P785" s="268"/>
      <c r="Q785" s="334"/>
      <c r="R785" s="268"/>
      <c r="S785" s="313"/>
      <c r="T785" s="313"/>
      <c r="U785" s="268"/>
      <c r="V785" s="309"/>
      <c r="W785" s="310"/>
      <c r="X785" s="268"/>
      <c r="Y785" s="268"/>
      <c r="Z785" s="268"/>
    </row>
    <row r="786" spans="1:26" ht="24.75" customHeight="1">
      <c r="A786" s="268"/>
      <c r="B786" s="268"/>
      <c r="C786" s="268"/>
      <c r="D786" s="268"/>
      <c r="E786" s="268"/>
      <c r="F786" s="268"/>
      <c r="G786" s="268"/>
      <c r="H786" s="268"/>
      <c r="I786" s="268"/>
      <c r="J786" s="268"/>
      <c r="K786" s="268"/>
      <c r="L786" s="334"/>
      <c r="M786" s="268"/>
      <c r="N786" s="268"/>
      <c r="O786" s="310"/>
      <c r="P786" s="268"/>
      <c r="Q786" s="334"/>
      <c r="R786" s="268"/>
      <c r="S786" s="313"/>
      <c r="T786" s="313"/>
      <c r="U786" s="268"/>
      <c r="V786" s="309"/>
      <c r="W786" s="310"/>
      <c r="X786" s="268"/>
      <c r="Y786" s="268"/>
      <c r="Z786" s="268"/>
    </row>
    <row r="787" spans="1:26" ht="24.75" customHeight="1">
      <c r="A787" s="268"/>
      <c r="B787" s="268"/>
      <c r="C787" s="268"/>
      <c r="D787" s="268"/>
      <c r="E787" s="268"/>
      <c r="F787" s="268"/>
      <c r="G787" s="268"/>
      <c r="H787" s="268"/>
      <c r="I787" s="268"/>
      <c r="J787" s="268"/>
      <c r="K787" s="268"/>
      <c r="L787" s="334"/>
      <c r="M787" s="268"/>
      <c r="N787" s="268"/>
      <c r="O787" s="310"/>
      <c r="P787" s="268"/>
      <c r="Q787" s="334"/>
      <c r="R787" s="268"/>
      <c r="S787" s="313"/>
      <c r="T787" s="313"/>
      <c r="U787" s="268"/>
      <c r="V787" s="309"/>
      <c r="W787" s="310"/>
      <c r="X787" s="268"/>
      <c r="Y787" s="268"/>
      <c r="Z787" s="268"/>
    </row>
    <row r="788" spans="1:26" ht="24.75" customHeight="1">
      <c r="A788" s="268"/>
      <c r="B788" s="268"/>
      <c r="C788" s="268"/>
      <c r="D788" s="268"/>
      <c r="E788" s="268"/>
      <c r="F788" s="268"/>
      <c r="G788" s="268"/>
      <c r="H788" s="268"/>
      <c r="I788" s="268"/>
      <c r="J788" s="268"/>
      <c r="K788" s="268"/>
      <c r="L788" s="334"/>
      <c r="M788" s="268"/>
      <c r="N788" s="268"/>
      <c r="O788" s="310"/>
      <c r="P788" s="268"/>
      <c r="Q788" s="334"/>
      <c r="R788" s="268"/>
      <c r="S788" s="313"/>
      <c r="T788" s="313"/>
      <c r="U788" s="268"/>
      <c r="V788" s="309"/>
      <c r="W788" s="310"/>
      <c r="X788" s="268"/>
      <c r="Y788" s="268"/>
      <c r="Z788" s="268"/>
    </row>
    <row r="789" spans="1:26" ht="24.75" customHeight="1">
      <c r="A789" s="268"/>
      <c r="B789" s="268"/>
      <c r="C789" s="268"/>
      <c r="D789" s="268"/>
      <c r="E789" s="268"/>
      <c r="F789" s="268"/>
      <c r="G789" s="268"/>
      <c r="H789" s="268"/>
      <c r="I789" s="268"/>
      <c r="J789" s="268"/>
      <c r="K789" s="268"/>
      <c r="L789" s="334"/>
      <c r="M789" s="268"/>
      <c r="N789" s="268"/>
      <c r="O789" s="310"/>
      <c r="P789" s="268"/>
      <c r="Q789" s="334"/>
      <c r="R789" s="268"/>
      <c r="S789" s="313"/>
      <c r="T789" s="313"/>
      <c r="U789" s="268"/>
      <c r="V789" s="309"/>
      <c r="W789" s="310"/>
      <c r="X789" s="268"/>
      <c r="Y789" s="268"/>
      <c r="Z789" s="268"/>
    </row>
    <row r="790" spans="1:26" ht="24.75" customHeight="1">
      <c r="A790" s="268"/>
      <c r="B790" s="268"/>
      <c r="C790" s="268"/>
      <c r="D790" s="268"/>
      <c r="E790" s="268"/>
      <c r="F790" s="268"/>
      <c r="G790" s="268"/>
      <c r="H790" s="268"/>
      <c r="I790" s="268"/>
      <c r="J790" s="268"/>
      <c r="K790" s="268"/>
      <c r="L790" s="334"/>
      <c r="M790" s="268"/>
      <c r="N790" s="268"/>
      <c r="O790" s="310"/>
      <c r="P790" s="268"/>
      <c r="Q790" s="334"/>
      <c r="R790" s="268"/>
      <c r="S790" s="313"/>
      <c r="T790" s="313"/>
      <c r="U790" s="268"/>
      <c r="V790" s="309"/>
      <c r="W790" s="310"/>
      <c r="X790" s="268"/>
      <c r="Y790" s="268"/>
      <c r="Z790" s="268"/>
    </row>
    <row r="791" spans="1:26" ht="24.75" customHeight="1">
      <c r="A791" s="268"/>
      <c r="B791" s="268"/>
      <c r="C791" s="268"/>
      <c r="D791" s="268"/>
      <c r="E791" s="268"/>
      <c r="F791" s="268"/>
      <c r="G791" s="268"/>
      <c r="H791" s="268"/>
      <c r="I791" s="268"/>
      <c r="J791" s="268"/>
      <c r="K791" s="268"/>
      <c r="L791" s="334"/>
      <c r="M791" s="268"/>
      <c r="N791" s="268"/>
      <c r="O791" s="310"/>
      <c r="P791" s="268"/>
      <c r="Q791" s="334"/>
      <c r="R791" s="268"/>
      <c r="S791" s="313"/>
      <c r="T791" s="313"/>
      <c r="U791" s="268"/>
      <c r="V791" s="309"/>
      <c r="W791" s="310"/>
      <c r="X791" s="268"/>
      <c r="Y791" s="268"/>
      <c r="Z791" s="268"/>
    </row>
    <row r="792" spans="1:26" ht="24.75" customHeight="1">
      <c r="A792" s="268"/>
      <c r="B792" s="268"/>
      <c r="C792" s="268"/>
      <c r="D792" s="268"/>
      <c r="E792" s="268"/>
      <c r="F792" s="268"/>
      <c r="G792" s="268"/>
      <c r="H792" s="268"/>
      <c r="I792" s="268"/>
      <c r="J792" s="268"/>
      <c r="K792" s="268"/>
      <c r="L792" s="334"/>
      <c r="M792" s="268"/>
      <c r="N792" s="268"/>
      <c r="O792" s="310"/>
      <c r="P792" s="268"/>
      <c r="Q792" s="334"/>
      <c r="R792" s="268"/>
      <c r="S792" s="313"/>
      <c r="T792" s="313"/>
      <c r="U792" s="268"/>
      <c r="V792" s="309"/>
      <c r="W792" s="310"/>
      <c r="X792" s="268"/>
      <c r="Y792" s="268"/>
      <c r="Z792" s="268"/>
    </row>
    <row r="793" spans="1:26" ht="24.75" customHeight="1">
      <c r="A793" s="268"/>
      <c r="B793" s="268"/>
      <c r="C793" s="268"/>
      <c r="D793" s="268"/>
      <c r="E793" s="268"/>
      <c r="F793" s="268"/>
      <c r="G793" s="268"/>
      <c r="H793" s="268"/>
      <c r="I793" s="268"/>
      <c r="J793" s="268"/>
      <c r="K793" s="268"/>
      <c r="L793" s="334"/>
      <c r="M793" s="268"/>
      <c r="N793" s="268"/>
      <c r="O793" s="310"/>
      <c r="P793" s="268"/>
      <c r="Q793" s="334"/>
      <c r="R793" s="268"/>
      <c r="S793" s="313"/>
      <c r="T793" s="313"/>
      <c r="U793" s="268"/>
      <c r="V793" s="309"/>
      <c r="W793" s="310"/>
      <c r="X793" s="268"/>
      <c r="Y793" s="268"/>
      <c r="Z793" s="268"/>
    </row>
    <row r="794" spans="1:26" ht="24.75" customHeight="1">
      <c r="A794" s="268"/>
      <c r="B794" s="268"/>
      <c r="C794" s="268"/>
      <c r="D794" s="268"/>
      <c r="E794" s="268"/>
      <c r="F794" s="268"/>
      <c r="G794" s="268"/>
      <c r="H794" s="268"/>
      <c r="I794" s="268"/>
      <c r="J794" s="268"/>
      <c r="K794" s="268"/>
      <c r="L794" s="334"/>
      <c r="M794" s="268"/>
      <c r="N794" s="268"/>
      <c r="O794" s="310"/>
      <c r="P794" s="268"/>
      <c r="Q794" s="334"/>
      <c r="R794" s="268"/>
      <c r="S794" s="313"/>
      <c r="T794" s="313"/>
      <c r="U794" s="268"/>
      <c r="V794" s="309"/>
      <c r="W794" s="310"/>
      <c r="X794" s="268"/>
      <c r="Y794" s="268"/>
      <c r="Z794" s="268"/>
    </row>
    <row r="795" spans="1:26" ht="24.75" customHeight="1">
      <c r="A795" s="268"/>
      <c r="B795" s="268"/>
      <c r="C795" s="268"/>
      <c r="D795" s="268"/>
      <c r="E795" s="268"/>
      <c r="F795" s="268"/>
      <c r="G795" s="268"/>
      <c r="H795" s="268"/>
      <c r="I795" s="268"/>
      <c r="J795" s="268"/>
      <c r="K795" s="268"/>
      <c r="L795" s="334"/>
      <c r="M795" s="268"/>
      <c r="N795" s="268"/>
      <c r="O795" s="310"/>
      <c r="P795" s="268"/>
      <c r="Q795" s="334"/>
      <c r="R795" s="268"/>
      <c r="S795" s="313"/>
      <c r="T795" s="313"/>
      <c r="U795" s="268"/>
      <c r="V795" s="309"/>
      <c r="W795" s="310"/>
      <c r="X795" s="268"/>
      <c r="Y795" s="268"/>
      <c r="Z795" s="268"/>
    </row>
    <row r="796" spans="1:26" ht="24.75" customHeight="1">
      <c r="A796" s="268"/>
      <c r="B796" s="268"/>
      <c r="C796" s="268"/>
      <c r="D796" s="268"/>
      <c r="E796" s="268"/>
      <c r="F796" s="268"/>
      <c r="G796" s="268"/>
      <c r="H796" s="268"/>
      <c r="I796" s="268"/>
      <c r="J796" s="268"/>
      <c r="K796" s="268"/>
      <c r="L796" s="334"/>
      <c r="M796" s="268"/>
      <c r="N796" s="268"/>
      <c r="O796" s="310"/>
      <c r="P796" s="268"/>
      <c r="Q796" s="334"/>
      <c r="R796" s="268"/>
      <c r="S796" s="313"/>
      <c r="T796" s="313"/>
      <c r="U796" s="268"/>
      <c r="V796" s="309"/>
      <c r="W796" s="310"/>
      <c r="X796" s="268"/>
      <c r="Y796" s="268"/>
      <c r="Z796" s="268"/>
    </row>
    <row r="797" spans="1:26" ht="24.75" customHeight="1">
      <c r="A797" s="268"/>
      <c r="B797" s="268"/>
      <c r="C797" s="268"/>
      <c r="D797" s="268"/>
      <c r="E797" s="268"/>
      <c r="F797" s="268"/>
      <c r="G797" s="268"/>
      <c r="H797" s="268"/>
      <c r="I797" s="268"/>
      <c r="J797" s="268"/>
      <c r="K797" s="268"/>
      <c r="L797" s="334"/>
      <c r="M797" s="268"/>
      <c r="N797" s="268"/>
      <c r="O797" s="310"/>
      <c r="P797" s="268"/>
      <c r="Q797" s="334"/>
      <c r="R797" s="268"/>
      <c r="S797" s="313"/>
      <c r="T797" s="313"/>
      <c r="U797" s="268"/>
      <c r="V797" s="309"/>
      <c r="W797" s="310"/>
      <c r="X797" s="268"/>
      <c r="Y797" s="268"/>
      <c r="Z797" s="268"/>
    </row>
    <row r="798" spans="1:26" ht="24.75" customHeight="1">
      <c r="A798" s="268"/>
      <c r="B798" s="268"/>
      <c r="C798" s="268"/>
      <c r="D798" s="268"/>
      <c r="E798" s="268"/>
      <c r="F798" s="268"/>
      <c r="G798" s="268"/>
      <c r="H798" s="268"/>
      <c r="I798" s="268"/>
      <c r="J798" s="268"/>
      <c r="K798" s="268"/>
      <c r="L798" s="334"/>
      <c r="M798" s="268"/>
      <c r="N798" s="268"/>
      <c r="O798" s="310"/>
      <c r="P798" s="268"/>
      <c r="Q798" s="334"/>
      <c r="R798" s="268"/>
      <c r="S798" s="313"/>
      <c r="T798" s="313"/>
      <c r="U798" s="268"/>
      <c r="V798" s="309"/>
      <c r="W798" s="310"/>
      <c r="X798" s="268"/>
      <c r="Y798" s="268"/>
      <c r="Z798" s="268"/>
    </row>
    <row r="799" spans="1:26" ht="24.75" customHeight="1">
      <c r="A799" s="268"/>
      <c r="B799" s="268"/>
      <c r="C799" s="268"/>
      <c r="D799" s="268"/>
      <c r="E799" s="268"/>
      <c r="F799" s="268"/>
      <c r="G799" s="268"/>
      <c r="H799" s="268"/>
      <c r="I799" s="268"/>
      <c r="J799" s="268"/>
      <c r="K799" s="268"/>
      <c r="L799" s="334"/>
      <c r="M799" s="268"/>
      <c r="N799" s="268"/>
      <c r="O799" s="310"/>
      <c r="P799" s="268"/>
      <c r="Q799" s="334"/>
      <c r="R799" s="268"/>
      <c r="S799" s="313"/>
      <c r="T799" s="313"/>
      <c r="U799" s="268"/>
      <c r="V799" s="309"/>
      <c r="W799" s="310"/>
      <c r="X799" s="268"/>
      <c r="Y799" s="268"/>
      <c r="Z799" s="268"/>
    </row>
    <row r="800" spans="1:26" ht="24.75" customHeight="1">
      <c r="A800" s="268"/>
      <c r="B800" s="268"/>
      <c r="C800" s="268"/>
      <c r="D800" s="268"/>
      <c r="E800" s="268"/>
      <c r="F800" s="268"/>
      <c r="G800" s="268"/>
      <c r="H800" s="268"/>
      <c r="I800" s="268"/>
      <c r="J800" s="268"/>
      <c r="K800" s="268"/>
      <c r="L800" s="334"/>
      <c r="M800" s="268"/>
      <c r="N800" s="268"/>
      <c r="O800" s="310"/>
      <c r="P800" s="268"/>
      <c r="Q800" s="334"/>
      <c r="R800" s="268"/>
      <c r="S800" s="313"/>
      <c r="T800" s="313"/>
      <c r="U800" s="268"/>
      <c r="V800" s="309"/>
      <c r="W800" s="310"/>
      <c r="X800" s="268"/>
      <c r="Y800" s="268"/>
      <c r="Z800" s="268"/>
    </row>
    <row r="801" spans="1:26" ht="24.75" customHeight="1">
      <c r="A801" s="268"/>
      <c r="B801" s="268"/>
      <c r="C801" s="268"/>
      <c r="D801" s="268"/>
      <c r="E801" s="268"/>
      <c r="F801" s="268"/>
      <c r="G801" s="268"/>
      <c r="H801" s="268"/>
      <c r="I801" s="268"/>
      <c r="J801" s="268"/>
      <c r="K801" s="268"/>
      <c r="L801" s="334"/>
      <c r="M801" s="268"/>
      <c r="N801" s="268"/>
      <c r="O801" s="310"/>
      <c r="P801" s="268"/>
      <c r="Q801" s="334"/>
      <c r="R801" s="268"/>
      <c r="S801" s="313"/>
      <c r="T801" s="313"/>
      <c r="U801" s="268"/>
      <c r="V801" s="309"/>
      <c r="W801" s="310"/>
      <c r="X801" s="268"/>
      <c r="Y801" s="268"/>
      <c r="Z801" s="268"/>
    </row>
    <row r="802" spans="1:26" ht="24.75" customHeight="1">
      <c r="A802" s="268"/>
      <c r="B802" s="268"/>
      <c r="C802" s="268"/>
      <c r="D802" s="268"/>
      <c r="E802" s="268"/>
      <c r="F802" s="268"/>
      <c r="G802" s="268"/>
      <c r="H802" s="268"/>
      <c r="I802" s="268"/>
      <c r="J802" s="268"/>
      <c r="K802" s="268"/>
      <c r="L802" s="334"/>
      <c r="M802" s="268"/>
      <c r="N802" s="268"/>
      <c r="O802" s="310"/>
      <c r="P802" s="268"/>
      <c r="Q802" s="334"/>
      <c r="R802" s="268"/>
      <c r="S802" s="313"/>
      <c r="T802" s="313"/>
      <c r="U802" s="268"/>
      <c r="V802" s="309"/>
      <c r="W802" s="310"/>
      <c r="X802" s="268"/>
      <c r="Y802" s="268"/>
      <c r="Z802" s="268"/>
    </row>
    <row r="803" spans="1:26" ht="24.75" customHeight="1">
      <c r="A803" s="268"/>
      <c r="B803" s="268"/>
      <c r="C803" s="268"/>
      <c r="D803" s="268"/>
      <c r="E803" s="268"/>
      <c r="F803" s="268"/>
      <c r="G803" s="268"/>
      <c r="H803" s="268"/>
      <c r="I803" s="268"/>
      <c r="J803" s="268"/>
      <c r="K803" s="268"/>
      <c r="L803" s="334"/>
      <c r="M803" s="268"/>
      <c r="N803" s="268"/>
      <c r="O803" s="310"/>
      <c r="P803" s="268"/>
      <c r="Q803" s="334"/>
      <c r="R803" s="268"/>
      <c r="S803" s="313"/>
      <c r="T803" s="313"/>
      <c r="U803" s="268"/>
      <c r="V803" s="309"/>
      <c r="W803" s="310"/>
      <c r="X803" s="268"/>
      <c r="Y803" s="268"/>
      <c r="Z803" s="268"/>
    </row>
    <row r="804" spans="1:26" ht="24.75" customHeight="1">
      <c r="A804" s="268"/>
      <c r="B804" s="268"/>
      <c r="C804" s="268"/>
      <c r="D804" s="268"/>
      <c r="E804" s="268"/>
      <c r="F804" s="268"/>
      <c r="G804" s="268"/>
      <c r="H804" s="268"/>
      <c r="I804" s="268"/>
      <c r="J804" s="268"/>
      <c r="K804" s="268"/>
      <c r="L804" s="334"/>
      <c r="M804" s="268"/>
      <c r="N804" s="268"/>
      <c r="O804" s="310"/>
      <c r="P804" s="268"/>
      <c r="Q804" s="334"/>
      <c r="R804" s="268"/>
      <c r="S804" s="313"/>
      <c r="T804" s="313"/>
      <c r="U804" s="268"/>
      <c r="V804" s="309"/>
      <c r="W804" s="310"/>
      <c r="X804" s="268"/>
      <c r="Y804" s="268"/>
      <c r="Z804" s="268"/>
    </row>
    <row r="805" spans="1:26" ht="24.75" customHeight="1">
      <c r="A805" s="268"/>
      <c r="B805" s="268"/>
      <c r="C805" s="268"/>
      <c r="D805" s="268"/>
      <c r="E805" s="268"/>
      <c r="F805" s="268"/>
      <c r="G805" s="268"/>
      <c r="H805" s="268"/>
      <c r="I805" s="268"/>
      <c r="J805" s="268"/>
      <c r="K805" s="268"/>
      <c r="L805" s="334"/>
      <c r="M805" s="268"/>
      <c r="N805" s="268"/>
      <c r="O805" s="310"/>
      <c r="P805" s="268"/>
      <c r="Q805" s="334"/>
      <c r="R805" s="268"/>
      <c r="S805" s="313"/>
      <c r="T805" s="313"/>
      <c r="U805" s="268"/>
      <c r="V805" s="309"/>
      <c r="W805" s="310"/>
      <c r="X805" s="268"/>
      <c r="Y805" s="268"/>
      <c r="Z805" s="268"/>
    </row>
    <row r="806" spans="1:26" ht="24.75" customHeight="1">
      <c r="A806" s="268"/>
      <c r="B806" s="268"/>
      <c r="C806" s="268"/>
      <c r="D806" s="268"/>
      <c r="E806" s="268"/>
      <c r="F806" s="268"/>
      <c r="G806" s="268"/>
      <c r="H806" s="268"/>
      <c r="I806" s="268"/>
      <c r="J806" s="268"/>
      <c r="K806" s="268"/>
      <c r="L806" s="334"/>
      <c r="M806" s="268"/>
      <c r="N806" s="268"/>
      <c r="O806" s="310"/>
      <c r="P806" s="268"/>
      <c r="Q806" s="334"/>
      <c r="R806" s="268"/>
      <c r="S806" s="313"/>
      <c r="T806" s="313"/>
      <c r="U806" s="268"/>
      <c r="V806" s="309"/>
      <c r="W806" s="310"/>
      <c r="X806" s="268"/>
      <c r="Y806" s="268"/>
      <c r="Z806" s="268"/>
    </row>
    <row r="807" spans="1:26" ht="24.75" customHeight="1">
      <c r="A807" s="268"/>
      <c r="B807" s="268"/>
      <c r="C807" s="268"/>
      <c r="D807" s="268"/>
      <c r="E807" s="268"/>
      <c r="F807" s="268"/>
      <c r="G807" s="268"/>
      <c r="H807" s="268"/>
      <c r="I807" s="268"/>
      <c r="J807" s="268"/>
      <c r="K807" s="268"/>
      <c r="L807" s="334"/>
      <c r="M807" s="268"/>
      <c r="N807" s="268"/>
      <c r="O807" s="310"/>
      <c r="P807" s="268"/>
      <c r="Q807" s="334"/>
      <c r="R807" s="268"/>
      <c r="S807" s="313"/>
      <c r="T807" s="313"/>
      <c r="U807" s="268"/>
      <c r="V807" s="309"/>
      <c r="W807" s="310"/>
      <c r="X807" s="268"/>
      <c r="Y807" s="268"/>
      <c r="Z807" s="268"/>
    </row>
    <row r="808" spans="1:26" ht="24.75" customHeight="1">
      <c r="A808" s="268"/>
      <c r="B808" s="268"/>
      <c r="C808" s="268"/>
      <c r="D808" s="268"/>
      <c r="E808" s="268"/>
      <c r="F808" s="268"/>
      <c r="G808" s="268"/>
      <c r="H808" s="268"/>
      <c r="I808" s="268"/>
      <c r="J808" s="268"/>
      <c r="K808" s="268"/>
      <c r="L808" s="334"/>
      <c r="M808" s="268"/>
      <c r="N808" s="268"/>
      <c r="O808" s="310"/>
      <c r="P808" s="268"/>
      <c r="Q808" s="334"/>
      <c r="R808" s="268"/>
      <c r="S808" s="313"/>
      <c r="T808" s="313"/>
      <c r="U808" s="268"/>
      <c r="V808" s="309"/>
      <c r="W808" s="310"/>
      <c r="X808" s="268"/>
      <c r="Y808" s="268"/>
      <c r="Z808" s="268"/>
    </row>
    <row r="809" spans="1:26" ht="24.75" customHeight="1">
      <c r="A809" s="268"/>
      <c r="B809" s="268"/>
      <c r="C809" s="268"/>
      <c r="D809" s="268"/>
      <c r="E809" s="268"/>
      <c r="F809" s="268"/>
      <c r="G809" s="268"/>
      <c r="H809" s="268"/>
      <c r="I809" s="268"/>
      <c r="J809" s="268"/>
      <c r="K809" s="268"/>
      <c r="L809" s="334"/>
      <c r="M809" s="268"/>
      <c r="N809" s="268"/>
      <c r="O809" s="310"/>
      <c r="P809" s="268"/>
      <c r="Q809" s="334"/>
      <c r="R809" s="268"/>
      <c r="S809" s="313"/>
      <c r="T809" s="313"/>
      <c r="U809" s="268"/>
      <c r="V809" s="309"/>
      <c r="W809" s="310"/>
      <c r="X809" s="268"/>
      <c r="Y809" s="268"/>
      <c r="Z809" s="268"/>
    </row>
    <row r="810" spans="1:26" ht="24.75" customHeight="1">
      <c r="A810" s="268"/>
      <c r="B810" s="268"/>
      <c r="C810" s="268"/>
      <c r="D810" s="268"/>
      <c r="E810" s="268"/>
      <c r="F810" s="268"/>
      <c r="G810" s="268"/>
      <c r="H810" s="268"/>
      <c r="I810" s="268"/>
      <c r="J810" s="268"/>
      <c r="K810" s="268"/>
      <c r="L810" s="334"/>
      <c r="M810" s="268"/>
      <c r="N810" s="268"/>
      <c r="O810" s="310"/>
      <c r="P810" s="268"/>
      <c r="Q810" s="334"/>
      <c r="R810" s="268"/>
      <c r="S810" s="313"/>
      <c r="T810" s="313"/>
      <c r="U810" s="268"/>
      <c r="V810" s="309"/>
      <c r="W810" s="310"/>
      <c r="X810" s="268"/>
      <c r="Y810" s="268"/>
      <c r="Z810" s="268"/>
    </row>
    <row r="811" spans="1:26" ht="24.75" customHeight="1">
      <c r="A811" s="268"/>
      <c r="B811" s="268"/>
      <c r="C811" s="268"/>
      <c r="D811" s="268"/>
      <c r="E811" s="268"/>
      <c r="F811" s="268"/>
      <c r="G811" s="268"/>
      <c r="H811" s="268"/>
      <c r="I811" s="268"/>
      <c r="J811" s="268"/>
      <c r="K811" s="268"/>
      <c r="L811" s="334"/>
      <c r="M811" s="268"/>
      <c r="N811" s="268"/>
      <c r="O811" s="310"/>
      <c r="P811" s="268"/>
      <c r="Q811" s="334"/>
      <c r="R811" s="268"/>
      <c r="S811" s="313"/>
      <c r="T811" s="313"/>
      <c r="U811" s="268"/>
      <c r="V811" s="309"/>
      <c r="W811" s="310"/>
      <c r="X811" s="268"/>
      <c r="Y811" s="268"/>
      <c r="Z811" s="268"/>
    </row>
    <row r="812" spans="1:26" ht="24.75" customHeight="1">
      <c r="A812" s="268"/>
      <c r="B812" s="268"/>
      <c r="C812" s="268"/>
      <c r="D812" s="268"/>
      <c r="E812" s="268"/>
      <c r="F812" s="268"/>
      <c r="G812" s="268"/>
      <c r="H812" s="268"/>
      <c r="I812" s="268"/>
      <c r="J812" s="268"/>
      <c r="K812" s="268"/>
      <c r="L812" s="334"/>
      <c r="M812" s="268"/>
      <c r="N812" s="268"/>
      <c r="O812" s="310"/>
      <c r="P812" s="268"/>
      <c r="Q812" s="334"/>
      <c r="R812" s="268"/>
      <c r="S812" s="313"/>
      <c r="T812" s="313"/>
      <c r="U812" s="268"/>
      <c r="V812" s="309"/>
      <c r="W812" s="310"/>
      <c r="X812" s="268"/>
      <c r="Y812" s="268"/>
      <c r="Z812" s="268"/>
    </row>
    <row r="813" spans="1:26" ht="24.75" customHeight="1">
      <c r="A813" s="268"/>
      <c r="B813" s="268"/>
      <c r="C813" s="268"/>
      <c r="D813" s="268"/>
      <c r="E813" s="268"/>
      <c r="F813" s="268"/>
      <c r="G813" s="268"/>
      <c r="H813" s="268"/>
      <c r="I813" s="268"/>
      <c r="J813" s="268"/>
      <c r="K813" s="268"/>
      <c r="L813" s="334"/>
      <c r="M813" s="268"/>
      <c r="N813" s="268"/>
      <c r="O813" s="310"/>
      <c r="P813" s="268"/>
      <c r="Q813" s="334"/>
      <c r="R813" s="268"/>
      <c r="S813" s="313"/>
      <c r="T813" s="313"/>
      <c r="U813" s="268"/>
      <c r="V813" s="309"/>
      <c r="W813" s="310"/>
      <c r="X813" s="268"/>
      <c r="Y813" s="268"/>
      <c r="Z813" s="268"/>
    </row>
    <row r="814" spans="1:26" ht="24.75" customHeight="1">
      <c r="A814" s="268"/>
      <c r="B814" s="268"/>
      <c r="C814" s="268"/>
      <c r="D814" s="268"/>
      <c r="E814" s="268"/>
      <c r="F814" s="268"/>
      <c r="G814" s="268"/>
      <c r="H814" s="268"/>
      <c r="I814" s="268"/>
      <c r="J814" s="268"/>
      <c r="K814" s="268"/>
      <c r="L814" s="334"/>
      <c r="M814" s="268"/>
      <c r="N814" s="268"/>
      <c r="O814" s="310"/>
      <c r="P814" s="268"/>
      <c r="Q814" s="334"/>
      <c r="R814" s="268"/>
      <c r="S814" s="313"/>
      <c r="T814" s="313"/>
      <c r="U814" s="268"/>
      <c r="V814" s="309"/>
      <c r="W814" s="310"/>
      <c r="X814" s="268"/>
      <c r="Y814" s="268"/>
      <c r="Z814" s="268"/>
    </row>
    <row r="815" spans="1:26" ht="24.75" customHeight="1">
      <c r="A815" s="268"/>
      <c r="B815" s="268"/>
      <c r="C815" s="268"/>
      <c r="D815" s="268"/>
      <c r="E815" s="268"/>
      <c r="F815" s="268"/>
      <c r="G815" s="268"/>
      <c r="H815" s="268"/>
      <c r="I815" s="268"/>
      <c r="J815" s="268"/>
      <c r="K815" s="268"/>
      <c r="L815" s="334"/>
      <c r="M815" s="268"/>
      <c r="N815" s="268"/>
      <c r="O815" s="310"/>
      <c r="P815" s="268"/>
      <c r="Q815" s="334"/>
      <c r="R815" s="268"/>
      <c r="S815" s="313"/>
      <c r="T815" s="313"/>
      <c r="U815" s="268"/>
      <c r="V815" s="309"/>
      <c r="W815" s="310"/>
      <c r="X815" s="268"/>
      <c r="Y815" s="268"/>
      <c r="Z815" s="268"/>
    </row>
    <row r="816" spans="1:26" ht="24.75" customHeight="1">
      <c r="A816" s="268"/>
      <c r="B816" s="268"/>
      <c r="C816" s="268"/>
      <c r="D816" s="268"/>
      <c r="E816" s="268"/>
      <c r="F816" s="268"/>
      <c r="G816" s="268"/>
      <c r="H816" s="268"/>
      <c r="I816" s="268"/>
      <c r="J816" s="268"/>
      <c r="K816" s="268"/>
      <c r="L816" s="334"/>
      <c r="M816" s="268"/>
      <c r="N816" s="268"/>
      <c r="O816" s="310"/>
      <c r="P816" s="268"/>
      <c r="Q816" s="334"/>
      <c r="R816" s="268"/>
      <c r="S816" s="313"/>
      <c r="T816" s="313"/>
      <c r="U816" s="268"/>
      <c r="V816" s="309"/>
      <c r="W816" s="310"/>
      <c r="X816" s="268"/>
      <c r="Y816" s="268"/>
      <c r="Z816" s="268"/>
    </row>
    <row r="817" spans="1:26" ht="24.75" customHeight="1">
      <c r="A817" s="268"/>
      <c r="B817" s="268"/>
      <c r="C817" s="268"/>
      <c r="D817" s="268"/>
      <c r="E817" s="268"/>
      <c r="F817" s="268"/>
      <c r="G817" s="268"/>
      <c r="H817" s="268"/>
      <c r="I817" s="268"/>
      <c r="J817" s="268"/>
      <c r="K817" s="268"/>
      <c r="L817" s="334"/>
      <c r="M817" s="268"/>
      <c r="N817" s="268"/>
      <c r="O817" s="310"/>
      <c r="P817" s="268"/>
      <c r="Q817" s="334"/>
      <c r="R817" s="268"/>
      <c r="S817" s="313"/>
      <c r="T817" s="313"/>
      <c r="U817" s="268"/>
      <c r="V817" s="309"/>
      <c r="W817" s="310"/>
      <c r="X817" s="268"/>
      <c r="Y817" s="268"/>
      <c r="Z817" s="268"/>
    </row>
    <row r="818" spans="1:26" ht="24.75" customHeight="1">
      <c r="A818" s="268"/>
      <c r="B818" s="268"/>
      <c r="C818" s="268"/>
      <c r="D818" s="268"/>
      <c r="E818" s="268"/>
      <c r="F818" s="268"/>
      <c r="G818" s="268"/>
      <c r="H818" s="268"/>
      <c r="I818" s="268"/>
      <c r="J818" s="268"/>
      <c r="K818" s="268"/>
      <c r="L818" s="334"/>
      <c r="M818" s="268"/>
      <c r="N818" s="268"/>
      <c r="O818" s="310"/>
      <c r="P818" s="268"/>
      <c r="Q818" s="334"/>
      <c r="R818" s="268"/>
      <c r="S818" s="313"/>
      <c r="T818" s="313"/>
      <c r="U818" s="268"/>
      <c r="V818" s="309"/>
      <c r="W818" s="310"/>
      <c r="X818" s="268"/>
      <c r="Y818" s="268"/>
      <c r="Z818" s="268"/>
    </row>
    <row r="819" spans="1:26" ht="24.75" customHeight="1">
      <c r="A819" s="268"/>
      <c r="B819" s="268"/>
      <c r="C819" s="268"/>
      <c r="D819" s="268"/>
      <c r="E819" s="268"/>
      <c r="F819" s="268"/>
      <c r="G819" s="268"/>
      <c r="H819" s="268"/>
      <c r="I819" s="268"/>
      <c r="J819" s="268"/>
      <c r="K819" s="268"/>
      <c r="L819" s="334"/>
      <c r="M819" s="268"/>
      <c r="N819" s="268"/>
      <c r="O819" s="310"/>
      <c r="P819" s="268"/>
      <c r="Q819" s="334"/>
      <c r="R819" s="268"/>
      <c r="S819" s="313"/>
      <c r="T819" s="313"/>
      <c r="U819" s="268"/>
      <c r="V819" s="309"/>
      <c r="W819" s="310"/>
      <c r="X819" s="268"/>
      <c r="Y819" s="268"/>
      <c r="Z819" s="268"/>
    </row>
    <row r="820" spans="1:26" ht="24.75" customHeight="1">
      <c r="A820" s="268"/>
      <c r="B820" s="268"/>
      <c r="C820" s="268"/>
      <c r="D820" s="268"/>
      <c r="E820" s="268"/>
      <c r="F820" s="268"/>
      <c r="G820" s="268"/>
      <c r="H820" s="268"/>
      <c r="I820" s="268"/>
      <c r="J820" s="268"/>
      <c r="K820" s="268"/>
      <c r="L820" s="334"/>
      <c r="M820" s="268"/>
      <c r="N820" s="268"/>
      <c r="O820" s="310"/>
      <c r="P820" s="268"/>
      <c r="Q820" s="334"/>
      <c r="R820" s="268"/>
      <c r="S820" s="313"/>
      <c r="T820" s="313"/>
      <c r="U820" s="268"/>
      <c r="V820" s="309"/>
      <c r="W820" s="310"/>
      <c r="X820" s="268"/>
      <c r="Y820" s="268"/>
      <c r="Z820" s="268"/>
    </row>
    <row r="821" spans="1:26" ht="24.75" customHeight="1">
      <c r="A821" s="268"/>
      <c r="B821" s="268"/>
      <c r="C821" s="268"/>
      <c r="D821" s="268"/>
      <c r="E821" s="268"/>
      <c r="F821" s="268"/>
      <c r="G821" s="268"/>
      <c r="H821" s="268"/>
      <c r="I821" s="268"/>
      <c r="J821" s="268"/>
      <c r="K821" s="268"/>
      <c r="L821" s="334"/>
      <c r="M821" s="268"/>
      <c r="N821" s="268"/>
      <c r="O821" s="310"/>
      <c r="P821" s="268"/>
      <c r="Q821" s="334"/>
      <c r="R821" s="268"/>
      <c r="S821" s="313"/>
      <c r="T821" s="313"/>
      <c r="U821" s="268"/>
      <c r="V821" s="309"/>
      <c r="W821" s="310"/>
      <c r="X821" s="268"/>
      <c r="Y821" s="268"/>
      <c r="Z821" s="268"/>
    </row>
    <row r="822" spans="1:26" ht="24.75" customHeight="1">
      <c r="A822" s="268"/>
      <c r="B822" s="268"/>
      <c r="C822" s="268"/>
      <c r="D822" s="268"/>
      <c r="E822" s="268"/>
      <c r="F822" s="268"/>
      <c r="G822" s="268"/>
      <c r="H822" s="268"/>
      <c r="I822" s="268"/>
      <c r="J822" s="268"/>
      <c r="K822" s="268"/>
      <c r="L822" s="334"/>
      <c r="M822" s="268"/>
      <c r="N822" s="268"/>
      <c r="O822" s="310"/>
      <c r="P822" s="268"/>
      <c r="Q822" s="334"/>
      <c r="R822" s="268"/>
      <c r="S822" s="313"/>
      <c r="T822" s="313"/>
      <c r="U822" s="268"/>
      <c r="V822" s="309"/>
      <c r="W822" s="310"/>
      <c r="X822" s="268"/>
      <c r="Y822" s="268"/>
      <c r="Z822" s="268"/>
    </row>
    <row r="823" spans="1:26" ht="24.75" customHeight="1">
      <c r="A823" s="268"/>
      <c r="B823" s="268"/>
      <c r="C823" s="268"/>
      <c r="D823" s="268"/>
      <c r="E823" s="268"/>
      <c r="F823" s="268"/>
      <c r="G823" s="268"/>
      <c r="H823" s="268"/>
      <c r="I823" s="268"/>
      <c r="J823" s="268"/>
      <c r="K823" s="268"/>
      <c r="L823" s="334"/>
      <c r="M823" s="268"/>
      <c r="N823" s="268"/>
      <c r="O823" s="310"/>
      <c r="P823" s="268"/>
      <c r="Q823" s="334"/>
      <c r="R823" s="268"/>
      <c r="S823" s="313"/>
      <c r="T823" s="313"/>
      <c r="U823" s="268"/>
      <c r="V823" s="309"/>
      <c r="W823" s="310"/>
      <c r="X823" s="268"/>
      <c r="Y823" s="268"/>
      <c r="Z823" s="268"/>
    </row>
    <row r="824" spans="1:26" ht="24.75" customHeight="1">
      <c r="A824" s="268"/>
      <c r="B824" s="268"/>
      <c r="C824" s="268"/>
      <c r="D824" s="268"/>
      <c r="E824" s="268"/>
      <c r="F824" s="268"/>
      <c r="G824" s="268"/>
      <c r="H824" s="268"/>
      <c r="I824" s="268"/>
      <c r="J824" s="268"/>
      <c r="K824" s="268"/>
      <c r="L824" s="334"/>
      <c r="M824" s="268"/>
      <c r="N824" s="268"/>
      <c r="O824" s="310"/>
      <c r="P824" s="268"/>
      <c r="Q824" s="334"/>
      <c r="R824" s="268"/>
      <c r="S824" s="313"/>
      <c r="T824" s="313"/>
      <c r="U824" s="268"/>
      <c r="V824" s="309"/>
      <c r="W824" s="310"/>
      <c r="X824" s="268"/>
      <c r="Y824" s="268"/>
      <c r="Z824" s="268"/>
    </row>
    <row r="825" spans="1:26" ht="24.75" customHeight="1">
      <c r="A825" s="268"/>
      <c r="B825" s="268"/>
      <c r="C825" s="268"/>
      <c r="D825" s="268"/>
      <c r="E825" s="268"/>
      <c r="F825" s="268"/>
      <c r="G825" s="268"/>
      <c r="H825" s="268"/>
      <c r="I825" s="268"/>
      <c r="J825" s="268"/>
      <c r="K825" s="268"/>
      <c r="L825" s="334"/>
      <c r="M825" s="268"/>
      <c r="N825" s="268"/>
      <c r="O825" s="310"/>
      <c r="P825" s="268"/>
      <c r="Q825" s="334"/>
      <c r="R825" s="268"/>
      <c r="S825" s="313"/>
      <c r="T825" s="313"/>
      <c r="U825" s="268"/>
      <c r="V825" s="309"/>
      <c r="W825" s="310"/>
      <c r="X825" s="268"/>
      <c r="Y825" s="268"/>
      <c r="Z825" s="268"/>
    </row>
    <row r="826" spans="1:26" ht="24.75" customHeight="1">
      <c r="A826" s="268"/>
      <c r="B826" s="268"/>
      <c r="C826" s="268"/>
      <c r="D826" s="268"/>
      <c r="E826" s="268"/>
      <c r="F826" s="268"/>
      <c r="G826" s="268"/>
      <c r="H826" s="268"/>
      <c r="I826" s="268"/>
      <c r="J826" s="268"/>
      <c r="K826" s="268"/>
      <c r="L826" s="334"/>
      <c r="M826" s="268"/>
      <c r="N826" s="268"/>
      <c r="O826" s="310"/>
      <c r="P826" s="268"/>
      <c r="Q826" s="334"/>
      <c r="R826" s="268"/>
      <c r="S826" s="313"/>
      <c r="T826" s="313"/>
      <c r="U826" s="268"/>
      <c r="V826" s="309"/>
      <c r="W826" s="310"/>
      <c r="X826" s="268"/>
      <c r="Y826" s="268"/>
      <c r="Z826" s="268"/>
    </row>
    <row r="827" spans="1:26" ht="24.75" customHeight="1">
      <c r="A827" s="268"/>
      <c r="B827" s="268"/>
      <c r="C827" s="268"/>
      <c r="D827" s="268"/>
      <c r="E827" s="268"/>
      <c r="F827" s="268"/>
      <c r="G827" s="268"/>
      <c r="H827" s="268"/>
      <c r="I827" s="268"/>
      <c r="J827" s="268"/>
      <c r="K827" s="268"/>
      <c r="L827" s="334"/>
      <c r="M827" s="268"/>
      <c r="N827" s="268"/>
      <c r="O827" s="310"/>
      <c r="P827" s="268"/>
      <c r="Q827" s="334"/>
      <c r="R827" s="268"/>
      <c r="S827" s="313"/>
      <c r="T827" s="313"/>
      <c r="U827" s="268"/>
      <c r="V827" s="309"/>
      <c r="W827" s="310"/>
      <c r="X827" s="268"/>
      <c r="Y827" s="268"/>
      <c r="Z827" s="268"/>
    </row>
    <row r="828" spans="1:26" ht="24.75" customHeight="1">
      <c r="A828" s="268"/>
      <c r="B828" s="268"/>
      <c r="C828" s="268"/>
      <c r="D828" s="268"/>
      <c r="E828" s="268"/>
      <c r="F828" s="268"/>
      <c r="G828" s="268"/>
      <c r="H828" s="268"/>
      <c r="I828" s="268"/>
      <c r="J828" s="268"/>
      <c r="K828" s="268"/>
      <c r="L828" s="334"/>
      <c r="M828" s="268"/>
      <c r="N828" s="268"/>
      <c r="O828" s="310"/>
      <c r="P828" s="268"/>
      <c r="Q828" s="334"/>
      <c r="R828" s="268"/>
      <c r="S828" s="313"/>
      <c r="T828" s="313"/>
      <c r="U828" s="268"/>
      <c r="V828" s="309"/>
      <c r="W828" s="310"/>
      <c r="X828" s="268"/>
      <c r="Y828" s="268"/>
      <c r="Z828" s="268"/>
    </row>
    <row r="829" spans="1:26" ht="24.75" customHeight="1">
      <c r="A829" s="268"/>
      <c r="B829" s="268"/>
      <c r="C829" s="268"/>
      <c r="D829" s="268"/>
      <c r="E829" s="268"/>
      <c r="F829" s="268"/>
      <c r="G829" s="268"/>
      <c r="H829" s="268"/>
      <c r="I829" s="268"/>
      <c r="J829" s="268"/>
      <c r="K829" s="268"/>
      <c r="L829" s="334"/>
      <c r="M829" s="268"/>
      <c r="N829" s="268"/>
      <c r="O829" s="310"/>
      <c r="P829" s="268"/>
      <c r="Q829" s="334"/>
      <c r="R829" s="268"/>
      <c r="S829" s="313"/>
      <c r="T829" s="313"/>
      <c r="U829" s="268"/>
      <c r="V829" s="309"/>
      <c r="W829" s="310"/>
      <c r="X829" s="268"/>
      <c r="Y829" s="268"/>
      <c r="Z829" s="268"/>
    </row>
    <row r="830" spans="1:26" ht="24.75" customHeight="1">
      <c r="A830" s="268"/>
      <c r="B830" s="268"/>
      <c r="C830" s="268"/>
      <c r="D830" s="268"/>
      <c r="E830" s="268"/>
      <c r="F830" s="268"/>
      <c r="G830" s="268"/>
      <c r="H830" s="268"/>
      <c r="I830" s="268"/>
      <c r="J830" s="268"/>
      <c r="K830" s="268"/>
      <c r="L830" s="334"/>
      <c r="M830" s="268"/>
      <c r="N830" s="268"/>
      <c r="O830" s="310"/>
      <c r="P830" s="268"/>
      <c r="Q830" s="334"/>
      <c r="R830" s="268"/>
      <c r="S830" s="313"/>
      <c r="T830" s="313"/>
      <c r="U830" s="268"/>
      <c r="V830" s="309"/>
      <c r="W830" s="310"/>
      <c r="X830" s="268"/>
      <c r="Y830" s="268"/>
      <c r="Z830" s="268"/>
    </row>
    <row r="831" spans="1:26" ht="24.75" customHeight="1">
      <c r="A831" s="268"/>
      <c r="B831" s="268"/>
      <c r="C831" s="268"/>
      <c r="D831" s="268"/>
      <c r="E831" s="268"/>
      <c r="F831" s="268"/>
      <c r="G831" s="268"/>
      <c r="H831" s="268"/>
      <c r="I831" s="268"/>
      <c r="J831" s="268"/>
      <c r="K831" s="268"/>
      <c r="L831" s="334"/>
      <c r="M831" s="268"/>
      <c r="N831" s="268"/>
      <c r="O831" s="310"/>
      <c r="P831" s="268"/>
      <c r="Q831" s="334"/>
      <c r="R831" s="268"/>
      <c r="S831" s="313"/>
      <c r="T831" s="313"/>
      <c r="U831" s="268"/>
      <c r="V831" s="309"/>
      <c r="W831" s="310"/>
      <c r="X831" s="268"/>
      <c r="Y831" s="268"/>
      <c r="Z831" s="268"/>
    </row>
    <row r="832" spans="1:26" ht="24.75" customHeight="1">
      <c r="A832" s="268"/>
      <c r="B832" s="268"/>
      <c r="C832" s="268"/>
      <c r="D832" s="268"/>
      <c r="E832" s="268"/>
      <c r="F832" s="268"/>
      <c r="G832" s="268"/>
      <c r="H832" s="268"/>
      <c r="I832" s="268"/>
      <c r="J832" s="268"/>
      <c r="K832" s="268"/>
      <c r="L832" s="334"/>
      <c r="M832" s="268"/>
      <c r="N832" s="268"/>
      <c r="O832" s="310"/>
      <c r="P832" s="268"/>
      <c r="Q832" s="334"/>
      <c r="R832" s="268"/>
      <c r="S832" s="313"/>
      <c r="T832" s="313"/>
      <c r="U832" s="268"/>
      <c r="V832" s="309"/>
      <c r="W832" s="310"/>
      <c r="X832" s="268"/>
      <c r="Y832" s="268"/>
      <c r="Z832" s="268"/>
    </row>
    <row r="833" spans="1:26" ht="24.75" customHeight="1">
      <c r="A833" s="268"/>
      <c r="B833" s="268"/>
      <c r="C833" s="268"/>
      <c r="D833" s="268"/>
      <c r="E833" s="268"/>
      <c r="F833" s="268"/>
      <c r="G833" s="268"/>
      <c r="H833" s="268"/>
      <c r="I833" s="268"/>
      <c r="J833" s="268"/>
      <c r="K833" s="268"/>
      <c r="L833" s="334"/>
      <c r="M833" s="268"/>
      <c r="N833" s="268"/>
      <c r="O833" s="310"/>
      <c r="P833" s="268"/>
      <c r="Q833" s="334"/>
      <c r="R833" s="268"/>
      <c r="S833" s="313"/>
      <c r="T833" s="313"/>
      <c r="U833" s="268"/>
      <c r="V833" s="309"/>
      <c r="W833" s="310"/>
      <c r="X833" s="268"/>
      <c r="Y833" s="268"/>
      <c r="Z833" s="268"/>
    </row>
    <row r="834" spans="1:26" ht="24.75" customHeight="1">
      <c r="A834" s="268"/>
      <c r="B834" s="268"/>
      <c r="C834" s="268"/>
      <c r="D834" s="268"/>
      <c r="E834" s="268"/>
      <c r="F834" s="268"/>
      <c r="G834" s="268"/>
      <c r="H834" s="268"/>
      <c r="I834" s="268"/>
      <c r="J834" s="268"/>
      <c r="K834" s="268"/>
      <c r="L834" s="334"/>
      <c r="M834" s="268"/>
      <c r="N834" s="268"/>
      <c r="O834" s="310"/>
      <c r="P834" s="268"/>
      <c r="Q834" s="334"/>
      <c r="R834" s="268"/>
      <c r="S834" s="313"/>
      <c r="T834" s="313"/>
      <c r="U834" s="268"/>
      <c r="V834" s="309"/>
      <c r="W834" s="310"/>
      <c r="X834" s="268"/>
      <c r="Y834" s="268"/>
      <c r="Z834" s="268"/>
    </row>
    <row r="835" spans="1:26" ht="24.75" customHeight="1">
      <c r="A835" s="268"/>
      <c r="B835" s="268"/>
      <c r="C835" s="268"/>
      <c r="D835" s="268"/>
      <c r="E835" s="268"/>
      <c r="F835" s="268"/>
      <c r="G835" s="268"/>
      <c r="H835" s="268"/>
      <c r="I835" s="268"/>
      <c r="J835" s="268"/>
      <c r="K835" s="268"/>
      <c r="L835" s="334"/>
      <c r="M835" s="268"/>
      <c r="N835" s="268"/>
      <c r="O835" s="310"/>
      <c r="P835" s="268"/>
      <c r="Q835" s="334"/>
      <c r="R835" s="268"/>
      <c r="S835" s="313"/>
      <c r="T835" s="313"/>
      <c r="U835" s="268"/>
      <c r="V835" s="309"/>
      <c r="W835" s="310"/>
      <c r="X835" s="268"/>
      <c r="Y835" s="268"/>
      <c r="Z835" s="268"/>
    </row>
    <row r="836" spans="1:26" ht="24.75" customHeight="1">
      <c r="A836" s="268"/>
      <c r="B836" s="268"/>
      <c r="C836" s="268"/>
      <c r="D836" s="268"/>
      <c r="E836" s="268"/>
      <c r="F836" s="268"/>
      <c r="G836" s="268"/>
      <c r="H836" s="268"/>
      <c r="I836" s="268"/>
      <c r="J836" s="268"/>
      <c r="K836" s="268"/>
      <c r="L836" s="334"/>
      <c r="M836" s="268"/>
      <c r="N836" s="268"/>
      <c r="O836" s="310"/>
      <c r="P836" s="268"/>
      <c r="Q836" s="334"/>
      <c r="R836" s="268"/>
      <c r="S836" s="313"/>
      <c r="T836" s="313"/>
      <c r="U836" s="268"/>
      <c r="V836" s="309"/>
      <c r="W836" s="310"/>
      <c r="X836" s="268"/>
      <c r="Y836" s="268"/>
      <c r="Z836" s="268"/>
    </row>
    <row r="837" spans="1:26" ht="24.75" customHeight="1">
      <c r="A837" s="268"/>
      <c r="B837" s="268"/>
      <c r="C837" s="268"/>
      <c r="D837" s="268"/>
      <c r="E837" s="268"/>
      <c r="F837" s="268"/>
      <c r="G837" s="268"/>
      <c r="H837" s="268"/>
      <c r="I837" s="268"/>
      <c r="J837" s="268"/>
      <c r="K837" s="268"/>
      <c r="L837" s="334"/>
      <c r="M837" s="268"/>
      <c r="N837" s="268"/>
      <c r="O837" s="310"/>
      <c r="P837" s="268"/>
      <c r="Q837" s="334"/>
      <c r="R837" s="268"/>
      <c r="S837" s="313"/>
      <c r="T837" s="313"/>
      <c r="U837" s="268"/>
      <c r="V837" s="309"/>
      <c r="W837" s="310"/>
      <c r="X837" s="268"/>
      <c r="Y837" s="268"/>
      <c r="Z837" s="268"/>
    </row>
    <row r="838" spans="1:26" ht="24.75" customHeight="1">
      <c r="A838" s="268"/>
      <c r="B838" s="268"/>
      <c r="C838" s="268"/>
      <c r="D838" s="268"/>
      <c r="E838" s="268"/>
      <c r="F838" s="268"/>
      <c r="G838" s="268"/>
      <c r="H838" s="268"/>
      <c r="I838" s="268"/>
      <c r="J838" s="268"/>
      <c r="K838" s="268"/>
      <c r="L838" s="334"/>
      <c r="M838" s="268"/>
      <c r="N838" s="268"/>
      <c r="O838" s="310"/>
      <c r="P838" s="268"/>
      <c r="Q838" s="334"/>
      <c r="R838" s="268"/>
      <c r="S838" s="313"/>
      <c r="T838" s="313"/>
      <c r="U838" s="268"/>
      <c r="V838" s="309"/>
      <c r="W838" s="310"/>
      <c r="X838" s="268"/>
      <c r="Y838" s="268"/>
      <c r="Z838" s="268"/>
    </row>
    <row r="839" spans="1:26" ht="24.75" customHeight="1">
      <c r="A839" s="268"/>
      <c r="B839" s="268"/>
      <c r="C839" s="268"/>
      <c r="D839" s="268"/>
      <c r="E839" s="268"/>
      <c r="F839" s="268"/>
      <c r="G839" s="268"/>
      <c r="H839" s="268"/>
      <c r="I839" s="268"/>
      <c r="J839" s="268"/>
      <c r="K839" s="268"/>
      <c r="L839" s="334"/>
      <c r="M839" s="268"/>
      <c r="N839" s="268"/>
      <c r="O839" s="310"/>
      <c r="P839" s="268"/>
      <c r="Q839" s="334"/>
      <c r="R839" s="268"/>
      <c r="S839" s="313"/>
      <c r="T839" s="313"/>
      <c r="U839" s="268"/>
      <c r="V839" s="309"/>
      <c r="W839" s="310"/>
      <c r="X839" s="268"/>
      <c r="Y839" s="268"/>
      <c r="Z839" s="268"/>
    </row>
    <row r="840" spans="1:26" ht="24.75" customHeight="1">
      <c r="A840" s="268"/>
      <c r="B840" s="268"/>
      <c r="C840" s="268"/>
      <c r="D840" s="268"/>
      <c r="E840" s="268"/>
      <c r="F840" s="268"/>
      <c r="G840" s="268"/>
      <c r="H840" s="268"/>
      <c r="I840" s="268"/>
      <c r="J840" s="268"/>
      <c r="K840" s="268"/>
      <c r="L840" s="334"/>
      <c r="M840" s="268"/>
      <c r="N840" s="268"/>
      <c r="O840" s="310"/>
      <c r="P840" s="268"/>
      <c r="Q840" s="334"/>
      <c r="R840" s="268"/>
      <c r="S840" s="313"/>
      <c r="T840" s="313"/>
      <c r="U840" s="268"/>
      <c r="V840" s="309"/>
      <c r="W840" s="310"/>
      <c r="X840" s="268"/>
      <c r="Y840" s="268"/>
      <c r="Z840" s="268"/>
    </row>
    <row r="841" spans="1:26" ht="24.75" customHeight="1">
      <c r="A841" s="268"/>
      <c r="B841" s="268"/>
      <c r="C841" s="268"/>
      <c r="D841" s="268"/>
      <c r="E841" s="268"/>
      <c r="F841" s="268"/>
      <c r="G841" s="268"/>
      <c r="H841" s="268"/>
      <c r="I841" s="268"/>
      <c r="J841" s="268"/>
      <c r="K841" s="268"/>
      <c r="L841" s="334"/>
      <c r="M841" s="268"/>
      <c r="N841" s="268"/>
      <c r="O841" s="310"/>
      <c r="P841" s="268"/>
      <c r="Q841" s="334"/>
      <c r="R841" s="268"/>
      <c r="S841" s="313"/>
      <c r="T841" s="313"/>
      <c r="U841" s="268"/>
      <c r="V841" s="309"/>
      <c r="W841" s="310"/>
      <c r="X841" s="268"/>
      <c r="Y841" s="268"/>
      <c r="Z841" s="268"/>
    </row>
    <row r="842" spans="1:26" ht="24.75" customHeight="1">
      <c r="A842" s="268"/>
      <c r="B842" s="268"/>
      <c r="C842" s="268"/>
      <c r="D842" s="268"/>
      <c r="E842" s="268"/>
      <c r="F842" s="268"/>
      <c r="G842" s="268"/>
      <c r="H842" s="268"/>
      <c r="I842" s="268"/>
      <c r="J842" s="268"/>
      <c r="K842" s="268"/>
      <c r="L842" s="334"/>
      <c r="M842" s="268"/>
      <c r="N842" s="268"/>
      <c r="O842" s="310"/>
      <c r="P842" s="268"/>
      <c r="Q842" s="334"/>
      <c r="R842" s="268"/>
      <c r="S842" s="313"/>
      <c r="T842" s="313"/>
      <c r="U842" s="268"/>
      <c r="V842" s="309"/>
      <c r="W842" s="310"/>
      <c r="X842" s="268"/>
      <c r="Y842" s="268"/>
      <c r="Z842" s="268"/>
    </row>
    <row r="843" spans="1:26" ht="24.75" customHeight="1">
      <c r="A843" s="268"/>
      <c r="B843" s="268"/>
      <c r="C843" s="268"/>
      <c r="D843" s="268"/>
      <c r="E843" s="268"/>
      <c r="F843" s="268"/>
      <c r="G843" s="268"/>
      <c r="H843" s="268"/>
      <c r="I843" s="268"/>
      <c r="J843" s="268"/>
      <c r="K843" s="268"/>
      <c r="L843" s="334"/>
      <c r="M843" s="268"/>
      <c r="N843" s="268"/>
      <c r="O843" s="310"/>
      <c r="P843" s="268"/>
      <c r="Q843" s="334"/>
      <c r="R843" s="268"/>
      <c r="S843" s="313"/>
      <c r="T843" s="313"/>
      <c r="U843" s="268"/>
      <c r="V843" s="309"/>
      <c r="W843" s="310"/>
      <c r="X843" s="268"/>
      <c r="Y843" s="268"/>
      <c r="Z843" s="268"/>
    </row>
    <row r="844" spans="1:26" ht="24.75" customHeight="1">
      <c r="A844" s="268"/>
      <c r="B844" s="268"/>
      <c r="C844" s="268"/>
      <c r="D844" s="268"/>
      <c r="E844" s="268"/>
      <c r="F844" s="268"/>
      <c r="G844" s="268"/>
      <c r="H844" s="268"/>
      <c r="I844" s="268"/>
      <c r="J844" s="268"/>
      <c r="K844" s="268"/>
      <c r="L844" s="334"/>
      <c r="M844" s="268"/>
      <c r="N844" s="268"/>
      <c r="O844" s="310"/>
      <c r="P844" s="268"/>
      <c r="Q844" s="334"/>
      <c r="R844" s="268"/>
      <c r="S844" s="313"/>
      <c r="T844" s="313"/>
      <c r="U844" s="268"/>
      <c r="V844" s="309"/>
      <c r="W844" s="310"/>
      <c r="X844" s="268"/>
      <c r="Y844" s="268"/>
      <c r="Z844" s="268"/>
    </row>
    <row r="845" spans="1:26" ht="24.75" customHeight="1">
      <c r="A845" s="268"/>
      <c r="B845" s="268"/>
      <c r="C845" s="268"/>
      <c r="D845" s="268"/>
      <c r="E845" s="268"/>
      <c r="F845" s="268"/>
      <c r="G845" s="268"/>
      <c r="H845" s="268"/>
      <c r="I845" s="268"/>
      <c r="J845" s="268"/>
      <c r="K845" s="268"/>
      <c r="L845" s="334"/>
      <c r="M845" s="268"/>
      <c r="N845" s="268"/>
      <c r="O845" s="310"/>
      <c r="P845" s="268"/>
      <c r="Q845" s="334"/>
      <c r="R845" s="268"/>
      <c r="S845" s="313"/>
      <c r="T845" s="313"/>
      <c r="U845" s="268"/>
      <c r="V845" s="309"/>
      <c r="W845" s="310"/>
      <c r="X845" s="268"/>
      <c r="Y845" s="268"/>
      <c r="Z845" s="268"/>
    </row>
    <row r="846" spans="1:26" ht="24.75" customHeight="1">
      <c r="A846" s="268"/>
      <c r="B846" s="268"/>
      <c r="C846" s="268"/>
      <c r="D846" s="268"/>
      <c r="E846" s="268"/>
      <c r="F846" s="268"/>
      <c r="G846" s="268"/>
      <c r="H846" s="268"/>
      <c r="I846" s="268"/>
      <c r="J846" s="268"/>
      <c r="K846" s="268"/>
      <c r="L846" s="334"/>
      <c r="M846" s="268"/>
      <c r="N846" s="268"/>
      <c r="O846" s="310"/>
      <c r="P846" s="268"/>
      <c r="Q846" s="334"/>
      <c r="R846" s="268"/>
      <c r="S846" s="313"/>
      <c r="T846" s="313"/>
      <c r="U846" s="268"/>
      <c r="V846" s="309"/>
      <c r="W846" s="310"/>
      <c r="X846" s="268"/>
      <c r="Y846" s="268"/>
      <c r="Z846" s="268"/>
    </row>
    <row r="847" spans="1:26" ht="24.75" customHeight="1">
      <c r="A847" s="268"/>
      <c r="B847" s="268"/>
      <c r="C847" s="268"/>
      <c r="D847" s="268"/>
      <c r="E847" s="268"/>
      <c r="F847" s="268"/>
      <c r="G847" s="268"/>
      <c r="H847" s="268"/>
      <c r="I847" s="268"/>
      <c r="J847" s="268"/>
      <c r="K847" s="268"/>
      <c r="L847" s="334"/>
      <c r="M847" s="268"/>
      <c r="N847" s="268"/>
      <c r="O847" s="310"/>
      <c r="P847" s="268"/>
      <c r="Q847" s="334"/>
      <c r="R847" s="268"/>
      <c r="S847" s="313"/>
      <c r="T847" s="313"/>
      <c r="U847" s="268"/>
      <c r="V847" s="309"/>
      <c r="W847" s="310"/>
      <c r="X847" s="268"/>
      <c r="Y847" s="268"/>
      <c r="Z847" s="268"/>
    </row>
    <row r="848" spans="1:26" ht="24.75" customHeight="1">
      <c r="A848" s="268"/>
      <c r="B848" s="268"/>
      <c r="C848" s="268"/>
      <c r="D848" s="268"/>
      <c r="E848" s="268"/>
      <c r="F848" s="268"/>
      <c r="G848" s="268"/>
      <c r="H848" s="268"/>
      <c r="I848" s="268"/>
      <c r="J848" s="268"/>
      <c r="K848" s="268"/>
      <c r="L848" s="334"/>
      <c r="M848" s="268"/>
      <c r="N848" s="268"/>
      <c r="O848" s="310"/>
      <c r="P848" s="268"/>
      <c r="Q848" s="334"/>
      <c r="R848" s="268"/>
      <c r="S848" s="313"/>
      <c r="T848" s="313"/>
      <c r="U848" s="268"/>
      <c r="V848" s="309"/>
      <c r="W848" s="310"/>
      <c r="X848" s="268"/>
      <c r="Y848" s="268"/>
      <c r="Z848" s="268"/>
    </row>
    <row r="849" spans="1:26" ht="24.75" customHeight="1">
      <c r="A849" s="268"/>
      <c r="B849" s="268"/>
      <c r="C849" s="268"/>
      <c r="D849" s="268"/>
      <c r="E849" s="268"/>
      <c r="F849" s="268"/>
      <c r="G849" s="268"/>
      <c r="H849" s="268"/>
      <c r="I849" s="268"/>
      <c r="J849" s="268"/>
      <c r="K849" s="268"/>
      <c r="L849" s="334"/>
      <c r="M849" s="268"/>
      <c r="N849" s="268"/>
      <c r="O849" s="310"/>
      <c r="P849" s="268"/>
      <c r="Q849" s="334"/>
      <c r="R849" s="268"/>
      <c r="S849" s="313"/>
      <c r="T849" s="313"/>
      <c r="U849" s="268"/>
      <c r="V849" s="309"/>
      <c r="W849" s="310"/>
      <c r="X849" s="268"/>
      <c r="Y849" s="268"/>
      <c r="Z849" s="268"/>
    </row>
    <row r="850" spans="1:26" ht="24.75" customHeight="1">
      <c r="A850" s="268"/>
      <c r="B850" s="268"/>
      <c r="C850" s="268"/>
      <c r="D850" s="268"/>
      <c r="E850" s="268"/>
      <c r="F850" s="268"/>
      <c r="G850" s="268"/>
      <c r="H850" s="268"/>
      <c r="I850" s="268"/>
      <c r="J850" s="268"/>
      <c r="K850" s="268"/>
      <c r="L850" s="334"/>
      <c r="M850" s="268"/>
      <c r="N850" s="268"/>
      <c r="O850" s="310"/>
      <c r="P850" s="268"/>
      <c r="Q850" s="334"/>
      <c r="R850" s="268"/>
      <c r="S850" s="313"/>
      <c r="T850" s="313"/>
      <c r="U850" s="268"/>
      <c r="V850" s="309"/>
      <c r="W850" s="310"/>
      <c r="X850" s="268"/>
      <c r="Y850" s="268"/>
      <c r="Z850" s="268"/>
    </row>
    <row r="851" spans="1:26" ht="24.75" customHeight="1">
      <c r="A851" s="268"/>
      <c r="B851" s="268"/>
      <c r="C851" s="268"/>
      <c r="D851" s="268"/>
      <c r="E851" s="268"/>
      <c r="F851" s="268"/>
      <c r="G851" s="268"/>
      <c r="H851" s="268"/>
      <c r="I851" s="268"/>
      <c r="J851" s="268"/>
      <c r="K851" s="268"/>
      <c r="L851" s="334"/>
      <c r="M851" s="268"/>
      <c r="N851" s="268"/>
      <c r="O851" s="310"/>
      <c r="P851" s="268"/>
      <c r="Q851" s="334"/>
      <c r="R851" s="268"/>
      <c r="S851" s="313"/>
      <c r="T851" s="313"/>
      <c r="U851" s="268"/>
      <c r="V851" s="309"/>
      <c r="W851" s="310"/>
      <c r="X851" s="268"/>
      <c r="Y851" s="268"/>
      <c r="Z851" s="268"/>
    </row>
    <row r="852" spans="1:26" ht="24.75" customHeight="1">
      <c r="A852" s="268"/>
      <c r="B852" s="268"/>
      <c r="C852" s="268"/>
      <c r="D852" s="268"/>
      <c r="E852" s="268"/>
      <c r="F852" s="268"/>
      <c r="G852" s="268"/>
      <c r="H852" s="268"/>
      <c r="I852" s="268"/>
      <c r="J852" s="268"/>
      <c r="K852" s="268"/>
      <c r="L852" s="334"/>
      <c r="M852" s="268"/>
      <c r="N852" s="268"/>
      <c r="O852" s="310"/>
      <c r="P852" s="268"/>
      <c r="Q852" s="334"/>
      <c r="R852" s="268"/>
      <c r="S852" s="313"/>
      <c r="T852" s="313"/>
      <c r="U852" s="268"/>
      <c r="V852" s="309"/>
      <c r="W852" s="310"/>
      <c r="X852" s="268"/>
      <c r="Y852" s="268"/>
      <c r="Z852" s="268"/>
    </row>
    <row r="853" spans="1:26" ht="24.75" customHeight="1">
      <c r="A853" s="268"/>
      <c r="B853" s="268"/>
      <c r="C853" s="268"/>
      <c r="D853" s="268"/>
      <c r="E853" s="268"/>
      <c r="F853" s="268"/>
      <c r="G853" s="268"/>
      <c r="H853" s="268"/>
      <c r="I853" s="268"/>
      <c r="J853" s="268"/>
      <c r="K853" s="268"/>
      <c r="L853" s="334"/>
      <c r="M853" s="268"/>
      <c r="N853" s="268"/>
      <c r="O853" s="310"/>
      <c r="P853" s="268"/>
      <c r="Q853" s="334"/>
      <c r="R853" s="268"/>
      <c r="S853" s="313"/>
      <c r="T853" s="313"/>
      <c r="U853" s="268"/>
      <c r="V853" s="309"/>
      <c r="W853" s="310"/>
      <c r="X853" s="268"/>
      <c r="Y853" s="268"/>
      <c r="Z853" s="268"/>
    </row>
    <row r="854" spans="1:26" ht="24.75" customHeight="1">
      <c r="A854" s="268"/>
      <c r="B854" s="268"/>
      <c r="C854" s="268"/>
      <c r="D854" s="268"/>
      <c r="E854" s="268"/>
      <c r="F854" s="268"/>
      <c r="G854" s="268"/>
      <c r="H854" s="268"/>
      <c r="I854" s="268"/>
      <c r="J854" s="268"/>
      <c r="K854" s="268"/>
      <c r="L854" s="334"/>
      <c r="M854" s="268"/>
      <c r="N854" s="268"/>
      <c r="O854" s="310"/>
      <c r="P854" s="268"/>
      <c r="Q854" s="334"/>
      <c r="R854" s="268"/>
      <c r="S854" s="313"/>
      <c r="T854" s="313"/>
      <c r="U854" s="268"/>
      <c r="V854" s="309"/>
      <c r="W854" s="310"/>
      <c r="X854" s="268"/>
      <c r="Y854" s="268"/>
      <c r="Z854" s="268"/>
    </row>
    <row r="855" spans="1:26" ht="24.75" customHeight="1">
      <c r="A855" s="268"/>
      <c r="B855" s="268"/>
      <c r="C855" s="268"/>
      <c r="D855" s="268"/>
      <c r="E855" s="268"/>
      <c r="F855" s="268"/>
      <c r="G855" s="268"/>
      <c r="H855" s="268"/>
      <c r="I855" s="268"/>
      <c r="J855" s="268"/>
      <c r="K855" s="268"/>
      <c r="L855" s="334"/>
      <c r="M855" s="268"/>
      <c r="N855" s="268"/>
      <c r="O855" s="310"/>
      <c r="P855" s="268"/>
      <c r="Q855" s="334"/>
      <c r="R855" s="268"/>
      <c r="S855" s="313"/>
      <c r="T855" s="313"/>
      <c r="U855" s="268"/>
      <c r="V855" s="309"/>
      <c r="W855" s="310"/>
      <c r="X855" s="268"/>
      <c r="Y855" s="268"/>
      <c r="Z855" s="268"/>
    </row>
    <row r="856" spans="1:26" ht="24.75" customHeight="1">
      <c r="A856" s="268"/>
      <c r="B856" s="268"/>
      <c r="C856" s="268"/>
      <c r="D856" s="268"/>
      <c r="E856" s="268"/>
      <c r="F856" s="268"/>
      <c r="G856" s="268"/>
      <c r="H856" s="268"/>
      <c r="I856" s="268"/>
      <c r="J856" s="268"/>
      <c r="K856" s="268"/>
      <c r="L856" s="334"/>
      <c r="M856" s="268"/>
      <c r="N856" s="268"/>
      <c r="O856" s="310"/>
      <c r="P856" s="268"/>
      <c r="Q856" s="334"/>
      <c r="R856" s="268"/>
      <c r="S856" s="313"/>
      <c r="T856" s="313"/>
      <c r="U856" s="268"/>
      <c r="V856" s="309"/>
      <c r="W856" s="310"/>
      <c r="X856" s="268"/>
      <c r="Y856" s="268"/>
      <c r="Z856" s="268"/>
    </row>
    <row r="857" spans="1:26" ht="24.75" customHeight="1">
      <c r="A857" s="268"/>
      <c r="B857" s="268"/>
      <c r="C857" s="268"/>
      <c r="D857" s="268"/>
      <c r="E857" s="268"/>
      <c r="F857" s="268"/>
      <c r="G857" s="268"/>
      <c r="H857" s="268"/>
      <c r="I857" s="268"/>
      <c r="J857" s="268"/>
      <c r="K857" s="268"/>
      <c r="L857" s="334"/>
      <c r="M857" s="268"/>
      <c r="N857" s="268"/>
      <c r="O857" s="310"/>
      <c r="P857" s="268"/>
      <c r="Q857" s="334"/>
      <c r="R857" s="268"/>
      <c r="S857" s="313"/>
      <c r="T857" s="313"/>
      <c r="U857" s="268"/>
      <c r="V857" s="309"/>
      <c r="W857" s="310"/>
      <c r="X857" s="268"/>
      <c r="Y857" s="268"/>
      <c r="Z857" s="268"/>
    </row>
    <row r="858" spans="1:26" ht="24.75" customHeight="1">
      <c r="A858" s="268"/>
      <c r="B858" s="268"/>
      <c r="C858" s="268"/>
      <c r="D858" s="268"/>
      <c r="E858" s="268"/>
      <c r="F858" s="268"/>
      <c r="G858" s="268"/>
      <c r="H858" s="268"/>
      <c r="I858" s="268"/>
      <c r="J858" s="268"/>
      <c r="K858" s="268"/>
      <c r="L858" s="334"/>
      <c r="M858" s="268"/>
      <c r="N858" s="268"/>
      <c r="O858" s="310"/>
      <c r="P858" s="268"/>
      <c r="Q858" s="334"/>
      <c r="R858" s="268"/>
      <c r="S858" s="313"/>
      <c r="T858" s="313"/>
      <c r="U858" s="268"/>
      <c r="V858" s="309"/>
      <c r="W858" s="310"/>
      <c r="X858" s="268"/>
      <c r="Y858" s="268"/>
      <c r="Z858" s="268"/>
    </row>
    <row r="859" spans="1:26" ht="24.75" customHeight="1">
      <c r="A859" s="268"/>
      <c r="B859" s="268"/>
      <c r="C859" s="268"/>
      <c r="D859" s="268"/>
      <c r="E859" s="268"/>
      <c r="F859" s="268"/>
      <c r="G859" s="268"/>
      <c r="H859" s="268"/>
      <c r="I859" s="268"/>
      <c r="J859" s="268"/>
      <c r="K859" s="268"/>
      <c r="L859" s="334"/>
      <c r="M859" s="268"/>
      <c r="N859" s="268"/>
      <c r="O859" s="310"/>
      <c r="P859" s="268"/>
      <c r="Q859" s="334"/>
      <c r="R859" s="268"/>
      <c r="S859" s="313"/>
      <c r="T859" s="313"/>
      <c r="U859" s="268"/>
      <c r="V859" s="309"/>
      <c r="W859" s="310"/>
      <c r="X859" s="268"/>
      <c r="Y859" s="268"/>
      <c r="Z859" s="268"/>
    </row>
    <row r="860" spans="1:26" ht="24.75" customHeight="1">
      <c r="A860" s="268"/>
      <c r="B860" s="268"/>
      <c r="C860" s="268"/>
      <c r="D860" s="268"/>
      <c r="E860" s="268"/>
      <c r="F860" s="268"/>
      <c r="G860" s="268"/>
      <c r="H860" s="268"/>
      <c r="I860" s="268"/>
      <c r="J860" s="268"/>
      <c r="K860" s="268"/>
      <c r="L860" s="334"/>
      <c r="M860" s="268"/>
      <c r="N860" s="268"/>
      <c r="O860" s="310"/>
      <c r="P860" s="268"/>
      <c r="Q860" s="334"/>
      <c r="R860" s="268"/>
      <c r="S860" s="313"/>
      <c r="T860" s="313"/>
      <c r="U860" s="268"/>
      <c r="V860" s="309"/>
      <c r="W860" s="310"/>
      <c r="X860" s="268"/>
      <c r="Y860" s="268"/>
      <c r="Z860" s="268"/>
    </row>
    <row r="861" spans="1:26" ht="24.75" customHeight="1">
      <c r="A861" s="268"/>
      <c r="B861" s="268"/>
      <c r="C861" s="268"/>
      <c r="D861" s="268"/>
      <c r="E861" s="268"/>
      <c r="F861" s="268"/>
      <c r="G861" s="268"/>
      <c r="H861" s="268"/>
      <c r="I861" s="268"/>
      <c r="J861" s="268"/>
      <c r="K861" s="268"/>
      <c r="L861" s="334"/>
      <c r="M861" s="268"/>
      <c r="N861" s="268"/>
      <c r="O861" s="310"/>
      <c r="P861" s="268"/>
      <c r="Q861" s="334"/>
      <c r="R861" s="268"/>
      <c r="S861" s="313"/>
      <c r="T861" s="313"/>
      <c r="U861" s="268"/>
      <c r="V861" s="309"/>
      <c r="W861" s="310"/>
      <c r="X861" s="268"/>
      <c r="Y861" s="268"/>
      <c r="Z861" s="268"/>
    </row>
    <row r="862" spans="1:26" ht="24.75" customHeight="1">
      <c r="A862" s="268"/>
      <c r="B862" s="268"/>
      <c r="C862" s="268"/>
      <c r="D862" s="268"/>
      <c r="E862" s="268"/>
      <c r="F862" s="268"/>
      <c r="G862" s="268"/>
      <c r="H862" s="268"/>
      <c r="I862" s="268"/>
      <c r="J862" s="268"/>
      <c r="K862" s="268"/>
      <c r="L862" s="334"/>
      <c r="M862" s="268"/>
      <c r="N862" s="268"/>
      <c r="O862" s="310"/>
      <c r="P862" s="268"/>
      <c r="Q862" s="334"/>
      <c r="R862" s="268"/>
      <c r="S862" s="313"/>
      <c r="T862" s="313"/>
      <c r="U862" s="268"/>
      <c r="V862" s="309"/>
      <c r="W862" s="310"/>
      <c r="X862" s="268"/>
      <c r="Y862" s="268"/>
      <c r="Z862" s="268"/>
    </row>
    <row r="863" spans="1:26" ht="24.75" customHeight="1">
      <c r="A863" s="268"/>
      <c r="B863" s="268"/>
      <c r="C863" s="268"/>
      <c r="D863" s="268"/>
      <c r="E863" s="268"/>
      <c r="F863" s="268"/>
      <c r="G863" s="268"/>
      <c r="H863" s="268"/>
      <c r="I863" s="268"/>
      <c r="J863" s="268"/>
      <c r="K863" s="268"/>
      <c r="L863" s="334"/>
      <c r="M863" s="268"/>
      <c r="N863" s="268"/>
      <c r="O863" s="310"/>
      <c r="P863" s="268"/>
      <c r="Q863" s="334"/>
      <c r="R863" s="268"/>
      <c r="S863" s="313"/>
      <c r="T863" s="313"/>
      <c r="U863" s="268"/>
      <c r="V863" s="309"/>
      <c r="W863" s="310"/>
      <c r="X863" s="268"/>
      <c r="Y863" s="268"/>
      <c r="Z863" s="268"/>
    </row>
    <row r="864" spans="1:26" ht="24.75" customHeight="1">
      <c r="A864" s="268"/>
      <c r="B864" s="268"/>
      <c r="C864" s="268"/>
      <c r="D864" s="268"/>
      <c r="E864" s="268"/>
      <c r="F864" s="268"/>
      <c r="G864" s="268"/>
      <c r="H864" s="268"/>
      <c r="I864" s="268"/>
      <c r="J864" s="268"/>
      <c r="K864" s="268"/>
      <c r="L864" s="334"/>
      <c r="M864" s="268"/>
      <c r="N864" s="268"/>
      <c r="O864" s="310"/>
      <c r="P864" s="268"/>
      <c r="Q864" s="334"/>
      <c r="R864" s="268"/>
      <c r="S864" s="313"/>
      <c r="T864" s="313"/>
      <c r="U864" s="268"/>
      <c r="V864" s="309"/>
      <c r="W864" s="310"/>
      <c r="X864" s="268"/>
      <c r="Y864" s="268"/>
      <c r="Z864" s="268"/>
    </row>
    <row r="865" spans="1:26" ht="24.75" customHeight="1">
      <c r="A865" s="268"/>
      <c r="B865" s="268"/>
      <c r="C865" s="268"/>
      <c r="D865" s="268"/>
      <c r="E865" s="268"/>
      <c r="F865" s="268"/>
      <c r="G865" s="268"/>
      <c r="H865" s="268"/>
      <c r="I865" s="268"/>
      <c r="J865" s="268"/>
      <c r="K865" s="268"/>
      <c r="L865" s="334"/>
      <c r="M865" s="268"/>
      <c r="N865" s="268"/>
      <c r="O865" s="310"/>
      <c r="P865" s="268"/>
      <c r="Q865" s="334"/>
      <c r="R865" s="268"/>
      <c r="S865" s="313"/>
      <c r="T865" s="313"/>
      <c r="U865" s="268"/>
      <c r="V865" s="309"/>
      <c r="W865" s="310"/>
      <c r="X865" s="268"/>
      <c r="Y865" s="268"/>
      <c r="Z865" s="268"/>
    </row>
    <row r="866" spans="1:26" ht="24.75" customHeight="1">
      <c r="A866" s="268"/>
      <c r="B866" s="268"/>
      <c r="C866" s="268"/>
      <c r="D866" s="268"/>
      <c r="E866" s="268"/>
      <c r="F866" s="268"/>
      <c r="G866" s="268"/>
      <c r="H866" s="268"/>
      <c r="I866" s="268"/>
      <c r="J866" s="268"/>
      <c r="K866" s="268"/>
      <c r="L866" s="334"/>
      <c r="M866" s="268"/>
      <c r="N866" s="268"/>
      <c r="O866" s="310"/>
      <c r="P866" s="268"/>
      <c r="Q866" s="334"/>
      <c r="R866" s="268"/>
      <c r="S866" s="313"/>
      <c r="T866" s="313"/>
      <c r="U866" s="268"/>
      <c r="V866" s="309"/>
      <c r="W866" s="310"/>
      <c r="X866" s="268"/>
      <c r="Y866" s="268"/>
      <c r="Z866" s="268"/>
    </row>
    <row r="867" spans="1:26" ht="24.75" customHeight="1">
      <c r="A867" s="268"/>
      <c r="B867" s="268"/>
      <c r="C867" s="268"/>
      <c r="D867" s="268"/>
      <c r="E867" s="268"/>
      <c r="F867" s="268"/>
      <c r="G867" s="268"/>
      <c r="H867" s="268"/>
      <c r="I867" s="268"/>
      <c r="J867" s="268"/>
      <c r="K867" s="268"/>
      <c r="L867" s="334"/>
      <c r="M867" s="268"/>
      <c r="N867" s="268"/>
      <c r="O867" s="310"/>
      <c r="P867" s="268"/>
      <c r="Q867" s="334"/>
      <c r="R867" s="268"/>
      <c r="S867" s="313"/>
      <c r="T867" s="313"/>
      <c r="U867" s="268"/>
      <c r="V867" s="309"/>
      <c r="W867" s="310"/>
      <c r="X867" s="268"/>
      <c r="Y867" s="268"/>
      <c r="Z867" s="268"/>
    </row>
    <row r="868" spans="1:26" ht="24.75" customHeight="1">
      <c r="A868" s="268"/>
      <c r="B868" s="268"/>
      <c r="C868" s="268"/>
      <c r="D868" s="268"/>
      <c r="E868" s="268"/>
      <c r="F868" s="268"/>
      <c r="G868" s="268"/>
      <c r="H868" s="268"/>
      <c r="I868" s="268"/>
      <c r="J868" s="268"/>
      <c r="K868" s="268"/>
      <c r="L868" s="334"/>
      <c r="M868" s="268"/>
      <c r="N868" s="268"/>
      <c r="O868" s="310"/>
      <c r="P868" s="268"/>
      <c r="Q868" s="334"/>
      <c r="R868" s="268"/>
      <c r="S868" s="313"/>
      <c r="T868" s="313"/>
      <c r="U868" s="268"/>
      <c r="V868" s="309"/>
      <c r="W868" s="310"/>
      <c r="X868" s="268"/>
      <c r="Y868" s="268"/>
      <c r="Z868" s="268"/>
    </row>
    <row r="869" spans="1:26" ht="24.75" customHeight="1">
      <c r="A869" s="268"/>
      <c r="B869" s="268"/>
      <c r="C869" s="268"/>
      <c r="D869" s="268"/>
      <c r="E869" s="268"/>
      <c r="F869" s="268"/>
      <c r="G869" s="268"/>
      <c r="H869" s="268"/>
      <c r="I869" s="268"/>
      <c r="J869" s="268"/>
      <c r="K869" s="268"/>
      <c r="L869" s="334"/>
      <c r="M869" s="268"/>
      <c r="N869" s="268"/>
      <c r="O869" s="310"/>
      <c r="P869" s="268"/>
      <c r="Q869" s="334"/>
      <c r="R869" s="268"/>
      <c r="S869" s="313"/>
      <c r="T869" s="313"/>
      <c r="U869" s="268"/>
      <c r="V869" s="309"/>
      <c r="W869" s="310"/>
      <c r="X869" s="268"/>
      <c r="Y869" s="268"/>
      <c r="Z869" s="268"/>
    </row>
    <row r="870" spans="1:26" ht="24.75" customHeight="1">
      <c r="A870" s="268"/>
      <c r="B870" s="268"/>
      <c r="C870" s="268"/>
      <c r="D870" s="268"/>
      <c r="E870" s="268"/>
      <c r="F870" s="268"/>
      <c r="G870" s="268"/>
      <c r="H870" s="268"/>
      <c r="I870" s="268"/>
      <c r="J870" s="268"/>
      <c r="K870" s="268"/>
      <c r="L870" s="334"/>
      <c r="M870" s="268"/>
      <c r="N870" s="268"/>
      <c r="O870" s="310"/>
      <c r="P870" s="268"/>
      <c r="Q870" s="334"/>
      <c r="R870" s="268"/>
      <c r="S870" s="313"/>
      <c r="T870" s="313"/>
      <c r="U870" s="268"/>
      <c r="V870" s="309"/>
      <c r="W870" s="310"/>
      <c r="X870" s="268"/>
      <c r="Y870" s="268"/>
      <c r="Z870" s="268"/>
    </row>
    <row r="871" spans="1:26" ht="24.75" customHeight="1">
      <c r="A871" s="268"/>
      <c r="B871" s="268"/>
      <c r="C871" s="268"/>
      <c r="D871" s="268"/>
      <c r="E871" s="268"/>
      <c r="F871" s="268"/>
      <c r="G871" s="268"/>
      <c r="H871" s="268"/>
      <c r="I871" s="268"/>
      <c r="J871" s="268"/>
      <c r="K871" s="268"/>
      <c r="L871" s="334"/>
      <c r="M871" s="268"/>
      <c r="N871" s="268"/>
      <c r="O871" s="310"/>
      <c r="P871" s="268"/>
      <c r="Q871" s="334"/>
      <c r="R871" s="268"/>
      <c r="S871" s="313"/>
      <c r="T871" s="313"/>
      <c r="U871" s="268"/>
      <c r="V871" s="309"/>
      <c r="W871" s="310"/>
      <c r="X871" s="268"/>
      <c r="Y871" s="268"/>
      <c r="Z871" s="268"/>
    </row>
    <row r="872" spans="1:26" ht="24.75" customHeight="1">
      <c r="A872" s="268"/>
      <c r="B872" s="268"/>
      <c r="C872" s="268"/>
      <c r="D872" s="268"/>
      <c r="E872" s="268"/>
      <c r="F872" s="268"/>
      <c r="G872" s="268"/>
      <c r="H872" s="268"/>
      <c r="I872" s="268"/>
      <c r="J872" s="268"/>
      <c r="K872" s="268"/>
      <c r="L872" s="334"/>
      <c r="M872" s="268"/>
      <c r="N872" s="268"/>
      <c r="O872" s="310"/>
      <c r="P872" s="268"/>
      <c r="Q872" s="334"/>
      <c r="R872" s="268"/>
      <c r="S872" s="313"/>
      <c r="T872" s="313"/>
      <c r="U872" s="268"/>
      <c r="V872" s="309"/>
      <c r="W872" s="310"/>
      <c r="X872" s="268"/>
      <c r="Y872" s="268"/>
      <c r="Z872" s="268"/>
    </row>
    <row r="873" spans="1:26" ht="24.75" customHeight="1">
      <c r="A873" s="268"/>
      <c r="B873" s="268"/>
      <c r="C873" s="268"/>
      <c r="D873" s="268"/>
      <c r="E873" s="268"/>
      <c r="F873" s="268"/>
      <c r="G873" s="268"/>
      <c r="H873" s="268"/>
      <c r="I873" s="268"/>
      <c r="J873" s="268"/>
      <c r="K873" s="268"/>
      <c r="L873" s="334"/>
      <c r="M873" s="268"/>
      <c r="N873" s="268"/>
      <c r="O873" s="310"/>
      <c r="P873" s="268"/>
      <c r="Q873" s="334"/>
      <c r="R873" s="268"/>
      <c r="S873" s="313"/>
      <c r="T873" s="313"/>
      <c r="U873" s="268"/>
      <c r="V873" s="309"/>
      <c r="W873" s="310"/>
      <c r="X873" s="268"/>
      <c r="Y873" s="268"/>
      <c r="Z873" s="268"/>
    </row>
    <row r="874" spans="1:26" ht="24.75" customHeight="1">
      <c r="A874" s="268"/>
      <c r="B874" s="268"/>
      <c r="C874" s="268"/>
      <c r="D874" s="268"/>
      <c r="E874" s="268"/>
      <c r="F874" s="268"/>
      <c r="G874" s="268"/>
      <c r="H874" s="268"/>
      <c r="I874" s="268"/>
      <c r="J874" s="268"/>
      <c r="K874" s="268"/>
      <c r="L874" s="334"/>
      <c r="M874" s="268"/>
      <c r="N874" s="268"/>
      <c r="O874" s="310"/>
      <c r="P874" s="268"/>
      <c r="Q874" s="334"/>
      <c r="R874" s="268"/>
      <c r="S874" s="313"/>
      <c r="T874" s="313"/>
      <c r="U874" s="268"/>
      <c r="V874" s="309"/>
      <c r="W874" s="310"/>
      <c r="X874" s="268"/>
      <c r="Y874" s="268"/>
      <c r="Z874" s="268"/>
    </row>
    <row r="875" spans="1:26" ht="24.75" customHeight="1">
      <c r="A875" s="268"/>
      <c r="B875" s="268"/>
      <c r="C875" s="268"/>
      <c r="D875" s="268"/>
      <c r="E875" s="268"/>
      <c r="F875" s="268"/>
      <c r="G875" s="268"/>
      <c r="H875" s="268"/>
      <c r="I875" s="268"/>
      <c r="J875" s="268"/>
      <c r="K875" s="268"/>
      <c r="L875" s="334"/>
      <c r="M875" s="268"/>
      <c r="N875" s="268"/>
      <c r="O875" s="310"/>
      <c r="P875" s="268"/>
      <c r="Q875" s="334"/>
      <c r="R875" s="268"/>
      <c r="S875" s="313"/>
      <c r="T875" s="313"/>
      <c r="U875" s="268"/>
      <c r="V875" s="309"/>
      <c r="W875" s="310"/>
      <c r="X875" s="268"/>
      <c r="Y875" s="268"/>
      <c r="Z875" s="268"/>
    </row>
    <row r="876" spans="1:26" ht="24.75" customHeight="1">
      <c r="A876" s="268"/>
      <c r="B876" s="268"/>
      <c r="C876" s="268"/>
      <c r="D876" s="268"/>
      <c r="E876" s="268"/>
      <c r="F876" s="268"/>
      <c r="G876" s="268"/>
      <c r="H876" s="268"/>
      <c r="I876" s="268"/>
      <c r="J876" s="268"/>
      <c r="K876" s="268"/>
      <c r="L876" s="334"/>
      <c r="M876" s="268"/>
      <c r="N876" s="268"/>
      <c r="O876" s="310"/>
      <c r="P876" s="268"/>
      <c r="Q876" s="334"/>
      <c r="R876" s="268"/>
      <c r="S876" s="313"/>
      <c r="T876" s="313"/>
      <c r="U876" s="268"/>
      <c r="V876" s="309"/>
      <c r="W876" s="310"/>
      <c r="X876" s="268"/>
      <c r="Y876" s="268"/>
      <c r="Z876" s="268"/>
    </row>
    <row r="877" spans="1:26" ht="24.75" customHeight="1">
      <c r="A877" s="268"/>
      <c r="B877" s="268"/>
      <c r="C877" s="268"/>
      <c r="D877" s="268"/>
      <c r="E877" s="268"/>
      <c r="F877" s="268"/>
      <c r="G877" s="268"/>
      <c r="H877" s="268"/>
      <c r="I877" s="268"/>
      <c r="J877" s="268"/>
      <c r="K877" s="268"/>
      <c r="L877" s="334"/>
      <c r="M877" s="268"/>
      <c r="N877" s="268"/>
      <c r="O877" s="310"/>
      <c r="P877" s="268"/>
      <c r="Q877" s="334"/>
      <c r="R877" s="268"/>
      <c r="S877" s="313"/>
      <c r="T877" s="313"/>
      <c r="U877" s="268"/>
      <c r="V877" s="309"/>
      <c r="W877" s="310"/>
      <c r="X877" s="268"/>
      <c r="Y877" s="268"/>
      <c r="Z877" s="268"/>
    </row>
    <row r="878" spans="1:26" ht="24.75" customHeight="1">
      <c r="A878" s="268"/>
      <c r="B878" s="268"/>
      <c r="C878" s="268"/>
      <c r="D878" s="268"/>
      <c r="E878" s="268"/>
      <c r="F878" s="268"/>
      <c r="G878" s="268"/>
      <c r="H878" s="268"/>
      <c r="I878" s="268"/>
      <c r="J878" s="268"/>
      <c r="K878" s="268"/>
      <c r="L878" s="334"/>
      <c r="M878" s="268"/>
      <c r="N878" s="268"/>
      <c r="O878" s="310"/>
      <c r="P878" s="268"/>
      <c r="Q878" s="334"/>
      <c r="R878" s="268"/>
      <c r="S878" s="313"/>
      <c r="T878" s="313"/>
      <c r="U878" s="268"/>
      <c r="V878" s="309"/>
      <c r="W878" s="310"/>
      <c r="X878" s="268"/>
      <c r="Y878" s="268"/>
      <c r="Z878" s="268"/>
    </row>
    <row r="879" spans="1:26" ht="24.75" customHeight="1">
      <c r="A879" s="268"/>
      <c r="B879" s="268"/>
      <c r="C879" s="268"/>
      <c r="D879" s="268"/>
      <c r="E879" s="268"/>
      <c r="F879" s="268"/>
      <c r="G879" s="268"/>
      <c r="H879" s="268"/>
      <c r="I879" s="268"/>
      <c r="J879" s="268"/>
      <c r="K879" s="268"/>
      <c r="L879" s="334"/>
      <c r="M879" s="268"/>
      <c r="N879" s="268"/>
      <c r="O879" s="310"/>
      <c r="P879" s="268"/>
      <c r="Q879" s="334"/>
      <c r="R879" s="268"/>
      <c r="S879" s="313"/>
      <c r="T879" s="313"/>
      <c r="U879" s="268"/>
      <c r="V879" s="309"/>
      <c r="W879" s="310"/>
      <c r="X879" s="268"/>
      <c r="Y879" s="268"/>
      <c r="Z879" s="268"/>
    </row>
    <row r="880" spans="1:26" ht="24.75" customHeight="1">
      <c r="A880" s="268"/>
      <c r="B880" s="268"/>
      <c r="C880" s="268"/>
      <c r="D880" s="268"/>
      <c r="E880" s="268"/>
      <c r="F880" s="268"/>
      <c r="G880" s="268"/>
      <c r="H880" s="268"/>
      <c r="I880" s="268"/>
      <c r="J880" s="268"/>
      <c r="K880" s="268"/>
      <c r="L880" s="334"/>
      <c r="M880" s="268"/>
      <c r="N880" s="268"/>
      <c r="O880" s="310"/>
      <c r="P880" s="268"/>
      <c r="Q880" s="334"/>
      <c r="R880" s="268"/>
      <c r="S880" s="313"/>
      <c r="T880" s="313"/>
      <c r="U880" s="268"/>
      <c r="V880" s="309"/>
      <c r="W880" s="310"/>
      <c r="X880" s="268"/>
      <c r="Y880" s="268"/>
      <c r="Z880" s="268"/>
    </row>
    <row r="881" spans="1:26" ht="24.75" customHeight="1">
      <c r="A881" s="268"/>
      <c r="B881" s="268"/>
      <c r="C881" s="268"/>
      <c r="D881" s="268"/>
      <c r="E881" s="268"/>
      <c r="F881" s="268"/>
      <c r="G881" s="268"/>
      <c r="H881" s="268"/>
      <c r="I881" s="268"/>
      <c r="J881" s="268"/>
      <c r="K881" s="268"/>
      <c r="L881" s="334"/>
      <c r="M881" s="268"/>
      <c r="N881" s="268"/>
      <c r="O881" s="310"/>
      <c r="P881" s="268"/>
      <c r="Q881" s="334"/>
      <c r="R881" s="268"/>
      <c r="S881" s="313"/>
      <c r="T881" s="313"/>
      <c r="U881" s="268"/>
      <c r="V881" s="309"/>
      <c r="W881" s="310"/>
      <c r="X881" s="268"/>
      <c r="Y881" s="268"/>
      <c r="Z881" s="268"/>
    </row>
    <row r="882" spans="1:26" ht="24.75" customHeight="1">
      <c r="A882" s="268"/>
      <c r="B882" s="268"/>
      <c r="C882" s="268"/>
      <c r="D882" s="268"/>
      <c r="E882" s="268"/>
      <c r="F882" s="268"/>
      <c r="G882" s="268"/>
      <c r="H882" s="268"/>
      <c r="I882" s="268"/>
      <c r="J882" s="268"/>
      <c r="K882" s="268"/>
      <c r="L882" s="334"/>
      <c r="M882" s="268"/>
      <c r="N882" s="268"/>
      <c r="O882" s="310"/>
      <c r="P882" s="268"/>
      <c r="Q882" s="334"/>
      <c r="R882" s="268"/>
      <c r="S882" s="313"/>
      <c r="T882" s="313"/>
      <c r="U882" s="268"/>
      <c r="V882" s="309"/>
      <c r="W882" s="310"/>
      <c r="X882" s="268"/>
      <c r="Y882" s="268"/>
      <c r="Z882" s="268"/>
    </row>
    <row r="883" spans="1:26" ht="24.75" customHeight="1">
      <c r="A883" s="268"/>
      <c r="B883" s="268"/>
      <c r="C883" s="268"/>
      <c r="D883" s="268"/>
      <c r="E883" s="268"/>
      <c r="F883" s="268"/>
      <c r="G883" s="268"/>
      <c r="H883" s="268"/>
      <c r="I883" s="268"/>
      <c r="J883" s="268"/>
      <c r="K883" s="268"/>
      <c r="L883" s="334"/>
      <c r="M883" s="268"/>
      <c r="N883" s="268"/>
      <c r="O883" s="310"/>
      <c r="P883" s="268"/>
      <c r="Q883" s="334"/>
      <c r="R883" s="268"/>
      <c r="S883" s="313"/>
      <c r="T883" s="313"/>
      <c r="U883" s="268"/>
      <c r="V883" s="309"/>
      <c r="W883" s="310"/>
      <c r="X883" s="268"/>
      <c r="Y883" s="268"/>
      <c r="Z883" s="268"/>
    </row>
    <row r="884" spans="1:26" ht="24.75" customHeight="1">
      <c r="A884" s="268"/>
      <c r="B884" s="268"/>
      <c r="C884" s="268"/>
      <c r="D884" s="268"/>
      <c r="E884" s="268"/>
      <c r="F884" s="268"/>
      <c r="G884" s="268"/>
      <c r="H884" s="268"/>
      <c r="I884" s="268"/>
      <c r="J884" s="268"/>
      <c r="K884" s="268"/>
      <c r="L884" s="334"/>
      <c r="M884" s="268"/>
      <c r="N884" s="268"/>
      <c r="O884" s="310"/>
      <c r="P884" s="268"/>
      <c r="Q884" s="334"/>
      <c r="R884" s="268"/>
      <c r="S884" s="313"/>
      <c r="T884" s="313"/>
      <c r="U884" s="268"/>
      <c r="V884" s="309"/>
      <c r="W884" s="310"/>
      <c r="X884" s="268"/>
      <c r="Y884" s="268"/>
      <c r="Z884" s="268"/>
    </row>
    <row r="885" spans="1:26" ht="24.75" customHeight="1">
      <c r="A885" s="268"/>
      <c r="B885" s="268"/>
      <c r="C885" s="268"/>
      <c r="D885" s="268"/>
      <c r="E885" s="268"/>
      <c r="F885" s="268"/>
      <c r="G885" s="268"/>
      <c r="H885" s="268"/>
      <c r="I885" s="268"/>
      <c r="J885" s="268"/>
      <c r="K885" s="268"/>
      <c r="L885" s="334"/>
      <c r="M885" s="268"/>
      <c r="N885" s="268"/>
      <c r="O885" s="310"/>
      <c r="P885" s="268"/>
      <c r="Q885" s="334"/>
      <c r="R885" s="268"/>
      <c r="S885" s="313"/>
      <c r="T885" s="313"/>
      <c r="U885" s="268"/>
      <c r="V885" s="309"/>
      <c r="W885" s="310"/>
      <c r="X885" s="268"/>
      <c r="Y885" s="268"/>
      <c r="Z885" s="268"/>
    </row>
    <row r="886" spans="1:26" ht="24.75" customHeight="1">
      <c r="A886" s="268"/>
      <c r="B886" s="268"/>
      <c r="C886" s="268"/>
      <c r="D886" s="268"/>
      <c r="E886" s="268"/>
      <c r="F886" s="268"/>
      <c r="G886" s="268"/>
      <c r="H886" s="268"/>
      <c r="I886" s="268"/>
      <c r="J886" s="268"/>
      <c r="K886" s="268"/>
      <c r="L886" s="334"/>
      <c r="M886" s="268"/>
      <c r="N886" s="268"/>
      <c r="O886" s="310"/>
      <c r="P886" s="268"/>
      <c r="Q886" s="334"/>
      <c r="R886" s="268"/>
      <c r="S886" s="313"/>
      <c r="T886" s="313"/>
      <c r="U886" s="268"/>
      <c r="V886" s="309"/>
      <c r="W886" s="310"/>
      <c r="X886" s="268"/>
      <c r="Y886" s="268"/>
      <c r="Z886" s="268"/>
    </row>
    <row r="887" spans="1:26" ht="24.75" customHeight="1">
      <c r="A887" s="268"/>
      <c r="B887" s="268"/>
      <c r="C887" s="268"/>
      <c r="D887" s="268"/>
      <c r="E887" s="268"/>
      <c r="F887" s="268"/>
      <c r="G887" s="268"/>
      <c r="H887" s="268"/>
      <c r="I887" s="268"/>
      <c r="J887" s="268"/>
      <c r="K887" s="268"/>
      <c r="L887" s="334"/>
      <c r="M887" s="268"/>
      <c r="N887" s="268"/>
      <c r="O887" s="310"/>
      <c r="P887" s="268"/>
      <c r="Q887" s="334"/>
      <c r="R887" s="268"/>
      <c r="S887" s="313"/>
      <c r="T887" s="313"/>
      <c r="U887" s="268"/>
      <c r="V887" s="309"/>
      <c r="W887" s="310"/>
      <c r="X887" s="268"/>
      <c r="Y887" s="268"/>
      <c r="Z887" s="268"/>
    </row>
    <row r="888" spans="1:26" ht="24.75" customHeight="1">
      <c r="A888" s="268"/>
      <c r="B888" s="268"/>
      <c r="C888" s="268"/>
      <c r="D888" s="268"/>
      <c r="E888" s="268"/>
      <c r="F888" s="268"/>
      <c r="G888" s="268"/>
      <c r="H888" s="268"/>
      <c r="I888" s="268"/>
      <c r="J888" s="268"/>
      <c r="K888" s="268"/>
      <c r="L888" s="334"/>
      <c r="M888" s="268"/>
      <c r="N888" s="268"/>
      <c r="O888" s="310"/>
      <c r="P888" s="268"/>
      <c r="Q888" s="334"/>
      <c r="R888" s="268"/>
      <c r="S888" s="313"/>
      <c r="T888" s="313"/>
      <c r="U888" s="268"/>
      <c r="V888" s="309"/>
      <c r="W888" s="310"/>
      <c r="X888" s="268"/>
      <c r="Y888" s="268"/>
      <c r="Z888" s="268"/>
    </row>
    <row r="889" spans="1:26" ht="24.75" customHeight="1">
      <c r="A889" s="268"/>
      <c r="B889" s="268"/>
      <c r="C889" s="268"/>
      <c r="D889" s="268"/>
      <c r="E889" s="268"/>
      <c r="F889" s="268"/>
      <c r="G889" s="268"/>
      <c r="H889" s="268"/>
      <c r="I889" s="268"/>
      <c r="J889" s="268"/>
      <c r="K889" s="268"/>
      <c r="L889" s="334"/>
      <c r="M889" s="268"/>
      <c r="N889" s="268"/>
      <c r="O889" s="310"/>
      <c r="P889" s="268"/>
      <c r="Q889" s="334"/>
      <c r="R889" s="268"/>
      <c r="S889" s="313"/>
      <c r="T889" s="313"/>
      <c r="U889" s="268"/>
      <c r="V889" s="309"/>
      <c r="W889" s="310"/>
      <c r="X889" s="268"/>
      <c r="Y889" s="268"/>
      <c r="Z889" s="268"/>
    </row>
    <row r="890" spans="1:26" ht="24.75" customHeight="1">
      <c r="A890" s="268"/>
      <c r="B890" s="268"/>
      <c r="C890" s="268"/>
      <c r="D890" s="268"/>
      <c r="E890" s="268"/>
      <c r="F890" s="268"/>
      <c r="G890" s="268"/>
      <c r="H890" s="268"/>
      <c r="I890" s="268"/>
      <c r="J890" s="268"/>
      <c r="K890" s="268"/>
      <c r="L890" s="334"/>
      <c r="M890" s="268"/>
      <c r="N890" s="268"/>
      <c r="O890" s="310"/>
      <c r="P890" s="268"/>
      <c r="Q890" s="334"/>
      <c r="R890" s="268"/>
      <c r="S890" s="313"/>
      <c r="T890" s="313"/>
      <c r="U890" s="268"/>
      <c r="V890" s="309"/>
      <c r="W890" s="310"/>
      <c r="X890" s="268"/>
      <c r="Y890" s="268"/>
      <c r="Z890" s="268"/>
    </row>
    <row r="891" spans="1:26" ht="24.75" customHeight="1">
      <c r="A891" s="268"/>
      <c r="B891" s="268"/>
      <c r="C891" s="268"/>
      <c r="D891" s="268"/>
      <c r="E891" s="268"/>
      <c r="F891" s="268"/>
      <c r="G891" s="268"/>
      <c r="H891" s="268"/>
      <c r="I891" s="268"/>
      <c r="J891" s="268"/>
      <c r="K891" s="268"/>
      <c r="L891" s="334"/>
      <c r="M891" s="268"/>
      <c r="N891" s="268"/>
      <c r="O891" s="310"/>
      <c r="P891" s="268"/>
      <c r="Q891" s="334"/>
      <c r="R891" s="268"/>
      <c r="S891" s="313"/>
      <c r="T891" s="313"/>
      <c r="U891" s="268"/>
      <c r="V891" s="309"/>
      <c r="W891" s="310"/>
      <c r="X891" s="268"/>
      <c r="Y891" s="268"/>
      <c r="Z891" s="268"/>
    </row>
    <row r="892" spans="1:26" ht="24.75" customHeight="1">
      <c r="A892" s="268"/>
      <c r="B892" s="268"/>
      <c r="C892" s="268"/>
      <c r="D892" s="268"/>
      <c r="E892" s="268"/>
      <c r="F892" s="268"/>
      <c r="G892" s="268"/>
      <c r="H892" s="268"/>
      <c r="I892" s="268"/>
      <c r="J892" s="268"/>
      <c r="K892" s="268"/>
      <c r="L892" s="334"/>
      <c r="M892" s="268"/>
      <c r="N892" s="268"/>
      <c r="O892" s="310"/>
      <c r="P892" s="268"/>
      <c r="Q892" s="334"/>
      <c r="R892" s="268"/>
      <c r="S892" s="313"/>
      <c r="T892" s="313"/>
      <c r="U892" s="268"/>
      <c r="V892" s="309"/>
      <c r="W892" s="310"/>
      <c r="X892" s="268"/>
      <c r="Y892" s="268"/>
      <c r="Z892" s="268"/>
    </row>
    <row r="893" spans="1:26" ht="24.75" customHeight="1">
      <c r="A893" s="268"/>
      <c r="B893" s="268"/>
      <c r="C893" s="268"/>
      <c r="D893" s="268"/>
      <c r="E893" s="268"/>
      <c r="F893" s="268"/>
      <c r="G893" s="268"/>
      <c r="H893" s="268"/>
      <c r="I893" s="268"/>
      <c r="J893" s="268"/>
      <c r="K893" s="268"/>
      <c r="L893" s="334"/>
      <c r="M893" s="268"/>
      <c r="N893" s="268"/>
      <c r="O893" s="310"/>
      <c r="P893" s="268"/>
      <c r="Q893" s="334"/>
      <c r="R893" s="268"/>
      <c r="S893" s="313"/>
      <c r="T893" s="313"/>
      <c r="U893" s="268"/>
      <c r="V893" s="309"/>
      <c r="W893" s="310"/>
      <c r="X893" s="268"/>
      <c r="Y893" s="268"/>
      <c r="Z893" s="268"/>
    </row>
    <row r="894" spans="1:26" ht="24.75" customHeight="1">
      <c r="A894" s="268"/>
      <c r="B894" s="268"/>
      <c r="C894" s="268"/>
      <c r="D894" s="268"/>
      <c r="E894" s="268"/>
      <c r="F894" s="268"/>
      <c r="G894" s="268"/>
      <c r="H894" s="268"/>
      <c r="I894" s="268"/>
      <c r="J894" s="268"/>
      <c r="K894" s="268"/>
      <c r="L894" s="334"/>
      <c r="M894" s="268"/>
      <c r="N894" s="268"/>
      <c r="O894" s="310"/>
      <c r="P894" s="268"/>
      <c r="Q894" s="334"/>
      <c r="R894" s="268"/>
      <c r="S894" s="313"/>
      <c r="T894" s="313"/>
      <c r="U894" s="268"/>
      <c r="V894" s="309"/>
      <c r="W894" s="310"/>
      <c r="X894" s="268"/>
      <c r="Y894" s="268"/>
      <c r="Z894" s="268"/>
    </row>
    <row r="895" spans="1:26" ht="24.75" customHeight="1">
      <c r="A895" s="268"/>
      <c r="B895" s="268"/>
      <c r="C895" s="268"/>
      <c r="D895" s="268"/>
      <c r="E895" s="268"/>
      <c r="F895" s="268"/>
      <c r="G895" s="268"/>
      <c r="H895" s="268"/>
      <c r="I895" s="268"/>
      <c r="J895" s="268"/>
      <c r="K895" s="268"/>
      <c r="L895" s="334"/>
      <c r="M895" s="268"/>
      <c r="N895" s="268"/>
      <c r="O895" s="310"/>
      <c r="P895" s="268"/>
      <c r="Q895" s="334"/>
      <c r="R895" s="268"/>
      <c r="S895" s="313"/>
      <c r="T895" s="313"/>
      <c r="U895" s="268"/>
      <c r="V895" s="309"/>
      <c r="W895" s="310"/>
      <c r="X895" s="268"/>
      <c r="Y895" s="268"/>
      <c r="Z895" s="268"/>
    </row>
    <row r="896" spans="1:26" ht="24.75" customHeight="1">
      <c r="A896" s="268"/>
      <c r="B896" s="268"/>
      <c r="C896" s="268"/>
      <c r="D896" s="268"/>
      <c r="E896" s="268"/>
      <c r="F896" s="268"/>
      <c r="G896" s="268"/>
      <c r="H896" s="268"/>
      <c r="I896" s="268"/>
      <c r="J896" s="268"/>
      <c r="K896" s="268"/>
      <c r="L896" s="334"/>
      <c r="M896" s="268"/>
      <c r="N896" s="268"/>
      <c r="O896" s="310"/>
      <c r="P896" s="268"/>
      <c r="Q896" s="334"/>
      <c r="R896" s="268"/>
      <c r="S896" s="313"/>
      <c r="T896" s="313"/>
      <c r="U896" s="268"/>
      <c r="V896" s="309"/>
      <c r="W896" s="310"/>
      <c r="X896" s="268"/>
      <c r="Y896" s="268"/>
      <c r="Z896" s="268"/>
    </row>
    <row r="897" spans="1:26" ht="24.75" customHeight="1">
      <c r="A897" s="268"/>
      <c r="B897" s="268"/>
      <c r="C897" s="268"/>
      <c r="D897" s="268"/>
      <c r="E897" s="268"/>
      <c r="F897" s="268"/>
      <c r="G897" s="268"/>
      <c r="H897" s="268"/>
      <c r="I897" s="268"/>
      <c r="J897" s="268"/>
      <c r="K897" s="268"/>
      <c r="L897" s="334"/>
      <c r="M897" s="268"/>
      <c r="N897" s="268"/>
      <c r="O897" s="310"/>
      <c r="P897" s="268"/>
      <c r="Q897" s="334"/>
      <c r="R897" s="268"/>
      <c r="S897" s="313"/>
      <c r="T897" s="313"/>
      <c r="U897" s="268"/>
      <c r="V897" s="309"/>
      <c r="W897" s="310"/>
      <c r="X897" s="268"/>
      <c r="Y897" s="268"/>
      <c r="Z897" s="268"/>
    </row>
    <row r="898" spans="1:26" ht="24.75" customHeight="1">
      <c r="A898" s="268"/>
      <c r="B898" s="268"/>
      <c r="C898" s="268"/>
      <c r="D898" s="268"/>
      <c r="E898" s="268"/>
      <c r="F898" s="268"/>
      <c r="G898" s="268"/>
      <c r="H898" s="268"/>
      <c r="I898" s="268"/>
      <c r="J898" s="268"/>
      <c r="K898" s="268"/>
      <c r="L898" s="334"/>
      <c r="M898" s="268"/>
      <c r="N898" s="268"/>
      <c r="O898" s="310"/>
      <c r="P898" s="268"/>
      <c r="Q898" s="334"/>
      <c r="R898" s="268"/>
      <c r="S898" s="313"/>
      <c r="T898" s="313"/>
      <c r="U898" s="268"/>
      <c r="V898" s="309"/>
      <c r="W898" s="310"/>
      <c r="X898" s="268"/>
      <c r="Y898" s="268"/>
      <c r="Z898" s="268"/>
    </row>
    <row r="899" spans="1:26" ht="24.75" customHeight="1">
      <c r="A899" s="268"/>
      <c r="B899" s="268"/>
      <c r="C899" s="268"/>
      <c r="D899" s="268"/>
      <c r="E899" s="268"/>
      <c r="F899" s="268"/>
      <c r="G899" s="268"/>
      <c r="H899" s="268"/>
      <c r="I899" s="268"/>
      <c r="J899" s="268"/>
      <c r="K899" s="268"/>
      <c r="L899" s="334"/>
      <c r="M899" s="268"/>
      <c r="N899" s="268"/>
      <c r="O899" s="310"/>
      <c r="P899" s="268"/>
      <c r="Q899" s="334"/>
      <c r="R899" s="268"/>
      <c r="S899" s="313"/>
      <c r="T899" s="313"/>
      <c r="U899" s="268"/>
      <c r="V899" s="309"/>
      <c r="W899" s="310"/>
      <c r="X899" s="268"/>
      <c r="Y899" s="268"/>
      <c r="Z899" s="268"/>
    </row>
    <row r="900" spans="1:26" ht="24.75" customHeight="1">
      <c r="A900" s="268"/>
      <c r="B900" s="268"/>
      <c r="C900" s="268"/>
      <c r="D900" s="268"/>
      <c r="E900" s="268"/>
      <c r="F900" s="268"/>
      <c r="G900" s="268"/>
      <c r="H900" s="268"/>
      <c r="I900" s="268"/>
      <c r="J900" s="268"/>
      <c r="K900" s="268"/>
      <c r="L900" s="334"/>
      <c r="M900" s="268"/>
      <c r="N900" s="268"/>
      <c r="O900" s="310"/>
      <c r="P900" s="268"/>
      <c r="Q900" s="334"/>
      <c r="R900" s="268"/>
      <c r="S900" s="313"/>
      <c r="T900" s="313"/>
      <c r="U900" s="268"/>
      <c r="V900" s="309"/>
      <c r="W900" s="310"/>
      <c r="X900" s="268"/>
      <c r="Y900" s="268"/>
      <c r="Z900" s="268"/>
    </row>
    <row r="901" spans="1:26" ht="24.75" customHeight="1">
      <c r="A901" s="268"/>
      <c r="B901" s="268"/>
      <c r="C901" s="268"/>
      <c r="D901" s="268"/>
      <c r="E901" s="268"/>
      <c r="F901" s="268"/>
      <c r="G901" s="268"/>
      <c r="H901" s="268"/>
      <c r="I901" s="268"/>
      <c r="J901" s="268"/>
      <c r="K901" s="268"/>
      <c r="L901" s="334"/>
      <c r="M901" s="268"/>
      <c r="N901" s="268"/>
      <c r="O901" s="310"/>
      <c r="P901" s="268"/>
      <c r="Q901" s="334"/>
      <c r="R901" s="268"/>
      <c r="S901" s="313"/>
      <c r="T901" s="313"/>
      <c r="U901" s="268"/>
      <c r="V901" s="309"/>
      <c r="W901" s="310"/>
      <c r="X901" s="268"/>
      <c r="Y901" s="268"/>
      <c r="Z901" s="268"/>
    </row>
    <row r="902" spans="1:26" ht="24.75" customHeight="1">
      <c r="A902" s="268"/>
      <c r="B902" s="268"/>
      <c r="C902" s="268"/>
      <c r="D902" s="268"/>
      <c r="E902" s="268"/>
      <c r="F902" s="268"/>
      <c r="G902" s="268"/>
      <c r="H902" s="268"/>
      <c r="I902" s="268"/>
      <c r="J902" s="268"/>
      <c r="K902" s="268"/>
      <c r="L902" s="334"/>
      <c r="M902" s="268"/>
      <c r="N902" s="268"/>
      <c r="O902" s="310"/>
      <c r="P902" s="268"/>
      <c r="Q902" s="334"/>
      <c r="R902" s="268"/>
      <c r="S902" s="313"/>
      <c r="T902" s="313"/>
      <c r="U902" s="268"/>
      <c r="V902" s="309"/>
      <c r="W902" s="310"/>
      <c r="X902" s="268"/>
      <c r="Y902" s="268"/>
      <c r="Z902" s="268"/>
    </row>
    <row r="903" spans="1:26" ht="24.75" customHeight="1">
      <c r="A903" s="268"/>
      <c r="B903" s="268"/>
      <c r="C903" s="268"/>
      <c r="D903" s="268"/>
      <c r="E903" s="268"/>
      <c r="F903" s="268"/>
      <c r="G903" s="268"/>
      <c r="H903" s="268"/>
      <c r="I903" s="268"/>
      <c r="J903" s="268"/>
      <c r="K903" s="268"/>
      <c r="L903" s="334"/>
      <c r="M903" s="268"/>
      <c r="N903" s="268"/>
      <c r="O903" s="310"/>
      <c r="P903" s="268"/>
      <c r="Q903" s="334"/>
      <c r="R903" s="268"/>
      <c r="S903" s="313"/>
      <c r="T903" s="313"/>
      <c r="U903" s="268"/>
      <c r="V903" s="309"/>
      <c r="W903" s="310"/>
      <c r="X903" s="268"/>
      <c r="Y903" s="268"/>
      <c r="Z903" s="268"/>
    </row>
    <row r="904" spans="1:26" ht="24.75" customHeight="1">
      <c r="A904" s="268"/>
      <c r="B904" s="268"/>
      <c r="C904" s="268"/>
      <c r="D904" s="268"/>
      <c r="E904" s="268"/>
      <c r="F904" s="268"/>
      <c r="G904" s="268"/>
      <c r="H904" s="268"/>
      <c r="I904" s="268"/>
      <c r="J904" s="268"/>
      <c r="K904" s="268"/>
      <c r="L904" s="334"/>
      <c r="M904" s="268"/>
      <c r="N904" s="268"/>
      <c r="O904" s="310"/>
      <c r="P904" s="268"/>
      <c r="Q904" s="334"/>
      <c r="R904" s="268"/>
      <c r="S904" s="313"/>
      <c r="T904" s="313"/>
      <c r="U904" s="268"/>
      <c r="V904" s="309"/>
      <c r="W904" s="310"/>
      <c r="X904" s="268"/>
      <c r="Y904" s="268"/>
      <c r="Z904" s="268"/>
    </row>
    <row r="905" spans="1:26" ht="24.75" customHeight="1">
      <c r="A905" s="268"/>
      <c r="B905" s="268"/>
      <c r="C905" s="268"/>
      <c r="D905" s="268"/>
      <c r="E905" s="268"/>
      <c r="F905" s="268"/>
      <c r="G905" s="268"/>
      <c r="H905" s="268"/>
      <c r="I905" s="268"/>
      <c r="J905" s="268"/>
      <c r="K905" s="268"/>
      <c r="L905" s="334"/>
      <c r="M905" s="268"/>
      <c r="N905" s="268"/>
      <c r="O905" s="310"/>
      <c r="P905" s="268"/>
      <c r="Q905" s="334"/>
      <c r="R905" s="268"/>
      <c r="S905" s="313"/>
      <c r="T905" s="313"/>
      <c r="U905" s="268"/>
      <c r="V905" s="309"/>
      <c r="W905" s="310"/>
      <c r="X905" s="268"/>
      <c r="Y905" s="268"/>
      <c r="Z905" s="268"/>
    </row>
    <row r="906" spans="1:26" ht="24.75" customHeight="1">
      <c r="A906" s="268"/>
      <c r="B906" s="268"/>
      <c r="C906" s="268"/>
      <c r="D906" s="268"/>
      <c r="E906" s="268"/>
      <c r="F906" s="268"/>
      <c r="G906" s="268"/>
      <c r="H906" s="268"/>
      <c r="I906" s="268"/>
      <c r="J906" s="268"/>
      <c r="K906" s="268"/>
      <c r="L906" s="334"/>
      <c r="M906" s="268"/>
      <c r="N906" s="268"/>
      <c r="O906" s="310"/>
      <c r="P906" s="268"/>
      <c r="Q906" s="334"/>
      <c r="R906" s="268"/>
      <c r="S906" s="313"/>
      <c r="T906" s="313"/>
      <c r="U906" s="268"/>
      <c r="V906" s="309"/>
      <c r="W906" s="310"/>
      <c r="X906" s="268"/>
      <c r="Y906" s="268"/>
      <c r="Z906" s="268"/>
    </row>
    <row r="907" spans="1:26" ht="24.75" customHeight="1">
      <c r="A907" s="268"/>
      <c r="B907" s="268"/>
      <c r="C907" s="268"/>
      <c r="D907" s="268"/>
      <c r="E907" s="268"/>
      <c r="F907" s="268"/>
      <c r="G907" s="268"/>
      <c r="H907" s="268"/>
      <c r="I907" s="268"/>
      <c r="J907" s="268"/>
      <c r="K907" s="268"/>
      <c r="L907" s="334"/>
      <c r="M907" s="268"/>
      <c r="N907" s="268"/>
      <c r="O907" s="310"/>
      <c r="P907" s="268"/>
      <c r="Q907" s="334"/>
      <c r="R907" s="268"/>
      <c r="S907" s="313"/>
      <c r="T907" s="313"/>
      <c r="U907" s="268"/>
      <c r="V907" s="309"/>
      <c r="W907" s="310"/>
      <c r="X907" s="268"/>
      <c r="Y907" s="268"/>
      <c r="Z907" s="268"/>
    </row>
    <row r="908" spans="1:26" ht="24.75" customHeight="1">
      <c r="A908" s="268"/>
      <c r="B908" s="268"/>
      <c r="C908" s="268"/>
      <c r="D908" s="268"/>
      <c r="E908" s="268"/>
      <c r="F908" s="268"/>
      <c r="G908" s="268"/>
      <c r="H908" s="268"/>
      <c r="I908" s="268"/>
      <c r="J908" s="268"/>
      <c r="K908" s="268"/>
      <c r="L908" s="334"/>
      <c r="M908" s="268"/>
      <c r="N908" s="268"/>
      <c r="O908" s="310"/>
      <c r="P908" s="268"/>
      <c r="Q908" s="334"/>
      <c r="R908" s="268"/>
      <c r="S908" s="313"/>
      <c r="T908" s="313"/>
      <c r="U908" s="268"/>
      <c r="V908" s="309"/>
      <c r="W908" s="310"/>
      <c r="X908" s="268"/>
      <c r="Y908" s="268"/>
      <c r="Z908" s="268"/>
    </row>
    <row r="909" spans="1:26" ht="24.75" customHeight="1">
      <c r="A909" s="268"/>
      <c r="B909" s="268"/>
      <c r="C909" s="268"/>
      <c r="D909" s="268"/>
      <c r="E909" s="268"/>
      <c r="F909" s="268"/>
      <c r="G909" s="268"/>
      <c r="H909" s="268"/>
      <c r="I909" s="268"/>
      <c r="J909" s="268"/>
      <c r="K909" s="268"/>
      <c r="L909" s="334"/>
      <c r="M909" s="268"/>
      <c r="N909" s="268"/>
      <c r="O909" s="310"/>
      <c r="P909" s="268"/>
      <c r="Q909" s="334"/>
      <c r="R909" s="268"/>
      <c r="S909" s="313"/>
      <c r="T909" s="313"/>
      <c r="U909" s="268"/>
      <c r="V909" s="309"/>
      <c r="W909" s="310"/>
      <c r="X909" s="268"/>
      <c r="Y909" s="268"/>
      <c r="Z909" s="268"/>
    </row>
    <row r="910" spans="1:26" ht="24.75" customHeight="1">
      <c r="A910" s="268"/>
      <c r="B910" s="268"/>
      <c r="C910" s="268"/>
      <c r="D910" s="268"/>
      <c r="E910" s="268"/>
      <c r="F910" s="268"/>
      <c r="G910" s="268"/>
      <c r="H910" s="268"/>
      <c r="I910" s="268"/>
      <c r="J910" s="268"/>
      <c r="K910" s="268"/>
      <c r="L910" s="334"/>
      <c r="M910" s="268"/>
      <c r="N910" s="268"/>
      <c r="O910" s="310"/>
      <c r="P910" s="268"/>
      <c r="Q910" s="334"/>
      <c r="R910" s="268"/>
      <c r="S910" s="313"/>
      <c r="T910" s="313"/>
      <c r="U910" s="268"/>
      <c r="V910" s="309"/>
      <c r="W910" s="310"/>
      <c r="X910" s="268"/>
      <c r="Y910" s="268"/>
      <c r="Z910" s="268"/>
    </row>
    <row r="911" spans="1:26" ht="24.75" customHeight="1">
      <c r="A911" s="268"/>
      <c r="B911" s="268"/>
      <c r="C911" s="268"/>
      <c r="D911" s="268"/>
      <c r="E911" s="268"/>
      <c r="F911" s="268"/>
      <c r="G911" s="268"/>
      <c r="H911" s="268"/>
      <c r="I911" s="268"/>
      <c r="J911" s="268"/>
      <c r="K911" s="268"/>
      <c r="L911" s="334"/>
      <c r="M911" s="268"/>
      <c r="N911" s="268"/>
      <c r="O911" s="310"/>
      <c r="P911" s="268"/>
      <c r="Q911" s="334"/>
      <c r="R911" s="268"/>
      <c r="S911" s="313"/>
      <c r="T911" s="313"/>
      <c r="U911" s="268"/>
      <c r="V911" s="309"/>
      <c r="W911" s="310"/>
      <c r="X911" s="268"/>
      <c r="Y911" s="268"/>
      <c r="Z911" s="268"/>
    </row>
    <row r="912" spans="1:26" ht="24.75" customHeight="1">
      <c r="A912" s="268"/>
      <c r="B912" s="268"/>
      <c r="C912" s="268"/>
      <c r="D912" s="268"/>
      <c r="E912" s="268"/>
      <c r="F912" s="268"/>
      <c r="G912" s="268"/>
      <c r="H912" s="268"/>
      <c r="I912" s="268"/>
      <c r="J912" s="268"/>
      <c r="K912" s="268"/>
      <c r="L912" s="334"/>
      <c r="M912" s="268"/>
      <c r="N912" s="268"/>
      <c r="O912" s="310"/>
      <c r="P912" s="268"/>
      <c r="Q912" s="334"/>
      <c r="R912" s="268"/>
      <c r="S912" s="313"/>
      <c r="T912" s="313"/>
      <c r="U912" s="268"/>
      <c r="V912" s="309"/>
      <c r="W912" s="310"/>
      <c r="X912" s="268"/>
      <c r="Y912" s="268"/>
      <c r="Z912" s="268"/>
    </row>
    <row r="913" spans="1:26" ht="24.75" customHeight="1">
      <c r="A913" s="268"/>
      <c r="B913" s="268"/>
      <c r="C913" s="268"/>
      <c r="D913" s="268"/>
      <c r="E913" s="268"/>
      <c r="F913" s="268"/>
      <c r="G913" s="268"/>
      <c r="H913" s="268"/>
      <c r="I913" s="268"/>
      <c r="J913" s="268"/>
      <c r="K913" s="268"/>
      <c r="L913" s="334"/>
      <c r="M913" s="268"/>
      <c r="N913" s="268"/>
      <c r="O913" s="310"/>
      <c r="P913" s="268"/>
      <c r="Q913" s="334"/>
      <c r="R913" s="268"/>
      <c r="S913" s="313"/>
      <c r="T913" s="313"/>
      <c r="U913" s="268"/>
      <c r="V913" s="309"/>
      <c r="W913" s="310"/>
      <c r="X913" s="268"/>
      <c r="Y913" s="268"/>
      <c r="Z913" s="268"/>
    </row>
    <row r="914" spans="1:26" ht="24.75" customHeight="1">
      <c r="A914" s="268"/>
      <c r="B914" s="268"/>
      <c r="C914" s="268"/>
      <c r="D914" s="268"/>
      <c r="E914" s="268"/>
      <c r="F914" s="268"/>
      <c r="G914" s="268"/>
      <c r="H914" s="268"/>
      <c r="I914" s="268"/>
      <c r="J914" s="268"/>
      <c r="K914" s="268"/>
      <c r="L914" s="334"/>
      <c r="M914" s="268"/>
      <c r="N914" s="268"/>
      <c r="O914" s="310"/>
      <c r="P914" s="268"/>
      <c r="Q914" s="334"/>
      <c r="R914" s="268"/>
      <c r="S914" s="313"/>
      <c r="T914" s="313"/>
      <c r="U914" s="268"/>
      <c r="V914" s="309"/>
      <c r="W914" s="310"/>
      <c r="X914" s="268"/>
      <c r="Y914" s="268"/>
      <c r="Z914" s="268"/>
    </row>
    <row r="915" spans="1:26" ht="24.75" customHeight="1">
      <c r="A915" s="268"/>
      <c r="B915" s="268"/>
      <c r="C915" s="268"/>
      <c r="D915" s="268"/>
      <c r="E915" s="268"/>
      <c r="F915" s="268"/>
      <c r="G915" s="268"/>
      <c r="H915" s="268"/>
      <c r="I915" s="268"/>
      <c r="J915" s="268"/>
      <c r="K915" s="268"/>
      <c r="L915" s="334"/>
      <c r="M915" s="268"/>
      <c r="N915" s="268"/>
      <c r="O915" s="310"/>
      <c r="P915" s="268"/>
      <c r="Q915" s="334"/>
      <c r="R915" s="268"/>
      <c r="S915" s="313"/>
      <c r="T915" s="313"/>
      <c r="U915" s="268"/>
      <c r="V915" s="309"/>
      <c r="W915" s="310"/>
      <c r="X915" s="268"/>
      <c r="Y915" s="268"/>
      <c r="Z915" s="268"/>
    </row>
    <row r="916" spans="1:26" ht="24.75" customHeight="1">
      <c r="A916" s="268"/>
      <c r="B916" s="268"/>
      <c r="C916" s="268"/>
      <c r="D916" s="268"/>
      <c r="E916" s="268"/>
      <c r="F916" s="268"/>
      <c r="G916" s="268"/>
      <c r="H916" s="268"/>
      <c r="I916" s="268"/>
      <c r="J916" s="268"/>
      <c r="K916" s="268"/>
      <c r="L916" s="334"/>
      <c r="M916" s="268"/>
      <c r="N916" s="268"/>
      <c r="O916" s="310"/>
      <c r="P916" s="268"/>
      <c r="Q916" s="334"/>
      <c r="R916" s="268"/>
      <c r="S916" s="313"/>
      <c r="T916" s="313"/>
      <c r="U916" s="268"/>
      <c r="V916" s="309"/>
      <c r="W916" s="310"/>
      <c r="X916" s="268"/>
      <c r="Y916" s="268"/>
      <c r="Z916" s="268"/>
    </row>
    <row r="917" spans="1:26" ht="24.75" customHeight="1">
      <c r="A917" s="268"/>
      <c r="B917" s="268"/>
      <c r="C917" s="268"/>
      <c r="D917" s="268"/>
      <c r="E917" s="268"/>
      <c r="F917" s="268"/>
      <c r="G917" s="268"/>
      <c r="H917" s="268"/>
      <c r="I917" s="268"/>
      <c r="J917" s="268"/>
      <c r="K917" s="268"/>
      <c r="L917" s="334"/>
      <c r="M917" s="268"/>
      <c r="N917" s="268"/>
      <c r="O917" s="310"/>
      <c r="P917" s="268"/>
      <c r="Q917" s="334"/>
      <c r="R917" s="268"/>
      <c r="S917" s="313"/>
      <c r="T917" s="313"/>
      <c r="U917" s="268"/>
      <c r="V917" s="309"/>
      <c r="W917" s="310"/>
      <c r="X917" s="268"/>
      <c r="Y917" s="268"/>
      <c r="Z917" s="268"/>
    </row>
    <row r="918" spans="1:26" ht="24.75" customHeight="1">
      <c r="A918" s="268"/>
      <c r="B918" s="268"/>
      <c r="C918" s="268"/>
      <c r="D918" s="268"/>
      <c r="E918" s="268"/>
      <c r="F918" s="268"/>
      <c r="G918" s="268"/>
      <c r="H918" s="268"/>
      <c r="I918" s="268"/>
      <c r="J918" s="268"/>
      <c r="K918" s="268"/>
      <c r="L918" s="334"/>
      <c r="M918" s="268"/>
      <c r="N918" s="268"/>
      <c r="O918" s="310"/>
      <c r="P918" s="268"/>
      <c r="Q918" s="334"/>
      <c r="R918" s="268"/>
      <c r="S918" s="313"/>
      <c r="T918" s="313"/>
      <c r="U918" s="268"/>
      <c r="V918" s="309"/>
      <c r="W918" s="310"/>
      <c r="X918" s="268"/>
      <c r="Y918" s="268"/>
      <c r="Z918" s="268"/>
    </row>
    <row r="919" spans="1:26" ht="24.75" customHeight="1">
      <c r="A919" s="268"/>
      <c r="B919" s="268"/>
      <c r="C919" s="268"/>
      <c r="D919" s="268"/>
      <c r="E919" s="268"/>
      <c r="F919" s="268"/>
      <c r="G919" s="268"/>
      <c r="H919" s="268"/>
      <c r="I919" s="268"/>
      <c r="J919" s="268"/>
      <c r="K919" s="268"/>
      <c r="L919" s="334"/>
      <c r="M919" s="268"/>
      <c r="N919" s="268"/>
      <c r="O919" s="310"/>
      <c r="P919" s="268"/>
      <c r="Q919" s="334"/>
      <c r="R919" s="268"/>
      <c r="S919" s="313"/>
      <c r="T919" s="313"/>
      <c r="U919" s="268"/>
      <c r="V919" s="309"/>
      <c r="W919" s="310"/>
      <c r="X919" s="268"/>
      <c r="Y919" s="268"/>
      <c r="Z919" s="268"/>
    </row>
    <row r="920" spans="1:26" ht="24.75" customHeight="1">
      <c r="A920" s="268"/>
      <c r="B920" s="268"/>
      <c r="C920" s="268"/>
      <c r="D920" s="268"/>
      <c r="E920" s="268"/>
      <c r="F920" s="268"/>
      <c r="G920" s="268"/>
      <c r="H920" s="268"/>
      <c r="I920" s="268"/>
      <c r="J920" s="268"/>
      <c r="K920" s="268"/>
      <c r="L920" s="334"/>
      <c r="M920" s="268"/>
      <c r="N920" s="268"/>
      <c r="O920" s="310"/>
      <c r="P920" s="268"/>
      <c r="Q920" s="334"/>
      <c r="R920" s="268"/>
      <c r="S920" s="313"/>
      <c r="T920" s="313"/>
      <c r="U920" s="268"/>
      <c r="V920" s="309"/>
      <c r="W920" s="310"/>
      <c r="X920" s="268"/>
      <c r="Y920" s="268"/>
      <c r="Z920" s="268"/>
    </row>
    <row r="921" spans="1:26" ht="24.75" customHeight="1">
      <c r="A921" s="268"/>
      <c r="B921" s="268"/>
      <c r="C921" s="268"/>
      <c r="D921" s="268"/>
      <c r="E921" s="268"/>
      <c r="F921" s="268"/>
      <c r="G921" s="268"/>
      <c r="H921" s="268"/>
      <c r="I921" s="268"/>
      <c r="J921" s="268"/>
      <c r="K921" s="268"/>
      <c r="L921" s="334"/>
      <c r="M921" s="268"/>
      <c r="N921" s="268"/>
      <c r="O921" s="310"/>
      <c r="P921" s="268"/>
      <c r="Q921" s="334"/>
      <c r="R921" s="268"/>
      <c r="S921" s="313"/>
      <c r="T921" s="313"/>
      <c r="U921" s="268"/>
      <c r="V921" s="309"/>
      <c r="W921" s="310"/>
      <c r="X921" s="268"/>
      <c r="Y921" s="268"/>
      <c r="Z921" s="268"/>
    </row>
    <row r="922" spans="1:26" ht="24.75" customHeight="1">
      <c r="A922" s="268"/>
      <c r="B922" s="268"/>
      <c r="C922" s="268"/>
      <c r="D922" s="268"/>
      <c r="E922" s="268"/>
      <c r="F922" s="268"/>
      <c r="G922" s="268"/>
      <c r="H922" s="268"/>
      <c r="I922" s="268"/>
      <c r="J922" s="268"/>
      <c r="K922" s="268"/>
      <c r="L922" s="334"/>
      <c r="M922" s="268"/>
      <c r="N922" s="268"/>
      <c r="O922" s="310"/>
      <c r="P922" s="268"/>
      <c r="Q922" s="334"/>
      <c r="R922" s="268"/>
      <c r="S922" s="313"/>
      <c r="T922" s="313"/>
      <c r="U922" s="268"/>
      <c r="V922" s="309"/>
      <c r="W922" s="310"/>
      <c r="X922" s="268"/>
      <c r="Y922" s="268"/>
      <c r="Z922" s="268"/>
    </row>
    <row r="923" spans="1:26" ht="24.75" customHeight="1">
      <c r="A923" s="268"/>
      <c r="B923" s="268"/>
      <c r="C923" s="268"/>
      <c r="D923" s="268"/>
      <c r="E923" s="268"/>
      <c r="F923" s="268"/>
      <c r="G923" s="268"/>
      <c r="H923" s="268"/>
      <c r="I923" s="268"/>
      <c r="J923" s="268"/>
      <c r="K923" s="268"/>
      <c r="L923" s="334"/>
      <c r="M923" s="268"/>
      <c r="N923" s="268"/>
      <c r="O923" s="310"/>
      <c r="P923" s="268"/>
      <c r="Q923" s="334"/>
      <c r="R923" s="268"/>
      <c r="S923" s="313"/>
      <c r="T923" s="313"/>
      <c r="U923" s="268"/>
      <c r="V923" s="309"/>
      <c r="W923" s="310"/>
      <c r="X923" s="268"/>
      <c r="Y923" s="268"/>
      <c r="Z923" s="268"/>
    </row>
    <row r="924" spans="1:26" ht="24.75" customHeight="1">
      <c r="A924" s="268"/>
      <c r="B924" s="268"/>
      <c r="C924" s="268"/>
      <c r="D924" s="268"/>
      <c r="E924" s="268"/>
      <c r="F924" s="268"/>
      <c r="G924" s="268"/>
      <c r="H924" s="268"/>
      <c r="I924" s="268"/>
      <c r="J924" s="268"/>
      <c r="K924" s="268"/>
      <c r="L924" s="334"/>
      <c r="M924" s="268"/>
      <c r="N924" s="268"/>
      <c r="O924" s="310"/>
      <c r="P924" s="268"/>
      <c r="Q924" s="334"/>
      <c r="R924" s="268"/>
      <c r="S924" s="313"/>
      <c r="T924" s="313"/>
      <c r="U924" s="268"/>
      <c r="V924" s="309"/>
      <c r="W924" s="310"/>
      <c r="X924" s="268"/>
      <c r="Y924" s="268"/>
      <c r="Z924" s="268"/>
    </row>
    <row r="925" spans="1:26" ht="24.75" customHeight="1">
      <c r="A925" s="268"/>
      <c r="B925" s="268"/>
      <c r="C925" s="268"/>
      <c r="D925" s="268"/>
      <c r="E925" s="268"/>
      <c r="F925" s="268"/>
      <c r="G925" s="268"/>
      <c r="H925" s="268"/>
      <c r="I925" s="268"/>
      <c r="J925" s="268"/>
      <c r="K925" s="268"/>
      <c r="L925" s="334"/>
      <c r="M925" s="268"/>
      <c r="N925" s="268"/>
      <c r="O925" s="310"/>
      <c r="P925" s="268"/>
      <c r="Q925" s="334"/>
      <c r="R925" s="268"/>
      <c r="S925" s="313"/>
      <c r="T925" s="313"/>
      <c r="U925" s="268"/>
      <c r="V925" s="309"/>
      <c r="W925" s="310"/>
      <c r="X925" s="268"/>
      <c r="Y925" s="268"/>
      <c r="Z925" s="268"/>
    </row>
    <row r="926" spans="1:26" ht="24.75" customHeight="1">
      <c r="A926" s="268"/>
      <c r="B926" s="268"/>
      <c r="C926" s="268"/>
      <c r="D926" s="268"/>
      <c r="E926" s="268"/>
      <c r="F926" s="268"/>
      <c r="G926" s="268"/>
      <c r="H926" s="268"/>
      <c r="I926" s="268"/>
      <c r="J926" s="268"/>
      <c r="K926" s="268"/>
      <c r="L926" s="334"/>
      <c r="M926" s="268"/>
      <c r="N926" s="268"/>
      <c r="O926" s="310"/>
      <c r="P926" s="268"/>
      <c r="Q926" s="334"/>
      <c r="R926" s="268"/>
      <c r="S926" s="313"/>
      <c r="T926" s="313"/>
      <c r="U926" s="268"/>
      <c r="V926" s="309"/>
      <c r="W926" s="310"/>
      <c r="X926" s="268"/>
      <c r="Y926" s="268"/>
      <c r="Z926" s="268"/>
    </row>
    <row r="927" spans="1:26" ht="24.75" customHeight="1">
      <c r="A927" s="268"/>
      <c r="B927" s="268"/>
      <c r="C927" s="268"/>
      <c r="D927" s="268"/>
      <c r="E927" s="268"/>
      <c r="F927" s="268"/>
      <c r="G927" s="268"/>
      <c r="H927" s="268"/>
      <c r="I927" s="268"/>
      <c r="J927" s="268"/>
      <c r="K927" s="268"/>
      <c r="L927" s="334"/>
      <c r="M927" s="268"/>
      <c r="N927" s="268"/>
      <c r="O927" s="310"/>
      <c r="P927" s="268"/>
      <c r="Q927" s="334"/>
      <c r="R927" s="268"/>
      <c r="S927" s="313"/>
      <c r="T927" s="313"/>
      <c r="U927" s="268"/>
      <c r="V927" s="309"/>
      <c r="W927" s="310"/>
      <c r="X927" s="268"/>
      <c r="Y927" s="268"/>
      <c r="Z927" s="268"/>
    </row>
    <row r="928" spans="1:26" ht="24.75" customHeight="1">
      <c r="A928" s="268"/>
      <c r="B928" s="268"/>
      <c r="C928" s="268"/>
      <c r="D928" s="268"/>
      <c r="E928" s="268"/>
      <c r="F928" s="268"/>
      <c r="G928" s="268"/>
      <c r="H928" s="268"/>
      <c r="I928" s="268"/>
      <c r="J928" s="268"/>
      <c r="K928" s="268"/>
      <c r="L928" s="334"/>
      <c r="M928" s="268"/>
      <c r="N928" s="268"/>
      <c r="O928" s="310"/>
      <c r="P928" s="268"/>
      <c r="Q928" s="334"/>
      <c r="R928" s="268"/>
      <c r="S928" s="313"/>
      <c r="T928" s="313"/>
      <c r="U928" s="268"/>
      <c r="V928" s="309"/>
      <c r="W928" s="310"/>
      <c r="X928" s="268"/>
      <c r="Y928" s="268"/>
      <c r="Z928" s="268"/>
    </row>
    <row r="929" spans="1:26" ht="24.75" customHeight="1">
      <c r="A929" s="268"/>
      <c r="B929" s="268"/>
      <c r="C929" s="268"/>
      <c r="D929" s="268"/>
      <c r="E929" s="268"/>
      <c r="F929" s="268"/>
      <c r="G929" s="268"/>
      <c r="H929" s="268"/>
      <c r="I929" s="268"/>
      <c r="J929" s="268"/>
      <c r="K929" s="268"/>
      <c r="L929" s="334"/>
      <c r="M929" s="268"/>
      <c r="N929" s="268"/>
      <c r="O929" s="310"/>
      <c r="P929" s="268"/>
      <c r="Q929" s="334"/>
      <c r="R929" s="268"/>
      <c r="S929" s="313"/>
      <c r="T929" s="313"/>
      <c r="U929" s="268"/>
      <c r="V929" s="309"/>
      <c r="W929" s="310"/>
      <c r="X929" s="268"/>
      <c r="Y929" s="268"/>
      <c r="Z929" s="268"/>
    </row>
    <row r="930" spans="1:26" ht="24.75" customHeight="1">
      <c r="A930" s="268"/>
      <c r="B930" s="268"/>
      <c r="C930" s="268"/>
      <c r="D930" s="268"/>
      <c r="E930" s="268"/>
      <c r="F930" s="268"/>
      <c r="G930" s="268"/>
      <c r="H930" s="268"/>
      <c r="I930" s="268"/>
      <c r="J930" s="268"/>
      <c r="K930" s="268"/>
      <c r="L930" s="334"/>
      <c r="M930" s="268"/>
      <c r="N930" s="268"/>
      <c r="O930" s="310"/>
      <c r="P930" s="268"/>
      <c r="Q930" s="334"/>
      <c r="R930" s="268"/>
      <c r="S930" s="313"/>
      <c r="T930" s="313"/>
      <c r="U930" s="268"/>
      <c r="V930" s="309"/>
      <c r="W930" s="310"/>
      <c r="X930" s="268"/>
      <c r="Y930" s="268"/>
      <c r="Z930" s="268"/>
    </row>
    <row r="931" spans="1:26" ht="24.75" customHeight="1">
      <c r="A931" s="268"/>
      <c r="B931" s="268"/>
      <c r="C931" s="268"/>
      <c r="D931" s="268"/>
      <c r="E931" s="268"/>
      <c r="F931" s="268"/>
      <c r="G931" s="268"/>
      <c r="H931" s="268"/>
      <c r="I931" s="268"/>
      <c r="J931" s="268"/>
      <c r="K931" s="268"/>
      <c r="L931" s="334"/>
      <c r="M931" s="268"/>
      <c r="N931" s="268"/>
      <c r="O931" s="310"/>
      <c r="P931" s="268"/>
      <c r="Q931" s="334"/>
      <c r="R931" s="268"/>
      <c r="S931" s="313"/>
      <c r="T931" s="313"/>
      <c r="U931" s="268"/>
      <c r="V931" s="309"/>
      <c r="W931" s="310"/>
      <c r="X931" s="268"/>
      <c r="Y931" s="268"/>
      <c r="Z931" s="268"/>
    </row>
    <row r="932" spans="1:26" ht="24.75" customHeight="1">
      <c r="A932" s="268"/>
      <c r="B932" s="268"/>
      <c r="C932" s="268"/>
      <c r="D932" s="268"/>
      <c r="E932" s="268"/>
      <c r="F932" s="268"/>
      <c r="G932" s="268"/>
      <c r="H932" s="268"/>
      <c r="I932" s="268"/>
      <c r="J932" s="268"/>
      <c r="K932" s="268"/>
      <c r="L932" s="334"/>
      <c r="M932" s="268"/>
      <c r="N932" s="268"/>
      <c r="O932" s="310"/>
      <c r="P932" s="268"/>
      <c r="Q932" s="334"/>
      <c r="R932" s="268"/>
      <c r="S932" s="313"/>
      <c r="T932" s="313"/>
      <c r="U932" s="268"/>
      <c r="V932" s="309"/>
      <c r="W932" s="310"/>
      <c r="X932" s="268"/>
      <c r="Y932" s="268"/>
      <c r="Z932" s="268"/>
    </row>
    <row r="933" spans="1:26" ht="24.75" customHeight="1">
      <c r="A933" s="268"/>
      <c r="B933" s="268"/>
      <c r="C933" s="268"/>
      <c r="D933" s="268"/>
      <c r="E933" s="268"/>
      <c r="F933" s="268"/>
      <c r="G933" s="268"/>
      <c r="H933" s="268"/>
      <c r="I933" s="268"/>
      <c r="J933" s="268"/>
      <c r="K933" s="268"/>
      <c r="L933" s="334"/>
      <c r="M933" s="268"/>
      <c r="N933" s="268"/>
      <c r="O933" s="310"/>
      <c r="P933" s="268"/>
      <c r="Q933" s="334"/>
      <c r="R933" s="268"/>
      <c r="S933" s="313"/>
      <c r="T933" s="313"/>
      <c r="U933" s="268"/>
      <c r="V933" s="309"/>
      <c r="W933" s="310"/>
      <c r="X933" s="268"/>
      <c r="Y933" s="268"/>
      <c r="Z933" s="268"/>
    </row>
    <row r="934" spans="1:26" ht="24.75" customHeight="1">
      <c r="A934" s="268"/>
      <c r="B934" s="268"/>
      <c r="C934" s="268"/>
      <c r="D934" s="268"/>
      <c r="E934" s="268"/>
      <c r="F934" s="268"/>
      <c r="G934" s="268"/>
      <c r="H934" s="268"/>
      <c r="I934" s="268"/>
      <c r="J934" s="268"/>
      <c r="K934" s="268"/>
      <c r="L934" s="334"/>
      <c r="M934" s="268"/>
      <c r="N934" s="268"/>
      <c r="O934" s="310"/>
      <c r="P934" s="268"/>
      <c r="Q934" s="334"/>
      <c r="R934" s="268"/>
      <c r="S934" s="313"/>
      <c r="T934" s="313"/>
      <c r="U934" s="268"/>
      <c r="V934" s="309"/>
      <c r="W934" s="310"/>
      <c r="X934" s="268"/>
      <c r="Y934" s="268"/>
      <c r="Z934" s="268"/>
    </row>
    <row r="935" spans="1:26" ht="24.75" customHeight="1">
      <c r="A935" s="268"/>
      <c r="B935" s="268"/>
      <c r="C935" s="268"/>
      <c r="D935" s="268"/>
      <c r="E935" s="268"/>
      <c r="F935" s="268"/>
      <c r="G935" s="268"/>
      <c r="H935" s="268"/>
      <c r="I935" s="268"/>
      <c r="J935" s="268"/>
      <c r="K935" s="268"/>
      <c r="L935" s="334"/>
      <c r="M935" s="268"/>
      <c r="N935" s="268"/>
      <c r="O935" s="310"/>
      <c r="P935" s="268"/>
      <c r="Q935" s="334"/>
      <c r="R935" s="268"/>
      <c r="S935" s="313"/>
      <c r="T935" s="313"/>
      <c r="U935" s="268"/>
      <c r="V935" s="309"/>
      <c r="W935" s="310"/>
      <c r="X935" s="268"/>
      <c r="Y935" s="268"/>
      <c r="Z935" s="268"/>
    </row>
    <row r="936" spans="1:26" ht="24.75" customHeight="1">
      <c r="A936" s="268"/>
      <c r="B936" s="268"/>
      <c r="C936" s="268"/>
      <c r="D936" s="268"/>
      <c r="E936" s="268"/>
      <c r="F936" s="268"/>
      <c r="G936" s="268"/>
      <c r="H936" s="268"/>
      <c r="I936" s="268"/>
      <c r="J936" s="268"/>
      <c r="K936" s="268"/>
      <c r="L936" s="334"/>
      <c r="M936" s="268"/>
      <c r="N936" s="268"/>
      <c r="O936" s="310"/>
      <c r="P936" s="268"/>
      <c r="Q936" s="334"/>
      <c r="R936" s="268"/>
      <c r="S936" s="313"/>
      <c r="T936" s="313"/>
      <c r="U936" s="268"/>
      <c r="V936" s="309"/>
      <c r="W936" s="310"/>
      <c r="X936" s="268"/>
      <c r="Y936" s="268"/>
      <c r="Z936" s="268"/>
    </row>
    <row r="937" spans="1:26" ht="24.75" customHeight="1">
      <c r="A937" s="268"/>
      <c r="B937" s="268"/>
      <c r="C937" s="268"/>
      <c r="D937" s="268"/>
      <c r="E937" s="268"/>
      <c r="F937" s="268"/>
      <c r="G937" s="268"/>
      <c r="H937" s="268"/>
      <c r="I937" s="268"/>
      <c r="J937" s="268"/>
      <c r="K937" s="268"/>
      <c r="L937" s="334"/>
      <c r="M937" s="268"/>
      <c r="N937" s="268"/>
      <c r="O937" s="310"/>
      <c r="P937" s="268"/>
      <c r="Q937" s="334"/>
      <c r="R937" s="268"/>
      <c r="S937" s="313"/>
      <c r="T937" s="313"/>
      <c r="U937" s="268"/>
      <c r="V937" s="309"/>
      <c r="W937" s="310"/>
      <c r="X937" s="268"/>
      <c r="Y937" s="268"/>
      <c r="Z937" s="268"/>
    </row>
    <row r="938" spans="1:26" ht="24.75" customHeight="1">
      <c r="A938" s="268"/>
      <c r="B938" s="268"/>
      <c r="C938" s="268"/>
      <c r="D938" s="268"/>
      <c r="E938" s="268"/>
      <c r="F938" s="268"/>
      <c r="G938" s="268"/>
      <c r="H938" s="268"/>
      <c r="I938" s="268"/>
      <c r="J938" s="268"/>
      <c r="K938" s="268"/>
      <c r="L938" s="334"/>
      <c r="M938" s="268"/>
      <c r="N938" s="268"/>
      <c r="O938" s="310"/>
      <c r="P938" s="268"/>
      <c r="Q938" s="334"/>
      <c r="R938" s="268"/>
      <c r="S938" s="313"/>
      <c r="T938" s="313"/>
      <c r="U938" s="268"/>
      <c r="V938" s="309"/>
      <c r="W938" s="310"/>
      <c r="X938" s="268"/>
      <c r="Y938" s="268"/>
      <c r="Z938" s="268"/>
    </row>
    <row r="939" spans="1:26" ht="24.75" customHeight="1">
      <c r="A939" s="268"/>
      <c r="B939" s="268"/>
      <c r="C939" s="268"/>
      <c r="D939" s="268"/>
      <c r="E939" s="268"/>
      <c r="F939" s="268"/>
      <c r="G939" s="268"/>
      <c r="H939" s="268"/>
      <c r="I939" s="268"/>
      <c r="J939" s="268"/>
      <c r="K939" s="268"/>
      <c r="L939" s="334"/>
      <c r="M939" s="268"/>
      <c r="N939" s="268"/>
      <c r="O939" s="310"/>
      <c r="P939" s="268"/>
      <c r="Q939" s="334"/>
      <c r="R939" s="268"/>
      <c r="S939" s="313"/>
      <c r="T939" s="313"/>
      <c r="U939" s="268"/>
      <c r="V939" s="309"/>
      <c r="W939" s="310"/>
      <c r="X939" s="268"/>
      <c r="Y939" s="268"/>
      <c r="Z939" s="268"/>
    </row>
    <row r="940" spans="1:26" ht="24.75" customHeight="1">
      <c r="A940" s="268"/>
      <c r="B940" s="268"/>
      <c r="C940" s="268"/>
      <c r="D940" s="268"/>
      <c r="E940" s="268"/>
      <c r="F940" s="268"/>
      <c r="G940" s="268"/>
      <c r="H940" s="268"/>
      <c r="I940" s="268"/>
      <c r="J940" s="268"/>
      <c r="K940" s="268"/>
      <c r="L940" s="334"/>
      <c r="M940" s="268"/>
      <c r="N940" s="268"/>
      <c r="O940" s="310"/>
      <c r="P940" s="268"/>
      <c r="Q940" s="334"/>
      <c r="R940" s="268"/>
      <c r="S940" s="313"/>
      <c r="T940" s="313"/>
      <c r="U940" s="268"/>
      <c r="V940" s="309"/>
      <c r="W940" s="310"/>
      <c r="X940" s="268"/>
      <c r="Y940" s="268"/>
      <c r="Z940" s="268"/>
    </row>
    <row r="941" spans="1:26" ht="24.75" customHeight="1">
      <c r="A941" s="268"/>
      <c r="B941" s="268"/>
      <c r="C941" s="268"/>
      <c r="D941" s="268"/>
      <c r="E941" s="268"/>
      <c r="F941" s="268"/>
      <c r="G941" s="268"/>
      <c r="H941" s="268"/>
      <c r="I941" s="268"/>
      <c r="J941" s="268"/>
      <c r="K941" s="268"/>
      <c r="L941" s="334"/>
      <c r="M941" s="268"/>
      <c r="N941" s="268"/>
      <c r="O941" s="310"/>
      <c r="P941" s="268"/>
      <c r="Q941" s="334"/>
      <c r="R941" s="268"/>
      <c r="S941" s="313"/>
      <c r="T941" s="313"/>
      <c r="U941" s="268"/>
      <c r="V941" s="309"/>
      <c r="W941" s="310"/>
      <c r="X941" s="268"/>
      <c r="Y941" s="268"/>
      <c r="Z941" s="268"/>
    </row>
    <row r="942" spans="1:26" ht="24.75" customHeight="1">
      <c r="A942" s="268"/>
      <c r="B942" s="268"/>
      <c r="C942" s="268"/>
      <c r="D942" s="268"/>
      <c r="E942" s="268"/>
      <c r="F942" s="268"/>
      <c r="G942" s="268"/>
      <c r="H942" s="268"/>
      <c r="I942" s="268"/>
      <c r="J942" s="268"/>
      <c r="K942" s="268"/>
      <c r="L942" s="334"/>
      <c r="M942" s="268"/>
      <c r="N942" s="268"/>
      <c r="O942" s="310"/>
      <c r="P942" s="268"/>
      <c r="Q942" s="334"/>
      <c r="R942" s="268"/>
      <c r="S942" s="313"/>
      <c r="T942" s="313"/>
      <c r="U942" s="268"/>
      <c r="V942" s="309"/>
      <c r="W942" s="310"/>
      <c r="X942" s="268"/>
      <c r="Y942" s="268"/>
      <c r="Z942" s="268"/>
    </row>
    <row r="943" spans="1:26" ht="24.75" customHeight="1">
      <c r="A943" s="268"/>
      <c r="B943" s="268"/>
      <c r="C943" s="268"/>
      <c r="D943" s="268"/>
      <c r="E943" s="268"/>
      <c r="F943" s="268"/>
      <c r="G943" s="268"/>
      <c r="H943" s="268"/>
      <c r="I943" s="268"/>
      <c r="J943" s="268"/>
      <c r="K943" s="268"/>
      <c r="L943" s="334"/>
      <c r="M943" s="268"/>
      <c r="N943" s="268"/>
      <c r="O943" s="310"/>
      <c r="P943" s="268"/>
      <c r="Q943" s="334"/>
      <c r="R943" s="268"/>
      <c r="S943" s="313"/>
      <c r="T943" s="313"/>
      <c r="U943" s="268"/>
      <c r="V943" s="309"/>
      <c r="W943" s="310"/>
      <c r="X943" s="268"/>
      <c r="Y943" s="268"/>
      <c r="Z943" s="268"/>
    </row>
    <row r="944" spans="1:26" ht="24.75" customHeight="1">
      <c r="A944" s="268"/>
      <c r="B944" s="268"/>
      <c r="C944" s="268"/>
      <c r="D944" s="268"/>
      <c r="E944" s="268"/>
      <c r="F944" s="268"/>
      <c r="G944" s="268"/>
      <c r="H944" s="268"/>
      <c r="I944" s="268"/>
      <c r="J944" s="268"/>
      <c r="K944" s="268"/>
      <c r="L944" s="334"/>
      <c r="M944" s="268"/>
      <c r="N944" s="268"/>
      <c r="O944" s="310"/>
      <c r="P944" s="268"/>
      <c r="Q944" s="334"/>
      <c r="R944" s="268"/>
      <c r="S944" s="313"/>
      <c r="T944" s="313"/>
      <c r="U944" s="268"/>
      <c r="V944" s="309"/>
      <c r="W944" s="310"/>
      <c r="X944" s="268"/>
      <c r="Y944" s="268"/>
      <c r="Z944" s="268"/>
    </row>
    <row r="945" spans="1:26" ht="24.75" customHeight="1">
      <c r="A945" s="268"/>
      <c r="B945" s="268"/>
      <c r="C945" s="268"/>
      <c r="D945" s="268"/>
      <c r="E945" s="268"/>
      <c r="F945" s="268"/>
      <c r="G945" s="268"/>
      <c r="H945" s="268"/>
      <c r="I945" s="268"/>
      <c r="J945" s="268"/>
      <c r="K945" s="268"/>
      <c r="L945" s="334"/>
      <c r="M945" s="268"/>
      <c r="N945" s="268"/>
      <c r="O945" s="310"/>
      <c r="P945" s="268"/>
      <c r="Q945" s="334"/>
      <c r="R945" s="268"/>
      <c r="S945" s="313"/>
      <c r="T945" s="313"/>
      <c r="U945" s="268"/>
      <c r="V945" s="309"/>
      <c r="W945" s="310"/>
      <c r="X945" s="268"/>
      <c r="Y945" s="268"/>
      <c r="Z945" s="268"/>
    </row>
    <row r="946" spans="1:26" ht="24.75" customHeight="1">
      <c r="A946" s="268"/>
      <c r="B946" s="268"/>
      <c r="C946" s="268"/>
      <c r="D946" s="268"/>
      <c r="E946" s="268"/>
      <c r="F946" s="268"/>
      <c r="G946" s="268"/>
      <c r="H946" s="268"/>
      <c r="I946" s="268"/>
      <c r="J946" s="268"/>
      <c r="K946" s="268"/>
      <c r="L946" s="334"/>
      <c r="M946" s="268"/>
      <c r="N946" s="268"/>
      <c r="O946" s="310"/>
      <c r="P946" s="268"/>
      <c r="Q946" s="334"/>
      <c r="R946" s="268"/>
      <c r="S946" s="313"/>
      <c r="T946" s="313"/>
      <c r="U946" s="268"/>
      <c r="V946" s="309"/>
      <c r="W946" s="310"/>
      <c r="X946" s="268"/>
      <c r="Y946" s="268"/>
      <c r="Z946" s="268"/>
    </row>
    <row r="947" spans="1:26" ht="24.75" customHeight="1">
      <c r="A947" s="268"/>
      <c r="B947" s="268"/>
      <c r="C947" s="268"/>
      <c r="D947" s="268"/>
      <c r="E947" s="268"/>
      <c r="F947" s="268"/>
      <c r="G947" s="268"/>
      <c r="H947" s="268"/>
      <c r="I947" s="268"/>
      <c r="J947" s="268"/>
      <c r="K947" s="268"/>
      <c r="L947" s="334"/>
      <c r="M947" s="268"/>
      <c r="N947" s="268"/>
      <c r="O947" s="310"/>
      <c r="P947" s="268"/>
      <c r="Q947" s="334"/>
      <c r="R947" s="268"/>
      <c r="S947" s="313"/>
      <c r="T947" s="313"/>
      <c r="U947" s="268"/>
      <c r="V947" s="309"/>
      <c r="W947" s="310"/>
      <c r="X947" s="268"/>
      <c r="Y947" s="268"/>
      <c r="Z947" s="268"/>
    </row>
    <row r="948" spans="1:26" ht="24.75" customHeight="1">
      <c r="A948" s="268"/>
      <c r="B948" s="268"/>
      <c r="C948" s="268"/>
      <c r="D948" s="268"/>
      <c r="E948" s="268"/>
      <c r="F948" s="268"/>
      <c r="G948" s="268"/>
      <c r="H948" s="268"/>
      <c r="I948" s="268"/>
      <c r="J948" s="268"/>
      <c r="K948" s="268"/>
      <c r="L948" s="334"/>
      <c r="M948" s="268"/>
      <c r="N948" s="268"/>
      <c r="O948" s="310"/>
      <c r="P948" s="268"/>
      <c r="Q948" s="334"/>
      <c r="R948" s="268"/>
      <c r="S948" s="313"/>
      <c r="T948" s="313"/>
      <c r="U948" s="268"/>
      <c r="V948" s="309"/>
      <c r="W948" s="310"/>
      <c r="X948" s="268"/>
      <c r="Y948" s="268"/>
      <c r="Z948" s="268"/>
    </row>
    <row r="949" spans="1:26" ht="24.75" customHeight="1">
      <c r="A949" s="268"/>
      <c r="B949" s="268"/>
      <c r="C949" s="268"/>
      <c r="D949" s="268"/>
      <c r="E949" s="268"/>
      <c r="F949" s="268"/>
      <c r="G949" s="268"/>
      <c r="H949" s="268"/>
      <c r="I949" s="268"/>
      <c r="J949" s="268"/>
      <c r="K949" s="268"/>
      <c r="L949" s="334"/>
      <c r="M949" s="268"/>
      <c r="N949" s="268"/>
      <c r="O949" s="310"/>
      <c r="P949" s="268"/>
      <c r="Q949" s="334"/>
      <c r="R949" s="268"/>
      <c r="S949" s="313"/>
      <c r="T949" s="313"/>
      <c r="U949" s="268"/>
      <c r="V949" s="309"/>
      <c r="W949" s="310"/>
      <c r="X949" s="268"/>
      <c r="Y949" s="268"/>
      <c r="Z949" s="268"/>
    </row>
    <row r="950" spans="1:26" ht="24.75" customHeight="1">
      <c r="A950" s="268"/>
      <c r="B950" s="268"/>
      <c r="C950" s="268"/>
      <c r="D950" s="268"/>
      <c r="E950" s="268"/>
      <c r="F950" s="268"/>
      <c r="G950" s="268"/>
      <c r="H950" s="268"/>
      <c r="I950" s="268"/>
      <c r="J950" s="268"/>
      <c r="K950" s="268"/>
      <c r="L950" s="334"/>
      <c r="M950" s="268"/>
      <c r="N950" s="268"/>
      <c r="O950" s="310"/>
      <c r="P950" s="268"/>
      <c r="Q950" s="334"/>
      <c r="R950" s="268"/>
      <c r="S950" s="313"/>
      <c r="T950" s="313"/>
      <c r="U950" s="268"/>
      <c r="V950" s="309"/>
      <c r="W950" s="310"/>
      <c r="X950" s="268"/>
      <c r="Y950" s="268"/>
      <c r="Z950" s="268"/>
    </row>
    <row r="951" spans="1:26" ht="24.75" customHeight="1">
      <c r="A951" s="268"/>
      <c r="B951" s="268"/>
      <c r="C951" s="268"/>
      <c r="D951" s="268"/>
      <c r="E951" s="268"/>
      <c r="F951" s="268"/>
      <c r="G951" s="268"/>
      <c r="H951" s="268"/>
      <c r="I951" s="268"/>
      <c r="J951" s="268"/>
      <c r="K951" s="268"/>
      <c r="L951" s="334"/>
      <c r="M951" s="268"/>
      <c r="N951" s="268"/>
      <c r="O951" s="310"/>
      <c r="P951" s="268"/>
      <c r="Q951" s="334"/>
      <c r="R951" s="268"/>
      <c r="S951" s="313"/>
      <c r="T951" s="313"/>
      <c r="U951" s="268"/>
      <c r="V951" s="309"/>
      <c r="W951" s="310"/>
      <c r="X951" s="268"/>
      <c r="Y951" s="268"/>
      <c r="Z951" s="268"/>
    </row>
    <row r="952" spans="1:26" ht="24.75" customHeight="1">
      <c r="A952" s="268"/>
      <c r="B952" s="268"/>
      <c r="C952" s="268"/>
      <c r="D952" s="268"/>
      <c r="E952" s="268"/>
      <c r="F952" s="268"/>
      <c r="G952" s="268"/>
      <c r="H952" s="268"/>
      <c r="I952" s="268"/>
      <c r="J952" s="268"/>
      <c r="K952" s="268"/>
      <c r="L952" s="334"/>
      <c r="M952" s="268"/>
      <c r="N952" s="268"/>
      <c r="O952" s="310"/>
      <c r="P952" s="268"/>
      <c r="Q952" s="334"/>
      <c r="R952" s="268"/>
      <c r="S952" s="313"/>
      <c r="T952" s="313"/>
      <c r="U952" s="268"/>
      <c r="V952" s="309"/>
      <c r="W952" s="310"/>
      <c r="X952" s="268"/>
      <c r="Y952" s="268"/>
      <c r="Z952" s="268"/>
    </row>
    <row r="953" spans="1:26" ht="24.75" customHeight="1">
      <c r="A953" s="268"/>
      <c r="B953" s="268"/>
      <c r="C953" s="268"/>
      <c r="D953" s="268"/>
      <c r="E953" s="268"/>
      <c r="F953" s="268"/>
      <c r="G953" s="268"/>
      <c r="H953" s="268"/>
      <c r="I953" s="268"/>
      <c r="J953" s="268"/>
      <c r="K953" s="268"/>
      <c r="L953" s="334"/>
      <c r="M953" s="268"/>
      <c r="N953" s="268"/>
      <c r="O953" s="310"/>
      <c r="P953" s="268"/>
      <c r="Q953" s="334"/>
      <c r="R953" s="268"/>
      <c r="S953" s="313"/>
      <c r="T953" s="313"/>
      <c r="U953" s="268"/>
      <c r="V953" s="309"/>
      <c r="W953" s="310"/>
      <c r="X953" s="268"/>
      <c r="Y953" s="268"/>
      <c r="Z953" s="268"/>
    </row>
    <row r="954" spans="1:26" ht="24.75" customHeight="1">
      <c r="A954" s="268"/>
      <c r="B954" s="268"/>
      <c r="C954" s="268"/>
      <c r="D954" s="268"/>
      <c r="E954" s="268"/>
      <c r="F954" s="268"/>
      <c r="G954" s="268"/>
      <c r="H954" s="268"/>
      <c r="I954" s="268"/>
      <c r="J954" s="268"/>
      <c r="K954" s="268"/>
      <c r="L954" s="334"/>
      <c r="M954" s="268"/>
      <c r="N954" s="268"/>
      <c r="O954" s="310"/>
      <c r="P954" s="268"/>
      <c r="Q954" s="334"/>
      <c r="R954" s="268"/>
      <c r="S954" s="313"/>
      <c r="T954" s="313"/>
      <c r="U954" s="268"/>
      <c r="V954" s="309"/>
      <c r="W954" s="310"/>
      <c r="X954" s="268"/>
      <c r="Y954" s="268"/>
      <c r="Z954" s="268"/>
    </row>
    <row r="955" spans="1:26" ht="24.75" customHeight="1">
      <c r="A955" s="268"/>
      <c r="B955" s="268"/>
      <c r="C955" s="268"/>
      <c r="D955" s="268"/>
      <c r="E955" s="268"/>
      <c r="F955" s="268"/>
      <c r="G955" s="268"/>
      <c r="H955" s="268"/>
      <c r="I955" s="268"/>
      <c r="J955" s="268"/>
      <c r="K955" s="268"/>
      <c r="L955" s="334"/>
      <c r="M955" s="268"/>
      <c r="N955" s="268"/>
      <c r="O955" s="310"/>
      <c r="P955" s="268"/>
      <c r="Q955" s="334"/>
      <c r="R955" s="268"/>
      <c r="S955" s="313"/>
      <c r="T955" s="313"/>
      <c r="U955" s="268"/>
      <c r="V955" s="309"/>
      <c r="W955" s="310"/>
      <c r="X955" s="268"/>
      <c r="Y955" s="268"/>
      <c r="Z955" s="268"/>
    </row>
    <row r="956" spans="1:26" ht="24.75" customHeight="1">
      <c r="A956" s="268"/>
      <c r="B956" s="268"/>
      <c r="C956" s="268"/>
      <c r="D956" s="268"/>
      <c r="E956" s="268"/>
      <c r="F956" s="268"/>
      <c r="G956" s="268"/>
      <c r="H956" s="268"/>
      <c r="I956" s="268"/>
      <c r="J956" s="268"/>
      <c r="K956" s="268"/>
      <c r="L956" s="334"/>
      <c r="M956" s="268"/>
      <c r="N956" s="268"/>
      <c r="O956" s="310"/>
      <c r="P956" s="268"/>
      <c r="Q956" s="334"/>
      <c r="R956" s="268"/>
      <c r="S956" s="313"/>
      <c r="T956" s="313"/>
      <c r="U956" s="268"/>
      <c r="V956" s="309"/>
      <c r="W956" s="310"/>
      <c r="X956" s="268"/>
      <c r="Y956" s="268"/>
      <c r="Z956" s="268"/>
    </row>
    <row r="957" spans="1:26" ht="24.75" customHeight="1">
      <c r="A957" s="268"/>
      <c r="B957" s="268"/>
      <c r="C957" s="268"/>
      <c r="D957" s="268"/>
      <c r="E957" s="268"/>
      <c r="F957" s="268"/>
      <c r="G957" s="268"/>
      <c r="H957" s="268"/>
      <c r="I957" s="268"/>
      <c r="J957" s="268"/>
      <c r="K957" s="268"/>
      <c r="L957" s="334"/>
      <c r="M957" s="268"/>
      <c r="N957" s="268"/>
      <c r="O957" s="310"/>
      <c r="P957" s="268"/>
      <c r="Q957" s="334"/>
      <c r="R957" s="268"/>
      <c r="S957" s="313"/>
      <c r="T957" s="313"/>
      <c r="U957" s="268"/>
      <c r="V957" s="309"/>
      <c r="W957" s="310"/>
      <c r="X957" s="268"/>
      <c r="Y957" s="268"/>
      <c r="Z957" s="268"/>
    </row>
    <row r="958" spans="1:26" ht="24.75" customHeight="1">
      <c r="A958" s="268"/>
      <c r="B958" s="268"/>
      <c r="C958" s="268"/>
      <c r="D958" s="268"/>
      <c r="E958" s="268"/>
      <c r="F958" s="268"/>
      <c r="G958" s="268"/>
      <c r="H958" s="268"/>
      <c r="I958" s="268"/>
      <c r="J958" s="268"/>
      <c r="K958" s="268"/>
      <c r="L958" s="334"/>
      <c r="M958" s="268"/>
      <c r="N958" s="268"/>
      <c r="O958" s="310"/>
      <c r="P958" s="268"/>
      <c r="Q958" s="334"/>
      <c r="R958" s="268"/>
      <c r="S958" s="313"/>
      <c r="T958" s="313"/>
      <c r="U958" s="268"/>
      <c r="V958" s="309"/>
      <c r="W958" s="310"/>
      <c r="X958" s="268"/>
      <c r="Y958" s="268"/>
      <c r="Z958" s="268"/>
    </row>
    <row r="959" spans="1:26" ht="24.75" customHeight="1">
      <c r="A959" s="268"/>
      <c r="B959" s="268"/>
      <c r="C959" s="268"/>
      <c r="D959" s="268"/>
      <c r="E959" s="268"/>
      <c r="F959" s="268"/>
      <c r="G959" s="268"/>
      <c r="H959" s="268"/>
      <c r="I959" s="268"/>
      <c r="J959" s="268"/>
      <c r="K959" s="268"/>
      <c r="L959" s="334"/>
      <c r="M959" s="268"/>
      <c r="N959" s="268"/>
      <c r="O959" s="310"/>
      <c r="P959" s="268"/>
      <c r="Q959" s="334"/>
      <c r="R959" s="268"/>
      <c r="S959" s="313"/>
      <c r="T959" s="313"/>
      <c r="U959" s="268"/>
      <c r="V959" s="309"/>
      <c r="W959" s="310"/>
      <c r="X959" s="268"/>
      <c r="Y959" s="268"/>
      <c r="Z959" s="268"/>
    </row>
    <row r="960" spans="1:26" ht="24.75" customHeight="1">
      <c r="A960" s="268"/>
      <c r="B960" s="268"/>
      <c r="C960" s="268"/>
      <c r="D960" s="268"/>
      <c r="E960" s="268"/>
      <c r="F960" s="268"/>
      <c r="G960" s="268"/>
      <c r="H960" s="268"/>
      <c r="I960" s="268"/>
      <c r="J960" s="268"/>
      <c r="K960" s="268"/>
      <c r="L960" s="334"/>
      <c r="M960" s="268"/>
      <c r="N960" s="268"/>
      <c r="O960" s="310"/>
      <c r="P960" s="268"/>
      <c r="Q960" s="334"/>
      <c r="R960" s="268"/>
      <c r="S960" s="313"/>
      <c r="T960" s="313"/>
      <c r="U960" s="268"/>
      <c r="V960" s="309"/>
      <c r="W960" s="310"/>
      <c r="X960" s="268"/>
      <c r="Y960" s="268"/>
      <c r="Z960" s="268"/>
    </row>
    <row r="961" spans="1:26" ht="24.75" customHeight="1">
      <c r="A961" s="268"/>
      <c r="B961" s="268"/>
      <c r="C961" s="268"/>
      <c r="D961" s="268"/>
      <c r="E961" s="268"/>
      <c r="F961" s="268"/>
      <c r="G961" s="268"/>
      <c r="H961" s="268"/>
      <c r="I961" s="268"/>
      <c r="J961" s="268"/>
      <c r="K961" s="268"/>
      <c r="L961" s="334"/>
      <c r="M961" s="268"/>
      <c r="N961" s="268"/>
      <c r="O961" s="310"/>
      <c r="P961" s="268"/>
      <c r="Q961" s="334"/>
      <c r="R961" s="268"/>
      <c r="S961" s="313"/>
      <c r="T961" s="313"/>
      <c r="U961" s="268"/>
      <c r="V961" s="309"/>
      <c r="W961" s="310"/>
      <c r="X961" s="268"/>
      <c r="Y961" s="268"/>
      <c r="Z961" s="268"/>
    </row>
    <row r="962" spans="1:26" ht="24.75" customHeight="1">
      <c r="A962" s="268"/>
      <c r="B962" s="268"/>
      <c r="C962" s="268"/>
      <c r="D962" s="268"/>
      <c r="E962" s="268"/>
      <c r="F962" s="268"/>
      <c r="G962" s="268"/>
      <c r="H962" s="268"/>
      <c r="I962" s="268"/>
      <c r="J962" s="268"/>
      <c r="K962" s="268"/>
      <c r="L962" s="334"/>
      <c r="M962" s="268"/>
      <c r="N962" s="268"/>
      <c r="O962" s="310"/>
      <c r="P962" s="268"/>
      <c r="Q962" s="334"/>
      <c r="R962" s="268"/>
      <c r="S962" s="313"/>
      <c r="T962" s="313"/>
      <c r="U962" s="268"/>
      <c r="V962" s="309"/>
      <c r="W962" s="310"/>
      <c r="X962" s="268"/>
      <c r="Y962" s="268"/>
      <c r="Z962" s="268"/>
    </row>
    <row r="963" spans="1:26" ht="24.75" customHeight="1">
      <c r="A963" s="268"/>
      <c r="B963" s="268"/>
      <c r="C963" s="268"/>
      <c r="D963" s="268"/>
      <c r="E963" s="268"/>
      <c r="F963" s="268"/>
      <c r="G963" s="268"/>
      <c r="H963" s="268"/>
      <c r="I963" s="268"/>
      <c r="J963" s="268"/>
      <c r="K963" s="268"/>
      <c r="L963" s="334"/>
      <c r="M963" s="268"/>
      <c r="N963" s="268"/>
      <c r="O963" s="310"/>
      <c r="P963" s="268"/>
      <c r="Q963" s="334"/>
      <c r="R963" s="268"/>
      <c r="S963" s="313"/>
      <c r="T963" s="313"/>
      <c r="U963" s="268"/>
      <c r="V963" s="309"/>
      <c r="W963" s="310"/>
      <c r="X963" s="268"/>
      <c r="Y963" s="268"/>
      <c r="Z963" s="268"/>
    </row>
    <row r="964" spans="1:26" ht="24.75" customHeight="1">
      <c r="A964" s="268"/>
      <c r="B964" s="268"/>
      <c r="C964" s="268"/>
      <c r="D964" s="268"/>
      <c r="E964" s="268"/>
      <c r="F964" s="268"/>
      <c r="G964" s="268"/>
      <c r="H964" s="268"/>
      <c r="I964" s="268"/>
      <c r="J964" s="268"/>
      <c r="K964" s="268"/>
      <c r="L964" s="334"/>
      <c r="M964" s="268"/>
      <c r="N964" s="268"/>
      <c r="O964" s="310"/>
      <c r="P964" s="268"/>
      <c r="Q964" s="334"/>
      <c r="R964" s="268"/>
      <c r="S964" s="313"/>
      <c r="T964" s="313"/>
      <c r="U964" s="268"/>
      <c r="V964" s="309"/>
      <c r="W964" s="310"/>
      <c r="X964" s="268"/>
      <c r="Y964" s="268"/>
      <c r="Z964" s="268"/>
    </row>
    <row r="965" spans="1:26" ht="24.75" customHeight="1">
      <c r="A965" s="268"/>
      <c r="B965" s="268"/>
      <c r="C965" s="268"/>
      <c r="D965" s="268"/>
      <c r="E965" s="268"/>
      <c r="F965" s="268"/>
      <c r="G965" s="268"/>
      <c r="H965" s="268"/>
      <c r="I965" s="268"/>
      <c r="J965" s="268"/>
      <c r="K965" s="268"/>
      <c r="L965" s="334"/>
      <c r="M965" s="268"/>
      <c r="N965" s="268"/>
      <c r="O965" s="310"/>
      <c r="P965" s="268"/>
      <c r="Q965" s="334"/>
      <c r="R965" s="268"/>
      <c r="S965" s="313"/>
      <c r="T965" s="313"/>
      <c r="U965" s="268"/>
      <c r="V965" s="309"/>
      <c r="W965" s="310"/>
      <c r="X965" s="268"/>
      <c r="Y965" s="268"/>
      <c r="Z965" s="268"/>
    </row>
    <row r="966" spans="1:26" ht="24.75" customHeight="1">
      <c r="A966" s="268"/>
      <c r="B966" s="268"/>
      <c r="C966" s="268"/>
      <c r="D966" s="268"/>
      <c r="E966" s="268"/>
      <c r="F966" s="268"/>
      <c r="G966" s="268"/>
      <c r="H966" s="268"/>
      <c r="I966" s="268"/>
      <c r="J966" s="268"/>
      <c r="K966" s="268"/>
      <c r="L966" s="334"/>
      <c r="M966" s="268"/>
      <c r="N966" s="268"/>
      <c r="O966" s="310"/>
      <c r="P966" s="268"/>
      <c r="Q966" s="334"/>
      <c r="R966" s="268"/>
      <c r="S966" s="313"/>
      <c r="T966" s="313"/>
      <c r="U966" s="268"/>
      <c r="V966" s="309"/>
      <c r="W966" s="310"/>
      <c r="X966" s="268"/>
      <c r="Y966" s="268"/>
      <c r="Z966" s="268"/>
    </row>
    <row r="967" spans="1:26" ht="24.75" customHeight="1">
      <c r="A967" s="268"/>
      <c r="B967" s="268"/>
      <c r="C967" s="268"/>
      <c r="D967" s="268"/>
      <c r="E967" s="268"/>
      <c r="F967" s="268"/>
      <c r="G967" s="268"/>
      <c r="H967" s="268"/>
      <c r="I967" s="268"/>
      <c r="J967" s="268"/>
      <c r="K967" s="268"/>
      <c r="L967" s="334"/>
      <c r="M967" s="268"/>
      <c r="N967" s="268"/>
      <c r="O967" s="310"/>
      <c r="P967" s="268"/>
      <c r="Q967" s="334"/>
      <c r="R967" s="268"/>
      <c r="S967" s="313"/>
      <c r="T967" s="313"/>
      <c r="U967" s="268"/>
      <c r="V967" s="309"/>
      <c r="W967" s="310"/>
      <c r="X967" s="268"/>
      <c r="Y967" s="268"/>
      <c r="Z967" s="268"/>
    </row>
    <row r="968" spans="1:26" ht="24.75" customHeight="1">
      <c r="A968" s="268"/>
      <c r="B968" s="268"/>
      <c r="C968" s="268"/>
      <c r="D968" s="268"/>
      <c r="E968" s="268"/>
      <c r="F968" s="268"/>
      <c r="G968" s="268"/>
      <c r="H968" s="268"/>
      <c r="I968" s="268"/>
      <c r="J968" s="268"/>
      <c r="K968" s="268"/>
      <c r="L968" s="334"/>
      <c r="M968" s="268"/>
      <c r="N968" s="268"/>
      <c r="O968" s="310"/>
      <c r="P968" s="268"/>
      <c r="Q968" s="334"/>
      <c r="R968" s="268"/>
      <c r="S968" s="313"/>
      <c r="T968" s="313"/>
      <c r="U968" s="268"/>
      <c r="V968" s="309"/>
      <c r="W968" s="310"/>
      <c r="X968" s="268"/>
      <c r="Y968" s="268"/>
      <c r="Z968" s="268"/>
    </row>
    <row r="969" spans="1:26" ht="24.75" customHeight="1">
      <c r="A969" s="268"/>
      <c r="B969" s="268"/>
      <c r="C969" s="268"/>
      <c r="D969" s="268"/>
      <c r="E969" s="268"/>
      <c r="F969" s="268"/>
      <c r="G969" s="268"/>
      <c r="H969" s="268"/>
      <c r="I969" s="268"/>
      <c r="J969" s="268"/>
      <c r="K969" s="268"/>
      <c r="L969" s="334"/>
      <c r="M969" s="268"/>
      <c r="N969" s="268"/>
      <c r="O969" s="310"/>
      <c r="P969" s="268"/>
      <c r="Q969" s="334"/>
      <c r="R969" s="268"/>
      <c r="S969" s="313"/>
      <c r="T969" s="313"/>
      <c r="U969" s="268"/>
      <c r="V969" s="309"/>
      <c r="W969" s="310"/>
      <c r="X969" s="268"/>
      <c r="Y969" s="268"/>
      <c r="Z969" s="268"/>
    </row>
    <row r="970" spans="1:26" ht="24.75" customHeight="1">
      <c r="A970" s="268"/>
      <c r="B970" s="268"/>
      <c r="C970" s="268"/>
      <c r="D970" s="268"/>
      <c r="E970" s="268"/>
      <c r="F970" s="268"/>
      <c r="G970" s="268"/>
      <c r="H970" s="268"/>
      <c r="I970" s="268"/>
      <c r="J970" s="268"/>
      <c r="K970" s="268"/>
      <c r="L970" s="334"/>
      <c r="M970" s="268"/>
      <c r="N970" s="268"/>
      <c r="O970" s="310"/>
      <c r="P970" s="268"/>
      <c r="Q970" s="334"/>
      <c r="R970" s="268"/>
      <c r="S970" s="313"/>
      <c r="T970" s="313"/>
      <c r="U970" s="268"/>
      <c r="V970" s="309"/>
      <c r="W970" s="310"/>
      <c r="X970" s="268"/>
      <c r="Y970" s="268"/>
      <c r="Z970" s="268"/>
    </row>
    <row r="971" spans="1:26" ht="24.75" customHeight="1">
      <c r="A971" s="268"/>
      <c r="B971" s="268"/>
      <c r="C971" s="268"/>
      <c r="D971" s="268"/>
      <c r="E971" s="268"/>
      <c r="F971" s="268"/>
      <c r="G971" s="268"/>
      <c r="H971" s="268"/>
      <c r="I971" s="268"/>
      <c r="J971" s="268"/>
      <c r="K971" s="268"/>
      <c r="L971" s="334"/>
      <c r="M971" s="268"/>
      <c r="N971" s="268"/>
      <c r="O971" s="310"/>
      <c r="P971" s="268"/>
      <c r="Q971" s="334"/>
      <c r="R971" s="268"/>
      <c r="S971" s="313"/>
      <c r="T971" s="313"/>
      <c r="U971" s="268"/>
      <c r="V971" s="309"/>
      <c r="W971" s="310"/>
      <c r="X971" s="268"/>
      <c r="Y971" s="268"/>
      <c r="Z971" s="268"/>
    </row>
    <row r="972" spans="1:26" ht="24.75" customHeight="1">
      <c r="A972" s="268"/>
      <c r="B972" s="268"/>
      <c r="C972" s="268"/>
      <c r="D972" s="268"/>
      <c r="E972" s="268"/>
      <c r="F972" s="268"/>
      <c r="G972" s="268"/>
      <c r="H972" s="268"/>
      <c r="I972" s="268"/>
      <c r="J972" s="268"/>
      <c r="K972" s="268"/>
      <c r="L972" s="334"/>
      <c r="M972" s="268"/>
      <c r="N972" s="268"/>
      <c r="O972" s="310"/>
      <c r="P972" s="268"/>
      <c r="Q972" s="334"/>
      <c r="R972" s="268"/>
      <c r="S972" s="313"/>
      <c r="T972" s="313"/>
      <c r="U972" s="268"/>
      <c r="V972" s="309"/>
      <c r="W972" s="310"/>
      <c r="X972" s="268"/>
      <c r="Y972" s="268"/>
      <c r="Z972" s="268"/>
    </row>
    <row r="973" spans="1:26" ht="24.75" customHeight="1">
      <c r="A973" s="268"/>
      <c r="B973" s="268"/>
      <c r="C973" s="268"/>
      <c r="D973" s="268"/>
      <c r="E973" s="268"/>
      <c r="F973" s="268"/>
      <c r="G973" s="268"/>
      <c r="H973" s="268"/>
      <c r="I973" s="268"/>
      <c r="J973" s="268"/>
      <c r="K973" s="268"/>
      <c r="L973" s="334"/>
      <c r="M973" s="268"/>
      <c r="N973" s="268"/>
      <c r="O973" s="310"/>
      <c r="P973" s="268"/>
      <c r="Q973" s="334"/>
      <c r="R973" s="268"/>
      <c r="S973" s="313"/>
      <c r="T973" s="313"/>
      <c r="U973" s="268"/>
      <c r="V973" s="309"/>
      <c r="W973" s="310"/>
      <c r="X973" s="268"/>
      <c r="Y973" s="268"/>
      <c r="Z973" s="268"/>
    </row>
    <row r="974" spans="1:26" ht="24.75" customHeight="1">
      <c r="A974" s="268"/>
      <c r="B974" s="268"/>
      <c r="C974" s="268"/>
      <c r="D974" s="268"/>
      <c r="E974" s="268"/>
      <c r="F974" s="268"/>
      <c r="G974" s="268"/>
      <c r="H974" s="268"/>
      <c r="I974" s="268"/>
      <c r="J974" s="268"/>
      <c r="K974" s="268"/>
      <c r="L974" s="334"/>
      <c r="M974" s="268"/>
      <c r="N974" s="268"/>
      <c r="O974" s="310"/>
      <c r="P974" s="268"/>
      <c r="Q974" s="334"/>
      <c r="R974" s="268"/>
      <c r="S974" s="313"/>
      <c r="T974" s="313"/>
      <c r="U974" s="268"/>
      <c r="V974" s="309"/>
      <c r="W974" s="310"/>
      <c r="X974" s="268"/>
      <c r="Y974" s="268"/>
      <c r="Z974" s="268"/>
    </row>
    <row r="975" spans="1:26" ht="24.75" customHeight="1">
      <c r="A975" s="268"/>
      <c r="B975" s="268"/>
      <c r="C975" s="268"/>
      <c r="D975" s="268"/>
      <c r="E975" s="268"/>
      <c r="F975" s="268"/>
      <c r="G975" s="268"/>
      <c r="H975" s="268"/>
      <c r="I975" s="268"/>
      <c r="J975" s="268"/>
      <c r="K975" s="268"/>
      <c r="L975" s="334"/>
      <c r="M975" s="268"/>
      <c r="N975" s="268"/>
      <c r="O975" s="310"/>
      <c r="P975" s="268"/>
      <c r="Q975" s="334"/>
      <c r="R975" s="268"/>
      <c r="S975" s="313"/>
      <c r="T975" s="313"/>
      <c r="U975" s="268"/>
      <c r="V975" s="309"/>
      <c r="W975" s="310"/>
      <c r="X975" s="268"/>
      <c r="Y975" s="268"/>
      <c r="Z975" s="268"/>
    </row>
    <row r="976" spans="1:26" ht="24.75" customHeight="1">
      <c r="A976" s="268"/>
      <c r="B976" s="268"/>
      <c r="C976" s="268"/>
      <c r="D976" s="268"/>
      <c r="E976" s="268"/>
      <c r="F976" s="268"/>
      <c r="G976" s="268"/>
      <c r="H976" s="268"/>
      <c r="I976" s="268"/>
      <c r="J976" s="268"/>
      <c r="K976" s="268"/>
      <c r="L976" s="334"/>
      <c r="M976" s="268"/>
      <c r="N976" s="268"/>
      <c r="O976" s="310"/>
      <c r="P976" s="268"/>
      <c r="Q976" s="334"/>
      <c r="R976" s="268"/>
      <c r="S976" s="313"/>
      <c r="T976" s="313"/>
      <c r="U976" s="268"/>
      <c r="V976" s="309"/>
      <c r="W976" s="310"/>
      <c r="X976" s="268"/>
      <c r="Y976" s="268"/>
      <c r="Z976" s="268"/>
    </row>
    <row r="977" spans="1:26" ht="24.75" customHeight="1">
      <c r="A977" s="268"/>
      <c r="B977" s="268"/>
      <c r="C977" s="268"/>
      <c r="D977" s="268"/>
      <c r="E977" s="268"/>
      <c r="F977" s="268"/>
      <c r="G977" s="268"/>
      <c r="H977" s="268"/>
      <c r="I977" s="268"/>
      <c r="J977" s="268"/>
      <c r="K977" s="268"/>
      <c r="L977" s="334"/>
      <c r="M977" s="268"/>
      <c r="N977" s="268"/>
      <c r="O977" s="310"/>
      <c r="P977" s="268"/>
      <c r="Q977" s="334"/>
      <c r="R977" s="268"/>
      <c r="S977" s="313"/>
      <c r="T977" s="313"/>
      <c r="U977" s="268"/>
      <c r="V977" s="309"/>
      <c r="W977" s="310"/>
      <c r="X977" s="268"/>
      <c r="Y977" s="268"/>
      <c r="Z977" s="268"/>
    </row>
    <row r="978" spans="1:26" ht="24.75" customHeight="1">
      <c r="A978" s="268"/>
      <c r="B978" s="268"/>
      <c r="C978" s="268"/>
      <c r="D978" s="268"/>
      <c r="E978" s="268"/>
      <c r="F978" s="268"/>
      <c r="G978" s="268"/>
      <c r="H978" s="268"/>
      <c r="I978" s="268"/>
      <c r="J978" s="268"/>
      <c r="K978" s="268"/>
      <c r="L978" s="334"/>
      <c r="M978" s="268"/>
      <c r="N978" s="268"/>
      <c r="O978" s="310"/>
      <c r="P978" s="268"/>
      <c r="Q978" s="334"/>
      <c r="R978" s="268"/>
      <c r="S978" s="313"/>
      <c r="T978" s="313"/>
      <c r="U978" s="268"/>
      <c r="V978" s="309"/>
      <c r="W978" s="310"/>
      <c r="X978" s="268"/>
      <c r="Y978" s="268"/>
      <c r="Z978" s="268"/>
    </row>
    <row r="979" spans="1:26" ht="24.75" customHeight="1">
      <c r="A979" s="268"/>
      <c r="B979" s="268"/>
      <c r="C979" s="268"/>
      <c r="D979" s="268"/>
      <c r="E979" s="268"/>
      <c r="F979" s="268"/>
      <c r="G979" s="268"/>
      <c r="H979" s="268"/>
      <c r="I979" s="268"/>
      <c r="J979" s="268"/>
      <c r="K979" s="268"/>
      <c r="L979" s="334"/>
      <c r="M979" s="268"/>
      <c r="N979" s="268"/>
      <c r="O979" s="310"/>
      <c r="P979" s="268"/>
      <c r="Q979" s="334"/>
      <c r="R979" s="268"/>
      <c r="S979" s="313"/>
      <c r="T979" s="313"/>
      <c r="U979" s="268"/>
      <c r="V979" s="309"/>
      <c r="W979" s="310"/>
      <c r="X979" s="268"/>
      <c r="Y979" s="268"/>
      <c r="Z979" s="268"/>
    </row>
    <row r="980" spans="1:26" ht="24.75" customHeight="1">
      <c r="A980" s="268"/>
      <c r="B980" s="268"/>
      <c r="C980" s="268"/>
      <c r="D980" s="268"/>
      <c r="E980" s="268"/>
      <c r="F980" s="268"/>
      <c r="G980" s="268"/>
      <c r="H980" s="268"/>
      <c r="I980" s="268"/>
      <c r="J980" s="268"/>
      <c r="K980" s="268"/>
      <c r="L980" s="334"/>
      <c r="M980" s="268"/>
      <c r="N980" s="268"/>
      <c r="O980" s="310"/>
      <c r="P980" s="268"/>
      <c r="Q980" s="334"/>
      <c r="R980" s="268"/>
      <c r="S980" s="313"/>
      <c r="T980" s="313"/>
      <c r="U980" s="268"/>
      <c r="V980" s="309"/>
      <c r="W980" s="310"/>
      <c r="X980" s="268"/>
      <c r="Y980" s="268"/>
      <c r="Z980" s="268"/>
    </row>
    <row r="981" spans="1:26" ht="24.75" customHeight="1">
      <c r="A981" s="268"/>
      <c r="B981" s="268"/>
      <c r="C981" s="268"/>
      <c r="D981" s="268"/>
      <c r="E981" s="268"/>
      <c r="F981" s="268"/>
      <c r="G981" s="268"/>
      <c r="H981" s="268"/>
      <c r="I981" s="268"/>
      <c r="J981" s="268"/>
      <c r="K981" s="268"/>
      <c r="L981" s="334"/>
      <c r="M981" s="268"/>
      <c r="N981" s="268"/>
      <c r="O981" s="310"/>
      <c r="P981" s="268"/>
      <c r="Q981" s="334"/>
      <c r="R981" s="268"/>
      <c r="S981" s="313"/>
      <c r="T981" s="313"/>
      <c r="U981" s="268"/>
      <c r="V981" s="309"/>
      <c r="W981" s="310"/>
      <c r="X981" s="268"/>
      <c r="Y981" s="268"/>
      <c r="Z981" s="268"/>
    </row>
    <row r="982" spans="1:26" ht="24.75" customHeight="1">
      <c r="A982" s="268"/>
      <c r="B982" s="268"/>
      <c r="C982" s="268"/>
      <c r="D982" s="268"/>
      <c r="E982" s="268"/>
      <c r="F982" s="268"/>
      <c r="G982" s="268"/>
      <c r="H982" s="268"/>
      <c r="I982" s="268"/>
      <c r="J982" s="268"/>
      <c r="K982" s="268"/>
      <c r="L982" s="334"/>
      <c r="M982" s="268"/>
      <c r="N982" s="268"/>
      <c r="O982" s="310"/>
      <c r="P982" s="268"/>
      <c r="Q982" s="334"/>
      <c r="R982" s="268"/>
      <c r="S982" s="313"/>
      <c r="T982" s="313"/>
      <c r="U982" s="268"/>
      <c r="V982" s="309"/>
      <c r="W982" s="310"/>
      <c r="X982" s="268"/>
      <c r="Y982" s="268"/>
      <c r="Z982" s="268"/>
    </row>
    <row r="983" spans="1:26" ht="24.75" customHeight="1">
      <c r="A983" s="268"/>
      <c r="B983" s="268"/>
      <c r="C983" s="268"/>
      <c r="D983" s="268"/>
      <c r="E983" s="268"/>
      <c r="F983" s="268"/>
      <c r="G983" s="268"/>
      <c r="H983" s="268"/>
      <c r="I983" s="268"/>
      <c r="J983" s="268"/>
      <c r="K983" s="268"/>
      <c r="L983" s="334"/>
      <c r="M983" s="268"/>
      <c r="N983" s="268"/>
      <c r="O983" s="310"/>
      <c r="P983" s="268"/>
      <c r="Q983" s="334"/>
      <c r="R983" s="268"/>
      <c r="S983" s="313"/>
      <c r="T983" s="313"/>
      <c r="U983" s="268"/>
      <c r="V983" s="309"/>
      <c r="W983" s="310"/>
      <c r="X983" s="268"/>
      <c r="Y983" s="268"/>
      <c r="Z983" s="268"/>
    </row>
    <row r="984" spans="1:26" ht="24.75" customHeight="1">
      <c r="A984" s="268"/>
      <c r="B984" s="268"/>
      <c r="C984" s="268"/>
      <c r="D984" s="268"/>
      <c r="E984" s="268"/>
      <c r="F984" s="268"/>
      <c r="G984" s="268"/>
      <c r="H984" s="268"/>
      <c r="I984" s="268"/>
      <c r="J984" s="268"/>
      <c r="K984" s="268"/>
      <c r="L984" s="334"/>
      <c r="M984" s="268"/>
      <c r="N984" s="268"/>
      <c r="O984" s="310"/>
      <c r="P984" s="268"/>
      <c r="Q984" s="334"/>
      <c r="R984" s="268"/>
      <c r="S984" s="313"/>
      <c r="T984" s="313"/>
      <c r="U984" s="268"/>
      <c r="V984" s="309"/>
      <c r="W984" s="310"/>
      <c r="X984" s="268"/>
      <c r="Y984" s="268"/>
      <c r="Z984" s="268"/>
    </row>
    <row r="985" spans="1:26" ht="24.75" customHeight="1">
      <c r="A985" s="268"/>
      <c r="B985" s="268"/>
      <c r="C985" s="268"/>
      <c r="D985" s="268"/>
      <c r="E985" s="268"/>
      <c r="F985" s="268"/>
      <c r="G985" s="268"/>
      <c r="H985" s="268"/>
      <c r="I985" s="268"/>
      <c r="J985" s="268"/>
      <c r="K985" s="268"/>
      <c r="L985" s="334"/>
      <c r="M985" s="268"/>
      <c r="N985" s="268"/>
      <c r="O985" s="310"/>
      <c r="P985" s="268"/>
      <c r="Q985" s="334"/>
      <c r="R985" s="268"/>
      <c r="S985" s="313"/>
      <c r="T985" s="313"/>
      <c r="U985" s="268"/>
      <c r="V985" s="309"/>
      <c r="W985" s="310"/>
      <c r="X985" s="268"/>
      <c r="Y985" s="268"/>
      <c r="Z985" s="268"/>
    </row>
    <row r="986" spans="1:26" ht="24.75" customHeight="1">
      <c r="A986" s="268"/>
      <c r="B986" s="268"/>
      <c r="C986" s="268"/>
      <c r="D986" s="268"/>
      <c r="E986" s="268"/>
      <c r="F986" s="268"/>
      <c r="G986" s="268"/>
      <c r="H986" s="268"/>
      <c r="I986" s="268"/>
      <c r="J986" s="268"/>
      <c r="K986" s="268"/>
      <c r="L986" s="334"/>
      <c r="M986" s="268"/>
      <c r="N986" s="268"/>
      <c r="O986" s="310"/>
      <c r="P986" s="268"/>
      <c r="Q986" s="334"/>
      <c r="R986" s="268"/>
      <c r="S986" s="313"/>
      <c r="T986" s="313"/>
      <c r="U986" s="268"/>
      <c r="V986" s="309"/>
      <c r="W986" s="310"/>
      <c r="X986" s="268"/>
      <c r="Y986" s="268"/>
      <c r="Z986" s="268"/>
    </row>
    <row r="987" spans="1:26" ht="24.75" customHeight="1">
      <c r="A987" s="268"/>
      <c r="B987" s="268"/>
      <c r="C987" s="268"/>
      <c r="D987" s="268"/>
      <c r="E987" s="268"/>
      <c r="F987" s="268"/>
      <c r="G987" s="268"/>
      <c r="H987" s="268"/>
      <c r="I987" s="268"/>
      <c r="J987" s="268"/>
      <c r="K987" s="268"/>
      <c r="L987" s="334"/>
      <c r="M987" s="268"/>
      <c r="N987" s="268"/>
      <c r="O987" s="310"/>
      <c r="P987" s="268"/>
      <c r="Q987" s="334"/>
      <c r="R987" s="268"/>
      <c r="S987" s="313"/>
      <c r="T987" s="313"/>
      <c r="U987" s="268"/>
      <c r="V987" s="309"/>
      <c r="W987" s="310"/>
      <c r="X987" s="268"/>
      <c r="Y987" s="268"/>
      <c r="Z987" s="268"/>
    </row>
    <row r="988" spans="1:26" ht="24.75" customHeight="1">
      <c r="A988" s="268"/>
      <c r="B988" s="268"/>
      <c r="C988" s="268"/>
      <c r="D988" s="268"/>
      <c r="E988" s="268"/>
      <c r="F988" s="268"/>
      <c r="G988" s="268"/>
      <c r="H988" s="268"/>
      <c r="I988" s="268"/>
      <c r="J988" s="268"/>
      <c r="K988" s="268"/>
      <c r="L988" s="334"/>
      <c r="M988" s="268"/>
      <c r="N988" s="268"/>
      <c r="O988" s="310"/>
      <c r="P988" s="268"/>
      <c r="Q988" s="334"/>
      <c r="R988" s="268"/>
      <c r="S988" s="313"/>
      <c r="T988" s="313"/>
      <c r="U988" s="268"/>
      <c r="V988" s="309"/>
      <c r="W988" s="310"/>
      <c r="X988" s="268"/>
      <c r="Y988" s="268"/>
      <c r="Z988" s="268"/>
    </row>
    <row r="989" spans="1:26" ht="24.75" customHeight="1">
      <c r="A989" s="268"/>
      <c r="B989" s="268"/>
      <c r="C989" s="268"/>
      <c r="D989" s="268"/>
      <c r="E989" s="268"/>
      <c r="F989" s="268"/>
      <c r="G989" s="268"/>
      <c r="H989" s="268"/>
      <c r="I989" s="268"/>
      <c r="J989" s="268"/>
      <c r="K989" s="268"/>
      <c r="L989" s="334"/>
      <c r="M989" s="268"/>
      <c r="N989" s="268"/>
      <c r="O989" s="310"/>
      <c r="P989" s="268"/>
      <c r="Q989" s="334"/>
      <c r="R989" s="268"/>
      <c r="S989" s="313"/>
      <c r="T989" s="313"/>
      <c r="U989" s="268"/>
      <c r="V989" s="309"/>
      <c r="W989" s="310"/>
      <c r="X989" s="268"/>
      <c r="Y989" s="268"/>
      <c r="Z989" s="268"/>
    </row>
    <row r="990" spans="1:26" ht="24.75" customHeight="1">
      <c r="A990" s="268"/>
      <c r="B990" s="268"/>
      <c r="C990" s="268"/>
      <c r="D990" s="268"/>
      <c r="E990" s="268"/>
      <c r="F990" s="268"/>
      <c r="G990" s="268"/>
      <c r="H990" s="268"/>
      <c r="I990" s="268"/>
      <c r="J990" s="268"/>
      <c r="K990" s="268"/>
      <c r="L990" s="334"/>
      <c r="M990" s="268"/>
      <c r="N990" s="268"/>
      <c r="O990" s="310"/>
      <c r="P990" s="268"/>
      <c r="Q990" s="334"/>
      <c r="R990" s="268"/>
      <c r="S990" s="313"/>
      <c r="T990" s="313"/>
      <c r="U990" s="268"/>
      <c r="V990" s="309"/>
      <c r="W990" s="310"/>
      <c r="X990" s="268"/>
      <c r="Y990" s="268"/>
      <c r="Z990" s="268"/>
    </row>
    <row r="991" spans="1:26" ht="24.75" customHeight="1">
      <c r="A991" s="268"/>
      <c r="B991" s="268"/>
      <c r="C991" s="268"/>
      <c r="D991" s="268"/>
      <c r="E991" s="268"/>
      <c r="F991" s="268"/>
      <c r="G991" s="268"/>
      <c r="H991" s="268"/>
      <c r="I991" s="268"/>
      <c r="J991" s="268"/>
      <c r="K991" s="268"/>
      <c r="L991" s="334"/>
      <c r="M991" s="268"/>
      <c r="N991" s="268"/>
      <c r="O991" s="310"/>
      <c r="P991" s="268"/>
      <c r="Q991" s="334"/>
      <c r="R991" s="268"/>
      <c r="S991" s="313"/>
      <c r="T991" s="313"/>
      <c r="U991" s="268"/>
      <c r="V991" s="309"/>
      <c r="W991" s="310"/>
      <c r="X991" s="268"/>
      <c r="Y991" s="268"/>
      <c r="Z991" s="268"/>
    </row>
    <row r="992" spans="1:26" ht="24.75" customHeight="1">
      <c r="A992" s="268"/>
      <c r="B992" s="268"/>
      <c r="C992" s="268"/>
      <c r="D992" s="268"/>
      <c r="E992" s="268"/>
      <c r="F992" s="268"/>
      <c r="G992" s="268"/>
      <c r="H992" s="268"/>
      <c r="I992" s="268"/>
      <c r="J992" s="268"/>
      <c r="K992" s="268"/>
      <c r="L992" s="334"/>
      <c r="M992" s="268"/>
      <c r="N992" s="268"/>
      <c r="O992" s="310"/>
      <c r="P992" s="268"/>
      <c r="Q992" s="334"/>
      <c r="R992" s="268"/>
      <c r="S992" s="313"/>
      <c r="T992" s="313"/>
      <c r="U992" s="268"/>
      <c r="V992" s="309"/>
      <c r="W992" s="310"/>
      <c r="X992" s="268"/>
      <c r="Y992" s="268"/>
      <c r="Z992" s="268"/>
    </row>
    <row r="993" spans="1:26" ht="24.75" customHeight="1">
      <c r="A993" s="268"/>
      <c r="B993" s="268"/>
      <c r="C993" s="268"/>
      <c r="D993" s="268"/>
      <c r="E993" s="268"/>
      <c r="F993" s="268"/>
      <c r="G993" s="268"/>
      <c r="H993" s="268"/>
      <c r="I993" s="268"/>
      <c r="J993" s="268"/>
      <c r="K993" s="268"/>
      <c r="L993" s="334"/>
      <c r="M993" s="268"/>
      <c r="N993" s="268"/>
      <c r="O993" s="310"/>
      <c r="P993" s="268"/>
      <c r="Q993" s="334"/>
      <c r="R993" s="268"/>
      <c r="S993" s="313"/>
      <c r="T993" s="313"/>
      <c r="U993" s="268"/>
      <c r="V993" s="309"/>
      <c r="W993" s="310"/>
      <c r="X993" s="268"/>
      <c r="Y993" s="268"/>
      <c r="Z993" s="268"/>
    </row>
    <row r="994" spans="1:26" ht="24.75" customHeight="1">
      <c r="A994" s="268"/>
      <c r="B994" s="268"/>
      <c r="C994" s="268"/>
      <c r="D994" s="268"/>
      <c r="E994" s="268"/>
      <c r="F994" s="268"/>
      <c r="G994" s="268"/>
      <c r="H994" s="268"/>
      <c r="I994" s="268"/>
      <c r="J994" s="268"/>
      <c r="K994" s="268"/>
      <c r="L994" s="334"/>
      <c r="M994" s="268"/>
      <c r="N994" s="268"/>
      <c r="O994" s="310"/>
      <c r="P994" s="268"/>
      <c r="Q994" s="334"/>
      <c r="R994" s="268"/>
      <c r="S994" s="313"/>
      <c r="T994" s="313"/>
      <c r="U994" s="268"/>
      <c r="V994" s="309"/>
      <c r="W994" s="310"/>
      <c r="X994" s="268"/>
      <c r="Y994" s="268"/>
      <c r="Z994" s="268"/>
    </row>
    <row r="995" spans="1:26" ht="24.75" customHeight="1">
      <c r="A995" s="268"/>
      <c r="B995" s="268"/>
      <c r="C995" s="268"/>
      <c r="D995" s="268"/>
      <c r="E995" s="268"/>
      <c r="F995" s="268"/>
      <c r="G995" s="268"/>
      <c r="H995" s="268"/>
      <c r="I995" s="268"/>
      <c r="J995" s="268"/>
      <c r="K995" s="268"/>
      <c r="L995" s="334"/>
      <c r="M995" s="268"/>
      <c r="N995" s="268"/>
      <c r="O995" s="310"/>
      <c r="P995" s="268"/>
      <c r="Q995" s="334"/>
      <c r="R995" s="268"/>
      <c r="S995" s="313"/>
      <c r="T995" s="313"/>
      <c r="U995" s="268"/>
      <c r="V995" s="309"/>
      <c r="W995" s="310"/>
      <c r="X995" s="268"/>
      <c r="Y995" s="268"/>
      <c r="Z995" s="268"/>
    </row>
    <row r="996" spans="1:26" ht="24.75" customHeight="1">
      <c r="A996" s="268"/>
      <c r="B996" s="268"/>
      <c r="C996" s="268"/>
      <c r="D996" s="268"/>
      <c r="E996" s="268"/>
      <c r="F996" s="268"/>
      <c r="G996" s="268"/>
      <c r="H996" s="268"/>
      <c r="I996" s="268"/>
      <c r="J996" s="268"/>
      <c r="K996" s="268"/>
      <c r="L996" s="334"/>
      <c r="M996" s="268"/>
      <c r="N996" s="268"/>
      <c r="O996" s="310"/>
      <c r="P996" s="268"/>
      <c r="Q996" s="334"/>
      <c r="R996" s="268"/>
      <c r="S996" s="313"/>
      <c r="T996" s="313"/>
      <c r="U996" s="268"/>
      <c r="V996" s="309"/>
      <c r="W996" s="310"/>
      <c r="X996" s="268"/>
      <c r="Y996" s="268"/>
      <c r="Z996" s="268"/>
    </row>
    <row r="997" spans="1:26" ht="24.75" customHeight="1">
      <c r="A997" s="268"/>
      <c r="B997" s="268"/>
      <c r="C997" s="268"/>
      <c r="D997" s="268"/>
      <c r="E997" s="268"/>
      <c r="F997" s="268"/>
      <c r="G997" s="268"/>
      <c r="H997" s="268"/>
      <c r="I997" s="268"/>
      <c r="J997" s="268"/>
      <c r="K997" s="268"/>
      <c r="L997" s="334"/>
      <c r="M997" s="268"/>
      <c r="N997" s="268"/>
      <c r="O997" s="310"/>
      <c r="P997" s="268"/>
      <c r="Q997" s="334"/>
      <c r="R997" s="268"/>
      <c r="S997" s="313"/>
      <c r="T997" s="313"/>
      <c r="U997" s="268"/>
      <c r="V997" s="309"/>
      <c r="W997" s="310"/>
      <c r="X997" s="268"/>
      <c r="Y997" s="268"/>
      <c r="Z997" s="268"/>
    </row>
    <row r="998" spans="1:26" ht="24.75" customHeight="1">
      <c r="A998" s="268"/>
      <c r="B998" s="268"/>
      <c r="C998" s="268"/>
      <c r="D998" s="268"/>
      <c r="E998" s="268"/>
      <c r="F998" s="268"/>
      <c r="G998" s="268"/>
      <c r="H998" s="268"/>
      <c r="I998" s="268"/>
      <c r="J998" s="268"/>
      <c r="K998" s="268"/>
      <c r="L998" s="334"/>
      <c r="M998" s="268"/>
      <c r="N998" s="268"/>
      <c r="O998" s="310"/>
      <c r="P998" s="268"/>
      <c r="Q998" s="334"/>
      <c r="R998" s="268"/>
      <c r="S998" s="313"/>
      <c r="T998" s="313"/>
      <c r="U998" s="268"/>
      <c r="V998" s="309"/>
      <c r="W998" s="310"/>
      <c r="X998" s="268"/>
      <c r="Y998" s="268"/>
      <c r="Z998" s="268"/>
    </row>
    <row r="999" spans="1:26" ht="24.75" customHeight="1">
      <c r="A999" s="268"/>
      <c r="B999" s="268"/>
      <c r="C999" s="268"/>
      <c r="D999" s="268"/>
      <c r="E999" s="268"/>
      <c r="F999" s="268"/>
      <c r="G999" s="268"/>
      <c r="H999" s="268"/>
      <c r="I999" s="268"/>
      <c r="J999" s="268"/>
      <c r="K999" s="268"/>
      <c r="L999" s="334"/>
      <c r="M999" s="268"/>
      <c r="N999" s="268"/>
      <c r="O999" s="310"/>
      <c r="P999" s="268"/>
      <c r="Q999" s="334"/>
      <c r="R999" s="268"/>
      <c r="S999" s="313"/>
      <c r="T999" s="313"/>
      <c r="U999" s="268"/>
      <c r="V999" s="309"/>
      <c r="W999" s="310"/>
      <c r="X999" s="268"/>
      <c r="Y999" s="268"/>
      <c r="Z999" s="268"/>
    </row>
    <row r="1000" spans="1:26" ht="24.75" customHeight="1">
      <c r="A1000" s="268"/>
      <c r="B1000" s="268"/>
      <c r="C1000" s="268"/>
      <c r="D1000" s="268"/>
      <c r="E1000" s="268"/>
      <c r="F1000" s="268"/>
      <c r="G1000" s="268"/>
      <c r="H1000" s="268"/>
      <c r="I1000" s="268"/>
      <c r="J1000" s="268"/>
      <c r="K1000" s="268"/>
      <c r="L1000" s="334"/>
      <c r="M1000" s="268"/>
      <c r="N1000" s="268"/>
      <c r="O1000" s="310"/>
      <c r="P1000" s="268"/>
      <c r="Q1000" s="334"/>
      <c r="R1000" s="268"/>
      <c r="S1000" s="313"/>
      <c r="T1000" s="313"/>
      <c r="U1000" s="268"/>
      <c r="V1000" s="309"/>
      <c r="W1000" s="310"/>
      <c r="X1000" s="268"/>
      <c r="Y1000" s="268"/>
      <c r="Z1000" s="268"/>
    </row>
  </sheetData>
  <mergeCells count="13">
    <mergeCell ref="P3:P5"/>
    <mergeCell ref="S1:T1"/>
    <mergeCell ref="C1:P1"/>
    <mergeCell ref="A53:A73"/>
    <mergeCell ref="A3:A5"/>
    <mergeCell ref="A25:A28"/>
    <mergeCell ref="O3:O5"/>
    <mergeCell ref="A74:A78"/>
    <mergeCell ref="A88:A89"/>
    <mergeCell ref="A80:A82"/>
    <mergeCell ref="A84:A85"/>
    <mergeCell ref="A33:A39"/>
    <mergeCell ref="A40:A52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1.28515625" defaultRowHeight="15" customHeight="1" x14ac:dyDescent="0"/>
  <cols>
    <col min="1" max="1" width="7.28515625" customWidth="1"/>
    <col min="2" max="2" width="5.28515625" customWidth="1"/>
    <col min="3" max="3" width="8.140625" customWidth="1"/>
    <col min="4" max="4" width="8.85546875" customWidth="1"/>
    <col min="5" max="6" width="10.85546875" customWidth="1"/>
    <col min="7" max="7" width="17.85546875" customWidth="1"/>
    <col min="8" max="8" width="12.7109375" customWidth="1"/>
    <col min="9" max="9" width="14.7109375" customWidth="1"/>
    <col min="10" max="13" width="17.85546875" customWidth="1"/>
    <col min="14" max="14" width="14.28515625" customWidth="1"/>
    <col min="15" max="15" width="13.7109375" customWidth="1"/>
    <col min="16" max="16" width="19.5703125" customWidth="1"/>
    <col min="17" max="17" width="14.85546875" customWidth="1"/>
    <col min="18" max="18" width="25.42578125" customWidth="1"/>
    <col min="19" max="19" width="5" customWidth="1"/>
    <col min="20" max="20" width="18.85546875" customWidth="1"/>
    <col min="21" max="21" width="4.7109375" customWidth="1"/>
    <col min="22" max="22" width="5" customWidth="1"/>
    <col min="23" max="23" width="8.42578125" customWidth="1"/>
    <col min="24" max="26" width="7" customWidth="1"/>
  </cols>
  <sheetData>
    <row r="1" spans="1:26" ht="24.75" customHeight="1">
      <c r="A1" s="268"/>
      <c r="B1" s="268"/>
      <c r="C1" s="268"/>
      <c r="D1" s="446" t="s">
        <v>5291</v>
      </c>
      <c r="E1" s="437"/>
      <c r="F1" s="437"/>
      <c r="G1" s="437"/>
      <c r="H1" s="437"/>
      <c r="I1" s="437"/>
      <c r="J1" s="437"/>
      <c r="K1" s="437"/>
      <c r="L1" s="437"/>
      <c r="M1" s="437"/>
      <c r="N1" s="437"/>
      <c r="O1" s="437"/>
      <c r="P1" s="437"/>
      <c r="Q1" s="437"/>
      <c r="R1" s="437"/>
      <c r="S1" s="268"/>
      <c r="T1" s="295" t="s">
        <v>4780</v>
      </c>
      <c r="U1" s="348"/>
      <c r="V1" s="268"/>
      <c r="W1" s="268"/>
      <c r="X1" s="268"/>
      <c r="Y1" s="268"/>
      <c r="Z1" s="268"/>
    </row>
    <row r="2" spans="1:26" ht="45.75" customHeight="1">
      <c r="A2" s="297" t="s">
        <v>5297</v>
      </c>
      <c r="B2" s="297" t="s">
        <v>4572</v>
      </c>
      <c r="C2" s="349" t="s">
        <v>9</v>
      </c>
      <c r="D2" s="302" t="s">
        <v>11</v>
      </c>
      <c r="E2" s="299" t="s">
        <v>13</v>
      </c>
      <c r="F2" s="299" t="s">
        <v>4573</v>
      </c>
      <c r="G2" s="300" t="s">
        <v>4574</v>
      </c>
      <c r="H2" s="301" t="s">
        <v>19</v>
      </c>
      <c r="I2" s="301" t="s">
        <v>4782</v>
      </c>
      <c r="J2" s="301" t="s">
        <v>4576</v>
      </c>
      <c r="K2" s="302" t="s">
        <v>1</v>
      </c>
      <c r="L2" s="299" t="s">
        <v>24</v>
      </c>
      <c r="M2" s="302" t="s">
        <v>34</v>
      </c>
      <c r="N2" s="302" t="s">
        <v>4783</v>
      </c>
      <c r="O2" s="302" t="s">
        <v>4784</v>
      </c>
      <c r="P2" s="302" t="s">
        <v>4577</v>
      </c>
      <c r="Q2" s="302" t="s">
        <v>4578</v>
      </c>
      <c r="R2" s="302" t="s">
        <v>44</v>
      </c>
      <c r="S2" s="268"/>
      <c r="T2" s="266" t="s">
        <v>4579</v>
      </c>
      <c r="U2" s="266" t="s">
        <v>4580</v>
      </c>
      <c r="V2" s="268"/>
      <c r="W2" s="268"/>
      <c r="X2" s="268"/>
      <c r="Y2" s="268"/>
      <c r="Z2" s="268"/>
    </row>
    <row r="3" spans="1:26" ht="25.5" customHeight="1">
      <c r="A3" s="268"/>
      <c r="B3" s="268"/>
      <c r="C3" s="268"/>
      <c r="D3" s="230"/>
      <c r="E3" s="230"/>
      <c r="F3" s="230"/>
      <c r="G3" s="230"/>
      <c r="H3" s="230"/>
      <c r="I3" s="230"/>
      <c r="J3" s="230"/>
      <c r="K3" s="230"/>
      <c r="L3" s="230"/>
      <c r="M3" s="230"/>
      <c r="N3" s="350" t="s">
        <v>4795</v>
      </c>
      <c r="O3" s="350" t="s">
        <v>4795</v>
      </c>
      <c r="P3" s="257"/>
      <c r="Q3" s="230"/>
      <c r="R3" s="256"/>
      <c r="S3" s="268"/>
      <c r="T3" s="351" t="s">
        <v>4585</v>
      </c>
      <c r="U3" s="266">
        <v>0</v>
      </c>
      <c r="V3" s="268"/>
      <c r="W3" s="268" t="s">
        <v>5298</v>
      </c>
      <c r="X3" s="268" t="s">
        <v>5299</v>
      </c>
      <c r="Y3" s="268"/>
      <c r="Z3" s="268"/>
    </row>
    <row r="4" spans="1:26" ht="24.75" customHeight="1">
      <c r="A4" s="268"/>
      <c r="B4" s="268"/>
      <c r="C4" s="268"/>
      <c r="D4" s="230"/>
      <c r="E4" s="230"/>
      <c r="F4" s="230"/>
      <c r="G4" s="230"/>
      <c r="H4" s="230"/>
      <c r="I4" s="230"/>
      <c r="J4" s="230"/>
      <c r="K4" s="230"/>
      <c r="L4" s="230"/>
      <c r="M4" s="230"/>
      <c r="N4" s="350" t="s">
        <v>4795</v>
      </c>
      <c r="O4" s="350" t="s">
        <v>4795</v>
      </c>
      <c r="P4" s="257"/>
      <c r="Q4" s="230"/>
      <c r="R4" s="256"/>
      <c r="S4" s="268"/>
      <c r="T4" s="331" t="s">
        <v>2863</v>
      </c>
      <c r="U4" s="266">
        <v>0</v>
      </c>
      <c r="V4" s="268"/>
      <c r="W4" s="268"/>
      <c r="X4" s="268"/>
      <c r="Y4" s="268"/>
      <c r="Z4" s="268"/>
    </row>
    <row r="5" spans="1:26" ht="24.75" customHeight="1">
      <c r="A5" s="268"/>
      <c r="B5" s="268"/>
      <c r="C5" s="268"/>
      <c r="D5" s="230"/>
      <c r="E5" s="230"/>
      <c r="F5" s="230"/>
      <c r="G5" s="230"/>
      <c r="H5" s="230"/>
      <c r="I5" s="230"/>
      <c r="J5" s="230"/>
      <c r="K5" s="230"/>
      <c r="L5" s="230"/>
      <c r="M5" s="230"/>
      <c r="N5" s="230"/>
      <c r="O5" s="230"/>
      <c r="P5" s="257"/>
      <c r="Q5" s="230"/>
      <c r="R5" s="256"/>
      <c r="S5" s="268"/>
      <c r="T5" s="352" t="s">
        <v>5300</v>
      </c>
      <c r="U5" s="266">
        <v>0</v>
      </c>
      <c r="V5" s="268"/>
      <c r="W5" s="268"/>
      <c r="X5" s="268"/>
      <c r="Y5" s="268"/>
      <c r="Z5" s="268"/>
    </row>
    <row r="6" spans="1:26" ht="24.75" customHeight="1">
      <c r="A6" s="268"/>
      <c r="B6" s="268"/>
      <c r="C6" s="268"/>
      <c r="D6" s="230"/>
      <c r="E6" s="230"/>
      <c r="F6" s="230"/>
      <c r="G6" s="230"/>
      <c r="H6" s="230"/>
      <c r="I6" s="230"/>
      <c r="J6" s="230"/>
      <c r="K6" s="230"/>
      <c r="L6" s="230"/>
      <c r="M6" s="230"/>
      <c r="N6" s="230"/>
      <c r="O6" s="230"/>
      <c r="P6" s="257"/>
      <c r="Q6" s="230"/>
      <c r="R6" s="256"/>
      <c r="S6" s="268"/>
      <c r="T6" s="353" t="s">
        <v>5301</v>
      </c>
      <c r="U6" s="266">
        <v>0</v>
      </c>
      <c r="V6" s="268"/>
      <c r="W6" s="268"/>
      <c r="X6" s="268"/>
      <c r="Y6" s="268"/>
      <c r="Z6" s="268"/>
    </row>
    <row r="7" spans="1:26" ht="24.75" customHeight="1">
      <c r="A7" s="268"/>
      <c r="B7" s="268"/>
      <c r="C7" s="268"/>
      <c r="D7" s="230"/>
      <c r="E7" s="230"/>
      <c r="F7" s="230"/>
      <c r="G7" s="230"/>
      <c r="H7" s="230"/>
      <c r="I7" s="230"/>
      <c r="J7" s="230"/>
      <c r="K7" s="230"/>
      <c r="L7" s="230"/>
      <c r="M7" s="230"/>
      <c r="N7" s="230"/>
      <c r="O7" s="230"/>
      <c r="P7" s="257"/>
      <c r="Q7" s="230"/>
      <c r="R7" s="256"/>
      <c r="S7" s="268"/>
      <c r="T7" s="354" t="s">
        <v>5302</v>
      </c>
      <c r="U7" s="266">
        <v>0</v>
      </c>
      <c r="V7" s="268"/>
      <c r="W7" s="268"/>
      <c r="X7" s="268"/>
      <c r="Y7" s="268"/>
      <c r="Z7" s="268"/>
    </row>
    <row r="8" spans="1:26" ht="24.75" customHeight="1">
      <c r="A8" s="268"/>
      <c r="B8" s="268"/>
      <c r="C8" s="268"/>
      <c r="D8" s="230"/>
      <c r="E8" s="230"/>
      <c r="F8" s="230"/>
      <c r="G8" s="230"/>
      <c r="H8" s="230"/>
      <c r="I8" s="230"/>
      <c r="J8" s="230"/>
      <c r="K8" s="230"/>
      <c r="L8" s="230"/>
      <c r="M8" s="230"/>
      <c r="N8" s="230"/>
      <c r="O8" s="230"/>
      <c r="P8" s="257"/>
      <c r="Q8" s="230"/>
      <c r="R8" s="256"/>
      <c r="S8" s="268"/>
      <c r="T8" s="355" t="s">
        <v>5303</v>
      </c>
      <c r="U8" s="266">
        <v>0</v>
      </c>
      <c r="V8" s="268"/>
      <c r="W8" s="268"/>
      <c r="X8" s="268"/>
      <c r="Y8" s="268"/>
      <c r="Z8" s="268"/>
    </row>
    <row r="9" spans="1:26" ht="24.75" customHeight="1">
      <c r="A9" s="268"/>
      <c r="B9" s="268"/>
      <c r="C9" s="268"/>
      <c r="D9" s="268"/>
      <c r="E9" s="268"/>
      <c r="F9" s="268"/>
      <c r="G9" s="268"/>
      <c r="H9" s="268"/>
      <c r="I9" s="268"/>
      <c r="J9" s="268"/>
      <c r="K9" s="268"/>
      <c r="L9" s="268"/>
      <c r="M9" s="268"/>
      <c r="N9" s="268"/>
      <c r="O9" s="268"/>
      <c r="P9" s="310"/>
      <c r="Q9" s="268"/>
      <c r="R9" s="309"/>
      <c r="S9" s="268"/>
      <c r="T9" s="356" t="s">
        <v>5304</v>
      </c>
      <c r="U9" s="266">
        <v>0</v>
      </c>
      <c r="V9" s="268"/>
      <c r="W9" s="268"/>
      <c r="X9" s="268"/>
      <c r="Y9" s="268"/>
      <c r="Z9" s="268"/>
    </row>
    <row r="10" spans="1:26" ht="24.75" customHeight="1">
      <c r="A10" s="268"/>
      <c r="B10" s="268"/>
      <c r="C10" s="268"/>
      <c r="D10" s="268"/>
      <c r="E10" s="268"/>
      <c r="F10" s="268"/>
      <c r="G10" s="268"/>
      <c r="H10" s="268"/>
      <c r="I10" s="268"/>
      <c r="J10" s="268"/>
      <c r="K10" s="268"/>
      <c r="L10" s="268"/>
      <c r="M10" s="268"/>
      <c r="N10" s="268"/>
      <c r="O10" s="268"/>
      <c r="P10" s="310"/>
      <c r="Q10" s="268"/>
      <c r="R10" s="309"/>
      <c r="S10" s="268"/>
      <c r="T10" s="358" t="s">
        <v>5305</v>
      </c>
      <c r="U10" s="266">
        <v>0</v>
      </c>
      <c r="V10" s="268"/>
      <c r="W10" s="268"/>
      <c r="X10" s="268"/>
      <c r="Y10" s="268"/>
      <c r="Z10" s="268"/>
    </row>
    <row r="11" spans="1:26" ht="24.75" customHeight="1">
      <c r="A11" s="268"/>
      <c r="B11" s="268"/>
      <c r="C11" s="268"/>
      <c r="D11" s="268"/>
      <c r="E11" s="268"/>
      <c r="F11" s="268"/>
      <c r="G11" s="268"/>
      <c r="H11" s="268"/>
      <c r="I11" s="268"/>
      <c r="J11" s="268"/>
      <c r="K11" s="268"/>
      <c r="L11" s="268"/>
      <c r="M11" s="268"/>
      <c r="N11" s="268"/>
      <c r="O11" s="268"/>
      <c r="P11" s="310"/>
      <c r="Q11" s="268"/>
      <c r="R11" s="309"/>
      <c r="S11" s="268"/>
      <c r="T11" s="360" t="s">
        <v>5306</v>
      </c>
      <c r="U11" s="266">
        <v>0</v>
      </c>
      <c r="V11" s="268"/>
      <c r="W11" s="268"/>
      <c r="X11" s="268"/>
      <c r="Y11" s="268"/>
      <c r="Z11" s="268"/>
    </row>
    <row r="12" spans="1:26" ht="24.75" customHeight="1">
      <c r="A12" s="268"/>
      <c r="B12" s="268"/>
      <c r="C12" s="268"/>
      <c r="D12" s="268"/>
      <c r="E12" s="268"/>
      <c r="F12" s="268"/>
      <c r="G12" s="268"/>
      <c r="H12" s="268"/>
      <c r="I12" s="268"/>
      <c r="J12" s="268"/>
      <c r="K12" s="268"/>
      <c r="L12" s="268"/>
      <c r="M12" s="268"/>
      <c r="N12" s="268"/>
      <c r="O12" s="268"/>
      <c r="P12" s="310"/>
      <c r="Q12" s="268"/>
      <c r="R12" s="309"/>
      <c r="S12" s="268"/>
      <c r="T12" s="362" t="s">
        <v>5307</v>
      </c>
      <c r="U12" s="266">
        <v>0</v>
      </c>
      <c r="V12" s="268"/>
      <c r="W12" s="268"/>
      <c r="X12" s="268"/>
      <c r="Y12" s="268"/>
      <c r="Z12" s="268"/>
    </row>
    <row r="13" spans="1:26" ht="24.75" customHeight="1">
      <c r="A13" s="268"/>
      <c r="B13" s="268"/>
      <c r="C13" s="268"/>
      <c r="D13" s="268"/>
      <c r="E13" s="268"/>
      <c r="F13" s="268"/>
      <c r="G13" s="268"/>
      <c r="H13" s="268"/>
      <c r="I13" s="268"/>
      <c r="J13" s="268"/>
      <c r="K13" s="268"/>
      <c r="L13" s="268"/>
      <c r="M13" s="268"/>
      <c r="N13" s="268"/>
      <c r="O13" s="268"/>
      <c r="P13" s="310"/>
      <c r="Q13" s="268"/>
      <c r="R13" s="309"/>
      <c r="S13" s="268"/>
      <c r="T13" s="363" t="s">
        <v>5308</v>
      </c>
      <c r="U13" s="266">
        <v>0</v>
      </c>
      <c r="V13" s="268"/>
      <c r="W13" s="268"/>
      <c r="X13" s="268"/>
      <c r="Y13" s="268"/>
      <c r="Z13" s="268"/>
    </row>
    <row r="14" spans="1:26" ht="24.75" customHeight="1">
      <c r="A14" s="268"/>
      <c r="B14" s="268"/>
      <c r="C14" s="268"/>
      <c r="D14" s="268"/>
      <c r="E14" s="268"/>
      <c r="F14" s="268"/>
      <c r="G14" s="268"/>
      <c r="H14" s="268"/>
      <c r="I14" s="268"/>
      <c r="J14" s="268"/>
      <c r="K14" s="268"/>
      <c r="L14" s="268"/>
      <c r="M14" s="268"/>
      <c r="N14" s="268"/>
      <c r="O14" s="268"/>
      <c r="P14" s="310"/>
      <c r="Q14" s="268"/>
      <c r="R14" s="309"/>
      <c r="S14" s="268"/>
      <c r="T14" s="364" t="s">
        <v>4811</v>
      </c>
      <c r="U14" s="266">
        <v>0</v>
      </c>
      <c r="V14" s="268"/>
      <c r="W14" s="268"/>
      <c r="X14" s="268"/>
      <c r="Y14" s="268"/>
      <c r="Z14" s="268"/>
    </row>
    <row r="15" spans="1:26" ht="24.75" customHeight="1">
      <c r="A15" s="268"/>
      <c r="B15" s="268"/>
      <c r="C15" s="268"/>
      <c r="D15" s="268"/>
      <c r="E15" s="268"/>
      <c r="F15" s="268"/>
      <c r="G15" s="268"/>
      <c r="H15" s="268"/>
      <c r="I15" s="268"/>
      <c r="J15" s="268"/>
      <c r="K15" s="268"/>
      <c r="L15" s="268"/>
      <c r="M15" s="268"/>
      <c r="N15" s="268"/>
      <c r="O15" s="268"/>
      <c r="P15" s="310"/>
      <c r="Q15" s="268"/>
      <c r="R15" s="309"/>
      <c r="S15" s="268"/>
      <c r="T15" s="365" t="s">
        <v>4815</v>
      </c>
      <c r="U15" s="266">
        <v>0</v>
      </c>
      <c r="V15" s="268"/>
      <c r="W15" s="268"/>
      <c r="X15" s="268"/>
      <c r="Y15" s="268"/>
      <c r="Z15" s="268"/>
    </row>
    <row r="16" spans="1:26" ht="24.75" customHeight="1">
      <c r="A16" s="268" t="s">
        <v>5309</v>
      </c>
      <c r="B16" s="268" t="s">
        <v>5310</v>
      </c>
      <c r="C16" s="268"/>
      <c r="D16" s="268"/>
      <c r="E16" s="268"/>
      <c r="F16" s="268"/>
      <c r="G16" s="268"/>
      <c r="H16" s="230" t="s">
        <v>5311</v>
      </c>
      <c r="I16" s="366" t="s">
        <v>4585</v>
      </c>
      <c r="J16" s="268"/>
      <c r="K16" s="238" t="s">
        <v>4795</v>
      </c>
      <c r="L16" s="268"/>
      <c r="M16" s="367" t="s">
        <v>4795</v>
      </c>
      <c r="N16" s="238" t="s">
        <v>4795</v>
      </c>
      <c r="O16" s="238" t="s">
        <v>4795</v>
      </c>
      <c r="P16" s="268"/>
      <c r="Q16" s="268"/>
      <c r="R16" s="268"/>
      <c r="S16" s="268"/>
      <c r="T16" s="368" t="s">
        <v>4821</v>
      </c>
      <c r="U16" s="266">
        <v>0</v>
      </c>
      <c r="V16" s="268"/>
      <c r="W16" s="268" t="s">
        <v>5298</v>
      </c>
      <c r="X16" s="268" t="s">
        <v>5299</v>
      </c>
      <c r="Y16" s="268"/>
      <c r="Z16" s="268"/>
    </row>
    <row r="17" spans="1:26" ht="24.75" customHeight="1">
      <c r="A17" s="268"/>
      <c r="B17" s="268"/>
      <c r="C17" s="268"/>
      <c r="D17" s="268"/>
      <c r="E17" s="268"/>
      <c r="F17" s="268"/>
      <c r="G17" s="268"/>
      <c r="H17" s="268"/>
      <c r="I17" s="268"/>
      <c r="J17" s="268"/>
      <c r="K17" s="268"/>
      <c r="L17" s="268"/>
      <c r="M17" s="268"/>
      <c r="N17" s="268"/>
      <c r="O17" s="268"/>
      <c r="P17" s="310"/>
      <c r="Q17" s="268"/>
      <c r="R17" s="309"/>
      <c r="S17" s="268"/>
      <c r="T17" s="315" t="s">
        <v>4826</v>
      </c>
      <c r="U17" s="319" t="s">
        <v>4795</v>
      </c>
      <c r="V17" s="268"/>
      <c r="W17" s="268"/>
      <c r="X17" s="268"/>
      <c r="Y17" s="268"/>
      <c r="Z17" s="268"/>
    </row>
    <row r="18" spans="1:26" ht="24.75" customHeight="1">
      <c r="A18" s="268"/>
      <c r="B18" s="268"/>
      <c r="C18" s="268"/>
      <c r="D18" s="268"/>
      <c r="E18" s="268"/>
      <c r="F18" s="268"/>
      <c r="G18" s="268"/>
      <c r="H18" s="268"/>
      <c r="I18" s="268"/>
      <c r="J18" s="268"/>
      <c r="K18" s="268"/>
      <c r="L18" s="268"/>
      <c r="M18" s="268"/>
      <c r="N18" s="268"/>
      <c r="O18" s="268"/>
      <c r="P18" s="310"/>
      <c r="Q18" s="268"/>
      <c r="R18" s="309"/>
      <c r="S18" s="268"/>
      <c r="T18" s="317" t="s">
        <v>4833</v>
      </c>
      <c r="U18" s="266">
        <v>0</v>
      </c>
      <c r="V18" s="268"/>
      <c r="W18" s="268"/>
      <c r="X18" s="268"/>
      <c r="Y18" s="268"/>
      <c r="Z18" s="268"/>
    </row>
    <row r="19" spans="1:26" ht="24.75" customHeight="1">
      <c r="A19" s="268" t="s">
        <v>5312</v>
      </c>
      <c r="B19" s="268" t="s">
        <v>5313</v>
      </c>
      <c r="C19" s="268" t="s">
        <v>5314</v>
      </c>
      <c r="D19" s="268"/>
      <c r="E19" s="268"/>
      <c r="F19" s="268"/>
      <c r="G19" s="268"/>
      <c r="H19" s="230" t="s">
        <v>5315</v>
      </c>
      <c r="I19" s="270" t="s">
        <v>4585</v>
      </c>
      <c r="J19" s="268"/>
      <c r="K19" s="268"/>
      <c r="L19" s="268"/>
      <c r="M19" s="367" t="s">
        <v>4795</v>
      </c>
      <c r="N19" s="238" t="s">
        <v>4795</v>
      </c>
      <c r="O19" s="238" t="s">
        <v>4795</v>
      </c>
      <c r="P19" s="310"/>
      <c r="Q19" s="268"/>
      <c r="R19" s="309"/>
      <c r="S19" s="268"/>
      <c r="T19" s="318" t="s">
        <v>4840</v>
      </c>
      <c r="U19" s="319" t="s">
        <v>4795</v>
      </c>
      <c r="V19" s="268"/>
      <c r="W19" s="268"/>
      <c r="X19" s="268"/>
      <c r="Y19" s="268"/>
      <c r="Z19" s="268"/>
    </row>
    <row r="20" spans="1:26" ht="24.75" customHeight="1">
      <c r="A20" s="268" t="s">
        <v>5312</v>
      </c>
      <c r="B20" s="268" t="s">
        <v>5313</v>
      </c>
      <c r="C20" s="268" t="s">
        <v>5314</v>
      </c>
      <c r="D20" s="268"/>
      <c r="E20" s="268"/>
      <c r="F20" s="268"/>
      <c r="G20" s="268"/>
      <c r="H20" s="230" t="s">
        <v>5316</v>
      </c>
      <c r="I20" s="270" t="s">
        <v>4585</v>
      </c>
      <c r="J20" s="268"/>
      <c r="K20" s="268"/>
      <c r="L20" s="268"/>
      <c r="M20" s="367" t="s">
        <v>4795</v>
      </c>
      <c r="N20" s="238" t="s">
        <v>4795</v>
      </c>
      <c r="O20" s="238" t="s">
        <v>4795</v>
      </c>
      <c r="P20" s="310"/>
      <c r="Q20" s="268"/>
      <c r="R20" s="309"/>
      <c r="S20" s="268"/>
      <c r="T20" s="369" t="s">
        <v>5196</v>
      </c>
      <c r="U20" s="319" t="s">
        <v>4795</v>
      </c>
      <c r="V20" s="268"/>
      <c r="W20" s="268"/>
      <c r="X20" s="268"/>
      <c r="Y20" s="268"/>
      <c r="Z20" s="268"/>
    </row>
    <row r="21" spans="1:26" ht="24.75" customHeight="1">
      <c r="A21" s="268"/>
      <c r="B21" s="268"/>
      <c r="C21" s="268"/>
      <c r="D21" s="268"/>
      <c r="E21" s="268"/>
      <c r="F21" s="268"/>
      <c r="G21" s="268"/>
      <c r="H21" s="268"/>
      <c r="I21" s="268"/>
      <c r="J21" s="268"/>
      <c r="K21" s="268"/>
      <c r="L21" s="268"/>
      <c r="M21" s="268"/>
      <c r="N21" s="268"/>
      <c r="O21" s="268"/>
      <c r="P21" s="310"/>
      <c r="Q21" s="268"/>
      <c r="R21" s="309"/>
      <c r="S21" s="268"/>
      <c r="T21" s="268"/>
      <c r="U21" s="268"/>
      <c r="V21" s="268"/>
      <c r="W21" s="268"/>
      <c r="X21" s="268"/>
      <c r="Y21" s="268"/>
      <c r="Z21" s="268"/>
    </row>
    <row r="22" spans="1:26" ht="24.75" customHeight="1">
      <c r="A22" s="268"/>
      <c r="B22" s="268"/>
      <c r="C22" s="268"/>
      <c r="D22" s="268"/>
      <c r="E22" s="268"/>
      <c r="F22" s="268"/>
      <c r="G22" s="268"/>
      <c r="H22" s="268"/>
      <c r="I22" s="268"/>
      <c r="J22" s="268"/>
      <c r="K22" s="268"/>
      <c r="L22" s="268"/>
      <c r="M22" s="268"/>
      <c r="N22" s="268"/>
      <c r="O22" s="268"/>
      <c r="P22" s="310"/>
      <c r="Q22" s="268"/>
      <c r="R22" s="309"/>
      <c r="S22" s="268"/>
      <c r="T22" s="268"/>
      <c r="U22" s="268"/>
      <c r="V22" s="268"/>
      <c r="W22" s="268"/>
      <c r="X22" s="268"/>
      <c r="Y22" s="268"/>
      <c r="Z22" s="268"/>
    </row>
    <row r="23" spans="1:26" ht="24.75" customHeight="1">
      <c r="A23" s="268" t="s">
        <v>5317</v>
      </c>
      <c r="B23" s="268" t="s">
        <v>5318</v>
      </c>
      <c r="C23" s="268"/>
      <c r="D23" s="268"/>
      <c r="E23" s="268"/>
      <c r="F23" s="268"/>
      <c r="G23" s="268"/>
      <c r="H23" s="230" t="s">
        <v>5319</v>
      </c>
      <c r="I23" s="270" t="s">
        <v>4585</v>
      </c>
      <c r="J23" s="268"/>
      <c r="K23" s="268"/>
      <c r="L23" s="268"/>
      <c r="M23" s="367" t="s">
        <v>4795</v>
      </c>
      <c r="N23" s="238" t="s">
        <v>4795</v>
      </c>
      <c r="O23" s="238" t="s">
        <v>4795</v>
      </c>
      <c r="P23" s="310"/>
      <c r="Q23" s="268"/>
      <c r="R23" s="309"/>
      <c r="S23" s="268"/>
      <c r="T23" s="313"/>
      <c r="U23" s="313"/>
      <c r="V23" s="268"/>
      <c r="W23" s="268"/>
      <c r="X23" s="268"/>
      <c r="Y23" s="268"/>
      <c r="Z23" s="268"/>
    </row>
    <row r="24" spans="1:26" ht="24.75" customHeight="1">
      <c r="A24" s="268"/>
      <c r="B24" s="268"/>
      <c r="C24" s="268"/>
      <c r="D24" s="268"/>
      <c r="E24" s="268"/>
      <c r="F24" s="268"/>
      <c r="G24" s="268"/>
      <c r="H24" s="268"/>
      <c r="I24" s="268"/>
      <c r="J24" s="268"/>
      <c r="K24" s="268"/>
      <c r="L24" s="268"/>
      <c r="M24" s="268"/>
      <c r="N24" s="268"/>
      <c r="O24" s="268"/>
      <c r="P24" s="310"/>
      <c r="Q24" s="268"/>
      <c r="R24" s="309"/>
      <c r="S24" s="268"/>
      <c r="T24" s="313"/>
      <c r="U24" s="313"/>
      <c r="V24" s="268"/>
      <c r="W24" s="268"/>
      <c r="X24" s="268"/>
      <c r="Y24" s="268"/>
      <c r="Z24" s="268"/>
    </row>
    <row r="25" spans="1:26" ht="24.75" customHeight="1">
      <c r="A25" s="268"/>
      <c r="B25" s="268"/>
      <c r="C25" s="268"/>
      <c r="D25" s="268"/>
      <c r="E25" s="268"/>
      <c r="F25" s="268"/>
      <c r="G25" s="268"/>
      <c r="H25" s="268"/>
      <c r="I25" s="268"/>
      <c r="J25" s="268"/>
      <c r="K25" s="268"/>
      <c r="L25" s="268"/>
      <c r="M25" s="268"/>
      <c r="N25" s="268"/>
      <c r="O25" s="268"/>
      <c r="P25" s="310"/>
      <c r="Q25" s="268"/>
      <c r="R25" s="309"/>
      <c r="S25" s="268"/>
      <c r="T25" s="313"/>
      <c r="U25" s="313"/>
      <c r="V25" s="268"/>
      <c r="W25" s="268"/>
      <c r="X25" s="268"/>
      <c r="Y25" s="268"/>
      <c r="Z25" s="268"/>
    </row>
    <row r="26" spans="1:26" ht="24.75" customHeight="1">
      <c r="A26" s="309" t="s">
        <v>5320</v>
      </c>
      <c r="B26" s="309" t="s">
        <v>5321</v>
      </c>
      <c r="C26" s="309" t="s">
        <v>5197</v>
      </c>
      <c r="D26" s="268"/>
      <c r="E26" s="268"/>
      <c r="F26" s="268"/>
      <c r="G26" s="268"/>
      <c r="H26" s="230" t="s">
        <v>5322</v>
      </c>
      <c r="I26" s="270" t="s">
        <v>5323</v>
      </c>
      <c r="J26" s="268"/>
      <c r="K26" s="268"/>
      <c r="L26" s="268"/>
      <c r="M26" s="367" t="s">
        <v>4795</v>
      </c>
      <c r="N26" s="238" t="s">
        <v>4795</v>
      </c>
      <c r="O26" s="238" t="s">
        <v>4795</v>
      </c>
      <c r="P26" s="310"/>
      <c r="Q26" s="268"/>
      <c r="R26" s="370" t="s">
        <v>5324</v>
      </c>
      <c r="S26" s="268"/>
      <c r="T26" s="313"/>
      <c r="U26" s="313"/>
      <c r="V26" s="268"/>
      <c r="W26" s="268"/>
      <c r="X26" s="268"/>
      <c r="Y26" s="268"/>
      <c r="Z26" s="268"/>
    </row>
    <row r="27" spans="1:26" ht="24.75" customHeight="1">
      <c r="A27" s="268"/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310"/>
      <c r="Q27" s="268"/>
      <c r="R27" s="309"/>
      <c r="S27" s="268"/>
      <c r="T27" s="313"/>
      <c r="U27" s="313"/>
      <c r="V27" s="268"/>
      <c r="W27" s="268"/>
      <c r="X27" s="268"/>
      <c r="Y27" s="268"/>
      <c r="Z27" s="268"/>
    </row>
    <row r="28" spans="1:26" ht="24.75" customHeight="1">
      <c r="A28" s="268"/>
      <c r="B28" s="268"/>
      <c r="C28" s="268"/>
      <c r="D28" s="268"/>
      <c r="E28" s="268"/>
      <c r="F28" s="268"/>
      <c r="G28" s="268"/>
      <c r="H28" s="268"/>
      <c r="I28" s="268"/>
      <c r="J28" s="268"/>
      <c r="K28" s="268"/>
      <c r="L28" s="268"/>
      <c r="M28" s="268"/>
      <c r="N28" s="268"/>
      <c r="O28" s="268"/>
      <c r="P28" s="310"/>
      <c r="Q28" s="268"/>
      <c r="R28" s="309"/>
      <c r="S28" s="268"/>
      <c r="T28" s="313"/>
      <c r="U28" s="313"/>
      <c r="V28" s="268"/>
      <c r="W28" s="268"/>
      <c r="X28" s="268"/>
      <c r="Y28" s="268"/>
      <c r="Z28" s="268"/>
    </row>
    <row r="29" spans="1:26" ht="24.75" customHeight="1">
      <c r="A29" s="268"/>
      <c r="B29" s="268"/>
      <c r="C29" s="268"/>
      <c r="D29" s="268"/>
      <c r="E29" s="268"/>
      <c r="F29" s="268"/>
      <c r="G29" s="268"/>
      <c r="H29" s="268"/>
      <c r="I29" s="268"/>
      <c r="J29" s="268"/>
      <c r="K29" s="268"/>
      <c r="L29" s="268"/>
      <c r="M29" s="268"/>
      <c r="N29" s="268"/>
      <c r="O29" s="268"/>
      <c r="P29" s="268"/>
      <c r="Q29" s="268"/>
      <c r="R29" s="268"/>
      <c r="S29" s="268"/>
      <c r="T29" s="313"/>
      <c r="U29" s="313"/>
      <c r="V29" s="268"/>
      <c r="W29" s="268"/>
      <c r="X29" s="268"/>
      <c r="Y29" s="268"/>
      <c r="Z29" s="268"/>
    </row>
    <row r="30" spans="1:26" ht="24.75" customHeight="1">
      <c r="A30" s="268"/>
      <c r="B30" s="268"/>
      <c r="C30" s="268"/>
      <c r="D30" s="268"/>
      <c r="E30" s="268"/>
      <c r="F30" s="268"/>
      <c r="G30" s="268"/>
      <c r="H30" s="268"/>
      <c r="I30" s="268"/>
      <c r="J30" s="268"/>
      <c r="K30" s="268"/>
      <c r="L30" s="268"/>
      <c r="M30" s="268"/>
      <c r="N30" s="268"/>
      <c r="O30" s="268"/>
      <c r="P30" s="310"/>
      <c r="Q30" s="268"/>
      <c r="R30" s="309"/>
      <c r="S30" s="268"/>
      <c r="T30" s="313"/>
      <c r="U30" s="313"/>
      <c r="V30" s="268"/>
      <c r="W30" s="268"/>
      <c r="X30" s="268"/>
      <c r="Y30" s="268"/>
      <c r="Z30" s="268"/>
    </row>
    <row r="31" spans="1:26" ht="24.75" customHeight="1">
      <c r="A31" s="268"/>
      <c r="B31" s="268"/>
      <c r="C31" s="268"/>
      <c r="D31" s="268"/>
      <c r="E31" s="268"/>
      <c r="F31" s="268"/>
      <c r="G31" s="268"/>
      <c r="H31" s="268"/>
      <c r="I31" s="268"/>
      <c r="J31" s="268"/>
      <c r="K31" s="268"/>
      <c r="L31" s="268"/>
      <c r="M31" s="268"/>
      <c r="N31" s="268"/>
      <c r="O31" s="268"/>
      <c r="P31" s="310"/>
      <c r="Q31" s="268"/>
      <c r="R31" s="309"/>
      <c r="S31" s="268"/>
      <c r="T31" s="313"/>
      <c r="U31" s="313"/>
      <c r="V31" s="268"/>
      <c r="W31" s="268"/>
      <c r="X31" s="268"/>
      <c r="Y31" s="268"/>
      <c r="Z31" s="268"/>
    </row>
    <row r="32" spans="1:26" ht="24.75" customHeight="1">
      <c r="A32" s="268"/>
      <c r="B32" s="268"/>
      <c r="C32" s="268"/>
      <c r="D32" s="268"/>
      <c r="E32" s="268"/>
      <c r="F32" s="268"/>
      <c r="G32" s="268"/>
      <c r="H32" s="268"/>
      <c r="I32" s="268"/>
      <c r="J32" s="268"/>
      <c r="K32" s="268"/>
      <c r="L32" s="268"/>
      <c r="M32" s="268"/>
      <c r="N32" s="268"/>
      <c r="O32" s="268"/>
      <c r="P32" s="310"/>
      <c r="Q32" s="268"/>
      <c r="R32" s="309"/>
      <c r="S32" s="268"/>
      <c r="T32" s="313"/>
      <c r="U32" s="313"/>
      <c r="V32" s="268"/>
      <c r="W32" s="268"/>
      <c r="X32" s="268"/>
      <c r="Y32" s="268"/>
      <c r="Z32" s="268"/>
    </row>
    <row r="33" spans="1:26" ht="24.75" customHeight="1">
      <c r="A33" s="268"/>
      <c r="B33" s="268"/>
      <c r="C33" s="268"/>
      <c r="D33" s="268"/>
      <c r="E33" s="268"/>
      <c r="F33" s="268"/>
      <c r="G33" s="268"/>
      <c r="H33" s="268"/>
      <c r="I33" s="268"/>
      <c r="J33" s="268"/>
      <c r="K33" s="268"/>
      <c r="L33" s="268"/>
      <c r="M33" s="268"/>
      <c r="N33" s="268"/>
      <c r="O33" s="268"/>
      <c r="P33" s="310"/>
      <c r="Q33" s="268"/>
      <c r="R33" s="309"/>
      <c r="S33" s="268"/>
      <c r="T33" s="313"/>
      <c r="U33" s="313"/>
      <c r="V33" s="268"/>
      <c r="W33" s="268"/>
      <c r="X33" s="268"/>
      <c r="Y33" s="268"/>
      <c r="Z33" s="268"/>
    </row>
    <row r="34" spans="1:26" ht="24.75" customHeight="1">
      <c r="A34" s="268"/>
      <c r="B34" s="268"/>
      <c r="C34" s="268"/>
      <c r="D34" s="268"/>
      <c r="E34" s="268"/>
      <c r="F34" s="268"/>
      <c r="G34" s="268"/>
      <c r="H34" s="268"/>
      <c r="I34" s="268"/>
      <c r="J34" s="268"/>
      <c r="K34" s="268"/>
      <c r="L34" s="268"/>
      <c r="M34" s="268"/>
      <c r="N34" s="268"/>
      <c r="O34" s="268"/>
      <c r="P34" s="310"/>
      <c r="Q34" s="268"/>
      <c r="R34" s="309"/>
      <c r="S34" s="268"/>
      <c r="T34" s="313"/>
      <c r="U34" s="313"/>
      <c r="V34" s="268"/>
      <c r="W34" s="268"/>
      <c r="X34" s="268"/>
      <c r="Y34" s="268"/>
      <c r="Z34" s="268"/>
    </row>
    <row r="35" spans="1:26" ht="24.75" customHeight="1">
      <c r="A35" s="268"/>
      <c r="B35" s="268"/>
      <c r="C35" s="268"/>
      <c r="D35" s="268"/>
      <c r="E35" s="268"/>
      <c r="F35" s="268"/>
      <c r="G35" s="268"/>
      <c r="H35" s="268"/>
      <c r="I35" s="268"/>
      <c r="J35" s="268"/>
      <c r="K35" s="268"/>
      <c r="L35" s="268"/>
      <c r="M35" s="268"/>
      <c r="N35" s="268"/>
      <c r="O35" s="268"/>
      <c r="P35" s="310"/>
      <c r="Q35" s="268"/>
      <c r="R35" s="309"/>
      <c r="S35" s="268"/>
      <c r="T35" s="313"/>
      <c r="U35" s="313"/>
      <c r="V35" s="268"/>
      <c r="W35" s="268"/>
      <c r="X35" s="268"/>
      <c r="Y35" s="268"/>
      <c r="Z35" s="268"/>
    </row>
    <row r="36" spans="1:26" ht="24.75" customHeight="1">
      <c r="A36" s="268"/>
      <c r="B36" s="268"/>
      <c r="C36" s="268"/>
      <c r="D36" s="268"/>
      <c r="E36" s="268"/>
      <c r="F36" s="268"/>
      <c r="G36" s="268"/>
      <c r="H36" s="268"/>
      <c r="I36" s="268"/>
      <c r="J36" s="268"/>
      <c r="K36" s="268"/>
      <c r="L36" s="268"/>
      <c r="M36" s="268"/>
      <c r="N36" s="268"/>
      <c r="O36" s="268"/>
      <c r="P36" s="310"/>
      <c r="Q36" s="268"/>
      <c r="R36" s="309"/>
      <c r="S36" s="268"/>
      <c r="T36" s="313"/>
      <c r="U36" s="313"/>
      <c r="V36" s="268"/>
      <c r="W36" s="268"/>
      <c r="X36" s="268"/>
      <c r="Y36" s="268"/>
      <c r="Z36" s="268"/>
    </row>
    <row r="37" spans="1:26" ht="24.75" customHeight="1">
      <c r="A37" s="268"/>
      <c r="B37" s="268"/>
      <c r="C37" s="268"/>
      <c r="D37" s="268"/>
      <c r="E37" s="268"/>
      <c r="F37" s="268"/>
      <c r="G37" s="268"/>
      <c r="H37" s="268"/>
      <c r="I37" s="268"/>
      <c r="J37" s="268"/>
      <c r="K37" s="268"/>
      <c r="L37" s="268"/>
      <c r="M37" s="268"/>
      <c r="N37" s="268"/>
      <c r="O37" s="268"/>
      <c r="P37" s="310"/>
      <c r="Q37" s="268"/>
      <c r="R37" s="309"/>
      <c r="S37" s="268"/>
      <c r="T37" s="313"/>
      <c r="U37" s="313"/>
      <c r="V37" s="268"/>
      <c r="W37" s="268"/>
      <c r="X37" s="268"/>
      <c r="Y37" s="268"/>
      <c r="Z37" s="268"/>
    </row>
    <row r="38" spans="1:26" ht="24.75" customHeight="1">
      <c r="A38" s="268"/>
      <c r="B38" s="268"/>
      <c r="C38" s="268"/>
      <c r="D38" s="268"/>
      <c r="E38" s="268"/>
      <c r="F38" s="268"/>
      <c r="G38" s="268"/>
      <c r="H38" s="268"/>
      <c r="I38" s="268"/>
      <c r="J38" s="268"/>
      <c r="K38" s="268"/>
      <c r="L38" s="268"/>
      <c r="M38" s="268"/>
      <c r="N38" s="268"/>
      <c r="O38" s="268"/>
      <c r="P38" s="310"/>
      <c r="Q38" s="268"/>
      <c r="R38" s="309"/>
      <c r="S38" s="268"/>
      <c r="T38" s="313"/>
      <c r="U38" s="313"/>
      <c r="V38" s="268"/>
      <c r="W38" s="268"/>
      <c r="X38" s="268"/>
      <c r="Y38" s="268"/>
      <c r="Z38" s="268"/>
    </row>
    <row r="39" spans="1:26" ht="24.75" customHeight="1">
      <c r="A39" s="268"/>
      <c r="B39" s="268"/>
      <c r="C39" s="268"/>
      <c r="D39" s="268"/>
      <c r="E39" s="268"/>
      <c r="F39" s="268"/>
      <c r="G39" s="268"/>
      <c r="H39" s="268"/>
      <c r="I39" s="268"/>
      <c r="J39" s="268"/>
      <c r="K39" s="268"/>
      <c r="L39" s="268"/>
      <c r="M39" s="268"/>
      <c r="N39" s="268"/>
      <c r="O39" s="268"/>
      <c r="P39" s="310"/>
      <c r="Q39" s="268"/>
      <c r="R39" s="309"/>
      <c r="S39" s="268"/>
      <c r="T39" s="313"/>
      <c r="U39" s="313"/>
      <c r="V39" s="268"/>
      <c r="W39" s="268"/>
      <c r="X39" s="268"/>
      <c r="Y39" s="268"/>
      <c r="Z39" s="268"/>
    </row>
    <row r="40" spans="1:26" ht="24.75" customHeight="1">
      <c r="A40" s="268"/>
      <c r="B40" s="268"/>
      <c r="C40" s="268"/>
      <c r="D40" s="268"/>
      <c r="E40" s="268"/>
      <c r="F40" s="268"/>
      <c r="G40" s="268"/>
      <c r="H40" s="268"/>
      <c r="I40" s="268"/>
      <c r="J40" s="268"/>
      <c r="K40" s="268"/>
      <c r="L40" s="268"/>
      <c r="M40" s="268"/>
      <c r="N40" s="268"/>
      <c r="O40" s="268"/>
      <c r="P40" s="310"/>
      <c r="Q40" s="268"/>
      <c r="R40" s="309"/>
      <c r="S40" s="268"/>
      <c r="T40" s="268"/>
      <c r="U40" s="268"/>
      <c r="V40" s="268"/>
      <c r="W40" s="268"/>
      <c r="X40" s="268"/>
      <c r="Y40" s="268"/>
      <c r="Z40" s="268"/>
    </row>
    <row r="41" spans="1:26" ht="24.75" customHeight="1">
      <c r="A41" s="268"/>
      <c r="B41" s="268"/>
      <c r="C41" s="268"/>
      <c r="D41" s="268"/>
      <c r="E41" s="268"/>
      <c r="F41" s="268"/>
      <c r="G41" s="268"/>
      <c r="H41" s="268"/>
      <c r="I41" s="268"/>
      <c r="J41" s="268"/>
      <c r="K41" s="268"/>
      <c r="L41" s="268"/>
      <c r="M41" s="268"/>
      <c r="N41" s="268"/>
      <c r="O41" s="268"/>
      <c r="P41" s="310"/>
      <c r="Q41" s="268"/>
      <c r="R41" s="309"/>
      <c r="S41" s="268"/>
      <c r="T41" s="313"/>
      <c r="U41" s="313"/>
      <c r="V41" s="268"/>
      <c r="W41" s="268"/>
      <c r="X41" s="268"/>
      <c r="Y41" s="268"/>
      <c r="Z41" s="268"/>
    </row>
    <row r="42" spans="1:26" ht="24.75" customHeight="1">
      <c r="A42" s="268"/>
      <c r="B42" s="268"/>
      <c r="C42" s="268"/>
      <c r="D42" s="268"/>
      <c r="E42" s="268"/>
      <c r="F42" s="268"/>
      <c r="G42" s="268"/>
      <c r="H42" s="268"/>
      <c r="I42" s="268"/>
      <c r="J42" s="268"/>
      <c r="K42" s="268"/>
      <c r="L42" s="268"/>
      <c r="M42" s="268"/>
      <c r="N42" s="268"/>
      <c r="O42" s="268"/>
      <c r="P42" s="310"/>
      <c r="Q42" s="268"/>
      <c r="R42" s="309"/>
      <c r="S42" s="268"/>
      <c r="T42" s="268"/>
      <c r="U42" s="268"/>
      <c r="V42" s="268"/>
      <c r="W42" s="268"/>
      <c r="X42" s="268"/>
      <c r="Y42" s="268"/>
      <c r="Z42" s="268"/>
    </row>
    <row r="43" spans="1:26" ht="24.75" customHeight="1">
      <c r="A43" s="268"/>
      <c r="B43" s="268"/>
      <c r="C43" s="268"/>
      <c r="D43" s="268"/>
      <c r="E43" s="268"/>
      <c r="F43" s="268"/>
      <c r="G43" s="268"/>
      <c r="H43" s="268"/>
      <c r="I43" s="268"/>
      <c r="J43" s="268"/>
      <c r="K43" s="268"/>
      <c r="L43" s="268"/>
      <c r="M43" s="268"/>
      <c r="N43" s="268"/>
      <c r="O43" s="268"/>
      <c r="P43" s="310"/>
      <c r="Q43" s="268"/>
      <c r="R43" s="309"/>
      <c r="S43" s="268"/>
      <c r="T43" s="313"/>
      <c r="U43" s="313"/>
      <c r="V43" s="268"/>
      <c r="W43" s="268"/>
      <c r="X43" s="268"/>
      <c r="Y43" s="268"/>
      <c r="Z43" s="268"/>
    </row>
    <row r="44" spans="1:26" ht="24.75" customHeight="1">
      <c r="A44" s="268"/>
      <c r="B44" s="268"/>
      <c r="C44" s="268"/>
      <c r="D44" s="268"/>
      <c r="E44" s="268"/>
      <c r="F44" s="268"/>
      <c r="G44" s="268"/>
      <c r="H44" s="268"/>
      <c r="I44" s="268"/>
      <c r="J44" s="268"/>
      <c r="K44" s="268"/>
      <c r="L44" s="268"/>
      <c r="M44" s="268"/>
      <c r="N44" s="268"/>
      <c r="O44" s="268"/>
      <c r="P44" s="310"/>
      <c r="Q44" s="268"/>
      <c r="R44" s="309"/>
      <c r="S44" s="268"/>
      <c r="T44" s="313"/>
      <c r="U44" s="313"/>
      <c r="V44" s="268"/>
      <c r="W44" s="268"/>
      <c r="X44" s="268"/>
      <c r="Y44" s="268"/>
      <c r="Z44" s="268"/>
    </row>
    <row r="45" spans="1:26" ht="24.75" customHeight="1">
      <c r="A45" s="268"/>
      <c r="B45" s="268"/>
      <c r="C45" s="268"/>
      <c r="D45" s="268"/>
      <c r="E45" s="268"/>
      <c r="F45" s="268"/>
      <c r="G45" s="268"/>
      <c r="H45" s="268"/>
      <c r="I45" s="268"/>
      <c r="J45" s="268"/>
      <c r="K45" s="268"/>
      <c r="L45" s="268"/>
      <c r="M45" s="268"/>
      <c r="N45" s="268"/>
      <c r="O45" s="268"/>
      <c r="P45" s="310"/>
      <c r="Q45" s="268"/>
      <c r="R45" s="309"/>
      <c r="S45" s="268"/>
      <c r="T45" s="268"/>
      <c r="U45" s="268"/>
      <c r="V45" s="268"/>
      <c r="W45" s="268"/>
      <c r="X45" s="268"/>
      <c r="Y45" s="268"/>
      <c r="Z45" s="268"/>
    </row>
    <row r="46" spans="1:26" ht="24.75" customHeight="1">
      <c r="A46" s="268"/>
      <c r="B46" s="268"/>
      <c r="C46" s="268"/>
      <c r="D46" s="268"/>
      <c r="E46" s="268"/>
      <c r="F46" s="268"/>
      <c r="G46" s="268"/>
      <c r="H46" s="268"/>
      <c r="I46" s="268"/>
      <c r="J46" s="268"/>
      <c r="K46" s="268"/>
      <c r="L46" s="268"/>
      <c r="M46" s="268"/>
      <c r="N46" s="268"/>
      <c r="O46" s="268"/>
      <c r="P46" s="310"/>
      <c r="Q46" s="268"/>
      <c r="R46" s="309"/>
      <c r="S46" s="268"/>
      <c r="T46" s="268"/>
      <c r="U46" s="268"/>
      <c r="V46" s="268"/>
      <c r="W46" s="268"/>
      <c r="X46" s="268"/>
      <c r="Y46" s="268"/>
      <c r="Z46" s="268"/>
    </row>
    <row r="47" spans="1:26" ht="24.75" customHeight="1">
      <c r="A47" s="268"/>
      <c r="B47" s="268"/>
      <c r="C47" s="268"/>
      <c r="D47" s="268"/>
      <c r="E47" s="268"/>
      <c r="F47" s="268"/>
      <c r="G47" s="268"/>
      <c r="H47" s="268"/>
      <c r="I47" s="268"/>
      <c r="J47" s="268"/>
      <c r="K47" s="268"/>
      <c r="L47" s="268"/>
      <c r="M47" s="268"/>
      <c r="N47" s="268"/>
      <c r="O47" s="268"/>
      <c r="P47" s="310"/>
      <c r="Q47" s="268"/>
      <c r="R47" s="309"/>
      <c r="S47" s="268"/>
      <c r="T47" s="268"/>
      <c r="U47" s="268"/>
      <c r="V47" s="268"/>
      <c r="W47" s="268"/>
      <c r="X47" s="268"/>
      <c r="Y47" s="268"/>
      <c r="Z47" s="268"/>
    </row>
    <row r="48" spans="1:26" ht="24.75" customHeight="1">
      <c r="A48" s="268"/>
      <c r="B48" s="268"/>
      <c r="C48" s="268"/>
      <c r="D48" s="268"/>
      <c r="E48" s="268"/>
      <c r="F48" s="268"/>
      <c r="G48" s="268"/>
      <c r="H48" s="268"/>
      <c r="I48" s="268"/>
      <c r="J48" s="268"/>
      <c r="K48" s="268"/>
      <c r="L48" s="268"/>
      <c r="M48" s="268"/>
      <c r="N48" s="268"/>
      <c r="O48" s="268"/>
      <c r="P48" s="310"/>
      <c r="Q48" s="268"/>
      <c r="R48" s="309"/>
      <c r="S48" s="268"/>
      <c r="T48" s="313"/>
      <c r="U48" s="313"/>
      <c r="V48" s="268"/>
      <c r="W48" s="268"/>
      <c r="X48" s="268"/>
      <c r="Y48" s="268"/>
      <c r="Z48" s="268"/>
    </row>
    <row r="49" spans="1:26" ht="24.75" customHeight="1">
      <c r="A49" s="268"/>
      <c r="B49" s="268"/>
      <c r="C49" s="268"/>
      <c r="D49" s="268"/>
      <c r="E49" s="268"/>
      <c r="F49" s="268"/>
      <c r="G49" s="268"/>
      <c r="H49" s="268"/>
      <c r="I49" s="268"/>
      <c r="J49" s="268"/>
      <c r="K49" s="268"/>
      <c r="L49" s="268"/>
      <c r="M49" s="268"/>
      <c r="N49" s="268"/>
      <c r="O49" s="268"/>
      <c r="P49" s="310"/>
      <c r="Q49" s="268"/>
      <c r="R49" s="309"/>
      <c r="S49" s="268"/>
      <c r="T49" s="313"/>
      <c r="U49" s="313"/>
      <c r="V49" s="268"/>
      <c r="W49" s="268"/>
      <c r="X49" s="268"/>
      <c r="Y49" s="268"/>
      <c r="Z49" s="268"/>
    </row>
    <row r="50" spans="1:26" ht="24.75" customHeight="1">
      <c r="A50" s="268"/>
      <c r="B50" s="268"/>
      <c r="C50" s="268"/>
      <c r="D50" s="268"/>
      <c r="E50" s="268"/>
      <c r="F50" s="268"/>
      <c r="G50" s="268"/>
      <c r="H50" s="268"/>
      <c r="I50" s="268"/>
      <c r="J50" s="268"/>
      <c r="K50" s="268"/>
      <c r="L50" s="268"/>
      <c r="M50" s="268"/>
      <c r="N50" s="268"/>
      <c r="O50" s="268"/>
      <c r="P50" s="310"/>
      <c r="Q50" s="268"/>
      <c r="R50" s="309"/>
      <c r="S50" s="268"/>
      <c r="T50" s="313"/>
      <c r="U50" s="313"/>
      <c r="V50" s="268"/>
      <c r="W50" s="268"/>
      <c r="X50" s="268"/>
      <c r="Y50" s="268"/>
      <c r="Z50" s="268"/>
    </row>
    <row r="51" spans="1:26" ht="24.75" customHeight="1">
      <c r="A51" s="268"/>
      <c r="B51" s="268"/>
      <c r="C51" s="268"/>
      <c r="D51" s="268"/>
      <c r="E51" s="268"/>
      <c r="F51" s="268"/>
      <c r="G51" s="268"/>
      <c r="H51" s="268"/>
      <c r="I51" s="268"/>
      <c r="J51" s="268"/>
      <c r="K51" s="268"/>
      <c r="L51" s="268"/>
      <c r="M51" s="268"/>
      <c r="N51" s="268"/>
      <c r="O51" s="268"/>
      <c r="P51" s="310"/>
      <c r="Q51" s="268"/>
      <c r="R51" s="309"/>
      <c r="S51" s="268"/>
      <c r="T51" s="313"/>
      <c r="U51" s="313"/>
      <c r="V51" s="268"/>
      <c r="W51" s="268"/>
      <c r="X51" s="268"/>
      <c r="Y51" s="268"/>
      <c r="Z51" s="268"/>
    </row>
    <row r="52" spans="1:26" ht="24.75" customHeight="1">
      <c r="A52" s="268"/>
      <c r="B52" s="268"/>
      <c r="C52" s="268"/>
      <c r="D52" s="268"/>
      <c r="E52" s="268"/>
      <c r="F52" s="268"/>
      <c r="G52" s="268"/>
      <c r="H52" s="268"/>
      <c r="I52" s="268"/>
      <c r="J52" s="268"/>
      <c r="K52" s="268"/>
      <c r="L52" s="268"/>
      <c r="M52" s="268"/>
      <c r="N52" s="268"/>
      <c r="O52" s="268"/>
      <c r="P52" s="310"/>
      <c r="Q52" s="268"/>
      <c r="R52" s="309"/>
      <c r="S52" s="268"/>
      <c r="T52" s="313"/>
      <c r="U52" s="313"/>
      <c r="V52" s="268"/>
      <c r="W52" s="268"/>
      <c r="X52" s="268"/>
      <c r="Y52" s="268"/>
      <c r="Z52" s="268"/>
    </row>
    <row r="53" spans="1:26" ht="24.75" customHeight="1">
      <c r="A53" s="268"/>
      <c r="B53" s="268"/>
      <c r="C53" s="268"/>
      <c r="D53" s="268"/>
      <c r="E53" s="268"/>
      <c r="F53" s="268"/>
      <c r="G53" s="268"/>
      <c r="H53" s="268"/>
      <c r="I53" s="268"/>
      <c r="J53" s="268"/>
      <c r="K53" s="268"/>
      <c r="L53" s="268"/>
      <c r="M53" s="268"/>
      <c r="N53" s="268"/>
      <c r="O53" s="268"/>
      <c r="P53" s="310"/>
      <c r="Q53" s="268"/>
      <c r="R53" s="309"/>
      <c r="S53" s="268"/>
      <c r="T53" s="313"/>
      <c r="U53" s="313"/>
      <c r="V53" s="268"/>
      <c r="W53" s="268"/>
      <c r="X53" s="268"/>
      <c r="Y53" s="268"/>
      <c r="Z53" s="268"/>
    </row>
    <row r="54" spans="1:26" ht="24.75" customHeight="1">
      <c r="A54" s="268"/>
      <c r="B54" s="268"/>
      <c r="C54" s="268"/>
      <c r="D54" s="268"/>
      <c r="E54" s="268"/>
      <c r="F54" s="268"/>
      <c r="G54" s="268"/>
      <c r="H54" s="268"/>
      <c r="I54" s="268"/>
      <c r="J54" s="268"/>
      <c r="K54" s="268"/>
      <c r="L54" s="268"/>
      <c r="M54" s="268"/>
      <c r="N54" s="268"/>
      <c r="O54" s="268"/>
      <c r="P54" s="310"/>
      <c r="Q54" s="268"/>
      <c r="R54" s="309"/>
      <c r="S54" s="268"/>
      <c r="T54" s="313"/>
      <c r="U54" s="313"/>
      <c r="V54" s="268"/>
      <c r="W54" s="268"/>
      <c r="X54" s="268"/>
      <c r="Y54" s="268"/>
      <c r="Z54" s="268"/>
    </row>
    <row r="55" spans="1:26" ht="24.75" customHeight="1">
      <c r="A55" s="268"/>
      <c r="B55" s="268"/>
      <c r="C55" s="268"/>
      <c r="D55" s="268"/>
      <c r="E55" s="268"/>
      <c r="F55" s="268"/>
      <c r="G55" s="268"/>
      <c r="H55" s="268"/>
      <c r="I55" s="268"/>
      <c r="J55" s="268"/>
      <c r="K55" s="268"/>
      <c r="L55" s="268"/>
      <c r="M55" s="268"/>
      <c r="N55" s="268"/>
      <c r="O55" s="268"/>
      <c r="P55" s="310"/>
      <c r="Q55" s="268"/>
      <c r="R55" s="309"/>
      <c r="S55" s="268"/>
      <c r="T55" s="268"/>
      <c r="U55" s="268"/>
      <c r="V55" s="268"/>
      <c r="W55" s="268"/>
      <c r="X55" s="268"/>
      <c r="Y55" s="268"/>
      <c r="Z55" s="268"/>
    </row>
    <row r="56" spans="1:26" ht="24.75" customHeight="1">
      <c r="A56" s="268"/>
      <c r="B56" s="268"/>
      <c r="C56" s="268"/>
      <c r="D56" s="268"/>
      <c r="E56" s="268"/>
      <c r="F56" s="268"/>
      <c r="G56" s="268"/>
      <c r="H56" s="268"/>
      <c r="I56" s="268"/>
      <c r="J56" s="268"/>
      <c r="K56" s="268"/>
      <c r="L56" s="268"/>
      <c r="M56" s="268"/>
      <c r="N56" s="268"/>
      <c r="O56" s="268"/>
      <c r="P56" s="310"/>
      <c r="Q56" s="268"/>
      <c r="R56" s="309"/>
      <c r="S56" s="268"/>
      <c r="T56" s="313"/>
      <c r="U56" s="313"/>
      <c r="V56" s="268"/>
      <c r="W56" s="268"/>
      <c r="X56" s="268"/>
      <c r="Y56" s="268"/>
      <c r="Z56" s="268"/>
    </row>
    <row r="57" spans="1:26" ht="24.75" customHeight="1">
      <c r="A57" s="268"/>
      <c r="B57" s="268"/>
      <c r="C57" s="268"/>
      <c r="D57" s="268"/>
      <c r="E57" s="268"/>
      <c r="F57" s="268"/>
      <c r="G57" s="268"/>
      <c r="H57" s="268"/>
      <c r="I57" s="268"/>
      <c r="J57" s="268"/>
      <c r="K57" s="268"/>
      <c r="L57" s="268"/>
      <c r="M57" s="268"/>
      <c r="N57" s="268"/>
      <c r="O57" s="268"/>
      <c r="P57" s="310"/>
      <c r="Q57" s="268"/>
      <c r="R57" s="309"/>
      <c r="S57" s="268"/>
      <c r="T57" s="313"/>
      <c r="U57" s="313"/>
      <c r="V57" s="268"/>
      <c r="W57" s="268"/>
      <c r="X57" s="268"/>
      <c r="Y57" s="268"/>
      <c r="Z57" s="268"/>
    </row>
    <row r="58" spans="1:26" ht="24.75" customHeight="1">
      <c r="A58" s="268"/>
      <c r="B58" s="268"/>
      <c r="C58" s="268"/>
      <c r="D58" s="268"/>
      <c r="E58" s="268"/>
      <c r="F58" s="268"/>
      <c r="G58" s="268"/>
      <c r="H58" s="268"/>
      <c r="I58" s="268"/>
      <c r="J58" s="268"/>
      <c r="K58" s="268"/>
      <c r="L58" s="268"/>
      <c r="M58" s="268"/>
      <c r="N58" s="268"/>
      <c r="O58" s="268"/>
      <c r="P58" s="310"/>
      <c r="Q58" s="268"/>
      <c r="R58" s="309"/>
      <c r="S58" s="268"/>
      <c r="T58" s="313"/>
      <c r="U58" s="313"/>
      <c r="V58" s="268"/>
      <c r="W58" s="268"/>
      <c r="X58" s="268"/>
      <c r="Y58" s="268"/>
      <c r="Z58" s="268"/>
    </row>
    <row r="59" spans="1:26" ht="24.75" customHeight="1">
      <c r="A59" s="268"/>
      <c r="B59" s="268"/>
      <c r="C59" s="268"/>
      <c r="D59" s="268"/>
      <c r="E59" s="268"/>
      <c r="F59" s="268"/>
      <c r="G59" s="268"/>
      <c r="H59" s="268"/>
      <c r="I59" s="268"/>
      <c r="J59" s="268"/>
      <c r="K59" s="268"/>
      <c r="L59" s="268"/>
      <c r="M59" s="268"/>
      <c r="N59" s="268"/>
      <c r="O59" s="268"/>
      <c r="P59" s="310"/>
      <c r="Q59" s="268"/>
      <c r="R59" s="309"/>
      <c r="S59" s="268"/>
      <c r="T59" s="313"/>
      <c r="U59" s="313"/>
      <c r="V59" s="268"/>
      <c r="W59" s="268"/>
      <c r="X59" s="268"/>
      <c r="Y59" s="268"/>
      <c r="Z59" s="268"/>
    </row>
    <row r="60" spans="1:26" ht="24.75" customHeight="1">
      <c r="A60" s="268"/>
      <c r="B60" s="268"/>
      <c r="C60" s="268"/>
      <c r="D60" s="268"/>
      <c r="E60" s="268"/>
      <c r="F60" s="268"/>
      <c r="G60" s="268"/>
      <c r="H60" s="268"/>
      <c r="I60" s="268"/>
      <c r="J60" s="268"/>
      <c r="K60" s="268"/>
      <c r="L60" s="268"/>
      <c r="M60" s="268"/>
      <c r="N60" s="268"/>
      <c r="O60" s="268"/>
      <c r="P60" s="310"/>
      <c r="Q60" s="268"/>
      <c r="R60" s="309"/>
      <c r="S60" s="268"/>
      <c r="T60" s="313"/>
      <c r="U60" s="313"/>
      <c r="V60" s="268"/>
      <c r="W60" s="268"/>
      <c r="X60" s="268"/>
      <c r="Y60" s="268"/>
      <c r="Z60" s="268"/>
    </row>
    <row r="61" spans="1:26" ht="24.75" customHeight="1">
      <c r="A61" s="268"/>
      <c r="B61" s="268"/>
      <c r="C61" s="268"/>
      <c r="D61" s="268"/>
      <c r="E61" s="268"/>
      <c r="F61" s="268"/>
      <c r="G61" s="268"/>
      <c r="H61" s="268"/>
      <c r="I61" s="268"/>
      <c r="J61" s="268"/>
      <c r="K61" s="268"/>
      <c r="L61" s="268"/>
      <c r="M61" s="268"/>
      <c r="N61" s="268"/>
      <c r="O61" s="268"/>
      <c r="P61" s="310"/>
      <c r="Q61" s="268"/>
      <c r="R61" s="309"/>
      <c r="S61" s="268"/>
      <c r="T61" s="268"/>
      <c r="U61" s="268"/>
      <c r="V61" s="268"/>
      <c r="W61" s="268"/>
      <c r="X61" s="268"/>
      <c r="Y61" s="268"/>
      <c r="Z61" s="268"/>
    </row>
    <row r="62" spans="1:26" ht="24.75" customHeight="1">
      <c r="A62" s="268"/>
      <c r="B62" s="268"/>
      <c r="C62" s="268"/>
      <c r="D62" s="268"/>
      <c r="E62" s="268"/>
      <c r="F62" s="268"/>
      <c r="G62" s="268"/>
      <c r="H62" s="268"/>
      <c r="I62" s="268"/>
      <c r="J62" s="268"/>
      <c r="K62" s="268"/>
      <c r="L62" s="268"/>
      <c r="M62" s="268"/>
      <c r="N62" s="268"/>
      <c r="O62" s="268"/>
      <c r="P62" s="310"/>
      <c r="Q62" s="268"/>
      <c r="R62" s="309"/>
      <c r="S62" s="268"/>
      <c r="T62" s="268"/>
      <c r="U62" s="268"/>
      <c r="V62" s="268"/>
      <c r="W62" s="268"/>
      <c r="X62" s="268"/>
      <c r="Y62" s="268"/>
      <c r="Z62" s="268"/>
    </row>
    <row r="63" spans="1:26" ht="24.75" customHeight="1">
      <c r="A63" s="268"/>
      <c r="B63" s="268"/>
      <c r="C63" s="268"/>
      <c r="D63" s="268"/>
      <c r="E63" s="268"/>
      <c r="F63" s="268"/>
      <c r="G63" s="268"/>
      <c r="H63" s="268"/>
      <c r="I63" s="268"/>
      <c r="J63" s="268"/>
      <c r="K63" s="268"/>
      <c r="L63" s="268"/>
      <c r="M63" s="268"/>
      <c r="N63" s="268"/>
      <c r="O63" s="268"/>
      <c r="P63" s="310"/>
      <c r="Q63" s="268"/>
      <c r="R63" s="309"/>
      <c r="S63" s="268"/>
      <c r="T63" s="268"/>
      <c r="U63" s="268"/>
      <c r="V63" s="268"/>
      <c r="W63" s="268"/>
      <c r="X63" s="268"/>
      <c r="Y63" s="268"/>
      <c r="Z63" s="268"/>
    </row>
    <row r="64" spans="1:26" ht="24.75" customHeight="1">
      <c r="A64" s="268"/>
      <c r="B64" s="268"/>
      <c r="C64" s="268"/>
      <c r="D64" s="268"/>
      <c r="E64" s="268"/>
      <c r="F64" s="268"/>
      <c r="G64" s="268"/>
      <c r="H64" s="268"/>
      <c r="I64" s="268"/>
      <c r="J64" s="268"/>
      <c r="K64" s="268"/>
      <c r="L64" s="268"/>
      <c r="M64" s="268"/>
      <c r="N64" s="268"/>
      <c r="O64" s="268"/>
      <c r="P64" s="310"/>
      <c r="Q64" s="268"/>
      <c r="R64" s="309"/>
      <c r="S64" s="268"/>
      <c r="T64" s="268"/>
      <c r="U64" s="268"/>
      <c r="V64" s="268"/>
      <c r="W64" s="268"/>
      <c r="X64" s="268"/>
      <c r="Y64" s="268"/>
      <c r="Z64" s="268"/>
    </row>
    <row r="65" spans="1:26" ht="24.75" customHeight="1">
      <c r="A65" s="268"/>
      <c r="B65" s="268"/>
      <c r="C65" s="268"/>
      <c r="D65" s="268"/>
      <c r="E65" s="268"/>
      <c r="F65" s="268"/>
      <c r="G65" s="268"/>
      <c r="H65" s="268"/>
      <c r="I65" s="268"/>
      <c r="J65" s="268"/>
      <c r="K65" s="268"/>
      <c r="L65" s="268"/>
      <c r="M65" s="268"/>
      <c r="N65" s="268"/>
      <c r="O65" s="268"/>
      <c r="P65" s="310"/>
      <c r="Q65" s="268"/>
      <c r="R65" s="309"/>
      <c r="S65" s="268"/>
      <c r="T65" s="268"/>
      <c r="U65" s="268"/>
      <c r="V65" s="268"/>
      <c r="W65" s="268"/>
      <c r="X65" s="268"/>
      <c r="Y65" s="268"/>
      <c r="Z65" s="268"/>
    </row>
    <row r="66" spans="1:26" ht="24.75" customHeight="1">
      <c r="A66" s="268"/>
      <c r="B66" s="268"/>
      <c r="C66" s="268"/>
      <c r="D66" s="268"/>
      <c r="E66" s="268"/>
      <c r="F66" s="268"/>
      <c r="G66" s="268"/>
      <c r="H66" s="268"/>
      <c r="I66" s="268"/>
      <c r="J66" s="268"/>
      <c r="K66" s="268"/>
      <c r="L66" s="268"/>
      <c r="M66" s="268"/>
      <c r="N66" s="268"/>
      <c r="O66" s="268"/>
      <c r="P66" s="310"/>
      <c r="Q66" s="268"/>
      <c r="R66" s="309"/>
      <c r="S66" s="268"/>
      <c r="T66" s="268"/>
      <c r="U66" s="268"/>
      <c r="V66" s="268"/>
      <c r="W66" s="268"/>
      <c r="X66" s="268"/>
      <c r="Y66" s="268"/>
      <c r="Z66" s="268"/>
    </row>
    <row r="67" spans="1:26" ht="24.75" customHeight="1">
      <c r="A67" s="268"/>
      <c r="B67" s="268"/>
      <c r="C67" s="268"/>
      <c r="D67" s="268"/>
      <c r="E67" s="268"/>
      <c r="F67" s="268"/>
      <c r="G67" s="268"/>
      <c r="H67" s="268"/>
      <c r="I67" s="268"/>
      <c r="J67" s="268"/>
      <c r="K67" s="268"/>
      <c r="L67" s="268"/>
      <c r="M67" s="268"/>
      <c r="N67" s="268"/>
      <c r="O67" s="268"/>
      <c r="P67" s="310"/>
      <c r="Q67" s="268"/>
      <c r="R67" s="309"/>
      <c r="S67" s="268"/>
      <c r="T67" s="313"/>
      <c r="U67" s="313"/>
      <c r="V67" s="268"/>
      <c r="W67" s="268"/>
      <c r="X67" s="268"/>
      <c r="Y67" s="268"/>
      <c r="Z67" s="268"/>
    </row>
    <row r="68" spans="1:26" ht="24.75" customHeight="1">
      <c r="A68" s="268"/>
      <c r="B68" s="268"/>
      <c r="C68" s="268"/>
      <c r="D68" s="268"/>
      <c r="E68" s="268"/>
      <c r="F68" s="268"/>
      <c r="G68" s="268"/>
      <c r="H68" s="268"/>
      <c r="I68" s="268"/>
      <c r="J68" s="268"/>
      <c r="K68" s="268"/>
      <c r="L68" s="268"/>
      <c r="M68" s="268"/>
      <c r="N68" s="268"/>
      <c r="O68" s="268"/>
      <c r="P68" s="310"/>
      <c r="Q68" s="268"/>
      <c r="R68" s="309"/>
      <c r="S68" s="268"/>
      <c r="T68" s="313"/>
      <c r="U68" s="313"/>
      <c r="V68" s="268"/>
      <c r="W68" s="268"/>
      <c r="X68" s="268"/>
      <c r="Y68" s="268"/>
      <c r="Z68" s="268"/>
    </row>
    <row r="69" spans="1:26" ht="24.75" customHeight="1">
      <c r="A69" s="268"/>
      <c r="B69" s="268"/>
      <c r="C69" s="268"/>
      <c r="D69" s="268"/>
      <c r="E69" s="268"/>
      <c r="F69" s="268"/>
      <c r="G69" s="268"/>
      <c r="H69" s="268"/>
      <c r="I69" s="268"/>
      <c r="J69" s="268"/>
      <c r="K69" s="268"/>
      <c r="L69" s="268"/>
      <c r="M69" s="268"/>
      <c r="N69" s="268"/>
      <c r="O69" s="268"/>
      <c r="P69" s="310"/>
      <c r="Q69" s="268"/>
      <c r="R69" s="309"/>
      <c r="S69" s="268"/>
      <c r="T69" s="313"/>
      <c r="U69" s="313"/>
      <c r="V69" s="268"/>
      <c r="W69" s="268"/>
      <c r="X69" s="268"/>
      <c r="Y69" s="268"/>
      <c r="Z69" s="268"/>
    </row>
    <row r="70" spans="1:26" ht="24.75" customHeight="1">
      <c r="A70" s="268"/>
      <c r="B70" s="268"/>
      <c r="C70" s="268"/>
      <c r="D70" s="268"/>
      <c r="E70" s="268"/>
      <c r="F70" s="268"/>
      <c r="G70" s="268"/>
      <c r="H70" s="268"/>
      <c r="I70" s="268"/>
      <c r="J70" s="268"/>
      <c r="K70" s="268"/>
      <c r="L70" s="268"/>
      <c r="M70" s="268"/>
      <c r="N70" s="268"/>
      <c r="O70" s="268"/>
      <c r="P70" s="310"/>
      <c r="Q70" s="268"/>
      <c r="R70" s="309"/>
      <c r="S70" s="268"/>
      <c r="T70" s="313"/>
      <c r="U70" s="313"/>
      <c r="V70" s="268"/>
      <c r="W70" s="268"/>
      <c r="X70" s="268"/>
      <c r="Y70" s="268"/>
      <c r="Z70" s="268"/>
    </row>
    <row r="71" spans="1:26" ht="24.75" customHeight="1">
      <c r="A71" s="268"/>
      <c r="B71" s="268"/>
      <c r="C71" s="268"/>
      <c r="D71" s="268"/>
      <c r="E71" s="268"/>
      <c r="F71" s="268"/>
      <c r="G71" s="268"/>
      <c r="H71" s="268"/>
      <c r="I71" s="268"/>
      <c r="J71" s="268"/>
      <c r="K71" s="268"/>
      <c r="L71" s="268"/>
      <c r="M71" s="268"/>
      <c r="N71" s="268"/>
      <c r="O71" s="268"/>
      <c r="P71" s="310"/>
      <c r="Q71" s="268"/>
      <c r="R71" s="309"/>
      <c r="S71" s="268"/>
      <c r="T71" s="313"/>
      <c r="U71" s="313"/>
      <c r="V71" s="268"/>
      <c r="W71" s="268"/>
      <c r="X71" s="268"/>
      <c r="Y71" s="268"/>
      <c r="Z71" s="268"/>
    </row>
    <row r="72" spans="1:26" ht="24.75" customHeight="1">
      <c r="A72" s="268"/>
      <c r="B72" s="268"/>
      <c r="C72" s="268"/>
      <c r="D72" s="268"/>
      <c r="E72" s="268"/>
      <c r="F72" s="268"/>
      <c r="G72" s="268"/>
      <c r="H72" s="268"/>
      <c r="I72" s="268"/>
      <c r="J72" s="268"/>
      <c r="K72" s="268"/>
      <c r="L72" s="268"/>
      <c r="M72" s="268"/>
      <c r="N72" s="268"/>
      <c r="O72" s="268"/>
      <c r="P72" s="310"/>
      <c r="Q72" s="268"/>
      <c r="R72" s="309"/>
      <c r="S72" s="268"/>
      <c r="T72" s="313"/>
      <c r="U72" s="313"/>
      <c r="V72" s="268"/>
      <c r="W72" s="268"/>
      <c r="X72" s="268"/>
      <c r="Y72" s="268"/>
      <c r="Z72" s="268"/>
    </row>
    <row r="73" spans="1:26" ht="24.75" customHeight="1">
      <c r="A73" s="268"/>
      <c r="B73" s="268"/>
      <c r="C73" s="268"/>
      <c r="D73" s="268"/>
      <c r="E73" s="268"/>
      <c r="F73" s="268"/>
      <c r="G73" s="268"/>
      <c r="H73" s="268"/>
      <c r="I73" s="268"/>
      <c r="J73" s="268"/>
      <c r="K73" s="268"/>
      <c r="L73" s="268"/>
      <c r="M73" s="268"/>
      <c r="N73" s="268"/>
      <c r="O73" s="268"/>
      <c r="P73" s="310"/>
      <c r="Q73" s="268"/>
      <c r="R73" s="309"/>
      <c r="S73" s="268"/>
      <c r="T73" s="313"/>
      <c r="U73" s="313"/>
      <c r="V73" s="268"/>
      <c r="W73" s="268"/>
      <c r="X73" s="268"/>
      <c r="Y73" s="268"/>
      <c r="Z73" s="268"/>
    </row>
    <row r="74" spans="1:26" ht="24.75" customHeight="1">
      <c r="A74" s="268"/>
      <c r="B74" s="268"/>
      <c r="C74" s="268"/>
      <c r="D74" s="268"/>
      <c r="E74" s="268"/>
      <c r="F74" s="268"/>
      <c r="G74" s="268"/>
      <c r="H74" s="268"/>
      <c r="I74" s="268"/>
      <c r="J74" s="268"/>
      <c r="K74" s="268"/>
      <c r="L74" s="268"/>
      <c r="M74" s="268"/>
      <c r="N74" s="268"/>
      <c r="O74" s="268"/>
      <c r="P74" s="310"/>
      <c r="Q74" s="268"/>
      <c r="R74" s="309"/>
      <c r="S74" s="268"/>
      <c r="T74" s="313"/>
      <c r="U74" s="313"/>
      <c r="V74" s="268"/>
      <c r="W74" s="268"/>
      <c r="X74" s="268"/>
      <c r="Y74" s="268"/>
      <c r="Z74" s="268"/>
    </row>
    <row r="75" spans="1:26" ht="24.75" customHeight="1">
      <c r="A75" s="268"/>
      <c r="B75" s="268"/>
      <c r="C75" s="268"/>
      <c r="D75" s="268"/>
      <c r="E75" s="268"/>
      <c r="F75" s="268"/>
      <c r="G75" s="268"/>
      <c r="H75" s="268"/>
      <c r="I75" s="268"/>
      <c r="J75" s="268"/>
      <c r="K75" s="268"/>
      <c r="L75" s="268"/>
      <c r="M75" s="268"/>
      <c r="N75" s="268"/>
      <c r="O75" s="268"/>
      <c r="P75" s="310"/>
      <c r="Q75" s="268"/>
      <c r="R75" s="309"/>
      <c r="S75" s="268"/>
      <c r="T75" s="313"/>
      <c r="U75" s="313"/>
      <c r="V75" s="268"/>
      <c r="W75" s="268"/>
      <c r="X75" s="268"/>
      <c r="Y75" s="268"/>
      <c r="Z75" s="268"/>
    </row>
    <row r="76" spans="1:26" ht="24.75" customHeight="1">
      <c r="A76" s="268"/>
      <c r="B76" s="268"/>
      <c r="C76" s="268"/>
      <c r="D76" s="268"/>
      <c r="E76" s="268"/>
      <c r="F76" s="268"/>
      <c r="G76" s="268"/>
      <c r="H76" s="268"/>
      <c r="I76" s="268"/>
      <c r="J76" s="268"/>
      <c r="K76" s="268"/>
      <c r="L76" s="268"/>
      <c r="M76" s="268"/>
      <c r="N76" s="268"/>
      <c r="O76" s="268"/>
      <c r="P76" s="310"/>
      <c r="Q76" s="268"/>
      <c r="R76" s="309"/>
      <c r="S76" s="268"/>
      <c r="T76" s="313"/>
      <c r="U76" s="313"/>
      <c r="V76" s="268"/>
      <c r="W76" s="268"/>
      <c r="X76" s="268"/>
      <c r="Y76" s="268"/>
      <c r="Z76" s="268"/>
    </row>
    <row r="77" spans="1:26" ht="24.75" customHeight="1">
      <c r="A77" s="268"/>
      <c r="B77" s="268"/>
      <c r="C77" s="268"/>
      <c r="D77" s="268"/>
      <c r="E77" s="268"/>
      <c r="F77" s="268"/>
      <c r="G77" s="268"/>
      <c r="H77" s="268"/>
      <c r="I77" s="268"/>
      <c r="J77" s="268"/>
      <c r="K77" s="268"/>
      <c r="L77" s="268"/>
      <c r="M77" s="268"/>
      <c r="N77" s="268"/>
      <c r="O77" s="268"/>
      <c r="P77" s="310"/>
      <c r="Q77" s="268"/>
      <c r="R77" s="309"/>
      <c r="S77" s="268"/>
      <c r="T77" s="313"/>
      <c r="U77" s="313"/>
      <c r="V77" s="268"/>
      <c r="W77" s="268"/>
      <c r="X77" s="268"/>
      <c r="Y77" s="268"/>
      <c r="Z77" s="268"/>
    </row>
    <row r="78" spans="1:26" ht="24.75" customHeight="1">
      <c r="A78" s="268"/>
      <c r="B78" s="268"/>
      <c r="C78" s="268"/>
      <c r="D78" s="268"/>
      <c r="E78" s="268"/>
      <c r="F78" s="268"/>
      <c r="G78" s="268"/>
      <c r="H78" s="268"/>
      <c r="I78" s="268"/>
      <c r="J78" s="268"/>
      <c r="K78" s="268"/>
      <c r="L78" s="268"/>
      <c r="M78" s="268"/>
      <c r="N78" s="268"/>
      <c r="O78" s="268"/>
      <c r="P78" s="310"/>
      <c r="Q78" s="268"/>
      <c r="R78" s="309"/>
      <c r="S78" s="268"/>
      <c r="T78" s="313"/>
      <c r="U78" s="313"/>
      <c r="V78" s="268"/>
      <c r="W78" s="268"/>
      <c r="X78" s="268"/>
      <c r="Y78" s="268"/>
      <c r="Z78" s="268"/>
    </row>
    <row r="79" spans="1:26" ht="24.75" customHeight="1">
      <c r="A79" s="268"/>
      <c r="B79" s="268"/>
      <c r="C79" s="268"/>
      <c r="D79" s="268"/>
      <c r="E79" s="268"/>
      <c r="F79" s="268"/>
      <c r="G79" s="268"/>
      <c r="H79" s="268"/>
      <c r="I79" s="268"/>
      <c r="J79" s="268"/>
      <c r="K79" s="268"/>
      <c r="L79" s="268"/>
      <c r="M79" s="268"/>
      <c r="N79" s="268"/>
      <c r="O79" s="268"/>
      <c r="P79" s="310"/>
      <c r="Q79" s="268"/>
      <c r="R79" s="309"/>
      <c r="S79" s="268"/>
      <c r="T79" s="313"/>
      <c r="U79" s="313"/>
      <c r="V79" s="268"/>
      <c r="W79" s="268"/>
      <c r="X79" s="268"/>
      <c r="Y79" s="268"/>
      <c r="Z79" s="268"/>
    </row>
    <row r="80" spans="1:26" ht="24.75" customHeight="1">
      <c r="A80" s="268"/>
      <c r="B80" s="268"/>
      <c r="C80" s="268"/>
      <c r="D80" s="268"/>
      <c r="E80" s="268"/>
      <c r="F80" s="268"/>
      <c r="G80" s="268"/>
      <c r="H80" s="268"/>
      <c r="I80" s="268"/>
      <c r="J80" s="268"/>
      <c r="K80" s="268"/>
      <c r="L80" s="268"/>
      <c r="M80" s="268"/>
      <c r="N80" s="268"/>
      <c r="O80" s="268"/>
      <c r="P80" s="310"/>
      <c r="Q80" s="268"/>
      <c r="R80" s="309"/>
      <c r="S80" s="268"/>
      <c r="T80" s="313"/>
      <c r="U80" s="313"/>
      <c r="V80" s="268"/>
      <c r="W80" s="268"/>
      <c r="X80" s="268"/>
      <c r="Y80" s="268"/>
      <c r="Z80" s="268"/>
    </row>
    <row r="81" spans="1:26" ht="24.75" customHeight="1">
      <c r="A81" s="268"/>
      <c r="B81" s="268"/>
      <c r="C81" s="268"/>
      <c r="D81" s="268"/>
      <c r="E81" s="268"/>
      <c r="F81" s="268"/>
      <c r="G81" s="268"/>
      <c r="H81" s="268"/>
      <c r="I81" s="268"/>
      <c r="J81" s="268"/>
      <c r="K81" s="268"/>
      <c r="L81" s="268"/>
      <c r="M81" s="268"/>
      <c r="N81" s="268"/>
      <c r="O81" s="268"/>
      <c r="P81" s="310"/>
      <c r="Q81" s="268"/>
      <c r="R81" s="309"/>
      <c r="S81" s="268"/>
      <c r="T81" s="313"/>
      <c r="U81" s="313"/>
      <c r="V81" s="268"/>
      <c r="W81" s="268"/>
      <c r="X81" s="268"/>
      <c r="Y81" s="268"/>
      <c r="Z81" s="268"/>
    </row>
    <row r="82" spans="1:26" ht="24.75" customHeight="1">
      <c r="A82" s="268"/>
      <c r="B82" s="268"/>
      <c r="C82" s="268"/>
      <c r="D82" s="268"/>
      <c r="E82" s="268"/>
      <c r="F82" s="268"/>
      <c r="G82" s="268"/>
      <c r="H82" s="268"/>
      <c r="I82" s="268"/>
      <c r="J82" s="268"/>
      <c r="K82" s="268"/>
      <c r="L82" s="268"/>
      <c r="M82" s="268"/>
      <c r="N82" s="268"/>
      <c r="O82" s="268"/>
      <c r="P82" s="310"/>
      <c r="Q82" s="268"/>
      <c r="R82" s="309"/>
      <c r="S82" s="268"/>
      <c r="T82" s="313"/>
      <c r="U82" s="313"/>
      <c r="V82" s="268"/>
      <c r="W82" s="268"/>
      <c r="X82" s="268"/>
      <c r="Y82" s="268"/>
      <c r="Z82" s="268"/>
    </row>
    <row r="83" spans="1:26" ht="24.75" customHeight="1">
      <c r="A83" s="268"/>
      <c r="B83" s="268"/>
      <c r="C83" s="268"/>
      <c r="D83" s="268"/>
      <c r="E83" s="268"/>
      <c r="F83" s="268"/>
      <c r="G83" s="268"/>
      <c r="H83" s="268"/>
      <c r="I83" s="268"/>
      <c r="J83" s="268"/>
      <c r="K83" s="268"/>
      <c r="L83" s="268"/>
      <c r="M83" s="268"/>
      <c r="N83" s="268"/>
      <c r="O83" s="268"/>
      <c r="P83" s="310"/>
      <c r="Q83" s="268"/>
      <c r="R83" s="309"/>
      <c r="S83" s="268"/>
      <c r="T83" s="313"/>
      <c r="U83" s="313"/>
      <c r="V83" s="268"/>
      <c r="W83" s="268"/>
      <c r="X83" s="268"/>
      <c r="Y83" s="268"/>
      <c r="Z83" s="268"/>
    </row>
    <row r="84" spans="1:26" ht="24.75" customHeight="1">
      <c r="A84" s="268"/>
      <c r="B84" s="268"/>
      <c r="C84" s="268"/>
      <c r="D84" s="268"/>
      <c r="E84" s="268"/>
      <c r="F84" s="268"/>
      <c r="G84" s="268"/>
      <c r="H84" s="268"/>
      <c r="I84" s="268"/>
      <c r="J84" s="268"/>
      <c r="K84" s="268"/>
      <c r="L84" s="268"/>
      <c r="M84" s="268"/>
      <c r="N84" s="268"/>
      <c r="O84" s="268"/>
      <c r="P84" s="310"/>
      <c r="Q84" s="268"/>
      <c r="R84" s="309"/>
      <c r="S84" s="268"/>
      <c r="T84" s="313"/>
      <c r="U84" s="313"/>
      <c r="V84" s="268"/>
      <c r="W84" s="268"/>
      <c r="X84" s="268"/>
      <c r="Y84" s="268"/>
      <c r="Z84" s="268"/>
    </row>
    <row r="85" spans="1:26" ht="24.75" customHeight="1">
      <c r="A85" s="268"/>
      <c r="B85" s="268"/>
      <c r="C85" s="268"/>
      <c r="D85" s="268"/>
      <c r="E85" s="268"/>
      <c r="F85" s="268"/>
      <c r="G85" s="268"/>
      <c r="H85" s="268"/>
      <c r="I85" s="268"/>
      <c r="J85" s="268"/>
      <c r="K85" s="268"/>
      <c r="L85" s="268"/>
      <c r="M85" s="268"/>
      <c r="N85" s="268"/>
      <c r="O85" s="268"/>
      <c r="P85" s="310"/>
      <c r="Q85" s="268"/>
      <c r="R85" s="309"/>
      <c r="S85" s="268"/>
      <c r="T85" s="313"/>
      <c r="U85" s="313"/>
      <c r="V85" s="268"/>
      <c r="W85" s="268"/>
      <c r="X85" s="268"/>
      <c r="Y85" s="268"/>
      <c r="Z85" s="268"/>
    </row>
    <row r="86" spans="1:26" ht="24.75" customHeight="1">
      <c r="A86" s="268"/>
      <c r="B86" s="268"/>
      <c r="C86" s="268"/>
      <c r="D86" s="268"/>
      <c r="E86" s="268"/>
      <c r="F86" s="268"/>
      <c r="G86" s="268"/>
      <c r="H86" s="268"/>
      <c r="I86" s="268"/>
      <c r="J86" s="268"/>
      <c r="K86" s="268"/>
      <c r="L86" s="268"/>
      <c r="M86" s="268"/>
      <c r="N86" s="268"/>
      <c r="O86" s="268"/>
      <c r="P86" s="310"/>
      <c r="Q86" s="268"/>
      <c r="R86" s="309"/>
      <c r="S86" s="268"/>
      <c r="T86" s="313"/>
      <c r="U86" s="313"/>
      <c r="V86" s="268"/>
      <c r="W86" s="268"/>
      <c r="X86" s="268"/>
      <c r="Y86" s="268"/>
      <c r="Z86" s="268"/>
    </row>
    <row r="87" spans="1:26" ht="24.75" customHeight="1">
      <c r="A87" s="268"/>
      <c r="B87" s="268"/>
      <c r="C87" s="268"/>
      <c r="D87" s="268"/>
      <c r="E87" s="268"/>
      <c r="F87" s="268"/>
      <c r="G87" s="268"/>
      <c r="H87" s="268"/>
      <c r="I87" s="268"/>
      <c r="J87" s="268"/>
      <c r="K87" s="268"/>
      <c r="L87" s="268"/>
      <c r="M87" s="268"/>
      <c r="N87" s="268"/>
      <c r="O87" s="268"/>
      <c r="P87" s="310"/>
      <c r="Q87" s="268"/>
      <c r="R87" s="309"/>
      <c r="S87" s="268"/>
      <c r="T87" s="313"/>
      <c r="U87" s="313"/>
      <c r="V87" s="268"/>
      <c r="W87" s="268"/>
      <c r="X87" s="268"/>
      <c r="Y87" s="268"/>
      <c r="Z87" s="268"/>
    </row>
    <row r="88" spans="1:26" ht="24.75" customHeight="1">
      <c r="A88" s="268"/>
      <c r="B88" s="268"/>
      <c r="C88" s="268"/>
      <c r="D88" s="268"/>
      <c r="E88" s="268"/>
      <c r="F88" s="268"/>
      <c r="G88" s="268"/>
      <c r="H88" s="268"/>
      <c r="I88" s="268"/>
      <c r="J88" s="268"/>
      <c r="K88" s="268"/>
      <c r="L88" s="268"/>
      <c r="M88" s="268"/>
      <c r="N88" s="268"/>
      <c r="O88" s="268"/>
      <c r="P88" s="310"/>
      <c r="Q88" s="268"/>
      <c r="R88" s="309"/>
      <c r="S88" s="268"/>
      <c r="T88" s="313"/>
      <c r="U88" s="313"/>
      <c r="V88" s="268"/>
      <c r="W88" s="268"/>
      <c r="X88" s="268"/>
      <c r="Y88" s="268"/>
      <c r="Z88" s="268"/>
    </row>
    <row r="89" spans="1:26" ht="24.75" customHeight="1">
      <c r="A89" s="268"/>
      <c r="B89" s="268"/>
      <c r="C89" s="268"/>
      <c r="D89" s="268"/>
      <c r="E89" s="268"/>
      <c r="F89" s="268"/>
      <c r="G89" s="268"/>
      <c r="H89" s="268"/>
      <c r="I89" s="268"/>
      <c r="J89" s="268"/>
      <c r="K89" s="268"/>
      <c r="L89" s="268"/>
      <c r="M89" s="268"/>
      <c r="N89" s="268"/>
      <c r="O89" s="268"/>
      <c r="P89" s="310"/>
      <c r="Q89" s="268"/>
      <c r="R89" s="309"/>
      <c r="S89" s="268"/>
      <c r="T89" s="313"/>
      <c r="U89" s="313"/>
      <c r="V89" s="268"/>
      <c r="W89" s="268"/>
      <c r="X89" s="268"/>
      <c r="Y89" s="268"/>
      <c r="Z89" s="268"/>
    </row>
    <row r="90" spans="1:26" ht="24.75" customHeight="1">
      <c r="A90" s="268"/>
      <c r="B90" s="268"/>
      <c r="C90" s="268"/>
      <c r="D90" s="268"/>
      <c r="E90" s="268"/>
      <c r="F90" s="268"/>
      <c r="G90" s="268"/>
      <c r="H90" s="268"/>
      <c r="I90" s="268"/>
      <c r="J90" s="268"/>
      <c r="K90" s="268"/>
      <c r="L90" s="268"/>
      <c r="M90" s="268"/>
      <c r="N90" s="268"/>
      <c r="O90" s="268"/>
      <c r="P90" s="310"/>
      <c r="Q90" s="268"/>
      <c r="R90" s="309"/>
      <c r="S90" s="268"/>
      <c r="T90" s="313"/>
      <c r="U90" s="313"/>
      <c r="V90" s="268"/>
      <c r="W90" s="268"/>
      <c r="X90" s="268"/>
      <c r="Y90" s="268"/>
      <c r="Z90" s="268"/>
    </row>
    <row r="91" spans="1:26" ht="24.75" customHeight="1">
      <c r="A91" s="268"/>
      <c r="B91" s="268"/>
      <c r="C91" s="268"/>
      <c r="D91" s="268"/>
      <c r="E91" s="268"/>
      <c r="F91" s="268"/>
      <c r="G91" s="268"/>
      <c r="H91" s="268"/>
      <c r="I91" s="268"/>
      <c r="J91" s="268"/>
      <c r="K91" s="268"/>
      <c r="L91" s="268"/>
      <c r="M91" s="268"/>
      <c r="N91" s="268"/>
      <c r="O91" s="268"/>
      <c r="P91" s="310"/>
      <c r="Q91" s="268"/>
      <c r="R91" s="309"/>
      <c r="S91" s="268"/>
      <c r="T91" s="313"/>
      <c r="U91" s="313"/>
      <c r="V91" s="268"/>
      <c r="W91" s="268"/>
      <c r="X91" s="268"/>
      <c r="Y91" s="268"/>
      <c r="Z91" s="268"/>
    </row>
    <row r="92" spans="1:26" ht="24.75" customHeight="1">
      <c r="A92" s="268"/>
      <c r="B92" s="268"/>
      <c r="C92" s="268"/>
      <c r="D92" s="268"/>
      <c r="E92" s="268"/>
      <c r="F92" s="268"/>
      <c r="G92" s="268"/>
      <c r="H92" s="268"/>
      <c r="I92" s="268"/>
      <c r="J92" s="268"/>
      <c r="K92" s="268"/>
      <c r="L92" s="268"/>
      <c r="M92" s="268"/>
      <c r="N92" s="268"/>
      <c r="O92" s="268"/>
      <c r="P92" s="310"/>
      <c r="Q92" s="268"/>
      <c r="R92" s="309"/>
      <c r="S92" s="268"/>
      <c r="T92" s="313"/>
      <c r="U92" s="313"/>
      <c r="V92" s="268"/>
      <c r="W92" s="268"/>
      <c r="X92" s="268"/>
      <c r="Y92" s="268"/>
      <c r="Z92" s="268"/>
    </row>
    <row r="93" spans="1:26" ht="24.75" customHeight="1">
      <c r="A93" s="268"/>
      <c r="B93" s="268"/>
      <c r="C93" s="268"/>
      <c r="D93" s="268"/>
      <c r="E93" s="268"/>
      <c r="F93" s="268"/>
      <c r="G93" s="268"/>
      <c r="H93" s="268"/>
      <c r="I93" s="268"/>
      <c r="J93" s="268"/>
      <c r="K93" s="268"/>
      <c r="L93" s="268"/>
      <c r="M93" s="268"/>
      <c r="N93" s="268"/>
      <c r="O93" s="268"/>
      <c r="P93" s="310"/>
      <c r="Q93" s="268"/>
      <c r="R93" s="309"/>
      <c r="S93" s="268"/>
      <c r="T93" s="313"/>
      <c r="U93" s="313"/>
      <c r="V93" s="268"/>
      <c r="W93" s="268"/>
      <c r="X93" s="268"/>
      <c r="Y93" s="268"/>
      <c r="Z93" s="268"/>
    </row>
    <row r="94" spans="1:26" ht="24.75" customHeight="1">
      <c r="A94" s="268"/>
      <c r="B94" s="268"/>
      <c r="C94" s="268"/>
      <c r="D94" s="268"/>
      <c r="E94" s="268"/>
      <c r="F94" s="268"/>
      <c r="G94" s="268"/>
      <c r="H94" s="268"/>
      <c r="I94" s="268"/>
      <c r="J94" s="268"/>
      <c r="K94" s="268"/>
      <c r="L94" s="268"/>
      <c r="M94" s="268"/>
      <c r="N94" s="268"/>
      <c r="O94" s="268"/>
      <c r="P94" s="310"/>
      <c r="Q94" s="268"/>
      <c r="R94" s="309"/>
      <c r="S94" s="268"/>
      <c r="T94" s="313"/>
      <c r="U94" s="313"/>
      <c r="V94" s="268"/>
      <c r="W94" s="268"/>
      <c r="X94" s="268"/>
      <c r="Y94" s="268"/>
      <c r="Z94" s="268"/>
    </row>
    <row r="95" spans="1:26" ht="24.75" customHeight="1">
      <c r="A95" s="268"/>
      <c r="B95" s="268"/>
      <c r="C95" s="268"/>
      <c r="D95" s="268"/>
      <c r="E95" s="268"/>
      <c r="F95" s="268"/>
      <c r="G95" s="268"/>
      <c r="H95" s="268"/>
      <c r="I95" s="268"/>
      <c r="J95" s="268"/>
      <c r="K95" s="268"/>
      <c r="L95" s="268"/>
      <c r="M95" s="268"/>
      <c r="N95" s="268"/>
      <c r="O95" s="268"/>
      <c r="P95" s="310"/>
      <c r="Q95" s="268"/>
      <c r="R95" s="309"/>
      <c r="S95" s="268"/>
      <c r="T95" s="313"/>
      <c r="U95" s="313"/>
      <c r="V95" s="268"/>
      <c r="W95" s="268"/>
      <c r="X95" s="268"/>
      <c r="Y95" s="268"/>
      <c r="Z95" s="268"/>
    </row>
    <row r="96" spans="1:26" ht="24.75" customHeight="1">
      <c r="A96" s="268"/>
      <c r="B96" s="268"/>
      <c r="C96" s="268"/>
      <c r="D96" s="268"/>
      <c r="E96" s="268"/>
      <c r="F96" s="268"/>
      <c r="G96" s="268"/>
      <c r="H96" s="268"/>
      <c r="I96" s="268"/>
      <c r="J96" s="268"/>
      <c r="K96" s="268"/>
      <c r="L96" s="268"/>
      <c r="M96" s="268"/>
      <c r="N96" s="268"/>
      <c r="O96" s="268"/>
      <c r="P96" s="310"/>
      <c r="Q96" s="268"/>
      <c r="R96" s="309"/>
      <c r="S96" s="268"/>
      <c r="T96" s="313"/>
      <c r="U96" s="313"/>
      <c r="V96" s="268"/>
      <c r="W96" s="268"/>
      <c r="X96" s="268"/>
      <c r="Y96" s="268"/>
      <c r="Z96" s="268"/>
    </row>
    <row r="97" spans="1:26" ht="24.75" customHeight="1">
      <c r="A97" s="268"/>
      <c r="B97" s="268"/>
      <c r="C97" s="268"/>
      <c r="D97" s="268"/>
      <c r="E97" s="268"/>
      <c r="F97" s="268"/>
      <c r="G97" s="268"/>
      <c r="H97" s="268"/>
      <c r="I97" s="268"/>
      <c r="J97" s="268"/>
      <c r="K97" s="268"/>
      <c r="L97" s="268"/>
      <c r="M97" s="268"/>
      <c r="N97" s="268"/>
      <c r="O97" s="268"/>
      <c r="P97" s="310"/>
      <c r="Q97" s="268"/>
      <c r="R97" s="309"/>
      <c r="S97" s="268"/>
      <c r="T97" s="313"/>
      <c r="U97" s="313"/>
      <c r="V97" s="268"/>
      <c r="W97" s="268"/>
      <c r="X97" s="268"/>
      <c r="Y97" s="268"/>
      <c r="Z97" s="268"/>
    </row>
    <row r="98" spans="1:26" ht="24.75" customHeight="1">
      <c r="A98" s="268"/>
      <c r="B98" s="268"/>
      <c r="C98" s="268"/>
      <c r="D98" s="268"/>
      <c r="E98" s="268"/>
      <c r="F98" s="268"/>
      <c r="G98" s="268"/>
      <c r="H98" s="268"/>
      <c r="I98" s="268"/>
      <c r="J98" s="268"/>
      <c r="K98" s="268"/>
      <c r="L98" s="268"/>
      <c r="M98" s="268"/>
      <c r="N98" s="268"/>
      <c r="O98" s="268"/>
      <c r="P98" s="310"/>
      <c r="Q98" s="268"/>
      <c r="R98" s="309"/>
      <c r="S98" s="268"/>
      <c r="T98" s="313"/>
      <c r="U98" s="313"/>
      <c r="V98" s="268"/>
      <c r="W98" s="268"/>
      <c r="X98" s="268"/>
      <c r="Y98" s="268"/>
      <c r="Z98" s="268"/>
    </row>
    <row r="99" spans="1:26" ht="24.75" customHeight="1">
      <c r="A99" s="268"/>
      <c r="B99" s="268"/>
      <c r="C99" s="268"/>
      <c r="D99" s="268"/>
      <c r="E99" s="268"/>
      <c r="F99" s="268"/>
      <c r="G99" s="268"/>
      <c r="H99" s="268"/>
      <c r="I99" s="268"/>
      <c r="J99" s="268"/>
      <c r="K99" s="268"/>
      <c r="L99" s="268"/>
      <c r="M99" s="268"/>
      <c r="N99" s="268"/>
      <c r="O99" s="268"/>
      <c r="P99" s="310"/>
      <c r="Q99" s="268"/>
      <c r="R99" s="309"/>
      <c r="S99" s="268"/>
      <c r="T99" s="313"/>
      <c r="U99" s="313"/>
      <c r="V99" s="268"/>
      <c r="W99" s="268"/>
      <c r="X99" s="268"/>
      <c r="Y99" s="268"/>
      <c r="Z99" s="268"/>
    </row>
    <row r="100" spans="1:26" ht="24.75" customHeight="1">
      <c r="A100" s="268"/>
      <c r="B100" s="268"/>
      <c r="C100" s="268"/>
      <c r="D100" s="268"/>
      <c r="E100" s="268"/>
      <c r="F100" s="268"/>
      <c r="G100" s="268"/>
      <c r="H100" s="268"/>
      <c r="I100" s="268"/>
      <c r="J100" s="268"/>
      <c r="K100" s="268"/>
      <c r="L100" s="268"/>
      <c r="M100" s="268"/>
      <c r="N100" s="268"/>
      <c r="O100" s="268"/>
      <c r="P100" s="310"/>
      <c r="Q100" s="268"/>
      <c r="R100" s="309"/>
      <c r="S100" s="268"/>
      <c r="T100" s="313"/>
      <c r="U100" s="313"/>
      <c r="V100" s="268"/>
      <c r="W100" s="268"/>
      <c r="X100" s="268"/>
      <c r="Y100" s="268"/>
      <c r="Z100" s="268"/>
    </row>
    <row r="101" spans="1:26" ht="24.75" customHeight="1">
      <c r="A101" s="268"/>
      <c r="B101" s="268"/>
      <c r="C101" s="268"/>
      <c r="D101" s="268"/>
      <c r="E101" s="268"/>
      <c r="F101" s="268"/>
      <c r="G101" s="268"/>
      <c r="H101" s="268"/>
      <c r="I101" s="268"/>
      <c r="J101" s="268"/>
      <c r="K101" s="268"/>
      <c r="L101" s="268"/>
      <c r="M101" s="268"/>
      <c r="N101" s="268"/>
      <c r="O101" s="268"/>
      <c r="P101" s="310"/>
      <c r="Q101" s="268"/>
      <c r="R101" s="309"/>
      <c r="S101" s="268"/>
      <c r="T101" s="313"/>
      <c r="U101" s="313"/>
      <c r="V101" s="268"/>
      <c r="W101" s="268"/>
      <c r="X101" s="268"/>
      <c r="Y101" s="268"/>
      <c r="Z101" s="268"/>
    </row>
    <row r="102" spans="1:26" ht="24.75" customHeight="1">
      <c r="A102" s="268"/>
      <c r="B102" s="268"/>
      <c r="C102" s="268"/>
      <c r="D102" s="268"/>
      <c r="E102" s="268"/>
      <c r="F102" s="268"/>
      <c r="G102" s="268"/>
      <c r="H102" s="268"/>
      <c r="I102" s="268"/>
      <c r="J102" s="268"/>
      <c r="K102" s="268"/>
      <c r="L102" s="268"/>
      <c r="M102" s="268"/>
      <c r="N102" s="268"/>
      <c r="O102" s="268"/>
      <c r="P102" s="310"/>
      <c r="Q102" s="268"/>
      <c r="R102" s="309"/>
      <c r="S102" s="268"/>
      <c r="T102" s="313"/>
      <c r="U102" s="313"/>
      <c r="V102" s="268"/>
      <c r="W102" s="268"/>
      <c r="X102" s="268"/>
      <c r="Y102" s="268"/>
      <c r="Z102" s="268"/>
    </row>
    <row r="103" spans="1:26" ht="24.75" customHeight="1">
      <c r="A103" s="268"/>
      <c r="B103" s="268"/>
      <c r="C103" s="268"/>
      <c r="D103" s="268"/>
      <c r="E103" s="268"/>
      <c r="F103" s="268"/>
      <c r="G103" s="268"/>
      <c r="H103" s="268"/>
      <c r="I103" s="268"/>
      <c r="J103" s="268"/>
      <c r="K103" s="268"/>
      <c r="L103" s="268"/>
      <c r="M103" s="268"/>
      <c r="N103" s="268"/>
      <c r="O103" s="268"/>
      <c r="P103" s="310"/>
      <c r="Q103" s="268"/>
      <c r="R103" s="309"/>
      <c r="S103" s="268"/>
      <c r="T103" s="313"/>
      <c r="U103" s="313"/>
      <c r="V103" s="268"/>
      <c r="W103" s="268"/>
      <c r="X103" s="268"/>
      <c r="Y103" s="268"/>
      <c r="Z103" s="268"/>
    </row>
    <row r="104" spans="1:26" ht="24.75" customHeight="1">
      <c r="A104" s="268"/>
      <c r="B104" s="268"/>
      <c r="C104" s="268"/>
      <c r="D104" s="268"/>
      <c r="E104" s="268"/>
      <c r="F104" s="268"/>
      <c r="G104" s="268"/>
      <c r="H104" s="268"/>
      <c r="I104" s="268"/>
      <c r="J104" s="268"/>
      <c r="K104" s="268"/>
      <c r="L104" s="268"/>
      <c r="M104" s="268"/>
      <c r="N104" s="268"/>
      <c r="O104" s="268"/>
      <c r="P104" s="310"/>
      <c r="Q104" s="268"/>
      <c r="R104" s="309"/>
      <c r="S104" s="268"/>
      <c r="T104" s="313"/>
      <c r="U104" s="313"/>
      <c r="V104" s="268"/>
      <c r="W104" s="268"/>
      <c r="X104" s="268"/>
      <c r="Y104" s="268"/>
      <c r="Z104" s="268"/>
    </row>
    <row r="105" spans="1:26" ht="24.75" customHeight="1">
      <c r="A105" s="268"/>
      <c r="B105" s="268"/>
      <c r="C105" s="268"/>
      <c r="D105" s="268"/>
      <c r="E105" s="268"/>
      <c r="F105" s="268"/>
      <c r="G105" s="268"/>
      <c r="H105" s="268"/>
      <c r="I105" s="268"/>
      <c r="J105" s="268"/>
      <c r="K105" s="268"/>
      <c r="L105" s="268"/>
      <c r="M105" s="268"/>
      <c r="N105" s="268"/>
      <c r="O105" s="268"/>
      <c r="P105" s="310"/>
      <c r="Q105" s="268"/>
      <c r="R105" s="309"/>
      <c r="S105" s="268"/>
      <c r="T105" s="313"/>
      <c r="U105" s="313"/>
      <c r="V105" s="268"/>
      <c r="W105" s="268"/>
      <c r="X105" s="268"/>
      <c r="Y105" s="268"/>
      <c r="Z105" s="268"/>
    </row>
    <row r="106" spans="1:26" ht="24.75" customHeight="1">
      <c r="A106" s="268"/>
      <c r="B106" s="268"/>
      <c r="C106" s="268"/>
      <c r="D106" s="268"/>
      <c r="E106" s="268"/>
      <c r="F106" s="268"/>
      <c r="G106" s="268"/>
      <c r="H106" s="268"/>
      <c r="I106" s="268"/>
      <c r="J106" s="268"/>
      <c r="K106" s="268"/>
      <c r="L106" s="268"/>
      <c r="M106" s="268"/>
      <c r="N106" s="268"/>
      <c r="O106" s="268"/>
      <c r="P106" s="310"/>
      <c r="Q106" s="268"/>
      <c r="R106" s="309"/>
      <c r="S106" s="268"/>
      <c r="T106" s="313"/>
      <c r="U106" s="313"/>
      <c r="V106" s="268"/>
      <c r="W106" s="268"/>
      <c r="X106" s="268"/>
      <c r="Y106" s="268"/>
      <c r="Z106" s="268"/>
    </row>
    <row r="107" spans="1:26" ht="24.75" customHeight="1">
      <c r="A107" s="268"/>
      <c r="B107" s="268"/>
      <c r="C107" s="268"/>
      <c r="D107" s="268"/>
      <c r="E107" s="268"/>
      <c r="F107" s="268"/>
      <c r="G107" s="268"/>
      <c r="H107" s="268"/>
      <c r="I107" s="268"/>
      <c r="J107" s="268"/>
      <c r="K107" s="268"/>
      <c r="L107" s="268"/>
      <c r="M107" s="268"/>
      <c r="N107" s="268"/>
      <c r="O107" s="268"/>
      <c r="P107" s="310"/>
      <c r="Q107" s="268"/>
      <c r="R107" s="309"/>
      <c r="S107" s="268"/>
      <c r="T107" s="313"/>
      <c r="U107" s="313"/>
      <c r="V107" s="268"/>
      <c r="W107" s="268"/>
      <c r="X107" s="268"/>
      <c r="Y107" s="268"/>
      <c r="Z107" s="268"/>
    </row>
    <row r="108" spans="1:26" ht="24.75" customHeight="1">
      <c r="A108" s="268"/>
      <c r="B108" s="268"/>
      <c r="C108" s="268"/>
      <c r="D108" s="268"/>
      <c r="E108" s="268"/>
      <c r="F108" s="268"/>
      <c r="G108" s="268"/>
      <c r="H108" s="268"/>
      <c r="I108" s="268"/>
      <c r="J108" s="268"/>
      <c r="K108" s="268"/>
      <c r="L108" s="268"/>
      <c r="M108" s="268"/>
      <c r="N108" s="268"/>
      <c r="O108" s="268"/>
      <c r="P108" s="310"/>
      <c r="Q108" s="268"/>
      <c r="R108" s="309"/>
      <c r="S108" s="268"/>
      <c r="T108" s="313"/>
      <c r="U108" s="313"/>
      <c r="V108" s="268"/>
      <c r="W108" s="268"/>
      <c r="X108" s="268"/>
      <c r="Y108" s="268"/>
      <c r="Z108" s="268"/>
    </row>
    <row r="109" spans="1:26" ht="24.75" customHeight="1">
      <c r="A109" s="268"/>
      <c r="B109" s="268"/>
      <c r="C109" s="268"/>
      <c r="D109" s="268"/>
      <c r="E109" s="268"/>
      <c r="F109" s="268"/>
      <c r="G109" s="268"/>
      <c r="H109" s="268"/>
      <c r="I109" s="268"/>
      <c r="J109" s="268"/>
      <c r="K109" s="268"/>
      <c r="L109" s="268"/>
      <c r="M109" s="268"/>
      <c r="N109" s="268"/>
      <c r="O109" s="268"/>
      <c r="P109" s="310"/>
      <c r="Q109" s="268"/>
      <c r="R109" s="309"/>
      <c r="S109" s="268"/>
      <c r="T109" s="313"/>
      <c r="U109" s="313"/>
      <c r="V109" s="268"/>
      <c r="W109" s="268"/>
      <c r="X109" s="268"/>
      <c r="Y109" s="268"/>
      <c r="Z109" s="268"/>
    </row>
    <row r="110" spans="1:26" ht="24.75" customHeight="1">
      <c r="A110" s="268"/>
      <c r="B110" s="268"/>
      <c r="C110" s="268"/>
      <c r="D110" s="268"/>
      <c r="E110" s="268"/>
      <c r="F110" s="268"/>
      <c r="G110" s="268"/>
      <c r="H110" s="268"/>
      <c r="I110" s="268"/>
      <c r="J110" s="268"/>
      <c r="K110" s="268"/>
      <c r="L110" s="268"/>
      <c r="M110" s="268"/>
      <c r="N110" s="268"/>
      <c r="O110" s="268"/>
      <c r="P110" s="310"/>
      <c r="Q110" s="268"/>
      <c r="R110" s="309"/>
      <c r="S110" s="268"/>
      <c r="T110" s="313"/>
      <c r="U110" s="313"/>
      <c r="V110" s="268"/>
      <c r="W110" s="268"/>
      <c r="X110" s="268"/>
      <c r="Y110" s="268"/>
      <c r="Z110" s="268"/>
    </row>
    <row r="111" spans="1:26" ht="24.75" customHeight="1">
      <c r="A111" s="268"/>
      <c r="B111" s="268"/>
      <c r="C111" s="268"/>
      <c r="D111" s="268"/>
      <c r="E111" s="268"/>
      <c r="F111" s="268"/>
      <c r="G111" s="268"/>
      <c r="H111" s="268"/>
      <c r="I111" s="268"/>
      <c r="J111" s="268"/>
      <c r="K111" s="268"/>
      <c r="L111" s="268"/>
      <c r="M111" s="268"/>
      <c r="N111" s="268"/>
      <c r="O111" s="268"/>
      <c r="P111" s="310"/>
      <c r="Q111" s="268"/>
      <c r="R111" s="309"/>
      <c r="S111" s="268"/>
      <c r="T111" s="313"/>
      <c r="U111" s="313"/>
      <c r="V111" s="268"/>
      <c r="W111" s="268"/>
      <c r="X111" s="268"/>
      <c r="Y111" s="268"/>
      <c r="Z111" s="268"/>
    </row>
    <row r="112" spans="1:26" ht="24.75" customHeight="1">
      <c r="A112" s="268"/>
      <c r="B112" s="268"/>
      <c r="C112" s="268"/>
      <c r="D112" s="268"/>
      <c r="E112" s="268"/>
      <c r="F112" s="268"/>
      <c r="G112" s="268"/>
      <c r="H112" s="268"/>
      <c r="I112" s="268"/>
      <c r="J112" s="268"/>
      <c r="K112" s="268"/>
      <c r="L112" s="268"/>
      <c r="M112" s="268"/>
      <c r="N112" s="268"/>
      <c r="O112" s="268"/>
      <c r="P112" s="310"/>
      <c r="Q112" s="268"/>
      <c r="R112" s="309"/>
      <c r="S112" s="268"/>
      <c r="T112" s="313"/>
      <c r="U112" s="313"/>
      <c r="V112" s="268"/>
      <c r="W112" s="268"/>
      <c r="X112" s="268"/>
      <c r="Y112" s="268"/>
      <c r="Z112" s="268"/>
    </row>
    <row r="113" spans="1:26" ht="24.75" customHeight="1">
      <c r="A113" s="268"/>
      <c r="B113" s="268"/>
      <c r="C113" s="268"/>
      <c r="D113" s="268"/>
      <c r="E113" s="268"/>
      <c r="F113" s="268"/>
      <c r="G113" s="268"/>
      <c r="H113" s="268"/>
      <c r="I113" s="268"/>
      <c r="J113" s="268"/>
      <c r="K113" s="268"/>
      <c r="L113" s="268"/>
      <c r="M113" s="268"/>
      <c r="N113" s="268"/>
      <c r="O113" s="268"/>
      <c r="P113" s="310"/>
      <c r="Q113" s="268"/>
      <c r="R113" s="309"/>
      <c r="S113" s="268"/>
      <c r="T113" s="313"/>
      <c r="U113" s="313"/>
      <c r="V113" s="268"/>
      <c r="W113" s="268"/>
      <c r="X113" s="268"/>
      <c r="Y113" s="268"/>
      <c r="Z113" s="268"/>
    </row>
    <row r="114" spans="1:26" ht="24.75" customHeight="1">
      <c r="A114" s="268"/>
      <c r="B114" s="268"/>
      <c r="C114" s="268"/>
      <c r="D114" s="268"/>
      <c r="E114" s="268"/>
      <c r="F114" s="268"/>
      <c r="G114" s="268"/>
      <c r="H114" s="268"/>
      <c r="I114" s="268"/>
      <c r="J114" s="268"/>
      <c r="K114" s="268"/>
      <c r="L114" s="268"/>
      <c r="M114" s="268"/>
      <c r="N114" s="268"/>
      <c r="O114" s="268"/>
      <c r="P114" s="310"/>
      <c r="Q114" s="268"/>
      <c r="R114" s="309"/>
      <c r="S114" s="268"/>
      <c r="T114" s="313"/>
      <c r="U114" s="313"/>
      <c r="V114" s="268"/>
      <c r="W114" s="268"/>
      <c r="X114" s="268"/>
      <c r="Y114" s="268"/>
      <c r="Z114" s="268"/>
    </row>
    <row r="115" spans="1:26" ht="24.75" customHeight="1">
      <c r="A115" s="268"/>
      <c r="B115" s="268"/>
      <c r="C115" s="268"/>
      <c r="D115" s="268"/>
      <c r="E115" s="268"/>
      <c r="F115" s="268"/>
      <c r="G115" s="268"/>
      <c r="H115" s="268"/>
      <c r="I115" s="268"/>
      <c r="J115" s="268"/>
      <c r="K115" s="268"/>
      <c r="L115" s="268"/>
      <c r="M115" s="268"/>
      <c r="N115" s="268"/>
      <c r="O115" s="268"/>
      <c r="P115" s="310"/>
      <c r="Q115" s="268"/>
      <c r="R115" s="309"/>
      <c r="S115" s="268"/>
      <c r="T115" s="313"/>
      <c r="U115" s="313"/>
      <c r="V115" s="268"/>
      <c r="W115" s="268"/>
      <c r="X115" s="268"/>
      <c r="Y115" s="268"/>
      <c r="Z115" s="268"/>
    </row>
    <row r="116" spans="1:26" ht="24.75" customHeight="1">
      <c r="A116" s="268"/>
      <c r="B116" s="268"/>
      <c r="C116" s="268"/>
      <c r="D116" s="268"/>
      <c r="E116" s="268"/>
      <c r="F116" s="268"/>
      <c r="G116" s="268"/>
      <c r="H116" s="268"/>
      <c r="I116" s="268"/>
      <c r="J116" s="268"/>
      <c r="K116" s="268"/>
      <c r="L116" s="268"/>
      <c r="M116" s="268"/>
      <c r="N116" s="268"/>
      <c r="O116" s="268"/>
      <c r="P116" s="310"/>
      <c r="Q116" s="268"/>
      <c r="R116" s="309"/>
      <c r="S116" s="268"/>
      <c r="T116" s="313"/>
      <c r="U116" s="313"/>
      <c r="V116" s="268"/>
      <c r="W116" s="268"/>
      <c r="X116" s="268"/>
      <c r="Y116" s="268"/>
      <c r="Z116" s="268"/>
    </row>
    <row r="117" spans="1:26" ht="24.75" customHeight="1">
      <c r="A117" s="268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268"/>
      <c r="M117" s="268"/>
      <c r="N117" s="268"/>
      <c r="O117" s="268"/>
      <c r="P117" s="310"/>
      <c r="Q117" s="268"/>
      <c r="R117" s="309"/>
      <c r="S117" s="268"/>
      <c r="T117" s="313"/>
      <c r="U117" s="313"/>
      <c r="V117" s="268"/>
      <c r="W117" s="268"/>
      <c r="X117" s="268"/>
      <c r="Y117" s="268"/>
      <c r="Z117" s="268"/>
    </row>
    <row r="118" spans="1:26" ht="24.75" customHeight="1">
      <c r="A118" s="268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268"/>
      <c r="M118" s="268"/>
      <c r="N118" s="268"/>
      <c r="O118" s="268"/>
      <c r="P118" s="310"/>
      <c r="Q118" s="268"/>
      <c r="R118" s="309"/>
      <c r="S118" s="268"/>
      <c r="T118" s="313"/>
      <c r="U118" s="313"/>
      <c r="V118" s="268"/>
      <c r="W118" s="268"/>
      <c r="X118" s="268"/>
      <c r="Y118" s="268"/>
      <c r="Z118" s="268"/>
    </row>
    <row r="119" spans="1:26" ht="24.75" customHeight="1">
      <c r="A119" s="268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268"/>
      <c r="M119" s="268"/>
      <c r="N119" s="268"/>
      <c r="O119" s="268"/>
      <c r="P119" s="310"/>
      <c r="Q119" s="268"/>
      <c r="R119" s="309"/>
      <c r="S119" s="268"/>
      <c r="T119" s="313"/>
      <c r="U119" s="313"/>
      <c r="V119" s="268"/>
      <c r="W119" s="268"/>
      <c r="X119" s="268"/>
      <c r="Y119" s="268"/>
      <c r="Z119" s="268"/>
    </row>
    <row r="120" spans="1:26" ht="24.75" customHeight="1">
      <c r="A120" s="268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268"/>
      <c r="M120" s="268"/>
      <c r="N120" s="268"/>
      <c r="O120" s="268"/>
      <c r="P120" s="310"/>
      <c r="Q120" s="268"/>
      <c r="R120" s="309"/>
      <c r="S120" s="268"/>
      <c r="T120" s="313"/>
      <c r="U120" s="313"/>
      <c r="V120" s="268"/>
      <c r="W120" s="268"/>
      <c r="X120" s="268"/>
      <c r="Y120" s="268"/>
      <c r="Z120" s="268"/>
    </row>
    <row r="121" spans="1:26" ht="24.75" customHeight="1">
      <c r="A121" s="268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268"/>
      <c r="M121" s="268"/>
      <c r="N121" s="268"/>
      <c r="O121" s="268"/>
      <c r="P121" s="310"/>
      <c r="Q121" s="268"/>
      <c r="R121" s="309"/>
      <c r="S121" s="268"/>
      <c r="T121" s="313"/>
      <c r="U121" s="313"/>
      <c r="V121" s="268"/>
      <c r="W121" s="268"/>
      <c r="X121" s="268"/>
      <c r="Y121" s="268"/>
      <c r="Z121" s="268"/>
    </row>
    <row r="122" spans="1:26" ht="24.75" customHeight="1">
      <c r="A122" s="268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268"/>
      <c r="M122" s="268"/>
      <c r="N122" s="268"/>
      <c r="O122" s="268"/>
      <c r="P122" s="310"/>
      <c r="Q122" s="268"/>
      <c r="R122" s="309"/>
      <c r="S122" s="268"/>
      <c r="T122" s="313"/>
      <c r="U122" s="313"/>
      <c r="V122" s="268"/>
      <c r="W122" s="268"/>
      <c r="X122" s="268"/>
      <c r="Y122" s="268"/>
      <c r="Z122" s="268"/>
    </row>
    <row r="123" spans="1:26" ht="24.75" customHeight="1">
      <c r="A123" s="268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268"/>
      <c r="M123" s="268"/>
      <c r="N123" s="268"/>
      <c r="O123" s="268"/>
      <c r="P123" s="310"/>
      <c r="Q123" s="268"/>
      <c r="R123" s="309"/>
      <c r="S123" s="268"/>
      <c r="T123" s="313"/>
      <c r="U123" s="313"/>
      <c r="V123" s="268"/>
      <c r="W123" s="268"/>
      <c r="X123" s="268"/>
      <c r="Y123" s="268"/>
      <c r="Z123" s="268"/>
    </row>
    <row r="124" spans="1:26" ht="24.75" customHeight="1">
      <c r="A124" s="268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268"/>
      <c r="M124" s="268"/>
      <c r="N124" s="268"/>
      <c r="O124" s="268"/>
      <c r="P124" s="310"/>
      <c r="Q124" s="268"/>
      <c r="R124" s="309"/>
      <c r="S124" s="268"/>
      <c r="T124" s="313"/>
      <c r="U124" s="313"/>
      <c r="V124" s="268"/>
      <c r="W124" s="268"/>
      <c r="X124" s="268"/>
      <c r="Y124" s="268"/>
      <c r="Z124" s="268"/>
    </row>
    <row r="125" spans="1:26" ht="24.75" customHeight="1">
      <c r="A125" s="268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268"/>
      <c r="M125" s="268"/>
      <c r="N125" s="268"/>
      <c r="O125" s="268"/>
      <c r="P125" s="310"/>
      <c r="Q125" s="268"/>
      <c r="R125" s="309"/>
      <c r="S125" s="268"/>
      <c r="T125" s="313"/>
      <c r="U125" s="313"/>
      <c r="V125" s="268"/>
      <c r="W125" s="268"/>
      <c r="X125" s="268"/>
      <c r="Y125" s="268"/>
      <c r="Z125" s="268"/>
    </row>
    <row r="126" spans="1:26" ht="24.75" customHeight="1">
      <c r="A126" s="268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268"/>
      <c r="M126" s="268"/>
      <c r="N126" s="268"/>
      <c r="O126" s="268"/>
      <c r="P126" s="310"/>
      <c r="Q126" s="268"/>
      <c r="R126" s="309"/>
      <c r="S126" s="268"/>
      <c r="T126" s="313"/>
      <c r="U126" s="313"/>
      <c r="V126" s="268"/>
      <c r="W126" s="268"/>
      <c r="X126" s="268"/>
      <c r="Y126" s="268"/>
      <c r="Z126" s="268"/>
    </row>
    <row r="127" spans="1:26" ht="24.75" customHeight="1">
      <c r="A127" s="268"/>
      <c r="B127" s="268"/>
      <c r="C127" s="268"/>
      <c r="D127" s="268"/>
      <c r="E127" s="268"/>
      <c r="F127" s="268"/>
      <c r="G127" s="268"/>
      <c r="H127" s="268"/>
      <c r="I127" s="268"/>
      <c r="J127" s="268"/>
      <c r="K127" s="268"/>
      <c r="L127" s="268"/>
      <c r="M127" s="268"/>
      <c r="N127" s="268"/>
      <c r="O127" s="268"/>
      <c r="P127" s="310"/>
      <c r="Q127" s="268"/>
      <c r="R127" s="309"/>
      <c r="S127" s="268"/>
      <c r="T127" s="313"/>
      <c r="U127" s="313"/>
      <c r="V127" s="268"/>
      <c r="W127" s="268"/>
      <c r="X127" s="268"/>
      <c r="Y127" s="268"/>
      <c r="Z127" s="268"/>
    </row>
    <row r="128" spans="1:26" ht="24.75" customHeight="1">
      <c r="A128" s="268"/>
      <c r="B128" s="268"/>
      <c r="C128" s="268"/>
      <c r="D128" s="268"/>
      <c r="E128" s="268"/>
      <c r="F128" s="268"/>
      <c r="G128" s="268"/>
      <c r="H128" s="268"/>
      <c r="I128" s="268"/>
      <c r="J128" s="268"/>
      <c r="K128" s="268"/>
      <c r="L128" s="268"/>
      <c r="M128" s="268"/>
      <c r="N128" s="268"/>
      <c r="O128" s="268"/>
      <c r="P128" s="310"/>
      <c r="Q128" s="268"/>
      <c r="R128" s="309"/>
      <c r="S128" s="268"/>
      <c r="T128" s="313"/>
      <c r="U128" s="313"/>
      <c r="V128" s="268"/>
      <c r="W128" s="268"/>
      <c r="X128" s="268"/>
      <c r="Y128" s="268"/>
      <c r="Z128" s="268"/>
    </row>
    <row r="129" spans="1:26" ht="24.75" customHeight="1">
      <c r="A129" s="268"/>
      <c r="B129" s="268"/>
      <c r="C129" s="268"/>
      <c r="D129" s="268"/>
      <c r="E129" s="268"/>
      <c r="F129" s="268"/>
      <c r="G129" s="268"/>
      <c r="H129" s="268"/>
      <c r="I129" s="268"/>
      <c r="J129" s="268"/>
      <c r="K129" s="268"/>
      <c r="L129" s="268"/>
      <c r="M129" s="268"/>
      <c r="N129" s="268"/>
      <c r="O129" s="268"/>
      <c r="P129" s="310"/>
      <c r="Q129" s="268"/>
      <c r="R129" s="309"/>
      <c r="S129" s="268"/>
      <c r="T129" s="313"/>
      <c r="U129" s="313"/>
      <c r="V129" s="268"/>
      <c r="W129" s="268"/>
      <c r="X129" s="268"/>
      <c r="Y129" s="268"/>
      <c r="Z129" s="268"/>
    </row>
    <row r="130" spans="1:26" ht="24.75" customHeight="1">
      <c r="A130" s="268"/>
      <c r="B130" s="268"/>
      <c r="C130" s="268"/>
      <c r="D130" s="268"/>
      <c r="E130" s="268"/>
      <c r="F130" s="268"/>
      <c r="G130" s="268"/>
      <c r="H130" s="268"/>
      <c r="I130" s="268"/>
      <c r="J130" s="268"/>
      <c r="K130" s="268"/>
      <c r="L130" s="268"/>
      <c r="M130" s="268"/>
      <c r="N130" s="268"/>
      <c r="O130" s="268"/>
      <c r="P130" s="310"/>
      <c r="Q130" s="268"/>
      <c r="R130" s="309"/>
      <c r="S130" s="268"/>
      <c r="T130" s="313"/>
      <c r="U130" s="313"/>
      <c r="V130" s="268"/>
      <c r="W130" s="268"/>
      <c r="X130" s="268"/>
      <c r="Y130" s="268"/>
      <c r="Z130" s="268"/>
    </row>
    <row r="131" spans="1:26" ht="24.75" customHeight="1">
      <c r="A131" s="268"/>
      <c r="B131" s="268"/>
      <c r="C131" s="268"/>
      <c r="D131" s="268"/>
      <c r="E131" s="268"/>
      <c r="F131" s="268"/>
      <c r="G131" s="268"/>
      <c r="H131" s="268"/>
      <c r="I131" s="268"/>
      <c r="J131" s="268"/>
      <c r="K131" s="268"/>
      <c r="L131" s="268"/>
      <c r="M131" s="268"/>
      <c r="N131" s="268"/>
      <c r="O131" s="268"/>
      <c r="P131" s="310"/>
      <c r="Q131" s="268"/>
      <c r="R131" s="309"/>
      <c r="S131" s="268"/>
      <c r="T131" s="313"/>
      <c r="U131" s="313"/>
      <c r="V131" s="268"/>
      <c r="W131" s="268"/>
      <c r="X131" s="268"/>
      <c r="Y131" s="268"/>
      <c r="Z131" s="268"/>
    </row>
    <row r="132" spans="1:26" ht="24.75" customHeight="1">
      <c r="A132" s="268"/>
      <c r="B132" s="268"/>
      <c r="C132" s="268"/>
      <c r="D132" s="268"/>
      <c r="E132" s="268"/>
      <c r="F132" s="268"/>
      <c r="G132" s="268"/>
      <c r="H132" s="268"/>
      <c r="I132" s="268"/>
      <c r="J132" s="268"/>
      <c r="K132" s="268"/>
      <c r="L132" s="268"/>
      <c r="M132" s="268"/>
      <c r="N132" s="268"/>
      <c r="O132" s="268"/>
      <c r="P132" s="310"/>
      <c r="Q132" s="268"/>
      <c r="R132" s="309"/>
      <c r="S132" s="268"/>
      <c r="T132" s="313"/>
      <c r="U132" s="313"/>
      <c r="V132" s="268"/>
      <c r="W132" s="268"/>
      <c r="X132" s="268"/>
      <c r="Y132" s="268"/>
      <c r="Z132" s="268"/>
    </row>
    <row r="133" spans="1:26" ht="24.75" customHeight="1">
      <c r="A133" s="268"/>
      <c r="B133" s="268"/>
      <c r="C133" s="268"/>
      <c r="D133" s="268"/>
      <c r="E133" s="268"/>
      <c r="F133" s="268"/>
      <c r="G133" s="268"/>
      <c r="H133" s="268"/>
      <c r="I133" s="268"/>
      <c r="J133" s="268"/>
      <c r="K133" s="268"/>
      <c r="L133" s="268"/>
      <c r="M133" s="268"/>
      <c r="N133" s="268"/>
      <c r="O133" s="268"/>
      <c r="P133" s="310"/>
      <c r="Q133" s="268"/>
      <c r="R133" s="309"/>
      <c r="S133" s="268"/>
      <c r="T133" s="313"/>
      <c r="U133" s="313"/>
      <c r="V133" s="268"/>
      <c r="W133" s="268"/>
      <c r="X133" s="268"/>
      <c r="Y133" s="268"/>
      <c r="Z133" s="268"/>
    </row>
    <row r="134" spans="1:26" ht="24.75" customHeight="1">
      <c r="A134" s="268"/>
      <c r="B134" s="268"/>
      <c r="C134" s="268"/>
      <c r="D134" s="268"/>
      <c r="E134" s="268"/>
      <c r="F134" s="268"/>
      <c r="G134" s="268"/>
      <c r="H134" s="268"/>
      <c r="I134" s="268"/>
      <c r="J134" s="268"/>
      <c r="K134" s="268"/>
      <c r="L134" s="268"/>
      <c r="M134" s="268"/>
      <c r="N134" s="268"/>
      <c r="O134" s="268"/>
      <c r="P134" s="310"/>
      <c r="Q134" s="268"/>
      <c r="R134" s="309"/>
      <c r="S134" s="268"/>
      <c r="T134" s="313"/>
      <c r="U134" s="313"/>
      <c r="V134" s="268"/>
      <c r="W134" s="268"/>
      <c r="X134" s="268"/>
      <c r="Y134" s="268"/>
      <c r="Z134" s="268"/>
    </row>
    <row r="135" spans="1:26" ht="24.75" customHeight="1">
      <c r="A135" s="268"/>
      <c r="B135" s="268"/>
      <c r="C135" s="268"/>
      <c r="D135" s="268"/>
      <c r="E135" s="268"/>
      <c r="F135" s="268"/>
      <c r="G135" s="268"/>
      <c r="H135" s="268"/>
      <c r="I135" s="268"/>
      <c r="J135" s="268"/>
      <c r="K135" s="268"/>
      <c r="L135" s="268"/>
      <c r="M135" s="268"/>
      <c r="N135" s="268"/>
      <c r="O135" s="268"/>
      <c r="P135" s="310"/>
      <c r="Q135" s="268"/>
      <c r="R135" s="309"/>
      <c r="S135" s="268"/>
      <c r="T135" s="313"/>
      <c r="U135" s="313"/>
      <c r="V135" s="268"/>
      <c r="W135" s="268"/>
      <c r="X135" s="268"/>
      <c r="Y135" s="268"/>
      <c r="Z135" s="268"/>
    </row>
    <row r="136" spans="1:26" ht="24.75" customHeight="1">
      <c r="A136" s="268"/>
      <c r="B136" s="268"/>
      <c r="C136" s="268"/>
      <c r="D136" s="268"/>
      <c r="E136" s="268"/>
      <c r="F136" s="268"/>
      <c r="G136" s="268"/>
      <c r="H136" s="268"/>
      <c r="I136" s="268"/>
      <c r="J136" s="268"/>
      <c r="K136" s="268"/>
      <c r="L136" s="268"/>
      <c r="M136" s="268"/>
      <c r="N136" s="268"/>
      <c r="O136" s="268"/>
      <c r="P136" s="310"/>
      <c r="Q136" s="268"/>
      <c r="R136" s="309"/>
      <c r="S136" s="268"/>
      <c r="T136" s="313"/>
      <c r="U136" s="313"/>
      <c r="V136" s="268"/>
      <c r="W136" s="268"/>
      <c r="X136" s="268"/>
      <c r="Y136" s="268"/>
      <c r="Z136" s="268"/>
    </row>
    <row r="137" spans="1:26" ht="24.75" customHeight="1">
      <c r="A137" s="268"/>
      <c r="B137" s="268"/>
      <c r="C137" s="268"/>
      <c r="D137" s="268"/>
      <c r="E137" s="268"/>
      <c r="F137" s="268"/>
      <c r="G137" s="268"/>
      <c r="H137" s="268"/>
      <c r="I137" s="268"/>
      <c r="J137" s="268"/>
      <c r="K137" s="268"/>
      <c r="L137" s="268"/>
      <c r="M137" s="268"/>
      <c r="N137" s="268"/>
      <c r="O137" s="268"/>
      <c r="P137" s="310"/>
      <c r="Q137" s="268"/>
      <c r="R137" s="309"/>
      <c r="S137" s="268"/>
      <c r="T137" s="313"/>
      <c r="U137" s="313"/>
      <c r="V137" s="268"/>
      <c r="W137" s="268"/>
      <c r="X137" s="268"/>
      <c r="Y137" s="268"/>
      <c r="Z137" s="268"/>
    </row>
    <row r="138" spans="1:26" ht="24.75" customHeight="1">
      <c r="A138" s="268"/>
      <c r="B138" s="268"/>
      <c r="C138" s="268"/>
      <c r="D138" s="268"/>
      <c r="E138" s="268"/>
      <c r="F138" s="268"/>
      <c r="G138" s="268"/>
      <c r="H138" s="268"/>
      <c r="I138" s="268"/>
      <c r="J138" s="268"/>
      <c r="K138" s="268"/>
      <c r="L138" s="268"/>
      <c r="M138" s="268"/>
      <c r="N138" s="268"/>
      <c r="O138" s="268"/>
      <c r="P138" s="310"/>
      <c r="Q138" s="268"/>
      <c r="R138" s="309"/>
      <c r="S138" s="268"/>
      <c r="T138" s="313"/>
      <c r="U138" s="313"/>
      <c r="V138" s="268"/>
      <c r="W138" s="268"/>
      <c r="X138" s="268"/>
      <c r="Y138" s="268"/>
      <c r="Z138" s="268"/>
    </row>
    <row r="139" spans="1:26" ht="24.75" customHeight="1">
      <c r="A139" s="268"/>
      <c r="B139" s="268"/>
      <c r="C139" s="268"/>
      <c r="D139" s="268"/>
      <c r="E139" s="268"/>
      <c r="F139" s="268"/>
      <c r="G139" s="268"/>
      <c r="H139" s="268"/>
      <c r="I139" s="268"/>
      <c r="J139" s="268"/>
      <c r="K139" s="268"/>
      <c r="L139" s="268"/>
      <c r="M139" s="268"/>
      <c r="N139" s="268"/>
      <c r="O139" s="268"/>
      <c r="P139" s="310"/>
      <c r="Q139" s="268"/>
      <c r="R139" s="309"/>
      <c r="S139" s="268"/>
      <c r="T139" s="313"/>
      <c r="U139" s="313"/>
      <c r="V139" s="268"/>
      <c r="W139" s="268"/>
      <c r="X139" s="268"/>
      <c r="Y139" s="268"/>
      <c r="Z139" s="268"/>
    </row>
    <row r="140" spans="1:26" ht="24.75" customHeight="1">
      <c r="A140" s="268"/>
      <c r="B140" s="268"/>
      <c r="C140" s="268"/>
      <c r="D140" s="268"/>
      <c r="E140" s="268"/>
      <c r="F140" s="268"/>
      <c r="G140" s="268"/>
      <c r="H140" s="268"/>
      <c r="I140" s="268"/>
      <c r="J140" s="268"/>
      <c r="K140" s="268"/>
      <c r="L140" s="268"/>
      <c r="M140" s="268"/>
      <c r="N140" s="268"/>
      <c r="O140" s="268"/>
      <c r="P140" s="310"/>
      <c r="Q140" s="268"/>
      <c r="R140" s="309"/>
      <c r="S140" s="268"/>
      <c r="T140" s="313"/>
      <c r="U140" s="313"/>
      <c r="V140" s="268"/>
      <c r="W140" s="268"/>
      <c r="X140" s="268"/>
      <c r="Y140" s="268"/>
      <c r="Z140" s="268"/>
    </row>
    <row r="141" spans="1:26" ht="24.75" customHeight="1">
      <c r="A141" s="268"/>
      <c r="B141" s="268"/>
      <c r="C141" s="268"/>
      <c r="D141" s="268"/>
      <c r="E141" s="268"/>
      <c r="F141" s="268"/>
      <c r="G141" s="268"/>
      <c r="H141" s="268"/>
      <c r="I141" s="268"/>
      <c r="J141" s="268"/>
      <c r="K141" s="268"/>
      <c r="L141" s="268"/>
      <c r="M141" s="268"/>
      <c r="N141" s="268"/>
      <c r="O141" s="268"/>
      <c r="P141" s="310"/>
      <c r="Q141" s="268"/>
      <c r="R141" s="309"/>
      <c r="S141" s="268"/>
      <c r="T141" s="313"/>
      <c r="U141" s="313"/>
      <c r="V141" s="268"/>
      <c r="W141" s="268"/>
      <c r="X141" s="268"/>
      <c r="Y141" s="268"/>
      <c r="Z141" s="268"/>
    </row>
    <row r="142" spans="1:26" ht="24.75" customHeight="1">
      <c r="A142" s="268"/>
      <c r="B142" s="268"/>
      <c r="C142" s="268"/>
      <c r="D142" s="268"/>
      <c r="E142" s="268"/>
      <c r="F142" s="268"/>
      <c r="G142" s="268"/>
      <c r="H142" s="268"/>
      <c r="I142" s="268"/>
      <c r="J142" s="268"/>
      <c r="K142" s="268"/>
      <c r="L142" s="268"/>
      <c r="M142" s="268"/>
      <c r="N142" s="268"/>
      <c r="O142" s="268"/>
      <c r="P142" s="310"/>
      <c r="Q142" s="268"/>
      <c r="R142" s="309"/>
      <c r="S142" s="268"/>
      <c r="T142" s="313"/>
      <c r="U142" s="313"/>
      <c r="V142" s="268"/>
      <c r="W142" s="268"/>
      <c r="X142" s="268"/>
      <c r="Y142" s="268"/>
      <c r="Z142" s="268"/>
    </row>
    <row r="143" spans="1:26" ht="24.75" customHeight="1">
      <c r="A143" s="268"/>
      <c r="B143" s="268"/>
      <c r="C143" s="268"/>
      <c r="D143" s="268"/>
      <c r="E143" s="268"/>
      <c r="F143" s="268"/>
      <c r="G143" s="268"/>
      <c r="H143" s="268"/>
      <c r="I143" s="268"/>
      <c r="J143" s="268"/>
      <c r="K143" s="268"/>
      <c r="L143" s="268"/>
      <c r="M143" s="268"/>
      <c r="N143" s="268"/>
      <c r="O143" s="268"/>
      <c r="P143" s="310"/>
      <c r="Q143" s="268"/>
      <c r="R143" s="309"/>
      <c r="S143" s="268"/>
      <c r="T143" s="313"/>
      <c r="U143" s="313"/>
      <c r="V143" s="268"/>
      <c r="W143" s="268"/>
      <c r="X143" s="268"/>
      <c r="Y143" s="268"/>
      <c r="Z143" s="268"/>
    </row>
    <row r="144" spans="1:26" ht="24.75" customHeight="1">
      <c r="A144" s="268"/>
      <c r="B144" s="268"/>
      <c r="C144" s="268"/>
      <c r="D144" s="268"/>
      <c r="E144" s="268"/>
      <c r="F144" s="268"/>
      <c r="G144" s="268"/>
      <c r="H144" s="268"/>
      <c r="I144" s="268"/>
      <c r="J144" s="268"/>
      <c r="K144" s="268"/>
      <c r="L144" s="268"/>
      <c r="M144" s="268"/>
      <c r="N144" s="268"/>
      <c r="O144" s="268"/>
      <c r="P144" s="310"/>
      <c r="Q144" s="268"/>
      <c r="R144" s="309"/>
      <c r="S144" s="268"/>
      <c r="T144" s="313"/>
      <c r="U144" s="313"/>
      <c r="V144" s="268"/>
      <c r="W144" s="268"/>
      <c r="X144" s="268"/>
      <c r="Y144" s="268"/>
      <c r="Z144" s="268"/>
    </row>
    <row r="145" spans="1:26" ht="24.75" customHeight="1">
      <c r="A145" s="268"/>
      <c r="B145" s="268"/>
      <c r="C145" s="268"/>
      <c r="D145" s="268"/>
      <c r="E145" s="268"/>
      <c r="F145" s="268"/>
      <c r="G145" s="268"/>
      <c r="H145" s="268"/>
      <c r="I145" s="268"/>
      <c r="J145" s="268"/>
      <c r="K145" s="268"/>
      <c r="L145" s="268"/>
      <c r="M145" s="268"/>
      <c r="N145" s="268"/>
      <c r="O145" s="268"/>
      <c r="P145" s="310"/>
      <c r="Q145" s="268"/>
      <c r="R145" s="309"/>
      <c r="S145" s="268"/>
      <c r="T145" s="313"/>
      <c r="U145" s="313"/>
      <c r="V145" s="268"/>
      <c r="W145" s="268"/>
      <c r="X145" s="268"/>
      <c r="Y145" s="268"/>
      <c r="Z145" s="268"/>
    </row>
    <row r="146" spans="1:26" ht="24.75" customHeight="1">
      <c r="A146" s="268"/>
      <c r="B146" s="268"/>
      <c r="C146" s="268"/>
      <c r="D146" s="268"/>
      <c r="E146" s="268"/>
      <c r="F146" s="268"/>
      <c r="G146" s="268"/>
      <c r="H146" s="268"/>
      <c r="I146" s="268"/>
      <c r="J146" s="268"/>
      <c r="K146" s="268"/>
      <c r="L146" s="268"/>
      <c r="M146" s="268"/>
      <c r="N146" s="268"/>
      <c r="O146" s="268"/>
      <c r="P146" s="310"/>
      <c r="Q146" s="268"/>
      <c r="R146" s="309"/>
      <c r="S146" s="268"/>
      <c r="T146" s="313"/>
      <c r="U146" s="313"/>
      <c r="V146" s="268"/>
      <c r="W146" s="268"/>
      <c r="X146" s="268"/>
      <c r="Y146" s="268"/>
      <c r="Z146" s="268"/>
    </row>
    <row r="147" spans="1:26" ht="24.75" customHeight="1">
      <c r="A147" s="268"/>
      <c r="B147" s="268"/>
      <c r="C147" s="268"/>
      <c r="D147" s="268"/>
      <c r="E147" s="268"/>
      <c r="F147" s="268"/>
      <c r="G147" s="268"/>
      <c r="H147" s="268"/>
      <c r="I147" s="268"/>
      <c r="J147" s="268"/>
      <c r="K147" s="268"/>
      <c r="L147" s="268"/>
      <c r="M147" s="268"/>
      <c r="N147" s="268"/>
      <c r="O147" s="268"/>
      <c r="P147" s="310"/>
      <c r="Q147" s="268"/>
      <c r="R147" s="309"/>
      <c r="S147" s="268"/>
      <c r="T147" s="313"/>
      <c r="U147" s="313"/>
      <c r="V147" s="268"/>
      <c r="W147" s="268"/>
      <c r="X147" s="268"/>
      <c r="Y147" s="268"/>
      <c r="Z147" s="268"/>
    </row>
    <row r="148" spans="1:26" ht="24.75" customHeight="1">
      <c r="A148" s="268"/>
      <c r="B148" s="268"/>
      <c r="C148" s="268"/>
      <c r="D148" s="268"/>
      <c r="E148" s="268"/>
      <c r="F148" s="268"/>
      <c r="G148" s="268"/>
      <c r="H148" s="268"/>
      <c r="I148" s="268"/>
      <c r="J148" s="268"/>
      <c r="K148" s="268"/>
      <c r="L148" s="268"/>
      <c r="M148" s="268"/>
      <c r="N148" s="268"/>
      <c r="O148" s="268"/>
      <c r="P148" s="310"/>
      <c r="Q148" s="268"/>
      <c r="R148" s="309"/>
      <c r="S148" s="268"/>
      <c r="T148" s="313"/>
      <c r="U148" s="313"/>
      <c r="V148" s="268"/>
      <c r="W148" s="268"/>
      <c r="X148" s="268"/>
      <c r="Y148" s="268"/>
      <c r="Z148" s="268"/>
    </row>
    <row r="149" spans="1:26" ht="24.75" customHeight="1">
      <c r="A149" s="268"/>
      <c r="B149" s="268"/>
      <c r="C149" s="268"/>
      <c r="D149" s="268"/>
      <c r="E149" s="268"/>
      <c r="F149" s="268"/>
      <c r="G149" s="268"/>
      <c r="H149" s="268"/>
      <c r="I149" s="268"/>
      <c r="J149" s="268"/>
      <c r="K149" s="268"/>
      <c r="L149" s="268"/>
      <c r="M149" s="268"/>
      <c r="N149" s="268"/>
      <c r="O149" s="268"/>
      <c r="P149" s="310"/>
      <c r="Q149" s="268"/>
      <c r="R149" s="309"/>
      <c r="S149" s="268"/>
      <c r="T149" s="313"/>
      <c r="U149" s="313"/>
      <c r="V149" s="268"/>
      <c r="W149" s="268"/>
      <c r="X149" s="268"/>
      <c r="Y149" s="268"/>
      <c r="Z149" s="268"/>
    </row>
    <row r="150" spans="1:26" ht="24.75" customHeight="1">
      <c r="A150" s="268"/>
      <c r="B150" s="268"/>
      <c r="C150" s="268"/>
      <c r="D150" s="268"/>
      <c r="E150" s="268"/>
      <c r="F150" s="268"/>
      <c r="G150" s="268"/>
      <c r="H150" s="268"/>
      <c r="I150" s="268"/>
      <c r="J150" s="268"/>
      <c r="K150" s="268"/>
      <c r="L150" s="268"/>
      <c r="M150" s="268"/>
      <c r="N150" s="268"/>
      <c r="O150" s="268"/>
      <c r="P150" s="310"/>
      <c r="Q150" s="268"/>
      <c r="R150" s="309"/>
      <c r="S150" s="268"/>
      <c r="T150" s="313"/>
      <c r="U150" s="313"/>
      <c r="V150" s="268"/>
      <c r="W150" s="268"/>
      <c r="X150" s="268"/>
      <c r="Y150" s="268"/>
      <c r="Z150" s="268"/>
    </row>
    <row r="151" spans="1:26" ht="24.75" customHeight="1">
      <c r="A151" s="268"/>
      <c r="B151" s="268"/>
      <c r="C151" s="268"/>
      <c r="D151" s="268"/>
      <c r="E151" s="268"/>
      <c r="F151" s="268"/>
      <c r="G151" s="268"/>
      <c r="H151" s="268"/>
      <c r="I151" s="268"/>
      <c r="J151" s="268"/>
      <c r="K151" s="268"/>
      <c r="L151" s="268"/>
      <c r="M151" s="268"/>
      <c r="N151" s="268"/>
      <c r="O151" s="268"/>
      <c r="P151" s="310"/>
      <c r="Q151" s="268"/>
      <c r="R151" s="309"/>
      <c r="S151" s="268"/>
      <c r="T151" s="313"/>
      <c r="U151" s="313"/>
      <c r="V151" s="268"/>
      <c r="W151" s="268"/>
      <c r="X151" s="268"/>
      <c r="Y151" s="268"/>
      <c r="Z151" s="268"/>
    </row>
    <row r="152" spans="1:26" ht="24.75" customHeight="1">
      <c r="A152" s="268"/>
      <c r="B152" s="268"/>
      <c r="C152" s="268"/>
      <c r="D152" s="268"/>
      <c r="E152" s="268"/>
      <c r="F152" s="268"/>
      <c r="G152" s="268"/>
      <c r="H152" s="268"/>
      <c r="I152" s="268"/>
      <c r="J152" s="268"/>
      <c r="K152" s="268"/>
      <c r="L152" s="268"/>
      <c r="M152" s="268"/>
      <c r="N152" s="268"/>
      <c r="O152" s="268"/>
      <c r="P152" s="310"/>
      <c r="Q152" s="268"/>
      <c r="R152" s="309"/>
      <c r="S152" s="268"/>
      <c r="T152" s="313"/>
      <c r="U152" s="313"/>
      <c r="V152" s="268"/>
      <c r="W152" s="268"/>
      <c r="X152" s="268"/>
      <c r="Y152" s="268"/>
      <c r="Z152" s="268"/>
    </row>
    <row r="153" spans="1:26" ht="24.75" customHeight="1">
      <c r="A153" s="268"/>
      <c r="B153" s="268"/>
      <c r="C153" s="268"/>
      <c r="D153" s="268"/>
      <c r="E153" s="268"/>
      <c r="F153" s="268"/>
      <c r="G153" s="268"/>
      <c r="H153" s="268"/>
      <c r="I153" s="268"/>
      <c r="J153" s="268"/>
      <c r="K153" s="268"/>
      <c r="L153" s="268"/>
      <c r="M153" s="268"/>
      <c r="N153" s="268"/>
      <c r="O153" s="268"/>
      <c r="P153" s="310"/>
      <c r="Q153" s="268"/>
      <c r="R153" s="309"/>
      <c r="S153" s="268"/>
      <c r="T153" s="313"/>
      <c r="U153" s="313"/>
      <c r="V153" s="268"/>
      <c r="W153" s="268"/>
      <c r="X153" s="268"/>
      <c r="Y153" s="268"/>
      <c r="Z153" s="268"/>
    </row>
    <row r="154" spans="1:26" ht="24.75" customHeight="1">
      <c r="A154" s="268"/>
      <c r="B154" s="268"/>
      <c r="C154" s="268"/>
      <c r="D154" s="268"/>
      <c r="E154" s="268"/>
      <c r="F154" s="268"/>
      <c r="G154" s="268"/>
      <c r="H154" s="268"/>
      <c r="I154" s="268"/>
      <c r="J154" s="268"/>
      <c r="K154" s="268"/>
      <c r="L154" s="268"/>
      <c r="M154" s="268"/>
      <c r="N154" s="268"/>
      <c r="O154" s="268"/>
      <c r="P154" s="310"/>
      <c r="Q154" s="268"/>
      <c r="R154" s="309"/>
      <c r="S154" s="268"/>
      <c r="T154" s="313"/>
      <c r="U154" s="313"/>
      <c r="V154" s="268"/>
      <c r="W154" s="268"/>
      <c r="X154" s="268"/>
      <c r="Y154" s="268"/>
      <c r="Z154" s="268"/>
    </row>
    <row r="155" spans="1:26" ht="24.75" customHeight="1">
      <c r="A155" s="268"/>
      <c r="B155" s="268"/>
      <c r="C155" s="268"/>
      <c r="D155" s="268"/>
      <c r="E155" s="268"/>
      <c r="F155" s="268"/>
      <c r="G155" s="268"/>
      <c r="H155" s="268"/>
      <c r="I155" s="268"/>
      <c r="J155" s="268"/>
      <c r="K155" s="268"/>
      <c r="L155" s="268"/>
      <c r="M155" s="268"/>
      <c r="N155" s="268"/>
      <c r="O155" s="268"/>
      <c r="P155" s="310"/>
      <c r="Q155" s="268"/>
      <c r="R155" s="309"/>
      <c r="S155" s="268"/>
      <c r="T155" s="313"/>
      <c r="U155" s="313"/>
      <c r="V155" s="268"/>
      <c r="W155" s="268"/>
      <c r="X155" s="268"/>
      <c r="Y155" s="268"/>
      <c r="Z155" s="268"/>
    </row>
    <row r="156" spans="1:26" ht="24.75" customHeight="1">
      <c r="A156" s="268"/>
      <c r="B156" s="268"/>
      <c r="C156" s="268"/>
      <c r="D156" s="268"/>
      <c r="E156" s="268"/>
      <c r="F156" s="268"/>
      <c r="G156" s="268"/>
      <c r="H156" s="268"/>
      <c r="I156" s="268"/>
      <c r="J156" s="268"/>
      <c r="K156" s="268"/>
      <c r="L156" s="268"/>
      <c r="M156" s="268"/>
      <c r="N156" s="268"/>
      <c r="O156" s="268"/>
      <c r="P156" s="310"/>
      <c r="Q156" s="268"/>
      <c r="R156" s="309"/>
      <c r="S156" s="268"/>
      <c r="T156" s="313"/>
      <c r="U156" s="313"/>
      <c r="V156" s="268"/>
      <c r="W156" s="268"/>
      <c r="X156" s="268"/>
      <c r="Y156" s="268"/>
      <c r="Z156" s="268"/>
    </row>
    <row r="157" spans="1:26" ht="24.75" customHeight="1">
      <c r="A157" s="268"/>
      <c r="B157" s="268"/>
      <c r="C157" s="268"/>
      <c r="D157" s="268"/>
      <c r="E157" s="268"/>
      <c r="F157" s="268"/>
      <c r="G157" s="268"/>
      <c r="H157" s="268"/>
      <c r="I157" s="268"/>
      <c r="J157" s="268"/>
      <c r="K157" s="268"/>
      <c r="L157" s="268"/>
      <c r="M157" s="268"/>
      <c r="N157" s="268"/>
      <c r="O157" s="268"/>
      <c r="P157" s="310"/>
      <c r="Q157" s="268"/>
      <c r="R157" s="309"/>
      <c r="S157" s="268"/>
      <c r="T157" s="313"/>
      <c r="U157" s="313"/>
      <c r="V157" s="268"/>
      <c r="W157" s="268"/>
      <c r="X157" s="268"/>
      <c r="Y157" s="268"/>
      <c r="Z157" s="268"/>
    </row>
    <row r="158" spans="1:26" ht="24.75" customHeight="1">
      <c r="A158" s="268"/>
      <c r="B158" s="268"/>
      <c r="C158" s="268"/>
      <c r="D158" s="268"/>
      <c r="E158" s="268"/>
      <c r="F158" s="268"/>
      <c r="G158" s="268"/>
      <c r="H158" s="268"/>
      <c r="I158" s="268"/>
      <c r="J158" s="268"/>
      <c r="K158" s="268"/>
      <c r="L158" s="268"/>
      <c r="M158" s="268"/>
      <c r="N158" s="268"/>
      <c r="O158" s="268"/>
      <c r="P158" s="310"/>
      <c r="Q158" s="268"/>
      <c r="R158" s="309"/>
      <c r="S158" s="268"/>
      <c r="T158" s="313"/>
      <c r="U158" s="313"/>
      <c r="V158" s="268"/>
      <c r="W158" s="268"/>
      <c r="X158" s="268"/>
      <c r="Y158" s="268"/>
      <c r="Z158" s="268"/>
    </row>
    <row r="159" spans="1:26" ht="24.75" customHeight="1">
      <c r="A159" s="268"/>
      <c r="B159" s="268"/>
      <c r="C159" s="268"/>
      <c r="D159" s="268"/>
      <c r="E159" s="268"/>
      <c r="F159" s="268"/>
      <c r="G159" s="268"/>
      <c r="H159" s="268"/>
      <c r="I159" s="268"/>
      <c r="J159" s="268"/>
      <c r="K159" s="268"/>
      <c r="L159" s="268"/>
      <c r="M159" s="268"/>
      <c r="N159" s="268"/>
      <c r="O159" s="268"/>
      <c r="P159" s="310"/>
      <c r="Q159" s="268"/>
      <c r="R159" s="309"/>
      <c r="S159" s="268"/>
      <c r="T159" s="313"/>
      <c r="U159" s="313"/>
      <c r="V159" s="268"/>
      <c r="W159" s="268"/>
      <c r="X159" s="268"/>
      <c r="Y159" s="268"/>
      <c r="Z159" s="268"/>
    </row>
    <row r="160" spans="1:26" ht="24.75" customHeight="1">
      <c r="A160" s="268"/>
      <c r="B160" s="268"/>
      <c r="C160" s="268"/>
      <c r="D160" s="268"/>
      <c r="E160" s="268"/>
      <c r="F160" s="268"/>
      <c r="G160" s="268"/>
      <c r="H160" s="268"/>
      <c r="I160" s="268"/>
      <c r="J160" s="268"/>
      <c r="K160" s="268"/>
      <c r="L160" s="268"/>
      <c r="M160" s="268"/>
      <c r="N160" s="268"/>
      <c r="O160" s="268"/>
      <c r="P160" s="310"/>
      <c r="Q160" s="268"/>
      <c r="R160" s="309"/>
      <c r="S160" s="268"/>
      <c r="T160" s="313"/>
      <c r="U160" s="313"/>
      <c r="V160" s="268"/>
      <c r="W160" s="268"/>
      <c r="X160" s="268"/>
      <c r="Y160" s="268"/>
      <c r="Z160" s="268"/>
    </row>
    <row r="161" spans="1:26" ht="24.75" customHeight="1">
      <c r="A161" s="268"/>
      <c r="B161" s="268"/>
      <c r="C161" s="268"/>
      <c r="D161" s="268"/>
      <c r="E161" s="268"/>
      <c r="F161" s="268"/>
      <c r="G161" s="268"/>
      <c r="H161" s="268"/>
      <c r="I161" s="268"/>
      <c r="J161" s="268"/>
      <c r="K161" s="268"/>
      <c r="L161" s="268"/>
      <c r="M161" s="268"/>
      <c r="N161" s="268"/>
      <c r="O161" s="268"/>
      <c r="P161" s="310"/>
      <c r="Q161" s="268"/>
      <c r="R161" s="309"/>
      <c r="S161" s="268"/>
      <c r="T161" s="313"/>
      <c r="U161" s="313"/>
      <c r="V161" s="268"/>
      <c r="W161" s="268"/>
      <c r="X161" s="268"/>
      <c r="Y161" s="268"/>
      <c r="Z161" s="268"/>
    </row>
    <row r="162" spans="1:26" ht="24.75" customHeight="1">
      <c r="A162" s="268"/>
      <c r="B162" s="268"/>
      <c r="C162" s="268"/>
      <c r="D162" s="268"/>
      <c r="E162" s="268"/>
      <c r="F162" s="268"/>
      <c r="G162" s="268"/>
      <c r="H162" s="268"/>
      <c r="I162" s="268"/>
      <c r="J162" s="268"/>
      <c r="K162" s="268"/>
      <c r="L162" s="268"/>
      <c r="M162" s="268"/>
      <c r="N162" s="268"/>
      <c r="O162" s="268"/>
      <c r="P162" s="310"/>
      <c r="Q162" s="268"/>
      <c r="R162" s="309"/>
      <c r="S162" s="268"/>
      <c r="T162" s="313"/>
      <c r="U162" s="313"/>
      <c r="V162" s="268"/>
      <c r="W162" s="268"/>
      <c r="X162" s="268"/>
      <c r="Y162" s="268"/>
      <c r="Z162" s="268"/>
    </row>
    <row r="163" spans="1:26" ht="24.75" customHeight="1">
      <c r="A163" s="268"/>
      <c r="B163" s="268"/>
      <c r="C163" s="268"/>
      <c r="D163" s="268"/>
      <c r="E163" s="268"/>
      <c r="F163" s="268"/>
      <c r="G163" s="268"/>
      <c r="H163" s="268"/>
      <c r="I163" s="268"/>
      <c r="J163" s="268"/>
      <c r="K163" s="268"/>
      <c r="L163" s="268"/>
      <c r="M163" s="268"/>
      <c r="N163" s="268"/>
      <c r="O163" s="268"/>
      <c r="P163" s="310"/>
      <c r="Q163" s="268"/>
      <c r="R163" s="309"/>
      <c r="S163" s="268"/>
      <c r="T163" s="313"/>
      <c r="U163" s="313"/>
      <c r="V163" s="268"/>
      <c r="W163" s="268"/>
      <c r="X163" s="268"/>
      <c r="Y163" s="268"/>
      <c r="Z163" s="268"/>
    </row>
    <row r="164" spans="1:26" ht="24.75" customHeight="1">
      <c r="A164" s="268"/>
      <c r="B164" s="268"/>
      <c r="C164" s="268"/>
      <c r="D164" s="268"/>
      <c r="E164" s="268"/>
      <c r="F164" s="268"/>
      <c r="G164" s="268"/>
      <c r="H164" s="268"/>
      <c r="I164" s="268"/>
      <c r="J164" s="268"/>
      <c r="K164" s="268"/>
      <c r="L164" s="268"/>
      <c r="M164" s="268"/>
      <c r="N164" s="268"/>
      <c r="O164" s="268"/>
      <c r="P164" s="310"/>
      <c r="Q164" s="268"/>
      <c r="R164" s="309"/>
      <c r="S164" s="268"/>
      <c r="T164" s="313"/>
      <c r="U164" s="313"/>
      <c r="V164" s="268"/>
      <c r="W164" s="268"/>
      <c r="X164" s="268"/>
      <c r="Y164" s="268"/>
      <c r="Z164" s="268"/>
    </row>
    <row r="165" spans="1:26" ht="24.75" customHeight="1">
      <c r="A165" s="268"/>
      <c r="B165" s="268"/>
      <c r="C165" s="268"/>
      <c r="D165" s="268"/>
      <c r="E165" s="268"/>
      <c r="F165" s="268"/>
      <c r="G165" s="268"/>
      <c r="H165" s="268"/>
      <c r="I165" s="268"/>
      <c r="J165" s="268"/>
      <c r="K165" s="268"/>
      <c r="L165" s="268"/>
      <c r="M165" s="268"/>
      <c r="N165" s="268"/>
      <c r="O165" s="268"/>
      <c r="P165" s="310"/>
      <c r="Q165" s="268"/>
      <c r="R165" s="309"/>
      <c r="S165" s="268"/>
      <c r="T165" s="313"/>
      <c r="U165" s="313"/>
      <c r="V165" s="268"/>
      <c r="W165" s="268"/>
      <c r="X165" s="268"/>
      <c r="Y165" s="268"/>
      <c r="Z165" s="268"/>
    </row>
    <row r="166" spans="1:26" ht="24.75" customHeight="1">
      <c r="A166" s="268"/>
      <c r="B166" s="268"/>
      <c r="C166" s="268"/>
      <c r="D166" s="268"/>
      <c r="E166" s="268"/>
      <c r="F166" s="268"/>
      <c r="G166" s="268"/>
      <c r="H166" s="268"/>
      <c r="I166" s="268"/>
      <c r="J166" s="268"/>
      <c r="K166" s="268"/>
      <c r="L166" s="268"/>
      <c r="M166" s="268"/>
      <c r="N166" s="268"/>
      <c r="O166" s="268"/>
      <c r="P166" s="310"/>
      <c r="Q166" s="268"/>
      <c r="R166" s="309"/>
      <c r="S166" s="268"/>
      <c r="T166" s="313"/>
      <c r="U166" s="313"/>
      <c r="V166" s="268"/>
      <c r="W166" s="268"/>
      <c r="X166" s="268"/>
      <c r="Y166" s="268"/>
      <c r="Z166" s="268"/>
    </row>
    <row r="167" spans="1:26" ht="24.75" customHeight="1">
      <c r="A167" s="268"/>
      <c r="B167" s="268"/>
      <c r="C167" s="268"/>
      <c r="D167" s="268"/>
      <c r="E167" s="268"/>
      <c r="F167" s="268"/>
      <c r="G167" s="268"/>
      <c r="H167" s="268"/>
      <c r="I167" s="268"/>
      <c r="J167" s="268"/>
      <c r="K167" s="268"/>
      <c r="L167" s="268"/>
      <c r="M167" s="268"/>
      <c r="N167" s="268"/>
      <c r="O167" s="268"/>
      <c r="P167" s="310"/>
      <c r="Q167" s="268"/>
      <c r="R167" s="309"/>
      <c r="S167" s="268"/>
      <c r="T167" s="313"/>
      <c r="U167" s="313"/>
      <c r="V167" s="268"/>
      <c r="W167" s="268"/>
      <c r="X167" s="268"/>
      <c r="Y167" s="268"/>
      <c r="Z167" s="268"/>
    </row>
    <row r="168" spans="1:26" ht="24.75" customHeight="1">
      <c r="A168" s="268"/>
      <c r="B168" s="268"/>
      <c r="C168" s="268"/>
      <c r="D168" s="268"/>
      <c r="E168" s="268"/>
      <c r="F168" s="268"/>
      <c r="G168" s="268"/>
      <c r="H168" s="268"/>
      <c r="I168" s="268"/>
      <c r="J168" s="268"/>
      <c r="K168" s="268"/>
      <c r="L168" s="268"/>
      <c r="M168" s="268"/>
      <c r="N168" s="268"/>
      <c r="O168" s="268"/>
      <c r="P168" s="310"/>
      <c r="Q168" s="268"/>
      <c r="R168" s="309"/>
      <c r="S168" s="268"/>
      <c r="T168" s="313"/>
      <c r="U168" s="313"/>
      <c r="V168" s="268"/>
      <c r="W168" s="268"/>
      <c r="X168" s="268"/>
      <c r="Y168" s="268"/>
      <c r="Z168" s="268"/>
    </row>
    <row r="169" spans="1:26" ht="24.75" customHeight="1">
      <c r="A169" s="268"/>
      <c r="B169" s="268"/>
      <c r="C169" s="268"/>
      <c r="D169" s="268"/>
      <c r="E169" s="268"/>
      <c r="F169" s="268"/>
      <c r="G169" s="268"/>
      <c r="H169" s="268"/>
      <c r="I169" s="268"/>
      <c r="J169" s="268"/>
      <c r="K169" s="268"/>
      <c r="L169" s="268"/>
      <c r="M169" s="268"/>
      <c r="N169" s="268"/>
      <c r="O169" s="268"/>
      <c r="P169" s="310"/>
      <c r="Q169" s="268"/>
      <c r="R169" s="309"/>
      <c r="S169" s="268"/>
      <c r="T169" s="313"/>
      <c r="U169" s="313"/>
      <c r="V169" s="268"/>
      <c r="W169" s="268"/>
      <c r="X169" s="268"/>
      <c r="Y169" s="268"/>
      <c r="Z169" s="268"/>
    </row>
    <row r="170" spans="1:26" ht="24.75" customHeight="1">
      <c r="A170" s="268"/>
      <c r="B170" s="268"/>
      <c r="C170" s="268"/>
      <c r="D170" s="268"/>
      <c r="E170" s="268"/>
      <c r="F170" s="268"/>
      <c r="G170" s="268"/>
      <c r="H170" s="268"/>
      <c r="I170" s="268"/>
      <c r="J170" s="268"/>
      <c r="K170" s="268"/>
      <c r="L170" s="268"/>
      <c r="M170" s="268"/>
      <c r="N170" s="268"/>
      <c r="O170" s="268"/>
      <c r="P170" s="310"/>
      <c r="Q170" s="268"/>
      <c r="R170" s="309"/>
      <c r="S170" s="268"/>
      <c r="T170" s="313"/>
      <c r="U170" s="313"/>
      <c r="V170" s="268"/>
      <c r="W170" s="268"/>
      <c r="X170" s="268"/>
      <c r="Y170" s="268"/>
      <c r="Z170" s="268"/>
    </row>
    <row r="171" spans="1:26" ht="24.75" customHeight="1">
      <c r="A171" s="268"/>
      <c r="B171" s="268"/>
      <c r="C171" s="268"/>
      <c r="D171" s="268"/>
      <c r="E171" s="268"/>
      <c r="F171" s="268"/>
      <c r="G171" s="268"/>
      <c r="H171" s="268"/>
      <c r="I171" s="268"/>
      <c r="J171" s="268"/>
      <c r="K171" s="268"/>
      <c r="L171" s="268"/>
      <c r="M171" s="268"/>
      <c r="N171" s="268"/>
      <c r="O171" s="268"/>
      <c r="P171" s="310"/>
      <c r="Q171" s="268"/>
      <c r="R171" s="309"/>
      <c r="S171" s="268"/>
      <c r="T171" s="313"/>
      <c r="U171" s="313"/>
      <c r="V171" s="268"/>
      <c r="W171" s="268"/>
      <c r="X171" s="268"/>
      <c r="Y171" s="268"/>
      <c r="Z171" s="268"/>
    </row>
    <row r="172" spans="1:26" ht="24.75" customHeight="1">
      <c r="A172" s="268"/>
      <c r="B172" s="268"/>
      <c r="C172" s="268"/>
      <c r="D172" s="268"/>
      <c r="E172" s="268"/>
      <c r="F172" s="268"/>
      <c r="G172" s="268"/>
      <c r="H172" s="268"/>
      <c r="I172" s="268"/>
      <c r="J172" s="268"/>
      <c r="K172" s="268"/>
      <c r="L172" s="268"/>
      <c r="M172" s="268"/>
      <c r="N172" s="268"/>
      <c r="O172" s="268"/>
      <c r="P172" s="310"/>
      <c r="Q172" s="268"/>
      <c r="R172" s="309"/>
      <c r="S172" s="268"/>
      <c r="T172" s="313"/>
      <c r="U172" s="313"/>
      <c r="V172" s="268"/>
      <c r="W172" s="268"/>
      <c r="X172" s="268"/>
      <c r="Y172" s="268"/>
      <c r="Z172" s="268"/>
    </row>
    <row r="173" spans="1:26" ht="24.75" customHeight="1">
      <c r="A173" s="268"/>
      <c r="B173" s="268"/>
      <c r="C173" s="268"/>
      <c r="D173" s="268"/>
      <c r="E173" s="268"/>
      <c r="F173" s="268"/>
      <c r="G173" s="268"/>
      <c r="H173" s="268"/>
      <c r="I173" s="268"/>
      <c r="J173" s="268"/>
      <c r="K173" s="268"/>
      <c r="L173" s="268"/>
      <c r="M173" s="268"/>
      <c r="N173" s="268"/>
      <c r="O173" s="268"/>
      <c r="P173" s="310"/>
      <c r="Q173" s="268"/>
      <c r="R173" s="309"/>
      <c r="S173" s="268"/>
      <c r="T173" s="313"/>
      <c r="U173" s="313"/>
      <c r="V173" s="268"/>
      <c r="W173" s="268"/>
      <c r="X173" s="268"/>
      <c r="Y173" s="268"/>
      <c r="Z173" s="268"/>
    </row>
    <row r="174" spans="1:26" ht="24.75" customHeight="1">
      <c r="A174" s="268"/>
      <c r="B174" s="268"/>
      <c r="C174" s="268"/>
      <c r="D174" s="268"/>
      <c r="E174" s="268"/>
      <c r="F174" s="268"/>
      <c r="G174" s="268"/>
      <c r="H174" s="268"/>
      <c r="I174" s="268"/>
      <c r="J174" s="268"/>
      <c r="K174" s="268"/>
      <c r="L174" s="268"/>
      <c r="M174" s="268"/>
      <c r="N174" s="268"/>
      <c r="O174" s="268"/>
      <c r="P174" s="310"/>
      <c r="Q174" s="268"/>
      <c r="R174" s="309"/>
      <c r="S174" s="268"/>
      <c r="T174" s="313"/>
      <c r="U174" s="313"/>
      <c r="V174" s="268"/>
      <c r="W174" s="268"/>
      <c r="X174" s="268"/>
      <c r="Y174" s="268"/>
      <c r="Z174" s="268"/>
    </row>
    <row r="175" spans="1:26" ht="24.75" customHeight="1">
      <c r="A175" s="268"/>
      <c r="B175" s="268"/>
      <c r="C175" s="268"/>
      <c r="D175" s="268"/>
      <c r="E175" s="268"/>
      <c r="F175" s="268"/>
      <c r="G175" s="268"/>
      <c r="H175" s="268"/>
      <c r="I175" s="268"/>
      <c r="J175" s="268"/>
      <c r="K175" s="268"/>
      <c r="L175" s="268"/>
      <c r="M175" s="268"/>
      <c r="N175" s="268"/>
      <c r="O175" s="268"/>
      <c r="P175" s="310"/>
      <c r="Q175" s="268"/>
      <c r="R175" s="309"/>
      <c r="S175" s="268"/>
      <c r="T175" s="313"/>
      <c r="U175" s="313"/>
      <c r="V175" s="268"/>
      <c r="W175" s="268"/>
      <c r="X175" s="268"/>
      <c r="Y175" s="268"/>
      <c r="Z175" s="268"/>
    </row>
    <row r="176" spans="1:26" ht="24.75" customHeight="1">
      <c r="A176" s="268"/>
      <c r="B176" s="268"/>
      <c r="C176" s="268"/>
      <c r="D176" s="268"/>
      <c r="E176" s="268"/>
      <c r="F176" s="268"/>
      <c r="G176" s="268"/>
      <c r="H176" s="268"/>
      <c r="I176" s="268"/>
      <c r="J176" s="268"/>
      <c r="K176" s="268"/>
      <c r="L176" s="268"/>
      <c r="M176" s="268"/>
      <c r="N176" s="268"/>
      <c r="O176" s="268"/>
      <c r="P176" s="310"/>
      <c r="Q176" s="268"/>
      <c r="R176" s="309"/>
      <c r="S176" s="268"/>
      <c r="T176" s="313"/>
      <c r="U176" s="313"/>
      <c r="V176" s="268"/>
      <c r="W176" s="268"/>
      <c r="X176" s="268"/>
      <c r="Y176" s="268"/>
      <c r="Z176" s="268"/>
    </row>
    <row r="177" spans="1:26" ht="24.75" customHeight="1">
      <c r="A177" s="268"/>
      <c r="B177" s="268"/>
      <c r="C177" s="268"/>
      <c r="D177" s="268"/>
      <c r="E177" s="268"/>
      <c r="F177" s="268"/>
      <c r="G177" s="268"/>
      <c r="H177" s="268"/>
      <c r="I177" s="268"/>
      <c r="J177" s="268"/>
      <c r="K177" s="268"/>
      <c r="L177" s="268"/>
      <c r="M177" s="268"/>
      <c r="N177" s="268"/>
      <c r="O177" s="268"/>
      <c r="P177" s="310"/>
      <c r="Q177" s="268"/>
      <c r="R177" s="309"/>
      <c r="S177" s="268"/>
      <c r="T177" s="313"/>
      <c r="U177" s="313"/>
      <c r="V177" s="268"/>
      <c r="W177" s="268"/>
      <c r="X177" s="268"/>
      <c r="Y177" s="268"/>
      <c r="Z177" s="268"/>
    </row>
    <row r="178" spans="1:26" ht="24.75" customHeight="1">
      <c r="A178" s="268"/>
      <c r="B178" s="268"/>
      <c r="C178" s="268"/>
      <c r="D178" s="268"/>
      <c r="E178" s="268"/>
      <c r="F178" s="268"/>
      <c r="G178" s="268"/>
      <c r="H178" s="268"/>
      <c r="I178" s="268"/>
      <c r="J178" s="268"/>
      <c r="K178" s="268"/>
      <c r="L178" s="268"/>
      <c r="M178" s="268"/>
      <c r="N178" s="268"/>
      <c r="O178" s="268"/>
      <c r="P178" s="310"/>
      <c r="Q178" s="268"/>
      <c r="R178" s="309"/>
      <c r="S178" s="268"/>
      <c r="T178" s="313"/>
      <c r="U178" s="313"/>
      <c r="V178" s="268"/>
      <c r="W178" s="268"/>
      <c r="X178" s="268"/>
      <c r="Y178" s="268"/>
      <c r="Z178" s="268"/>
    </row>
    <row r="179" spans="1:26" ht="24.75" customHeight="1">
      <c r="A179" s="268"/>
      <c r="B179" s="268"/>
      <c r="C179" s="268"/>
      <c r="D179" s="268"/>
      <c r="E179" s="268"/>
      <c r="F179" s="268"/>
      <c r="G179" s="268"/>
      <c r="H179" s="268"/>
      <c r="I179" s="268"/>
      <c r="J179" s="268"/>
      <c r="K179" s="268"/>
      <c r="L179" s="268"/>
      <c r="M179" s="268"/>
      <c r="N179" s="268"/>
      <c r="O179" s="268"/>
      <c r="P179" s="310"/>
      <c r="Q179" s="268"/>
      <c r="R179" s="309"/>
      <c r="S179" s="268"/>
      <c r="T179" s="313"/>
      <c r="U179" s="313"/>
      <c r="V179" s="268"/>
      <c r="W179" s="268"/>
      <c r="X179" s="268"/>
      <c r="Y179" s="268"/>
      <c r="Z179" s="268"/>
    </row>
    <row r="180" spans="1:26" ht="24.75" customHeight="1">
      <c r="A180" s="268"/>
      <c r="B180" s="268"/>
      <c r="C180" s="268"/>
      <c r="D180" s="268"/>
      <c r="E180" s="268"/>
      <c r="F180" s="268"/>
      <c r="G180" s="268"/>
      <c r="H180" s="268"/>
      <c r="I180" s="268"/>
      <c r="J180" s="268"/>
      <c r="K180" s="268"/>
      <c r="L180" s="268"/>
      <c r="M180" s="268"/>
      <c r="N180" s="268"/>
      <c r="O180" s="268"/>
      <c r="P180" s="310"/>
      <c r="Q180" s="268"/>
      <c r="R180" s="309"/>
      <c r="S180" s="268"/>
      <c r="T180" s="313"/>
      <c r="U180" s="313"/>
      <c r="V180" s="268"/>
      <c r="W180" s="268"/>
      <c r="X180" s="268"/>
      <c r="Y180" s="268"/>
      <c r="Z180" s="268"/>
    </row>
    <row r="181" spans="1:26" ht="24.75" customHeight="1">
      <c r="A181" s="268"/>
      <c r="B181" s="268"/>
      <c r="C181" s="268"/>
      <c r="D181" s="268"/>
      <c r="E181" s="268"/>
      <c r="F181" s="268"/>
      <c r="G181" s="268"/>
      <c r="H181" s="268"/>
      <c r="I181" s="268"/>
      <c r="J181" s="268"/>
      <c r="K181" s="268"/>
      <c r="L181" s="268"/>
      <c r="M181" s="268"/>
      <c r="N181" s="268"/>
      <c r="O181" s="268"/>
      <c r="P181" s="310"/>
      <c r="Q181" s="268"/>
      <c r="R181" s="309"/>
      <c r="S181" s="268"/>
      <c r="T181" s="313"/>
      <c r="U181" s="313"/>
      <c r="V181" s="268"/>
      <c r="W181" s="268"/>
      <c r="X181" s="268"/>
      <c r="Y181" s="268"/>
      <c r="Z181" s="268"/>
    </row>
    <row r="182" spans="1:26" ht="24.75" customHeight="1">
      <c r="A182" s="268"/>
      <c r="B182" s="268"/>
      <c r="C182" s="268"/>
      <c r="D182" s="268"/>
      <c r="E182" s="268"/>
      <c r="F182" s="268"/>
      <c r="G182" s="268"/>
      <c r="H182" s="268"/>
      <c r="I182" s="268"/>
      <c r="J182" s="268"/>
      <c r="K182" s="268"/>
      <c r="L182" s="268"/>
      <c r="M182" s="268"/>
      <c r="N182" s="268"/>
      <c r="O182" s="268"/>
      <c r="P182" s="310"/>
      <c r="Q182" s="268"/>
      <c r="R182" s="309"/>
      <c r="S182" s="268"/>
      <c r="T182" s="313"/>
      <c r="U182" s="313"/>
      <c r="V182" s="268"/>
      <c r="W182" s="268"/>
      <c r="X182" s="268"/>
      <c r="Y182" s="268"/>
      <c r="Z182" s="268"/>
    </row>
    <row r="183" spans="1:26" ht="24.75" customHeight="1">
      <c r="A183" s="268"/>
      <c r="B183" s="268"/>
      <c r="C183" s="268"/>
      <c r="D183" s="268"/>
      <c r="E183" s="268"/>
      <c r="F183" s="268"/>
      <c r="G183" s="268"/>
      <c r="H183" s="268"/>
      <c r="I183" s="268"/>
      <c r="J183" s="268"/>
      <c r="K183" s="268"/>
      <c r="L183" s="268"/>
      <c r="M183" s="268"/>
      <c r="N183" s="268"/>
      <c r="O183" s="268"/>
      <c r="P183" s="310"/>
      <c r="Q183" s="268"/>
      <c r="R183" s="309"/>
      <c r="S183" s="268"/>
      <c r="T183" s="313"/>
      <c r="U183" s="313"/>
      <c r="V183" s="268"/>
      <c r="W183" s="268"/>
      <c r="X183" s="268"/>
      <c r="Y183" s="268"/>
      <c r="Z183" s="268"/>
    </row>
    <row r="184" spans="1:26" ht="24.75" customHeight="1">
      <c r="A184" s="268"/>
      <c r="B184" s="268"/>
      <c r="C184" s="268"/>
      <c r="D184" s="268"/>
      <c r="E184" s="268"/>
      <c r="F184" s="268"/>
      <c r="G184" s="268"/>
      <c r="H184" s="268"/>
      <c r="I184" s="268"/>
      <c r="J184" s="268"/>
      <c r="K184" s="268"/>
      <c r="L184" s="268"/>
      <c r="M184" s="268"/>
      <c r="N184" s="268"/>
      <c r="O184" s="268"/>
      <c r="P184" s="310"/>
      <c r="Q184" s="268"/>
      <c r="R184" s="309"/>
      <c r="S184" s="268"/>
      <c r="T184" s="313"/>
      <c r="U184" s="313"/>
      <c r="V184" s="268"/>
      <c r="W184" s="268"/>
      <c r="X184" s="268"/>
      <c r="Y184" s="268"/>
      <c r="Z184" s="268"/>
    </row>
    <row r="185" spans="1:26" ht="24.75" customHeight="1">
      <c r="A185" s="268"/>
      <c r="B185" s="268"/>
      <c r="C185" s="268"/>
      <c r="D185" s="268"/>
      <c r="E185" s="268"/>
      <c r="F185" s="268"/>
      <c r="G185" s="268"/>
      <c r="H185" s="268"/>
      <c r="I185" s="268"/>
      <c r="J185" s="268"/>
      <c r="K185" s="268"/>
      <c r="L185" s="268"/>
      <c r="M185" s="268"/>
      <c r="N185" s="268"/>
      <c r="O185" s="268"/>
      <c r="P185" s="310"/>
      <c r="Q185" s="268"/>
      <c r="R185" s="309"/>
      <c r="S185" s="268"/>
      <c r="T185" s="313"/>
      <c r="U185" s="313"/>
      <c r="V185" s="268"/>
      <c r="W185" s="268"/>
      <c r="X185" s="268"/>
      <c r="Y185" s="268"/>
      <c r="Z185" s="268"/>
    </row>
    <row r="186" spans="1:26" ht="24.75" customHeight="1">
      <c r="A186" s="268"/>
      <c r="B186" s="268"/>
      <c r="C186" s="268"/>
      <c r="D186" s="268"/>
      <c r="E186" s="268"/>
      <c r="F186" s="268"/>
      <c r="G186" s="268"/>
      <c r="H186" s="268"/>
      <c r="I186" s="268"/>
      <c r="J186" s="268"/>
      <c r="K186" s="268"/>
      <c r="L186" s="268"/>
      <c r="M186" s="268"/>
      <c r="N186" s="268"/>
      <c r="O186" s="268"/>
      <c r="P186" s="310"/>
      <c r="Q186" s="268"/>
      <c r="R186" s="309"/>
      <c r="S186" s="268"/>
      <c r="T186" s="313"/>
      <c r="U186" s="313"/>
      <c r="V186" s="268"/>
      <c r="W186" s="268"/>
      <c r="X186" s="268"/>
      <c r="Y186" s="268"/>
      <c r="Z186" s="268"/>
    </row>
    <row r="187" spans="1:26" ht="24.75" customHeight="1">
      <c r="A187" s="268"/>
      <c r="B187" s="268"/>
      <c r="C187" s="268"/>
      <c r="D187" s="268"/>
      <c r="E187" s="268"/>
      <c r="F187" s="268"/>
      <c r="G187" s="268"/>
      <c r="H187" s="268"/>
      <c r="I187" s="268"/>
      <c r="J187" s="268"/>
      <c r="K187" s="268"/>
      <c r="L187" s="268"/>
      <c r="M187" s="268"/>
      <c r="N187" s="268"/>
      <c r="O187" s="268"/>
      <c r="P187" s="310"/>
      <c r="Q187" s="268"/>
      <c r="R187" s="309"/>
      <c r="S187" s="268"/>
      <c r="T187" s="313"/>
      <c r="U187" s="313"/>
      <c r="V187" s="268"/>
      <c r="W187" s="268"/>
      <c r="X187" s="268"/>
      <c r="Y187" s="268"/>
      <c r="Z187" s="268"/>
    </row>
    <row r="188" spans="1:26" ht="24.75" customHeight="1">
      <c r="A188" s="268"/>
      <c r="B188" s="268"/>
      <c r="C188" s="268"/>
      <c r="D188" s="268"/>
      <c r="E188" s="268"/>
      <c r="F188" s="268"/>
      <c r="G188" s="268"/>
      <c r="H188" s="268"/>
      <c r="I188" s="268"/>
      <c r="J188" s="268"/>
      <c r="K188" s="268"/>
      <c r="L188" s="268"/>
      <c r="M188" s="268"/>
      <c r="N188" s="268"/>
      <c r="O188" s="268"/>
      <c r="P188" s="310"/>
      <c r="Q188" s="268"/>
      <c r="R188" s="309"/>
      <c r="S188" s="268"/>
      <c r="T188" s="313"/>
      <c r="U188" s="313"/>
      <c r="V188" s="268"/>
      <c r="W188" s="268"/>
      <c r="X188" s="268"/>
      <c r="Y188" s="268"/>
      <c r="Z188" s="268"/>
    </row>
    <row r="189" spans="1:26" ht="24.75" customHeight="1">
      <c r="A189" s="268"/>
      <c r="B189" s="268"/>
      <c r="C189" s="268"/>
      <c r="D189" s="268"/>
      <c r="E189" s="268"/>
      <c r="F189" s="268"/>
      <c r="G189" s="268"/>
      <c r="H189" s="268"/>
      <c r="I189" s="268"/>
      <c r="J189" s="268"/>
      <c r="K189" s="268"/>
      <c r="L189" s="268"/>
      <c r="M189" s="268"/>
      <c r="N189" s="268"/>
      <c r="O189" s="268"/>
      <c r="P189" s="310"/>
      <c r="Q189" s="268"/>
      <c r="R189" s="309"/>
      <c r="S189" s="268"/>
      <c r="T189" s="313"/>
      <c r="U189" s="313"/>
      <c r="V189" s="268"/>
      <c r="W189" s="268"/>
      <c r="X189" s="268"/>
      <c r="Y189" s="268"/>
      <c r="Z189" s="268"/>
    </row>
    <row r="190" spans="1:26" ht="24.75" customHeight="1">
      <c r="A190" s="268"/>
      <c r="B190" s="268"/>
      <c r="C190" s="268"/>
      <c r="D190" s="268"/>
      <c r="E190" s="268"/>
      <c r="F190" s="268"/>
      <c r="G190" s="268"/>
      <c r="H190" s="268"/>
      <c r="I190" s="268"/>
      <c r="J190" s="268"/>
      <c r="K190" s="268"/>
      <c r="L190" s="268"/>
      <c r="M190" s="268"/>
      <c r="N190" s="268"/>
      <c r="O190" s="268"/>
      <c r="P190" s="310"/>
      <c r="Q190" s="268"/>
      <c r="R190" s="309"/>
      <c r="S190" s="268"/>
      <c r="T190" s="313"/>
      <c r="U190" s="313"/>
      <c r="V190" s="268"/>
      <c r="W190" s="268"/>
      <c r="X190" s="268"/>
      <c r="Y190" s="268"/>
      <c r="Z190" s="268"/>
    </row>
    <row r="191" spans="1:26" ht="24.75" customHeight="1">
      <c r="A191" s="268"/>
      <c r="B191" s="268"/>
      <c r="C191" s="268"/>
      <c r="D191" s="268"/>
      <c r="E191" s="268"/>
      <c r="F191" s="268"/>
      <c r="G191" s="268"/>
      <c r="H191" s="268"/>
      <c r="I191" s="268"/>
      <c r="J191" s="268"/>
      <c r="K191" s="268"/>
      <c r="L191" s="268"/>
      <c r="M191" s="268"/>
      <c r="N191" s="268"/>
      <c r="O191" s="268"/>
      <c r="P191" s="310"/>
      <c r="Q191" s="268"/>
      <c r="R191" s="309"/>
      <c r="S191" s="268"/>
      <c r="T191" s="313"/>
      <c r="U191" s="313"/>
      <c r="V191" s="268"/>
      <c r="W191" s="268"/>
      <c r="X191" s="268"/>
      <c r="Y191" s="268"/>
      <c r="Z191" s="268"/>
    </row>
    <row r="192" spans="1:26" ht="24.75" customHeight="1">
      <c r="A192" s="268"/>
      <c r="B192" s="268"/>
      <c r="C192" s="268"/>
      <c r="D192" s="268"/>
      <c r="E192" s="268"/>
      <c r="F192" s="268"/>
      <c r="G192" s="268"/>
      <c r="H192" s="268"/>
      <c r="I192" s="268"/>
      <c r="J192" s="268"/>
      <c r="K192" s="268"/>
      <c r="L192" s="268"/>
      <c r="M192" s="268"/>
      <c r="N192" s="268"/>
      <c r="O192" s="268"/>
      <c r="P192" s="310"/>
      <c r="Q192" s="268"/>
      <c r="R192" s="309"/>
      <c r="S192" s="268"/>
      <c r="T192" s="313"/>
      <c r="U192" s="313"/>
      <c r="V192" s="268"/>
      <c r="W192" s="268"/>
      <c r="X192" s="268"/>
      <c r="Y192" s="268"/>
      <c r="Z192" s="268"/>
    </row>
    <row r="193" spans="1:26" ht="24.75" customHeight="1">
      <c r="A193" s="268"/>
      <c r="B193" s="268"/>
      <c r="C193" s="268"/>
      <c r="D193" s="268"/>
      <c r="E193" s="268"/>
      <c r="F193" s="268"/>
      <c r="G193" s="268"/>
      <c r="H193" s="268"/>
      <c r="I193" s="268"/>
      <c r="J193" s="268"/>
      <c r="K193" s="268"/>
      <c r="L193" s="268"/>
      <c r="M193" s="268"/>
      <c r="N193" s="268"/>
      <c r="O193" s="268"/>
      <c r="P193" s="310"/>
      <c r="Q193" s="268"/>
      <c r="R193" s="309"/>
      <c r="S193" s="268"/>
      <c r="T193" s="313"/>
      <c r="U193" s="313"/>
      <c r="V193" s="268"/>
      <c r="W193" s="268"/>
      <c r="X193" s="268"/>
      <c r="Y193" s="268"/>
      <c r="Z193" s="268"/>
    </row>
    <row r="194" spans="1:26" ht="24.75" customHeight="1">
      <c r="A194" s="268"/>
      <c r="B194" s="268"/>
      <c r="C194" s="268"/>
      <c r="D194" s="268"/>
      <c r="E194" s="268"/>
      <c r="F194" s="268"/>
      <c r="G194" s="268"/>
      <c r="H194" s="268"/>
      <c r="I194" s="268"/>
      <c r="J194" s="268"/>
      <c r="K194" s="268"/>
      <c r="L194" s="268"/>
      <c r="M194" s="268"/>
      <c r="N194" s="268"/>
      <c r="O194" s="268"/>
      <c r="P194" s="310"/>
      <c r="Q194" s="268"/>
      <c r="R194" s="309"/>
      <c r="S194" s="268"/>
      <c r="T194" s="313"/>
      <c r="U194" s="313"/>
      <c r="V194" s="268"/>
      <c r="W194" s="268"/>
      <c r="X194" s="268"/>
      <c r="Y194" s="268"/>
      <c r="Z194" s="268"/>
    </row>
    <row r="195" spans="1:26" ht="24.75" customHeight="1">
      <c r="A195" s="268"/>
      <c r="B195" s="268"/>
      <c r="C195" s="268"/>
      <c r="D195" s="268"/>
      <c r="E195" s="268"/>
      <c r="F195" s="268"/>
      <c r="G195" s="268"/>
      <c r="H195" s="268"/>
      <c r="I195" s="268"/>
      <c r="J195" s="268"/>
      <c r="K195" s="268"/>
      <c r="L195" s="268"/>
      <c r="M195" s="268"/>
      <c r="N195" s="268"/>
      <c r="O195" s="268"/>
      <c r="P195" s="310"/>
      <c r="Q195" s="268"/>
      <c r="R195" s="309"/>
      <c r="S195" s="268"/>
      <c r="T195" s="313"/>
      <c r="U195" s="313"/>
      <c r="V195" s="268"/>
      <c r="W195" s="268"/>
      <c r="X195" s="268"/>
      <c r="Y195" s="268"/>
      <c r="Z195" s="268"/>
    </row>
    <row r="196" spans="1:26" ht="24.75" customHeight="1">
      <c r="A196" s="268"/>
      <c r="B196" s="268"/>
      <c r="C196" s="268"/>
      <c r="D196" s="268"/>
      <c r="E196" s="268"/>
      <c r="F196" s="268"/>
      <c r="G196" s="268"/>
      <c r="H196" s="268"/>
      <c r="I196" s="268"/>
      <c r="J196" s="268"/>
      <c r="K196" s="268"/>
      <c r="L196" s="268"/>
      <c r="M196" s="268"/>
      <c r="N196" s="268"/>
      <c r="O196" s="268"/>
      <c r="P196" s="310"/>
      <c r="Q196" s="268"/>
      <c r="R196" s="309"/>
      <c r="S196" s="268"/>
      <c r="T196" s="313"/>
      <c r="U196" s="313"/>
      <c r="V196" s="268"/>
      <c r="W196" s="268"/>
      <c r="X196" s="268"/>
      <c r="Y196" s="268"/>
      <c r="Z196" s="268"/>
    </row>
    <row r="197" spans="1:26" ht="24.75" customHeight="1">
      <c r="A197" s="268"/>
      <c r="B197" s="268"/>
      <c r="C197" s="268"/>
      <c r="D197" s="268"/>
      <c r="E197" s="268"/>
      <c r="F197" s="268"/>
      <c r="G197" s="268"/>
      <c r="H197" s="268"/>
      <c r="I197" s="268"/>
      <c r="J197" s="268"/>
      <c r="K197" s="268"/>
      <c r="L197" s="268"/>
      <c r="M197" s="268"/>
      <c r="N197" s="268"/>
      <c r="O197" s="268"/>
      <c r="P197" s="310"/>
      <c r="Q197" s="268"/>
      <c r="R197" s="309"/>
      <c r="S197" s="268"/>
      <c r="T197" s="313"/>
      <c r="U197" s="313"/>
      <c r="V197" s="268"/>
      <c r="W197" s="268"/>
      <c r="X197" s="268"/>
      <c r="Y197" s="268"/>
      <c r="Z197" s="268"/>
    </row>
    <row r="198" spans="1:26" ht="24.75" customHeight="1">
      <c r="A198" s="268"/>
      <c r="B198" s="268"/>
      <c r="C198" s="268"/>
      <c r="D198" s="268"/>
      <c r="E198" s="268"/>
      <c r="F198" s="268"/>
      <c r="G198" s="268"/>
      <c r="H198" s="268"/>
      <c r="I198" s="268"/>
      <c r="J198" s="268"/>
      <c r="K198" s="268"/>
      <c r="L198" s="268"/>
      <c r="M198" s="268"/>
      <c r="N198" s="268"/>
      <c r="O198" s="268"/>
      <c r="P198" s="310"/>
      <c r="Q198" s="268"/>
      <c r="R198" s="309"/>
      <c r="S198" s="268"/>
      <c r="T198" s="313"/>
      <c r="U198" s="313"/>
      <c r="V198" s="268"/>
      <c r="W198" s="268"/>
      <c r="X198" s="268"/>
      <c r="Y198" s="268"/>
      <c r="Z198" s="268"/>
    </row>
    <row r="199" spans="1:26" ht="24.75" customHeight="1">
      <c r="A199" s="268"/>
      <c r="B199" s="268"/>
      <c r="C199" s="268"/>
      <c r="D199" s="268"/>
      <c r="E199" s="268"/>
      <c r="F199" s="268"/>
      <c r="G199" s="268"/>
      <c r="H199" s="268"/>
      <c r="I199" s="268"/>
      <c r="J199" s="268"/>
      <c r="K199" s="268"/>
      <c r="L199" s="268"/>
      <c r="M199" s="268"/>
      <c r="N199" s="268"/>
      <c r="O199" s="268"/>
      <c r="P199" s="310"/>
      <c r="Q199" s="268"/>
      <c r="R199" s="309"/>
      <c r="S199" s="268"/>
      <c r="T199" s="313"/>
      <c r="U199" s="313"/>
      <c r="V199" s="268"/>
      <c r="W199" s="268"/>
      <c r="X199" s="268"/>
      <c r="Y199" s="268"/>
      <c r="Z199" s="268"/>
    </row>
    <row r="200" spans="1:26" ht="24.75" customHeight="1">
      <c r="A200" s="268"/>
      <c r="B200" s="268"/>
      <c r="C200" s="268"/>
      <c r="D200" s="268"/>
      <c r="E200" s="268"/>
      <c r="F200" s="268"/>
      <c r="G200" s="268"/>
      <c r="H200" s="268"/>
      <c r="I200" s="268"/>
      <c r="J200" s="268"/>
      <c r="K200" s="268"/>
      <c r="L200" s="268"/>
      <c r="M200" s="268"/>
      <c r="N200" s="268"/>
      <c r="O200" s="268"/>
      <c r="P200" s="310"/>
      <c r="Q200" s="268"/>
      <c r="R200" s="309"/>
      <c r="S200" s="268"/>
      <c r="T200" s="313"/>
      <c r="U200" s="313"/>
      <c r="V200" s="268"/>
      <c r="W200" s="268"/>
      <c r="X200" s="268"/>
      <c r="Y200" s="268"/>
      <c r="Z200" s="268"/>
    </row>
    <row r="201" spans="1:26" ht="24.75" customHeight="1">
      <c r="A201" s="268"/>
      <c r="B201" s="268"/>
      <c r="C201" s="268"/>
      <c r="D201" s="268"/>
      <c r="E201" s="268"/>
      <c r="F201" s="268"/>
      <c r="G201" s="268"/>
      <c r="H201" s="268"/>
      <c r="I201" s="268"/>
      <c r="J201" s="268"/>
      <c r="K201" s="268"/>
      <c r="L201" s="268"/>
      <c r="M201" s="268"/>
      <c r="N201" s="268"/>
      <c r="O201" s="268"/>
      <c r="P201" s="310"/>
      <c r="Q201" s="268"/>
      <c r="R201" s="309"/>
      <c r="S201" s="268"/>
      <c r="T201" s="313"/>
      <c r="U201" s="313"/>
      <c r="V201" s="268"/>
      <c r="W201" s="268"/>
      <c r="X201" s="268"/>
      <c r="Y201" s="268"/>
      <c r="Z201" s="268"/>
    </row>
    <row r="202" spans="1:26" ht="24.75" customHeight="1">
      <c r="A202" s="268"/>
      <c r="B202" s="268"/>
      <c r="C202" s="268"/>
      <c r="D202" s="268"/>
      <c r="E202" s="268"/>
      <c r="F202" s="268"/>
      <c r="G202" s="268"/>
      <c r="H202" s="268"/>
      <c r="I202" s="268"/>
      <c r="J202" s="268"/>
      <c r="K202" s="268"/>
      <c r="L202" s="268"/>
      <c r="M202" s="268"/>
      <c r="N202" s="268"/>
      <c r="O202" s="268"/>
      <c r="P202" s="310"/>
      <c r="Q202" s="268"/>
      <c r="R202" s="309"/>
      <c r="S202" s="268"/>
      <c r="T202" s="313"/>
      <c r="U202" s="313"/>
      <c r="V202" s="268"/>
      <c r="W202" s="268"/>
      <c r="X202" s="268"/>
      <c r="Y202" s="268"/>
      <c r="Z202" s="268"/>
    </row>
    <row r="203" spans="1:26" ht="24.75" customHeight="1">
      <c r="A203" s="268"/>
      <c r="B203" s="268"/>
      <c r="C203" s="268"/>
      <c r="D203" s="268"/>
      <c r="E203" s="268"/>
      <c r="F203" s="268"/>
      <c r="G203" s="268"/>
      <c r="H203" s="268"/>
      <c r="I203" s="268"/>
      <c r="J203" s="268"/>
      <c r="K203" s="268"/>
      <c r="L203" s="268"/>
      <c r="M203" s="268"/>
      <c r="N203" s="268"/>
      <c r="O203" s="268"/>
      <c r="P203" s="310"/>
      <c r="Q203" s="268"/>
      <c r="R203" s="309"/>
      <c r="S203" s="268"/>
      <c r="T203" s="313"/>
      <c r="U203" s="313"/>
      <c r="V203" s="268"/>
      <c r="W203" s="268"/>
      <c r="X203" s="268"/>
      <c r="Y203" s="268"/>
      <c r="Z203" s="268"/>
    </row>
    <row r="204" spans="1:26" ht="24.75" customHeight="1">
      <c r="A204" s="268"/>
      <c r="B204" s="268"/>
      <c r="C204" s="268"/>
      <c r="D204" s="268"/>
      <c r="E204" s="268"/>
      <c r="F204" s="268"/>
      <c r="G204" s="268"/>
      <c r="H204" s="268"/>
      <c r="I204" s="268"/>
      <c r="J204" s="268"/>
      <c r="K204" s="268"/>
      <c r="L204" s="268"/>
      <c r="M204" s="268"/>
      <c r="N204" s="268"/>
      <c r="O204" s="268"/>
      <c r="P204" s="310"/>
      <c r="Q204" s="268"/>
      <c r="R204" s="309"/>
      <c r="S204" s="268"/>
      <c r="T204" s="313"/>
      <c r="U204" s="313"/>
      <c r="V204" s="268"/>
      <c r="W204" s="268"/>
      <c r="X204" s="268"/>
      <c r="Y204" s="268"/>
      <c r="Z204" s="268"/>
    </row>
    <row r="205" spans="1:26" ht="24.75" customHeight="1">
      <c r="A205" s="268"/>
      <c r="B205" s="268"/>
      <c r="C205" s="268"/>
      <c r="D205" s="268"/>
      <c r="E205" s="268"/>
      <c r="F205" s="268"/>
      <c r="G205" s="268"/>
      <c r="H205" s="268"/>
      <c r="I205" s="268"/>
      <c r="J205" s="268"/>
      <c r="K205" s="268"/>
      <c r="L205" s="268"/>
      <c r="M205" s="268"/>
      <c r="N205" s="268"/>
      <c r="O205" s="268"/>
      <c r="P205" s="310"/>
      <c r="Q205" s="268"/>
      <c r="R205" s="309"/>
      <c r="S205" s="268"/>
      <c r="T205" s="313"/>
      <c r="U205" s="313"/>
      <c r="V205" s="268"/>
      <c r="W205" s="268"/>
      <c r="X205" s="268"/>
      <c r="Y205" s="268"/>
      <c r="Z205" s="268"/>
    </row>
    <row r="206" spans="1:26" ht="24.75" customHeight="1">
      <c r="A206" s="268"/>
      <c r="B206" s="268"/>
      <c r="C206" s="268"/>
      <c r="D206" s="268"/>
      <c r="E206" s="268"/>
      <c r="F206" s="268"/>
      <c r="G206" s="268"/>
      <c r="H206" s="268"/>
      <c r="I206" s="268"/>
      <c r="J206" s="268"/>
      <c r="K206" s="268"/>
      <c r="L206" s="268"/>
      <c r="M206" s="268"/>
      <c r="N206" s="268"/>
      <c r="O206" s="268"/>
      <c r="P206" s="310"/>
      <c r="Q206" s="268"/>
      <c r="R206" s="309"/>
      <c r="S206" s="268"/>
      <c r="T206" s="313"/>
      <c r="U206" s="313"/>
      <c r="V206" s="268"/>
      <c r="W206" s="268"/>
      <c r="X206" s="268"/>
      <c r="Y206" s="268"/>
      <c r="Z206" s="268"/>
    </row>
    <row r="207" spans="1:26" ht="24.75" customHeight="1">
      <c r="A207" s="268"/>
      <c r="B207" s="268"/>
      <c r="C207" s="268"/>
      <c r="D207" s="268"/>
      <c r="E207" s="268"/>
      <c r="F207" s="268"/>
      <c r="G207" s="268"/>
      <c r="H207" s="268"/>
      <c r="I207" s="268"/>
      <c r="J207" s="268"/>
      <c r="K207" s="268"/>
      <c r="L207" s="268"/>
      <c r="M207" s="268"/>
      <c r="N207" s="268"/>
      <c r="O207" s="268"/>
      <c r="P207" s="310"/>
      <c r="Q207" s="268"/>
      <c r="R207" s="309"/>
      <c r="S207" s="268"/>
      <c r="T207" s="313"/>
      <c r="U207" s="313"/>
      <c r="V207" s="268"/>
      <c r="W207" s="268"/>
      <c r="X207" s="268"/>
      <c r="Y207" s="268"/>
      <c r="Z207" s="268"/>
    </row>
    <row r="208" spans="1:26" ht="24.75" customHeight="1">
      <c r="A208" s="268"/>
      <c r="B208" s="268"/>
      <c r="C208" s="268"/>
      <c r="D208" s="268"/>
      <c r="E208" s="268"/>
      <c r="F208" s="268"/>
      <c r="G208" s="268"/>
      <c r="H208" s="268"/>
      <c r="I208" s="268"/>
      <c r="J208" s="268"/>
      <c r="K208" s="268"/>
      <c r="L208" s="268"/>
      <c r="M208" s="268"/>
      <c r="N208" s="268"/>
      <c r="O208" s="268"/>
      <c r="P208" s="310"/>
      <c r="Q208" s="268"/>
      <c r="R208" s="309"/>
      <c r="S208" s="268"/>
      <c r="T208" s="313"/>
      <c r="U208" s="313"/>
      <c r="V208" s="268"/>
      <c r="W208" s="268"/>
      <c r="X208" s="268"/>
      <c r="Y208" s="268"/>
      <c r="Z208" s="268"/>
    </row>
    <row r="209" spans="1:26" ht="24.75" customHeight="1">
      <c r="A209" s="268"/>
      <c r="B209" s="268"/>
      <c r="C209" s="268"/>
      <c r="D209" s="268"/>
      <c r="E209" s="268"/>
      <c r="F209" s="268"/>
      <c r="G209" s="268"/>
      <c r="H209" s="268"/>
      <c r="I209" s="268"/>
      <c r="J209" s="268"/>
      <c r="K209" s="268"/>
      <c r="L209" s="268"/>
      <c r="M209" s="268"/>
      <c r="N209" s="268"/>
      <c r="O209" s="268"/>
      <c r="P209" s="310"/>
      <c r="Q209" s="268"/>
      <c r="R209" s="309"/>
      <c r="S209" s="268"/>
      <c r="T209" s="313"/>
      <c r="U209" s="313"/>
      <c r="V209" s="268"/>
      <c r="W209" s="268"/>
      <c r="X209" s="268"/>
      <c r="Y209" s="268"/>
      <c r="Z209" s="268"/>
    </row>
    <row r="210" spans="1:26" ht="24.75" customHeight="1">
      <c r="A210" s="268"/>
      <c r="B210" s="268"/>
      <c r="C210" s="268"/>
      <c r="D210" s="268"/>
      <c r="E210" s="268"/>
      <c r="F210" s="268"/>
      <c r="G210" s="268"/>
      <c r="H210" s="268"/>
      <c r="I210" s="268"/>
      <c r="J210" s="268"/>
      <c r="K210" s="268"/>
      <c r="L210" s="268"/>
      <c r="M210" s="268"/>
      <c r="N210" s="268"/>
      <c r="O210" s="268"/>
      <c r="P210" s="310"/>
      <c r="Q210" s="268"/>
      <c r="R210" s="309"/>
      <c r="S210" s="268"/>
      <c r="T210" s="313"/>
      <c r="U210" s="313"/>
      <c r="V210" s="268"/>
      <c r="W210" s="268"/>
      <c r="X210" s="268"/>
      <c r="Y210" s="268"/>
      <c r="Z210" s="268"/>
    </row>
    <row r="211" spans="1:26" ht="24.75" customHeight="1">
      <c r="A211" s="268"/>
      <c r="B211" s="268"/>
      <c r="C211" s="268"/>
      <c r="D211" s="268"/>
      <c r="E211" s="268"/>
      <c r="F211" s="268"/>
      <c r="G211" s="268"/>
      <c r="H211" s="268"/>
      <c r="I211" s="268"/>
      <c r="J211" s="268"/>
      <c r="K211" s="268"/>
      <c r="L211" s="268"/>
      <c r="M211" s="268"/>
      <c r="N211" s="268"/>
      <c r="O211" s="268"/>
      <c r="P211" s="310"/>
      <c r="Q211" s="268"/>
      <c r="R211" s="309"/>
      <c r="S211" s="268"/>
      <c r="T211" s="313"/>
      <c r="U211" s="313"/>
      <c r="V211" s="268"/>
      <c r="W211" s="268"/>
      <c r="X211" s="268"/>
      <c r="Y211" s="268"/>
      <c r="Z211" s="268"/>
    </row>
    <row r="212" spans="1:26" ht="24.75" customHeight="1">
      <c r="A212" s="268"/>
      <c r="B212" s="268"/>
      <c r="C212" s="268"/>
      <c r="D212" s="268"/>
      <c r="E212" s="268"/>
      <c r="F212" s="268"/>
      <c r="G212" s="268"/>
      <c r="H212" s="268"/>
      <c r="I212" s="268"/>
      <c r="J212" s="268"/>
      <c r="K212" s="268"/>
      <c r="L212" s="268"/>
      <c r="M212" s="268"/>
      <c r="N212" s="268"/>
      <c r="O212" s="268"/>
      <c r="P212" s="310"/>
      <c r="Q212" s="268"/>
      <c r="R212" s="309"/>
      <c r="S212" s="268"/>
      <c r="T212" s="313"/>
      <c r="U212" s="313"/>
      <c r="V212" s="268"/>
      <c r="W212" s="268"/>
      <c r="X212" s="268"/>
      <c r="Y212" s="268"/>
      <c r="Z212" s="268"/>
    </row>
    <row r="213" spans="1:26" ht="24.75" customHeight="1">
      <c r="A213" s="268"/>
      <c r="B213" s="268"/>
      <c r="C213" s="268"/>
      <c r="D213" s="268"/>
      <c r="E213" s="268"/>
      <c r="F213" s="268"/>
      <c r="G213" s="268"/>
      <c r="H213" s="268"/>
      <c r="I213" s="268"/>
      <c r="J213" s="268"/>
      <c r="K213" s="268"/>
      <c r="L213" s="268"/>
      <c r="M213" s="268"/>
      <c r="N213" s="268"/>
      <c r="O213" s="268"/>
      <c r="P213" s="310"/>
      <c r="Q213" s="268"/>
      <c r="R213" s="309"/>
      <c r="S213" s="268"/>
      <c r="T213" s="313"/>
      <c r="U213" s="313"/>
      <c r="V213" s="268"/>
      <c r="W213" s="268"/>
      <c r="X213" s="268"/>
      <c r="Y213" s="268"/>
      <c r="Z213" s="268"/>
    </row>
    <row r="214" spans="1:26" ht="24.75" customHeight="1">
      <c r="A214" s="268"/>
      <c r="B214" s="268"/>
      <c r="C214" s="268"/>
      <c r="D214" s="268"/>
      <c r="E214" s="268"/>
      <c r="F214" s="268"/>
      <c r="G214" s="268"/>
      <c r="H214" s="268"/>
      <c r="I214" s="268"/>
      <c r="J214" s="268"/>
      <c r="K214" s="268"/>
      <c r="L214" s="268"/>
      <c r="M214" s="268"/>
      <c r="N214" s="268"/>
      <c r="O214" s="268"/>
      <c r="P214" s="310"/>
      <c r="Q214" s="268"/>
      <c r="R214" s="309"/>
      <c r="S214" s="268"/>
      <c r="T214" s="313"/>
      <c r="U214" s="313"/>
      <c r="V214" s="268"/>
      <c r="W214" s="268"/>
      <c r="X214" s="268"/>
      <c r="Y214" s="268"/>
      <c r="Z214" s="268"/>
    </row>
    <row r="215" spans="1:26" ht="24.75" customHeight="1">
      <c r="A215" s="268"/>
      <c r="B215" s="268"/>
      <c r="C215" s="268"/>
      <c r="D215" s="268"/>
      <c r="E215" s="268"/>
      <c r="F215" s="268"/>
      <c r="G215" s="268"/>
      <c r="H215" s="268"/>
      <c r="I215" s="268"/>
      <c r="J215" s="268"/>
      <c r="K215" s="268"/>
      <c r="L215" s="268"/>
      <c r="M215" s="268"/>
      <c r="N215" s="268"/>
      <c r="O215" s="268"/>
      <c r="P215" s="310"/>
      <c r="Q215" s="268"/>
      <c r="R215" s="309"/>
      <c r="S215" s="268"/>
      <c r="T215" s="313"/>
      <c r="U215" s="313"/>
      <c r="V215" s="268"/>
      <c r="W215" s="268"/>
      <c r="X215" s="268"/>
      <c r="Y215" s="268"/>
      <c r="Z215" s="268"/>
    </row>
    <row r="216" spans="1:26" ht="24.75" customHeight="1">
      <c r="A216" s="268"/>
      <c r="B216" s="268"/>
      <c r="C216" s="268"/>
      <c r="D216" s="268"/>
      <c r="E216" s="268"/>
      <c r="F216" s="268"/>
      <c r="G216" s="268"/>
      <c r="H216" s="268"/>
      <c r="I216" s="268"/>
      <c r="J216" s="268"/>
      <c r="K216" s="268"/>
      <c r="L216" s="268"/>
      <c r="M216" s="268"/>
      <c r="N216" s="268"/>
      <c r="O216" s="268"/>
      <c r="P216" s="310"/>
      <c r="Q216" s="268"/>
      <c r="R216" s="309"/>
      <c r="S216" s="268"/>
      <c r="T216" s="313"/>
      <c r="U216" s="313"/>
      <c r="V216" s="268"/>
      <c r="W216" s="268"/>
      <c r="X216" s="268"/>
      <c r="Y216" s="268"/>
      <c r="Z216" s="268"/>
    </row>
    <row r="217" spans="1:26" ht="24.75" customHeight="1">
      <c r="A217" s="268"/>
      <c r="B217" s="268"/>
      <c r="C217" s="268"/>
      <c r="D217" s="268"/>
      <c r="E217" s="268"/>
      <c r="F217" s="268"/>
      <c r="G217" s="268"/>
      <c r="H217" s="268"/>
      <c r="I217" s="268"/>
      <c r="J217" s="268"/>
      <c r="K217" s="268"/>
      <c r="L217" s="268"/>
      <c r="M217" s="268"/>
      <c r="N217" s="268"/>
      <c r="O217" s="268"/>
      <c r="P217" s="310"/>
      <c r="Q217" s="268"/>
      <c r="R217" s="309"/>
      <c r="S217" s="268"/>
      <c r="T217" s="313"/>
      <c r="U217" s="313"/>
      <c r="V217" s="268"/>
      <c r="W217" s="268"/>
      <c r="X217" s="268"/>
      <c r="Y217" s="268"/>
      <c r="Z217" s="268"/>
    </row>
    <row r="218" spans="1:26" ht="24.75" customHeight="1">
      <c r="A218" s="268"/>
      <c r="B218" s="268"/>
      <c r="C218" s="268"/>
      <c r="D218" s="268"/>
      <c r="E218" s="268"/>
      <c r="F218" s="268"/>
      <c r="G218" s="268"/>
      <c r="H218" s="268"/>
      <c r="I218" s="268"/>
      <c r="J218" s="268"/>
      <c r="K218" s="268"/>
      <c r="L218" s="268"/>
      <c r="M218" s="268"/>
      <c r="N218" s="268"/>
      <c r="O218" s="268"/>
      <c r="P218" s="310"/>
      <c r="Q218" s="268"/>
      <c r="R218" s="309"/>
      <c r="S218" s="268"/>
      <c r="T218" s="313"/>
      <c r="U218" s="313"/>
      <c r="V218" s="268"/>
      <c r="W218" s="268"/>
      <c r="X218" s="268"/>
      <c r="Y218" s="268"/>
      <c r="Z218" s="268"/>
    </row>
    <row r="219" spans="1:26" ht="24.75" customHeight="1">
      <c r="A219" s="268"/>
      <c r="B219" s="268"/>
      <c r="C219" s="268"/>
      <c r="D219" s="268"/>
      <c r="E219" s="268"/>
      <c r="F219" s="268"/>
      <c r="G219" s="268"/>
      <c r="H219" s="268"/>
      <c r="I219" s="268"/>
      <c r="J219" s="268"/>
      <c r="K219" s="268"/>
      <c r="L219" s="268"/>
      <c r="M219" s="268"/>
      <c r="N219" s="268"/>
      <c r="O219" s="268"/>
      <c r="P219" s="310"/>
      <c r="Q219" s="268"/>
      <c r="R219" s="309"/>
      <c r="S219" s="268"/>
      <c r="T219" s="313"/>
      <c r="U219" s="313"/>
      <c r="V219" s="268"/>
      <c r="W219" s="268"/>
      <c r="X219" s="268"/>
      <c r="Y219" s="268"/>
      <c r="Z219" s="268"/>
    </row>
    <row r="220" spans="1:26" ht="24.75" customHeight="1">
      <c r="A220" s="268"/>
      <c r="B220" s="268"/>
      <c r="C220" s="268"/>
      <c r="D220" s="268"/>
      <c r="E220" s="268"/>
      <c r="F220" s="268"/>
      <c r="G220" s="268"/>
      <c r="H220" s="268"/>
      <c r="I220" s="268"/>
      <c r="J220" s="268"/>
      <c r="K220" s="268"/>
      <c r="L220" s="268"/>
      <c r="M220" s="268"/>
      <c r="N220" s="268"/>
      <c r="O220" s="268"/>
      <c r="P220" s="310"/>
      <c r="Q220" s="268"/>
      <c r="R220" s="309"/>
      <c r="S220" s="268"/>
      <c r="T220" s="313"/>
      <c r="U220" s="313"/>
      <c r="V220" s="268"/>
      <c r="W220" s="268"/>
      <c r="X220" s="268"/>
      <c r="Y220" s="268"/>
      <c r="Z220" s="268"/>
    </row>
    <row r="221" spans="1:26" ht="24.75" customHeight="1">
      <c r="A221" s="268"/>
      <c r="B221" s="268"/>
      <c r="C221" s="268"/>
      <c r="D221" s="268"/>
      <c r="E221" s="268"/>
      <c r="F221" s="268"/>
      <c r="G221" s="268"/>
      <c r="H221" s="268"/>
      <c r="I221" s="268"/>
      <c r="J221" s="268"/>
      <c r="K221" s="268"/>
      <c r="L221" s="268"/>
      <c r="M221" s="268"/>
      <c r="N221" s="268"/>
      <c r="O221" s="268"/>
      <c r="P221" s="310"/>
      <c r="Q221" s="268"/>
      <c r="R221" s="309"/>
      <c r="S221" s="268"/>
      <c r="T221" s="313"/>
      <c r="U221" s="313"/>
      <c r="V221" s="268"/>
      <c r="W221" s="268"/>
      <c r="X221" s="268"/>
      <c r="Y221" s="268"/>
      <c r="Z221" s="268"/>
    </row>
    <row r="222" spans="1:26" ht="24.75" customHeight="1">
      <c r="A222" s="268"/>
      <c r="B222" s="268"/>
      <c r="C222" s="268"/>
      <c r="D222" s="268"/>
      <c r="E222" s="268"/>
      <c r="F222" s="268"/>
      <c r="G222" s="268"/>
      <c r="H222" s="268"/>
      <c r="I222" s="268"/>
      <c r="J222" s="268"/>
      <c r="K222" s="268"/>
      <c r="L222" s="268"/>
      <c r="M222" s="268"/>
      <c r="N222" s="268"/>
      <c r="O222" s="268"/>
      <c r="P222" s="310"/>
      <c r="Q222" s="268"/>
      <c r="R222" s="309"/>
      <c r="S222" s="268"/>
      <c r="T222" s="313"/>
      <c r="U222" s="313"/>
      <c r="V222" s="268"/>
      <c r="W222" s="268"/>
      <c r="X222" s="268"/>
      <c r="Y222" s="268"/>
      <c r="Z222" s="268"/>
    </row>
    <row r="223" spans="1:26" ht="24.75" customHeight="1">
      <c r="A223" s="268"/>
      <c r="B223" s="268"/>
      <c r="C223" s="268"/>
      <c r="D223" s="268"/>
      <c r="E223" s="268"/>
      <c r="F223" s="268"/>
      <c r="G223" s="268"/>
      <c r="H223" s="268"/>
      <c r="I223" s="268"/>
      <c r="J223" s="268"/>
      <c r="K223" s="268"/>
      <c r="L223" s="268"/>
      <c r="M223" s="268"/>
      <c r="N223" s="268"/>
      <c r="O223" s="268"/>
      <c r="P223" s="310"/>
      <c r="Q223" s="268"/>
      <c r="R223" s="309"/>
      <c r="S223" s="268"/>
      <c r="T223" s="313"/>
      <c r="U223" s="313"/>
      <c r="V223" s="268"/>
      <c r="W223" s="268"/>
      <c r="X223" s="268"/>
      <c r="Y223" s="268"/>
      <c r="Z223" s="268"/>
    </row>
    <row r="224" spans="1:26" ht="24.75" customHeight="1">
      <c r="A224" s="268"/>
      <c r="B224" s="268"/>
      <c r="C224" s="268"/>
      <c r="D224" s="268"/>
      <c r="E224" s="268"/>
      <c r="F224" s="268"/>
      <c r="G224" s="268"/>
      <c r="H224" s="268"/>
      <c r="I224" s="268"/>
      <c r="J224" s="268"/>
      <c r="K224" s="268"/>
      <c r="L224" s="268"/>
      <c r="M224" s="268"/>
      <c r="N224" s="268"/>
      <c r="O224" s="268"/>
      <c r="P224" s="310"/>
      <c r="Q224" s="268"/>
      <c r="R224" s="309"/>
      <c r="S224" s="268"/>
      <c r="T224" s="313"/>
      <c r="U224" s="313"/>
      <c r="V224" s="268"/>
      <c r="W224" s="268"/>
      <c r="X224" s="268"/>
      <c r="Y224" s="268"/>
      <c r="Z224" s="268"/>
    </row>
    <row r="225" spans="1:26" ht="24.75" customHeight="1">
      <c r="A225" s="268"/>
      <c r="B225" s="268"/>
      <c r="C225" s="268"/>
      <c r="D225" s="268"/>
      <c r="E225" s="268"/>
      <c r="F225" s="268"/>
      <c r="G225" s="268"/>
      <c r="H225" s="268"/>
      <c r="I225" s="268"/>
      <c r="J225" s="268"/>
      <c r="K225" s="268"/>
      <c r="L225" s="268"/>
      <c r="M225" s="268"/>
      <c r="N225" s="268"/>
      <c r="O225" s="268"/>
      <c r="P225" s="310"/>
      <c r="Q225" s="268"/>
      <c r="R225" s="309"/>
      <c r="S225" s="268"/>
      <c r="T225" s="313"/>
      <c r="U225" s="313"/>
      <c r="V225" s="268"/>
      <c r="W225" s="268"/>
      <c r="X225" s="268"/>
      <c r="Y225" s="268"/>
      <c r="Z225" s="268"/>
    </row>
    <row r="226" spans="1:26" ht="24.75" customHeight="1">
      <c r="A226" s="268"/>
      <c r="B226" s="268"/>
      <c r="C226" s="268"/>
      <c r="D226" s="268"/>
      <c r="E226" s="268"/>
      <c r="F226" s="268"/>
      <c r="G226" s="268"/>
      <c r="H226" s="268"/>
      <c r="I226" s="268"/>
      <c r="J226" s="268"/>
      <c r="K226" s="268"/>
      <c r="L226" s="268"/>
      <c r="M226" s="268"/>
      <c r="N226" s="268"/>
      <c r="O226" s="268"/>
      <c r="P226" s="310"/>
      <c r="Q226" s="268"/>
      <c r="R226" s="309"/>
      <c r="S226" s="268"/>
      <c r="T226" s="313"/>
      <c r="U226" s="313"/>
      <c r="V226" s="268"/>
      <c r="W226" s="268"/>
      <c r="X226" s="268"/>
      <c r="Y226" s="268"/>
      <c r="Z226" s="268"/>
    </row>
    <row r="227" spans="1:26" ht="24.75" customHeight="1">
      <c r="A227" s="268"/>
      <c r="B227" s="268"/>
      <c r="C227" s="268"/>
      <c r="D227" s="268"/>
      <c r="E227" s="268"/>
      <c r="F227" s="268"/>
      <c r="G227" s="268"/>
      <c r="H227" s="268"/>
      <c r="I227" s="268"/>
      <c r="J227" s="268"/>
      <c r="K227" s="268"/>
      <c r="L227" s="268"/>
      <c r="M227" s="268"/>
      <c r="N227" s="268"/>
      <c r="O227" s="268"/>
      <c r="P227" s="310"/>
      <c r="Q227" s="268"/>
      <c r="R227" s="309"/>
      <c r="S227" s="268"/>
      <c r="T227" s="313"/>
      <c r="U227" s="313"/>
      <c r="V227" s="268"/>
      <c r="W227" s="268"/>
      <c r="X227" s="268"/>
      <c r="Y227" s="268"/>
      <c r="Z227" s="268"/>
    </row>
    <row r="228" spans="1:26" ht="24.75" customHeight="1">
      <c r="A228" s="268"/>
      <c r="B228" s="268"/>
      <c r="C228" s="268"/>
      <c r="D228" s="268"/>
      <c r="E228" s="268"/>
      <c r="F228" s="268"/>
      <c r="G228" s="268"/>
      <c r="H228" s="268"/>
      <c r="I228" s="268"/>
      <c r="J228" s="268"/>
      <c r="K228" s="268"/>
      <c r="L228" s="268"/>
      <c r="M228" s="268"/>
      <c r="N228" s="268"/>
      <c r="O228" s="268"/>
      <c r="P228" s="310"/>
      <c r="Q228" s="268"/>
      <c r="R228" s="309"/>
      <c r="S228" s="268"/>
      <c r="T228" s="313"/>
      <c r="U228" s="313"/>
      <c r="V228" s="268"/>
      <c r="W228" s="268"/>
      <c r="X228" s="268"/>
      <c r="Y228" s="268"/>
      <c r="Z228" s="268"/>
    </row>
    <row r="229" spans="1:26" ht="24.75" customHeight="1">
      <c r="A229" s="268"/>
      <c r="B229" s="268"/>
      <c r="C229" s="268"/>
      <c r="D229" s="268"/>
      <c r="E229" s="268"/>
      <c r="F229" s="268"/>
      <c r="G229" s="268"/>
      <c r="H229" s="268"/>
      <c r="I229" s="268"/>
      <c r="J229" s="268"/>
      <c r="K229" s="268"/>
      <c r="L229" s="268"/>
      <c r="M229" s="268"/>
      <c r="N229" s="268"/>
      <c r="O229" s="268"/>
      <c r="P229" s="310"/>
      <c r="Q229" s="268"/>
      <c r="R229" s="309"/>
      <c r="S229" s="268"/>
      <c r="T229" s="313"/>
      <c r="U229" s="313"/>
      <c r="V229" s="268"/>
      <c r="W229" s="268"/>
      <c r="X229" s="268"/>
      <c r="Y229" s="268"/>
      <c r="Z229" s="268"/>
    </row>
    <row r="230" spans="1:26" ht="24.75" customHeight="1">
      <c r="A230" s="268"/>
      <c r="B230" s="268"/>
      <c r="C230" s="268"/>
      <c r="D230" s="268"/>
      <c r="E230" s="268"/>
      <c r="F230" s="268"/>
      <c r="G230" s="268"/>
      <c r="H230" s="268"/>
      <c r="I230" s="268"/>
      <c r="J230" s="268"/>
      <c r="K230" s="268"/>
      <c r="L230" s="268"/>
      <c r="M230" s="268"/>
      <c r="N230" s="268"/>
      <c r="O230" s="268"/>
      <c r="P230" s="310"/>
      <c r="Q230" s="268"/>
      <c r="R230" s="309"/>
      <c r="S230" s="268"/>
      <c r="T230" s="313"/>
      <c r="U230" s="313"/>
      <c r="V230" s="268"/>
      <c r="W230" s="268"/>
      <c r="X230" s="268"/>
      <c r="Y230" s="268"/>
      <c r="Z230" s="268"/>
    </row>
    <row r="231" spans="1:26" ht="24.75" customHeight="1">
      <c r="A231" s="268"/>
      <c r="B231" s="268"/>
      <c r="C231" s="268"/>
      <c r="D231" s="268"/>
      <c r="E231" s="268"/>
      <c r="F231" s="268"/>
      <c r="G231" s="268"/>
      <c r="H231" s="268"/>
      <c r="I231" s="268"/>
      <c r="J231" s="268"/>
      <c r="K231" s="268"/>
      <c r="L231" s="268"/>
      <c r="M231" s="268"/>
      <c r="N231" s="268"/>
      <c r="O231" s="268"/>
      <c r="P231" s="310"/>
      <c r="Q231" s="268"/>
      <c r="R231" s="309"/>
      <c r="S231" s="268"/>
      <c r="T231" s="313"/>
      <c r="U231" s="313"/>
      <c r="V231" s="268"/>
      <c r="W231" s="268"/>
      <c r="X231" s="268"/>
      <c r="Y231" s="268"/>
      <c r="Z231" s="268"/>
    </row>
    <row r="232" spans="1:26" ht="24.75" customHeight="1">
      <c r="A232" s="268"/>
      <c r="B232" s="268"/>
      <c r="C232" s="268"/>
      <c r="D232" s="268"/>
      <c r="E232" s="268"/>
      <c r="F232" s="268"/>
      <c r="G232" s="268"/>
      <c r="H232" s="268"/>
      <c r="I232" s="268"/>
      <c r="J232" s="268"/>
      <c r="K232" s="268"/>
      <c r="L232" s="268"/>
      <c r="M232" s="268"/>
      <c r="N232" s="268"/>
      <c r="O232" s="268"/>
      <c r="P232" s="310"/>
      <c r="Q232" s="268"/>
      <c r="R232" s="309"/>
      <c r="S232" s="268"/>
      <c r="T232" s="313"/>
      <c r="U232" s="313"/>
      <c r="V232" s="268"/>
      <c r="W232" s="268"/>
      <c r="X232" s="268"/>
      <c r="Y232" s="268"/>
      <c r="Z232" s="268"/>
    </row>
    <row r="233" spans="1:26" ht="24.75" customHeight="1">
      <c r="A233" s="268"/>
      <c r="B233" s="268"/>
      <c r="C233" s="268"/>
      <c r="D233" s="268"/>
      <c r="E233" s="268"/>
      <c r="F233" s="268"/>
      <c r="G233" s="268"/>
      <c r="H233" s="268"/>
      <c r="I233" s="268"/>
      <c r="J233" s="268"/>
      <c r="K233" s="268"/>
      <c r="L233" s="268"/>
      <c r="M233" s="268"/>
      <c r="N233" s="268"/>
      <c r="O233" s="268"/>
      <c r="P233" s="310"/>
      <c r="Q233" s="268"/>
      <c r="R233" s="309"/>
      <c r="S233" s="268"/>
      <c r="T233" s="313"/>
      <c r="U233" s="313"/>
      <c r="V233" s="268"/>
      <c r="W233" s="268"/>
      <c r="X233" s="268"/>
      <c r="Y233" s="268"/>
      <c r="Z233" s="268"/>
    </row>
    <row r="234" spans="1:26" ht="24.75" customHeight="1">
      <c r="A234" s="268"/>
      <c r="B234" s="268"/>
      <c r="C234" s="268"/>
      <c r="D234" s="268"/>
      <c r="E234" s="268"/>
      <c r="F234" s="268"/>
      <c r="G234" s="268"/>
      <c r="H234" s="268"/>
      <c r="I234" s="268"/>
      <c r="J234" s="268"/>
      <c r="K234" s="268"/>
      <c r="L234" s="268"/>
      <c r="M234" s="268"/>
      <c r="N234" s="268"/>
      <c r="O234" s="268"/>
      <c r="P234" s="310"/>
      <c r="Q234" s="268"/>
      <c r="R234" s="309"/>
      <c r="S234" s="268"/>
      <c r="T234" s="313"/>
      <c r="U234" s="313"/>
      <c r="V234" s="268"/>
      <c r="W234" s="268"/>
      <c r="X234" s="268"/>
      <c r="Y234" s="268"/>
      <c r="Z234" s="268"/>
    </row>
    <row r="235" spans="1:26" ht="24.75" customHeight="1">
      <c r="A235" s="268"/>
      <c r="B235" s="268"/>
      <c r="C235" s="268"/>
      <c r="D235" s="268"/>
      <c r="E235" s="268"/>
      <c r="F235" s="268"/>
      <c r="G235" s="268"/>
      <c r="H235" s="268"/>
      <c r="I235" s="268"/>
      <c r="J235" s="268"/>
      <c r="K235" s="268"/>
      <c r="L235" s="268"/>
      <c r="M235" s="268"/>
      <c r="N235" s="268"/>
      <c r="O235" s="268"/>
      <c r="P235" s="310"/>
      <c r="Q235" s="268"/>
      <c r="R235" s="309"/>
      <c r="S235" s="268"/>
      <c r="T235" s="313"/>
      <c r="U235" s="313"/>
      <c r="V235" s="268"/>
      <c r="W235" s="268"/>
      <c r="X235" s="268"/>
      <c r="Y235" s="268"/>
      <c r="Z235" s="268"/>
    </row>
    <row r="236" spans="1:26" ht="24.75" customHeight="1">
      <c r="A236" s="268"/>
      <c r="B236" s="268"/>
      <c r="C236" s="268"/>
      <c r="D236" s="268"/>
      <c r="E236" s="268"/>
      <c r="F236" s="268"/>
      <c r="G236" s="268"/>
      <c r="H236" s="268"/>
      <c r="I236" s="268"/>
      <c r="J236" s="268"/>
      <c r="K236" s="268"/>
      <c r="L236" s="268"/>
      <c r="M236" s="268"/>
      <c r="N236" s="268"/>
      <c r="O236" s="268"/>
      <c r="P236" s="310"/>
      <c r="Q236" s="268"/>
      <c r="R236" s="309"/>
      <c r="S236" s="268"/>
      <c r="T236" s="313"/>
      <c r="U236" s="313"/>
      <c r="V236" s="268"/>
      <c r="W236" s="268"/>
      <c r="X236" s="268"/>
      <c r="Y236" s="268"/>
      <c r="Z236" s="268"/>
    </row>
    <row r="237" spans="1:26" ht="24.75" customHeight="1">
      <c r="A237" s="268"/>
      <c r="B237" s="268"/>
      <c r="C237" s="268"/>
      <c r="D237" s="268"/>
      <c r="E237" s="268"/>
      <c r="F237" s="268"/>
      <c r="G237" s="268"/>
      <c r="H237" s="268"/>
      <c r="I237" s="268"/>
      <c r="J237" s="268"/>
      <c r="K237" s="268"/>
      <c r="L237" s="268"/>
      <c r="M237" s="268"/>
      <c r="N237" s="268"/>
      <c r="O237" s="268"/>
      <c r="P237" s="310"/>
      <c r="Q237" s="268"/>
      <c r="R237" s="309"/>
      <c r="S237" s="268"/>
      <c r="T237" s="313"/>
      <c r="U237" s="313"/>
      <c r="V237" s="268"/>
      <c r="W237" s="268"/>
      <c r="X237" s="268"/>
      <c r="Y237" s="268"/>
      <c r="Z237" s="268"/>
    </row>
    <row r="238" spans="1:26" ht="24.75" customHeight="1">
      <c r="A238" s="268"/>
      <c r="B238" s="268"/>
      <c r="C238" s="268"/>
      <c r="D238" s="268"/>
      <c r="E238" s="268"/>
      <c r="F238" s="268"/>
      <c r="G238" s="268"/>
      <c r="H238" s="268"/>
      <c r="I238" s="268"/>
      <c r="J238" s="268"/>
      <c r="K238" s="268"/>
      <c r="L238" s="268"/>
      <c r="M238" s="268"/>
      <c r="N238" s="268"/>
      <c r="O238" s="268"/>
      <c r="P238" s="310"/>
      <c r="Q238" s="268"/>
      <c r="R238" s="309"/>
      <c r="S238" s="268"/>
      <c r="T238" s="313"/>
      <c r="U238" s="313"/>
      <c r="V238" s="268"/>
      <c r="W238" s="268"/>
      <c r="X238" s="268"/>
      <c r="Y238" s="268"/>
      <c r="Z238" s="268"/>
    </row>
    <row r="239" spans="1:26" ht="24.75" customHeight="1">
      <c r="A239" s="268"/>
      <c r="B239" s="268"/>
      <c r="C239" s="268"/>
      <c r="D239" s="268"/>
      <c r="E239" s="268"/>
      <c r="F239" s="268"/>
      <c r="G239" s="268"/>
      <c r="H239" s="268"/>
      <c r="I239" s="268"/>
      <c r="J239" s="268"/>
      <c r="K239" s="268"/>
      <c r="L239" s="268"/>
      <c r="M239" s="268"/>
      <c r="N239" s="268"/>
      <c r="O239" s="268"/>
      <c r="P239" s="310"/>
      <c r="Q239" s="268"/>
      <c r="R239" s="309"/>
      <c r="S239" s="268"/>
      <c r="T239" s="313"/>
      <c r="U239" s="313"/>
      <c r="V239" s="268"/>
      <c r="W239" s="268"/>
      <c r="X239" s="268"/>
      <c r="Y239" s="268"/>
      <c r="Z239" s="268"/>
    </row>
    <row r="240" spans="1:26" ht="24.75" customHeight="1">
      <c r="A240" s="268"/>
      <c r="B240" s="268"/>
      <c r="C240" s="268"/>
      <c r="D240" s="268"/>
      <c r="E240" s="268"/>
      <c r="F240" s="268"/>
      <c r="G240" s="268"/>
      <c r="H240" s="268"/>
      <c r="I240" s="268"/>
      <c r="J240" s="268"/>
      <c r="K240" s="268"/>
      <c r="L240" s="268"/>
      <c r="M240" s="268"/>
      <c r="N240" s="268"/>
      <c r="O240" s="268"/>
      <c r="P240" s="310"/>
      <c r="Q240" s="268"/>
      <c r="R240" s="309"/>
      <c r="S240" s="268"/>
      <c r="T240" s="313"/>
      <c r="U240" s="313"/>
      <c r="V240" s="268"/>
      <c r="W240" s="268"/>
      <c r="X240" s="268"/>
      <c r="Y240" s="268"/>
      <c r="Z240" s="268"/>
    </row>
    <row r="241" spans="1:26" ht="24.75" customHeight="1">
      <c r="A241" s="268"/>
      <c r="B241" s="268"/>
      <c r="C241" s="268"/>
      <c r="D241" s="268"/>
      <c r="E241" s="268"/>
      <c r="F241" s="268"/>
      <c r="G241" s="268"/>
      <c r="H241" s="268"/>
      <c r="I241" s="268"/>
      <c r="J241" s="268"/>
      <c r="K241" s="268"/>
      <c r="L241" s="268"/>
      <c r="M241" s="268"/>
      <c r="N241" s="268"/>
      <c r="O241" s="268"/>
      <c r="P241" s="310"/>
      <c r="Q241" s="268"/>
      <c r="R241" s="309"/>
      <c r="S241" s="268"/>
      <c r="T241" s="313"/>
      <c r="U241" s="313"/>
      <c r="V241" s="268"/>
      <c r="W241" s="268"/>
      <c r="X241" s="268"/>
      <c r="Y241" s="268"/>
      <c r="Z241" s="268"/>
    </row>
    <row r="242" spans="1:26" ht="24.75" customHeight="1">
      <c r="A242" s="268"/>
      <c r="B242" s="268"/>
      <c r="C242" s="268"/>
      <c r="D242" s="268"/>
      <c r="E242" s="268"/>
      <c r="F242" s="268"/>
      <c r="G242" s="268"/>
      <c r="H242" s="268"/>
      <c r="I242" s="268"/>
      <c r="J242" s="268"/>
      <c r="K242" s="268"/>
      <c r="L242" s="268"/>
      <c r="M242" s="268"/>
      <c r="N242" s="268"/>
      <c r="O242" s="268"/>
      <c r="P242" s="310"/>
      <c r="Q242" s="268"/>
      <c r="R242" s="309"/>
      <c r="S242" s="268"/>
      <c r="T242" s="313"/>
      <c r="U242" s="313"/>
      <c r="V242" s="268"/>
      <c r="W242" s="268"/>
      <c r="X242" s="268"/>
      <c r="Y242" s="268"/>
      <c r="Z242" s="268"/>
    </row>
    <row r="243" spans="1:26" ht="24.75" customHeight="1">
      <c r="A243" s="268"/>
      <c r="B243" s="268"/>
      <c r="C243" s="268"/>
      <c r="D243" s="268"/>
      <c r="E243" s="268"/>
      <c r="F243" s="268"/>
      <c r="G243" s="268"/>
      <c r="H243" s="268"/>
      <c r="I243" s="268"/>
      <c r="J243" s="268"/>
      <c r="K243" s="268"/>
      <c r="L243" s="268"/>
      <c r="M243" s="268"/>
      <c r="N243" s="268"/>
      <c r="O243" s="268"/>
      <c r="P243" s="310"/>
      <c r="Q243" s="268"/>
      <c r="R243" s="309"/>
      <c r="S243" s="268"/>
      <c r="T243" s="313"/>
      <c r="U243" s="313"/>
      <c r="V243" s="268"/>
      <c r="W243" s="268"/>
      <c r="X243" s="268"/>
      <c r="Y243" s="268"/>
      <c r="Z243" s="268"/>
    </row>
    <row r="244" spans="1:26" ht="24.75" customHeight="1">
      <c r="A244" s="268"/>
      <c r="B244" s="268"/>
      <c r="C244" s="268"/>
      <c r="D244" s="268"/>
      <c r="E244" s="268"/>
      <c r="F244" s="268"/>
      <c r="G244" s="268"/>
      <c r="H244" s="268"/>
      <c r="I244" s="268"/>
      <c r="J244" s="268"/>
      <c r="K244" s="268"/>
      <c r="L244" s="268"/>
      <c r="M244" s="268"/>
      <c r="N244" s="268"/>
      <c r="O244" s="268"/>
      <c r="P244" s="310"/>
      <c r="Q244" s="268"/>
      <c r="R244" s="309"/>
      <c r="S244" s="268"/>
      <c r="T244" s="313"/>
      <c r="U244" s="313"/>
      <c r="V244" s="268"/>
      <c r="W244" s="268"/>
      <c r="X244" s="268"/>
      <c r="Y244" s="268"/>
      <c r="Z244" s="268"/>
    </row>
    <row r="245" spans="1:26" ht="24.75" customHeight="1">
      <c r="A245" s="268"/>
      <c r="B245" s="268"/>
      <c r="C245" s="268"/>
      <c r="D245" s="268"/>
      <c r="E245" s="268"/>
      <c r="F245" s="268"/>
      <c r="G245" s="268"/>
      <c r="H245" s="268"/>
      <c r="I245" s="268"/>
      <c r="J245" s="268"/>
      <c r="K245" s="268"/>
      <c r="L245" s="268"/>
      <c r="M245" s="268"/>
      <c r="N245" s="268"/>
      <c r="O245" s="268"/>
      <c r="P245" s="310"/>
      <c r="Q245" s="268"/>
      <c r="R245" s="309"/>
      <c r="S245" s="268"/>
      <c r="T245" s="313"/>
      <c r="U245" s="313"/>
      <c r="V245" s="268"/>
      <c r="W245" s="268"/>
      <c r="X245" s="268"/>
      <c r="Y245" s="268"/>
      <c r="Z245" s="268"/>
    </row>
    <row r="246" spans="1:26" ht="24.75" customHeight="1">
      <c r="A246" s="268"/>
      <c r="B246" s="268"/>
      <c r="C246" s="268"/>
      <c r="D246" s="268"/>
      <c r="E246" s="268"/>
      <c r="F246" s="268"/>
      <c r="G246" s="268"/>
      <c r="H246" s="268"/>
      <c r="I246" s="268"/>
      <c r="J246" s="268"/>
      <c r="K246" s="268"/>
      <c r="L246" s="268"/>
      <c r="M246" s="268"/>
      <c r="N246" s="268"/>
      <c r="O246" s="268"/>
      <c r="P246" s="310"/>
      <c r="Q246" s="268"/>
      <c r="R246" s="309"/>
      <c r="S246" s="268"/>
      <c r="T246" s="313"/>
      <c r="U246" s="313"/>
      <c r="V246" s="268"/>
      <c r="W246" s="268"/>
      <c r="X246" s="268"/>
      <c r="Y246" s="268"/>
      <c r="Z246" s="268"/>
    </row>
    <row r="247" spans="1:26" ht="24.75" customHeight="1">
      <c r="A247" s="268"/>
      <c r="B247" s="268"/>
      <c r="C247" s="268"/>
      <c r="D247" s="268"/>
      <c r="E247" s="268"/>
      <c r="F247" s="268"/>
      <c r="G247" s="268"/>
      <c r="H247" s="268"/>
      <c r="I247" s="268"/>
      <c r="J247" s="268"/>
      <c r="K247" s="268"/>
      <c r="L247" s="268"/>
      <c r="M247" s="268"/>
      <c r="N247" s="268"/>
      <c r="O247" s="268"/>
      <c r="P247" s="310"/>
      <c r="Q247" s="268"/>
      <c r="R247" s="309"/>
      <c r="S247" s="268"/>
      <c r="T247" s="313"/>
      <c r="U247" s="313"/>
      <c r="V247" s="268"/>
      <c r="W247" s="268"/>
      <c r="X247" s="268"/>
      <c r="Y247" s="268"/>
      <c r="Z247" s="268"/>
    </row>
    <row r="248" spans="1:26" ht="24.75" customHeight="1">
      <c r="A248" s="268"/>
      <c r="B248" s="268"/>
      <c r="C248" s="268"/>
      <c r="D248" s="268"/>
      <c r="E248" s="268"/>
      <c r="F248" s="268"/>
      <c r="G248" s="268"/>
      <c r="H248" s="268"/>
      <c r="I248" s="268"/>
      <c r="J248" s="268"/>
      <c r="K248" s="268"/>
      <c r="L248" s="268"/>
      <c r="M248" s="268"/>
      <c r="N248" s="268"/>
      <c r="O248" s="268"/>
      <c r="P248" s="310"/>
      <c r="Q248" s="268"/>
      <c r="R248" s="309"/>
      <c r="S248" s="268"/>
      <c r="T248" s="313"/>
      <c r="U248" s="313"/>
      <c r="V248" s="268"/>
      <c r="W248" s="268"/>
      <c r="X248" s="268"/>
      <c r="Y248" s="268"/>
      <c r="Z248" s="268"/>
    </row>
    <row r="249" spans="1:26" ht="24.75" customHeight="1">
      <c r="A249" s="268"/>
      <c r="B249" s="268"/>
      <c r="C249" s="268"/>
      <c r="D249" s="268"/>
      <c r="E249" s="268"/>
      <c r="F249" s="268"/>
      <c r="G249" s="268"/>
      <c r="H249" s="268"/>
      <c r="I249" s="268"/>
      <c r="J249" s="268"/>
      <c r="K249" s="268"/>
      <c r="L249" s="268"/>
      <c r="M249" s="268"/>
      <c r="N249" s="268"/>
      <c r="O249" s="268"/>
      <c r="P249" s="310"/>
      <c r="Q249" s="268"/>
      <c r="R249" s="309"/>
      <c r="S249" s="268"/>
      <c r="T249" s="313"/>
      <c r="U249" s="313"/>
      <c r="V249" s="268"/>
      <c r="W249" s="268"/>
      <c r="X249" s="268"/>
      <c r="Y249" s="268"/>
      <c r="Z249" s="268"/>
    </row>
    <row r="250" spans="1:26" ht="24.75" customHeight="1">
      <c r="A250" s="268"/>
      <c r="B250" s="268"/>
      <c r="C250" s="268"/>
      <c r="D250" s="268"/>
      <c r="E250" s="268"/>
      <c r="F250" s="268"/>
      <c r="G250" s="268"/>
      <c r="H250" s="268"/>
      <c r="I250" s="268"/>
      <c r="J250" s="268"/>
      <c r="K250" s="268"/>
      <c r="L250" s="268"/>
      <c r="M250" s="268"/>
      <c r="N250" s="268"/>
      <c r="O250" s="268"/>
      <c r="P250" s="310"/>
      <c r="Q250" s="268"/>
      <c r="R250" s="309"/>
      <c r="S250" s="268"/>
      <c r="T250" s="313"/>
      <c r="U250" s="313"/>
      <c r="V250" s="268"/>
      <c r="W250" s="268"/>
      <c r="X250" s="268"/>
      <c r="Y250" s="268"/>
      <c r="Z250" s="268"/>
    </row>
    <row r="251" spans="1:26" ht="24.75" customHeight="1">
      <c r="A251" s="268"/>
      <c r="B251" s="268"/>
      <c r="C251" s="268"/>
      <c r="D251" s="268"/>
      <c r="E251" s="268"/>
      <c r="F251" s="268"/>
      <c r="G251" s="268"/>
      <c r="H251" s="268"/>
      <c r="I251" s="268"/>
      <c r="J251" s="268"/>
      <c r="K251" s="268"/>
      <c r="L251" s="268"/>
      <c r="M251" s="268"/>
      <c r="N251" s="268"/>
      <c r="O251" s="268"/>
      <c r="P251" s="310"/>
      <c r="Q251" s="268"/>
      <c r="R251" s="309"/>
      <c r="S251" s="268"/>
      <c r="T251" s="313"/>
      <c r="U251" s="313"/>
      <c r="V251" s="268"/>
      <c r="W251" s="268"/>
      <c r="X251" s="268"/>
      <c r="Y251" s="268"/>
      <c r="Z251" s="268"/>
    </row>
    <row r="252" spans="1:26" ht="24.75" customHeight="1">
      <c r="A252" s="268"/>
      <c r="B252" s="268"/>
      <c r="C252" s="268"/>
      <c r="D252" s="268"/>
      <c r="E252" s="268"/>
      <c r="F252" s="268"/>
      <c r="G252" s="268"/>
      <c r="H252" s="268"/>
      <c r="I252" s="268"/>
      <c r="J252" s="268"/>
      <c r="K252" s="268"/>
      <c r="L252" s="268"/>
      <c r="M252" s="268"/>
      <c r="N252" s="268"/>
      <c r="O252" s="268"/>
      <c r="P252" s="310"/>
      <c r="Q252" s="268"/>
      <c r="R252" s="309"/>
      <c r="S252" s="268"/>
      <c r="T252" s="313"/>
      <c r="U252" s="313"/>
      <c r="V252" s="268"/>
      <c r="W252" s="268"/>
      <c r="X252" s="268"/>
      <c r="Y252" s="268"/>
      <c r="Z252" s="268"/>
    </row>
    <row r="253" spans="1:26" ht="24.75" customHeight="1">
      <c r="A253" s="268"/>
      <c r="B253" s="268"/>
      <c r="C253" s="268"/>
      <c r="D253" s="268"/>
      <c r="E253" s="268"/>
      <c r="F253" s="268"/>
      <c r="G253" s="268"/>
      <c r="H253" s="268"/>
      <c r="I253" s="268"/>
      <c r="J253" s="268"/>
      <c r="K253" s="268"/>
      <c r="L253" s="268"/>
      <c r="M253" s="268"/>
      <c r="N253" s="268"/>
      <c r="O253" s="268"/>
      <c r="P253" s="310"/>
      <c r="Q253" s="268"/>
      <c r="R253" s="309"/>
      <c r="S253" s="268"/>
      <c r="T253" s="313"/>
      <c r="U253" s="313"/>
      <c r="V253" s="268"/>
      <c r="W253" s="268"/>
      <c r="X253" s="268"/>
      <c r="Y253" s="268"/>
      <c r="Z253" s="268"/>
    </row>
    <row r="254" spans="1:26" ht="24.75" customHeight="1">
      <c r="A254" s="268"/>
      <c r="B254" s="268"/>
      <c r="C254" s="268"/>
      <c r="D254" s="268"/>
      <c r="E254" s="268"/>
      <c r="F254" s="268"/>
      <c r="G254" s="268"/>
      <c r="H254" s="268"/>
      <c r="I254" s="268"/>
      <c r="J254" s="268"/>
      <c r="K254" s="268"/>
      <c r="L254" s="268"/>
      <c r="M254" s="268"/>
      <c r="N254" s="268"/>
      <c r="O254" s="268"/>
      <c r="P254" s="310"/>
      <c r="Q254" s="268"/>
      <c r="R254" s="309"/>
      <c r="S254" s="268"/>
      <c r="T254" s="313"/>
      <c r="U254" s="313"/>
      <c r="V254" s="268"/>
      <c r="W254" s="268"/>
      <c r="X254" s="268"/>
      <c r="Y254" s="268"/>
      <c r="Z254" s="268"/>
    </row>
    <row r="255" spans="1:26" ht="24.75" customHeight="1">
      <c r="A255" s="268"/>
      <c r="B255" s="268"/>
      <c r="C255" s="268"/>
      <c r="D255" s="268"/>
      <c r="E255" s="268"/>
      <c r="F255" s="268"/>
      <c r="G255" s="268"/>
      <c r="H255" s="268"/>
      <c r="I255" s="268"/>
      <c r="J255" s="268"/>
      <c r="K255" s="268"/>
      <c r="L255" s="268"/>
      <c r="M255" s="268"/>
      <c r="N255" s="268"/>
      <c r="O255" s="268"/>
      <c r="P255" s="310"/>
      <c r="Q255" s="268"/>
      <c r="R255" s="309"/>
      <c r="S255" s="268"/>
      <c r="T255" s="313"/>
      <c r="U255" s="313"/>
      <c r="V255" s="268"/>
      <c r="W255" s="268"/>
      <c r="X255" s="268"/>
      <c r="Y255" s="268"/>
      <c r="Z255" s="268"/>
    </row>
    <row r="256" spans="1:26" ht="24.75" customHeight="1">
      <c r="A256" s="268"/>
      <c r="B256" s="268"/>
      <c r="C256" s="268"/>
      <c r="D256" s="268"/>
      <c r="E256" s="268"/>
      <c r="F256" s="268"/>
      <c r="G256" s="268"/>
      <c r="H256" s="268"/>
      <c r="I256" s="268"/>
      <c r="J256" s="268"/>
      <c r="K256" s="268"/>
      <c r="L256" s="268"/>
      <c r="M256" s="268"/>
      <c r="N256" s="268"/>
      <c r="O256" s="268"/>
      <c r="P256" s="310"/>
      <c r="Q256" s="268"/>
      <c r="R256" s="309"/>
      <c r="S256" s="268"/>
      <c r="T256" s="313"/>
      <c r="U256" s="313"/>
      <c r="V256" s="268"/>
      <c r="W256" s="268"/>
      <c r="X256" s="268"/>
      <c r="Y256" s="268"/>
      <c r="Z256" s="268"/>
    </row>
    <row r="257" spans="1:26" ht="24.75" customHeight="1">
      <c r="A257" s="268"/>
      <c r="B257" s="268"/>
      <c r="C257" s="268"/>
      <c r="D257" s="268"/>
      <c r="E257" s="268"/>
      <c r="F257" s="268"/>
      <c r="G257" s="268"/>
      <c r="H257" s="268"/>
      <c r="I257" s="268"/>
      <c r="J257" s="268"/>
      <c r="K257" s="268"/>
      <c r="L257" s="268"/>
      <c r="M257" s="268"/>
      <c r="N257" s="268"/>
      <c r="O257" s="268"/>
      <c r="P257" s="310"/>
      <c r="Q257" s="268"/>
      <c r="R257" s="309"/>
      <c r="S257" s="268"/>
      <c r="T257" s="313"/>
      <c r="U257" s="313"/>
      <c r="V257" s="268"/>
      <c r="W257" s="268"/>
      <c r="X257" s="268"/>
      <c r="Y257" s="268"/>
      <c r="Z257" s="268"/>
    </row>
    <row r="258" spans="1:26" ht="24.75" customHeight="1">
      <c r="A258" s="268"/>
      <c r="B258" s="268"/>
      <c r="C258" s="268"/>
      <c r="D258" s="268"/>
      <c r="E258" s="268"/>
      <c r="F258" s="268"/>
      <c r="G258" s="268"/>
      <c r="H258" s="268"/>
      <c r="I258" s="268"/>
      <c r="J258" s="268"/>
      <c r="K258" s="268"/>
      <c r="L258" s="268"/>
      <c r="M258" s="268"/>
      <c r="N258" s="268"/>
      <c r="O258" s="268"/>
      <c r="P258" s="310"/>
      <c r="Q258" s="268"/>
      <c r="R258" s="309"/>
      <c r="S258" s="268"/>
      <c r="T258" s="313"/>
      <c r="U258" s="313"/>
      <c r="V258" s="268"/>
      <c r="W258" s="268"/>
      <c r="X258" s="268"/>
      <c r="Y258" s="268"/>
      <c r="Z258" s="268"/>
    </row>
    <row r="259" spans="1:26" ht="24.75" customHeight="1">
      <c r="A259" s="268"/>
      <c r="B259" s="268"/>
      <c r="C259" s="268"/>
      <c r="D259" s="268"/>
      <c r="E259" s="268"/>
      <c r="F259" s="268"/>
      <c r="G259" s="268"/>
      <c r="H259" s="268"/>
      <c r="I259" s="268"/>
      <c r="J259" s="268"/>
      <c r="K259" s="268"/>
      <c r="L259" s="268"/>
      <c r="M259" s="268"/>
      <c r="N259" s="268"/>
      <c r="O259" s="268"/>
      <c r="P259" s="310"/>
      <c r="Q259" s="268"/>
      <c r="R259" s="309"/>
      <c r="S259" s="268"/>
      <c r="T259" s="313"/>
      <c r="U259" s="313"/>
      <c r="V259" s="268"/>
      <c r="W259" s="268"/>
      <c r="X259" s="268"/>
      <c r="Y259" s="268"/>
      <c r="Z259" s="268"/>
    </row>
    <row r="260" spans="1:26" ht="24.75" customHeight="1">
      <c r="A260" s="268"/>
      <c r="B260" s="268"/>
      <c r="C260" s="268"/>
      <c r="D260" s="268"/>
      <c r="E260" s="268"/>
      <c r="F260" s="268"/>
      <c r="G260" s="268"/>
      <c r="H260" s="268"/>
      <c r="I260" s="268"/>
      <c r="J260" s="268"/>
      <c r="K260" s="268"/>
      <c r="L260" s="268"/>
      <c r="M260" s="268"/>
      <c r="N260" s="268"/>
      <c r="O260" s="268"/>
      <c r="P260" s="310"/>
      <c r="Q260" s="268"/>
      <c r="R260" s="309"/>
      <c r="S260" s="268"/>
      <c r="T260" s="313"/>
      <c r="U260" s="313"/>
      <c r="V260" s="268"/>
      <c r="W260" s="268"/>
      <c r="X260" s="268"/>
      <c r="Y260" s="268"/>
      <c r="Z260" s="268"/>
    </row>
    <row r="261" spans="1:26" ht="24.75" customHeight="1">
      <c r="A261" s="268"/>
      <c r="B261" s="268"/>
      <c r="C261" s="268"/>
      <c r="D261" s="268"/>
      <c r="E261" s="268"/>
      <c r="F261" s="268"/>
      <c r="G261" s="268"/>
      <c r="H261" s="268"/>
      <c r="I261" s="268"/>
      <c r="J261" s="268"/>
      <c r="K261" s="268"/>
      <c r="L261" s="268"/>
      <c r="M261" s="268"/>
      <c r="N261" s="268"/>
      <c r="O261" s="268"/>
      <c r="P261" s="310"/>
      <c r="Q261" s="268"/>
      <c r="R261" s="309"/>
      <c r="S261" s="268"/>
      <c r="T261" s="313"/>
      <c r="U261" s="313"/>
      <c r="V261" s="268"/>
      <c r="W261" s="268"/>
      <c r="X261" s="268"/>
      <c r="Y261" s="268"/>
      <c r="Z261" s="268"/>
    </row>
    <row r="262" spans="1:26" ht="24.75" customHeight="1">
      <c r="A262" s="268"/>
      <c r="B262" s="268"/>
      <c r="C262" s="268"/>
      <c r="D262" s="268"/>
      <c r="E262" s="268"/>
      <c r="F262" s="268"/>
      <c r="G262" s="268"/>
      <c r="H262" s="268"/>
      <c r="I262" s="268"/>
      <c r="J262" s="268"/>
      <c r="K262" s="268"/>
      <c r="L262" s="268"/>
      <c r="M262" s="268"/>
      <c r="N262" s="268"/>
      <c r="O262" s="268"/>
      <c r="P262" s="310"/>
      <c r="Q262" s="268"/>
      <c r="R262" s="309"/>
      <c r="S262" s="268"/>
      <c r="T262" s="313"/>
      <c r="U262" s="313"/>
      <c r="V262" s="268"/>
      <c r="W262" s="268"/>
      <c r="X262" s="268"/>
      <c r="Y262" s="268"/>
      <c r="Z262" s="268"/>
    </row>
    <row r="263" spans="1:26" ht="24.75" customHeight="1">
      <c r="A263" s="268"/>
      <c r="B263" s="268"/>
      <c r="C263" s="268"/>
      <c r="D263" s="268"/>
      <c r="E263" s="268"/>
      <c r="F263" s="268"/>
      <c r="G263" s="268"/>
      <c r="H263" s="268"/>
      <c r="I263" s="268"/>
      <c r="J263" s="268"/>
      <c r="K263" s="268"/>
      <c r="L263" s="268"/>
      <c r="M263" s="268"/>
      <c r="N263" s="268"/>
      <c r="O263" s="268"/>
      <c r="P263" s="310"/>
      <c r="Q263" s="268"/>
      <c r="R263" s="309"/>
      <c r="S263" s="268"/>
      <c r="T263" s="313"/>
      <c r="U263" s="313"/>
      <c r="V263" s="268"/>
      <c r="W263" s="268"/>
      <c r="X263" s="268"/>
      <c r="Y263" s="268"/>
      <c r="Z263" s="268"/>
    </row>
    <row r="264" spans="1:26" ht="24.75" customHeight="1">
      <c r="A264" s="268"/>
      <c r="B264" s="268"/>
      <c r="C264" s="268"/>
      <c r="D264" s="268"/>
      <c r="E264" s="268"/>
      <c r="F264" s="268"/>
      <c r="G264" s="268"/>
      <c r="H264" s="268"/>
      <c r="I264" s="268"/>
      <c r="J264" s="268"/>
      <c r="K264" s="268"/>
      <c r="L264" s="268"/>
      <c r="M264" s="268"/>
      <c r="N264" s="268"/>
      <c r="O264" s="268"/>
      <c r="P264" s="310"/>
      <c r="Q264" s="268"/>
      <c r="R264" s="309"/>
      <c r="S264" s="268"/>
      <c r="T264" s="313"/>
      <c r="U264" s="313"/>
      <c r="V264" s="268"/>
      <c r="W264" s="268"/>
      <c r="X264" s="268"/>
      <c r="Y264" s="268"/>
      <c r="Z264" s="268"/>
    </row>
    <row r="265" spans="1:26" ht="24.75" customHeight="1">
      <c r="A265" s="268"/>
      <c r="B265" s="268"/>
      <c r="C265" s="268"/>
      <c r="D265" s="268"/>
      <c r="E265" s="268"/>
      <c r="F265" s="268"/>
      <c r="G265" s="268"/>
      <c r="H265" s="268"/>
      <c r="I265" s="268"/>
      <c r="J265" s="268"/>
      <c r="K265" s="268"/>
      <c r="L265" s="268"/>
      <c r="M265" s="268"/>
      <c r="N265" s="268"/>
      <c r="O265" s="268"/>
      <c r="P265" s="310"/>
      <c r="Q265" s="268"/>
      <c r="R265" s="309"/>
      <c r="S265" s="268"/>
      <c r="T265" s="313"/>
      <c r="U265" s="313"/>
      <c r="V265" s="268"/>
      <c r="W265" s="268"/>
      <c r="X265" s="268"/>
      <c r="Y265" s="268"/>
      <c r="Z265" s="268"/>
    </row>
    <row r="266" spans="1:26" ht="24.75" customHeight="1">
      <c r="A266" s="268"/>
      <c r="B266" s="268"/>
      <c r="C266" s="268"/>
      <c r="D266" s="268"/>
      <c r="E266" s="268"/>
      <c r="F266" s="268"/>
      <c r="G266" s="268"/>
      <c r="H266" s="268"/>
      <c r="I266" s="268"/>
      <c r="J266" s="268"/>
      <c r="K266" s="268"/>
      <c r="L266" s="268"/>
      <c r="M266" s="268"/>
      <c r="N266" s="268"/>
      <c r="O266" s="268"/>
      <c r="P266" s="310"/>
      <c r="Q266" s="268"/>
      <c r="R266" s="309"/>
      <c r="S266" s="268"/>
      <c r="T266" s="313"/>
      <c r="U266" s="313"/>
      <c r="V266" s="268"/>
      <c r="W266" s="268"/>
      <c r="X266" s="268"/>
      <c r="Y266" s="268"/>
      <c r="Z266" s="268"/>
    </row>
    <row r="267" spans="1:26" ht="24.75" customHeight="1">
      <c r="A267" s="268"/>
      <c r="B267" s="268"/>
      <c r="C267" s="268"/>
      <c r="D267" s="268"/>
      <c r="E267" s="268"/>
      <c r="F267" s="268"/>
      <c r="G267" s="268"/>
      <c r="H267" s="268"/>
      <c r="I267" s="268"/>
      <c r="J267" s="268"/>
      <c r="K267" s="268"/>
      <c r="L267" s="268"/>
      <c r="M267" s="268"/>
      <c r="N267" s="268"/>
      <c r="O267" s="268"/>
      <c r="P267" s="310"/>
      <c r="Q267" s="268"/>
      <c r="R267" s="309"/>
      <c r="S267" s="268"/>
      <c r="T267" s="313"/>
      <c r="U267" s="313"/>
      <c r="V267" s="268"/>
      <c r="W267" s="268"/>
      <c r="X267" s="268"/>
      <c r="Y267" s="268"/>
      <c r="Z267" s="268"/>
    </row>
    <row r="268" spans="1:26" ht="24.75" customHeight="1">
      <c r="A268" s="268"/>
      <c r="B268" s="268"/>
      <c r="C268" s="268"/>
      <c r="D268" s="268"/>
      <c r="E268" s="268"/>
      <c r="F268" s="268"/>
      <c r="G268" s="268"/>
      <c r="H268" s="268"/>
      <c r="I268" s="268"/>
      <c r="J268" s="268"/>
      <c r="K268" s="268"/>
      <c r="L268" s="268"/>
      <c r="M268" s="268"/>
      <c r="N268" s="268"/>
      <c r="O268" s="268"/>
      <c r="P268" s="310"/>
      <c r="Q268" s="268"/>
      <c r="R268" s="309"/>
      <c r="S268" s="268"/>
      <c r="T268" s="313"/>
      <c r="U268" s="313"/>
      <c r="V268" s="268"/>
      <c r="W268" s="268"/>
      <c r="X268" s="268"/>
      <c r="Y268" s="268"/>
      <c r="Z268" s="268"/>
    </row>
    <row r="269" spans="1:26" ht="24.75" customHeight="1">
      <c r="A269" s="268"/>
      <c r="B269" s="268"/>
      <c r="C269" s="268"/>
      <c r="D269" s="268"/>
      <c r="E269" s="268"/>
      <c r="F269" s="268"/>
      <c r="G269" s="268"/>
      <c r="H269" s="268"/>
      <c r="I269" s="268"/>
      <c r="J269" s="268"/>
      <c r="K269" s="268"/>
      <c r="L269" s="268"/>
      <c r="M269" s="268"/>
      <c r="N269" s="268"/>
      <c r="O269" s="268"/>
      <c r="P269" s="310"/>
      <c r="Q269" s="268"/>
      <c r="R269" s="309"/>
      <c r="S269" s="268"/>
      <c r="T269" s="313"/>
      <c r="U269" s="313"/>
      <c r="V269" s="268"/>
      <c r="W269" s="268"/>
      <c r="X269" s="268"/>
      <c r="Y269" s="268"/>
      <c r="Z269" s="268"/>
    </row>
    <row r="270" spans="1:26" ht="24.75" customHeight="1">
      <c r="A270" s="268"/>
      <c r="B270" s="268"/>
      <c r="C270" s="268"/>
      <c r="D270" s="268"/>
      <c r="E270" s="268"/>
      <c r="F270" s="268"/>
      <c r="G270" s="268"/>
      <c r="H270" s="268"/>
      <c r="I270" s="268"/>
      <c r="J270" s="268"/>
      <c r="K270" s="268"/>
      <c r="L270" s="268"/>
      <c r="M270" s="268"/>
      <c r="N270" s="268"/>
      <c r="O270" s="268"/>
      <c r="P270" s="310"/>
      <c r="Q270" s="268"/>
      <c r="R270" s="309"/>
      <c r="S270" s="268"/>
      <c r="T270" s="313"/>
      <c r="U270" s="313"/>
      <c r="V270" s="268"/>
      <c r="W270" s="268"/>
      <c r="X270" s="268"/>
      <c r="Y270" s="268"/>
      <c r="Z270" s="268"/>
    </row>
    <row r="271" spans="1:26" ht="24.75" customHeight="1">
      <c r="A271" s="268"/>
      <c r="B271" s="268"/>
      <c r="C271" s="268"/>
      <c r="D271" s="268"/>
      <c r="E271" s="268"/>
      <c r="F271" s="268"/>
      <c r="G271" s="268"/>
      <c r="H271" s="268"/>
      <c r="I271" s="268"/>
      <c r="J271" s="268"/>
      <c r="K271" s="268"/>
      <c r="L271" s="268"/>
      <c r="M271" s="268"/>
      <c r="N271" s="268"/>
      <c r="O271" s="268"/>
      <c r="P271" s="310"/>
      <c r="Q271" s="268"/>
      <c r="R271" s="309"/>
      <c r="S271" s="268"/>
      <c r="T271" s="313"/>
      <c r="U271" s="313"/>
      <c r="V271" s="268"/>
      <c r="W271" s="268"/>
      <c r="X271" s="268"/>
      <c r="Y271" s="268"/>
      <c r="Z271" s="268"/>
    </row>
    <row r="272" spans="1:26" ht="24.75" customHeight="1">
      <c r="A272" s="268"/>
      <c r="B272" s="268"/>
      <c r="C272" s="268"/>
      <c r="D272" s="268"/>
      <c r="E272" s="268"/>
      <c r="F272" s="268"/>
      <c r="G272" s="268"/>
      <c r="H272" s="268"/>
      <c r="I272" s="268"/>
      <c r="J272" s="268"/>
      <c r="K272" s="268"/>
      <c r="L272" s="268"/>
      <c r="M272" s="268"/>
      <c r="N272" s="268"/>
      <c r="O272" s="268"/>
      <c r="P272" s="310"/>
      <c r="Q272" s="268"/>
      <c r="R272" s="309"/>
      <c r="S272" s="268"/>
      <c r="T272" s="313"/>
      <c r="U272" s="313"/>
      <c r="V272" s="268"/>
      <c r="W272" s="268"/>
      <c r="X272" s="268"/>
      <c r="Y272" s="268"/>
      <c r="Z272" s="268"/>
    </row>
    <row r="273" spans="1:26" ht="24.75" customHeight="1">
      <c r="A273" s="268"/>
      <c r="B273" s="268"/>
      <c r="C273" s="268"/>
      <c r="D273" s="268"/>
      <c r="E273" s="268"/>
      <c r="F273" s="268"/>
      <c r="G273" s="268"/>
      <c r="H273" s="268"/>
      <c r="I273" s="268"/>
      <c r="J273" s="268"/>
      <c r="K273" s="268"/>
      <c r="L273" s="268"/>
      <c r="M273" s="268"/>
      <c r="N273" s="268"/>
      <c r="O273" s="268"/>
      <c r="P273" s="310"/>
      <c r="Q273" s="268"/>
      <c r="R273" s="309"/>
      <c r="S273" s="268"/>
      <c r="T273" s="313"/>
      <c r="U273" s="313"/>
      <c r="V273" s="268"/>
      <c r="W273" s="268"/>
      <c r="X273" s="268"/>
      <c r="Y273" s="268"/>
      <c r="Z273" s="268"/>
    </row>
    <row r="274" spans="1:26" ht="24.75" customHeight="1">
      <c r="A274" s="268"/>
      <c r="B274" s="268"/>
      <c r="C274" s="268"/>
      <c r="D274" s="268"/>
      <c r="E274" s="268"/>
      <c r="F274" s="268"/>
      <c r="G274" s="268"/>
      <c r="H274" s="268"/>
      <c r="I274" s="268"/>
      <c r="J274" s="268"/>
      <c r="K274" s="268"/>
      <c r="L274" s="268"/>
      <c r="M274" s="268"/>
      <c r="N274" s="268"/>
      <c r="O274" s="268"/>
      <c r="P274" s="310"/>
      <c r="Q274" s="268"/>
      <c r="R274" s="309"/>
      <c r="S274" s="268"/>
      <c r="T274" s="313"/>
      <c r="U274" s="313"/>
      <c r="V274" s="268"/>
      <c r="W274" s="268"/>
      <c r="X274" s="268"/>
      <c r="Y274" s="268"/>
      <c r="Z274" s="268"/>
    </row>
    <row r="275" spans="1:26" ht="24.75" customHeight="1">
      <c r="A275" s="268"/>
      <c r="B275" s="268"/>
      <c r="C275" s="268"/>
      <c r="D275" s="268"/>
      <c r="E275" s="268"/>
      <c r="F275" s="268"/>
      <c r="G275" s="268"/>
      <c r="H275" s="268"/>
      <c r="I275" s="268"/>
      <c r="J275" s="268"/>
      <c r="K275" s="268"/>
      <c r="L275" s="268"/>
      <c r="M275" s="268"/>
      <c r="N275" s="268"/>
      <c r="O275" s="268"/>
      <c r="P275" s="310"/>
      <c r="Q275" s="268"/>
      <c r="R275" s="309"/>
      <c r="S275" s="268"/>
      <c r="T275" s="313"/>
      <c r="U275" s="313"/>
      <c r="V275" s="268"/>
      <c r="W275" s="268"/>
      <c r="X275" s="268"/>
      <c r="Y275" s="268"/>
      <c r="Z275" s="268"/>
    </row>
    <row r="276" spans="1:26" ht="24.75" customHeight="1">
      <c r="A276" s="268"/>
      <c r="B276" s="268"/>
      <c r="C276" s="268"/>
      <c r="D276" s="268"/>
      <c r="E276" s="268"/>
      <c r="F276" s="268"/>
      <c r="G276" s="268"/>
      <c r="H276" s="268"/>
      <c r="I276" s="268"/>
      <c r="J276" s="268"/>
      <c r="K276" s="268"/>
      <c r="L276" s="268"/>
      <c r="M276" s="268"/>
      <c r="N276" s="268"/>
      <c r="O276" s="268"/>
      <c r="P276" s="310"/>
      <c r="Q276" s="268"/>
      <c r="R276" s="309"/>
      <c r="S276" s="268"/>
      <c r="T276" s="313"/>
      <c r="U276" s="313"/>
      <c r="V276" s="268"/>
      <c r="W276" s="268"/>
      <c r="X276" s="268"/>
      <c r="Y276" s="268"/>
      <c r="Z276" s="268"/>
    </row>
    <row r="277" spans="1:26" ht="24.75" customHeight="1">
      <c r="A277" s="268"/>
      <c r="B277" s="268"/>
      <c r="C277" s="268"/>
      <c r="D277" s="268"/>
      <c r="E277" s="268"/>
      <c r="F277" s="268"/>
      <c r="G277" s="268"/>
      <c r="H277" s="268"/>
      <c r="I277" s="268"/>
      <c r="J277" s="268"/>
      <c r="K277" s="268"/>
      <c r="L277" s="268"/>
      <c r="M277" s="268"/>
      <c r="N277" s="268"/>
      <c r="O277" s="268"/>
      <c r="P277" s="310"/>
      <c r="Q277" s="268"/>
      <c r="R277" s="309"/>
      <c r="S277" s="268"/>
      <c r="T277" s="313"/>
      <c r="U277" s="313"/>
      <c r="V277" s="268"/>
      <c r="W277" s="268"/>
      <c r="X277" s="268"/>
      <c r="Y277" s="268"/>
      <c r="Z277" s="268"/>
    </row>
    <row r="278" spans="1:26" ht="24.75" customHeight="1">
      <c r="A278" s="268"/>
      <c r="B278" s="268"/>
      <c r="C278" s="268"/>
      <c r="D278" s="268"/>
      <c r="E278" s="268"/>
      <c r="F278" s="268"/>
      <c r="G278" s="268"/>
      <c r="H278" s="268"/>
      <c r="I278" s="268"/>
      <c r="J278" s="268"/>
      <c r="K278" s="268"/>
      <c r="L278" s="268"/>
      <c r="M278" s="268"/>
      <c r="N278" s="268"/>
      <c r="O278" s="268"/>
      <c r="P278" s="310"/>
      <c r="Q278" s="268"/>
      <c r="R278" s="309"/>
      <c r="S278" s="268"/>
      <c r="T278" s="313"/>
      <c r="U278" s="313"/>
      <c r="V278" s="268"/>
      <c r="W278" s="268"/>
      <c r="X278" s="268"/>
      <c r="Y278" s="268"/>
      <c r="Z278" s="268"/>
    </row>
    <row r="279" spans="1:26" ht="24.75" customHeight="1">
      <c r="A279" s="268"/>
      <c r="B279" s="268"/>
      <c r="C279" s="268"/>
      <c r="D279" s="268"/>
      <c r="E279" s="268"/>
      <c r="F279" s="268"/>
      <c r="G279" s="268"/>
      <c r="H279" s="268"/>
      <c r="I279" s="268"/>
      <c r="J279" s="268"/>
      <c r="K279" s="268"/>
      <c r="L279" s="268"/>
      <c r="M279" s="268"/>
      <c r="N279" s="268"/>
      <c r="O279" s="268"/>
      <c r="P279" s="310"/>
      <c r="Q279" s="268"/>
      <c r="R279" s="309"/>
      <c r="S279" s="268"/>
      <c r="T279" s="313"/>
      <c r="U279" s="313"/>
      <c r="V279" s="268"/>
      <c r="W279" s="268"/>
      <c r="X279" s="268"/>
      <c r="Y279" s="268"/>
      <c r="Z279" s="268"/>
    </row>
    <row r="280" spans="1:26" ht="24.75" customHeight="1">
      <c r="A280" s="268"/>
      <c r="B280" s="268"/>
      <c r="C280" s="268"/>
      <c r="D280" s="268"/>
      <c r="E280" s="268"/>
      <c r="F280" s="268"/>
      <c r="G280" s="268"/>
      <c r="H280" s="268"/>
      <c r="I280" s="268"/>
      <c r="J280" s="268"/>
      <c r="K280" s="268"/>
      <c r="L280" s="268"/>
      <c r="M280" s="268"/>
      <c r="N280" s="268"/>
      <c r="O280" s="268"/>
      <c r="P280" s="310"/>
      <c r="Q280" s="268"/>
      <c r="R280" s="309"/>
      <c r="S280" s="268"/>
      <c r="T280" s="313"/>
      <c r="U280" s="313"/>
      <c r="V280" s="268"/>
      <c r="W280" s="268"/>
      <c r="X280" s="268"/>
      <c r="Y280" s="268"/>
      <c r="Z280" s="268"/>
    </row>
    <row r="281" spans="1:26" ht="24.75" customHeight="1">
      <c r="A281" s="268"/>
      <c r="B281" s="268"/>
      <c r="C281" s="268"/>
      <c r="D281" s="268"/>
      <c r="E281" s="268"/>
      <c r="F281" s="268"/>
      <c r="G281" s="268"/>
      <c r="H281" s="268"/>
      <c r="I281" s="268"/>
      <c r="J281" s="268"/>
      <c r="K281" s="268"/>
      <c r="L281" s="268"/>
      <c r="M281" s="268"/>
      <c r="N281" s="268"/>
      <c r="O281" s="268"/>
      <c r="P281" s="310"/>
      <c r="Q281" s="268"/>
      <c r="R281" s="309"/>
      <c r="S281" s="268"/>
      <c r="T281" s="313"/>
      <c r="U281" s="313"/>
      <c r="V281" s="268"/>
      <c r="W281" s="268"/>
      <c r="X281" s="268"/>
      <c r="Y281" s="268"/>
      <c r="Z281" s="268"/>
    </row>
    <row r="282" spans="1:26" ht="24.75" customHeight="1">
      <c r="A282" s="268"/>
      <c r="B282" s="268"/>
      <c r="C282" s="268"/>
      <c r="D282" s="268"/>
      <c r="E282" s="268"/>
      <c r="F282" s="268"/>
      <c r="G282" s="268"/>
      <c r="H282" s="268"/>
      <c r="I282" s="268"/>
      <c r="J282" s="268"/>
      <c r="K282" s="268"/>
      <c r="L282" s="268"/>
      <c r="M282" s="268"/>
      <c r="N282" s="268"/>
      <c r="O282" s="268"/>
      <c r="P282" s="310"/>
      <c r="Q282" s="268"/>
      <c r="R282" s="309"/>
      <c r="S282" s="268"/>
      <c r="T282" s="313"/>
      <c r="U282" s="313"/>
      <c r="V282" s="268"/>
      <c r="W282" s="268"/>
      <c r="X282" s="268"/>
      <c r="Y282" s="268"/>
      <c r="Z282" s="268"/>
    </row>
    <row r="283" spans="1:26" ht="24.75" customHeight="1">
      <c r="A283" s="268"/>
      <c r="B283" s="268"/>
      <c r="C283" s="268"/>
      <c r="D283" s="268"/>
      <c r="E283" s="268"/>
      <c r="F283" s="268"/>
      <c r="G283" s="268"/>
      <c r="H283" s="268"/>
      <c r="I283" s="268"/>
      <c r="J283" s="268"/>
      <c r="K283" s="268"/>
      <c r="L283" s="268"/>
      <c r="M283" s="268"/>
      <c r="N283" s="268"/>
      <c r="O283" s="268"/>
      <c r="P283" s="310"/>
      <c r="Q283" s="268"/>
      <c r="R283" s="309"/>
      <c r="S283" s="268"/>
      <c r="T283" s="313"/>
      <c r="U283" s="313"/>
      <c r="V283" s="268"/>
      <c r="W283" s="268"/>
      <c r="X283" s="268"/>
      <c r="Y283" s="268"/>
      <c r="Z283" s="268"/>
    </row>
    <row r="284" spans="1:26" ht="24.75" customHeight="1">
      <c r="A284" s="268"/>
      <c r="B284" s="268"/>
      <c r="C284" s="268"/>
      <c r="D284" s="268"/>
      <c r="E284" s="268"/>
      <c r="F284" s="268"/>
      <c r="G284" s="268"/>
      <c r="H284" s="268"/>
      <c r="I284" s="268"/>
      <c r="J284" s="268"/>
      <c r="K284" s="268"/>
      <c r="L284" s="268"/>
      <c r="M284" s="268"/>
      <c r="N284" s="268"/>
      <c r="O284" s="268"/>
      <c r="P284" s="310"/>
      <c r="Q284" s="268"/>
      <c r="R284" s="309"/>
      <c r="S284" s="268"/>
      <c r="T284" s="313"/>
      <c r="U284" s="313"/>
      <c r="V284" s="268"/>
      <c r="W284" s="268"/>
      <c r="X284" s="268"/>
      <c r="Y284" s="268"/>
      <c r="Z284" s="268"/>
    </row>
    <row r="285" spans="1:26" ht="24.75" customHeight="1">
      <c r="A285" s="268"/>
      <c r="B285" s="268"/>
      <c r="C285" s="268"/>
      <c r="D285" s="268"/>
      <c r="E285" s="268"/>
      <c r="F285" s="268"/>
      <c r="G285" s="268"/>
      <c r="H285" s="268"/>
      <c r="I285" s="268"/>
      <c r="J285" s="268"/>
      <c r="K285" s="268"/>
      <c r="L285" s="268"/>
      <c r="M285" s="268"/>
      <c r="N285" s="268"/>
      <c r="O285" s="268"/>
      <c r="P285" s="310"/>
      <c r="Q285" s="268"/>
      <c r="R285" s="309"/>
      <c r="S285" s="268"/>
      <c r="T285" s="313"/>
      <c r="U285" s="313"/>
      <c r="V285" s="268"/>
      <c r="W285" s="268"/>
      <c r="X285" s="268"/>
      <c r="Y285" s="268"/>
      <c r="Z285" s="268"/>
    </row>
    <row r="286" spans="1:26" ht="24.75" customHeight="1">
      <c r="A286" s="268"/>
      <c r="B286" s="268"/>
      <c r="C286" s="268"/>
      <c r="D286" s="268"/>
      <c r="E286" s="268"/>
      <c r="F286" s="268"/>
      <c r="G286" s="268"/>
      <c r="H286" s="268"/>
      <c r="I286" s="268"/>
      <c r="J286" s="268"/>
      <c r="K286" s="268"/>
      <c r="L286" s="268"/>
      <c r="M286" s="268"/>
      <c r="N286" s="268"/>
      <c r="O286" s="268"/>
      <c r="P286" s="310"/>
      <c r="Q286" s="268"/>
      <c r="R286" s="309"/>
      <c r="S286" s="268"/>
      <c r="T286" s="313"/>
      <c r="U286" s="313"/>
      <c r="V286" s="268"/>
      <c r="W286" s="268"/>
      <c r="X286" s="268"/>
      <c r="Y286" s="268"/>
      <c r="Z286" s="268"/>
    </row>
    <row r="287" spans="1:26" ht="24.75" customHeight="1">
      <c r="A287" s="268"/>
      <c r="B287" s="268"/>
      <c r="C287" s="268"/>
      <c r="D287" s="268"/>
      <c r="E287" s="268"/>
      <c r="F287" s="268"/>
      <c r="G287" s="268"/>
      <c r="H287" s="268"/>
      <c r="I287" s="268"/>
      <c r="J287" s="268"/>
      <c r="K287" s="268"/>
      <c r="L287" s="268"/>
      <c r="M287" s="268"/>
      <c r="N287" s="268"/>
      <c r="O287" s="268"/>
      <c r="P287" s="310"/>
      <c r="Q287" s="268"/>
      <c r="R287" s="309"/>
      <c r="S287" s="268"/>
      <c r="T287" s="313"/>
      <c r="U287" s="313"/>
      <c r="V287" s="268"/>
      <c r="W287" s="268"/>
      <c r="X287" s="268"/>
      <c r="Y287" s="268"/>
      <c r="Z287" s="268"/>
    </row>
    <row r="288" spans="1:26" ht="24.75" customHeight="1">
      <c r="A288" s="268"/>
      <c r="B288" s="268"/>
      <c r="C288" s="268"/>
      <c r="D288" s="268"/>
      <c r="E288" s="268"/>
      <c r="F288" s="268"/>
      <c r="G288" s="268"/>
      <c r="H288" s="268"/>
      <c r="I288" s="268"/>
      <c r="J288" s="268"/>
      <c r="K288" s="268"/>
      <c r="L288" s="268"/>
      <c r="M288" s="268"/>
      <c r="N288" s="268"/>
      <c r="O288" s="268"/>
      <c r="P288" s="310"/>
      <c r="Q288" s="268"/>
      <c r="R288" s="309"/>
      <c r="S288" s="268"/>
      <c r="T288" s="313"/>
      <c r="U288" s="313"/>
      <c r="V288" s="268"/>
      <c r="W288" s="268"/>
      <c r="X288" s="268"/>
      <c r="Y288" s="268"/>
      <c r="Z288" s="268"/>
    </row>
    <row r="289" spans="1:26" ht="24.75" customHeight="1">
      <c r="A289" s="268"/>
      <c r="B289" s="268"/>
      <c r="C289" s="268"/>
      <c r="D289" s="268"/>
      <c r="E289" s="268"/>
      <c r="F289" s="268"/>
      <c r="G289" s="268"/>
      <c r="H289" s="268"/>
      <c r="I289" s="268"/>
      <c r="J289" s="268"/>
      <c r="K289" s="268"/>
      <c r="L289" s="268"/>
      <c r="M289" s="268"/>
      <c r="N289" s="268"/>
      <c r="O289" s="268"/>
      <c r="P289" s="310"/>
      <c r="Q289" s="268"/>
      <c r="R289" s="309"/>
      <c r="S289" s="268"/>
      <c r="T289" s="313"/>
      <c r="U289" s="313"/>
      <c r="V289" s="268"/>
      <c r="W289" s="268"/>
      <c r="X289" s="268"/>
      <c r="Y289" s="268"/>
      <c r="Z289" s="268"/>
    </row>
    <row r="290" spans="1:26" ht="24.75" customHeight="1">
      <c r="A290" s="268"/>
      <c r="B290" s="268"/>
      <c r="C290" s="268"/>
      <c r="D290" s="268"/>
      <c r="E290" s="268"/>
      <c r="F290" s="268"/>
      <c r="G290" s="268"/>
      <c r="H290" s="268"/>
      <c r="I290" s="268"/>
      <c r="J290" s="268"/>
      <c r="K290" s="268"/>
      <c r="L290" s="268"/>
      <c r="M290" s="268"/>
      <c r="N290" s="268"/>
      <c r="O290" s="268"/>
      <c r="P290" s="310"/>
      <c r="Q290" s="268"/>
      <c r="R290" s="309"/>
      <c r="S290" s="268"/>
      <c r="T290" s="313"/>
      <c r="U290" s="313"/>
      <c r="V290" s="268"/>
      <c r="W290" s="268"/>
      <c r="X290" s="268"/>
      <c r="Y290" s="268"/>
      <c r="Z290" s="268"/>
    </row>
    <row r="291" spans="1:26" ht="24.75" customHeight="1">
      <c r="A291" s="268"/>
      <c r="B291" s="268"/>
      <c r="C291" s="268"/>
      <c r="D291" s="268"/>
      <c r="E291" s="268"/>
      <c r="F291" s="268"/>
      <c r="G291" s="268"/>
      <c r="H291" s="268"/>
      <c r="I291" s="268"/>
      <c r="J291" s="268"/>
      <c r="K291" s="268"/>
      <c r="L291" s="268"/>
      <c r="M291" s="268"/>
      <c r="N291" s="268"/>
      <c r="O291" s="268"/>
      <c r="P291" s="310"/>
      <c r="Q291" s="268"/>
      <c r="R291" s="309"/>
      <c r="S291" s="268"/>
      <c r="T291" s="313"/>
      <c r="U291" s="313"/>
      <c r="V291" s="268"/>
      <c r="W291" s="268"/>
      <c r="X291" s="268"/>
      <c r="Y291" s="268"/>
      <c r="Z291" s="268"/>
    </row>
    <row r="292" spans="1:26" ht="24.75" customHeight="1">
      <c r="A292" s="268"/>
      <c r="B292" s="268"/>
      <c r="C292" s="268"/>
      <c r="D292" s="268"/>
      <c r="E292" s="268"/>
      <c r="F292" s="268"/>
      <c r="G292" s="268"/>
      <c r="H292" s="268"/>
      <c r="I292" s="268"/>
      <c r="J292" s="268"/>
      <c r="K292" s="268"/>
      <c r="L292" s="268"/>
      <c r="M292" s="268"/>
      <c r="N292" s="268"/>
      <c r="O292" s="268"/>
      <c r="P292" s="310"/>
      <c r="Q292" s="268"/>
      <c r="R292" s="309"/>
      <c r="S292" s="268"/>
      <c r="T292" s="313"/>
      <c r="U292" s="313"/>
      <c r="V292" s="268"/>
      <c r="W292" s="268"/>
      <c r="X292" s="268"/>
      <c r="Y292" s="268"/>
      <c r="Z292" s="268"/>
    </row>
    <row r="293" spans="1:26" ht="24.75" customHeight="1">
      <c r="A293" s="268"/>
      <c r="B293" s="268"/>
      <c r="C293" s="268"/>
      <c r="D293" s="268"/>
      <c r="E293" s="268"/>
      <c r="F293" s="268"/>
      <c r="G293" s="268"/>
      <c r="H293" s="268"/>
      <c r="I293" s="268"/>
      <c r="J293" s="268"/>
      <c r="K293" s="268"/>
      <c r="L293" s="268"/>
      <c r="M293" s="268"/>
      <c r="N293" s="268"/>
      <c r="O293" s="268"/>
      <c r="P293" s="310"/>
      <c r="Q293" s="268"/>
      <c r="R293" s="309"/>
      <c r="S293" s="268"/>
      <c r="T293" s="313"/>
      <c r="U293" s="313"/>
      <c r="V293" s="268"/>
      <c r="W293" s="268"/>
      <c r="X293" s="268"/>
      <c r="Y293" s="268"/>
      <c r="Z293" s="268"/>
    </row>
    <row r="294" spans="1:26" ht="24.75" customHeight="1">
      <c r="A294" s="268"/>
      <c r="B294" s="268"/>
      <c r="C294" s="268"/>
      <c r="D294" s="268"/>
      <c r="E294" s="268"/>
      <c r="F294" s="268"/>
      <c r="G294" s="268"/>
      <c r="H294" s="268"/>
      <c r="I294" s="268"/>
      <c r="J294" s="268"/>
      <c r="K294" s="268"/>
      <c r="L294" s="268"/>
      <c r="M294" s="268"/>
      <c r="N294" s="268"/>
      <c r="O294" s="268"/>
      <c r="P294" s="310"/>
      <c r="Q294" s="268"/>
      <c r="R294" s="309"/>
      <c r="S294" s="268"/>
      <c r="T294" s="313"/>
      <c r="U294" s="313"/>
      <c r="V294" s="268"/>
      <c r="W294" s="268"/>
      <c r="X294" s="268"/>
      <c r="Y294" s="268"/>
      <c r="Z294" s="268"/>
    </row>
    <row r="295" spans="1:26" ht="24.75" customHeight="1">
      <c r="A295" s="268"/>
      <c r="B295" s="268"/>
      <c r="C295" s="268"/>
      <c r="D295" s="268"/>
      <c r="E295" s="268"/>
      <c r="F295" s="268"/>
      <c r="G295" s="268"/>
      <c r="H295" s="268"/>
      <c r="I295" s="268"/>
      <c r="J295" s="268"/>
      <c r="K295" s="268"/>
      <c r="L295" s="268"/>
      <c r="M295" s="268"/>
      <c r="N295" s="268"/>
      <c r="O295" s="268"/>
      <c r="P295" s="310"/>
      <c r="Q295" s="268"/>
      <c r="R295" s="309"/>
      <c r="S295" s="268"/>
      <c r="T295" s="313"/>
      <c r="U295" s="313"/>
      <c r="V295" s="268"/>
      <c r="W295" s="268"/>
      <c r="X295" s="268"/>
      <c r="Y295" s="268"/>
      <c r="Z295" s="268"/>
    </row>
    <row r="296" spans="1:26" ht="24.75" customHeight="1">
      <c r="A296" s="268"/>
      <c r="B296" s="268"/>
      <c r="C296" s="268"/>
      <c r="D296" s="268"/>
      <c r="E296" s="268"/>
      <c r="F296" s="268"/>
      <c r="G296" s="268"/>
      <c r="H296" s="268"/>
      <c r="I296" s="268"/>
      <c r="J296" s="268"/>
      <c r="K296" s="268"/>
      <c r="L296" s="268"/>
      <c r="M296" s="268"/>
      <c r="N296" s="268"/>
      <c r="O296" s="268"/>
      <c r="P296" s="310"/>
      <c r="Q296" s="268"/>
      <c r="R296" s="309"/>
      <c r="S296" s="268"/>
      <c r="T296" s="313"/>
      <c r="U296" s="313"/>
      <c r="V296" s="268"/>
      <c r="W296" s="268"/>
      <c r="X296" s="268"/>
      <c r="Y296" s="268"/>
      <c r="Z296" s="268"/>
    </row>
    <row r="297" spans="1:26" ht="24.75" customHeight="1">
      <c r="A297" s="268"/>
      <c r="B297" s="268"/>
      <c r="C297" s="268"/>
      <c r="D297" s="268"/>
      <c r="E297" s="268"/>
      <c r="F297" s="268"/>
      <c r="G297" s="268"/>
      <c r="H297" s="268"/>
      <c r="I297" s="268"/>
      <c r="J297" s="268"/>
      <c r="K297" s="268"/>
      <c r="L297" s="268"/>
      <c r="M297" s="268"/>
      <c r="N297" s="268"/>
      <c r="O297" s="268"/>
      <c r="P297" s="310"/>
      <c r="Q297" s="268"/>
      <c r="R297" s="309"/>
      <c r="S297" s="268"/>
      <c r="T297" s="313"/>
      <c r="U297" s="313"/>
      <c r="V297" s="268"/>
      <c r="W297" s="268"/>
      <c r="X297" s="268"/>
      <c r="Y297" s="268"/>
      <c r="Z297" s="268"/>
    </row>
    <row r="298" spans="1:26" ht="24.75" customHeight="1">
      <c r="A298" s="268"/>
      <c r="B298" s="268"/>
      <c r="C298" s="268"/>
      <c r="D298" s="268"/>
      <c r="E298" s="268"/>
      <c r="F298" s="268"/>
      <c r="G298" s="268"/>
      <c r="H298" s="268"/>
      <c r="I298" s="268"/>
      <c r="J298" s="268"/>
      <c r="K298" s="268"/>
      <c r="L298" s="268"/>
      <c r="M298" s="268"/>
      <c r="N298" s="268"/>
      <c r="O298" s="268"/>
      <c r="P298" s="310"/>
      <c r="Q298" s="268"/>
      <c r="R298" s="309"/>
      <c r="S298" s="268"/>
      <c r="T298" s="313"/>
      <c r="U298" s="313"/>
      <c r="V298" s="268"/>
      <c r="W298" s="268"/>
      <c r="X298" s="268"/>
      <c r="Y298" s="268"/>
      <c r="Z298" s="268"/>
    </row>
    <row r="299" spans="1:26" ht="24.75" customHeight="1">
      <c r="A299" s="268"/>
      <c r="B299" s="268"/>
      <c r="C299" s="268"/>
      <c r="D299" s="268"/>
      <c r="E299" s="268"/>
      <c r="F299" s="268"/>
      <c r="G299" s="268"/>
      <c r="H299" s="268"/>
      <c r="I299" s="268"/>
      <c r="J299" s="268"/>
      <c r="K299" s="268"/>
      <c r="L299" s="268"/>
      <c r="M299" s="268"/>
      <c r="N299" s="268"/>
      <c r="O299" s="268"/>
      <c r="P299" s="310"/>
      <c r="Q299" s="268"/>
      <c r="R299" s="309"/>
      <c r="S299" s="268"/>
      <c r="T299" s="313"/>
      <c r="U299" s="313"/>
      <c r="V299" s="268"/>
      <c r="W299" s="268"/>
      <c r="X299" s="268"/>
      <c r="Y299" s="268"/>
      <c r="Z299" s="268"/>
    </row>
    <row r="300" spans="1:26" ht="24.75" customHeight="1">
      <c r="A300" s="268"/>
      <c r="B300" s="268"/>
      <c r="C300" s="268"/>
      <c r="D300" s="268"/>
      <c r="E300" s="268"/>
      <c r="F300" s="268"/>
      <c r="G300" s="268"/>
      <c r="H300" s="268"/>
      <c r="I300" s="268"/>
      <c r="J300" s="268"/>
      <c r="K300" s="268"/>
      <c r="L300" s="268"/>
      <c r="M300" s="268"/>
      <c r="N300" s="268"/>
      <c r="O300" s="268"/>
      <c r="P300" s="310"/>
      <c r="Q300" s="268"/>
      <c r="R300" s="309"/>
      <c r="S300" s="268"/>
      <c r="T300" s="313"/>
      <c r="U300" s="313"/>
      <c r="V300" s="268"/>
      <c r="W300" s="268"/>
      <c r="X300" s="268"/>
      <c r="Y300" s="268"/>
      <c r="Z300" s="268"/>
    </row>
    <row r="301" spans="1:26" ht="24.75" customHeight="1">
      <c r="A301" s="268"/>
      <c r="B301" s="268"/>
      <c r="C301" s="268"/>
      <c r="D301" s="268"/>
      <c r="E301" s="268"/>
      <c r="F301" s="268"/>
      <c r="G301" s="268"/>
      <c r="H301" s="268"/>
      <c r="I301" s="268"/>
      <c r="J301" s="268"/>
      <c r="K301" s="268"/>
      <c r="L301" s="268"/>
      <c r="M301" s="268"/>
      <c r="N301" s="268"/>
      <c r="O301" s="268"/>
      <c r="P301" s="310"/>
      <c r="Q301" s="268"/>
      <c r="R301" s="309"/>
      <c r="S301" s="268"/>
      <c r="T301" s="313"/>
      <c r="U301" s="313"/>
      <c r="V301" s="268"/>
      <c r="W301" s="268"/>
      <c r="X301" s="268"/>
      <c r="Y301" s="268"/>
      <c r="Z301" s="268"/>
    </row>
    <row r="302" spans="1:26" ht="24.75" customHeight="1">
      <c r="A302" s="268"/>
      <c r="B302" s="268"/>
      <c r="C302" s="268"/>
      <c r="D302" s="268"/>
      <c r="E302" s="268"/>
      <c r="F302" s="268"/>
      <c r="G302" s="268"/>
      <c r="H302" s="268"/>
      <c r="I302" s="268"/>
      <c r="J302" s="268"/>
      <c r="K302" s="268"/>
      <c r="L302" s="268"/>
      <c r="M302" s="268"/>
      <c r="N302" s="268"/>
      <c r="O302" s="268"/>
      <c r="P302" s="310"/>
      <c r="Q302" s="268"/>
      <c r="R302" s="309"/>
      <c r="S302" s="268"/>
      <c r="T302" s="313"/>
      <c r="U302" s="313"/>
      <c r="V302" s="268"/>
      <c r="W302" s="268"/>
      <c r="X302" s="268"/>
      <c r="Y302" s="268"/>
      <c r="Z302" s="268"/>
    </row>
    <row r="303" spans="1:26" ht="24.75" customHeight="1">
      <c r="A303" s="268"/>
      <c r="B303" s="268"/>
      <c r="C303" s="268"/>
      <c r="D303" s="268"/>
      <c r="E303" s="268"/>
      <c r="F303" s="268"/>
      <c r="G303" s="268"/>
      <c r="H303" s="268"/>
      <c r="I303" s="268"/>
      <c r="J303" s="268"/>
      <c r="K303" s="268"/>
      <c r="L303" s="268"/>
      <c r="M303" s="268"/>
      <c r="N303" s="268"/>
      <c r="O303" s="268"/>
      <c r="P303" s="310"/>
      <c r="Q303" s="268"/>
      <c r="R303" s="309"/>
      <c r="S303" s="268"/>
      <c r="T303" s="313"/>
      <c r="U303" s="313"/>
      <c r="V303" s="268"/>
      <c r="W303" s="268"/>
      <c r="X303" s="268"/>
      <c r="Y303" s="268"/>
      <c r="Z303" s="268"/>
    </row>
    <row r="304" spans="1:26" ht="24.75" customHeight="1">
      <c r="A304" s="268"/>
      <c r="B304" s="268"/>
      <c r="C304" s="268"/>
      <c r="D304" s="268"/>
      <c r="E304" s="268"/>
      <c r="F304" s="268"/>
      <c r="G304" s="268"/>
      <c r="H304" s="268"/>
      <c r="I304" s="268"/>
      <c r="J304" s="268"/>
      <c r="K304" s="268"/>
      <c r="L304" s="268"/>
      <c r="M304" s="268"/>
      <c r="N304" s="268"/>
      <c r="O304" s="268"/>
      <c r="P304" s="310"/>
      <c r="Q304" s="268"/>
      <c r="R304" s="309"/>
      <c r="S304" s="268"/>
      <c r="T304" s="313"/>
      <c r="U304" s="313"/>
      <c r="V304" s="268"/>
      <c r="W304" s="268"/>
      <c r="X304" s="268"/>
      <c r="Y304" s="268"/>
      <c r="Z304" s="268"/>
    </row>
    <row r="305" spans="1:26" ht="24.75" customHeight="1">
      <c r="A305" s="268"/>
      <c r="B305" s="268"/>
      <c r="C305" s="268"/>
      <c r="D305" s="268"/>
      <c r="E305" s="268"/>
      <c r="F305" s="268"/>
      <c r="G305" s="268"/>
      <c r="H305" s="268"/>
      <c r="I305" s="268"/>
      <c r="J305" s="268"/>
      <c r="K305" s="268"/>
      <c r="L305" s="268"/>
      <c r="M305" s="268"/>
      <c r="N305" s="268"/>
      <c r="O305" s="268"/>
      <c r="P305" s="310"/>
      <c r="Q305" s="268"/>
      <c r="R305" s="309"/>
      <c r="S305" s="268"/>
      <c r="T305" s="313"/>
      <c r="U305" s="313"/>
      <c r="V305" s="268"/>
      <c r="W305" s="268"/>
      <c r="X305" s="268"/>
      <c r="Y305" s="268"/>
      <c r="Z305" s="268"/>
    </row>
    <row r="306" spans="1:26" ht="24.75" customHeight="1">
      <c r="A306" s="268"/>
      <c r="B306" s="268"/>
      <c r="C306" s="268"/>
      <c r="D306" s="268"/>
      <c r="E306" s="268"/>
      <c r="F306" s="268"/>
      <c r="G306" s="268"/>
      <c r="H306" s="268"/>
      <c r="I306" s="268"/>
      <c r="J306" s="268"/>
      <c r="K306" s="268"/>
      <c r="L306" s="268"/>
      <c r="M306" s="268"/>
      <c r="N306" s="268"/>
      <c r="O306" s="268"/>
      <c r="P306" s="310"/>
      <c r="Q306" s="268"/>
      <c r="R306" s="309"/>
      <c r="S306" s="268"/>
      <c r="T306" s="313"/>
      <c r="U306" s="313"/>
      <c r="V306" s="268"/>
      <c r="W306" s="268"/>
      <c r="X306" s="268"/>
      <c r="Y306" s="268"/>
      <c r="Z306" s="268"/>
    </row>
    <row r="307" spans="1:26" ht="24.75" customHeight="1">
      <c r="A307" s="268"/>
      <c r="B307" s="268"/>
      <c r="C307" s="268"/>
      <c r="D307" s="268"/>
      <c r="E307" s="268"/>
      <c r="F307" s="268"/>
      <c r="G307" s="268"/>
      <c r="H307" s="268"/>
      <c r="I307" s="268"/>
      <c r="J307" s="268"/>
      <c r="K307" s="268"/>
      <c r="L307" s="268"/>
      <c r="M307" s="268"/>
      <c r="N307" s="268"/>
      <c r="O307" s="268"/>
      <c r="P307" s="310"/>
      <c r="Q307" s="268"/>
      <c r="R307" s="309"/>
      <c r="S307" s="268"/>
      <c r="T307" s="313"/>
      <c r="U307" s="313"/>
      <c r="V307" s="268"/>
      <c r="W307" s="268"/>
      <c r="X307" s="268"/>
      <c r="Y307" s="268"/>
      <c r="Z307" s="268"/>
    </row>
    <row r="308" spans="1:26" ht="24.75" customHeight="1">
      <c r="A308" s="268"/>
      <c r="B308" s="268"/>
      <c r="C308" s="268"/>
      <c r="D308" s="268"/>
      <c r="E308" s="268"/>
      <c r="F308" s="268"/>
      <c r="G308" s="268"/>
      <c r="H308" s="268"/>
      <c r="I308" s="268"/>
      <c r="J308" s="268"/>
      <c r="K308" s="268"/>
      <c r="L308" s="268"/>
      <c r="M308" s="268"/>
      <c r="N308" s="268"/>
      <c r="O308" s="268"/>
      <c r="P308" s="310"/>
      <c r="Q308" s="268"/>
      <c r="R308" s="309"/>
      <c r="S308" s="268"/>
      <c r="T308" s="313"/>
      <c r="U308" s="313"/>
      <c r="V308" s="268"/>
      <c r="W308" s="268"/>
      <c r="X308" s="268"/>
      <c r="Y308" s="268"/>
      <c r="Z308" s="268"/>
    </row>
    <row r="309" spans="1:26" ht="24.75" customHeight="1">
      <c r="A309" s="268"/>
      <c r="B309" s="268"/>
      <c r="C309" s="268"/>
      <c r="D309" s="268"/>
      <c r="E309" s="268"/>
      <c r="F309" s="268"/>
      <c r="G309" s="268"/>
      <c r="H309" s="268"/>
      <c r="I309" s="268"/>
      <c r="J309" s="268"/>
      <c r="K309" s="268"/>
      <c r="L309" s="268"/>
      <c r="M309" s="268"/>
      <c r="N309" s="268"/>
      <c r="O309" s="268"/>
      <c r="P309" s="310"/>
      <c r="Q309" s="268"/>
      <c r="R309" s="309"/>
      <c r="S309" s="268"/>
      <c r="T309" s="313"/>
      <c r="U309" s="313"/>
      <c r="V309" s="268"/>
      <c r="W309" s="268"/>
      <c r="X309" s="268"/>
      <c r="Y309" s="268"/>
      <c r="Z309" s="268"/>
    </row>
    <row r="310" spans="1:26" ht="24.75" customHeight="1">
      <c r="A310" s="268"/>
      <c r="B310" s="268"/>
      <c r="C310" s="268"/>
      <c r="D310" s="268"/>
      <c r="E310" s="268"/>
      <c r="F310" s="268"/>
      <c r="G310" s="268"/>
      <c r="H310" s="268"/>
      <c r="I310" s="268"/>
      <c r="J310" s="268"/>
      <c r="K310" s="268"/>
      <c r="L310" s="268"/>
      <c r="M310" s="268"/>
      <c r="N310" s="268"/>
      <c r="O310" s="268"/>
      <c r="P310" s="310"/>
      <c r="Q310" s="268"/>
      <c r="R310" s="309"/>
      <c r="S310" s="268"/>
      <c r="T310" s="313"/>
      <c r="U310" s="313"/>
      <c r="V310" s="268"/>
      <c r="W310" s="268"/>
      <c r="X310" s="268"/>
      <c r="Y310" s="268"/>
      <c r="Z310" s="268"/>
    </row>
    <row r="311" spans="1:26" ht="24.75" customHeight="1">
      <c r="A311" s="268"/>
      <c r="B311" s="268"/>
      <c r="C311" s="268"/>
      <c r="D311" s="268"/>
      <c r="E311" s="268"/>
      <c r="F311" s="268"/>
      <c r="G311" s="268"/>
      <c r="H311" s="268"/>
      <c r="I311" s="268"/>
      <c r="J311" s="268"/>
      <c r="K311" s="268"/>
      <c r="L311" s="268"/>
      <c r="M311" s="268"/>
      <c r="N311" s="268"/>
      <c r="O311" s="268"/>
      <c r="P311" s="310"/>
      <c r="Q311" s="268"/>
      <c r="R311" s="309"/>
      <c r="S311" s="268"/>
      <c r="T311" s="313"/>
      <c r="U311" s="313"/>
      <c r="V311" s="268"/>
      <c r="W311" s="268"/>
      <c r="X311" s="268"/>
      <c r="Y311" s="268"/>
      <c r="Z311" s="268"/>
    </row>
    <row r="312" spans="1:26" ht="24.75" customHeight="1">
      <c r="A312" s="268"/>
      <c r="B312" s="268"/>
      <c r="C312" s="268"/>
      <c r="D312" s="268"/>
      <c r="E312" s="268"/>
      <c r="F312" s="268"/>
      <c r="G312" s="268"/>
      <c r="H312" s="268"/>
      <c r="I312" s="268"/>
      <c r="J312" s="268"/>
      <c r="K312" s="268"/>
      <c r="L312" s="268"/>
      <c r="M312" s="268"/>
      <c r="N312" s="268"/>
      <c r="O312" s="268"/>
      <c r="P312" s="310"/>
      <c r="Q312" s="268"/>
      <c r="R312" s="309"/>
      <c r="S312" s="268"/>
      <c r="T312" s="313"/>
      <c r="U312" s="313"/>
      <c r="V312" s="268"/>
      <c r="W312" s="268"/>
      <c r="X312" s="268"/>
      <c r="Y312" s="268"/>
      <c r="Z312" s="268"/>
    </row>
    <row r="313" spans="1:26" ht="24.75" customHeight="1">
      <c r="A313" s="268"/>
      <c r="B313" s="268"/>
      <c r="C313" s="268"/>
      <c r="D313" s="268"/>
      <c r="E313" s="268"/>
      <c r="F313" s="268"/>
      <c r="G313" s="268"/>
      <c r="H313" s="268"/>
      <c r="I313" s="268"/>
      <c r="J313" s="268"/>
      <c r="K313" s="268"/>
      <c r="L313" s="268"/>
      <c r="M313" s="268"/>
      <c r="N313" s="268"/>
      <c r="O313" s="268"/>
      <c r="P313" s="310"/>
      <c r="Q313" s="268"/>
      <c r="R313" s="309"/>
      <c r="S313" s="268"/>
      <c r="T313" s="313"/>
      <c r="U313" s="313"/>
      <c r="V313" s="268"/>
      <c r="W313" s="268"/>
      <c r="X313" s="268"/>
      <c r="Y313" s="268"/>
      <c r="Z313" s="268"/>
    </row>
    <row r="314" spans="1:26" ht="24.75" customHeight="1">
      <c r="A314" s="268"/>
      <c r="B314" s="268"/>
      <c r="C314" s="268"/>
      <c r="D314" s="268"/>
      <c r="E314" s="268"/>
      <c r="F314" s="268"/>
      <c r="G314" s="268"/>
      <c r="H314" s="268"/>
      <c r="I314" s="268"/>
      <c r="J314" s="268"/>
      <c r="K314" s="268"/>
      <c r="L314" s="268"/>
      <c r="M314" s="268"/>
      <c r="N314" s="268"/>
      <c r="O314" s="268"/>
      <c r="P314" s="310"/>
      <c r="Q314" s="268"/>
      <c r="R314" s="309"/>
      <c r="S314" s="268"/>
      <c r="T314" s="313"/>
      <c r="U314" s="313"/>
      <c r="V314" s="268"/>
      <c r="W314" s="268"/>
      <c r="X314" s="268"/>
      <c r="Y314" s="268"/>
      <c r="Z314" s="268"/>
    </row>
    <row r="315" spans="1:26" ht="24.75" customHeight="1">
      <c r="A315" s="268"/>
      <c r="B315" s="268"/>
      <c r="C315" s="268"/>
      <c r="D315" s="268"/>
      <c r="E315" s="268"/>
      <c r="F315" s="268"/>
      <c r="G315" s="268"/>
      <c r="H315" s="268"/>
      <c r="I315" s="268"/>
      <c r="J315" s="268"/>
      <c r="K315" s="268"/>
      <c r="L315" s="268"/>
      <c r="M315" s="268"/>
      <c r="N315" s="268"/>
      <c r="O315" s="268"/>
      <c r="P315" s="310"/>
      <c r="Q315" s="268"/>
      <c r="R315" s="309"/>
      <c r="S315" s="268"/>
      <c r="T315" s="313"/>
      <c r="U315" s="313"/>
      <c r="V315" s="268"/>
      <c r="W315" s="268"/>
      <c r="X315" s="268"/>
      <c r="Y315" s="268"/>
      <c r="Z315" s="268"/>
    </row>
    <row r="316" spans="1:26" ht="24.75" customHeight="1">
      <c r="A316" s="268"/>
      <c r="B316" s="268"/>
      <c r="C316" s="268"/>
      <c r="D316" s="268"/>
      <c r="E316" s="268"/>
      <c r="F316" s="268"/>
      <c r="G316" s="268"/>
      <c r="H316" s="268"/>
      <c r="I316" s="268"/>
      <c r="J316" s="268"/>
      <c r="K316" s="268"/>
      <c r="L316" s="268"/>
      <c r="M316" s="268"/>
      <c r="N316" s="268"/>
      <c r="O316" s="268"/>
      <c r="P316" s="310"/>
      <c r="Q316" s="268"/>
      <c r="R316" s="309"/>
      <c r="S316" s="268"/>
      <c r="T316" s="313"/>
      <c r="U316" s="313"/>
      <c r="V316" s="268"/>
      <c r="W316" s="268"/>
      <c r="X316" s="268"/>
      <c r="Y316" s="268"/>
      <c r="Z316" s="268"/>
    </row>
    <row r="317" spans="1:26" ht="24.75" customHeight="1">
      <c r="A317" s="268"/>
      <c r="B317" s="268"/>
      <c r="C317" s="268"/>
      <c r="D317" s="268"/>
      <c r="E317" s="268"/>
      <c r="F317" s="268"/>
      <c r="G317" s="268"/>
      <c r="H317" s="268"/>
      <c r="I317" s="268"/>
      <c r="J317" s="268"/>
      <c r="K317" s="268"/>
      <c r="L317" s="268"/>
      <c r="M317" s="268"/>
      <c r="N317" s="268"/>
      <c r="O317" s="268"/>
      <c r="P317" s="310"/>
      <c r="Q317" s="268"/>
      <c r="R317" s="309"/>
      <c r="S317" s="268"/>
      <c r="T317" s="313"/>
      <c r="U317" s="313"/>
      <c r="V317" s="268"/>
      <c r="W317" s="268"/>
      <c r="X317" s="268"/>
      <c r="Y317" s="268"/>
      <c r="Z317" s="268"/>
    </row>
    <row r="318" spans="1:26" ht="24.75" customHeight="1">
      <c r="A318" s="268"/>
      <c r="B318" s="268"/>
      <c r="C318" s="268"/>
      <c r="D318" s="268"/>
      <c r="E318" s="268"/>
      <c r="F318" s="268"/>
      <c r="G318" s="268"/>
      <c r="H318" s="268"/>
      <c r="I318" s="268"/>
      <c r="J318" s="268"/>
      <c r="K318" s="268"/>
      <c r="L318" s="268"/>
      <c r="M318" s="268"/>
      <c r="N318" s="268"/>
      <c r="O318" s="268"/>
      <c r="P318" s="310"/>
      <c r="Q318" s="268"/>
      <c r="R318" s="309"/>
      <c r="S318" s="268"/>
      <c r="T318" s="313"/>
      <c r="U318" s="313"/>
      <c r="V318" s="268"/>
      <c r="W318" s="268"/>
      <c r="X318" s="268"/>
      <c r="Y318" s="268"/>
      <c r="Z318" s="268"/>
    </row>
    <row r="319" spans="1:26" ht="24.75" customHeight="1">
      <c r="A319" s="268"/>
      <c r="B319" s="268"/>
      <c r="C319" s="268"/>
      <c r="D319" s="268"/>
      <c r="E319" s="268"/>
      <c r="F319" s="268"/>
      <c r="G319" s="268"/>
      <c r="H319" s="268"/>
      <c r="I319" s="268"/>
      <c r="J319" s="268"/>
      <c r="K319" s="268"/>
      <c r="L319" s="268"/>
      <c r="M319" s="268"/>
      <c r="N319" s="268"/>
      <c r="O319" s="268"/>
      <c r="P319" s="310"/>
      <c r="Q319" s="268"/>
      <c r="R319" s="309"/>
      <c r="S319" s="268"/>
      <c r="T319" s="313"/>
      <c r="U319" s="313"/>
      <c r="V319" s="268"/>
      <c r="W319" s="268"/>
      <c r="X319" s="268"/>
      <c r="Y319" s="268"/>
      <c r="Z319" s="268"/>
    </row>
    <row r="320" spans="1:26" ht="24.75" customHeight="1">
      <c r="A320" s="268"/>
      <c r="B320" s="268"/>
      <c r="C320" s="268"/>
      <c r="D320" s="268"/>
      <c r="E320" s="268"/>
      <c r="F320" s="268"/>
      <c r="G320" s="268"/>
      <c r="H320" s="268"/>
      <c r="I320" s="268"/>
      <c r="J320" s="268"/>
      <c r="K320" s="268"/>
      <c r="L320" s="268"/>
      <c r="M320" s="268"/>
      <c r="N320" s="268"/>
      <c r="O320" s="268"/>
      <c r="P320" s="310"/>
      <c r="Q320" s="268"/>
      <c r="R320" s="309"/>
      <c r="S320" s="268"/>
      <c r="T320" s="313"/>
      <c r="U320" s="313"/>
      <c r="V320" s="268"/>
      <c r="W320" s="268"/>
      <c r="X320" s="268"/>
      <c r="Y320" s="268"/>
      <c r="Z320" s="268"/>
    </row>
    <row r="321" spans="1:26" ht="24.75" customHeight="1">
      <c r="A321" s="268"/>
      <c r="B321" s="268"/>
      <c r="C321" s="268"/>
      <c r="D321" s="268"/>
      <c r="E321" s="268"/>
      <c r="F321" s="268"/>
      <c r="G321" s="268"/>
      <c r="H321" s="268"/>
      <c r="I321" s="268"/>
      <c r="J321" s="268"/>
      <c r="K321" s="268"/>
      <c r="L321" s="268"/>
      <c r="M321" s="268"/>
      <c r="N321" s="268"/>
      <c r="O321" s="268"/>
      <c r="P321" s="310"/>
      <c r="Q321" s="268"/>
      <c r="R321" s="309"/>
      <c r="S321" s="268"/>
      <c r="T321" s="313"/>
      <c r="U321" s="313"/>
      <c r="V321" s="268"/>
      <c r="W321" s="268"/>
      <c r="X321" s="268"/>
      <c r="Y321" s="268"/>
      <c r="Z321" s="268"/>
    </row>
    <row r="322" spans="1:26" ht="24.75" customHeight="1">
      <c r="A322" s="268"/>
      <c r="B322" s="268"/>
      <c r="C322" s="268"/>
      <c r="D322" s="268"/>
      <c r="E322" s="268"/>
      <c r="F322" s="268"/>
      <c r="G322" s="268"/>
      <c r="H322" s="268"/>
      <c r="I322" s="268"/>
      <c r="J322" s="268"/>
      <c r="K322" s="268"/>
      <c r="L322" s="268"/>
      <c r="M322" s="268"/>
      <c r="N322" s="268"/>
      <c r="O322" s="268"/>
      <c r="P322" s="310"/>
      <c r="Q322" s="268"/>
      <c r="R322" s="309"/>
      <c r="S322" s="268"/>
      <c r="T322" s="313"/>
      <c r="U322" s="313"/>
      <c r="V322" s="268"/>
      <c r="W322" s="268"/>
      <c r="X322" s="268"/>
      <c r="Y322" s="268"/>
      <c r="Z322" s="268"/>
    </row>
    <row r="323" spans="1:26" ht="24.75" customHeight="1">
      <c r="A323" s="268"/>
      <c r="B323" s="268"/>
      <c r="C323" s="268"/>
      <c r="D323" s="268"/>
      <c r="E323" s="268"/>
      <c r="F323" s="268"/>
      <c r="G323" s="268"/>
      <c r="H323" s="268"/>
      <c r="I323" s="268"/>
      <c r="J323" s="268"/>
      <c r="K323" s="268"/>
      <c r="L323" s="268"/>
      <c r="M323" s="268"/>
      <c r="N323" s="268"/>
      <c r="O323" s="268"/>
      <c r="P323" s="310"/>
      <c r="Q323" s="268"/>
      <c r="R323" s="309"/>
      <c r="S323" s="268"/>
      <c r="T323" s="313"/>
      <c r="U323" s="313"/>
      <c r="V323" s="268"/>
      <c r="W323" s="268"/>
      <c r="X323" s="268"/>
      <c r="Y323" s="268"/>
      <c r="Z323" s="268"/>
    </row>
    <row r="324" spans="1:26" ht="24.75" customHeight="1">
      <c r="A324" s="268"/>
      <c r="B324" s="268"/>
      <c r="C324" s="268"/>
      <c r="D324" s="268"/>
      <c r="E324" s="268"/>
      <c r="F324" s="268"/>
      <c r="G324" s="268"/>
      <c r="H324" s="268"/>
      <c r="I324" s="268"/>
      <c r="J324" s="268"/>
      <c r="K324" s="268"/>
      <c r="L324" s="268"/>
      <c r="M324" s="268"/>
      <c r="N324" s="268"/>
      <c r="O324" s="268"/>
      <c r="P324" s="310"/>
      <c r="Q324" s="268"/>
      <c r="R324" s="309"/>
      <c r="S324" s="268"/>
      <c r="T324" s="313"/>
      <c r="U324" s="313"/>
      <c r="V324" s="268"/>
      <c r="W324" s="268"/>
      <c r="X324" s="268"/>
      <c r="Y324" s="268"/>
      <c r="Z324" s="268"/>
    </row>
    <row r="325" spans="1:26" ht="24.75" customHeight="1">
      <c r="A325" s="268"/>
      <c r="B325" s="268"/>
      <c r="C325" s="268"/>
      <c r="D325" s="268"/>
      <c r="E325" s="268"/>
      <c r="F325" s="268"/>
      <c r="G325" s="268"/>
      <c r="H325" s="268"/>
      <c r="I325" s="268"/>
      <c r="J325" s="268"/>
      <c r="K325" s="268"/>
      <c r="L325" s="268"/>
      <c r="M325" s="268"/>
      <c r="N325" s="268"/>
      <c r="O325" s="268"/>
      <c r="P325" s="310"/>
      <c r="Q325" s="268"/>
      <c r="R325" s="309"/>
      <c r="S325" s="268"/>
      <c r="T325" s="313"/>
      <c r="U325" s="313"/>
      <c r="V325" s="268"/>
      <c r="W325" s="268"/>
      <c r="X325" s="268"/>
      <c r="Y325" s="268"/>
      <c r="Z325" s="268"/>
    </row>
    <row r="326" spans="1:26" ht="24.75" customHeight="1">
      <c r="A326" s="268"/>
      <c r="B326" s="268"/>
      <c r="C326" s="268"/>
      <c r="D326" s="268"/>
      <c r="E326" s="268"/>
      <c r="F326" s="268"/>
      <c r="G326" s="268"/>
      <c r="H326" s="268"/>
      <c r="I326" s="268"/>
      <c r="J326" s="268"/>
      <c r="K326" s="268"/>
      <c r="L326" s="268"/>
      <c r="M326" s="268"/>
      <c r="N326" s="268"/>
      <c r="O326" s="268"/>
      <c r="P326" s="310"/>
      <c r="Q326" s="268"/>
      <c r="R326" s="309"/>
      <c r="S326" s="268"/>
      <c r="T326" s="313"/>
      <c r="U326" s="313"/>
      <c r="V326" s="268"/>
      <c r="W326" s="268"/>
      <c r="X326" s="268"/>
      <c r="Y326" s="268"/>
      <c r="Z326" s="268"/>
    </row>
    <row r="327" spans="1:26" ht="24.75" customHeight="1">
      <c r="A327" s="268"/>
      <c r="B327" s="268"/>
      <c r="C327" s="268"/>
      <c r="D327" s="268"/>
      <c r="E327" s="268"/>
      <c r="F327" s="268"/>
      <c r="G327" s="268"/>
      <c r="H327" s="268"/>
      <c r="I327" s="268"/>
      <c r="J327" s="268"/>
      <c r="K327" s="268"/>
      <c r="L327" s="268"/>
      <c r="M327" s="268"/>
      <c r="N327" s="268"/>
      <c r="O327" s="268"/>
      <c r="P327" s="310"/>
      <c r="Q327" s="268"/>
      <c r="R327" s="309"/>
      <c r="S327" s="268"/>
      <c r="T327" s="313"/>
      <c r="U327" s="313"/>
      <c r="V327" s="268"/>
      <c r="W327" s="268"/>
      <c r="X327" s="268"/>
      <c r="Y327" s="268"/>
      <c r="Z327" s="268"/>
    </row>
    <row r="328" spans="1:26" ht="24.75" customHeight="1">
      <c r="A328" s="268"/>
      <c r="B328" s="268"/>
      <c r="C328" s="268"/>
      <c r="D328" s="268"/>
      <c r="E328" s="268"/>
      <c r="F328" s="268"/>
      <c r="G328" s="268"/>
      <c r="H328" s="268"/>
      <c r="I328" s="268"/>
      <c r="J328" s="268"/>
      <c r="K328" s="268"/>
      <c r="L328" s="268"/>
      <c r="M328" s="268"/>
      <c r="N328" s="268"/>
      <c r="O328" s="268"/>
      <c r="P328" s="310"/>
      <c r="Q328" s="268"/>
      <c r="R328" s="309"/>
      <c r="S328" s="268"/>
      <c r="T328" s="313"/>
      <c r="U328" s="313"/>
      <c r="V328" s="268"/>
      <c r="W328" s="268"/>
      <c r="X328" s="268"/>
      <c r="Y328" s="268"/>
      <c r="Z328" s="268"/>
    </row>
    <row r="329" spans="1:26" ht="24.75" customHeight="1">
      <c r="A329" s="268"/>
      <c r="B329" s="268"/>
      <c r="C329" s="268"/>
      <c r="D329" s="268"/>
      <c r="E329" s="268"/>
      <c r="F329" s="268"/>
      <c r="G329" s="268"/>
      <c r="H329" s="268"/>
      <c r="I329" s="268"/>
      <c r="J329" s="268"/>
      <c r="K329" s="268"/>
      <c r="L329" s="268"/>
      <c r="M329" s="268"/>
      <c r="N329" s="268"/>
      <c r="O329" s="268"/>
      <c r="P329" s="310"/>
      <c r="Q329" s="268"/>
      <c r="R329" s="309"/>
      <c r="S329" s="268"/>
      <c r="T329" s="313"/>
      <c r="U329" s="313"/>
      <c r="V329" s="268"/>
      <c r="W329" s="268"/>
      <c r="X329" s="268"/>
      <c r="Y329" s="268"/>
      <c r="Z329" s="268"/>
    </row>
    <row r="330" spans="1:26" ht="24.75" customHeight="1">
      <c r="A330" s="268"/>
      <c r="B330" s="268"/>
      <c r="C330" s="268"/>
      <c r="D330" s="268"/>
      <c r="E330" s="268"/>
      <c r="F330" s="268"/>
      <c r="G330" s="268"/>
      <c r="H330" s="268"/>
      <c r="I330" s="268"/>
      <c r="J330" s="268"/>
      <c r="K330" s="268"/>
      <c r="L330" s="268"/>
      <c r="M330" s="268"/>
      <c r="N330" s="268"/>
      <c r="O330" s="268"/>
      <c r="P330" s="310"/>
      <c r="Q330" s="268"/>
      <c r="R330" s="309"/>
      <c r="S330" s="268"/>
      <c r="T330" s="313"/>
      <c r="U330" s="313"/>
      <c r="V330" s="268"/>
      <c r="W330" s="268"/>
      <c r="X330" s="268"/>
      <c r="Y330" s="268"/>
      <c r="Z330" s="268"/>
    </row>
    <row r="331" spans="1:26" ht="24.75" customHeight="1">
      <c r="A331" s="268"/>
      <c r="B331" s="268"/>
      <c r="C331" s="268"/>
      <c r="D331" s="268"/>
      <c r="E331" s="268"/>
      <c r="F331" s="268"/>
      <c r="G331" s="268"/>
      <c r="H331" s="268"/>
      <c r="I331" s="268"/>
      <c r="J331" s="268"/>
      <c r="K331" s="268"/>
      <c r="L331" s="268"/>
      <c r="M331" s="268"/>
      <c r="N331" s="268"/>
      <c r="O331" s="268"/>
      <c r="P331" s="310"/>
      <c r="Q331" s="268"/>
      <c r="R331" s="309"/>
      <c r="S331" s="268"/>
      <c r="T331" s="313"/>
      <c r="U331" s="313"/>
      <c r="V331" s="268"/>
      <c r="W331" s="268"/>
      <c r="X331" s="268"/>
      <c r="Y331" s="268"/>
      <c r="Z331" s="268"/>
    </row>
    <row r="332" spans="1:26" ht="24.75" customHeight="1">
      <c r="A332" s="268"/>
      <c r="B332" s="268"/>
      <c r="C332" s="268"/>
      <c r="D332" s="268"/>
      <c r="E332" s="268"/>
      <c r="F332" s="268"/>
      <c r="G332" s="268"/>
      <c r="H332" s="268"/>
      <c r="I332" s="268"/>
      <c r="J332" s="268"/>
      <c r="K332" s="268"/>
      <c r="L332" s="268"/>
      <c r="M332" s="268"/>
      <c r="N332" s="268"/>
      <c r="O332" s="268"/>
      <c r="P332" s="310"/>
      <c r="Q332" s="268"/>
      <c r="R332" s="309"/>
      <c r="S332" s="268"/>
      <c r="T332" s="313"/>
      <c r="U332" s="313"/>
      <c r="V332" s="268"/>
      <c r="W332" s="268"/>
      <c r="X332" s="268"/>
      <c r="Y332" s="268"/>
      <c r="Z332" s="268"/>
    </row>
    <row r="333" spans="1:26" ht="24.75" customHeight="1">
      <c r="A333" s="268"/>
      <c r="B333" s="268"/>
      <c r="C333" s="268"/>
      <c r="D333" s="268"/>
      <c r="E333" s="268"/>
      <c r="F333" s="268"/>
      <c r="G333" s="268"/>
      <c r="H333" s="268"/>
      <c r="I333" s="268"/>
      <c r="J333" s="268"/>
      <c r="K333" s="268"/>
      <c r="L333" s="268"/>
      <c r="M333" s="268"/>
      <c r="N333" s="268"/>
      <c r="O333" s="268"/>
      <c r="P333" s="310"/>
      <c r="Q333" s="268"/>
      <c r="R333" s="309"/>
      <c r="S333" s="268"/>
      <c r="T333" s="313"/>
      <c r="U333" s="313"/>
      <c r="V333" s="268"/>
      <c r="W333" s="268"/>
      <c r="X333" s="268"/>
      <c r="Y333" s="268"/>
      <c r="Z333" s="268"/>
    </row>
    <row r="334" spans="1:26" ht="24.75" customHeight="1">
      <c r="A334" s="268"/>
      <c r="B334" s="268"/>
      <c r="C334" s="268"/>
      <c r="D334" s="268"/>
      <c r="E334" s="268"/>
      <c r="F334" s="268"/>
      <c r="G334" s="268"/>
      <c r="H334" s="268"/>
      <c r="I334" s="268"/>
      <c r="J334" s="268"/>
      <c r="K334" s="268"/>
      <c r="L334" s="268"/>
      <c r="M334" s="268"/>
      <c r="N334" s="268"/>
      <c r="O334" s="268"/>
      <c r="P334" s="310"/>
      <c r="Q334" s="268"/>
      <c r="R334" s="309"/>
      <c r="S334" s="268"/>
      <c r="T334" s="313"/>
      <c r="U334" s="313"/>
      <c r="V334" s="268"/>
      <c r="W334" s="268"/>
      <c r="X334" s="268"/>
      <c r="Y334" s="268"/>
      <c r="Z334" s="268"/>
    </row>
    <row r="335" spans="1:26" ht="24.75" customHeight="1">
      <c r="A335" s="268"/>
      <c r="B335" s="268"/>
      <c r="C335" s="268"/>
      <c r="D335" s="268"/>
      <c r="E335" s="268"/>
      <c r="F335" s="268"/>
      <c r="G335" s="268"/>
      <c r="H335" s="268"/>
      <c r="I335" s="268"/>
      <c r="J335" s="268"/>
      <c r="K335" s="268"/>
      <c r="L335" s="268"/>
      <c r="M335" s="268"/>
      <c r="N335" s="268"/>
      <c r="O335" s="268"/>
      <c r="P335" s="310"/>
      <c r="Q335" s="268"/>
      <c r="R335" s="309"/>
      <c r="S335" s="268"/>
      <c r="T335" s="313"/>
      <c r="U335" s="313"/>
      <c r="V335" s="268"/>
      <c r="W335" s="268"/>
      <c r="X335" s="268"/>
      <c r="Y335" s="268"/>
      <c r="Z335" s="268"/>
    </row>
    <row r="336" spans="1:26" ht="24.75" customHeight="1">
      <c r="A336" s="268"/>
      <c r="B336" s="268"/>
      <c r="C336" s="268"/>
      <c r="D336" s="268"/>
      <c r="E336" s="268"/>
      <c r="F336" s="268"/>
      <c r="G336" s="268"/>
      <c r="H336" s="268"/>
      <c r="I336" s="268"/>
      <c r="J336" s="268"/>
      <c r="K336" s="268"/>
      <c r="L336" s="268"/>
      <c r="M336" s="268"/>
      <c r="N336" s="268"/>
      <c r="O336" s="268"/>
      <c r="P336" s="310"/>
      <c r="Q336" s="268"/>
      <c r="R336" s="309"/>
      <c r="S336" s="268"/>
      <c r="T336" s="313"/>
      <c r="U336" s="313"/>
      <c r="V336" s="268"/>
      <c r="W336" s="268"/>
      <c r="X336" s="268"/>
      <c r="Y336" s="268"/>
      <c r="Z336" s="268"/>
    </row>
    <row r="337" spans="1:26" ht="24.75" customHeight="1">
      <c r="A337" s="268"/>
      <c r="B337" s="268"/>
      <c r="C337" s="268"/>
      <c r="D337" s="268"/>
      <c r="E337" s="268"/>
      <c r="F337" s="268"/>
      <c r="G337" s="268"/>
      <c r="H337" s="268"/>
      <c r="I337" s="268"/>
      <c r="J337" s="268"/>
      <c r="K337" s="268"/>
      <c r="L337" s="268"/>
      <c r="M337" s="268"/>
      <c r="N337" s="268"/>
      <c r="O337" s="268"/>
      <c r="P337" s="310"/>
      <c r="Q337" s="268"/>
      <c r="R337" s="309"/>
      <c r="S337" s="268"/>
      <c r="T337" s="313"/>
      <c r="U337" s="313"/>
      <c r="V337" s="268"/>
      <c r="W337" s="268"/>
      <c r="X337" s="268"/>
      <c r="Y337" s="268"/>
      <c r="Z337" s="268"/>
    </row>
    <row r="338" spans="1:26" ht="24.75" customHeight="1">
      <c r="A338" s="268"/>
      <c r="B338" s="268"/>
      <c r="C338" s="268"/>
      <c r="D338" s="268"/>
      <c r="E338" s="268"/>
      <c r="F338" s="268"/>
      <c r="G338" s="268"/>
      <c r="H338" s="268"/>
      <c r="I338" s="268"/>
      <c r="J338" s="268"/>
      <c r="K338" s="268"/>
      <c r="L338" s="268"/>
      <c r="M338" s="268"/>
      <c r="N338" s="268"/>
      <c r="O338" s="268"/>
      <c r="P338" s="310"/>
      <c r="Q338" s="268"/>
      <c r="R338" s="309"/>
      <c r="S338" s="268"/>
      <c r="T338" s="313"/>
      <c r="U338" s="313"/>
      <c r="V338" s="268"/>
      <c r="W338" s="268"/>
      <c r="X338" s="268"/>
      <c r="Y338" s="268"/>
      <c r="Z338" s="268"/>
    </row>
    <row r="339" spans="1:26" ht="24.75" customHeight="1">
      <c r="A339" s="268"/>
      <c r="B339" s="268"/>
      <c r="C339" s="268"/>
      <c r="D339" s="268"/>
      <c r="E339" s="268"/>
      <c r="F339" s="268"/>
      <c r="G339" s="268"/>
      <c r="H339" s="268"/>
      <c r="I339" s="268"/>
      <c r="J339" s="268"/>
      <c r="K339" s="268"/>
      <c r="L339" s="268"/>
      <c r="M339" s="268"/>
      <c r="N339" s="268"/>
      <c r="O339" s="268"/>
      <c r="P339" s="310"/>
      <c r="Q339" s="268"/>
      <c r="R339" s="309"/>
      <c r="S339" s="268"/>
      <c r="T339" s="313"/>
      <c r="U339" s="313"/>
      <c r="V339" s="268"/>
      <c r="W339" s="268"/>
      <c r="X339" s="268"/>
      <c r="Y339" s="268"/>
      <c r="Z339" s="268"/>
    </row>
    <row r="340" spans="1:26" ht="24.75" customHeight="1">
      <c r="A340" s="268"/>
      <c r="B340" s="268"/>
      <c r="C340" s="268"/>
      <c r="D340" s="268"/>
      <c r="E340" s="268"/>
      <c r="F340" s="268"/>
      <c r="G340" s="268"/>
      <c r="H340" s="268"/>
      <c r="I340" s="268"/>
      <c r="J340" s="268"/>
      <c r="K340" s="268"/>
      <c r="L340" s="268"/>
      <c r="M340" s="268"/>
      <c r="N340" s="268"/>
      <c r="O340" s="268"/>
      <c r="P340" s="310"/>
      <c r="Q340" s="268"/>
      <c r="R340" s="309"/>
      <c r="S340" s="268"/>
      <c r="T340" s="313"/>
      <c r="U340" s="313"/>
      <c r="V340" s="268"/>
      <c r="W340" s="268"/>
      <c r="X340" s="268"/>
      <c r="Y340" s="268"/>
      <c r="Z340" s="268"/>
    </row>
    <row r="341" spans="1:26" ht="24.75" customHeight="1">
      <c r="A341" s="268"/>
      <c r="B341" s="268"/>
      <c r="C341" s="268"/>
      <c r="D341" s="268"/>
      <c r="E341" s="268"/>
      <c r="F341" s="268"/>
      <c r="G341" s="268"/>
      <c r="H341" s="268"/>
      <c r="I341" s="268"/>
      <c r="J341" s="268"/>
      <c r="K341" s="268"/>
      <c r="L341" s="268"/>
      <c r="M341" s="268"/>
      <c r="N341" s="268"/>
      <c r="O341" s="268"/>
      <c r="P341" s="310"/>
      <c r="Q341" s="268"/>
      <c r="R341" s="309"/>
      <c r="S341" s="268"/>
      <c r="T341" s="313"/>
      <c r="U341" s="313"/>
      <c r="V341" s="268"/>
      <c r="W341" s="268"/>
      <c r="X341" s="268"/>
      <c r="Y341" s="268"/>
      <c r="Z341" s="268"/>
    </row>
    <row r="342" spans="1:26" ht="24.75" customHeight="1">
      <c r="A342" s="268"/>
      <c r="B342" s="268"/>
      <c r="C342" s="268"/>
      <c r="D342" s="268"/>
      <c r="E342" s="268"/>
      <c r="F342" s="268"/>
      <c r="G342" s="268"/>
      <c r="H342" s="268"/>
      <c r="I342" s="268"/>
      <c r="J342" s="268"/>
      <c r="K342" s="268"/>
      <c r="L342" s="268"/>
      <c r="M342" s="268"/>
      <c r="N342" s="268"/>
      <c r="O342" s="268"/>
      <c r="P342" s="310"/>
      <c r="Q342" s="268"/>
      <c r="R342" s="309"/>
      <c r="S342" s="268"/>
      <c r="T342" s="313"/>
      <c r="U342" s="313"/>
      <c r="V342" s="268"/>
      <c r="W342" s="268"/>
      <c r="X342" s="268"/>
      <c r="Y342" s="268"/>
      <c r="Z342" s="268"/>
    </row>
    <row r="343" spans="1:26" ht="24.75" customHeight="1">
      <c r="A343" s="268"/>
      <c r="B343" s="268"/>
      <c r="C343" s="268"/>
      <c r="D343" s="268"/>
      <c r="E343" s="268"/>
      <c r="F343" s="268"/>
      <c r="G343" s="268"/>
      <c r="H343" s="268"/>
      <c r="I343" s="268"/>
      <c r="J343" s="268"/>
      <c r="K343" s="268"/>
      <c r="L343" s="268"/>
      <c r="M343" s="268"/>
      <c r="N343" s="268"/>
      <c r="O343" s="268"/>
      <c r="P343" s="310"/>
      <c r="Q343" s="268"/>
      <c r="R343" s="309"/>
      <c r="S343" s="268"/>
      <c r="T343" s="313"/>
      <c r="U343" s="313"/>
      <c r="V343" s="268"/>
      <c r="W343" s="268"/>
      <c r="X343" s="268"/>
      <c r="Y343" s="268"/>
      <c r="Z343" s="268"/>
    </row>
    <row r="344" spans="1:26" ht="24.75" customHeight="1">
      <c r="A344" s="268"/>
      <c r="B344" s="268"/>
      <c r="C344" s="268"/>
      <c r="D344" s="268"/>
      <c r="E344" s="268"/>
      <c r="F344" s="268"/>
      <c r="G344" s="268"/>
      <c r="H344" s="268"/>
      <c r="I344" s="268"/>
      <c r="J344" s="268"/>
      <c r="K344" s="268"/>
      <c r="L344" s="268"/>
      <c r="M344" s="268"/>
      <c r="N344" s="268"/>
      <c r="O344" s="268"/>
      <c r="P344" s="310"/>
      <c r="Q344" s="268"/>
      <c r="R344" s="309"/>
      <c r="S344" s="268"/>
      <c r="T344" s="313"/>
      <c r="U344" s="313"/>
      <c r="V344" s="268"/>
      <c r="W344" s="268"/>
      <c r="X344" s="268"/>
      <c r="Y344" s="268"/>
      <c r="Z344" s="268"/>
    </row>
    <row r="345" spans="1:26" ht="24.75" customHeight="1">
      <c r="A345" s="268"/>
      <c r="B345" s="268"/>
      <c r="C345" s="268"/>
      <c r="D345" s="268"/>
      <c r="E345" s="268"/>
      <c r="F345" s="268"/>
      <c r="G345" s="268"/>
      <c r="H345" s="268"/>
      <c r="I345" s="268"/>
      <c r="J345" s="268"/>
      <c r="K345" s="268"/>
      <c r="L345" s="268"/>
      <c r="M345" s="268"/>
      <c r="N345" s="268"/>
      <c r="O345" s="268"/>
      <c r="P345" s="310"/>
      <c r="Q345" s="268"/>
      <c r="R345" s="309"/>
      <c r="S345" s="268"/>
      <c r="T345" s="313"/>
      <c r="U345" s="313"/>
      <c r="V345" s="268"/>
      <c r="W345" s="268"/>
      <c r="X345" s="268"/>
      <c r="Y345" s="268"/>
      <c r="Z345" s="268"/>
    </row>
    <row r="346" spans="1:26" ht="24.75" customHeight="1">
      <c r="A346" s="268"/>
      <c r="B346" s="268"/>
      <c r="C346" s="268"/>
      <c r="D346" s="268"/>
      <c r="E346" s="268"/>
      <c r="F346" s="268"/>
      <c r="G346" s="268"/>
      <c r="H346" s="268"/>
      <c r="I346" s="268"/>
      <c r="J346" s="268"/>
      <c r="K346" s="268"/>
      <c r="L346" s="268"/>
      <c r="M346" s="268"/>
      <c r="N346" s="268"/>
      <c r="O346" s="268"/>
      <c r="P346" s="310"/>
      <c r="Q346" s="268"/>
      <c r="R346" s="309"/>
      <c r="S346" s="268"/>
      <c r="T346" s="313"/>
      <c r="U346" s="313"/>
      <c r="V346" s="268"/>
      <c r="W346" s="268"/>
      <c r="X346" s="268"/>
      <c r="Y346" s="268"/>
      <c r="Z346" s="268"/>
    </row>
    <row r="347" spans="1:26" ht="24.75" customHeight="1">
      <c r="A347" s="268"/>
      <c r="B347" s="268"/>
      <c r="C347" s="268"/>
      <c r="D347" s="268"/>
      <c r="E347" s="268"/>
      <c r="F347" s="268"/>
      <c r="G347" s="268"/>
      <c r="H347" s="268"/>
      <c r="I347" s="268"/>
      <c r="J347" s="268"/>
      <c r="K347" s="268"/>
      <c r="L347" s="268"/>
      <c r="M347" s="268"/>
      <c r="N347" s="268"/>
      <c r="O347" s="268"/>
      <c r="P347" s="310"/>
      <c r="Q347" s="268"/>
      <c r="R347" s="309"/>
      <c r="S347" s="268"/>
      <c r="T347" s="313"/>
      <c r="U347" s="313"/>
      <c r="V347" s="268"/>
      <c r="W347" s="268"/>
      <c r="X347" s="268"/>
      <c r="Y347" s="268"/>
      <c r="Z347" s="268"/>
    </row>
    <row r="348" spans="1:26" ht="24.75" customHeight="1">
      <c r="A348" s="268"/>
      <c r="B348" s="268"/>
      <c r="C348" s="268"/>
      <c r="D348" s="268"/>
      <c r="E348" s="268"/>
      <c r="F348" s="268"/>
      <c r="G348" s="268"/>
      <c r="H348" s="268"/>
      <c r="I348" s="268"/>
      <c r="J348" s="268"/>
      <c r="K348" s="268"/>
      <c r="L348" s="268"/>
      <c r="M348" s="268"/>
      <c r="N348" s="268"/>
      <c r="O348" s="268"/>
      <c r="P348" s="310"/>
      <c r="Q348" s="268"/>
      <c r="R348" s="309"/>
      <c r="S348" s="268"/>
      <c r="T348" s="313"/>
      <c r="U348" s="313"/>
      <c r="V348" s="268"/>
      <c r="W348" s="268"/>
      <c r="X348" s="268"/>
      <c r="Y348" s="268"/>
      <c r="Z348" s="268"/>
    </row>
    <row r="349" spans="1:26" ht="24.75" customHeight="1">
      <c r="A349" s="268"/>
      <c r="B349" s="268"/>
      <c r="C349" s="268"/>
      <c r="D349" s="268"/>
      <c r="E349" s="268"/>
      <c r="F349" s="268"/>
      <c r="G349" s="268"/>
      <c r="H349" s="268"/>
      <c r="I349" s="268"/>
      <c r="J349" s="268"/>
      <c r="K349" s="268"/>
      <c r="L349" s="268"/>
      <c r="M349" s="268"/>
      <c r="N349" s="268"/>
      <c r="O349" s="268"/>
      <c r="P349" s="310"/>
      <c r="Q349" s="268"/>
      <c r="R349" s="309"/>
      <c r="S349" s="268"/>
      <c r="T349" s="313"/>
      <c r="U349" s="313"/>
      <c r="V349" s="268"/>
      <c r="W349" s="268"/>
      <c r="X349" s="268"/>
      <c r="Y349" s="268"/>
      <c r="Z349" s="268"/>
    </row>
    <row r="350" spans="1:26" ht="24.75" customHeight="1">
      <c r="A350" s="268"/>
      <c r="B350" s="268"/>
      <c r="C350" s="268"/>
      <c r="D350" s="268"/>
      <c r="E350" s="268"/>
      <c r="F350" s="268"/>
      <c r="G350" s="268"/>
      <c r="H350" s="268"/>
      <c r="I350" s="268"/>
      <c r="J350" s="268"/>
      <c r="K350" s="268"/>
      <c r="L350" s="268"/>
      <c r="M350" s="268"/>
      <c r="N350" s="268"/>
      <c r="O350" s="268"/>
      <c r="P350" s="310"/>
      <c r="Q350" s="268"/>
      <c r="R350" s="309"/>
      <c r="S350" s="268"/>
      <c r="T350" s="313"/>
      <c r="U350" s="313"/>
      <c r="V350" s="268"/>
      <c r="W350" s="268"/>
      <c r="X350" s="268"/>
      <c r="Y350" s="268"/>
      <c r="Z350" s="268"/>
    </row>
    <row r="351" spans="1:26" ht="24.75" customHeight="1">
      <c r="A351" s="268"/>
      <c r="B351" s="268"/>
      <c r="C351" s="268"/>
      <c r="D351" s="268"/>
      <c r="E351" s="268"/>
      <c r="F351" s="268"/>
      <c r="G351" s="268"/>
      <c r="H351" s="268"/>
      <c r="I351" s="268"/>
      <c r="J351" s="268"/>
      <c r="K351" s="268"/>
      <c r="L351" s="268"/>
      <c r="M351" s="268"/>
      <c r="N351" s="268"/>
      <c r="O351" s="268"/>
      <c r="P351" s="310"/>
      <c r="Q351" s="268"/>
      <c r="R351" s="309"/>
      <c r="S351" s="268"/>
      <c r="T351" s="313"/>
      <c r="U351" s="313"/>
      <c r="V351" s="268"/>
      <c r="W351" s="268"/>
      <c r="X351" s="268"/>
      <c r="Y351" s="268"/>
      <c r="Z351" s="268"/>
    </row>
    <row r="352" spans="1:26" ht="24.75" customHeight="1">
      <c r="A352" s="268"/>
      <c r="B352" s="268"/>
      <c r="C352" s="268"/>
      <c r="D352" s="268"/>
      <c r="E352" s="268"/>
      <c r="F352" s="268"/>
      <c r="G352" s="268"/>
      <c r="H352" s="268"/>
      <c r="I352" s="268"/>
      <c r="J352" s="268"/>
      <c r="K352" s="268"/>
      <c r="L352" s="268"/>
      <c r="M352" s="268"/>
      <c r="N352" s="268"/>
      <c r="O352" s="268"/>
      <c r="P352" s="310"/>
      <c r="Q352" s="268"/>
      <c r="R352" s="309"/>
      <c r="S352" s="268"/>
      <c r="T352" s="313"/>
      <c r="U352" s="313"/>
      <c r="V352" s="268"/>
      <c r="W352" s="268"/>
      <c r="X352" s="268"/>
      <c r="Y352" s="268"/>
      <c r="Z352" s="268"/>
    </row>
    <row r="353" spans="1:26" ht="24.75" customHeight="1">
      <c r="A353" s="268"/>
      <c r="B353" s="268"/>
      <c r="C353" s="268"/>
      <c r="D353" s="268"/>
      <c r="E353" s="268"/>
      <c r="F353" s="268"/>
      <c r="G353" s="268"/>
      <c r="H353" s="268"/>
      <c r="I353" s="268"/>
      <c r="J353" s="268"/>
      <c r="K353" s="268"/>
      <c r="L353" s="268"/>
      <c r="M353" s="268"/>
      <c r="N353" s="268"/>
      <c r="O353" s="268"/>
      <c r="P353" s="310"/>
      <c r="Q353" s="268"/>
      <c r="R353" s="309"/>
      <c r="S353" s="268"/>
      <c r="T353" s="313"/>
      <c r="U353" s="313"/>
      <c r="V353" s="268"/>
      <c r="W353" s="268"/>
      <c r="X353" s="268"/>
      <c r="Y353" s="268"/>
      <c r="Z353" s="268"/>
    </row>
    <row r="354" spans="1:26" ht="24.75" customHeight="1">
      <c r="A354" s="268"/>
      <c r="B354" s="268"/>
      <c r="C354" s="268"/>
      <c r="D354" s="268"/>
      <c r="E354" s="268"/>
      <c r="F354" s="268"/>
      <c r="G354" s="268"/>
      <c r="H354" s="268"/>
      <c r="I354" s="268"/>
      <c r="J354" s="268"/>
      <c r="K354" s="268"/>
      <c r="L354" s="268"/>
      <c r="M354" s="268"/>
      <c r="N354" s="268"/>
      <c r="O354" s="268"/>
      <c r="P354" s="310"/>
      <c r="Q354" s="268"/>
      <c r="R354" s="309"/>
      <c r="S354" s="268"/>
      <c r="T354" s="313"/>
      <c r="U354" s="313"/>
      <c r="V354" s="268"/>
      <c r="W354" s="268"/>
      <c r="X354" s="268"/>
      <c r="Y354" s="268"/>
      <c r="Z354" s="268"/>
    </row>
    <row r="355" spans="1:26" ht="24.75" customHeight="1">
      <c r="A355" s="268"/>
      <c r="B355" s="268"/>
      <c r="C355" s="268"/>
      <c r="D355" s="268"/>
      <c r="E355" s="268"/>
      <c r="F355" s="268"/>
      <c r="G355" s="268"/>
      <c r="H355" s="268"/>
      <c r="I355" s="268"/>
      <c r="J355" s="268"/>
      <c r="K355" s="268"/>
      <c r="L355" s="268"/>
      <c r="M355" s="268"/>
      <c r="N355" s="268"/>
      <c r="O355" s="268"/>
      <c r="P355" s="310"/>
      <c r="Q355" s="268"/>
      <c r="R355" s="309"/>
      <c r="S355" s="268"/>
      <c r="T355" s="313"/>
      <c r="U355" s="313"/>
      <c r="V355" s="268"/>
      <c r="W355" s="268"/>
      <c r="X355" s="268"/>
      <c r="Y355" s="268"/>
      <c r="Z355" s="268"/>
    </row>
    <row r="356" spans="1:26" ht="24.75" customHeight="1">
      <c r="A356" s="268"/>
      <c r="B356" s="268"/>
      <c r="C356" s="268"/>
      <c r="D356" s="268"/>
      <c r="E356" s="268"/>
      <c r="F356" s="268"/>
      <c r="G356" s="268"/>
      <c r="H356" s="268"/>
      <c r="I356" s="268"/>
      <c r="J356" s="268"/>
      <c r="K356" s="268"/>
      <c r="L356" s="268"/>
      <c r="M356" s="268"/>
      <c r="N356" s="268"/>
      <c r="O356" s="268"/>
      <c r="P356" s="310"/>
      <c r="Q356" s="268"/>
      <c r="R356" s="309"/>
      <c r="S356" s="268"/>
      <c r="T356" s="313"/>
      <c r="U356" s="313"/>
      <c r="V356" s="268"/>
      <c r="W356" s="268"/>
      <c r="X356" s="268"/>
      <c r="Y356" s="268"/>
      <c r="Z356" s="268"/>
    </row>
    <row r="357" spans="1:26" ht="24.75" customHeight="1">
      <c r="A357" s="268"/>
      <c r="B357" s="268"/>
      <c r="C357" s="268"/>
      <c r="D357" s="268"/>
      <c r="E357" s="268"/>
      <c r="F357" s="268"/>
      <c r="G357" s="268"/>
      <c r="H357" s="268"/>
      <c r="I357" s="268"/>
      <c r="J357" s="268"/>
      <c r="K357" s="268"/>
      <c r="L357" s="268"/>
      <c r="M357" s="268"/>
      <c r="N357" s="268"/>
      <c r="O357" s="268"/>
      <c r="P357" s="310"/>
      <c r="Q357" s="268"/>
      <c r="R357" s="309"/>
      <c r="S357" s="268"/>
      <c r="T357" s="313"/>
      <c r="U357" s="313"/>
      <c r="V357" s="268"/>
      <c r="W357" s="268"/>
      <c r="X357" s="268"/>
      <c r="Y357" s="268"/>
      <c r="Z357" s="268"/>
    </row>
    <row r="358" spans="1:26" ht="24.75" customHeight="1">
      <c r="A358" s="268"/>
      <c r="B358" s="268"/>
      <c r="C358" s="268"/>
      <c r="D358" s="268"/>
      <c r="E358" s="268"/>
      <c r="F358" s="268"/>
      <c r="G358" s="268"/>
      <c r="H358" s="268"/>
      <c r="I358" s="268"/>
      <c r="J358" s="268"/>
      <c r="K358" s="268"/>
      <c r="L358" s="268"/>
      <c r="M358" s="268"/>
      <c r="N358" s="268"/>
      <c r="O358" s="268"/>
      <c r="P358" s="310"/>
      <c r="Q358" s="268"/>
      <c r="R358" s="309"/>
      <c r="S358" s="268"/>
      <c r="T358" s="313"/>
      <c r="U358" s="313"/>
      <c r="V358" s="268"/>
      <c r="W358" s="268"/>
      <c r="X358" s="268"/>
      <c r="Y358" s="268"/>
      <c r="Z358" s="268"/>
    </row>
    <row r="359" spans="1:26" ht="24.75" customHeight="1">
      <c r="A359" s="268"/>
      <c r="B359" s="268"/>
      <c r="C359" s="268"/>
      <c r="D359" s="268"/>
      <c r="E359" s="268"/>
      <c r="F359" s="268"/>
      <c r="G359" s="268"/>
      <c r="H359" s="268"/>
      <c r="I359" s="268"/>
      <c r="J359" s="268"/>
      <c r="K359" s="268"/>
      <c r="L359" s="268"/>
      <c r="M359" s="268"/>
      <c r="N359" s="268"/>
      <c r="O359" s="268"/>
      <c r="P359" s="310"/>
      <c r="Q359" s="268"/>
      <c r="R359" s="309"/>
      <c r="S359" s="268"/>
      <c r="T359" s="313"/>
      <c r="U359" s="313"/>
      <c r="V359" s="268"/>
      <c r="W359" s="268"/>
      <c r="X359" s="268"/>
      <c r="Y359" s="268"/>
      <c r="Z359" s="268"/>
    </row>
    <row r="360" spans="1:26" ht="24.75" customHeight="1">
      <c r="A360" s="268"/>
      <c r="B360" s="268"/>
      <c r="C360" s="268"/>
      <c r="D360" s="268"/>
      <c r="E360" s="268"/>
      <c r="F360" s="268"/>
      <c r="G360" s="268"/>
      <c r="H360" s="268"/>
      <c r="I360" s="268"/>
      <c r="J360" s="268"/>
      <c r="K360" s="268"/>
      <c r="L360" s="268"/>
      <c r="M360" s="268"/>
      <c r="N360" s="268"/>
      <c r="O360" s="268"/>
      <c r="P360" s="310"/>
      <c r="Q360" s="268"/>
      <c r="R360" s="309"/>
      <c r="S360" s="268"/>
      <c r="T360" s="313"/>
      <c r="U360" s="313"/>
      <c r="V360" s="268"/>
      <c r="W360" s="268"/>
      <c r="X360" s="268"/>
      <c r="Y360" s="268"/>
      <c r="Z360" s="268"/>
    </row>
    <row r="361" spans="1:26" ht="24.75" customHeight="1">
      <c r="A361" s="268"/>
      <c r="B361" s="268"/>
      <c r="C361" s="268"/>
      <c r="D361" s="268"/>
      <c r="E361" s="268"/>
      <c r="F361" s="268"/>
      <c r="G361" s="268"/>
      <c r="H361" s="268"/>
      <c r="I361" s="268"/>
      <c r="J361" s="268"/>
      <c r="K361" s="268"/>
      <c r="L361" s="268"/>
      <c r="M361" s="268"/>
      <c r="N361" s="268"/>
      <c r="O361" s="268"/>
      <c r="P361" s="310"/>
      <c r="Q361" s="268"/>
      <c r="R361" s="309"/>
      <c r="S361" s="268"/>
      <c r="T361" s="313"/>
      <c r="U361" s="313"/>
      <c r="V361" s="268"/>
      <c r="W361" s="268"/>
      <c r="X361" s="268"/>
      <c r="Y361" s="268"/>
      <c r="Z361" s="268"/>
    </row>
    <row r="362" spans="1:26" ht="24.75" customHeight="1">
      <c r="A362" s="268"/>
      <c r="B362" s="268"/>
      <c r="C362" s="268"/>
      <c r="D362" s="268"/>
      <c r="E362" s="268"/>
      <c r="F362" s="268"/>
      <c r="G362" s="268"/>
      <c r="H362" s="268"/>
      <c r="I362" s="268"/>
      <c r="J362" s="268"/>
      <c r="K362" s="268"/>
      <c r="L362" s="268"/>
      <c r="M362" s="268"/>
      <c r="N362" s="268"/>
      <c r="O362" s="268"/>
      <c r="P362" s="310"/>
      <c r="Q362" s="268"/>
      <c r="R362" s="309"/>
      <c r="S362" s="268"/>
      <c r="T362" s="313"/>
      <c r="U362" s="313"/>
      <c r="V362" s="268"/>
      <c r="W362" s="268"/>
      <c r="X362" s="268"/>
      <c r="Y362" s="268"/>
      <c r="Z362" s="268"/>
    </row>
    <row r="363" spans="1:26" ht="24.75" customHeight="1">
      <c r="A363" s="268"/>
      <c r="B363" s="268"/>
      <c r="C363" s="268"/>
      <c r="D363" s="268"/>
      <c r="E363" s="268"/>
      <c r="F363" s="268"/>
      <c r="G363" s="268"/>
      <c r="H363" s="268"/>
      <c r="I363" s="268"/>
      <c r="J363" s="268"/>
      <c r="K363" s="268"/>
      <c r="L363" s="268"/>
      <c r="M363" s="268"/>
      <c r="N363" s="268"/>
      <c r="O363" s="268"/>
      <c r="P363" s="310"/>
      <c r="Q363" s="268"/>
      <c r="R363" s="309"/>
      <c r="S363" s="268"/>
      <c r="T363" s="313"/>
      <c r="U363" s="313"/>
      <c r="V363" s="268"/>
      <c r="W363" s="268"/>
      <c r="X363" s="268"/>
      <c r="Y363" s="268"/>
      <c r="Z363" s="268"/>
    </row>
    <row r="364" spans="1:26" ht="24.75" customHeight="1">
      <c r="A364" s="268"/>
      <c r="B364" s="268"/>
      <c r="C364" s="268"/>
      <c r="D364" s="268"/>
      <c r="E364" s="268"/>
      <c r="F364" s="268"/>
      <c r="G364" s="268"/>
      <c r="H364" s="268"/>
      <c r="I364" s="268"/>
      <c r="J364" s="268"/>
      <c r="K364" s="268"/>
      <c r="L364" s="268"/>
      <c r="M364" s="268"/>
      <c r="N364" s="268"/>
      <c r="O364" s="268"/>
      <c r="P364" s="310"/>
      <c r="Q364" s="268"/>
      <c r="R364" s="309"/>
      <c r="S364" s="268"/>
      <c r="T364" s="313"/>
      <c r="U364" s="313"/>
      <c r="V364" s="268"/>
      <c r="W364" s="268"/>
      <c r="X364" s="268"/>
      <c r="Y364" s="268"/>
      <c r="Z364" s="268"/>
    </row>
    <row r="365" spans="1:26" ht="24.75" customHeight="1">
      <c r="A365" s="268"/>
      <c r="B365" s="268"/>
      <c r="C365" s="268"/>
      <c r="D365" s="268"/>
      <c r="E365" s="268"/>
      <c r="F365" s="268"/>
      <c r="G365" s="268"/>
      <c r="H365" s="268"/>
      <c r="I365" s="268"/>
      <c r="J365" s="268"/>
      <c r="K365" s="268"/>
      <c r="L365" s="268"/>
      <c r="M365" s="268"/>
      <c r="N365" s="268"/>
      <c r="O365" s="268"/>
      <c r="P365" s="310"/>
      <c r="Q365" s="268"/>
      <c r="R365" s="309"/>
      <c r="S365" s="268"/>
      <c r="T365" s="313"/>
      <c r="U365" s="313"/>
      <c r="V365" s="268"/>
      <c r="W365" s="268"/>
      <c r="X365" s="268"/>
      <c r="Y365" s="268"/>
      <c r="Z365" s="268"/>
    </row>
    <row r="366" spans="1:26" ht="24.75" customHeight="1">
      <c r="A366" s="268"/>
      <c r="B366" s="268"/>
      <c r="C366" s="268"/>
      <c r="D366" s="268"/>
      <c r="E366" s="268"/>
      <c r="F366" s="268"/>
      <c r="G366" s="268"/>
      <c r="H366" s="268"/>
      <c r="I366" s="268"/>
      <c r="J366" s="268"/>
      <c r="K366" s="268"/>
      <c r="L366" s="268"/>
      <c r="M366" s="268"/>
      <c r="N366" s="268"/>
      <c r="O366" s="268"/>
      <c r="P366" s="310"/>
      <c r="Q366" s="268"/>
      <c r="R366" s="309"/>
      <c r="S366" s="268"/>
      <c r="T366" s="313"/>
      <c r="U366" s="313"/>
      <c r="V366" s="268"/>
      <c r="W366" s="268"/>
      <c r="X366" s="268"/>
      <c r="Y366" s="268"/>
      <c r="Z366" s="268"/>
    </row>
    <row r="367" spans="1:26" ht="24.75" customHeight="1">
      <c r="A367" s="268"/>
      <c r="B367" s="268"/>
      <c r="C367" s="268"/>
      <c r="D367" s="268"/>
      <c r="E367" s="268"/>
      <c r="F367" s="268"/>
      <c r="G367" s="268"/>
      <c r="H367" s="268"/>
      <c r="I367" s="268"/>
      <c r="J367" s="268"/>
      <c r="K367" s="268"/>
      <c r="L367" s="268"/>
      <c r="M367" s="268"/>
      <c r="N367" s="268"/>
      <c r="O367" s="268"/>
      <c r="P367" s="310"/>
      <c r="Q367" s="268"/>
      <c r="R367" s="309"/>
      <c r="S367" s="268"/>
      <c r="T367" s="313"/>
      <c r="U367" s="313"/>
      <c r="V367" s="268"/>
      <c r="W367" s="268"/>
      <c r="X367" s="268"/>
      <c r="Y367" s="268"/>
      <c r="Z367" s="268"/>
    </row>
    <row r="368" spans="1:26" ht="24.75" customHeight="1">
      <c r="A368" s="268"/>
      <c r="B368" s="268"/>
      <c r="C368" s="268"/>
      <c r="D368" s="268"/>
      <c r="E368" s="268"/>
      <c r="F368" s="268"/>
      <c r="G368" s="268"/>
      <c r="H368" s="268"/>
      <c r="I368" s="268"/>
      <c r="J368" s="268"/>
      <c r="K368" s="268"/>
      <c r="L368" s="268"/>
      <c r="M368" s="268"/>
      <c r="N368" s="268"/>
      <c r="O368" s="268"/>
      <c r="P368" s="310"/>
      <c r="Q368" s="268"/>
      <c r="R368" s="309"/>
      <c r="S368" s="268"/>
      <c r="T368" s="313"/>
      <c r="U368" s="313"/>
      <c r="V368" s="268"/>
      <c r="W368" s="268"/>
      <c r="X368" s="268"/>
      <c r="Y368" s="268"/>
      <c r="Z368" s="268"/>
    </row>
    <row r="369" spans="1:26" ht="24.75" customHeight="1">
      <c r="A369" s="268"/>
      <c r="B369" s="268"/>
      <c r="C369" s="268"/>
      <c r="D369" s="268"/>
      <c r="E369" s="268"/>
      <c r="F369" s="268"/>
      <c r="G369" s="268"/>
      <c r="H369" s="268"/>
      <c r="I369" s="268"/>
      <c r="J369" s="268"/>
      <c r="K369" s="268"/>
      <c r="L369" s="268"/>
      <c r="M369" s="268"/>
      <c r="N369" s="268"/>
      <c r="O369" s="268"/>
      <c r="P369" s="310"/>
      <c r="Q369" s="268"/>
      <c r="R369" s="309"/>
      <c r="S369" s="268"/>
      <c r="T369" s="313"/>
      <c r="U369" s="313"/>
      <c r="V369" s="268"/>
      <c r="W369" s="268"/>
      <c r="X369" s="268"/>
      <c r="Y369" s="268"/>
      <c r="Z369" s="268"/>
    </row>
    <row r="370" spans="1:26" ht="24.75" customHeight="1">
      <c r="A370" s="268"/>
      <c r="B370" s="268"/>
      <c r="C370" s="268"/>
      <c r="D370" s="268"/>
      <c r="E370" s="268"/>
      <c r="F370" s="268"/>
      <c r="G370" s="268"/>
      <c r="H370" s="268"/>
      <c r="I370" s="268"/>
      <c r="J370" s="268"/>
      <c r="K370" s="268"/>
      <c r="L370" s="268"/>
      <c r="M370" s="268"/>
      <c r="N370" s="268"/>
      <c r="O370" s="268"/>
      <c r="P370" s="310"/>
      <c r="Q370" s="268"/>
      <c r="R370" s="309"/>
      <c r="S370" s="268"/>
      <c r="T370" s="313"/>
      <c r="U370" s="313"/>
      <c r="V370" s="268"/>
      <c r="W370" s="268"/>
      <c r="X370" s="268"/>
      <c r="Y370" s="268"/>
      <c r="Z370" s="268"/>
    </row>
    <row r="371" spans="1:26" ht="24.75" customHeight="1">
      <c r="A371" s="268"/>
      <c r="B371" s="268"/>
      <c r="C371" s="268"/>
      <c r="D371" s="268"/>
      <c r="E371" s="268"/>
      <c r="F371" s="268"/>
      <c r="G371" s="268"/>
      <c r="H371" s="268"/>
      <c r="I371" s="268"/>
      <c r="J371" s="268"/>
      <c r="K371" s="268"/>
      <c r="L371" s="268"/>
      <c r="M371" s="268"/>
      <c r="N371" s="268"/>
      <c r="O371" s="268"/>
      <c r="P371" s="310"/>
      <c r="Q371" s="268"/>
      <c r="R371" s="309"/>
      <c r="S371" s="268"/>
      <c r="T371" s="313"/>
      <c r="U371" s="313"/>
      <c r="V371" s="268"/>
      <c r="W371" s="268"/>
      <c r="X371" s="268"/>
      <c r="Y371" s="268"/>
      <c r="Z371" s="268"/>
    </row>
    <row r="372" spans="1:26" ht="24.75" customHeight="1">
      <c r="A372" s="268"/>
      <c r="B372" s="268"/>
      <c r="C372" s="268"/>
      <c r="D372" s="268"/>
      <c r="E372" s="268"/>
      <c r="F372" s="268"/>
      <c r="G372" s="268"/>
      <c r="H372" s="268"/>
      <c r="I372" s="268"/>
      <c r="J372" s="268"/>
      <c r="K372" s="268"/>
      <c r="L372" s="268"/>
      <c r="M372" s="268"/>
      <c r="N372" s="268"/>
      <c r="O372" s="268"/>
      <c r="P372" s="310"/>
      <c r="Q372" s="268"/>
      <c r="R372" s="309"/>
      <c r="S372" s="268"/>
      <c r="T372" s="313"/>
      <c r="U372" s="313"/>
      <c r="V372" s="268"/>
      <c r="W372" s="268"/>
      <c r="X372" s="268"/>
      <c r="Y372" s="268"/>
      <c r="Z372" s="268"/>
    </row>
    <row r="373" spans="1:26" ht="24.75" customHeight="1">
      <c r="A373" s="268"/>
      <c r="B373" s="268"/>
      <c r="C373" s="268"/>
      <c r="D373" s="268"/>
      <c r="E373" s="268"/>
      <c r="F373" s="268"/>
      <c r="G373" s="268"/>
      <c r="H373" s="268"/>
      <c r="I373" s="268"/>
      <c r="J373" s="268"/>
      <c r="K373" s="268"/>
      <c r="L373" s="268"/>
      <c r="M373" s="268"/>
      <c r="N373" s="268"/>
      <c r="O373" s="268"/>
      <c r="P373" s="310"/>
      <c r="Q373" s="268"/>
      <c r="R373" s="309"/>
      <c r="S373" s="268"/>
      <c r="T373" s="313"/>
      <c r="U373" s="313"/>
      <c r="V373" s="268"/>
      <c r="W373" s="268"/>
      <c r="X373" s="268"/>
      <c r="Y373" s="268"/>
      <c r="Z373" s="268"/>
    </row>
    <row r="374" spans="1:26" ht="24.75" customHeight="1">
      <c r="A374" s="268"/>
      <c r="B374" s="268"/>
      <c r="C374" s="268"/>
      <c r="D374" s="268"/>
      <c r="E374" s="268"/>
      <c r="F374" s="268"/>
      <c r="G374" s="268"/>
      <c r="H374" s="268"/>
      <c r="I374" s="268"/>
      <c r="J374" s="268"/>
      <c r="K374" s="268"/>
      <c r="L374" s="268"/>
      <c r="M374" s="268"/>
      <c r="N374" s="268"/>
      <c r="O374" s="268"/>
      <c r="P374" s="310"/>
      <c r="Q374" s="268"/>
      <c r="R374" s="309"/>
      <c r="S374" s="268"/>
      <c r="T374" s="313"/>
      <c r="U374" s="313"/>
      <c r="V374" s="268"/>
      <c r="W374" s="268"/>
      <c r="X374" s="268"/>
      <c r="Y374" s="268"/>
      <c r="Z374" s="268"/>
    </row>
    <row r="375" spans="1:26" ht="24.75" customHeight="1">
      <c r="A375" s="268"/>
      <c r="B375" s="268"/>
      <c r="C375" s="268"/>
      <c r="D375" s="268"/>
      <c r="E375" s="268"/>
      <c r="F375" s="268"/>
      <c r="G375" s="268"/>
      <c r="H375" s="268"/>
      <c r="I375" s="268"/>
      <c r="J375" s="268"/>
      <c r="K375" s="268"/>
      <c r="L375" s="268"/>
      <c r="M375" s="268"/>
      <c r="N375" s="268"/>
      <c r="O375" s="268"/>
      <c r="P375" s="310"/>
      <c r="Q375" s="268"/>
      <c r="R375" s="309"/>
      <c r="S375" s="268"/>
      <c r="T375" s="313"/>
      <c r="U375" s="313"/>
      <c r="V375" s="268"/>
      <c r="W375" s="268"/>
      <c r="X375" s="268"/>
      <c r="Y375" s="268"/>
      <c r="Z375" s="268"/>
    </row>
    <row r="376" spans="1:26" ht="24.75" customHeight="1">
      <c r="A376" s="268"/>
      <c r="B376" s="268"/>
      <c r="C376" s="268"/>
      <c r="D376" s="268"/>
      <c r="E376" s="268"/>
      <c r="F376" s="268"/>
      <c r="G376" s="268"/>
      <c r="H376" s="268"/>
      <c r="I376" s="268"/>
      <c r="J376" s="268"/>
      <c r="K376" s="268"/>
      <c r="L376" s="268"/>
      <c r="M376" s="268"/>
      <c r="N376" s="268"/>
      <c r="O376" s="268"/>
      <c r="P376" s="310"/>
      <c r="Q376" s="268"/>
      <c r="R376" s="309"/>
      <c r="S376" s="268"/>
      <c r="T376" s="313"/>
      <c r="U376" s="313"/>
      <c r="V376" s="268"/>
      <c r="W376" s="268"/>
      <c r="X376" s="268"/>
      <c r="Y376" s="268"/>
      <c r="Z376" s="268"/>
    </row>
    <row r="377" spans="1:26" ht="24.75" customHeight="1">
      <c r="A377" s="268"/>
      <c r="B377" s="268"/>
      <c r="C377" s="268"/>
      <c r="D377" s="268"/>
      <c r="E377" s="268"/>
      <c r="F377" s="268"/>
      <c r="G377" s="268"/>
      <c r="H377" s="268"/>
      <c r="I377" s="268"/>
      <c r="J377" s="268"/>
      <c r="K377" s="268"/>
      <c r="L377" s="268"/>
      <c r="M377" s="268"/>
      <c r="N377" s="268"/>
      <c r="O377" s="268"/>
      <c r="P377" s="310"/>
      <c r="Q377" s="268"/>
      <c r="R377" s="309"/>
      <c r="S377" s="268"/>
      <c r="T377" s="313"/>
      <c r="U377" s="313"/>
      <c r="V377" s="268"/>
      <c r="W377" s="268"/>
      <c r="X377" s="268"/>
      <c r="Y377" s="268"/>
      <c r="Z377" s="268"/>
    </row>
    <row r="378" spans="1:26" ht="24.75" customHeight="1">
      <c r="A378" s="268"/>
      <c r="B378" s="268"/>
      <c r="C378" s="268"/>
      <c r="D378" s="268"/>
      <c r="E378" s="268"/>
      <c r="F378" s="268"/>
      <c r="G378" s="268"/>
      <c r="H378" s="268"/>
      <c r="I378" s="268"/>
      <c r="J378" s="268"/>
      <c r="K378" s="268"/>
      <c r="L378" s="268"/>
      <c r="M378" s="268"/>
      <c r="N378" s="268"/>
      <c r="O378" s="268"/>
      <c r="P378" s="310"/>
      <c r="Q378" s="268"/>
      <c r="R378" s="309"/>
      <c r="S378" s="268"/>
      <c r="T378" s="313"/>
      <c r="U378" s="313"/>
      <c r="V378" s="268"/>
      <c r="W378" s="268"/>
      <c r="X378" s="268"/>
      <c r="Y378" s="268"/>
      <c r="Z378" s="268"/>
    </row>
    <row r="379" spans="1:26" ht="24.75" customHeight="1">
      <c r="A379" s="268"/>
      <c r="B379" s="268"/>
      <c r="C379" s="268"/>
      <c r="D379" s="268"/>
      <c r="E379" s="268"/>
      <c r="F379" s="268"/>
      <c r="G379" s="268"/>
      <c r="H379" s="268"/>
      <c r="I379" s="268"/>
      <c r="J379" s="268"/>
      <c r="K379" s="268"/>
      <c r="L379" s="268"/>
      <c r="M379" s="268"/>
      <c r="N379" s="268"/>
      <c r="O379" s="268"/>
      <c r="P379" s="310"/>
      <c r="Q379" s="268"/>
      <c r="R379" s="309"/>
      <c r="S379" s="268"/>
      <c r="T379" s="313"/>
      <c r="U379" s="313"/>
      <c r="V379" s="268"/>
      <c r="W379" s="268"/>
      <c r="X379" s="268"/>
      <c r="Y379" s="268"/>
      <c r="Z379" s="268"/>
    </row>
    <row r="380" spans="1:26" ht="24.75" customHeight="1">
      <c r="A380" s="268"/>
      <c r="B380" s="268"/>
      <c r="C380" s="268"/>
      <c r="D380" s="268"/>
      <c r="E380" s="268"/>
      <c r="F380" s="268"/>
      <c r="G380" s="268"/>
      <c r="H380" s="268"/>
      <c r="I380" s="268"/>
      <c r="J380" s="268"/>
      <c r="K380" s="268"/>
      <c r="L380" s="268"/>
      <c r="M380" s="268"/>
      <c r="N380" s="268"/>
      <c r="O380" s="268"/>
      <c r="P380" s="310"/>
      <c r="Q380" s="268"/>
      <c r="R380" s="309"/>
      <c r="S380" s="268"/>
      <c r="T380" s="313"/>
      <c r="U380" s="313"/>
      <c r="V380" s="268"/>
      <c r="W380" s="268"/>
      <c r="X380" s="268"/>
      <c r="Y380" s="268"/>
      <c r="Z380" s="268"/>
    </row>
    <row r="381" spans="1:26" ht="24.75" customHeight="1">
      <c r="A381" s="268"/>
      <c r="B381" s="268"/>
      <c r="C381" s="268"/>
      <c r="D381" s="268"/>
      <c r="E381" s="268"/>
      <c r="F381" s="268"/>
      <c r="G381" s="268"/>
      <c r="H381" s="268"/>
      <c r="I381" s="268"/>
      <c r="J381" s="268"/>
      <c r="K381" s="268"/>
      <c r="L381" s="268"/>
      <c r="M381" s="268"/>
      <c r="N381" s="268"/>
      <c r="O381" s="268"/>
      <c r="P381" s="310"/>
      <c r="Q381" s="268"/>
      <c r="R381" s="309"/>
      <c r="S381" s="268"/>
      <c r="T381" s="313"/>
      <c r="U381" s="313"/>
      <c r="V381" s="268"/>
      <c r="W381" s="268"/>
      <c r="X381" s="268"/>
      <c r="Y381" s="268"/>
      <c r="Z381" s="268"/>
    </row>
    <row r="382" spans="1:26" ht="24.75" customHeight="1">
      <c r="A382" s="268"/>
      <c r="B382" s="268"/>
      <c r="C382" s="268"/>
      <c r="D382" s="268"/>
      <c r="E382" s="268"/>
      <c r="F382" s="268"/>
      <c r="G382" s="268"/>
      <c r="H382" s="268"/>
      <c r="I382" s="268"/>
      <c r="J382" s="268"/>
      <c r="K382" s="268"/>
      <c r="L382" s="268"/>
      <c r="M382" s="268"/>
      <c r="N382" s="268"/>
      <c r="O382" s="268"/>
      <c r="P382" s="310"/>
      <c r="Q382" s="268"/>
      <c r="R382" s="309"/>
      <c r="S382" s="268"/>
      <c r="T382" s="313"/>
      <c r="U382" s="313"/>
      <c r="V382" s="268"/>
      <c r="W382" s="268"/>
      <c r="X382" s="268"/>
      <c r="Y382" s="268"/>
      <c r="Z382" s="268"/>
    </row>
    <row r="383" spans="1:26" ht="24.75" customHeight="1">
      <c r="A383" s="268"/>
      <c r="B383" s="268"/>
      <c r="C383" s="268"/>
      <c r="D383" s="268"/>
      <c r="E383" s="268"/>
      <c r="F383" s="268"/>
      <c r="G383" s="268"/>
      <c r="H383" s="268"/>
      <c r="I383" s="268"/>
      <c r="J383" s="268"/>
      <c r="K383" s="268"/>
      <c r="L383" s="268"/>
      <c r="M383" s="268"/>
      <c r="N383" s="268"/>
      <c r="O383" s="268"/>
      <c r="P383" s="310"/>
      <c r="Q383" s="268"/>
      <c r="R383" s="309"/>
      <c r="S383" s="268"/>
      <c r="T383" s="313"/>
      <c r="U383" s="313"/>
      <c r="V383" s="268"/>
      <c r="W383" s="268"/>
      <c r="X383" s="268"/>
      <c r="Y383" s="268"/>
      <c r="Z383" s="268"/>
    </row>
    <row r="384" spans="1:26" ht="24.75" customHeight="1">
      <c r="A384" s="268"/>
      <c r="B384" s="268"/>
      <c r="C384" s="268"/>
      <c r="D384" s="268"/>
      <c r="E384" s="268"/>
      <c r="F384" s="268"/>
      <c r="G384" s="268"/>
      <c r="H384" s="268"/>
      <c r="I384" s="268"/>
      <c r="J384" s="268"/>
      <c r="K384" s="268"/>
      <c r="L384" s="268"/>
      <c r="M384" s="268"/>
      <c r="N384" s="268"/>
      <c r="O384" s="268"/>
      <c r="P384" s="310"/>
      <c r="Q384" s="268"/>
      <c r="R384" s="309"/>
      <c r="S384" s="268"/>
      <c r="T384" s="313"/>
      <c r="U384" s="313"/>
      <c r="V384" s="268"/>
      <c r="W384" s="268"/>
      <c r="X384" s="268"/>
      <c r="Y384" s="268"/>
      <c r="Z384" s="268"/>
    </row>
    <row r="385" spans="1:26" ht="24.75" customHeight="1">
      <c r="A385" s="268"/>
      <c r="B385" s="268"/>
      <c r="C385" s="268"/>
      <c r="D385" s="268"/>
      <c r="E385" s="268"/>
      <c r="F385" s="268"/>
      <c r="G385" s="268"/>
      <c r="H385" s="268"/>
      <c r="I385" s="268"/>
      <c r="J385" s="268"/>
      <c r="K385" s="268"/>
      <c r="L385" s="268"/>
      <c r="M385" s="268"/>
      <c r="N385" s="268"/>
      <c r="O385" s="268"/>
      <c r="P385" s="310"/>
      <c r="Q385" s="268"/>
      <c r="R385" s="309"/>
      <c r="S385" s="268"/>
      <c r="T385" s="313"/>
      <c r="U385" s="313"/>
      <c r="V385" s="268"/>
      <c r="W385" s="268"/>
      <c r="X385" s="268"/>
      <c r="Y385" s="268"/>
      <c r="Z385" s="268"/>
    </row>
    <row r="386" spans="1:26" ht="24.75" customHeight="1">
      <c r="A386" s="268"/>
      <c r="B386" s="268"/>
      <c r="C386" s="268"/>
      <c r="D386" s="268"/>
      <c r="E386" s="268"/>
      <c r="F386" s="268"/>
      <c r="G386" s="268"/>
      <c r="H386" s="268"/>
      <c r="I386" s="268"/>
      <c r="J386" s="268"/>
      <c r="K386" s="268"/>
      <c r="L386" s="268"/>
      <c r="M386" s="268"/>
      <c r="N386" s="268"/>
      <c r="O386" s="268"/>
      <c r="P386" s="310"/>
      <c r="Q386" s="268"/>
      <c r="R386" s="309"/>
      <c r="S386" s="268"/>
      <c r="T386" s="313"/>
      <c r="U386" s="313"/>
      <c r="V386" s="268"/>
      <c r="W386" s="268"/>
      <c r="X386" s="268"/>
      <c r="Y386" s="268"/>
      <c r="Z386" s="268"/>
    </row>
    <row r="387" spans="1:26" ht="24.75" customHeight="1">
      <c r="A387" s="268"/>
      <c r="B387" s="268"/>
      <c r="C387" s="268"/>
      <c r="D387" s="268"/>
      <c r="E387" s="268"/>
      <c r="F387" s="268"/>
      <c r="G387" s="268"/>
      <c r="H387" s="268"/>
      <c r="I387" s="268"/>
      <c r="J387" s="268"/>
      <c r="K387" s="268"/>
      <c r="L387" s="268"/>
      <c r="M387" s="268"/>
      <c r="N387" s="268"/>
      <c r="O387" s="268"/>
      <c r="P387" s="310"/>
      <c r="Q387" s="268"/>
      <c r="R387" s="309"/>
      <c r="S387" s="268"/>
      <c r="T387" s="313"/>
      <c r="U387" s="313"/>
      <c r="V387" s="268"/>
      <c r="W387" s="268"/>
      <c r="X387" s="268"/>
      <c r="Y387" s="268"/>
      <c r="Z387" s="268"/>
    </row>
    <row r="388" spans="1:26" ht="24.75" customHeight="1">
      <c r="A388" s="268"/>
      <c r="B388" s="268"/>
      <c r="C388" s="268"/>
      <c r="D388" s="268"/>
      <c r="E388" s="268"/>
      <c r="F388" s="268"/>
      <c r="G388" s="268"/>
      <c r="H388" s="268"/>
      <c r="I388" s="268"/>
      <c r="J388" s="268"/>
      <c r="K388" s="268"/>
      <c r="L388" s="268"/>
      <c r="M388" s="268"/>
      <c r="N388" s="268"/>
      <c r="O388" s="268"/>
      <c r="P388" s="310"/>
      <c r="Q388" s="268"/>
      <c r="R388" s="309"/>
      <c r="S388" s="268"/>
      <c r="T388" s="313"/>
      <c r="U388" s="313"/>
      <c r="V388" s="268"/>
      <c r="W388" s="268"/>
      <c r="X388" s="268"/>
      <c r="Y388" s="268"/>
      <c r="Z388" s="268"/>
    </row>
    <row r="389" spans="1:26" ht="24.75" customHeight="1">
      <c r="A389" s="268"/>
      <c r="B389" s="268"/>
      <c r="C389" s="268"/>
      <c r="D389" s="268"/>
      <c r="E389" s="268"/>
      <c r="F389" s="268"/>
      <c r="G389" s="268"/>
      <c r="H389" s="268"/>
      <c r="I389" s="268"/>
      <c r="J389" s="268"/>
      <c r="K389" s="268"/>
      <c r="L389" s="268"/>
      <c r="M389" s="268"/>
      <c r="N389" s="268"/>
      <c r="O389" s="268"/>
      <c r="P389" s="310"/>
      <c r="Q389" s="268"/>
      <c r="R389" s="309"/>
      <c r="S389" s="268"/>
      <c r="T389" s="313"/>
      <c r="U389" s="313"/>
      <c r="V389" s="268"/>
      <c r="W389" s="268"/>
      <c r="X389" s="268"/>
      <c r="Y389" s="268"/>
      <c r="Z389" s="268"/>
    </row>
    <row r="390" spans="1:26" ht="24.75" customHeight="1">
      <c r="A390" s="268"/>
      <c r="B390" s="268"/>
      <c r="C390" s="268"/>
      <c r="D390" s="268"/>
      <c r="E390" s="268"/>
      <c r="F390" s="268"/>
      <c r="G390" s="268"/>
      <c r="H390" s="268"/>
      <c r="I390" s="268"/>
      <c r="J390" s="268"/>
      <c r="K390" s="268"/>
      <c r="L390" s="268"/>
      <c r="M390" s="268"/>
      <c r="N390" s="268"/>
      <c r="O390" s="268"/>
      <c r="P390" s="310"/>
      <c r="Q390" s="268"/>
      <c r="R390" s="309"/>
      <c r="S390" s="268"/>
      <c r="T390" s="313"/>
      <c r="U390" s="313"/>
      <c r="V390" s="268"/>
      <c r="W390" s="268"/>
      <c r="X390" s="268"/>
      <c r="Y390" s="268"/>
      <c r="Z390" s="268"/>
    </row>
    <row r="391" spans="1:26" ht="24.75" customHeight="1">
      <c r="A391" s="268"/>
      <c r="B391" s="268"/>
      <c r="C391" s="268"/>
      <c r="D391" s="268"/>
      <c r="E391" s="268"/>
      <c r="F391" s="268"/>
      <c r="G391" s="268"/>
      <c r="H391" s="268"/>
      <c r="I391" s="268"/>
      <c r="J391" s="268"/>
      <c r="K391" s="268"/>
      <c r="L391" s="268"/>
      <c r="M391" s="268"/>
      <c r="N391" s="268"/>
      <c r="O391" s="268"/>
      <c r="P391" s="310"/>
      <c r="Q391" s="268"/>
      <c r="R391" s="309"/>
      <c r="S391" s="268"/>
      <c r="T391" s="313"/>
      <c r="U391" s="313"/>
      <c r="V391" s="268"/>
      <c r="W391" s="268"/>
      <c r="X391" s="268"/>
      <c r="Y391" s="268"/>
      <c r="Z391" s="268"/>
    </row>
    <row r="392" spans="1:26" ht="24.75" customHeight="1">
      <c r="A392" s="268"/>
      <c r="B392" s="268"/>
      <c r="C392" s="268"/>
      <c r="D392" s="268"/>
      <c r="E392" s="268"/>
      <c r="F392" s="268"/>
      <c r="G392" s="268"/>
      <c r="H392" s="268"/>
      <c r="I392" s="268"/>
      <c r="J392" s="268"/>
      <c r="K392" s="268"/>
      <c r="L392" s="268"/>
      <c r="M392" s="268"/>
      <c r="N392" s="268"/>
      <c r="O392" s="268"/>
      <c r="P392" s="310"/>
      <c r="Q392" s="268"/>
      <c r="R392" s="309"/>
      <c r="S392" s="268"/>
      <c r="T392" s="313"/>
      <c r="U392" s="313"/>
      <c r="V392" s="268"/>
      <c r="W392" s="268"/>
      <c r="X392" s="268"/>
      <c r="Y392" s="268"/>
      <c r="Z392" s="268"/>
    </row>
    <row r="393" spans="1:26" ht="24.75" customHeight="1">
      <c r="A393" s="268"/>
      <c r="B393" s="268"/>
      <c r="C393" s="268"/>
      <c r="D393" s="268"/>
      <c r="E393" s="268"/>
      <c r="F393" s="268"/>
      <c r="G393" s="268"/>
      <c r="H393" s="268"/>
      <c r="I393" s="268"/>
      <c r="J393" s="268"/>
      <c r="K393" s="268"/>
      <c r="L393" s="268"/>
      <c r="M393" s="268"/>
      <c r="N393" s="268"/>
      <c r="O393" s="268"/>
      <c r="P393" s="310"/>
      <c r="Q393" s="268"/>
      <c r="R393" s="309"/>
      <c r="S393" s="268"/>
      <c r="T393" s="313"/>
      <c r="U393" s="313"/>
      <c r="V393" s="268"/>
      <c r="W393" s="268"/>
      <c r="X393" s="268"/>
      <c r="Y393" s="268"/>
      <c r="Z393" s="268"/>
    </row>
    <row r="394" spans="1:26" ht="24.75" customHeight="1">
      <c r="A394" s="268"/>
      <c r="B394" s="268"/>
      <c r="C394" s="268"/>
      <c r="D394" s="268"/>
      <c r="E394" s="268"/>
      <c r="F394" s="268"/>
      <c r="G394" s="268"/>
      <c r="H394" s="268"/>
      <c r="I394" s="268"/>
      <c r="J394" s="268"/>
      <c r="K394" s="268"/>
      <c r="L394" s="268"/>
      <c r="M394" s="268"/>
      <c r="N394" s="268"/>
      <c r="O394" s="268"/>
      <c r="P394" s="310"/>
      <c r="Q394" s="268"/>
      <c r="R394" s="309"/>
      <c r="S394" s="268"/>
      <c r="T394" s="313"/>
      <c r="U394" s="313"/>
      <c r="V394" s="268"/>
      <c r="W394" s="268"/>
      <c r="X394" s="268"/>
      <c r="Y394" s="268"/>
      <c r="Z394" s="268"/>
    </row>
    <row r="395" spans="1:26" ht="24.75" customHeight="1">
      <c r="A395" s="268"/>
      <c r="B395" s="268"/>
      <c r="C395" s="268"/>
      <c r="D395" s="268"/>
      <c r="E395" s="268"/>
      <c r="F395" s="268"/>
      <c r="G395" s="268"/>
      <c r="H395" s="268"/>
      <c r="I395" s="268"/>
      <c r="J395" s="268"/>
      <c r="K395" s="268"/>
      <c r="L395" s="268"/>
      <c r="M395" s="268"/>
      <c r="N395" s="268"/>
      <c r="O395" s="268"/>
      <c r="P395" s="310"/>
      <c r="Q395" s="268"/>
      <c r="R395" s="309"/>
      <c r="S395" s="268"/>
      <c r="T395" s="313"/>
      <c r="U395" s="313"/>
      <c r="V395" s="268"/>
      <c r="W395" s="268"/>
      <c r="X395" s="268"/>
      <c r="Y395" s="268"/>
      <c r="Z395" s="268"/>
    </row>
    <row r="396" spans="1:26" ht="24.75" customHeight="1">
      <c r="A396" s="268"/>
      <c r="B396" s="268"/>
      <c r="C396" s="268"/>
      <c r="D396" s="268"/>
      <c r="E396" s="268"/>
      <c r="F396" s="268"/>
      <c r="G396" s="268"/>
      <c r="H396" s="268"/>
      <c r="I396" s="268"/>
      <c r="J396" s="268"/>
      <c r="K396" s="268"/>
      <c r="L396" s="268"/>
      <c r="M396" s="268"/>
      <c r="N396" s="268"/>
      <c r="O396" s="268"/>
      <c r="P396" s="310"/>
      <c r="Q396" s="268"/>
      <c r="R396" s="309"/>
      <c r="S396" s="268"/>
      <c r="T396" s="313"/>
      <c r="U396" s="313"/>
      <c r="V396" s="268"/>
      <c r="W396" s="268"/>
      <c r="X396" s="268"/>
      <c r="Y396" s="268"/>
      <c r="Z396" s="268"/>
    </row>
    <row r="397" spans="1:26" ht="24.75" customHeight="1">
      <c r="A397" s="268"/>
      <c r="B397" s="268"/>
      <c r="C397" s="268"/>
      <c r="D397" s="268"/>
      <c r="E397" s="268"/>
      <c r="F397" s="268"/>
      <c r="G397" s="268"/>
      <c r="H397" s="268"/>
      <c r="I397" s="268"/>
      <c r="J397" s="268"/>
      <c r="K397" s="268"/>
      <c r="L397" s="268"/>
      <c r="M397" s="268"/>
      <c r="N397" s="268"/>
      <c r="O397" s="268"/>
      <c r="P397" s="310"/>
      <c r="Q397" s="268"/>
      <c r="R397" s="309"/>
      <c r="S397" s="268"/>
      <c r="T397" s="313"/>
      <c r="U397" s="313"/>
      <c r="V397" s="268"/>
      <c r="W397" s="268"/>
      <c r="X397" s="268"/>
      <c r="Y397" s="268"/>
      <c r="Z397" s="268"/>
    </row>
    <row r="398" spans="1:26" ht="24.75" customHeight="1">
      <c r="A398" s="268"/>
      <c r="B398" s="268"/>
      <c r="C398" s="268"/>
      <c r="D398" s="268"/>
      <c r="E398" s="268"/>
      <c r="F398" s="268"/>
      <c r="G398" s="268"/>
      <c r="H398" s="268"/>
      <c r="I398" s="268"/>
      <c r="J398" s="268"/>
      <c r="K398" s="268"/>
      <c r="L398" s="268"/>
      <c r="M398" s="268"/>
      <c r="N398" s="268"/>
      <c r="O398" s="268"/>
      <c r="P398" s="310"/>
      <c r="Q398" s="268"/>
      <c r="R398" s="309"/>
      <c r="S398" s="268"/>
      <c r="T398" s="313"/>
      <c r="U398" s="313"/>
      <c r="V398" s="268"/>
      <c r="W398" s="268"/>
      <c r="X398" s="268"/>
      <c r="Y398" s="268"/>
      <c r="Z398" s="268"/>
    </row>
    <row r="399" spans="1:26" ht="24.75" customHeight="1">
      <c r="A399" s="268"/>
      <c r="B399" s="268"/>
      <c r="C399" s="268"/>
      <c r="D399" s="268"/>
      <c r="E399" s="268"/>
      <c r="F399" s="268"/>
      <c r="G399" s="268"/>
      <c r="H399" s="268"/>
      <c r="I399" s="268"/>
      <c r="J399" s="268"/>
      <c r="K399" s="268"/>
      <c r="L399" s="268"/>
      <c r="M399" s="268"/>
      <c r="N399" s="268"/>
      <c r="O399" s="268"/>
      <c r="P399" s="310"/>
      <c r="Q399" s="268"/>
      <c r="R399" s="309"/>
      <c r="S399" s="268"/>
      <c r="T399" s="313"/>
      <c r="U399" s="313"/>
      <c r="V399" s="268"/>
      <c r="W399" s="268"/>
      <c r="X399" s="268"/>
      <c r="Y399" s="268"/>
      <c r="Z399" s="268"/>
    </row>
    <row r="400" spans="1:26" ht="24.75" customHeight="1">
      <c r="A400" s="268"/>
      <c r="B400" s="268"/>
      <c r="C400" s="268"/>
      <c r="D400" s="268"/>
      <c r="E400" s="268"/>
      <c r="F400" s="268"/>
      <c r="G400" s="268"/>
      <c r="H400" s="268"/>
      <c r="I400" s="268"/>
      <c r="J400" s="268"/>
      <c r="K400" s="268"/>
      <c r="L400" s="268"/>
      <c r="M400" s="268"/>
      <c r="N400" s="268"/>
      <c r="O400" s="268"/>
      <c r="P400" s="310"/>
      <c r="Q400" s="268"/>
      <c r="R400" s="309"/>
      <c r="S400" s="268"/>
      <c r="T400" s="313"/>
      <c r="U400" s="313"/>
      <c r="V400" s="268"/>
      <c r="W400" s="268"/>
      <c r="X400" s="268"/>
      <c r="Y400" s="268"/>
      <c r="Z400" s="268"/>
    </row>
    <row r="401" spans="1:26" ht="24.75" customHeight="1">
      <c r="A401" s="268"/>
      <c r="B401" s="268"/>
      <c r="C401" s="268"/>
      <c r="D401" s="268"/>
      <c r="E401" s="268"/>
      <c r="F401" s="268"/>
      <c r="G401" s="268"/>
      <c r="H401" s="268"/>
      <c r="I401" s="268"/>
      <c r="J401" s="268"/>
      <c r="K401" s="268"/>
      <c r="L401" s="268"/>
      <c r="M401" s="268"/>
      <c r="N401" s="268"/>
      <c r="O401" s="268"/>
      <c r="P401" s="310"/>
      <c r="Q401" s="268"/>
      <c r="R401" s="309"/>
      <c r="S401" s="268"/>
      <c r="T401" s="313"/>
      <c r="U401" s="313"/>
      <c r="V401" s="268"/>
      <c r="W401" s="268"/>
      <c r="X401" s="268"/>
      <c r="Y401" s="268"/>
      <c r="Z401" s="268"/>
    </row>
    <row r="402" spans="1:26" ht="24.75" customHeight="1">
      <c r="A402" s="268"/>
      <c r="B402" s="268"/>
      <c r="C402" s="268"/>
      <c r="D402" s="268"/>
      <c r="E402" s="268"/>
      <c r="F402" s="268"/>
      <c r="G402" s="268"/>
      <c r="H402" s="268"/>
      <c r="I402" s="268"/>
      <c r="J402" s="268"/>
      <c r="K402" s="268"/>
      <c r="L402" s="268"/>
      <c r="M402" s="268"/>
      <c r="N402" s="268"/>
      <c r="O402" s="268"/>
      <c r="P402" s="310"/>
      <c r="Q402" s="268"/>
      <c r="R402" s="309"/>
      <c r="S402" s="268"/>
      <c r="T402" s="313"/>
      <c r="U402" s="313"/>
      <c r="V402" s="268"/>
      <c r="W402" s="268"/>
      <c r="X402" s="268"/>
      <c r="Y402" s="268"/>
      <c r="Z402" s="268"/>
    </row>
    <row r="403" spans="1:26" ht="24.75" customHeight="1">
      <c r="A403" s="268"/>
      <c r="B403" s="268"/>
      <c r="C403" s="268"/>
      <c r="D403" s="268"/>
      <c r="E403" s="268"/>
      <c r="F403" s="268"/>
      <c r="G403" s="268"/>
      <c r="H403" s="268"/>
      <c r="I403" s="268"/>
      <c r="J403" s="268"/>
      <c r="K403" s="268"/>
      <c r="L403" s="268"/>
      <c r="M403" s="268"/>
      <c r="N403" s="268"/>
      <c r="O403" s="268"/>
      <c r="P403" s="310"/>
      <c r="Q403" s="268"/>
      <c r="R403" s="309"/>
      <c r="S403" s="268"/>
      <c r="T403" s="313"/>
      <c r="U403" s="313"/>
      <c r="V403" s="268"/>
      <c r="W403" s="268"/>
      <c r="X403" s="268"/>
      <c r="Y403" s="268"/>
      <c r="Z403" s="268"/>
    </row>
    <row r="404" spans="1:26" ht="24.75" customHeight="1">
      <c r="A404" s="268"/>
      <c r="B404" s="268"/>
      <c r="C404" s="268"/>
      <c r="D404" s="268"/>
      <c r="E404" s="268"/>
      <c r="F404" s="268"/>
      <c r="G404" s="268"/>
      <c r="H404" s="268"/>
      <c r="I404" s="268"/>
      <c r="J404" s="268"/>
      <c r="K404" s="268"/>
      <c r="L404" s="268"/>
      <c r="M404" s="268"/>
      <c r="N404" s="268"/>
      <c r="O404" s="268"/>
      <c r="P404" s="310"/>
      <c r="Q404" s="268"/>
      <c r="R404" s="309"/>
      <c r="S404" s="268"/>
      <c r="T404" s="313"/>
      <c r="U404" s="313"/>
      <c r="V404" s="268"/>
      <c r="W404" s="268"/>
      <c r="X404" s="268"/>
      <c r="Y404" s="268"/>
      <c r="Z404" s="268"/>
    </row>
    <row r="405" spans="1:26" ht="24.75" customHeight="1">
      <c r="A405" s="268"/>
      <c r="B405" s="268"/>
      <c r="C405" s="268"/>
      <c r="D405" s="268"/>
      <c r="E405" s="268"/>
      <c r="F405" s="268"/>
      <c r="G405" s="268"/>
      <c r="H405" s="268"/>
      <c r="I405" s="268"/>
      <c r="J405" s="268"/>
      <c r="K405" s="268"/>
      <c r="L405" s="268"/>
      <c r="M405" s="268"/>
      <c r="N405" s="268"/>
      <c r="O405" s="268"/>
      <c r="P405" s="310"/>
      <c r="Q405" s="268"/>
      <c r="R405" s="309"/>
      <c r="S405" s="268"/>
      <c r="T405" s="313"/>
      <c r="U405" s="313"/>
      <c r="V405" s="268"/>
      <c r="W405" s="268"/>
      <c r="X405" s="268"/>
      <c r="Y405" s="268"/>
      <c r="Z405" s="268"/>
    </row>
    <row r="406" spans="1:26" ht="24.75" customHeight="1">
      <c r="A406" s="268"/>
      <c r="B406" s="268"/>
      <c r="C406" s="268"/>
      <c r="D406" s="268"/>
      <c r="E406" s="268"/>
      <c r="F406" s="268"/>
      <c r="G406" s="268"/>
      <c r="H406" s="268"/>
      <c r="I406" s="268"/>
      <c r="J406" s="268"/>
      <c r="K406" s="268"/>
      <c r="L406" s="268"/>
      <c r="M406" s="268"/>
      <c r="N406" s="268"/>
      <c r="O406" s="268"/>
      <c r="P406" s="310"/>
      <c r="Q406" s="268"/>
      <c r="R406" s="309"/>
      <c r="S406" s="268"/>
      <c r="T406" s="313"/>
      <c r="U406" s="313"/>
      <c r="V406" s="268"/>
      <c r="W406" s="268"/>
      <c r="X406" s="268"/>
      <c r="Y406" s="268"/>
      <c r="Z406" s="268"/>
    </row>
    <row r="407" spans="1:26" ht="24.75" customHeight="1">
      <c r="A407" s="268"/>
      <c r="B407" s="268"/>
      <c r="C407" s="268"/>
      <c r="D407" s="268"/>
      <c r="E407" s="268"/>
      <c r="F407" s="268"/>
      <c r="G407" s="268"/>
      <c r="H407" s="268"/>
      <c r="I407" s="268"/>
      <c r="J407" s="268"/>
      <c r="K407" s="268"/>
      <c r="L407" s="268"/>
      <c r="M407" s="268"/>
      <c r="N407" s="268"/>
      <c r="O407" s="268"/>
      <c r="P407" s="310"/>
      <c r="Q407" s="268"/>
      <c r="R407" s="309"/>
      <c r="S407" s="268"/>
      <c r="T407" s="313"/>
      <c r="U407" s="313"/>
      <c r="V407" s="268"/>
      <c r="W407" s="268"/>
      <c r="X407" s="268"/>
      <c r="Y407" s="268"/>
      <c r="Z407" s="268"/>
    </row>
    <row r="408" spans="1:26" ht="24.75" customHeight="1">
      <c r="A408" s="268"/>
      <c r="B408" s="268"/>
      <c r="C408" s="268"/>
      <c r="D408" s="268"/>
      <c r="E408" s="268"/>
      <c r="F408" s="268"/>
      <c r="G408" s="268"/>
      <c r="H408" s="268"/>
      <c r="I408" s="268"/>
      <c r="J408" s="268"/>
      <c r="K408" s="268"/>
      <c r="L408" s="268"/>
      <c r="M408" s="268"/>
      <c r="N408" s="268"/>
      <c r="O408" s="268"/>
      <c r="P408" s="310"/>
      <c r="Q408" s="268"/>
      <c r="R408" s="309"/>
      <c r="S408" s="268"/>
      <c r="T408" s="313"/>
      <c r="U408" s="313"/>
      <c r="V408" s="268"/>
      <c r="W408" s="268"/>
      <c r="X408" s="268"/>
      <c r="Y408" s="268"/>
      <c r="Z408" s="268"/>
    </row>
    <row r="409" spans="1:26" ht="24.75" customHeight="1">
      <c r="A409" s="268"/>
      <c r="B409" s="268"/>
      <c r="C409" s="268"/>
      <c r="D409" s="268"/>
      <c r="E409" s="268"/>
      <c r="F409" s="268"/>
      <c r="G409" s="268"/>
      <c r="H409" s="268"/>
      <c r="I409" s="268"/>
      <c r="J409" s="268"/>
      <c r="K409" s="268"/>
      <c r="L409" s="268"/>
      <c r="M409" s="268"/>
      <c r="N409" s="268"/>
      <c r="O409" s="268"/>
      <c r="P409" s="310"/>
      <c r="Q409" s="268"/>
      <c r="R409" s="309"/>
      <c r="S409" s="268"/>
      <c r="T409" s="313"/>
      <c r="U409" s="313"/>
      <c r="V409" s="268"/>
      <c r="W409" s="268"/>
      <c r="X409" s="268"/>
      <c r="Y409" s="268"/>
      <c r="Z409" s="268"/>
    </row>
    <row r="410" spans="1:26" ht="24.75" customHeight="1">
      <c r="A410" s="268"/>
      <c r="B410" s="268"/>
      <c r="C410" s="268"/>
      <c r="D410" s="268"/>
      <c r="E410" s="268"/>
      <c r="F410" s="268"/>
      <c r="G410" s="268"/>
      <c r="H410" s="268"/>
      <c r="I410" s="268"/>
      <c r="J410" s="268"/>
      <c r="K410" s="268"/>
      <c r="L410" s="268"/>
      <c r="M410" s="268"/>
      <c r="N410" s="268"/>
      <c r="O410" s="268"/>
      <c r="P410" s="310"/>
      <c r="Q410" s="268"/>
      <c r="R410" s="309"/>
      <c r="S410" s="268"/>
      <c r="T410" s="313"/>
      <c r="U410" s="313"/>
      <c r="V410" s="268"/>
      <c r="W410" s="268"/>
      <c r="X410" s="268"/>
      <c r="Y410" s="268"/>
      <c r="Z410" s="268"/>
    </row>
    <row r="411" spans="1:26" ht="24.75" customHeight="1">
      <c r="A411" s="268"/>
      <c r="B411" s="268"/>
      <c r="C411" s="268"/>
      <c r="D411" s="268"/>
      <c r="E411" s="268"/>
      <c r="F411" s="268"/>
      <c r="G411" s="268"/>
      <c r="H411" s="268"/>
      <c r="I411" s="268"/>
      <c r="J411" s="268"/>
      <c r="K411" s="268"/>
      <c r="L411" s="268"/>
      <c r="M411" s="268"/>
      <c r="N411" s="268"/>
      <c r="O411" s="268"/>
      <c r="P411" s="310"/>
      <c r="Q411" s="268"/>
      <c r="R411" s="309"/>
      <c r="S411" s="268"/>
      <c r="T411" s="313"/>
      <c r="U411" s="313"/>
      <c r="V411" s="268"/>
      <c r="W411" s="268"/>
      <c r="X411" s="268"/>
      <c r="Y411" s="268"/>
      <c r="Z411" s="268"/>
    </row>
    <row r="412" spans="1:26" ht="24.75" customHeight="1">
      <c r="A412" s="268"/>
      <c r="B412" s="268"/>
      <c r="C412" s="268"/>
      <c r="D412" s="268"/>
      <c r="E412" s="268"/>
      <c r="F412" s="268"/>
      <c r="G412" s="268"/>
      <c r="H412" s="268"/>
      <c r="I412" s="268"/>
      <c r="J412" s="268"/>
      <c r="K412" s="268"/>
      <c r="L412" s="268"/>
      <c r="M412" s="268"/>
      <c r="N412" s="268"/>
      <c r="O412" s="268"/>
      <c r="P412" s="310"/>
      <c r="Q412" s="268"/>
      <c r="R412" s="309"/>
      <c r="S412" s="268"/>
      <c r="T412" s="313"/>
      <c r="U412" s="313"/>
      <c r="V412" s="268"/>
      <c r="W412" s="268"/>
      <c r="X412" s="268"/>
      <c r="Y412" s="268"/>
      <c r="Z412" s="268"/>
    </row>
    <row r="413" spans="1:26" ht="24.75" customHeight="1">
      <c r="A413" s="268"/>
      <c r="B413" s="268"/>
      <c r="C413" s="268"/>
      <c r="D413" s="268"/>
      <c r="E413" s="268"/>
      <c r="F413" s="268"/>
      <c r="G413" s="268"/>
      <c r="H413" s="268"/>
      <c r="I413" s="268"/>
      <c r="J413" s="268"/>
      <c r="K413" s="268"/>
      <c r="L413" s="268"/>
      <c r="M413" s="268"/>
      <c r="N413" s="268"/>
      <c r="O413" s="268"/>
      <c r="P413" s="310"/>
      <c r="Q413" s="268"/>
      <c r="R413" s="309"/>
      <c r="S413" s="268"/>
      <c r="T413" s="313"/>
      <c r="U413" s="313"/>
      <c r="V413" s="268"/>
      <c r="W413" s="268"/>
      <c r="X413" s="268"/>
      <c r="Y413" s="268"/>
      <c r="Z413" s="268"/>
    </row>
    <row r="414" spans="1:26" ht="24.75" customHeight="1">
      <c r="A414" s="268"/>
      <c r="B414" s="268"/>
      <c r="C414" s="268"/>
      <c r="D414" s="268"/>
      <c r="E414" s="268"/>
      <c r="F414" s="268"/>
      <c r="G414" s="268"/>
      <c r="H414" s="268"/>
      <c r="I414" s="268"/>
      <c r="J414" s="268"/>
      <c r="K414" s="268"/>
      <c r="L414" s="268"/>
      <c r="M414" s="268"/>
      <c r="N414" s="268"/>
      <c r="O414" s="268"/>
      <c r="P414" s="310"/>
      <c r="Q414" s="268"/>
      <c r="R414" s="309"/>
      <c r="S414" s="268"/>
      <c r="T414" s="313"/>
      <c r="U414" s="313"/>
      <c r="V414" s="268"/>
      <c r="W414" s="268"/>
      <c r="X414" s="268"/>
      <c r="Y414" s="268"/>
      <c r="Z414" s="268"/>
    </row>
    <row r="415" spans="1:26" ht="24.75" customHeight="1">
      <c r="A415" s="268"/>
      <c r="B415" s="268"/>
      <c r="C415" s="268"/>
      <c r="D415" s="268"/>
      <c r="E415" s="268"/>
      <c r="F415" s="268"/>
      <c r="G415" s="268"/>
      <c r="H415" s="268"/>
      <c r="I415" s="268"/>
      <c r="J415" s="268"/>
      <c r="K415" s="268"/>
      <c r="L415" s="268"/>
      <c r="M415" s="268"/>
      <c r="N415" s="268"/>
      <c r="O415" s="268"/>
      <c r="P415" s="310"/>
      <c r="Q415" s="268"/>
      <c r="R415" s="309"/>
      <c r="S415" s="268"/>
      <c r="T415" s="313"/>
      <c r="U415" s="313"/>
      <c r="V415" s="268"/>
      <c r="W415" s="268"/>
      <c r="X415" s="268"/>
      <c r="Y415" s="268"/>
      <c r="Z415" s="268"/>
    </row>
    <row r="416" spans="1:26" ht="24.75" customHeight="1">
      <c r="A416" s="268"/>
      <c r="B416" s="268"/>
      <c r="C416" s="268"/>
      <c r="D416" s="268"/>
      <c r="E416" s="268"/>
      <c r="F416" s="268"/>
      <c r="G416" s="268"/>
      <c r="H416" s="268"/>
      <c r="I416" s="268"/>
      <c r="J416" s="268"/>
      <c r="K416" s="268"/>
      <c r="L416" s="268"/>
      <c r="M416" s="268"/>
      <c r="N416" s="268"/>
      <c r="O416" s="268"/>
      <c r="P416" s="310"/>
      <c r="Q416" s="268"/>
      <c r="R416" s="309"/>
      <c r="S416" s="268"/>
      <c r="T416" s="313"/>
      <c r="U416" s="313"/>
      <c r="V416" s="268"/>
      <c r="W416" s="268"/>
      <c r="X416" s="268"/>
      <c r="Y416" s="268"/>
      <c r="Z416" s="268"/>
    </row>
    <row r="417" spans="1:26" ht="24.75" customHeight="1">
      <c r="A417" s="268"/>
      <c r="B417" s="268"/>
      <c r="C417" s="268"/>
      <c r="D417" s="268"/>
      <c r="E417" s="268"/>
      <c r="F417" s="268"/>
      <c r="G417" s="268"/>
      <c r="H417" s="268"/>
      <c r="I417" s="268"/>
      <c r="J417" s="268"/>
      <c r="K417" s="268"/>
      <c r="L417" s="268"/>
      <c r="M417" s="268"/>
      <c r="N417" s="268"/>
      <c r="O417" s="268"/>
      <c r="P417" s="310"/>
      <c r="Q417" s="268"/>
      <c r="R417" s="309"/>
      <c r="S417" s="268"/>
      <c r="T417" s="313"/>
      <c r="U417" s="313"/>
      <c r="V417" s="268"/>
      <c r="W417" s="268"/>
      <c r="X417" s="268"/>
      <c r="Y417" s="268"/>
      <c r="Z417" s="268"/>
    </row>
    <row r="418" spans="1:26" ht="24.75" customHeight="1">
      <c r="A418" s="268"/>
      <c r="B418" s="268"/>
      <c r="C418" s="268"/>
      <c r="D418" s="268"/>
      <c r="E418" s="268"/>
      <c r="F418" s="268"/>
      <c r="G418" s="268"/>
      <c r="H418" s="268"/>
      <c r="I418" s="268"/>
      <c r="J418" s="268"/>
      <c r="K418" s="268"/>
      <c r="L418" s="268"/>
      <c r="M418" s="268"/>
      <c r="N418" s="268"/>
      <c r="O418" s="268"/>
      <c r="P418" s="310"/>
      <c r="Q418" s="268"/>
      <c r="R418" s="309"/>
      <c r="S418" s="268"/>
      <c r="T418" s="313"/>
      <c r="U418" s="313"/>
      <c r="V418" s="268"/>
      <c r="W418" s="268"/>
      <c r="X418" s="268"/>
      <c r="Y418" s="268"/>
      <c r="Z418" s="268"/>
    </row>
    <row r="419" spans="1:26" ht="24.75" customHeight="1">
      <c r="A419" s="268"/>
      <c r="B419" s="268"/>
      <c r="C419" s="268"/>
      <c r="D419" s="268"/>
      <c r="E419" s="268"/>
      <c r="F419" s="268"/>
      <c r="G419" s="268"/>
      <c r="H419" s="268"/>
      <c r="I419" s="268"/>
      <c r="J419" s="268"/>
      <c r="K419" s="268"/>
      <c r="L419" s="268"/>
      <c r="M419" s="268"/>
      <c r="N419" s="268"/>
      <c r="O419" s="268"/>
      <c r="P419" s="310"/>
      <c r="Q419" s="268"/>
      <c r="R419" s="309"/>
      <c r="S419" s="268"/>
      <c r="T419" s="313"/>
      <c r="U419" s="313"/>
      <c r="V419" s="268"/>
      <c r="W419" s="268"/>
      <c r="X419" s="268"/>
      <c r="Y419" s="268"/>
      <c r="Z419" s="268"/>
    </row>
    <row r="420" spans="1:26" ht="24.75" customHeight="1">
      <c r="A420" s="268"/>
      <c r="B420" s="268"/>
      <c r="C420" s="268"/>
      <c r="D420" s="268"/>
      <c r="E420" s="268"/>
      <c r="F420" s="268"/>
      <c r="G420" s="268"/>
      <c r="H420" s="268"/>
      <c r="I420" s="268"/>
      <c r="J420" s="268"/>
      <c r="K420" s="268"/>
      <c r="L420" s="268"/>
      <c r="M420" s="268"/>
      <c r="N420" s="268"/>
      <c r="O420" s="268"/>
      <c r="P420" s="310"/>
      <c r="Q420" s="268"/>
      <c r="R420" s="309"/>
      <c r="S420" s="268"/>
      <c r="T420" s="313"/>
      <c r="U420" s="313"/>
      <c r="V420" s="268"/>
      <c r="W420" s="268"/>
      <c r="X420" s="268"/>
      <c r="Y420" s="268"/>
      <c r="Z420" s="268"/>
    </row>
    <row r="421" spans="1:26" ht="24.75" customHeight="1">
      <c r="A421" s="268"/>
      <c r="B421" s="268"/>
      <c r="C421" s="268"/>
      <c r="D421" s="268"/>
      <c r="E421" s="268"/>
      <c r="F421" s="268"/>
      <c r="G421" s="268"/>
      <c r="H421" s="268"/>
      <c r="I421" s="268"/>
      <c r="J421" s="268"/>
      <c r="K421" s="268"/>
      <c r="L421" s="268"/>
      <c r="M421" s="268"/>
      <c r="N421" s="268"/>
      <c r="O421" s="268"/>
      <c r="P421" s="310"/>
      <c r="Q421" s="268"/>
      <c r="R421" s="309"/>
      <c r="S421" s="268"/>
      <c r="T421" s="313"/>
      <c r="U421" s="313"/>
      <c r="V421" s="268"/>
      <c r="W421" s="268"/>
      <c r="X421" s="268"/>
      <c r="Y421" s="268"/>
      <c r="Z421" s="268"/>
    </row>
    <row r="422" spans="1:26" ht="24.75" customHeight="1">
      <c r="A422" s="268"/>
      <c r="B422" s="268"/>
      <c r="C422" s="268"/>
      <c r="D422" s="268"/>
      <c r="E422" s="268"/>
      <c r="F422" s="268"/>
      <c r="G422" s="268"/>
      <c r="H422" s="268"/>
      <c r="I422" s="268"/>
      <c r="J422" s="268"/>
      <c r="K422" s="268"/>
      <c r="L422" s="268"/>
      <c r="M422" s="268"/>
      <c r="N422" s="268"/>
      <c r="O422" s="268"/>
      <c r="P422" s="310"/>
      <c r="Q422" s="268"/>
      <c r="R422" s="309"/>
      <c r="S422" s="268"/>
      <c r="T422" s="313"/>
      <c r="U422" s="313"/>
      <c r="V422" s="268"/>
      <c r="W422" s="268"/>
      <c r="X422" s="268"/>
      <c r="Y422" s="268"/>
      <c r="Z422" s="268"/>
    </row>
    <row r="423" spans="1:26" ht="24.75" customHeight="1">
      <c r="A423" s="268"/>
      <c r="B423" s="268"/>
      <c r="C423" s="268"/>
      <c r="D423" s="268"/>
      <c r="E423" s="268"/>
      <c r="F423" s="268"/>
      <c r="G423" s="268"/>
      <c r="H423" s="268"/>
      <c r="I423" s="268"/>
      <c r="J423" s="268"/>
      <c r="K423" s="268"/>
      <c r="L423" s="268"/>
      <c r="M423" s="268"/>
      <c r="N423" s="268"/>
      <c r="O423" s="268"/>
      <c r="P423" s="310"/>
      <c r="Q423" s="268"/>
      <c r="R423" s="309"/>
      <c r="S423" s="268"/>
      <c r="T423" s="313"/>
      <c r="U423" s="313"/>
      <c r="V423" s="268"/>
      <c r="W423" s="268"/>
      <c r="X423" s="268"/>
      <c r="Y423" s="268"/>
      <c r="Z423" s="268"/>
    </row>
    <row r="424" spans="1:26" ht="24.75" customHeight="1">
      <c r="A424" s="268"/>
      <c r="B424" s="268"/>
      <c r="C424" s="268"/>
      <c r="D424" s="268"/>
      <c r="E424" s="268"/>
      <c r="F424" s="268"/>
      <c r="G424" s="268"/>
      <c r="H424" s="268"/>
      <c r="I424" s="268"/>
      <c r="J424" s="268"/>
      <c r="K424" s="268"/>
      <c r="L424" s="268"/>
      <c r="M424" s="268"/>
      <c r="N424" s="268"/>
      <c r="O424" s="268"/>
      <c r="P424" s="310"/>
      <c r="Q424" s="268"/>
      <c r="R424" s="309"/>
      <c r="S424" s="268"/>
      <c r="T424" s="313"/>
      <c r="U424" s="313"/>
      <c r="V424" s="268"/>
      <c r="W424" s="268"/>
      <c r="X424" s="268"/>
      <c r="Y424" s="268"/>
      <c r="Z424" s="268"/>
    </row>
    <row r="425" spans="1:26" ht="24.75" customHeight="1">
      <c r="A425" s="268"/>
      <c r="B425" s="268"/>
      <c r="C425" s="268"/>
      <c r="D425" s="268"/>
      <c r="E425" s="268"/>
      <c r="F425" s="268"/>
      <c r="G425" s="268"/>
      <c r="H425" s="268"/>
      <c r="I425" s="268"/>
      <c r="J425" s="268"/>
      <c r="K425" s="268"/>
      <c r="L425" s="268"/>
      <c r="M425" s="268"/>
      <c r="N425" s="268"/>
      <c r="O425" s="268"/>
      <c r="P425" s="310"/>
      <c r="Q425" s="268"/>
      <c r="R425" s="309"/>
      <c r="S425" s="268"/>
      <c r="T425" s="313"/>
      <c r="U425" s="313"/>
      <c r="V425" s="268"/>
      <c r="W425" s="268"/>
      <c r="X425" s="268"/>
      <c r="Y425" s="268"/>
      <c r="Z425" s="268"/>
    </row>
    <row r="426" spans="1:26" ht="24.75" customHeight="1">
      <c r="A426" s="268"/>
      <c r="B426" s="268"/>
      <c r="C426" s="268"/>
      <c r="D426" s="268"/>
      <c r="E426" s="268"/>
      <c r="F426" s="268"/>
      <c r="G426" s="268"/>
      <c r="H426" s="268"/>
      <c r="I426" s="268"/>
      <c r="J426" s="268"/>
      <c r="K426" s="268"/>
      <c r="L426" s="268"/>
      <c r="M426" s="268"/>
      <c r="N426" s="268"/>
      <c r="O426" s="268"/>
      <c r="P426" s="310"/>
      <c r="Q426" s="268"/>
      <c r="R426" s="309"/>
      <c r="S426" s="268"/>
      <c r="T426" s="313"/>
      <c r="U426" s="313"/>
      <c r="V426" s="268"/>
      <c r="W426" s="268"/>
      <c r="X426" s="268"/>
      <c r="Y426" s="268"/>
      <c r="Z426" s="268"/>
    </row>
    <row r="427" spans="1:26" ht="24.75" customHeight="1">
      <c r="A427" s="268"/>
      <c r="B427" s="268"/>
      <c r="C427" s="268"/>
      <c r="D427" s="268"/>
      <c r="E427" s="268"/>
      <c r="F427" s="268"/>
      <c r="G427" s="268"/>
      <c r="H427" s="268"/>
      <c r="I427" s="268"/>
      <c r="J427" s="268"/>
      <c r="K427" s="268"/>
      <c r="L427" s="268"/>
      <c r="M427" s="268"/>
      <c r="N427" s="268"/>
      <c r="O427" s="268"/>
      <c r="P427" s="310"/>
      <c r="Q427" s="268"/>
      <c r="R427" s="309"/>
      <c r="S427" s="268"/>
      <c r="T427" s="313"/>
      <c r="U427" s="313"/>
      <c r="V427" s="268"/>
      <c r="W427" s="268"/>
      <c r="X427" s="268"/>
      <c r="Y427" s="268"/>
      <c r="Z427" s="268"/>
    </row>
    <row r="428" spans="1:26" ht="24.75" customHeight="1">
      <c r="A428" s="268"/>
      <c r="B428" s="268"/>
      <c r="C428" s="268"/>
      <c r="D428" s="268"/>
      <c r="E428" s="268"/>
      <c r="F428" s="268"/>
      <c r="G428" s="268"/>
      <c r="H428" s="268"/>
      <c r="I428" s="268"/>
      <c r="J428" s="268"/>
      <c r="K428" s="268"/>
      <c r="L428" s="268"/>
      <c r="M428" s="268"/>
      <c r="N428" s="268"/>
      <c r="O428" s="268"/>
      <c r="P428" s="310"/>
      <c r="Q428" s="268"/>
      <c r="R428" s="309"/>
      <c r="S428" s="268"/>
      <c r="T428" s="313"/>
      <c r="U428" s="313"/>
      <c r="V428" s="268"/>
      <c r="W428" s="268"/>
      <c r="X428" s="268"/>
      <c r="Y428" s="268"/>
      <c r="Z428" s="268"/>
    </row>
    <row r="429" spans="1:26" ht="24.75" customHeight="1">
      <c r="A429" s="268"/>
      <c r="B429" s="268"/>
      <c r="C429" s="268"/>
      <c r="D429" s="268"/>
      <c r="E429" s="268"/>
      <c r="F429" s="268"/>
      <c r="G429" s="268"/>
      <c r="H429" s="268"/>
      <c r="I429" s="268"/>
      <c r="J429" s="268"/>
      <c r="K429" s="268"/>
      <c r="L429" s="268"/>
      <c r="M429" s="268"/>
      <c r="N429" s="268"/>
      <c r="O429" s="268"/>
      <c r="P429" s="310"/>
      <c r="Q429" s="268"/>
      <c r="R429" s="309"/>
      <c r="S429" s="268"/>
      <c r="T429" s="313"/>
      <c r="U429" s="313"/>
      <c r="V429" s="268"/>
      <c r="W429" s="268"/>
      <c r="X429" s="268"/>
      <c r="Y429" s="268"/>
      <c r="Z429" s="268"/>
    </row>
    <row r="430" spans="1:26" ht="24.75" customHeight="1">
      <c r="A430" s="268"/>
      <c r="B430" s="268"/>
      <c r="C430" s="268"/>
      <c r="D430" s="268"/>
      <c r="E430" s="268"/>
      <c r="F430" s="268"/>
      <c r="G430" s="268"/>
      <c r="H430" s="268"/>
      <c r="I430" s="268"/>
      <c r="J430" s="268"/>
      <c r="K430" s="268"/>
      <c r="L430" s="268"/>
      <c r="M430" s="268"/>
      <c r="N430" s="268"/>
      <c r="O430" s="268"/>
      <c r="P430" s="310"/>
      <c r="Q430" s="268"/>
      <c r="R430" s="309"/>
      <c r="S430" s="268"/>
      <c r="T430" s="313"/>
      <c r="U430" s="313"/>
      <c r="V430" s="268"/>
      <c r="W430" s="268"/>
      <c r="X430" s="268"/>
      <c r="Y430" s="268"/>
      <c r="Z430" s="268"/>
    </row>
    <row r="431" spans="1:26" ht="24.75" customHeight="1">
      <c r="A431" s="268"/>
      <c r="B431" s="268"/>
      <c r="C431" s="268"/>
      <c r="D431" s="268"/>
      <c r="E431" s="268"/>
      <c r="F431" s="268"/>
      <c r="G431" s="268"/>
      <c r="H431" s="268"/>
      <c r="I431" s="268"/>
      <c r="J431" s="268"/>
      <c r="K431" s="268"/>
      <c r="L431" s="268"/>
      <c r="M431" s="268"/>
      <c r="N431" s="268"/>
      <c r="O431" s="268"/>
      <c r="P431" s="310"/>
      <c r="Q431" s="268"/>
      <c r="R431" s="309"/>
      <c r="S431" s="268"/>
      <c r="T431" s="313"/>
      <c r="U431" s="313"/>
      <c r="V431" s="268"/>
      <c r="W431" s="268"/>
      <c r="X431" s="268"/>
      <c r="Y431" s="268"/>
      <c r="Z431" s="268"/>
    </row>
    <row r="432" spans="1:26" ht="24.75" customHeight="1">
      <c r="A432" s="268"/>
      <c r="B432" s="268"/>
      <c r="C432" s="268"/>
      <c r="D432" s="268"/>
      <c r="E432" s="268"/>
      <c r="F432" s="268"/>
      <c r="G432" s="268"/>
      <c r="H432" s="268"/>
      <c r="I432" s="268"/>
      <c r="J432" s="268"/>
      <c r="K432" s="268"/>
      <c r="L432" s="268"/>
      <c r="M432" s="268"/>
      <c r="N432" s="268"/>
      <c r="O432" s="268"/>
      <c r="P432" s="310"/>
      <c r="Q432" s="268"/>
      <c r="R432" s="309"/>
      <c r="S432" s="268"/>
      <c r="T432" s="313"/>
      <c r="U432" s="313"/>
      <c r="V432" s="268"/>
      <c r="W432" s="268"/>
      <c r="X432" s="268"/>
      <c r="Y432" s="268"/>
      <c r="Z432" s="268"/>
    </row>
    <row r="433" spans="1:26" ht="24.75" customHeight="1">
      <c r="A433" s="268"/>
      <c r="B433" s="268"/>
      <c r="C433" s="268"/>
      <c r="D433" s="268"/>
      <c r="E433" s="268"/>
      <c r="F433" s="268"/>
      <c r="G433" s="268"/>
      <c r="H433" s="268"/>
      <c r="I433" s="268"/>
      <c r="J433" s="268"/>
      <c r="K433" s="268"/>
      <c r="L433" s="268"/>
      <c r="M433" s="268"/>
      <c r="N433" s="268"/>
      <c r="O433" s="268"/>
      <c r="P433" s="310"/>
      <c r="Q433" s="268"/>
      <c r="R433" s="309"/>
      <c r="S433" s="268"/>
      <c r="T433" s="313"/>
      <c r="U433" s="313"/>
      <c r="V433" s="268"/>
      <c r="W433" s="268"/>
      <c r="X433" s="268"/>
      <c r="Y433" s="268"/>
      <c r="Z433" s="268"/>
    </row>
    <row r="434" spans="1:26" ht="24.75" customHeight="1">
      <c r="A434" s="268"/>
      <c r="B434" s="268"/>
      <c r="C434" s="268"/>
      <c r="D434" s="268"/>
      <c r="E434" s="268"/>
      <c r="F434" s="268"/>
      <c r="G434" s="268"/>
      <c r="H434" s="268"/>
      <c r="I434" s="268"/>
      <c r="J434" s="268"/>
      <c r="K434" s="268"/>
      <c r="L434" s="268"/>
      <c r="M434" s="268"/>
      <c r="N434" s="268"/>
      <c r="O434" s="268"/>
      <c r="P434" s="310"/>
      <c r="Q434" s="268"/>
      <c r="R434" s="309"/>
      <c r="S434" s="268"/>
      <c r="T434" s="313"/>
      <c r="U434" s="313"/>
      <c r="V434" s="268"/>
      <c r="W434" s="268"/>
      <c r="X434" s="268"/>
      <c r="Y434" s="268"/>
      <c r="Z434" s="268"/>
    </row>
    <row r="435" spans="1:26" ht="24.75" customHeight="1">
      <c r="A435" s="268"/>
      <c r="B435" s="268"/>
      <c r="C435" s="268"/>
      <c r="D435" s="268"/>
      <c r="E435" s="268"/>
      <c r="F435" s="268"/>
      <c r="G435" s="268"/>
      <c r="H435" s="268"/>
      <c r="I435" s="268"/>
      <c r="J435" s="268"/>
      <c r="K435" s="268"/>
      <c r="L435" s="268"/>
      <c r="M435" s="268"/>
      <c r="N435" s="268"/>
      <c r="O435" s="268"/>
      <c r="P435" s="310"/>
      <c r="Q435" s="268"/>
      <c r="R435" s="309"/>
      <c r="S435" s="268"/>
      <c r="T435" s="313"/>
      <c r="U435" s="313"/>
      <c r="V435" s="268"/>
      <c r="W435" s="268"/>
      <c r="X435" s="268"/>
      <c r="Y435" s="268"/>
      <c r="Z435" s="268"/>
    </row>
    <row r="436" spans="1:26" ht="24.75" customHeight="1">
      <c r="A436" s="268"/>
      <c r="B436" s="268"/>
      <c r="C436" s="268"/>
      <c r="D436" s="268"/>
      <c r="E436" s="268"/>
      <c r="F436" s="268"/>
      <c r="G436" s="268"/>
      <c r="H436" s="268"/>
      <c r="I436" s="268"/>
      <c r="J436" s="268"/>
      <c r="K436" s="268"/>
      <c r="L436" s="268"/>
      <c r="M436" s="268"/>
      <c r="N436" s="268"/>
      <c r="O436" s="268"/>
      <c r="P436" s="310"/>
      <c r="Q436" s="268"/>
      <c r="R436" s="309"/>
      <c r="S436" s="268"/>
      <c r="T436" s="313"/>
      <c r="U436" s="313"/>
      <c r="V436" s="268"/>
      <c r="W436" s="268"/>
      <c r="X436" s="268"/>
      <c r="Y436" s="268"/>
      <c r="Z436" s="268"/>
    </row>
    <row r="437" spans="1:26" ht="24.75" customHeight="1">
      <c r="A437" s="268"/>
      <c r="B437" s="268"/>
      <c r="C437" s="268"/>
      <c r="D437" s="268"/>
      <c r="E437" s="268"/>
      <c r="F437" s="268"/>
      <c r="G437" s="268"/>
      <c r="H437" s="268"/>
      <c r="I437" s="268"/>
      <c r="J437" s="268"/>
      <c r="K437" s="268"/>
      <c r="L437" s="268"/>
      <c r="M437" s="268"/>
      <c r="N437" s="268"/>
      <c r="O437" s="268"/>
      <c r="P437" s="310"/>
      <c r="Q437" s="268"/>
      <c r="R437" s="309"/>
      <c r="S437" s="268"/>
      <c r="T437" s="313"/>
      <c r="U437" s="313"/>
      <c r="V437" s="268"/>
      <c r="W437" s="268"/>
      <c r="X437" s="268"/>
      <c r="Y437" s="268"/>
      <c r="Z437" s="268"/>
    </row>
    <row r="438" spans="1:26" ht="24.75" customHeight="1">
      <c r="A438" s="268"/>
      <c r="B438" s="268"/>
      <c r="C438" s="268"/>
      <c r="D438" s="268"/>
      <c r="E438" s="268"/>
      <c r="F438" s="268"/>
      <c r="G438" s="268"/>
      <c r="H438" s="268"/>
      <c r="I438" s="268"/>
      <c r="J438" s="268"/>
      <c r="K438" s="268"/>
      <c r="L438" s="268"/>
      <c r="M438" s="268"/>
      <c r="N438" s="268"/>
      <c r="O438" s="268"/>
      <c r="P438" s="310"/>
      <c r="Q438" s="268"/>
      <c r="R438" s="309"/>
      <c r="S438" s="268"/>
      <c r="T438" s="313"/>
      <c r="U438" s="313"/>
      <c r="V438" s="268"/>
      <c r="W438" s="268"/>
      <c r="X438" s="268"/>
      <c r="Y438" s="268"/>
      <c r="Z438" s="268"/>
    </row>
    <row r="439" spans="1:26" ht="24.75" customHeight="1">
      <c r="A439" s="268"/>
      <c r="B439" s="268"/>
      <c r="C439" s="268"/>
      <c r="D439" s="268"/>
      <c r="E439" s="268"/>
      <c r="F439" s="268"/>
      <c r="G439" s="268"/>
      <c r="H439" s="268"/>
      <c r="I439" s="268"/>
      <c r="J439" s="268"/>
      <c r="K439" s="268"/>
      <c r="L439" s="268"/>
      <c r="M439" s="268"/>
      <c r="N439" s="268"/>
      <c r="O439" s="268"/>
      <c r="P439" s="310"/>
      <c r="Q439" s="268"/>
      <c r="R439" s="309"/>
      <c r="S439" s="268"/>
      <c r="T439" s="313"/>
      <c r="U439" s="313"/>
      <c r="V439" s="268"/>
      <c r="W439" s="268"/>
      <c r="X439" s="268"/>
      <c r="Y439" s="268"/>
      <c r="Z439" s="268"/>
    </row>
    <row r="440" spans="1:26" ht="24.75" customHeight="1">
      <c r="A440" s="268"/>
      <c r="B440" s="268"/>
      <c r="C440" s="268"/>
      <c r="D440" s="268"/>
      <c r="E440" s="268"/>
      <c r="F440" s="268"/>
      <c r="G440" s="268"/>
      <c r="H440" s="268"/>
      <c r="I440" s="268"/>
      <c r="J440" s="268"/>
      <c r="K440" s="268"/>
      <c r="L440" s="268"/>
      <c r="M440" s="268"/>
      <c r="N440" s="268"/>
      <c r="O440" s="268"/>
      <c r="P440" s="310"/>
      <c r="Q440" s="268"/>
      <c r="R440" s="309"/>
      <c r="S440" s="268"/>
      <c r="T440" s="313"/>
      <c r="U440" s="313"/>
      <c r="V440" s="268"/>
      <c r="W440" s="268"/>
      <c r="X440" s="268"/>
      <c r="Y440" s="268"/>
      <c r="Z440" s="268"/>
    </row>
    <row r="441" spans="1:26" ht="24.75" customHeight="1">
      <c r="A441" s="268"/>
      <c r="B441" s="268"/>
      <c r="C441" s="268"/>
      <c r="D441" s="268"/>
      <c r="E441" s="268"/>
      <c r="F441" s="268"/>
      <c r="G441" s="268"/>
      <c r="H441" s="268"/>
      <c r="I441" s="268"/>
      <c r="J441" s="268"/>
      <c r="K441" s="268"/>
      <c r="L441" s="268"/>
      <c r="M441" s="268"/>
      <c r="N441" s="268"/>
      <c r="O441" s="268"/>
      <c r="P441" s="310"/>
      <c r="Q441" s="268"/>
      <c r="R441" s="309"/>
      <c r="S441" s="268"/>
      <c r="T441" s="313"/>
      <c r="U441" s="313"/>
      <c r="V441" s="268"/>
      <c r="W441" s="268"/>
      <c r="X441" s="268"/>
      <c r="Y441" s="268"/>
      <c r="Z441" s="268"/>
    </row>
    <row r="442" spans="1:26" ht="24.75" customHeight="1">
      <c r="A442" s="268"/>
      <c r="B442" s="268"/>
      <c r="C442" s="268"/>
      <c r="D442" s="268"/>
      <c r="E442" s="268"/>
      <c r="F442" s="268"/>
      <c r="G442" s="268"/>
      <c r="H442" s="268"/>
      <c r="I442" s="268"/>
      <c r="J442" s="268"/>
      <c r="K442" s="268"/>
      <c r="L442" s="268"/>
      <c r="M442" s="268"/>
      <c r="N442" s="268"/>
      <c r="O442" s="268"/>
      <c r="P442" s="310"/>
      <c r="Q442" s="268"/>
      <c r="R442" s="309"/>
      <c r="S442" s="268"/>
      <c r="T442" s="313"/>
      <c r="U442" s="313"/>
      <c r="V442" s="268"/>
      <c r="W442" s="268"/>
      <c r="X442" s="268"/>
      <c r="Y442" s="268"/>
      <c r="Z442" s="268"/>
    </row>
    <row r="443" spans="1:26" ht="24.75" customHeight="1">
      <c r="A443" s="268"/>
      <c r="B443" s="268"/>
      <c r="C443" s="268"/>
      <c r="D443" s="268"/>
      <c r="E443" s="268"/>
      <c r="F443" s="268"/>
      <c r="G443" s="268"/>
      <c r="H443" s="268"/>
      <c r="I443" s="268"/>
      <c r="J443" s="268"/>
      <c r="K443" s="268"/>
      <c r="L443" s="268"/>
      <c r="M443" s="268"/>
      <c r="N443" s="268"/>
      <c r="O443" s="268"/>
      <c r="P443" s="310"/>
      <c r="Q443" s="268"/>
      <c r="R443" s="309"/>
      <c r="S443" s="268"/>
      <c r="T443" s="313"/>
      <c r="U443" s="313"/>
      <c r="V443" s="268"/>
      <c r="W443" s="268"/>
      <c r="X443" s="268"/>
      <c r="Y443" s="268"/>
      <c r="Z443" s="268"/>
    </row>
    <row r="444" spans="1:26" ht="24.75" customHeight="1">
      <c r="A444" s="268"/>
      <c r="B444" s="268"/>
      <c r="C444" s="268"/>
      <c r="D444" s="268"/>
      <c r="E444" s="268"/>
      <c r="F444" s="268"/>
      <c r="G444" s="268"/>
      <c r="H444" s="268"/>
      <c r="I444" s="268"/>
      <c r="J444" s="268"/>
      <c r="K444" s="268"/>
      <c r="L444" s="268"/>
      <c r="M444" s="268"/>
      <c r="N444" s="268"/>
      <c r="O444" s="268"/>
      <c r="P444" s="310"/>
      <c r="Q444" s="268"/>
      <c r="R444" s="309"/>
      <c r="S444" s="268"/>
      <c r="T444" s="313"/>
      <c r="U444" s="313"/>
      <c r="V444" s="268"/>
      <c r="W444" s="268"/>
      <c r="X444" s="268"/>
      <c r="Y444" s="268"/>
      <c r="Z444" s="268"/>
    </row>
    <row r="445" spans="1:26" ht="24.75" customHeight="1">
      <c r="A445" s="268"/>
      <c r="B445" s="268"/>
      <c r="C445" s="268"/>
      <c r="D445" s="268"/>
      <c r="E445" s="268"/>
      <c r="F445" s="268"/>
      <c r="G445" s="268"/>
      <c r="H445" s="268"/>
      <c r="I445" s="268"/>
      <c r="J445" s="268"/>
      <c r="K445" s="268"/>
      <c r="L445" s="268"/>
      <c r="M445" s="268"/>
      <c r="N445" s="268"/>
      <c r="O445" s="268"/>
      <c r="P445" s="310"/>
      <c r="Q445" s="268"/>
      <c r="R445" s="309"/>
      <c r="S445" s="268"/>
      <c r="T445" s="313"/>
      <c r="U445" s="313"/>
      <c r="V445" s="268"/>
      <c r="W445" s="268"/>
      <c r="X445" s="268"/>
      <c r="Y445" s="268"/>
      <c r="Z445" s="268"/>
    </row>
    <row r="446" spans="1:26" ht="24.75" customHeight="1">
      <c r="A446" s="268"/>
      <c r="B446" s="268"/>
      <c r="C446" s="268"/>
      <c r="D446" s="268"/>
      <c r="E446" s="268"/>
      <c r="F446" s="268"/>
      <c r="G446" s="268"/>
      <c r="H446" s="268"/>
      <c r="I446" s="268"/>
      <c r="J446" s="268"/>
      <c r="K446" s="268"/>
      <c r="L446" s="268"/>
      <c r="M446" s="268"/>
      <c r="N446" s="268"/>
      <c r="O446" s="268"/>
      <c r="P446" s="310"/>
      <c r="Q446" s="268"/>
      <c r="R446" s="309"/>
      <c r="S446" s="268"/>
      <c r="T446" s="313"/>
      <c r="U446" s="313"/>
      <c r="V446" s="268"/>
      <c r="W446" s="268"/>
      <c r="X446" s="268"/>
      <c r="Y446" s="268"/>
      <c r="Z446" s="268"/>
    </row>
    <row r="447" spans="1:26" ht="24.75" customHeight="1">
      <c r="A447" s="268"/>
      <c r="B447" s="268"/>
      <c r="C447" s="268"/>
      <c r="D447" s="268"/>
      <c r="E447" s="268"/>
      <c r="F447" s="268"/>
      <c r="G447" s="268"/>
      <c r="H447" s="268"/>
      <c r="I447" s="268"/>
      <c r="J447" s="268"/>
      <c r="K447" s="268"/>
      <c r="L447" s="268"/>
      <c r="M447" s="268"/>
      <c r="N447" s="268"/>
      <c r="O447" s="268"/>
      <c r="P447" s="310"/>
      <c r="Q447" s="268"/>
      <c r="R447" s="309"/>
      <c r="S447" s="268"/>
      <c r="T447" s="313"/>
      <c r="U447" s="313"/>
      <c r="V447" s="268"/>
      <c r="W447" s="268"/>
      <c r="X447" s="268"/>
      <c r="Y447" s="268"/>
      <c r="Z447" s="268"/>
    </row>
    <row r="448" spans="1:26" ht="24.75" customHeight="1">
      <c r="A448" s="268"/>
      <c r="B448" s="268"/>
      <c r="C448" s="268"/>
      <c r="D448" s="268"/>
      <c r="E448" s="268"/>
      <c r="F448" s="268"/>
      <c r="G448" s="268"/>
      <c r="H448" s="268"/>
      <c r="I448" s="268"/>
      <c r="J448" s="268"/>
      <c r="K448" s="268"/>
      <c r="L448" s="268"/>
      <c r="M448" s="268"/>
      <c r="N448" s="268"/>
      <c r="O448" s="268"/>
      <c r="P448" s="310"/>
      <c r="Q448" s="268"/>
      <c r="R448" s="309"/>
      <c r="S448" s="268"/>
      <c r="T448" s="313"/>
      <c r="U448" s="313"/>
      <c r="V448" s="268"/>
      <c r="W448" s="268"/>
      <c r="X448" s="268"/>
      <c r="Y448" s="268"/>
      <c r="Z448" s="268"/>
    </row>
    <row r="449" spans="1:26" ht="24.75" customHeight="1">
      <c r="A449" s="268"/>
      <c r="B449" s="268"/>
      <c r="C449" s="268"/>
      <c r="D449" s="268"/>
      <c r="E449" s="268"/>
      <c r="F449" s="268"/>
      <c r="G449" s="268"/>
      <c r="H449" s="268"/>
      <c r="I449" s="268"/>
      <c r="J449" s="268"/>
      <c r="K449" s="268"/>
      <c r="L449" s="268"/>
      <c r="M449" s="268"/>
      <c r="N449" s="268"/>
      <c r="O449" s="268"/>
      <c r="P449" s="310"/>
      <c r="Q449" s="268"/>
      <c r="R449" s="309"/>
      <c r="S449" s="268"/>
      <c r="T449" s="313"/>
      <c r="U449" s="313"/>
      <c r="V449" s="268"/>
      <c r="W449" s="268"/>
      <c r="X449" s="268"/>
      <c r="Y449" s="268"/>
      <c r="Z449" s="268"/>
    </row>
    <row r="450" spans="1:26" ht="24.75" customHeight="1">
      <c r="A450" s="268"/>
      <c r="B450" s="268"/>
      <c r="C450" s="268"/>
      <c r="D450" s="268"/>
      <c r="E450" s="268"/>
      <c r="F450" s="268"/>
      <c r="G450" s="268"/>
      <c r="H450" s="268"/>
      <c r="I450" s="268"/>
      <c r="J450" s="268"/>
      <c r="K450" s="268"/>
      <c r="L450" s="268"/>
      <c r="M450" s="268"/>
      <c r="N450" s="268"/>
      <c r="O450" s="268"/>
      <c r="P450" s="310"/>
      <c r="Q450" s="268"/>
      <c r="R450" s="309"/>
      <c r="S450" s="268"/>
      <c r="T450" s="313"/>
      <c r="U450" s="313"/>
      <c r="V450" s="268"/>
      <c r="W450" s="268"/>
      <c r="X450" s="268"/>
      <c r="Y450" s="268"/>
      <c r="Z450" s="268"/>
    </row>
    <row r="451" spans="1:26" ht="24.75" customHeight="1">
      <c r="A451" s="268"/>
      <c r="B451" s="268"/>
      <c r="C451" s="268"/>
      <c r="D451" s="268"/>
      <c r="E451" s="268"/>
      <c r="F451" s="268"/>
      <c r="G451" s="268"/>
      <c r="H451" s="268"/>
      <c r="I451" s="268"/>
      <c r="J451" s="268"/>
      <c r="K451" s="268"/>
      <c r="L451" s="268"/>
      <c r="M451" s="268"/>
      <c r="N451" s="268"/>
      <c r="O451" s="268"/>
      <c r="P451" s="310"/>
      <c r="Q451" s="268"/>
      <c r="R451" s="309"/>
      <c r="S451" s="268"/>
      <c r="T451" s="313"/>
      <c r="U451" s="313"/>
      <c r="V451" s="268"/>
      <c r="W451" s="268"/>
      <c r="X451" s="268"/>
      <c r="Y451" s="268"/>
      <c r="Z451" s="268"/>
    </row>
    <row r="452" spans="1:26" ht="24.75" customHeight="1">
      <c r="A452" s="268"/>
      <c r="B452" s="268"/>
      <c r="C452" s="268"/>
      <c r="D452" s="268"/>
      <c r="E452" s="268"/>
      <c r="F452" s="268"/>
      <c r="G452" s="268"/>
      <c r="H452" s="268"/>
      <c r="I452" s="268"/>
      <c r="J452" s="268"/>
      <c r="K452" s="268"/>
      <c r="L452" s="268"/>
      <c r="M452" s="268"/>
      <c r="N452" s="268"/>
      <c r="O452" s="268"/>
      <c r="P452" s="310"/>
      <c r="Q452" s="268"/>
      <c r="R452" s="309"/>
      <c r="S452" s="268"/>
      <c r="T452" s="313"/>
      <c r="U452" s="313"/>
      <c r="V452" s="268"/>
      <c r="W452" s="268"/>
      <c r="X452" s="268"/>
      <c r="Y452" s="268"/>
      <c r="Z452" s="268"/>
    </row>
    <row r="453" spans="1:26" ht="24.75" customHeight="1">
      <c r="A453" s="268"/>
      <c r="B453" s="268"/>
      <c r="C453" s="268"/>
      <c r="D453" s="268"/>
      <c r="E453" s="268"/>
      <c r="F453" s="268"/>
      <c r="G453" s="268"/>
      <c r="H453" s="268"/>
      <c r="I453" s="268"/>
      <c r="J453" s="268"/>
      <c r="K453" s="268"/>
      <c r="L453" s="268"/>
      <c r="M453" s="268"/>
      <c r="N453" s="268"/>
      <c r="O453" s="268"/>
      <c r="P453" s="310"/>
      <c r="Q453" s="268"/>
      <c r="R453" s="309"/>
      <c r="S453" s="268"/>
      <c r="T453" s="313"/>
      <c r="U453" s="313"/>
      <c r="V453" s="268"/>
      <c r="W453" s="268"/>
      <c r="X453" s="268"/>
      <c r="Y453" s="268"/>
      <c r="Z453" s="268"/>
    </row>
    <row r="454" spans="1:26" ht="24.75" customHeight="1">
      <c r="A454" s="268"/>
      <c r="B454" s="268"/>
      <c r="C454" s="268"/>
      <c r="D454" s="268"/>
      <c r="E454" s="268"/>
      <c r="F454" s="268"/>
      <c r="G454" s="268"/>
      <c r="H454" s="268"/>
      <c r="I454" s="268"/>
      <c r="J454" s="268"/>
      <c r="K454" s="268"/>
      <c r="L454" s="268"/>
      <c r="M454" s="268"/>
      <c r="N454" s="268"/>
      <c r="O454" s="268"/>
      <c r="P454" s="310"/>
      <c r="Q454" s="268"/>
      <c r="R454" s="309"/>
      <c r="S454" s="268"/>
      <c r="T454" s="313"/>
      <c r="U454" s="313"/>
      <c r="V454" s="268"/>
      <c r="W454" s="268"/>
      <c r="X454" s="268"/>
      <c r="Y454" s="268"/>
      <c r="Z454" s="268"/>
    </row>
    <row r="455" spans="1:26" ht="24.75" customHeight="1">
      <c r="A455" s="268"/>
      <c r="B455" s="268"/>
      <c r="C455" s="268"/>
      <c r="D455" s="268"/>
      <c r="E455" s="268"/>
      <c r="F455" s="268"/>
      <c r="G455" s="268"/>
      <c r="H455" s="268"/>
      <c r="I455" s="268"/>
      <c r="J455" s="268"/>
      <c r="K455" s="268"/>
      <c r="L455" s="268"/>
      <c r="M455" s="268"/>
      <c r="N455" s="268"/>
      <c r="O455" s="268"/>
      <c r="P455" s="310"/>
      <c r="Q455" s="268"/>
      <c r="R455" s="309"/>
      <c r="S455" s="268"/>
      <c r="T455" s="313"/>
      <c r="U455" s="313"/>
      <c r="V455" s="268"/>
      <c r="W455" s="268"/>
      <c r="X455" s="268"/>
      <c r="Y455" s="268"/>
      <c r="Z455" s="268"/>
    </row>
    <row r="456" spans="1:26" ht="24.75" customHeight="1">
      <c r="A456" s="268"/>
      <c r="B456" s="268"/>
      <c r="C456" s="268"/>
      <c r="D456" s="268"/>
      <c r="E456" s="268"/>
      <c r="F456" s="268"/>
      <c r="G456" s="268"/>
      <c r="H456" s="268"/>
      <c r="I456" s="268"/>
      <c r="J456" s="268"/>
      <c r="K456" s="268"/>
      <c r="L456" s="268"/>
      <c r="M456" s="268"/>
      <c r="N456" s="268"/>
      <c r="O456" s="268"/>
      <c r="P456" s="310"/>
      <c r="Q456" s="268"/>
      <c r="R456" s="309"/>
      <c r="S456" s="268"/>
      <c r="T456" s="313"/>
      <c r="U456" s="313"/>
      <c r="V456" s="268"/>
      <c r="W456" s="268"/>
      <c r="X456" s="268"/>
      <c r="Y456" s="268"/>
      <c r="Z456" s="268"/>
    </row>
    <row r="457" spans="1:26" ht="24.75" customHeight="1">
      <c r="A457" s="268"/>
      <c r="B457" s="268"/>
      <c r="C457" s="268"/>
      <c r="D457" s="268"/>
      <c r="E457" s="268"/>
      <c r="F457" s="268"/>
      <c r="G457" s="268"/>
      <c r="H457" s="268"/>
      <c r="I457" s="268"/>
      <c r="J457" s="268"/>
      <c r="K457" s="268"/>
      <c r="L457" s="268"/>
      <c r="M457" s="268"/>
      <c r="N457" s="268"/>
      <c r="O457" s="268"/>
      <c r="P457" s="310"/>
      <c r="Q457" s="268"/>
      <c r="R457" s="309"/>
      <c r="S457" s="268"/>
      <c r="T457" s="313"/>
      <c r="U457" s="313"/>
      <c r="V457" s="268"/>
      <c r="W457" s="268"/>
      <c r="X457" s="268"/>
      <c r="Y457" s="268"/>
      <c r="Z457" s="268"/>
    </row>
    <row r="458" spans="1:26" ht="24.75" customHeight="1">
      <c r="A458" s="268"/>
      <c r="B458" s="268"/>
      <c r="C458" s="268"/>
      <c r="D458" s="268"/>
      <c r="E458" s="268"/>
      <c r="F458" s="268"/>
      <c r="G458" s="268"/>
      <c r="H458" s="268"/>
      <c r="I458" s="268"/>
      <c r="J458" s="268"/>
      <c r="K458" s="268"/>
      <c r="L458" s="268"/>
      <c r="M458" s="268"/>
      <c r="N458" s="268"/>
      <c r="O458" s="268"/>
      <c r="P458" s="310"/>
      <c r="Q458" s="268"/>
      <c r="R458" s="309"/>
      <c r="S458" s="268"/>
      <c r="T458" s="313"/>
      <c r="U458" s="313"/>
      <c r="V458" s="268"/>
      <c r="W458" s="268"/>
      <c r="X458" s="268"/>
      <c r="Y458" s="268"/>
      <c r="Z458" s="268"/>
    </row>
    <row r="459" spans="1:26" ht="24.75" customHeight="1">
      <c r="A459" s="268"/>
      <c r="B459" s="268"/>
      <c r="C459" s="268"/>
      <c r="D459" s="268"/>
      <c r="E459" s="268"/>
      <c r="F459" s="268"/>
      <c r="G459" s="268"/>
      <c r="H459" s="268"/>
      <c r="I459" s="268"/>
      <c r="J459" s="268"/>
      <c r="K459" s="268"/>
      <c r="L459" s="268"/>
      <c r="M459" s="268"/>
      <c r="N459" s="268"/>
      <c r="O459" s="268"/>
      <c r="P459" s="310"/>
      <c r="Q459" s="268"/>
      <c r="R459" s="309"/>
      <c r="S459" s="268"/>
      <c r="T459" s="313"/>
      <c r="U459" s="313"/>
      <c r="V459" s="268"/>
      <c r="W459" s="268"/>
      <c r="X459" s="268"/>
      <c r="Y459" s="268"/>
      <c r="Z459" s="268"/>
    </row>
    <row r="460" spans="1:26" ht="24.75" customHeight="1">
      <c r="A460" s="268"/>
      <c r="B460" s="268"/>
      <c r="C460" s="268"/>
      <c r="D460" s="268"/>
      <c r="E460" s="268"/>
      <c r="F460" s="268"/>
      <c r="G460" s="268"/>
      <c r="H460" s="268"/>
      <c r="I460" s="268"/>
      <c r="J460" s="268"/>
      <c r="K460" s="268"/>
      <c r="L460" s="268"/>
      <c r="M460" s="268"/>
      <c r="N460" s="268"/>
      <c r="O460" s="268"/>
      <c r="P460" s="310"/>
      <c r="Q460" s="268"/>
      <c r="R460" s="309"/>
      <c r="S460" s="268"/>
      <c r="T460" s="313"/>
      <c r="U460" s="313"/>
      <c r="V460" s="268"/>
      <c r="W460" s="268"/>
      <c r="X460" s="268"/>
      <c r="Y460" s="268"/>
      <c r="Z460" s="268"/>
    </row>
    <row r="461" spans="1:26" ht="24.75" customHeight="1">
      <c r="A461" s="268"/>
      <c r="B461" s="268"/>
      <c r="C461" s="268"/>
      <c r="D461" s="268"/>
      <c r="E461" s="268"/>
      <c r="F461" s="268"/>
      <c r="G461" s="268"/>
      <c r="H461" s="268"/>
      <c r="I461" s="268"/>
      <c r="J461" s="268"/>
      <c r="K461" s="268"/>
      <c r="L461" s="268"/>
      <c r="M461" s="268"/>
      <c r="N461" s="268"/>
      <c r="O461" s="268"/>
      <c r="P461" s="310"/>
      <c r="Q461" s="268"/>
      <c r="R461" s="309"/>
      <c r="S461" s="268"/>
      <c r="T461" s="313"/>
      <c r="U461" s="313"/>
      <c r="V461" s="268"/>
      <c r="W461" s="268"/>
      <c r="X461" s="268"/>
      <c r="Y461" s="268"/>
      <c r="Z461" s="268"/>
    </row>
    <row r="462" spans="1:26" ht="24.75" customHeight="1">
      <c r="A462" s="268"/>
      <c r="B462" s="268"/>
      <c r="C462" s="268"/>
      <c r="D462" s="268"/>
      <c r="E462" s="268"/>
      <c r="F462" s="268"/>
      <c r="G462" s="268"/>
      <c r="H462" s="268"/>
      <c r="I462" s="268"/>
      <c r="J462" s="268"/>
      <c r="K462" s="268"/>
      <c r="L462" s="268"/>
      <c r="M462" s="268"/>
      <c r="N462" s="268"/>
      <c r="O462" s="268"/>
      <c r="P462" s="310"/>
      <c r="Q462" s="268"/>
      <c r="R462" s="309"/>
      <c r="S462" s="268"/>
      <c r="T462" s="313"/>
      <c r="U462" s="313"/>
      <c r="V462" s="268"/>
      <c r="W462" s="268"/>
      <c r="X462" s="268"/>
      <c r="Y462" s="268"/>
      <c r="Z462" s="268"/>
    </row>
    <row r="463" spans="1:26" ht="24.75" customHeight="1">
      <c r="A463" s="268"/>
      <c r="B463" s="268"/>
      <c r="C463" s="268"/>
      <c r="D463" s="268"/>
      <c r="E463" s="268"/>
      <c r="F463" s="268"/>
      <c r="G463" s="268"/>
      <c r="H463" s="268"/>
      <c r="I463" s="268"/>
      <c r="J463" s="268"/>
      <c r="K463" s="268"/>
      <c r="L463" s="268"/>
      <c r="M463" s="268"/>
      <c r="N463" s="268"/>
      <c r="O463" s="268"/>
      <c r="P463" s="310"/>
      <c r="Q463" s="268"/>
      <c r="R463" s="309"/>
      <c r="S463" s="268"/>
      <c r="T463" s="313"/>
      <c r="U463" s="313"/>
      <c r="V463" s="268"/>
      <c r="W463" s="268"/>
      <c r="X463" s="268"/>
      <c r="Y463" s="268"/>
      <c r="Z463" s="268"/>
    </row>
    <row r="464" spans="1:26" ht="24.75" customHeight="1">
      <c r="A464" s="268"/>
      <c r="B464" s="268"/>
      <c r="C464" s="268"/>
      <c r="D464" s="268"/>
      <c r="E464" s="268"/>
      <c r="F464" s="268"/>
      <c r="G464" s="268"/>
      <c r="H464" s="268"/>
      <c r="I464" s="268"/>
      <c r="J464" s="268"/>
      <c r="K464" s="268"/>
      <c r="L464" s="268"/>
      <c r="M464" s="268"/>
      <c r="N464" s="268"/>
      <c r="O464" s="268"/>
      <c r="P464" s="310"/>
      <c r="Q464" s="268"/>
      <c r="R464" s="309"/>
      <c r="S464" s="268"/>
      <c r="T464" s="313"/>
      <c r="U464" s="313"/>
      <c r="V464" s="268"/>
      <c r="W464" s="268"/>
      <c r="X464" s="268"/>
      <c r="Y464" s="268"/>
      <c r="Z464" s="268"/>
    </row>
    <row r="465" spans="1:26" ht="24.75" customHeight="1">
      <c r="A465" s="268"/>
      <c r="B465" s="268"/>
      <c r="C465" s="268"/>
      <c r="D465" s="268"/>
      <c r="E465" s="268"/>
      <c r="F465" s="268"/>
      <c r="G465" s="268"/>
      <c r="H465" s="268"/>
      <c r="I465" s="268"/>
      <c r="J465" s="268"/>
      <c r="K465" s="268"/>
      <c r="L465" s="268"/>
      <c r="M465" s="268"/>
      <c r="N465" s="268"/>
      <c r="O465" s="268"/>
      <c r="P465" s="310"/>
      <c r="Q465" s="268"/>
      <c r="R465" s="309"/>
      <c r="S465" s="268"/>
      <c r="T465" s="313"/>
      <c r="U465" s="313"/>
      <c r="V465" s="268"/>
      <c r="W465" s="268"/>
      <c r="X465" s="268"/>
      <c r="Y465" s="268"/>
      <c r="Z465" s="268"/>
    </row>
    <row r="466" spans="1:26" ht="24.75" customHeight="1">
      <c r="A466" s="268"/>
      <c r="B466" s="268"/>
      <c r="C466" s="268"/>
      <c r="D466" s="268"/>
      <c r="E466" s="268"/>
      <c r="F466" s="268"/>
      <c r="G466" s="268"/>
      <c r="H466" s="268"/>
      <c r="I466" s="268"/>
      <c r="J466" s="268"/>
      <c r="K466" s="268"/>
      <c r="L466" s="268"/>
      <c r="M466" s="268"/>
      <c r="N466" s="268"/>
      <c r="O466" s="268"/>
      <c r="P466" s="310"/>
      <c r="Q466" s="268"/>
      <c r="R466" s="309"/>
      <c r="S466" s="268"/>
      <c r="T466" s="313"/>
      <c r="U466" s="313"/>
      <c r="V466" s="268"/>
      <c r="W466" s="268"/>
      <c r="X466" s="268"/>
      <c r="Y466" s="268"/>
      <c r="Z466" s="268"/>
    </row>
    <row r="467" spans="1:26" ht="24.75" customHeight="1">
      <c r="A467" s="268"/>
      <c r="B467" s="268"/>
      <c r="C467" s="268"/>
      <c r="D467" s="268"/>
      <c r="E467" s="268"/>
      <c r="F467" s="268"/>
      <c r="G467" s="268"/>
      <c r="H467" s="268"/>
      <c r="I467" s="268"/>
      <c r="J467" s="268"/>
      <c r="K467" s="268"/>
      <c r="L467" s="268"/>
      <c r="M467" s="268"/>
      <c r="N467" s="268"/>
      <c r="O467" s="268"/>
      <c r="P467" s="310"/>
      <c r="Q467" s="268"/>
      <c r="R467" s="309"/>
      <c r="S467" s="268"/>
      <c r="T467" s="313"/>
      <c r="U467" s="313"/>
      <c r="V467" s="268"/>
      <c r="W467" s="268"/>
      <c r="X467" s="268"/>
      <c r="Y467" s="268"/>
      <c r="Z467" s="268"/>
    </row>
    <row r="468" spans="1:26" ht="24.75" customHeight="1">
      <c r="A468" s="268"/>
      <c r="B468" s="268"/>
      <c r="C468" s="268"/>
      <c r="D468" s="268"/>
      <c r="E468" s="268"/>
      <c r="F468" s="268"/>
      <c r="G468" s="268"/>
      <c r="H468" s="268"/>
      <c r="I468" s="268"/>
      <c r="J468" s="268"/>
      <c r="K468" s="268"/>
      <c r="L468" s="268"/>
      <c r="M468" s="268"/>
      <c r="N468" s="268"/>
      <c r="O468" s="268"/>
      <c r="P468" s="310"/>
      <c r="Q468" s="268"/>
      <c r="R468" s="309"/>
      <c r="S468" s="268"/>
      <c r="T468" s="313"/>
      <c r="U468" s="313"/>
      <c r="V468" s="268"/>
      <c r="W468" s="268"/>
      <c r="X468" s="268"/>
      <c r="Y468" s="268"/>
      <c r="Z468" s="268"/>
    </row>
    <row r="469" spans="1:26" ht="24.75" customHeight="1">
      <c r="A469" s="268"/>
      <c r="B469" s="268"/>
      <c r="C469" s="268"/>
      <c r="D469" s="268"/>
      <c r="E469" s="268"/>
      <c r="F469" s="268"/>
      <c r="G469" s="268"/>
      <c r="H469" s="268"/>
      <c r="I469" s="268"/>
      <c r="J469" s="268"/>
      <c r="K469" s="268"/>
      <c r="L469" s="268"/>
      <c r="M469" s="268"/>
      <c r="N469" s="268"/>
      <c r="O469" s="268"/>
      <c r="P469" s="310"/>
      <c r="Q469" s="268"/>
      <c r="R469" s="309"/>
      <c r="S469" s="268"/>
      <c r="T469" s="313"/>
      <c r="U469" s="313"/>
      <c r="V469" s="268"/>
      <c r="W469" s="268"/>
      <c r="X469" s="268"/>
      <c r="Y469" s="268"/>
      <c r="Z469" s="268"/>
    </row>
    <row r="470" spans="1:26" ht="24.75" customHeight="1">
      <c r="A470" s="268"/>
      <c r="B470" s="268"/>
      <c r="C470" s="268"/>
      <c r="D470" s="268"/>
      <c r="E470" s="268"/>
      <c r="F470" s="268"/>
      <c r="G470" s="268"/>
      <c r="H470" s="268"/>
      <c r="I470" s="268"/>
      <c r="J470" s="268"/>
      <c r="K470" s="268"/>
      <c r="L470" s="268"/>
      <c r="M470" s="268"/>
      <c r="N470" s="268"/>
      <c r="O470" s="268"/>
      <c r="P470" s="310"/>
      <c r="Q470" s="268"/>
      <c r="R470" s="309"/>
      <c r="S470" s="268"/>
      <c r="T470" s="313"/>
      <c r="U470" s="313"/>
      <c r="V470" s="268"/>
      <c r="W470" s="268"/>
      <c r="X470" s="268"/>
      <c r="Y470" s="268"/>
      <c r="Z470" s="268"/>
    </row>
    <row r="471" spans="1:26" ht="24.75" customHeight="1">
      <c r="A471" s="268"/>
      <c r="B471" s="268"/>
      <c r="C471" s="268"/>
      <c r="D471" s="268"/>
      <c r="E471" s="268"/>
      <c r="F471" s="268"/>
      <c r="G471" s="268"/>
      <c r="H471" s="268"/>
      <c r="I471" s="268"/>
      <c r="J471" s="268"/>
      <c r="K471" s="268"/>
      <c r="L471" s="268"/>
      <c r="M471" s="268"/>
      <c r="N471" s="268"/>
      <c r="O471" s="268"/>
      <c r="P471" s="310"/>
      <c r="Q471" s="268"/>
      <c r="R471" s="309"/>
      <c r="S471" s="268"/>
      <c r="T471" s="313"/>
      <c r="U471" s="313"/>
      <c r="V471" s="268"/>
      <c r="W471" s="268"/>
      <c r="X471" s="268"/>
      <c r="Y471" s="268"/>
      <c r="Z471" s="268"/>
    </row>
    <row r="472" spans="1:26" ht="24.75" customHeight="1">
      <c r="A472" s="268"/>
      <c r="B472" s="268"/>
      <c r="C472" s="268"/>
      <c r="D472" s="268"/>
      <c r="E472" s="268"/>
      <c r="F472" s="268"/>
      <c r="G472" s="268"/>
      <c r="H472" s="268"/>
      <c r="I472" s="268"/>
      <c r="J472" s="268"/>
      <c r="K472" s="268"/>
      <c r="L472" s="268"/>
      <c r="M472" s="268"/>
      <c r="N472" s="268"/>
      <c r="O472" s="268"/>
      <c r="P472" s="310"/>
      <c r="Q472" s="268"/>
      <c r="R472" s="309"/>
      <c r="S472" s="268"/>
      <c r="T472" s="313"/>
      <c r="U472" s="313"/>
      <c r="V472" s="268"/>
      <c r="W472" s="268"/>
      <c r="X472" s="268"/>
      <c r="Y472" s="268"/>
      <c r="Z472" s="268"/>
    </row>
    <row r="473" spans="1:26" ht="24.75" customHeight="1">
      <c r="A473" s="268"/>
      <c r="B473" s="268"/>
      <c r="C473" s="268"/>
      <c r="D473" s="268"/>
      <c r="E473" s="268"/>
      <c r="F473" s="268"/>
      <c r="G473" s="268"/>
      <c r="H473" s="268"/>
      <c r="I473" s="268"/>
      <c r="J473" s="268"/>
      <c r="K473" s="268"/>
      <c r="L473" s="268"/>
      <c r="M473" s="268"/>
      <c r="N473" s="268"/>
      <c r="O473" s="268"/>
      <c r="P473" s="310"/>
      <c r="Q473" s="268"/>
      <c r="R473" s="309"/>
      <c r="S473" s="268"/>
      <c r="T473" s="313"/>
      <c r="U473" s="313"/>
      <c r="V473" s="268"/>
      <c r="W473" s="268"/>
      <c r="X473" s="268"/>
      <c r="Y473" s="268"/>
      <c r="Z473" s="268"/>
    </row>
    <row r="474" spans="1:26" ht="24.75" customHeight="1">
      <c r="A474" s="268"/>
      <c r="B474" s="268"/>
      <c r="C474" s="268"/>
      <c r="D474" s="268"/>
      <c r="E474" s="268"/>
      <c r="F474" s="268"/>
      <c r="G474" s="268"/>
      <c r="H474" s="268"/>
      <c r="I474" s="268"/>
      <c r="J474" s="268"/>
      <c r="K474" s="268"/>
      <c r="L474" s="268"/>
      <c r="M474" s="268"/>
      <c r="N474" s="268"/>
      <c r="O474" s="268"/>
      <c r="P474" s="310"/>
      <c r="Q474" s="268"/>
      <c r="R474" s="309"/>
      <c r="S474" s="268"/>
      <c r="T474" s="313"/>
      <c r="U474" s="313"/>
      <c r="V474" s="268"/>
      <c r="W474" s="268"/>
      <c r="X474" s="268"/>
      <c r="Y474" s="268"/>
      <c r="Z474" s="268"/>
    </row>
    <row r="475" spans="1:26" ht="24.75" customHeight="1">
      <c r="A475" s="268"/>
      <c r="B475" s="268"/>
      <c r="C475" s="268"/>
      <c r="D475" s="268"/>
      <c r="E475" s="268"/>
      <c r="F475" s="268"/>
      <c r="G475" s="268"/>
      <c r="H475" s="268"/>
      <c r="I475" s="268"/>
      <c r="J475" s="268"/>
      <c r="K475" s="268"/>
      <c r="L475" s="268"/>
      <c r="M475" s="268"/>
      <c r="N475" s="268"/>
      <c r="O475" s="268"/>
      <c r="P475" s="310"/>
      <c r="Q475" s="268"/>
      <c r="R475" s="309"/>
      <c r="S475" s="268"/>
      <c r="T475" s="313"/>
      <c r="U475" s="313"/>
      <c r="V475" s="268"/>
      <c r="W475" s="268"/>
      <c r="X475" s="268"/>
      <c r="Y475" s="268"/>
      <c r="Z475" s="268"/>
    </row>
    <row r="476" spans="1:26" ht="24.75" customHeight="1">
      <c r="A476" s="268"/>
      <c r="B476" s="268"/>
      <c r="C476" s="268"/>
      <c r="D476" s="268"/>
      <c r="E476" s="268"/>
      <c r="F476" s="268"/>
      <c r="G476" s="268"/>
      <c r="H476" s="268"/>
      <c r="I476" s="268"/>
      <c r="J476" s="268"/>
      <c r="K476" s="268"/>
      <c r="L476" s="268"/>
      <c r="M476" s="268"/>
      <c r="N476" s="268"/>
      <c r="O476" s="268"/>
      <c r="P476" s="310"/>
      <c r="Q476" s="268"/>
      <c r="R476" s="309"/>
      <c r="S476" s="268"/>
      <c r="T476" s="313"/>
      <c r="U476" s="313"/>
      <c r="V476" s="268"/>
      <c r="W476" s="268"/>
      <c r="X476" s="268"/>
      <c r="Y476" s="268"/>
      <c r="Z476" s="268"/>
    </row>
    <row r="477" spans="1:26" ht="24.75" customHeight="1">
      <c r="A477" s="268"/>
      <c r="B477" s="268"/>
      <c r="C477" s="268"/>
      <c r="D477" s="268"/>
      <c r="E477" s="268"/>
      <c r="F477" s="268"/>
      <c r="G477" s="268"/>
      <c r="H477" s="268"/>
      <c r="I477" s="268"/>
      <c r="J477" s="268"/>
      <c r="K477" s="268"/>
      <c r="L477" s="268"/>
      <c r="M477" s="268"/>
      <c r="N477" s="268"/>
      <c r="O477" s="268"/>
      <c r="P477" s="310"/>
      <c r="Q477" s="268"/>
      <c r="R477" s="309"/>
      <c r="S477" s="268"/>
      <c r="T477" s="313"/>
      <c r="U477" s="313"/>
      <c r="V477" s="268"/>
      <c r="W477" s="268"/>
      <c r="X477" s="268"/>
      <c r="Y477" s="268"/>
      <c r="Z477" s="268"/>
    </row>
    <row r="478" spans="1:26" ht="24.75" customHeight="1">
      <c r="A478" s="268"/>
      <c r="B478" s="268"/>
      <c r="C478" s="268"/>
      <c r="D478" s="268"/>
      <c r="E478" s="268"/>
      <c r="F478" s="268"/>
      <c r="G478" s="268"/>
      <c r="H478" s="268"/>
      <c r="I478" s="268"/>
      <c r="J478" s="268"/>
      <c r="K478" s="268"/>
      <c r="L478" s="268"/>
      <c r="M478" s="268"/>
      <c r="N478" s="268"/>
      <c r="O478" s="268"/>
      <c r="P478" s="310"/>
      <c r="Q478" s="268"/>
      <c r="R478" s="309"/>
      <c r="S478" s="268"/>
      <c r="T478" s="313"/>
      <c r="U478" s="313"/>
      <c r="V478" s="268"/>
      <c r="W478" s="268"/>
      <c r="X478" s="268"/>
      <c r="Y478" s="268"/>
      <c r="Z478" s="268"/>
    </row>
    <row r="479" spans="1:26" ht="24.75" customHeight="1">
      <c r="A479" s="268"/>
      <c r="B479" s="268"/>
      <c r="C479" s="268"/>
      <c r="D479" s="268"/>
      <c r="E479" s="268"/>
      <c r="F479" s="268"/>
      <c r="G479" s="268"/>
      <c r="H479" s="268"/>
      <c r="I479" s="268"/>
      <c r="J479" s="268"/>
      <c r="K479" s="268"/>
      <c r="L479" s="268"/>
      <c r="M479" s="268"/>
      <c r="N479" s="268"/>
      <c r="O479" s="268"/>
      <c r="P479" s="310"/>
      <c r="Q479" s="268"/>
      <c r="R479" s="309"/>
      <c r="S479" s="268"/>
      <c r="T479" s="313"/>
      <c r="U479" s="313"/>
      <c r="V479" s="268"/>
      <c r="W479" s="268"/>
      <c r="X479" s="268"/>
      <c r="Y479" s="268"/>
      <c r="Z479" s="268"/>
    </row>
    <row r="480" spans="1:26" ht="24.75" customHeight="1">
      <c r="A480" s="268"/>
      <c r="B480" s="268"/>
      <c r="C480" s="268"/>
      <c r="D480" s="268"/>
      <c r="E480" s="268"/>
      <c r="F480" s="268"/>
      <c r="G480" s="268"/>
      <c r="H480" s="268"/>
      <c r="I480" s="268"/>
      <c r="J480" s="268"/>
      <c r="K480" s="268"/>
      <c r="L480" s="268"/>
      <c r="M480" s="268"/>
      <c r="N480" s="268"/>
      <c r="O480" s="268"/>
      <c r="P480" s="310"/>
      <c r="Q480" s="268"/>
      <c r="R480" s="309"/>
      <c r="S480" s="268"/>
      <c r="T480" s="313"/>
      <c r="U480" s="313"/>
      <c r="V480" s="268"/>
      <c r="W480" s="268"/>
      <c r="X480" s="268"/>
      <c r="Y480" s="268"/>
      <c r="Z480" s="268"/>
    </row>
    <row r="481" spans="1:26" ht="24.75" customHeight="1">
      <c r="A481" s="268"/>
      <c r="B481" s="268"/>
      <c r="C481" s="268"/>
      <c r="D481" s="268"/>
      <c r="E481" s="268"/>
      <c r="F481" s="268"/>
      <c r="G481" s="268"/>
      <c r="H481" s="268"/>
      <c r="I481" s="268"/>
      <c r="J481" s="268"/>
      <c r="K481" s="268"/>
      <c r="L481" s="268"/>
      <c r="M481" s="268"/>
      <c r="N481" s="268"/>
      <c r="O481" s="268"/>
      <c r="P481" s="310"/>
      <c r="Q481" s="268"/>
      <c r="R481" s="309"/>
      <c r="S481" s="268"/>
      <c r="T481" s="313"/>
      <c r="U481" s="313"/>
      <c r="V481" s="268"/>
      <c r="W481" s="268"/>
      <c r="X481" s="268"/>
      <c r="Y481" s="268"/>
      <c r="Z481" s="268"/>
    </row>
    <row r="482" spans="1:26" ht="24.75" customHeight="1">
      <c r="A482" s="268"/>
      <c r="B482" s="268"/>
      <c r="C482" s="268"/>
      <c r="D482" s="268"/>
      <c r="E482" s="268"/>
      <c r="F482" s="268"/>
      <c r="G482" s="268"/>
      <c r="H482" s="268"/>
      <c r="I482" s="268"/>
      <c r="J482" s="268"/>
      <c r="K482" s="268"/>
      <c r="L482" s="268"/>
      <c r="M482" s="268"/>
      <c r="N482" s="268"/>
      <c r="O482" s="268"/>
      <c r="P482" s="310"/>
      <c r="Q482" s="268"/>
      <c r="R482" s="309"/>
      <c r="S482" s="268"/>
      <c r="T482" s="313"/>
      <c r="U482" s="313"/>
      <c r="V482" s="268"/>
      <c r="W482" s="268"/>
      <c r="X482" s="268"/>
      <c r="Y482" s="268"/>
      <c r="Z482" s="268"/>
    </row>
    <row r="483" spans="1:26" ht="24.75" customHeight="1">
      <c r="A483" s="268"/>
      <c r="B483" s="268"/>
      <c r="C483" s="268"/>
      <c r="D483" s="268"/>
      <c r="E483" s="268"/>
      <c r="F483" s="268"/>
      <c r="G483" s="268"/>
      <c r="H483" s="268"/>
      <c r="I483" s="268"/>
      <c r="J483" s="268"/>
      <c r="K483" s="268"/>
      <c r="L483" s="268"/>
      <c r="M483" s="268"/>
      <c r="N483" s="268"/>
      <c r="O483" s="268"/>
      <c r="P483" s="310"/>
      <c r="Q483" s="268"/>
      <c r="R483" s="309"/>
      <c r="S483" s="268"/>
      <c r="T483" s="313"/>
      <c r="U483" s="313"/>
      <c r="V483" s="268"/>
      <c r="W483" s="268"/>
      <c r="X483" s="268"/>
      <c r="Y483" s="268"/>
      <c r="Z483" s="268"/>
    </row>
    <row r="484" spans="1:26" ht="24.75" customHeight="1">
      <c r="A484" s="268"/>
      <c r="B484" s="268"/>
      <c r="C484" s="268"/>
      <c r="D484" s="268"/>
      <c r="E484" s="268"/>
      <c r="F484" s="268"/>
      <c r="G484" s="268"/>
      <c r="H484" s="268"/>
      <c r="I484" s="268"/>
      <c r="J484" s="268"/>
      <c r="K484" s="268"/>
      <c r="L484" s="268"/>
      <c r="M484" s="268"/>
      <c r="N484" s="268"/>
      <c r="O484" s="268"/>
      <c r="P484" s="310"/>
      <c r="Q484" s="268"/>
      <c r="R484" s="309"/>
      <c r="S484" s="268"/>
      <c r="T484" s="313"/>
      <c r="U484" s="313"/>
      <c r="V484" s="268"/>
      <c r="W484" s="268"/>
      <c r="X484" s="268"/>
      <c r="Y484" s="268"/>
      <c r="Z484" s="268"/>
    </row>
    <row r="485" spans="1:26" ht="24.75" customHeight="1">
      <c r="A485" s="268"/>
      <c r="B485" s="268"/>
      <c r="C485" s="268"/>
      <c r="D485" s="268"/>
      <c r="E485" s="268"/>
      <c r="F485" s="268"/>
      <c r="G485" s="268"/>
      <c r="H485" s="268"/>
      <c r="I485" s="268"/>
      <c r="J485" s="268"/>
      <c r="K485" s="268"/>
      <c r="L485" s="268"/>
      <c r="M485" s="268"/>
      <c r="N485" s="268"/>
      <c r="O485" s="268"/>
      <c r="P485" s="310"/>
      <c r="Q485" s="268"/>
      <c r="R485" s="309"/>
      <c r="S485" s="268"/>
      <c r="T485" s="313"/>
      <c r="U485" s="313"/>
      <c r="V485" s="268"/>
      <c r="W485" s="268"/>
      <c r="X485" s="268"/>
      <c r="Y485" s="268"/>
      <c r="Z485" s="268"/>
    </row>
    <row r="486" spans="1:26" ht="24.75" customHeight="1">
      <c r="A486" s="268"/>
      <c r="B486" s="268"/>
      <c r="C486" s="268"/>
      <c r="D486" s="268"/>
      <c r="E486" s="268"/>
      <c r="F486" s="268"/>
      <c r="G486" s="268"/>
      <c r="H486" s="268"/>
      <c r="I486" s="268"/>
      <c r="J486" s="268"/>
      <c r="K486" s="268"/>
      <c r="L486" s="268"/>
      <c r="M486" s="268"/>
      <c r="N486" s="268"/>
      <c r="O486" s="268"/>
      <c r="P486" s="310"/>
      <c r="Q486" s="268"/>
      <c r="R486" s="309"/>
      <c r="S486" s="268"/>
      <c r="T486" s="313"/>
      <c r="U486" s="313"/>
      <c r="V486" s="268"/>
      <c r="W486" s="268"/>
      <c r="X486" s="268"/>
      <c r="Y486" s="268"/>
      <c r="Z486" s="268"/>
    </row>
    <row r="487" spans="1:26" ht="24.75" customHeight="1">
      <c r="A487" s="268"/>
      <c r="B487" s="268"/>
      <c r="C487" s="268"/>
      <c r="D487" s="268"/>
      <c r="E487" s="268"/>
      <c r="F487" s="268"/>
      <c r="G487" s="268"/>
      <c r="H487" s="268"/>
      <c r="I487" s="268"/>
      <c r="J487" s="268"/>
      <c r="K487" s="268"/>
      <c r="L487" s="268"/>
      <c r="M487" s="268"/>
      <c r="N487" s="268"/>
      <c r="O487" s="268"/>
      <c r="P487" s="310"/>
      <c r="Q487" s="268"/>
      <c r="R487" s="309"/>
      <c r="S487" s="268"/>
      <c r="T487" s="313"/>
      <c r="U487" s="313"/>
      <c r="V487" s="268"/>
      <c r="W487" s="268"/>
      <c r="X487" s="268"/>
      <c r="Y487" s="268"/>
      <c r="Z487" s="268"/>
    </row>
    <row r="488" spans="1:26" ht="24.75" customHeight="1">
      <c r="A488" s="268"/>
      <c r="B488" s="268"/>
      <c r="C488" s="268"/>
      <c r="D488" s="268"/>
      <c r="E488" s="268"/>
      <c r="F488" s="268"/>
      <c r="G488" s="268"/>
      <c r="H488" s="268"/>
      <c r="I488" s="268"/>
      <c r="J488" s="268"/>
      <c r="K488" s="268"/>
      <c r="L488" s="268"/>
      <c r="M488" s="268"/>
      <c r="N488" s="268"/>
      <c r="O488" s="268"/>
      <c r="P488" s="310"/>
      <c r="Q488" s="268"/>
      <c r="R488" s="309"/>
      <c r="S488" s="268"/>
      <c r="T488" s="313"/>
      <c r="U488" s="313"/>
      <c r="V488" s="268"/>
      <c r="W488" s="268"/>
      <c r="X488" s="268"/>
      <c r="Y488" s="268"/>
      <c r="Z488" s="268"/>
    </row>
    <row r="489" spans="1:26" ht="24.75" customHeight="1">
      <c r="A489" s="268"/>
      <c r="B489" s="268"/>
      <c r="C489" s="268"/>
      <c r="D489" s="268"/>
      <c r="E489" s="268"/>
      <c r="F489" s="268"/>
      <c r="G489" s="268"/>
      <c r="H489" s="268"/>
      <c r="I489" s="268"/>
      <c r="J489" s="268"/>
      <c r="K489" s="268"/>
      <c r="L489" s="268"/>
      <c r="M489" s="268"/>
      <c r="N489" s="268"/>
      <c r="O489" s="268"/>
      <c r="P489" s="310"/>
      <c r="Q489" s="268"/>
      <c r="R489" s="309"/>
      <c r="S489" s="268"/>
      <c r="T489" s="313"/>
      <c r="U489" s="313"/>
      <c r="V489" s="268"/>
      <c r="W489" s="268"/>
      <c r="X489" s="268"/>
      <c r="Y489" s="268"/>
      <c r="Z489" s="268"/>
    </row>
    <row r="490" spans="1:26" ht="24.75" customHeight="1">
      <c r="A490" s="268"/>
      <c r="B490" s="268"/>
      <c r="C490" s="268"/>
      <c r="D490" s="268"/>
      <c r="E490" s="268"/>
      <c r="F490" s="268"/>
      <c r="G490" s="268"/>
      <c r="H490" s="268"/>
      <c r="I490" s="268"/>
      <c r="J490" s="268"/>
      <c r="K490" s="268"/>
      <c r="L490" s="268"/>
      <c r="M490" s="268"/>
      <c r="N490" s="268"/>
      <c r="O490" s="268"/>
      <c r="P490" s="310"/>
      <c r="Q490" s="268"/>
      <c r="R490" s="309"/>
      <c r="S490" s="268"/>
      <c r="T490" s="313"/>
      <c r="U490" s="313"/>
      <c r="V490" s="268"/>
      <c r="W490" s="268"/>
      <c r="X490" s="268"/>
      <c r="Y490" s="268"/>
      <c r="Z490" s="268"/>
    </row>
    <row r="491" spans="1:26" ht="24.75" customHeight="1">
      <c r="A491" s="268"/>
      <c r="B491" s="268"/>
      <c r="C491" s="268"/>
      <c r="D491" s="268"/>
      <c r="E491" s="268"/>
      <c r="F491" s="268"/>
      <c r="G491" s="268"/>
      <c r="H491" s="268"/>
      <c r="I491" s="268"/>
      <c r="J491" s="268"/>
      <c r="K491" s="268"/>
      <c r="L491" s="268"/>
      <c r="M491" s="268"/>
      <c r="N491" s="268"/>
      <c r="O491" s="268"/>
      <c r="P491" s="310"/>
      <c r="Q491" s="268"/>
      <c r="R491" s="309"/>
      <c r="S491" s="268"/>
      <c r="T491" s="313"/>
      <c r="U491" s="313"/>
      <c r="V491" s="268"/>
      <c r="W491" s="268"/>
      <c r="X491" s="268"/>
      <c r="Y491" s="268"/>
      <c r="Z491" s="268"/>
    </row>
    <row r="492" spans="1:26" ht="24.75" customHeight="1">
      <c r="A492" s="268"/>
      <c r="B492" s="268"/>
      <c r="C492" s="268"/>
      <c r="D492" s="268"/>
      <c r="E492" s="268"/>
      <c r="F492" s="268"/>
      <c r="G492" s="268"/>
      <c r="H492" s="268"/>
      <c r="I492" s="268"/>
      <c r="J492" s="268"/>
      <c r="K492" s="268"/>
      <c r="L492" s="268"/>
      <c r="M492" s="268"/>
      <c r="N492" s="268"/>
      <c r="O492" s="268"/>
      <c r="P492" s="310"/>
      <c r="Q492" s="268"/>
      <c r="R492" s="309"/>
      <c r="S492" s="268"/>
      <c r="T492" s="313"/>
      <c r="U492" s="313"/>
      <c r="V492" s="268"/>
      <c r="W492" s="268"/>
      <c r="X492" s="268"/>
      <c r="Y492" s="268"/>
      <c r="Z492" s="268"/>
    </row>
    <row r="493" spans="1:26" ht="24.75" customHeight="1">
      <c r="A493" s="268"/>
      <c r="B493" s="268"/>
      <c r="C493" s="268"/>
      <c r="D493" s="268"/>
      <c r="E493" s="268"/>
      <c r="F493" s="268"/>
      <c r="G493" s="268"/>
      <c r="H493" s="268"/>
      <c r="I493" s="268"/>
      <c r="J493" s="268"/>
      <c r="K493" s="268"/>
      <c r="L493" s="268"/>
      <c r="M493" s="268"/>
      <c r="N493" s="268"/>
      <c r="O493" s="268"/>
      <c r="P493" s="310"/>
      <c r="Q493" s="268"/>
      <c r="R493" s="309"/>
      <c r="S493" s="268"/>
      <c r="T493" s="313"/>
      <c r="U493" s="313"/>
      <c r="V493" s="268"/>
      <c r="W493" s="268"/>
      <c r="X493" s="268"/>
      <c r="Y493" s="268"/>
      <c r="Z493" s="268"/>
    </row>
    <row r="494" spans="1:26" ht="24.75" customHeight="1">
      <c r="A494" s="268"/>
      <c r="B494" s="268"/>
      <c r="C494" s="268"/>
      <c r="D494" s="268"/>
      <c r="E494" s="268"/>
      <c r="F494" s="268"/>
      <c r="G494" s="268"/>
      <c r="H494" s="268"/>
      <c r="I494" s="268"/>
      <c r="J494" s="268"/>
      <c r="K494" s="268"/>
      <c r="L494" s="268"/>
      <c r="M494" s="268"/>
      <c r="N494" s="268"/>
      <c r="O494" s="268"/>
      <c r="P494" s="310"/>
      <c r="Q494" s="268"/>
      <c r="R494" s="309"/>
      <c r="S494" s="268"/>
      <c r="T494" s="313"/>
      <c r="U494" s="313"/>
      <c r="V494" s="268"/>
      <c r="W494" s="268"/>
      <c r="X494" s="268"/>
      <c r="Y494" s="268"/>
      <c r="Z494" s="268"/>
    </row>
    <row r="495" spans="1:26" ht="24.75" customHeight="1">
      <c r="A495" s="268"/>
      <c r="B495" s="268"/>
      <c r="C495" s="268"/>
      <c r="D495" s="268"/>
      <c r="E495" s="268"/>
      <c r="F495" s="268"/>
      <c r="G495" s="268"/>
      <c r="H495" s="268"/>
      <c r="I495" s="268"/>
      <c r="J495" s="268"/>
      <c r="K495" s="268"/>
      <c r="L495" s="268"/>
      <c r="M495" s="268"/>
      <c r="N495" s="268"/>
      <c r="O495" s="268"/>
      <c r="P495" s="310"/>
      <c r="Q495" s="268"/>
      <c r="R495" s="309"/>
      <c r="S495" s="268"/>
      <c r="T495" s="313"/>
      <c r="U495" s="313"/>
      <c r="V495" s="268"/>
      <c r="W495" s="268"/>
      <c r="X495" s="268"/>
      <c r="Y495" s="268"/>
      <c r="Z495" s="268"/>
    </row>
    <row r="496" spans="1:26" ht="24.75" customHeight="1">
      <c r="A496" s="268"/>
      <c r="B496" s="268"/>
      <c r="C496" s="268"/>
      <c r="D496" s="268"/>
      <c r="E496" s="268"/>
      <c r="F496" s="268"/>
      <c r="G496" s="268"/>
      <c r="H496" s="268"/>
      <c r="I496" s="268"/>
      <c r="J496" s="268"/>
      <c r="K496" s="268"/>
      <c r="L496" s="268"/>
      <c r="M496" s="268"/>
      <c r="N496" s="268"/>
      <c r="O496" s="268"/>
      <c r="P496" s="310"/>
      <c r="Q496" s="268"/>
      <c r="R496" s="309"/>
      <c r="S496" s="268"/>
      <c r="T496" s="313"/>
      <c r="U496" s="313"/>
      <c r="V496" s="268"/>
      <c r="W496" s="268"/>
      <c r="X496" s="268"/>
      <c r="Y496" s="268"/>
      <c r="Z496" s="268"/>
    </row>
    <row r="497" spans="1:26" ht="24.75" customHeight="1">
      <c r="A497" s="268"/>
      <c r="B497" s="268"/>
      <c r="C497" s="268"/>
      <c r="D497" s="268"/>
      <c r="E497" s="268"/>
      <c r="F497" s="268"/>
      <c r="G497" s="268"/>
      <c r="H497" s="268"/>
      <c r="I497" s="268"/>
      <c r="J497" s="268"/>
      <c r="K497" s="268"/>
      <c r="L497" s="268"/>
      <c r="M497" s="268"/>
      <c r="N497" s="268"/>
      <c r="O497" s="268"/>
      <c r="P497" s="310"/>
      <c r="Q497" s="268"/>
      <c r="R497" s="309"/>
      <c r="S497" s="268"/>
      <c r="T497" s="313"/>
      <c r="U497" s="313"/>
      <c r="V497" s="268"/>
      <c r="W497" s="268"/>
      <c r="X497" s="268"/>
      <c r="Y497" s="268"/>
      <c r="Z497" s="268"/>
    </row>
    <row r="498" spans="1:26" ht="24.75" customHeight="1">
      <c r="A498" s="268"/>
      <c r="B498" s="268"/>
      <c r="C498" s="268"/>
      <c r="D498" s="268"/>
      <c r="E498" s="268"/>
      <c r="F498" s="268"/>
      <c r="G498" s="268"/>
      <c r="H498" s="268"/>
      <c r="I498" s="268"/>
      <c r="J498" s="268"/>
      <c r="K498" s="268"/>
      <c r="L498" s="268"/>
      <c r="M498" s="268"/>
      <c r="N498" s="268"/>
      <c r="O498" s="268"/>
      <c r="P498" s="310"/>
      <c r="Q498" s="268"/>
      <c r="R498" s="309"/>
      <c r="S498" s="268"/>
      <c r="T498" s="313"/>
      <c r="U498" s="313"/>
      <c r="V498" s="268"/>
      <c r="W498" s="268"/>
      <c r="X498" s="268"/>
      <c r="Y498" s="268"/>
      <c r="Z498" s="268"/>
    </row>
    <row r="499" spans="1:26" ht="24.75" customHeight="1">
      <c r="A499" s="268"/>
      <c r="B499" s="268"/>
      <c r="C499" s="268"/>
      <c r="D499" s="268"/>
      <c r="E499" s="268"/>
      <c r="F499" s="268"/>
      <c r="G499" s="268"/>
      <c r="H499" s="268"/>
      <c r="I499" s="268"/>
      <c r="J499" s="268"/>
      <c r="K499" s="268"/>
      <c r="L499" s="268"/>
      <c r="M499" s="268"/>
      <c r="N499" s="268"/>
      <c r="O499" s="268"/>
      <c r="P499" s="310"/>
      <c r="Q499" s="268"/>
      <c r="R499" s="309"/>
      <c r="S499" s="268"/>
      <c r="T499" s="313"/>
      <c r="U499" s="313"/>
      <c r="V499" s="268"/>
      <c r="W499" s="268"/>
      <c r="X499" s="268"/>
      <c r="Y499" s="268"/>
      <c r="Z499" s="268"/>
    </row>
    <row r="500" spans="1:26" ht="24.75" customHeight="1">
      <c r="A500" s="268"/>
      <c r="B500" s="268"/>
      <c r="C500" s="268"/>
      <c r="D500" s="268"/>
      <c r="E500" s="268"/>
      <c r="F500" s="268"/>
      <c r="G500" s="268"/>
      <c r="H500" s="268"/>
      <c r="I500" s="268"/>
      <c r="J500" s="268"/>
      <c r="K500" s="268"/>
      <c r="L500" s="268"/>
      <c r="M500" s="268"/>
      <c r="N500" s="268"/>
      <c r="O500" s="268"/>
      <c r="P500" s="310"/>
      <c r="Q500" s="268"/>
      <c r="R500" s="309"/>
      <c r="S500" s="268"/>
      <c r="T500" s="313"/>
      <c r="U500" s="313"/>
      <c r="V500" s="268"/>
      <c r="W500" s="268"/>
      <c r="X500" s="268"/>
      <c r="Y500" s="268"/>
      <c r="Z500" s="268"/>
    </row>
    <row r="501" spans="1:26" ht="24.75" customHeight="1">
      <c r="A501" s="268"/>
      <c r="B501" s="268"/>
      <c r="C501" s="268"/>
      <c r="D501" s="268"/>
      <c r="E501" s="268"/>
      <c r="F501" s="268"/>
      <c r="G501" s="268"/>
      <c r="H501" s="268"/>
      <c r="I501" s="268"/>
      <c r="J501" s="268"/>
      <c r="K501" s="268"/>
      <c r="L501" s="268"/>
      <c r="M501" s="268"/>
      <c r="N501" s="268"/>
      <c r="O501" s="268"/>
      <c r="P501" s="310"/>
      <c r="Q501" s="268"/>
      <c r="R501" s="309"/>
      <c r="S501" s="268"/>
      <c r="T501" s="313"/>
      <c r="U501" s="313"/>
      <c r="V501" s="268"/>
      <c r="W501" s="268"/>
      <c r="X501" s="268"/>
      <c r="Y501" s="268"/>
      <c r="Z501" s="268"/>
    </row>
    <row r="502" spans="1:26" ht="24.75" customHeight="1">
      <c r="A502" s="268"/>
      <c r="B502" s="268"/>
      <c r="C502" s="268"/>
      <c r="D502" s="268"/>
      <c r="E502" s="268"/>
      <c r="F502" s="268"/>
      <c r="G502" s="268"/>
      <c r="H502" s="268"/>
      <c r="I502" s="268"/>
      <c r="J502" s="268"/>
      <c r="K502" s="268"/>
      <c r="L502" s="268"/>
      <c r="M502" s="268"/>
      <c r="N502" s="268"/>
      <c r="O502" s="268"/>
      <c r="P502" s="310"/>
      <c r="Q502" s="268"/>
      <c r="R502" s="309"/>
      <c r="S502" s="268"/>
      <c r="T502" s="313"/>
      <c r="U502" s="313"/>
      <c r="V502" s="268"/>
      <c r="W502" s="268"/>
      <c r="X502" s="268"/>
      <c r="Y502" s="268"/>
      <c r="Z502" s="268"/>
    </row>
    <row r="503" spans="1:26" ht="24.75" customHeight="1">
      <c r="A503" s="268"/>
      <c r="B503" s="268"/>
      <c r="C503" s="268"/>
      <c r="D503" s="268"/>
      <c r="E503" s="268"/>
      <c r="F503" s="268"/>
      <c r="G503" s="268"/>
      <c r="H503" s="268"/>
      <c r="I503" s="268"/>
      <c r="J503" s="268"/>
      <c r="K503" s="268"/>
      <c r="L503" s="268"/>
      <c r="M503" s="268"/>
      <c r="N503" s="268"/>
      <c r="O503" s="268"/>
      <c r="P503" s="310"/>
      <c r="Q503" s="268"/>
      <c r="R503" s="309"/>
      <c r="S503" s="268"/>
      <c r="T503" s="313"/>
      <c r="U503" s="313"/>
      <c r="V503" s="268"/>
      <c r="W503" s="268"/>
      <c r="X503" s="268"/>
      <c r="Y503" s="268"/>
      <c r="Z503" s="268"/>
    </row>
    <row r="504" spans="1:26" ht="24.75" customHeight="1">
      <c r="A504" s="268"/>
      <c r="B504" s="268"/>
      <c r="C504" s="268"/>
      <c r="D504" s="268"/>
      <c r="E504" s="268"/>
      <c r="F504" s="268"/>
      <c r="G504" s="268"/>
      <c r="H504" s="268"/>
      <c r="I504" s="268"/>
      <c r="J504" s="268"/>
      <c r="K504" s="268"/>
      <c r="L504" s="268"/>
      <c r="M504" s="268"/>
      <c r="N504" s="268"/>
      <c r="O504" s="268"/>
      <c r="P504" s="310"/>
      <c r="Q504" s="268"/>
      <c r="R504" s="309"/>
      <c r="S504" s="268"/>
      <c r="T504" s="313"/>
      <c r="U504" s="313"/>
      <c r="V504" s="268"/>
      <c r="W504" s="268"/>
      <c r="X504" s="268"/>
      <c r="Y504" s="268"/>
      <c r="Z504" s="268"/>
    </row>
    <row r="505" spans="1:26" ht="24.75" customHeight="1">
      <c r="A505" s="268"/>
      <c r="B505" s="268"/>
      <c r="C505" s="268"/>
      <c r="D505" s="268"/>
      <c r="E505" s="268"/>
      <c r="F505" s="268"/>
      <c r="G505" s="268"/>
      <c r="H505" s="268"/>
      <c r="I505" s="268"/>
      <c r="J505" s="268"/>
      <c r="K505" s="268"/>
      <c r="L505" s="268"/>
      <c r="M505" s="268"/>
      <c r="N505" s="268"/>
      <c r="O505" s="268"/>
      <c r="P505" s="310"/>
      <c r="Q505" s="268"/>
      <c r="R505" s="309"/>
      <c r="S505" s="268"/>
      <c r="T505" s="313"/>
      <c r="U505" s="313"/>
      <c r="V505" s="268"/>
      <c r="W505" s="268"/>
      <c r="X505" s="268"/>
      <c r="Y505" s="268"/>
      <c r="Z505" s="268"/>
    </row>
    <row r="506" spans="1:26" ht="24.75" customHeight="1">
      <c r="A506" s="268"/>
      <c r="B506" s="268"/>
      <c r="C506" s="268"/>
      <c r="D506" s="268"/>
      <c r="E506" s="268"/>
      <c r="F506" s="268"/>
      <c r="G506" s="268"/>
      <c r="H506" s="268"/>
      <c r="I506" s="268"/>
      <c r="J506" s="268"/>
      <c r="K506" s="268"/>
      <c r="L506" s="268"/>
      <c r="M506" s="268"/>
      <c r="N506" s="268"/>
      <c r="O506" s="268"/>
      <c r="P506" s="310"/>
      <c r="Q506" s="268"/>
      <c r="R506" s="309"/>
      <c r="S506" s="268"/>
      <c r="T506" s="313"/>
      <c r="U506" s="313"/>
      <c r="V506" s="268"/>
      <c r="W506" s="268"/>
      <c r="X506" s="268"/>
      <c r="Y506" s="268"/>
      <c r="Z506" s="268"/>
    </row>
    <row r="507" spans="1:26" ht="24.75" customHeight="1">
      <c r="A507" s="268"/>
      <c r="B507" s="268"/>
      <c r="C507" s="268"/>
      <c r="D507" s="268"/>
      <c r="E507" s="268"/>
      <c r="F507" s="268"/>
      <c r="G507" s="268"/>
      <c r="H507" s="268"/>
      <c r="I507" s="268"/>
      <c r="J507" s="268"/>
      <c r="K507" s="268"/>
      <c r="L507" s="268"/>
      <c r="M507" s="268"/>
      <c r="N507" s="268"/>
      <c r="O507" s="268"/>
      <c r="P507" s="310"/>
      <c r="Q507" s="268"/>
      <c r="R507" s="309"/>
      <c r="S507" s="268"/>
      <c r="T507" s="313"/>
      <c r="U507" s="313"/>
      <c r="V507" s="268"/>
      <c r="W507" s="268"/>
      <c r="X507" s="268"/>
      <c r="Y507" s="268"/>
      <c r="Z507" s="268"/>
    </row>
    <row r="508" spans="1:26" ht="24.75" customHeight="1">
      <c r="A508" s="268"/>
      <c r="B508" s="268"/>
      <c r="C508" s="268"/>
      <c r="D508" s="268"/>
      <c r="E508" s="268"/>
      <c r="F508" s="268"/>
      <c r="G508" s="268"/>
      <c r="H508" s="268"/>
      <c r="I508" s="268"/>
      <c r="J508" s="268"/>
      <c r="K508" s="268"/>
      <c r="L508" s="268"/>
      <c r="M508" s="268"/>
      <c r="N508" s="268"/>
      <c r="O508" s="268"/>
      <c r="P508" s="310"/>
      <c r="Q508" s="268"/>
      <c r="R508" s="309"/>
      <c r="S508" s="268"/>
      <c r="T508" s="313"/>
      <c r="U508" s="313"/>
      <c r="V508" s="268"/>
      <c r="W508" s="268"/>
      <c r="X508" s="268"/>
      <c r="Y508" s="268"/>
      <c r="Z508" s="268"/>
    </row>
    <row r="509" spans="1:26" ht="24.75" customHeight="1">
      <c r="A509" s="268"/>
      <c r="B509" s="268"/>
      <c r="C509" s="268"/>
      <c r="D509" s="268"/>
      <c r="E509" s="268"/>
      <c r="F509" s="268"/>
      <c r="G509" s="268"/>
      <c r="H509" s="268"/>
      <c r="I509" s="268"/>
      <c r="J509" s="268"/>
      <c r="K509" s="268"/>
      <c r="L509" s="268"/>
      <c r="M509" s="268"/>
      <c r="N509" s="268"/>
      <c r="O509" s="268"/>
      <c r="P509" s="310"/>
      <c r="Q509" s="268"/>
      <c r="R509" s="309"/>
      <c r="S509" s="268"/>
      <c r="T509" s="313"/>
      <c r="U509" s="313"/>
      <c r="V509" s="268"/>
      <c r="W509" s="268"/>
      <c r="X509" s="268"/>
      <c r="Y509" s="268"/>
      <c r="Z509" s="268"/>
    </row>
    <row r="510" spans="1:26" ht="24.75" customHeight="1">
      <c r="A510" s="268"/>
      <c r="B510" s="268"/>
      <c r="C510" s="268"/>
      <c r="D510" s="268"/>
      <c r="E510" s="268"/>
      <c r="F510" s="268"/>
      <c r="G510" s="268"/>
      <c r="H510" s="268"/>
      <c r="I510" s="268"/>
      <c r="J510" s="268"/>
      <c r="K510" s="268"/>
      <c r="L510" s="268"/>
      <c r="M510" s="268"/>
      <c r="N510" s="268"/>
      <c r="O510" s="268"/>
      <c r="P510" s="310"/>
      <c r="Q510" s="268"/>
      <c r="R510" s="309"/>
      <c r="S510" s="268"/>
      <c r="T510" s="313"/>
      <c r="U510" s="313"/>
      <c r="V510" s="268"/>
      <c r="W510" s="268"/>
      <c r="X510" s="268"/>
      <c r="Y510" s="268"/>
      <c r="Z510" s="268"/>
    </row>
    <row r="511" spans="1:26" ht="24.75" customHeight="1">
      <c r="A511" s="268"/>
      <c r="B511" s="268"/>
      <c r="C511" s="268"/>
      <c r="D511" s="268"/>
      <c r="E511" s="268"/>
      <c r="F511" s="268"/>
      <c r="G511" s="268"/>
      <c r="H511" s="268"/>
      <c r="I511" s="268"/>
      <c r="J511" s="268"/>
      <c r="K511" s="268"/>
      <c r="L511" s="268"/>
      <c r="M511" s="268"/>
      <c r="N511" s="268"/>
      <c r="O511" s="268"/>
      <c r="P511" s="310"/>
      <c r="Q511" s="268"/>
      <c r="R511" s="309"/>
      <c r="S511" s="268"/>
      <c r="T511" s="313"/>
      <c r="U511" s="313"/>
      <c r="V511" s="268"/>
      <c r="W511" s="268"/>
      <c r="X511" s="268"/>
      <c r="Y511" s="268"/>
      <c r="Z511" s="268"/>
    </row>
    <row r="512" spans="1:26" ht="24.75" customHeight="1">
      <c r="A512" s="268"/>
      <c r="B512" s="268"/>
      <c r="C512" s="268"/>
      <c r="D512" s="268"/>
      <c r="E512" s="268"/>
      <c r="F512" s="268"/>
      <c r="G512" s="268"/>
      <c r="H512" s="268"/>
      <c r="I512" s="268"/>
      <c r="J512" s="268"/>
      <c r="K512" s="268"/>
      <c r="L512" s="268"/>
      <c r="M512" s="268"/>
      <c r="N512" s="268"/>
      <c r="O512" s="268"/>
      <c r="P512" s="310"/>
      <c r="Q512" s="268"/>
      <c r="R512" s="309"/>
      <c r="S512" s="268"/>
      <c r="T512" s="313"/>
      <c r="U512" s="313"/>
      <c r="V512" s="268"/>
      <c r="W512" s="268"/>
      <c r="X512" s="268"/>
      <c r="Y512" s="268"/>
      <c r="Z512" s="268"/>
    </row>
    <row r="513" spans="1:26" ht="24.75" customHeight="1">
      <c r="A513" s="268"/>
      <c r="B513" s="268"/>
      <c r="C513" s="268"/>
      <c r="D513" s="268"/>
      <c r="E513" s="268"/>
      <c r="F513" s="268"/>
      <c r="G513" s="268"/>
      <c r="H513" s="268"/>
      <c r="I513" s="268"/>
      <c r="J513" s="268"/>
      <c r="K513" s="268"/>
      <c r="L513" s="268"/>
      <c r="M513" s="268"/>
      <c r="N513" s="268"/>
      <c r="O513" s="268"/>
      <c r="P513" s="310"/>
      <c r="Q513" s="268"/>
      <c r="R513" s="309"/>
      <c r="S513" s="268"/>
      <c r="T513" s="313"/>
      <c r="U513" s="313"/>
      <c r="V513" s="268"/>
      <c r="W513" s="268"/>
      <c r="X513" s="268"/>
      <c r="Y513" s="268"/>
      <c r="Z513" s="268"/>
    </row>
    <row r="514" spans="1:26" ht="24.75" customHeight="1">
      <c r="A514" s="268"/>
      <c r="B514" s="268"/>
      <c r="C514" s="268"/>
      <c r="D514" s="268"/>
      <c r="E514" s="268"/>
      <c r="F514" s="268"/>
      <c r="G514" s="268"/>
      <c r="H514" s="268"/>
      <c r="I514" s="268"/>
      <c r="J514" s="268"/>
      <c r="K514" s="268"/>
      <c r="L514" s="268"/>
      <c r="M514" s="268"/>
      <c r="N514" s="268"/>
      <c r="O514" s="268"/>
      <c r="P514" s="310"/>
      <c r="Q514" s="268"/>
      <c r="R514" s="309"/>
      <c r="S514" s="268"/>
      <c r="T514" s="313"/>
      <c r="U514" s="313"/>
      <c r="V514" s="268"/>
      <c r="W514" s="268"/>
      <c r="X514" s="268"/>
      <c r="Y514" s="268"/>
      <c r="Z514" s="268"/>
    </row>
    <row r="515" spans="1:26" ht="24.75" customHeight="1">
      <c r="A515" s="268"/>
      <c r="B515" s="268"/>
      <c r="C515" s="268"/>
      <c r="D515" s="268"/>
      <c r="E515" s="268"/>
      <c r="F515" s="268"/>
      <c r="G515" s="268"/>
      <c r="H515" s="268"/>
      <c r="I515" s="268"/>
      <c r="J515" s="268"/>
      <c r="K515" s="268"/>
      <c r="L515" s="268"/>
      <c r="M515" s="268"/>
      <c r="N515" s="268"/>
      <c r="O515" s="268"/>
      <c r="P515" s="310"/>
      <c r="Q515" s="268"/>
      <c r="R515" s="309"/>
      <c r="S515" s="268"/>
      <c r="T515" s="313"/>
      <c r="U515" s="313"/>
      <c r="V515" s="268"/>
      <c r="W515" s="268"/>
      <c r="X515" s="268"/>
      <c r="Y515" s="268"/>
      <c r="Z515" s="268"/>
    </row>
    <row r="516" spans="1:26" ht="24.75" customHeight="1">
      <c r="A516" s="268"/>
      <c r="B516" s="268"/>
      <c r="C516" s="268"/>
      <c r="D516" s="268"/>
      <c r="E516" s="268"/>
      <c r="F516" s="268"/>
      <c r="G516" s="268"/>
      <c r="H516" s="268"/>
      <c r="I516" s="268"/>
      <c r="J516" s="268"/>
      <c r="K516" s="268"/>
      <c r="L516" s="268"/>
      <c r="M516" s="268"/>
      <c r="N516" s="268"/>
      <c r="O516" s="268"/>
      <c r="P516" s="310"/>
      <c r="Q516" s="268"/>
      <c r="R516" s="309"/>
      <c r="S516" s="268"/>
      <c r="T516" s="313"/>
      <c r="U516" s="313"/>
      <c r="V516" s="268"/>
      <c r="W516" s="268"/>
      <c r="X516" s="268"/>
      <c r="Y516" s="268"/>
      <c r="Z516" s="268"/>
    </row>
    <row r="517" spans="1:26" ht="24.75" customHeight="1">
      <c r="A517" s="268"/>
      <c r="B517" s="268"/>
      <c r="C517" s="268"/>
      <c r="D517" s="268"/>
      <c r="E517" s="268"/>
      <c r="F517" s="268"/>
      <c r="G517" s="268"/>
      <c r="H517" s="268"/>
      <c r="I517" s="268"/>
      <c r="J517" s="268"/>
      <c r="K517" s="268"/>
      <c r="L517" s="268"/>
      <c r="M517" s="268"/>
      <c r="N517" s="268"/>
      <c r="O517" s="268"/>
      <c r="P517" s="310"/>
      <c r="Q517" s="268"/>
      <c r="R517" s="309"/>
      <c r="S517" s="268"/>
      <c r="T517" s="313"/>
      <c r="U517" s="313"/>
      <c r="V517" s="268"/>
      <c r="W517" s="268"/>
      <c r="X517" s="268"/>
      <c r="Y517" s="268"/>
      <c r="Z517" s="268"/>
    </row>
    <row r="518" spans="1:26" ht="24.75" customHeight="1">
      <c r="A518" s="268"/>
      <c r="B518" s="268"/>
      <c r="C518" s="268"/>
      <c r="D518" s="268"/>
      <c r="E518" s="268"/>
      <c r="F518" s="268"/>
      <c r="G518" s="268"/>
      <c r="H518" s="268"/>
      <c r="I518" s="268"/>
      <c r="J518" s="268"/>
      <c r="K518" s="268"/>
      <c r="L518" s="268"/>
      <c r="M518" s="268"/>
      <c r="N518" s="268"/>
      <c r="O518" s="268"/>
      <c r="P518" s="310"/>
      <c r="Q518" s="268"/>
      <c r="R518" s="309"/>
      <c r="S518" s="268"/>
      <c r="T518" s="313"/>
      <c r="U518" s="313"/>
      <c r="V518" s="268"/>
      <c r="W518" s="268"/>
      <c r="X518" s="268"/>
      <c r="Y518" s="268"/>
      <c r="Z518" s="268"/>
    </row>
    <row r="519" spans="1:26" ht="24.75" customHeight="1">
      <c r="A519" s="268"/>
      <c r="B519" s="268"/>
      <c r="C519" s="268"/>
      <c r="D519" s="268"/>
      <c r="E519" s="268"/>
      <c r="F519" s="268"/>
      <c r="G519" s="268"/>
      <c r="H519" s="268"/>
      <c r="I519" s="268"/>
      <c r="J519" s="268"/>
      <c r="K519" s="268"/>
      <c r="L519" s="268"/>
      <c r="M519" s="268"/>
      <c r="N519" s="268"/>
      <c r="O519" s="268"/>
      <c r="P519" s="310"/>
      <c r="Q519" s="268"/>
      <c r="R519" s="309"/>
      <c r="S519" s="268"/>
      <c r="T519" s="313"/>
      <c r="U519" s="313"/>
      <c r="V519" s="268"/>
      <c r="W519" s="268"/>
      <c r="X519" s="268"/>
      <c r="Y519" s="268"/>
      <c r="Z519" s="268"/>
    </row>
    <row r="520" spans="1:26" ht="24.75" customHeight="1">
      <c r="A520" s="268"/>
      <c r="B520" s="268"/>
      <c r="C520" s="268"/>
      <c r="D520" s="268"/>
      <c r="E520" s="268"/>
      <c r="F520" s="268"/>
      <c r="G520" s="268"/>
      <c r="H520" s="268"/>
      <c r="I520" s="268"/>
      <c r="J520" s="268"/>
      <c r="K520" s="268"/>
      <c r="L520" s="268"/>
      <c r="M520" s="268"/>
      <c r="N520" s="268"/>
      <c r="O520" s="268"/>
      <c r="P520" s="310"/>
      <c r="Q520" s="268"/>
      <c r="R520" s="309"/>
      <c r="S520" s="268"/>
      <c r="T520" s="313"/>
      <c r="U520" s="313"/>
      <c r="V520" s="268"/>
      <c r="W520" s="268"/>
      <c r="X520" s="268"/>
      <c r="Y520" s="268"/>
      <c r="Z520" s="268"/>
    </row>
    <row r="521" spans="1:26" ht="24.75" customHeight="1">
      <c r="A521" s="268"/>
      <c r="B521" s="268"/>
      <c r="C521" s="268"/>
      <c r="D521" s="268"/>
      <c r="E521" s="268"/>
      <c r="F521" s="268"/>
      <c r="G521" s="268"/>
      <c r="H521" s="268"/>
      <c r="I521" s="268"/>
      <c r="J521" s="268"/>
      <c r="K521" s="268"/>
      <c r="L521" s="268"/>
      <c r="M521" s="268"/>
      <c r="N521" s="268"/>
      <c r="O521" s="268"/>
      <c r="P521" s="310"/>
      <c r="Q521" s="268"/>
      <c r="R521" s="309"/>
      <c r="S521" s="268"/>
      <c r="T521" s="313"/>
      <c r="U521" s="313"/>
      <c r="V521" s="268"/>
      <c r="W521" s="268"/>
      <c r="X521" s="268"/>
      <c r="Y521" s="268"/>
      <c r="Z521" s="268"/>
    </row>
    <row r="522" spans="1:26" ht="24.75" customHeight="1">
      <c r="A522" s="268"/>
      <c r="B522" s="268"/>
      <c r="C522" s="268"/>
      <c r="D522" s="268"/>
      <c r="E522" s="268"/>
      <c r="F522" s="268"/>
      <c r="G522" s="268"/>
      <c r="H522" s="268"/>
      <c r="I522" s="268"/>
      <c r="J522" s="268"/>
      <c r="K522" s="268"/>
      <c r="L522" s="268"/>
      <c r="M522" s="268"/>
      <c r="N522" s="268"/>
      <c r="O522" s="268"/>
      <c r="P522" s="310"/>
      <c r="Q522" s="268"/>
      <c r="R522" s="309"/>
      <c r="S522" s="268"/>
      <c r="T522" s="313"/>
      <c r="U522" s="313"/>
      <c r="V522" s="268"/>
      <c r="W522" s="268"/>
      <c r="X522" s="268"/>
      <c r="Y522" s="268"/>
      <c r="Z522" s="268"/>
    </row>
    <row r="523" spans="1:26" ht="24.75" customHeight="1">
      <c r="A523" s="268"/>
      <c r="B523" s="268"/>
      <c r="C523" s="268"/>
      <c r="D523" s="268"/>
      <c r="E523" s="268"/>
      <c r="F523" s="268"/>
      <c r="G523" s="268"/>
      <c r="H523" s="268"/>
      <c r="I523" s="268"/>
      <c r="J523" s="268"/>
      <c r="K523" s="268"/>
      <c r="L523" s="268"/>
      <c r="M523" s="268"/>
      <c r="N523" s="268"/>
      <c r="O523" s="268"/>
      <c r="P523" s="310"/>
      <c r="Q523" s="268"/>
      <c r="R523" s="309"/>
      <c r="S523" s="268"/>
      <c r="T523" s="313"/>
      <c r="U523" s="313"/>
      <c r="V523" s="268"/>
      <c r="W523" s="268"/>
      <c r="X523" s="268"/>
      <c r="Y523" s="268"/>
      <c r="Z523" s="268"/>
    </row>
    <row r="524" spans="1:26" ht="24.75" customHeight="1">
      <c r="A524" s="268"/>
      <c r="B524" s="268"/>
      <c r="C524" s="268"/>
      <c r="D524" s="268"/>
      <c r="E524" s="268"/>
      <c r="F524" s="268"/>
      <c r="G524" s="268"/>
      <c r="H524" s="268"/>
      <c r="I524" s="268"/>
      <c r="J524" s="268"/>
      <c r="K524" s="268"/>
      <c r="L524" s="268"/>
      <c r="M524" s="268"/>
      <c r="N524" s="268"/>
      <c r="O524" s="268"/>
      <c r="P524" s="310"/>
      <c r="Q524" s="268"/>
      <c r="R524" s="309"/>
      <c r="S524" s="268"/>
      <c r="T524" s="313"/>
      <c r="U524" s="313"/>
      <c r="V524" s="268"/>
      <c r="W524" s="268"/>
      <c r="X524" s="268"/>
      <c r="Y524" s="268"/>
      <c r="Z524" s="268"/>
    </row>
    <row r="525" spans="1:26" ht="24.75" customHeight="1">
      <c r="A525" s="268"/>
      <c r="B525" s="268"/>
      <c r="C525" s="268"/>
      <c r="D525" s="268"/>
      <c r="E525" s="268"/>
      <c r="F525" s="268"/>
      <c r="G525" s="268"/>
      <c r="H525" s="268"/>
      <c r="I525" s="268"/>
      <c r="J525" s="268"/>
      <c r="K525" s="268"/>
      <c r="L525" s="268"/>
      <c r="M525" s="268"/>
      <c r="N525" s="268"/>
      <c r="O525" s="268"/>
      <c r="P525" s="310"/>
      <c r="Q525" s="268"/>
      <c r="R525" s="309"/>
      <c r="S525" s="268"/>
      <c r="T525" s="313"/>
      <c r="U525" s="313"/>
      <c r="V525" s="268"/>
      <c r="W525" s="268"/>
      <c r="X525" s="268"/>
      <c r="Y525" s="268"/>
      <c r="Z525" s="268"/>
    </row>
    <row r="526" spans="1:26" ht="24.75" customHeight="1">
      <c r="A526" s="268"/>
      <c r="B526" s="268"/>
      <c r="C526" s="268"/>
      <c r="D526" s="268"/>
      <c r="E526" s="268"/>
      <c r="F526" s="268"/>
      <c r="G526" s="268"/>
      <c r="H526" s="268"/>
      <c r="I526" s="268"/>
      <c r="J526" s="268"/>
      <c r="K526" s="268"/>
      <c r="L526" s="268"/>
      <c r="M526" s="268"/>
      <c r="N526" s="268"/>
      <c r="O526" s="268"/>
      <c r="P526" s="310"/>
      <c r="Q526" s="268"/>
      <c r="R526" s="309"/>
      <c r="S526" s="268"/>
      <c r="T526" s="313"/>
      <c r="U526" s="313"/>
      <c r="V526" s="268"/>
      <c r="W526" s="268"/>
      <c r="X526" s="268"/>
      <c r="Y526" s="268"/>
      <c r="Z526" s="268"/>
    </row>
    <row r="527" spans="1:26" ht="24.75" customHeight="1">
      <c r="A527" s="268"/>
      <c r="B527" s="268"/>
      <c r="C527" s="268"/>
      <c r="D527" s="268"/>
      <c r="E527" s="268"/>
      <c r="F527" s="268"/>
      <c r="G527" s="268"/>
      <c r="H527" s="268"/>
      <c r="I527" s="268"/>
      <c r="J527" s="268"/>
      <c r="K527" s="268"/>
      <c r="L527" s="268"/>
      <c r="M527" s="268"/>
      <c r="N527" s="268"/>
      <c r="O527" s="268"/>
      <c r="P527" s="310"/>
      <c r="Q527" s="268"/>
      <c r="R527" s="309"/>
      <c r="S527" s="268"/>
      <c r="T527" s="313"/>
      <c r="U527" s="313"/>
      <c r="V527" s="268"/>
      <c r="W527" s="268"/>
      <c r="X527" s="268"/>
      <c r="Y527" s="268"/>
      <c r="Z527" s="268"/>
    </row>
    <row r="528" spans="1:26" ht="24.75" customHeight="1">
      <c r="A528" s="268"/>
      <c r="B528" s="268"/>
      <c r="C528" s="268"/>
      <c r="D528" s="268"/>
      <c r="E528" s="268"/>
      <c r="F528" s="268"/>
      <c r="G528" s="268"/>
      <c r="H528" s="268"/>
      <c r="I528" s="268"/>
      <c r="J528" s="268"/>
      <c r="K528" s="268"/>
      <c r="L528" s="268"/>
      <c r="M528" s="268"/>
      <c r="N528" s="268"/>
      <c r="O528" s="268"/>
      <c r="P528" s="310"/>
      <c r="Q528" s="268"/>
      <c r="R528" s="309"/>
      <c r="S528" s="268"/>
      <c r="T528" s="313"/>
      <c r="U528" s="313"/>
      <c r="V528" s="268"/>
      <c r="W528" s="268"/>
      <c r="X528" s="268"/>
      <c r="Y528" s="268"/>
      <c r="Z528" s="268"/>
    </row>
    <row r="529" spans="1:26" ht="24.75" customHeight="1">
      <c r="A529" s="268"/>
      <c r="B529" s="268"/>
      <c r="C529" s="268"/>
      <c r="D529" s="268"/>
      <c r="E529" s="268"/>
      <c r="F529" s="268"/>
      <c r="G529" s="268"/>
      <c r="H529" s="268"/>
      <c r="I529" s="268"/>
      <c r="J529" s="268"/>
      <c r="K529" s="268"/>
      <c r="L529" s="268"/>
      <c r="M529" s="268"/>
      <c r="N529" s="268"/>
      <c r="O529" s="268"/>
      <c r="P529" s="310"/>
      <c r="Q529" s="268"/>
      <c r="R529" s="309"/>
      <c r="S529" s="268"/>
      <c r="T529" s="313"/>
      <c r="U529" s="313"/>
      <c r="V529" s="268"/>
      <c r="W529" s="268"/>
      <c r="X529" s="268"/>
      <c r="Y529" s="268"/>
      <c r="Z529" s="268"/>
    </row>
    <row r="530" spans="1:26" ht="24.75" customHeight="1">
      <c r="A530" s="268"/>
      <c r="B530" s="268"/>
      <c r="C530" s="268"/>
      <c r="D530" s="268"/>
      <c r="E530" s="268"/>
      <c r="F530" s="268"/>
      <c r="G530" s="268"/>
      <c r="H530" s="268"/>
      <c r="I530" s="268"/>
      <c r="J530" s="268"/>
      <c r="K530" s="268"/>
      <c r="L530" s="268"/>
      <c r="M530" s="268"/>
      <c r="N530" s="268"/>
      <c r="O530" s="268"/>
      <c r="P530" s="310"/>
      <c r="Q530" s="268"/>
      <c r="R530" s="309"/>
      <c r="S530" s="268"/>
      <c r="T530" s="313"/>
      <c r="U530" s="313"/>
      <c r="V530" s="268"/>
      <c r="W530" s="268"/>
      <c r="X530" s="268"/>
      <c r="Y530" s="268"/>
      <c r="Z530" s="268"/>
    </row>
    <row r="531" spans="1:26" ht="24.75" customHeight="1">
      <c r="A531" s="268"/>
      <c r="B531" s="268"/>
      <c r="C531" s="268"/>
      <c r="D531" s="268"/>
      <c r="E531" s="268"/>
      <c r="F531" s="268"/>
      <c r="G531" s="268"/>
      <c r="H531" s="268"/>
      <c r="I531" s="268"/>
      <c r="J531" s="268"/>
      <c r="K531" s="268"/>
      <c r="L531" s="268"/>
      <c r="M531" s="268"/>
      <c r="N531" s="268"/>
      <c r="O531" s="268"/>
      <c r="P531" s="310"/>
      <c r="Q531" s="268"/>
      <c r="R531" s="309"/>
      <c r="S531" s="268"/>
      <c r="T531" s="313"/>
      <c r="U531" s="313"/>
      <c r="V531" s="268"/>
      <c r="W531" s="268"/>
      <c r="X531" s="268"/>
      <c r="Y531" s="268"/>
      <c r="Z531" s="268"/>
    </row>
    <row r="532" spans="1:26" ht="24.75" customHeight="1">
      <c r="A532" s="268"/>
      <c r="B532" s="268"/>
      <c r="C532" s="268"/>
      <c r="D532" s="268"/>
      <c r="E532" s="268"/>
      <c r="F532" s="268"/>
      <c r="G532" s="268"/>
      <c r="H532" s="268"/>
      <c r="I532" s="268"/>
      <c r="J532" s="268"/>
      <c r="K532" s="268"/>
      <c r="L532" s="268"/>
      <c r="M532" s="268"/>
      <c r="N532" s="268"/>
      <c r="O532" s="268"/>
      <c r="P532" s="310"/>
      <c r="Q532" s="268"/>
      <c r="R532" s="309"/>
      <c r="S532" s="268"/>
      <c r="T532" s="313"/>
      <c r="U532" s="313"/>
      <c r="V532" s="268"/>
      <c r="W532" s="268"/>
      <c r="X532" s="268"/>
      <c r="Y532" s="268"/>
      <c r="Z532" s="268"/>
    </row>
    <row r="533" spans="1:26" ht="24.75" customHeight="1">
      <c r="A533" s="268"/>
      <c r="B533" s="268"/>
      <c r="C533" s="268"/>
      <c r="D533" s="268"/>
      <c r="E533" s="268"/>
      <c r="F533" s="268"/>
      <c r="G533" s="268"/>
      <c r="H533" s="268"/>
      <c r="I533" s="268"/>
      <c r="J533" s="268"/>
      <c r="K533" s="268"/>
      <c r="L533" s="268"/>
      <c r="M533" s="268"/>
      <c r="N533" s="268"/>
      <c r="O533" s="268"/>
      <c r="P533" s="310"/>
      <c r="Q533" s="268"/>
      <c r="R533" s="309"/>
      <c r="S533" s="268"/>
      <c r="T533" s="313"/>
      <c r="U533" s="313"/>
      <c r="V533" s="268"/>
      <c r="W533" s="268"/>
      <c r="X533" s="268"/>
      <c r="Y533" s="268"/>
      <c r="Z533" s="268"/>
    </row>
    <row r="534" spans="1:26" ht="24.75" customHeight="1">
      <c r="A534" s="268"/>
      <c r="B534" s="268"/>
      <c r="C534" s="268"/>
      <c r="D534" s="268"/>
      <c r="E534" s="268"/>
      <c r="F534" s="268"/>
      <c r="G534" s="268"/>
      <c r="H534" s="268"/>
      <c r="I534" s="268"/>
      <c r="J534" s="268"/>
      <c r="K534" s="268"/>
      <c r="L534" s="268"/>
      <c r="M534" s="268"/>
      <c r="N534" s="268"/>
      <c r="O534" s="268"/>
      <c r="P534" s="310"/>
      <c r="Q534" s="268"/>
      <c r="R534" s="309"/>
      <c r="S534" s="268"/>
      <c r="T534" s="313"/>
      <c r="U534" s="313"/>
      <c r="V534" s="268"/>
      <c r="W534" s="268"/>
      <c r="X534" s="268"/>
      <c r="Y534" s="268"/>
      <c r="Z534" s="268"/>
    </row>
    <row r="535" spans="1:26" ht="24.75" customHeight="1">
      <c r="A535" s="268"/>
      <c r="B535" s="268"/>
      <c r="C535" s="268"/>
      <c r="D535" s="268"/>
      <c r="E535" s="268"/>
      <c r="F535" s="268"/>
      <c r="G535" s="268"/>
      <c r="H535" s="268"/>
      <c r="I535" s="268"/>
      <c r="J535" s="268"/>
      <c r="K535" s="268"/>
      <c r="L535" s="268"/>
      <c r="M535" s="268"/>
      <c r="N535" s="268"/>
      <c r="O535" s="268"/>
      <c r="P535" s="310"/>
      <c r="Q535" s="268"/>
      <c r="R535" s="309"/>
      <c r="S535" s="268"/>
      <c r="T535" s="313"/>
      <c r="U535" s="313"/>
      <c r="V535" s="268"/>
      <c r="W535" s="268"/>
      <c r="X535" s="268"/>
      <c r="Y535" s="268"/>
      <c r="Z535" s="268"/>
    </row>
    <row r="536" spans="1:26" ht="24.75" customHeight="1">
      <c r="A536" s="268"/>
      <c r="B536" s="268"/>
      <c r="C536" s="268"/>
      <c r="D536" s="268"/>
      <c r="E536" s="268"/>
      <c r="F536" s="268"/>
      <c r="G536" s="268"/>
      <c r="H536" s="268"/>
      <c r="I536" s="268"/>
      <c r="J536" s="268"/>
      <c r="K536" s="268"/>
      <c r="L536" s="268"/>
      <c r="M536" s="268"/>
      <c r="N536" s="268"/>
      <c r="O536" s="268"/>
      <c r="P536" s="310"/>
      <c r="Q536" s="268"/>
      <c r="R536" s="309"/>
      <c r="S536" s="268"/>
      <c r="T536" s="313"/>
      <c r="U536" s="313"/>
      <c r="V536" s="268"/>
      <c r="W536" s="268"/>
      <c r="X536" s="268"/>
      <c r="Y536" s="268"/>
      <c r="Z536" s="268"/>
    </row>
    <row r="537" spans="1:26" ht="24.75" customHeight="1">
      <c r="A537" s="268"/>
      <c r="B537" s="268"/>
      <c r="C537" s="268"/>
      <c r="D537" s="268"/>
      <c r="E537" s="268"/>
      <c r="F537" s="268"/>
      <c r="G537" s="268"/>
      <c r="H537" s="268"/>
      <c r="I537" s="268"/>
      <c r="J537" s="268"/>
      <c r="K537" s="268"/>
      <c r="L537" s="268"/>
      <c r="M537" s="268"/>
      <c r="N537" s="268"/>
      <c r="O537" s="268"/>
      <c r="P537" s="310"/>
      <c r="Q537" s="268"/>
      <c r="R537" s="309"/>
      <c r="S537" s="268"/>
      <c r="T537" s="313"/>
      <c r="U537" s="313"/>
      <c r="V537" s="268"/>
      <c r="W537" s="268"/>
      <c r="X537" s="268"/>
      <c r="Y537" s="268"/>
      <c r="Z537" s="268"/>
    </row>
    <row r="538" spans="1:26" ht="24.75" customHeight="1">
      <c r="A538" s="268"/>
      <c r="B538" s="268"/>
      <c r="C538" s="268"/>
      <c r="D538" s="268"/>
      <c r="E538" s="268"/>
      <c r="F538" s="268"/>
      <c r="G538" s="268"/>
      <c r="H538" s="268"/>
      <c r="I538" s="268"/>
      <c r="J538" s="268"/>
      <c r="K538" s="268"/>
      <c r="L538" s="268"/>
      <c r="M538" s="268"/>
      <c r="N538" s="268"/>
      <c r="O538" s="268"/>
      <c r="P538" s="310"/>
      <c r="Q538" s="268"/>
      <c r="R538" s="309"/>
      <c r="S538" s="268"/>
      <c r="T538" s="313"/>
      <c r="U538" s="313"/>
      <c r="V538" s="268"/>
      <c r="W538" s="268"/>
      <c r="X538" s="268"/>
      <c r="Y538" s="268"/>
      <c r="Z538" s="268"/>
    </row>
    <row r="539" spans="1:26" ht="24.75" customHeight="1">
      <c r="A539" s="268"/>
      <c r="B539" s="268"/>
      <c r="C539" s="268"/>
      <c r="D539" s="268"/>
      <c r="E539" s="268"/>
      <c r="F539" s="268"/>
      <c r="G539" s="268"/>
      <c r="H539" s="268"/>
      <c r="I539" s="268"/>
      <c r="J539" s="268"/>
      <c r="K539" s="268"/>
      <c r="L539" s="268"/>
      <c r="M539" s="268"/>
      <c r="N539" s="268"/>
      <c r="O539" s="268"/>
      <c r="P539" s="310"/>
      <c r="Q539" s="268"/>
      <c r="R539" s="309"/>
      <c r="S539" s="268"/>
      <c r="T539" s="313"/>
      <c r="U539" s="313"/>
      <c r="V539" s="268"/>
      <c r="W539" s="268"/>
      <c r="X539" s="268"/>
      <c r="Y539" s="268"/>
      <c r="Z539" s="268"/>
    </row>
    <row r="540" spans="1:26" ht="24.75" customHeight="1">
      <c r="A540" s="268"/>
      <c r="B540" s="268"/>
      <c r="C540" s="268"/>
      <c r="D540" s="268"/>
      <c r="E540" s="268"/>
      <c r="F540" s="268"/>
      <c r="G540" s="268"/>
      <c r="H540" s="268"/>
      <c r="I540" s="268"/>
      <c r="J540" s="268"/>
      <c r="K540" s="268"/>
      <c r="L540" s="268"/>
      <c r="M540" s="268"/>
      <c r="N540" s="268"/>
      <c r="O540" s="268"/>
      <c r="P540" s="310"/>
      <c r="Q540" s="268"/>
      <c r="R540" s="309"/>
      <c r="S540" s="268"/>
      <c r="T540" s="313"/>
      <c r="U540" s="313"/>
      <c r="V540" s="268"/>
      <c r="W540" s="268"/>
      <c r="X540" s="268"/>
      <c r="Y540" s="268"/>
      <c r="Z540" s="268"/>
    </row>
    <row r="541" spans="1:26" ht="24.75" customHeight="1">
      <c r="A541" s="268"/>
      <c r="B541" s="268"/>
      <c r="C541" s="268"/>
      <c r="D541" s="268"/>
      <c r="E541" s="268"/>
      <c r="F541" s="268"/>
      <c r="G541" s="268"/>
      <c r="H541" s="268"/>
      <c r="I541" s="268"/>
      <c r="J541" s="268"/>
      <c r="K541" s="268"/>
      <c r="L541" s="268"/>
      <c r="M541" s="268"/>
      <c r="N541" s="268"/>
      <c r="O541" s="268"/>
      <c r="P541" s="310"/>
      <c r="Q541" s="268"/>
      <c r="R541" s="309"/>
      <c r="S541" s="268"/>
      <c r="T541" s="313"/>
      <c r="U541" s="313"/>
      <c r="V541" s="268"/>
      <c r="W541" s="268"/>
      <c r="X541" s="268"/>
      <c r="Y541" s="268"/>
      <c r="Z541" s="268"/>
    </row>
    <row r="542" spans="1:26" ht="24.75" customHeight="1">
      <c r="A542" s="268"/>
      <c r="B542" s="268"/>
      <c r="C542" s="268"/>
      <c r="D542" s="268"/>
      <c r="E542" s="268"/>
      <c r="F542" s="268"/>
      <c r="G542" s="268"/>
      <c r="H542" s="268"/>
      <c r="I542" s="268"/>
      <c r="J542" s="268"/>
      <c r="K542" s="268"/>
      <c r="L542" s="268"/>
      <c r="M542" s="268"/>
      <c r="N542" s="268"/>
      <c r="O542" s="268"/>
      <c r="P542" s="310"/>
      <c r="Q542" s="268"/>
      <c r="R542" s="309"/>
      <c r="S542" s="268"/>
      <c r="T542" s="313"/>
      <c r="U542" s="313"/>
      <c r="V542" s="268"/>
      <c r="W542" s="268"/>
      <c r="X542" s="268"/>
      <c r="Y542" s="268"/>
      <c r="Z542" s="268"/>
    </row>
    <row r="543" spans="1:26" ht="24.75" customHeight="1">
      <c r="A543" s="268"/>
      <c r="B543" s="268"/>
      <c r="C543" s="268"/>
      <c r="D543" s="268"/>
      <c r="E543" s="268"/>
      <c r="F543" s="268"/>
      <c r="G543" s="268"/>
      <c r="H543" s="268"/>
      <c r="I543" s="268"/>
      <c r="J543" s="268"/>
      <c r="K543" s="268"/>
      <c r="L543" s="268"/>
      <c r="M543" s="268"/>
      <c r="N543" s="268"/>
      <c r="O543" s="268"/>
      <c r="P543" s="310"/>
      <c r="Q543" s="268"/>
      <c r="R543" s="309"/>
      <c r="S543" s="268"/>
      <c r="T543" s="313"/>
      <c r="U543" s="313"/>
      <c r="V543" s="268"/>
      <c r="W543" s="268"/>
      <c r="X543" s="268"/>
      <c r="Y543" s="268"/>
      <c r="Z543" s="268"/>
    </row>
    <row r="544" spans="1:26" ht="24.75" customHeight="1">
      <c r="A544" s="268"/>
      <c r="B544" s="268"/>
      <c r="C544" s="268"/>
      <c r="D544" s="268"/>
      <c r="E544" s="268"/>
      <c r="F544" s="268"/>
      <c r="G544" s="268"/>
      <c r="H544" s="268"/>
      <c r="I544" s="268"/>
      <c r="J544" s="268"/>
      <c r="K544" s="268"/>
      <c r="L544" s="268"/>
      <c r="M544" s="268"/>
      <c r="N544" s="268"/>
      <c r="O544" s="268"/>
      <c r="P544" s="310"/>
      <c r="Q544" s="268"/>
      <c r="R544" s="309"/>
      <c r="S544" s="268"/>
      <c r="T544" s="313"/>
      <c r="U544" s="313"/>
      <c r="V544" s="268"/>
      <c r="W544" s="268"/>
      <c r="X544" s="268"/>
      <c r="Y544" s="268"/>
      <c r="Z544" s="268"/>
    </row>
    <row r="545" spans="1:26" ht="24.75" customHeight="1">
      <c r="A545" s="268"/>
      <c r="B545" s="268"/>
      <c r="C545" s="268"/>
      <c r="D545" s="268"/>
      <c r="E545" s="268"/>
      <c r="F545" s="268"/>
      <c r="G545" s="268"/>
      <c r="H545" s="268"/>
      <c r="I545" s="268"/>
      <c r="J545" s="268"/>
      <c r="K545" s="268"/>
      <c r="L545" s="268"/>
      <c r="M545" s="268"/>
      <c r="N545" s="268"/>
      <c r="O545" s="268"/>
      <c r="P545" s="310"/>
      <c r="Q545" s="268"/>
      <c r="R545" s="309"/>
      <c r="S545" s="268"/>
      <c r="T545" s="313"/>
      <c r="U545" s="313"/>
      <c r="V545" s="268"/>
      <c r="W545" s="268"/>
      <c r="X545" s="268"/>
      <c r="Y545" s="268"/>
      <c r="Z545" s="268"/>
    </row>
    <row r="546" spans="1:26" ht="24.75" customHeight="1">
      <c r="A546" s="268"/>
      <c r="B546" s="268"/>
      <c r="C546" s="268"/>
      <c r="D546" s="268"/>
      <c r="E546" s="268"/>
      <c r="F546" s="268"/>
      <c r="G546" s="268"/>
      <c r="H546" s="268"/>
      <c r="I546" s="268"/>
      <c r="J546" s="268"/>
      <c r="K546" s="268"/>
      <c r="L546" s="268"/>
      <c r="M546" s="268"/>
      <c r="N546" s="268"/>
      <c r="O546" s="268"/>
      <c r="P546" s="310"/>
      <c r="Q546" s="268"/>
      <c r="R546" s="309"/>
      <c r="S546" s="268"/>
      <c r="T546" s="313"/>
      <c r="U546" s="313"/>
      <c r="V546" s="268"/>
      <c r="W546" s="268"/>
      <c r="X546" s="268"/>
      <c r="Y546" s="268"/>
      <c r="Z546" s="268"/>
    </row>
    <row r="547" spans="1:26" ht="24.75" customHeight="1">
      <c r="A547" s="268"/>
      <c r="B547" s="268"/>
      <c r="C547" s="268"/>
      <c r="D547" s="268"/>
      <c r="E547" s="268"/>
      <c r="F547" s="268"/>
      <c r="G547" s="268"/>
      <c r="H547" s="268"/>
      <c r="I547" s="268"/>
      <c r="J547" s="268"/>
      <c r="K547" s="268"/>
      <c r="L547" s="268"/>
      <c r="M547" s="268"/>
      <c r="N547" s="268"/>
      <c r="O547" s="268"/>
      <c r="P547" s="310"/>
      <c r="Q547" s="268"/>
      <c r="R547" s="309"/>
      <c r="S547" s="268"/>
      <c r="T547" s="313"/>
      <c r="U547" s="313"/>
      <c r="V547" s="268"/>
      <c r="W547" s="268"/>
      <c r="X547" s="268"/>
      <c r="Y547" s="268"/>
      <c r="Z547" s="268"/>
    </row>
    <row r="548" spans="1:26" ht="24.75" customHeight="1">
      <c r="A548" s="268"/>
      <c r="B548" s="268"/>
      <c r="C548" s="268"/>
      <c r="D548" s="268"/>
      <c r="E548" s="268"/>
      <c r="F548" s="268"/>
      <c r="G548" s="268"/>
      <c r="H548" s="268"/>
      <c r="I548" s="268"/>
      <c r="J548" s="268"/>
      <c r="K548" s="268"/>
      <c r="L548" s="268"/>
      <c r="M548" s="268"/>
      <c r="N548" s="268"/>
      <c r="O548" s="268"/>
      <c r="P548" s="310"/>
      <c r="Q548" s="268"/>
      <c r="R548" s="309"/>
      <c r="S548" s="268"/>
      <c r="T548" s="313"/>
      <c r="U548" s="313"/>
      <c r="V548" s="268"/>
      <c r="W548" s="268"/>
      <c r="X548" s="268"/>
      <c r="Y548" s="268"/>
      <c r="Z548" s="268"/>
    </row>
    <row r="549" spans="1:26" ht="24.75" customHeight="1">
      <c r="A549" s="268"/>
      <c r="B549" s="268"/>
      <c r="C549" s="268"/>
      <c r="D549" s="268"/>
      <c r="E549" s="268"/>
      <c r="F549" s="268"/>
      <c r="G549" s="268"/>
      <c r="H549" s="268"/>
      <c r="I549" s="268"/>
      <c r="J549" s="268"/>
      <c r="K549" s="268"/>
      <c r="L549" s="268"/>
      <c r="M549" s="268"/>
      <c r="N549" s="268"/>
      <c r="O549" s="268"/>
      <c r="P549" s="310"/>
      <c r="Q549" s="268"/>
      <c r="R549" s="309"/>
      <c r="S549" s="268"/>
      <c r="T549" s="313"/>
      <c r="U549" s="313"/>
      <c r="V549" s="268"/>
      <c r="W549" s="268"/>
      <c r="X549" s="268"/>
      <c r="Y549" s="268"/>
      <c r="Z549" s="268"/>
    </row>
    <row r="550" spans="1:26" ht="24.75" customHeight="1">
      <c r="A550" s="268"/>
      <c r="B550" s="268"/>
      <c r="C550" s="268"/>
      <c r="D550" s="268"/>
      <c r="E550" s="268"/>
      <c r="F550" s="268"/>
      <c r="G550" s="268"/>
      <c r="H550" s="268"/>
      <c r="I550" s="268"/>
      <c r="J550" s="268"/>
      <c r="K550" s="268"/>
      <c r="L550" s="268"/>
      <c r="M550" s="268"/>
      <c r="N550" s="268"/>
      <c r="O550" s="268"/>
      <c r="P550" s="310"/>
      <c r="Q550" s="268"/>
      <c r="R550" s="309"/>
      <c r="S550" s="268"/>
      <c r="T550" s="313"/>
      <c r="U550" s="313"/>
      <c r="V550" s="268"/>
      <c r="W550" s="268"/>
      <c r="X550" s="268"/>
      <c r="Y550" s="268"/>
      <c r="Z550" s="268"/>
    </row>
    <row r="551" spans="1:26" ht="24.75" customHeight="1">
      <c r="A551" s="268"/>
      <c r="B551" s="268"/>
      <c r="C551" s="268"/>
      <c r="D551" s="268"/>
      <c r="E551" s="268"/>
      <c r="F551" s="268"/>
      <c r="G551" s="268"/>
      <c r="H551" s="268"/>
      <c r="I551" s="268"/>
      <c r="J551" s="268"/>
      <c r="K551" s="268"/>
      <c r="L551" s="268"/>
      <c r="M551" s="268"/>
      <c r="N551" s="268"/>
      <c r="O551" s="268"/>
      <c r="P551" s="310"/>
      <c r="Q551" s="268"/>
      <c r="R551" s="309"/>
      <c r="S551" s="268"/>
      <c r="T551" s="313"/>
      <c r="U551" s="313"/>
      <c r="V551" s="268"/>
      <c r="W551" s="268"/>
      <c r="X551" s="268"/>
      <c r="Y551" s="268"/>
      <c r="Z551" s="268"/>
    </row>
    <row r="552" spans="1:26" ht="24.75" customHeight="1">
      <c r="A552" s="268"/>
      <c r="B552" s="268"/>
      <c r="C552" s="268"/>
      <c r="D552" s="268"/>
      <c r="E552" s="268"/>
      <c r="F552" s="268"/>
      <c r="G552" s="268"/>
      <c r="H552" s="268"/>
      <c r="I552" s="268"/>
      <c r="J552" s="268"/>
      <c r="K552" s="268"/>
      <c r="L552" s="268"/>
      <c r="M552" s="268"/>
      <c r="N552" s="268"/>
      <c r="O552" s="268"/>
      <c r="P552" s="310"/>
      <c r="Q552" s="268"/>
      <c r="R552" s="309"/>
      <c r="S552" s="268"/>
      <c r="T552" s="313"/>
      <c r="U552" s="313"/>
      <c r="V552" s="268"/>
      <c r="W552" s="268"/>
      <c r="X552" s="268"/>
      <c r="Y552" s="268"/>
      <c r="Z552" s="268"/>
    </row>
    <row r="553" spans="1:26" ht="24.75" customHeight="1">
      <c r="A553" s="268"/>
      <c r="B553" s="268"/>
      <c r="C553" s="268"/>
      <c r="D553" s="268"/>
      <c r="E553" s="268"/>
      <c r="F553" s="268"/>
      <c r="G553" s="268"/>
      <c r="H553" s="268"/>
      <c r="I553" s="268"/>
      <c r="J553" s="268"/>
      <c r="K553" s="268"/>
      <c r="L553" s="268"/>
      <c r="M553" s="268"/>
      <c r="N553" s="268"/>
      <c r="O553" s="268"/>
      <c r="P553" s="310"/>
      <c r="Q553" s="268"/>
      <c r="R553" s="309"/>
      <c r="S553" s="268"/>
      <c r="T553" s="313"/>
      <c r="U553" s="313"/>
      <c r="V553" s="268"/>
      <c r="W553" s="268"/>
      <c r="X553" s="268"/>
      <c r="Y553" s="268"/>
      <c r="Z553" s="268"/>
    </row>
    <row r="554" spans="1:26" ht="24.75" customHeight="1">
      <c r="A554" s="268"/>
      <c r="B554" s="268"/>
      <c r="C554" s="268"/>
      <c r="D554" s="268"/>
      <c r="E554" s="268"/>
      <c r="F554" s="268"/>
      <c r="G554" s="268"/>
      <c r="H554" s="268"/>
      <c r="I554" s="268"/>
      <c r="J554" s="268"/>
      <c r="K554" s="268"/>
      <c r="L554" s="268"/>
      <c r="M554" s="268"/>
      <c r="N554" s="268"/>
      <c r="O554" s="268"/>
      <c r="P554" s="310"/>
      <c r="Q554" s="268"/>
      <c r="R554" s="309"/>
      <c r="S554" s="268"/>
      <c r="T554" s="313"/>
      <c r="U554" s="313"/>
      <c r="V554" s="268"/>
      <c r="W554" s="268"/>
      <c r="X554" s="268"/>
      <c r="Y554" s="268"/>
      <c r="Z554" s="268"/>
    </row>
    <row r="555" spans="1:26" ht="24.75" customHeight="1">
      <c r="A555" s="268"/>
      <c r="B555" s="268"/>
      <c r="C555" s="268"/>
      <c r="D555" s="268"/>
      <c r="E555" s="268"/>
      <c r="F555" s="268"/>
      <c r="G555" s="268"/>
      <c r="H555" s="268"/>
      <c r="I555" s="268"/>
      <c r="J555" s="268"/>
      <c r="K555" s="268"/>
      <c r="L555" s="268"/>
      <c r="M555" s="268"/>
      <c r="N555" s="268"/>
      <c r="O555" s="268"/>
      <c r="P555" s="310"/>
      <c r="Q555" s="268"/>
      <c r="R555" s="309"/>
      <c r="S555" s="268"/>
      <c r="T555" s="313"/>
      <c r="U555" s="313"/>
      <c r="V555" s="268"/>
      <c r="W555" s="268"/>
      <c r="X555" s="268"/>
      <c r="Y555" s="268"/>
      <c r="Z555" s="268"/>
    </row>
    <row r="556" spans="1:26" ht="24.75" customHeight="1">
      <c r="A556" s="268"/>
      <c r="B556" s="268"/>
      <c r="C556" s="268"/>
      <c r="D556" s="268"/>
      <c r="E556" s="268"/>
      <c r="F556" s="268"/>
      <c r="G556" s="268"/>
      <c r="H556" s="268"/>
      <c r="I556" s="268"/>
      <c r="J556" s="268"/>
      <c r="K556" s="268"/>
      <c r="L556" s="268"/>
      <c r="M556" s="268"/>
      <c r="N556" s="268"/>
      <c r="O556" s="268"/>
      <c r="P556" s="310"/>
      <c r="Q556" s="268"/>
      <c r="R556" s="309"/>
      <c r="S556" s="268"/>
      <c r="T556" s="313"/>
      <c r="U556" s="313"/>
      <c r="V556" s="268"/>
      <c r="W556" s="268"/>
      <c r="X556" s="268"/>
      <c r="Y556" s="268"/>
      <c r="Z556" s="268"/>
    </row>
    <row r="557" spans="1:26" ht="24.75" customHeight="1">
      <c r="A557" s="268"/>
      <c r="B557" s="268"/>
      <c r="C557" s="268"/>
      <c r="D557" s="268"/>
      <c r="E557" s="268"/>
      <c r="F557" s="268"/>
      <c r="G557" s="268"/>
      <c r="H557" s="268"/>
      <c r="I557" s="268"/>
      <c r="J557" s="268"/>
      <c r="K557" s="268"/>
      <c r="L557" s="268"/>
      <c r="M557" s="268"/>
      <c r="N557" s="268"/>
      <c r="O557" s="268"/>
      <c r="P557" s="310"/>
      <c r="Q557" s="268"/>
      <c r="R557" s="309"/>
      <c r="S557" s="268"/>
      <c r="T557" s="313"/>
      <c r="U557" s="313"/>
      <c r="V557" s="268"/>
      <c r="W557" s="268"/>
      <c r="X557" s="268"/>
      <c r="Y557" s="268"/>
      <c r="Z557" s="268"/>
    </row>
    <row r="558" spans="1:26" ht="24.75" customHeight="1">
      <c r="A558" s="268"/>
      <c r="B558" s="268"/>
      <c r="C558" s="268"/>
      <c r="D558" s="268"/>
      <c r="E558" s="268"/>
      <c r="F558" s="268"/>
      <c r="G558" s="268"/>
      <c r="H558" s="268"/>
      <c r="I558" s="268"/>
      <c r="J558" s="268"/>
      <c r="K558" s="268"/>
      <c r="L558" s="268"/>
      <c r="M558" s="268"/>
      <c r="N558" s="268"/>
      <c r="O558" s="268"/>
      <c r="P558" s="310"/>
      <c r="Q558" s="268"/>
      <c r="R558" s="309"/>
      <c r="S558" s="268"/>
      <c r="T558" s="313"/>
      <c r="U558" s="313"/>
      <c r="V558" s="268"/>
      <c r="W558" s="268"/>
      <c r="X558" s="268"/>
      <c r="Y558" s="268"/>
      <c r="Z558" s="268"/>
    </row>
    <row r="559" spans="1:26" ht="24.75" customHeight="1">
      <c r="A559" s="268"/>
      <c r="B559" s="268"/>
      <c r="C559" s="268"/>
      <c r="D559" s="268"/>
      <c r="E559" s="268"/>
      <c r="F559" s="268"/>
      <c r="G559" s="268"/>
      <c r="H559" s="268"/>
      <c r="I559" s="268"/>
      <c r="J559" s="268"/>
      <c r="K559" s="268"/>
      <c r="L559" s="268"/>
      <c r="M559" s="268"/>
      <c r="N559" s="268"/>
      <c r="O559" s="268"/>
      <c r="P559" s="310"/>
      <c r="Q559" s="268"/>
      <c r="R559" s="309"/>
      <c r="S559" s="268"/>
      <c r="T559" s="313"/>
      <c r="U559" s="313"/>
      <c r="V559" s="268"/>
      <c r="W559" s="268"/>
      <c r="X559" s="268"/>
      <c r="Y559" s="268"/>
      <c r="Z559" s="268"/>
    </row>
    <row r="560" spans="1:26" ht="24.75" customHeight="1">
      <c r="A560" s="268"/>
      <c r="B560" s="268"/>
      <c r="C560" s="268"/>
      <c r="D560" s="268"/>
      <c r="E560" s="268"/>
      <c r="F560" s="268"/>
      <c r="G560" s="268"/>
      <c r="H560" s="268"/>
      <c r="I560" s="268"/>
      <c r="J560" s="268"/>
      <c r="K560" s="268"/>
      <c r="L560" s="268"/>
      <c r="M560" s="268"/>
      <c r="N560" s="268"/>
      <c r="O560" s="268"/>
      <c r="P560" s="310"/>
      <c r="Q560" s="268"/>
      <c r="R560" s="309"/>
      <c r="S560" s="268"/>
      <c r="T560" s="313"/>
      <c r="U560" s="313"/>
      <c r="V560" s="268"/>
      <c r="W560" s="268"/>
      <c r="X560" s="268"/>
      <c r="Y560" s="268"/>
      <c r="Z560" s="268"/>
    </row>
    <row r="561" spans="1:26" ht="24.75" customHeight="1">
      <c r="A561" s="268"/>
      <c r="B561" s="268"/>
      <c r="C561" s="268"/>
      <c r="D561" s="268"/>
      <c r="E561" s="268"/>
      <c r="F561" s="268"/>
      <c r="G561" s="268"/>
      <c r="H561" s="268"/>
      <c r="I561" s="268"/>
      <c r="J561" s="268"/>
      <c r="K561" s="268"/>
      <c r="L561" s="268"/>
      <c r="M561" s="268"/>
      <c r="N561" s="268"/>
      <c r="O561" s="268"/>
      <c r="P561" s="310"/>
      <c r="Q561" s="268"/>
      <c r="R561" s="309"/>
      <c r="S561" s="268"/>
      <c r="T561" s="313"/>
      <c r="U561" s="313"/>
      <c r="V561" s="268"/>
      <c r="W561" s="268"/>
      <c r="X561" s="268"/>
      <c r="Y561" s="268"/>
      <c r="Z561" s="268"/>
    </row>
    <row r="562" spans="1:26" ht="24.75" customHeight="1">
      <c r="A562" s="268"/>
      <c r="B562" s="268"/>
      <c r="C562" s="268"/>
      <c r="D562" s="268"/>
      <c r="E562" s="268"/>
      <c r="F562" s="268"/>
      <c r="G562" s="268"/>
      <c r="H562" s="268"/>
      <c r="I562" s="268"/>
      <c r="J562" s="268"/>
      <c r="K562" s="268"/>
      <c r="L562" s="268"/>
      <c r="M562" s="268"/>
      <c r="N562" s="268"/>
      <c r="O562" s="268"/>
      <c r="P562" s="310"/>
      <c r="Q562" s="268"/>
      <c r="R562" s="309"/>
      <c r="S562" s="268"/>
      <c r="T562" s="313"/>
      <c r="U562" s="313"/>
      <c r="V562" s="268"/>
      <c r="W562" s="268"/>
      <c r="X562" s="268"/>
      <c r="Y562" s="268"/>
      <c r="Z562" s="268"/>
    </row>
    <row r="563" spans="1:26" ht="24.75" customHeight="1">
      <c r="A563" s="268"/>
      <c r="B563" s="268"/>
      <c r="C563" s="268"/>
      <c r="D563" s="268"/>
      <c r="E563" s="268"/>
      <c r="F563" s="268"/>
      <c r="G563" s="268"/>
      <c r="H563" s="268"/>
      <c r="I563" s="268"/>
      <c r="J563" s="268"/>
      <c r="K563" s="268"/>
      <c r="L563" s="268"/>
      <c r="M563" s="268"/>
      <c r="N563" s="268"/>
      <c r="O563" s="268"/>
      <c r="P563" s="310"/>
      <c r="Q563" s="268"/>
      <c r="R563" s="309"/>
      <c r="S563" s="268"/>
      <c r="T563" s="313"/>
      <c r="U563" s="313"/>
      <c r="V563" s="268"/>
      <c r="W563" s="268"/>
      <c r="X563" s="268"/>
      <c r="Y563" s="268"/>
      <c r="Z563" s="268"/>
    </row>
    <row r="564" spans="1:26" ht="24.75" customHeight="1">
      <c r="A564" s="268"/>
      <c r="B564" s="268"/>
      <c r="C564" s="268"/>
      <c r="D564" s="268"/>
      <c r="E564" s="268"/>
      <c r="F564" s="268"/>
      <c r="G564" s="268"/>
      <c r="H564" s="268"/>
      <c r="I564" s="268"/>
      <c r="J564" s="268"/>
      <c r="K564" s="268"/>
      <c r="L564" s="268"/>
      <c r="M564" s="268"/>
      <c r="N564" s="268"/>
      <c r="O564" s="268"/>
      <c r="P564" s="310"/>
      <c r="Q564" s="268"/>
      <c r="R564" s="309"/>
      <c r="S564" s="268"/>
      <c r="T564" s="313"/>
      <c r="U564" s="313"/>
      <c r="V564" s="268"/>
      <c r="W564" s="268"/>
      <c r="X564" s="268"/>
      <c r="Y564" s="268"/>
      <c r="Z564" s="268"/>
    </row>
    <row r="565" spans="1:26" ht="24.75" customHeight="1">
      <c r="A565" s="268"/>
      <c r="B565" s="268"/>
      <c r="C565" s="268"/>
      <c r="D565" s="268"/>
      <c r="E565" s="268"/>
      <c r="F565" s="268"/>
      <c r="G565" s="268"/>
      <c r="H565" s="268"/>
      <c r="I565" s="268"/>
      <c r="J565" s="268"/>
      <c r="K565" s="268"/>
      <c r="L565" s="268"/>
      <c r="M565" s="268"/>
      <c r="N565" s="268"/>
      <c r="O565" s="268"/>
      <c r="P565" s="310"/>
      <c r="Q565" s="268"/>
      <c r="R565" s="309"/>
      <c r="S565" s="268"/>
      <c r="T565" s="313"/>
      <c r="U565" s="313"/>
      <c r="V565" s="268"/>
      <c r="W565" s="268"/>
      <c r="X565" s="268"/>
      <c r="Y565" s="268"/>
      <c r="Z565" s="268"/>
    </row>
    <row r="566" spans="1:26" ht="24.75" customHeight="1">
      <c r="A566" s="268"/>
      <c r="B566" s="268"/>
      <c r="C566" s="268"/>
      <c r="D566" s="268"/>
      <c r="E566" s="268"/>
      <c r="F566" s="268"/>
      <c r="G566" s="268"/>
      <c r="H566" s="268"/>
      <c r="I566" s="268"/>
      <c r="J566" s="268"/>
      <c r="K566" s="268"/>
      <c r="L566" s="268"/>
      <c r="M566" s="268"/>
      <c r="N566" s="268"/>
      <c r="O566" s="268"/>
      <c r="P566" s="310"/>
      <c r="Q566" s="268"/>
      <c r="R566" s="309"/>
      <c r="S566" s="268"/>
      <c r="T566" s="313"/>
      <c r="U566" s="313"/>
      <c r="V566" s="268"/>
      <c r="W566" s="268"/>
      <c r="X566" s="268"/>
      <c r="Y566" s="268"/>
      <c r="Z566" s="268"/>
    </row>
    <row r="567" spans="1:26" ht="24.75" customHeight="1">
      <c r="A567" s="268"/>
      <c r="B567" s="268"/>
      <c r="C567" s="268"/>
      <c r="D567" s="268"/>
      <c r="E567" s="268"/>
      <c r="F567" s="268"/>
      <c r="G567" s="268"/>
      <c r="H567" s="268"/>
      <c r="I567" s="268"/>
      <c r="J567" s="268"/>
      <c r="K567" s="268"/>
      <c r="L567" s="268"/>
      <c r="M567" s="268"/>
      <c r="N567" s="268"/>
      <c r="O567" s="268"/>
      <c r="P567" s="310"/>
      <c r="Q567" s="268"/>
      <c r="R567" s="309"/>
      <c r="S567" s="268"/>
      <c r="T567" s="313"/>
      <c r="U567" s="313"/>
      <c r="V567" s="268"/>
      <c r="W567" s="268"/>
      <c r="X567" s="268"/>
      <c r="Y567" s="268"/>
      <c r="Z567" s="268"/>
    </row>
    <row r="568" spans="1:26" ht="24.75" customHeight="1">
      <c r="A568" s="268"/>
      <c r="B568" s="268"/>
      <c r="C568" s="268"/>
      <c r="D568" s="268"/>
      <c r="E568" s="268"/>
      <c r="F568" s="268"/>
      <c r="G568" s="268"/>
      <c r="H568" s="268"/>
      <c r="I568" s="268"/>
      <c r="J568" s="268"/>
      <c r="K568" s="268"/>
      <c r="L568" s="268"/>
      <c r="M568" s="268"/>
      <c r="N568" s="268"/>
      <c r="O568" s="268"/>
      <c r="P568" s="310"/>
      <c r="Q568" s="268"/>
      <c r="R568" s="309"/>
      <c r="S568" s="268"/>
      <c r="T568" s="313"/>
      <c r="U568" s="313"/>
      <c r="V568" s="268"/>
      <c r="W568" s="268"/>
      <c r="X568" s="268"/>
      <c r="Y568" s="268"/>
      <c r="Z568" s="268"/>
    </row>
    <row r="569" spans="1:26" ht="24.75" customHeight="1">
      <c r="A569" s="268"/>
      <c r="B569" s="268"/>
      <c r="C569" s="268"/>
      <c r="D569" s="268"/>
      <c r="E569" s="268"/>
      <c r="F569" s="268"/>
      <c r="G569" s="268"/>
      <c r="H569" s="268"/>
      <c r="I569" s="268"/>
      <c r="J569" s="268"/>
      <c r="K569" s="268"/>
      <c r="L569" s="268"/>
      <c r="M569" s="268"/>
      <c r="N569" s="268"/>
      <c r="O569" s="268"/>
      <c r="P569" s="310"/>
      <c r="Q569" s="268"/>
      <c r="R569" s="309"/>
      <c r="S569" s="268"/>
      <c r="T569" s="313"/>
      <c r="U569" s="313"/>
      <c r="V569" s="268"/>
      <c r="W569" s="268"/>
      <c r="X569" s="268"/>
      <c r="Y569" s="268"/>
      <c r="Z569" s="268"/>
    </row>
    <row r="570" spans="1:26" ht="24.75" customHeight="1">
      <c r="A570" s="268"/>
      <c r="B570" s="268"/>
      <c r="C570" s="268"/>
      <c r="D570" s="268"/>
      <c r="E570" s="268"/>
      <c r="F570" s="268"/>
      <c r="G570" s="268"/>
      <c r="H570" s="268"/>
      <c r="I570" s="268"/>
      <c r="J570" s="268"/>
      <c r="K570" s="268"/>
      <c r="L570" s="268"/>
      <c r="M570" s="268"/>
      <c r="N570" s="268"/>
      <c r="O570" s="268"/>
      <c r="P570" s="310"/>
      <c r="Q570" s="268"/>
      <c r="R570" s="309"/>
      <c r="S570" s="268"/>
      <c r="T570" s="313"/>
      <c r="U570" s="313"/>
      <c r="V570" s="268"/>
      <c r="W570" s="268"/>
      <c r="X570" s="268"/>
      <c r="Y570" s="268"/>
      <c r="Z570" s="268"/>
    </row>
    <row r="571" spans="1:26" ht="24.75" customHeight="1">
      <c r="A571" s="268"/>
      <c r="B571" s="268"/>
      <c r="C571" s="268"/>
      <c r="D571" s="268"/>
      <c r="E571" s="268"/>
      <c r="F571" s="268"/>
      <c r="G571" s="268"/>
      <c r="H571" s="268"/>
      <c r="I571" s="268"/>
      <c r="J571" s="268"/>
      <c r="K571" s="268"/>
      <c r="L571" s="268"/>
      <c r="M571" s="268"/>
      <c r="N571" s="268"/>
      <c r="O571" s="268"/>
      <c r="P571" s="310"/>
      <c r="Q571" s="268"/>
      <c r="R571" s="309"/>
      <c r="S571" s="268"/>
      <c r="T571" s="313"/>
      <c r="U571" s="313"/>
      <c r="V571" s="268"/>
      <c r="W571" s="268"/>
      <c r="X571" s="268"/>
      <c r="Y571" s="268"/>
      <c r="Z571" s="268"/>
    </row>
    <row r="572" spans="1:26" ht="24.75" customHeight="1">
      <c r="A572" s="268"/>
      <c r="B572" s="268"/>
      <c r="C572" s="268"/>
      <c r="D572" s="268"/>
      <c r="E572" s="268"/>
      <c r="F572" s="268"/>
      <c r="G572" s="268"/>
      <c r="H572" s="268"/>
      <c r="I572" s="268"/>
      <c r="J572" s="268"/>
      <c r="K572" s="268"/>
      <c r="L572" s="268"/>
      <c r="M572" s="268"/>
      <c r="N572" s="268"/>
      <c r="O572" s="268"/>
      <c r="P572" s="310"/>
      <c r="Q572" s="268"/>
      <c r="R572" s="309"/>
      <c r="S572" s="268"/>
      <c r="T572" s="313"/>
      <c r="U572" s="313"/>
      <c r="V572" s="268"/>
      <c r="W572" s="268"/>
      <c r="X572" s="268"/>
      <c r="Y572" s="268"/>
      <c r="Z572" s="268"/>
    </row>
    <row r="573" spans="1:26" ht="24.75" customHeight="1">
      <c r="A573" s="268"/>
      <c r="B573" s="268"/>
      <c r="C573" s="268"/>
      <c r="D573" s="268"/>
      <c r="E573" s="268"/>
      <c r="F573" s="268"/>
      <c r="G573" s="268"/>
      <c r="H573" s="268"/>
      <c r="I573" s="268"/>
      <c r="J573" s="268"/>
      <c r="K573" s="268"/>
      <c r="L573" s="268"/>
      <c r="M573" s="268"/>
      <c r="N573" s="268"/>
      <c r="O573" s="268"/>
      <c r="P573" s="310"/>
      <c r="Q573" s="268"/>
      <c r="R573" s="309"/>
      <c r="S573" s="268"/>
      <c r="T573" s="313"/>
      <c r="U573" s="313"/>
      <c r="V573" s="268"/>
      <c r="W573" s="268"/>
      <c r="X573" s="268"/>
      <c r="Y573" s="268"/>
      <c r="Z573" s="268"/>
    </row>
    <row r="574" spans="1:26" ht="24.75" customHeight="1">
      <c r="A574" s="268"/>
      <c r="B574" s="268"/>
      <c r="C574" s="268"/>
      <c r="D574" s="268"/>
      <c r="E574" s="268"/>
      <c r="F574" s="268"/>
      <c r="G574" s="268"/>
      <c r="H574" s="268"/>
      <c r="I574" s="268"/>
      <c r="J574" s="268"/>
      <c r="K574" s="268"/>
      <c r="L574" s="268"/>
      <c r="M574" s="268"/>
      <c r="N574" s="268"/>
      <c r="O574" s="268"/>
      <c r="P574" s="310"/>
      <c r="Q574" s="268"/>
      <c r="R574" s="309"/>
      <c r="S574" s="268"/>
      <c r="T574" s="313"/>
      <c r="U574" s="313"/>
      <c r="V574" s="268"/>
      <c r="W574" s="268"/>
      <c r="X574" s="268"/>
      <c r="Y574" s="268"/>
      <c r="Z574" s="268"/>
    </row>
    <row r="575" spans="1:26" ht="24.75" customHeight="1">
      <c r="A575" s="268"/>
      <c r="B575" s="268"/>
      <c r="C575" s="268"/>
      <c r="D575" s="268"/>
      <c r="E575" s="268"/>
      <c r="F575" s="268"/>
      <c r="G575" s="268"/>
      <c r="H575" s="268"/>
      <c r="I575" s="268"/>
      <c r="J575" s="268"/>
      <c r="K575" s="268"/>
      <c r="L575" s="268"/>
      <c r="M575" s="268"/>
      <c r="N575" s="268"/>
      <c r="O575" s="268"/>
      <c r="P575" s="310"/>
      <c r="Q575" s="268"/>
      <c r="R575" s="309"/>
      <c r="S575" s="268"/>
      <c r="T575" s="313"/>
      <c r="U575" s="313"/>
      <c r="V575" s="268"/>
      <c r="W575" s="268"/>
      <c r="X575" s="268"/>
      <c r="Y575" s="268"/>
      <c r="Z575" s="268"/>
    </row>
    <row r="576" spans="1:26" ht="24.75" customHeight="1">
      <c r="A576" s="268"/>
      <c r="B576" s="268"/>
      <c r="C576" s="268"/>
      <c r="D576" s="268"/>
      <c r="E576" s="268"/>
      <c r="F576" s="268"/>
      <c r="G576" s="268"/>
      <c r="H576" s="268"/>
      <c r="I576" s="268"/>
      <c r="J576" s="268"/>
      <c r="K576" s="268"/>
      <c r="L576" s="268"/>
      <c r="M576" s="268"/>
      <c r="N576" s="268"/>
      <c r="O576" s="268"/>
      <c r="P576" s="310"/>
      <c r="Q576" s="268"/>
      <c r="R576" s="309"/>
      <c r="S576" s="268"/>
      <c r="T576" s="313"/>
      <c r="U576" s="313"/>
      <c r="V576" s="268"/>
      <c r="W576" s="268"/>
      <c r="X576" s="268"/>
      <c r="Y576" s="268"/>
      <c r="Z576" s="268"/>
    </row>
    <row r="577" spans="1:26" ht="24.75" customHeight="1">
      <c r="A577" s="268"/>
      <c r="B577" s="268"/>
      <c r="C577" s="268"/>
      <c r="D577" s="268"/>
      <c r="E577" s="268"/>
      <c r="F577" s="268"/>
      <c r="G577" s="268"/>
      <c r="H577" s="268"/>
      <c r="I577" s="268"/>
      <c r="J577" s="268"/>
      <c r="K577" s="268"/>
      <c r="L577" s="268"/>
      <c r="M577" s="268"/>
      <c r="N577" s="268"/>
      <c r="O577" s="268"/>
      <c r="P577" s="310"/>
      <c r="Q577" s="268"/>
      <c r="R577" s="309"/>
      <c r="S577" s="268"/>
      <c r="T577" s="313"/>
      <c r="U577" s="313"/>
      <c r="V577" s="268"/>
      <c r="W577" s="268"/>
      <c r="X577" s="268"/>
      <c r="Y577" s="268"/>
      <c r="Z577" s="268"/>
    </row>
    <row r="578" spans="1:26" ht="24.75" customHeight="1">
      <c r="A578" s="268"/>
      <c r="B578" s="268"/>
      <c r="C578" s="268"/>
      <c r="D578" s="268"/>
      <c r="E578" s="268"/>
      <c r="F578" s="268"/>
      <c r="G578" s="268"/>
      <c r="H578" s="268"/>
      <c r="I578" s="268"/>
      <c r="J578" s="268"/>
      <c r="K578" s="268"/>
      <c r="L578" s="268"/>
      <c r="M578" s="268"/>
      <c r="N578" s="268"/>
      <c r="O578" s="268"/>
      <c r="P578" s="310"/>
      <c r="Q578" s="268"/>
      <c r="R578" s="309"/>
      <c r="S578" s="268"/>
      <c r="T578" s="313"/>
      <c r="U578" s="313"/>
      <c r="V578" s="268"/>
      <c r="W578" s="268"/>
      <c r="X578" s="268"/>
      <c r="Y578" s="268"/>
      <c r="Z578" s="268"/>
    </row>
    <row r="579" spans="1:26" ht="24.75" customHeight="1">
      <c r="A579" s="268"/>
      <c r="B579" s="268"/>
      <c r="C579" s="268"/>
      <c r="D579" s="268"/>
      <c r="E579" s="268"/>
      <c r="F579" s="268"/>
      <c r="G579" s="268"/>
      <c r="H579" s="268"/>
      <c r="I579" s="268"/>
      <c r="J579" s="268"/>
      <c r="K579" s="268"/>
      <c r="L579" s="268"/>
      <c r="M579" s="268"/>
      <c r="N579" s="268"/>
      <c r="O579" s="268"/>
      <c r="P579" s="310"/>
      <c r="Q579" s="268"/>
      <c r="R579" s="309"/>
      <c r="S579" s="268"/>
      <c r="T579" s="313"/>
      <c r="U579" s="313"/>
      <c r="V579" s="268"/>
      <c r="W579" s="268"/>
      <c r="X579" s="268"/>
      <c r="Y579" s="268"/>
      <c r="Z579" s="268"/>
    </row>
    <row r="580" spans="1:26" ht="24.75" customHeight="1">
      <c r="A580" s="268"/>
      <c r="B580" s="268"/>
      <c r="C580" s="268"/>
      <c r="D580" s="268"/>
      <c r="E580" s="268"/>
      <c r="F580" s="268"/>
      <c r="G580" s="268"/>
      <c r="H580" s="268"/>
      <c r="I580" s="268"/>
      <c r="J580" s="268"/>
      <c r="K580" s="268"/>
      <c r="L580" s="268"/>
      <c r="M580" s="268"/>
      <c r="N580" s="268"/>
      <c r="O580" s="268"/>
      <c r="P580" s="310"/>
      <c r="Q580" s="268"/>
      <c r="R580" s="309"/>
      <c r="S580" s="268"/>
      <c r="T580" s="313"/>
      <c r="U580" s="313"/>
      <c r="V580" s="268"/>
      <c r="W580" s="268"/>
      <c r="X580" s="268"/>
      <c r="Y580" s="268"/>
      <c r="Z580" s="268"/>
    </row>
    <row r="581" spans="1:26" ht="24.75" customHeight="1">
      <c r="A581" s="268"/>
      <c r="B581" s="268"/>
      <c r="C581" s="268"/>
      <c r="D581" s="268"/>
      <c r="E581" s="268"/>
      <c r="F581" s="268"/>
      <c r="G581" s="268"/>
      <c r="H581" s="268"/>
      <c r="I581" s="268"/>
      <c r="J581" s="268"/>
      <c r="K581" s="268"/>
      <c r="L581" s="268"/>
      <c r="M581" s="268"/>
      <c r="N581" s="268"/>
      <c r="O581" s="268"/>
      <c r="P581" s="310"/>
      <c r="Q581" s="268"/>
      <c r="R581" s="309"/>
      <c r="S581" s="268"/>
      <c r="T581" s="313"/>
      <c r="U581" s="313"/>
      <c r="V581" s="268"/>
      <c r="W581" s="268"/>
      <c r="X581" s="268"/>
      <c r="Y581" s="268"/>
      <c r="Z581" s="268"/>
    </row>
    <row r="582" spans="1:26" ht="24.75" customHeight="1">
      <c r="A582" s="268"/>
      <c r="B582" s="268"/>
      <c r="C582" s="268"/>
      <c r="D582" s="268"/>
      <c r="E582" s="268"/>
      <c r="F582" s="268"/>
      <c r="G582" s="268"/>
      <c r="H582" s="268"/>
      <c r="I582" s="268"/>
      <c r="J582" s="268"/>
      <c r="K582" s="268"/>
      <c r="L582" s="268"/>
      <c r="M582" s="268"/>
      <c r="N582" s="268"/>
      <c r="O582" s="268"/>
      <c r="P582" s="310"/>
      <c r="Q582" s="268"/>
      <c r="R582" s="309"/>
      <c r="S582" s="268"/>
      <c r="T582" s="313"/>
      <c r="U582" s="313"/>
      <c r="V582" s="268"/>
      <c r="W582" s="268"/>
      <c r="X582" s="268"/>
      <c r="Y582" s="268"/>
      <c r="Z582" s="268"/>
    </row>
    <row r="583" spans="1:26" ht="24.75" customHeight="1">
      <c r="A583" s="268"/>
      <c r="B583" s="268"/>
      <c r="C583" s="268"/>
      <c r="D583" s="268"/>
      <c r="E583" s="268"/>
      <c r="F583" s="268"/>
      <c r="G583" s="268"/>
      <c r="H583" s="268"/>
      <c r="I583" s="268"/>
      <c r="J583" s="268"/>
      <c r="K583" s="268"/>
      <c r="L583" s="268"/>
      <c r="M583" s="268"/>
      <c r="N583" s="268"/>
      <c r="O583" s="268"/>
      <c r="P583" s="310"/>
      <c r="Q583" s="268"/>
      <c r="R583" s="309"/>
      <c r="S583" s="268"/>
      <c r="T583" s="313"/>
      <c r="U583" s="313"/>
      <c r="V583" s="268"/>
      <c r="W583" s="268"/>
      <c r="X583" s="268"/>
      <c r="Y583" s="268"/>
      <c r="Z583" s="268"/>
    </row>
    <row r="584" spans="1:26" ht="24.75" customHeight="1">
      <c r="A584" s="268"/>
      <c r="B584" s="268"/>
      <c r="C584" s="268"/>
      <c r="D584" s="268"/>
      <c r="E584" s="268"/>
      <c r="F584" s="268"/>
      <c r="G584" s="268"/>
      <c r="H584" s="268"/>
      <c r="I584" s="268"/>
      <c r="J584" s="268"/>
      <c r="K584" s="268"/>
      <c r="L584" s="268"/>
      <c r="M584" s="268"/>
      <c r="N584" s="268"/>
      <c r="O584" s="268"/>
      <c r="P584" s="310"/>
      <c r="Q584" s="268"/>
      <c r="R584" s="309"/>
      <c r="S584" s="268"/>
      <c r="T584" s="313"/>
      <c r="U584" s="313"/>
      <c r="V584" s="268"/>
      <c r="W584" s="268"/>
      <c r="X584" s="268"/>
      <c r="Y584" s="268"/>
      <c r="Z584" s="268"/>
    </row>
    <row r="585" spans="1:26" ht="24.75" customHeight="1">
      <c r="A585" s="268"/>
      <c r="B585" s="268"/>
      <c r="C585" s="268"/>
      <c r="D585" s="268"/>
      <c r="E585" s="268"/>
      <c r="F585" s="268"/>
      <c r="G585" s="268"/>
      <c r="H585" s="268"/>
      <c r="I585" s="268"/>
      <c r="J585" s="268"/>
      <c r="K585" s="268"/>
      <c r="L585" s="268"/>
      <c r="M585" s="268"/>
      <c r="N585" s="268"/>
      <c r="O585" s="268"/>
      <c r="P585" s="310"/>
      <c r="Q585" s="268"/>
      <c r="R585" s="309"/>
      <c r="S585" s="268"/>
      <c r="T585" s="313"/>
      <c r="U585" s="313"/>
      <c r="V585" s="268"/>
      <c r="W585" s="268"/>
      <c r="X585" s="268"/>
      <c r="Y585" s="268"/>
      <c r="Z585" s="268"/>
    </row>
    <row r="586" spans="1:26" ht="24.75" customHeight="1">
      <c r="A586" s="268"/>
      <c r="B586" s="268"/>
      <c r="C586" s="268"/>
      <c r="D586" s="268"/>
      <c r="E586" s="268"/>
      <c r="F586" s="268"/>
      <c r="G586" s="268"/>
      <c r="H586" s="268"/>
      <c r="I586" s="268"/>
      <c r="J586" s="268"/>
      <c r="K586" s="268"/>
      <c r="L586" s="268"/>
      <c r="M586" s="268"/>
      <c r="N586" s="268"/>
      <c r="O586" s="268"/>
      <c r="P586" s="310"/>
      <c r="Q586" s="268"/>
      <c r="R586" s="309"/>
      <c r="S586" s="268"/>
      <c r="T586" s="313"/>
      <c r="U586" s="313"/>
      <c r="V586" s="268"/>
      <c r="W586" s="268"/>
      <c r="X586" s="268"/>
      <c r="Y586" s="268"/>
      <c r="Z586" s="268"/>
    </row>
    <row r="587" spans="1:26" ht="24.75" customHeight="1">
      <c r="A587" s="268"/>
      <c r="B587" s="268"/>
      <c r="C587" s="268"/>
      <c r="D587" s="268"/>
      <c r="E587" s="268"/>
      <c r="F587" s="268"/>
      <c r="G587" s="268"/>
      <c r="H587" s="268"/>
      <c r="I587" s="268"/>
      <c r="J587" s="268"/>
      <c r="K587" s="268"/>
      <c r="L587" s="268"/>
      <c r="M587" s="268"/>
      <c r="N587" s="268"/>
      <c r="O587" s="268"/>
      <c r="P587" s="310"/>
      <c r="Q587" s="268"/>
      <c r="R587" s="309"/>
      <c r="S587" s="268"/>
      <c r="T587" s="313"/>
      <c r="U587" s="313"/>
      <c r="V587" s="268"/>
      <c r="W587" s="268"/>
      <c r="X587" s="268"/>
      <c r="Y587" s="268"/>
      <c r="Z587" s="268"/>
    </row>
    <row r="588" spans="1:26" ht="24.75" customHeight="1">
      <c r="A588" s="268"/>
      <c r="B588" s="268"/>
      <c r="C588" s="268"/>
      <c r="D588" s="268"/>
      <c r="E588" s="268"/>
      <c r="F588" s="268"/>
      <c r="G588" s="268"/>
      <c r="H588" s="268"/>
      <c r="I588" s="268"/>
      <c r="J588" s="268"/>
      <c r="K588" s="268"/>
      <c r="L588" s="268"/>
      <c r="M588" s="268"/>
      <c r="N588" s="268"/>
      <c r="O588" s="268"/>
      <c r="P588" s="310"/>
      <c r="Q588" s="268"/>
      <c r="R588" s="309"/>
      <c r="S588" s="268"/>
      <c r="T588" s="313"/>
      <c r="U588" s="313"/>
      <c r="V588" s="268"/>
      <c r="W588" s="268"/>
      <c r="X588" s="268"/>
      <c r="Y588" s="268"/>
      <c r="Z588" s="268"/>
    </row>
    <row r="589" spans="1:26" ht="24.75" customHeight="1">
      <c r="A589" s="268"/>
      <c r="B589" s="268"/>
      <c r="C589" s="268"/>
      <c r="D589" s="268"/>
      <c r="E589" s="268"/>
      <c r="F589" s="268"/>
      <c r="G589" s="268"/>
      <c r="H589" s="268"/>
      <c r="I589" s="268"/>
      <c r="J589" s="268"/>
      <c r="K589" s="268"/>
      <c r="L589" s="268"/>
      <c r="M589" s="268"/>
      <c r="N589" s="268"/>
      <c r="O589" s="268"/>
      <c r="P589" s="310"/>
      <c r="Q589" s="268"/>
      <c r="R589" s="309"/>
      <c r="S589" s="268"/>
      <c r="T589" s="313"/>
      <c r="U589" s="313"/>
      <c r="V589" s="268"/>
      <c r="W589" s="268"/>
      <c r="X589" s="268"/>
      <c r="Y589" s="268"/>
      <c r="Z589" s="268"/>
    </row>
    <row r="590" spans="1:26" ht="24.75" customHeight="1">
      <c r="A590" s="268"/>
      <c r="B590" s="268"/>
      <c r="C590" s="268"/>
      <c r="D590" s="268"/>
      <c r="E590" s="268"/>
      <c r="F590" s="268"/>
      <c r="G590" s="268"/>
      <c r="H590" s="268"/>
      <c r="I590" s="268"/>
      <c r="J590" s="268"/>
      <c r="K590" s="268"/>
      <c r="L590" s="268"/>
      <c r="M590" s="268"/>
      <c r="N590" s="268"/>
      <c r="O590" s="268"/>
      <c r="P590" s="310"/>
      <c r="Q590" s="268"/>
      <c r="R590" s="309"/>
      <c r="S590" s="268"/>
      <c r="T590" s="313"/>
      <c r="U590" s="313"/>
      <c r="V590" s="268"/>
      <c r="W590" s="268"/>
      <c r="X590" s="268"/>
      <c r="Y590" s="268"/>
      <c r="Z590" s="268"/>
    </row>
    <row r="591" spans="1:26" ht="24.75" customHeight="1">
      <c r="A591" s="268"/>
      <c r="B591" s="268"/>
      <c r="C591" s="268"/>
      <c r="D591" s="268"/>
      <c r="E591" s="268"/>
      <c r="F591" s="268"/>
      <c r="G591" s="268"/>
      <c r="H591" s="268"/>
      <c r="I591" s="268"/>
      <c r="J591" s="268"/>
      <c r="K591" s="268"/>
      <c r="L591" s="268"/>
      <c r="M591" s="268"/>
      <c r="N591" s="268"/>
      <c r="O591" s="268"/>
      <c r="P591" s="310"/>
      <c r="Q591" s="268"/>
      <c r="R591" s="309"/>
      <c r="S591" s="268"/>
      <c r="T591" s="313"/>
      <c r="U591" s="313"/>
      <c r="V591" s="268"/>
      <c r="W591" s="268"/>
      <c r="X591" s="268"/>
      <c r="Y591" s="268"/>
      <c r="Z591" s="268"/>
    </row>
    <row r="592" spans="1:26" ht="24.75" customHeight="1">
      <c r="A592" s="268"/>
      <c r="B592" s="268"/>
      <c r="C592" s="268"/>
      <c r="D592" s="268"/>
      <c r="E592" s="268"/>
      <c r="F592" s="268"/>
      <c r="G592" s="268"/>
      <c r="H592" s="268"/>
      <c r="I592" s="268"/>
      <c r="J592" s="268"/>
      <c r="K592" s="268"/>
      <c r="L592" s="268"/>
      <c r="M592" s="268"/>
      <c r="N592" s="268"/>
      <c r="O592" s="268"/>
      <c r="P592" s="310"/>
      <c r="Q592" s="268"/>
      <c r="R592" s="309"/>
      <c r="S592" s="268"/>
      <c r="T592" s="313"/>
      <c r="U592" s="313"/>
      <c r="V592" s="268"/>
      <c r="W592" s="268"/>
      <c r="X592" s="268"/>
      <c r="Y592" s="268"/>
      <c r="Z592" s="268"/>
    </row>
    <row r="593" spans="1:26" ht="24.75" customHeight="1">
      <c r="A593" s="268"/>
      <c r="B593" s="268"/>
      <c r="C593" s="268"/>
      <c r="D593" s="268"/>
      <c r="E593" s="268"/>
      <c r="F593" s="268"/>
      <c r="G593" s="268"/>
      <c r="H593" s="268"/>
      <c r="I593" s="268"/>
      <c r="J593" s="268"/>
      <c r="K593" s="268"/>
      <c r="L593" s="268"/>
      <c r="M593" s="268"/>
      <c r="N593" s="268"/>
      <c r="O593" s="268"/>
      <c r="P593" s="310"/>
      <c r="Q593" s="268"/>
      <c r="R593" s="309"/>
      <c r="S593" s="268"/>
      <c r="T593" s="313"/>
      <c r="U593" s="313"/>
      <c r="V593" s="268"/>
      <c r="W593" s="268"/>
      <c r="X593" s="268"/>
      <c r="Y593" s="268"/>
      <c r="Z593" s="268"/>
    </row>
    <row r="594" spans="1:26" ht="24.75" customHeight="1">
      <c r="A594" s="268"/>
      <c r="B594" s="268"/>
      <c r="C594" s="268"/>
      <c r="D594" s="268"/>
      <c r="E594" s="268"/>
      <c r="F594" s="268"/>
      <c r="G594" s="268"/>
      <c r="H594" s="268"/>
      <c r="I594" s="268"/>
      <c r="J594" s="268"/>
      <c r="K594" s="268"/>
      <c r="L594" s="268"/>
      <c r="M594" s="268"/>
      <c r="N594" s="268"/>
      <c r="O594" s="268"/>
      <c r="P594" s="310"/>
      <c r="Q594" s="268"/>
      <c r="R594" s="309"/>
      <c r="S594" s="268"/>
      <c r="T594" s="313"/>
      <c r="U594" s="313"/>
      <c r="V594" s="268"/>
      <c r="W594" s="268"/>
      <c r="X594" s="268"/>
      <c r="Y594" s="268"/>
      <c r="Z594" s="268"/>
    </row>
    <row r="595" spans="1:26" ht="24.75" customHeight="1">
      <c r="A595" s="268"/>
      <c r="B595" s="268"/>
      <c r="C595" s="268"/>
      <c r="D595" s="268"/>
      <c r="E595" s="268"/>
      <c r="F595" s="268"/>
      <c r="G595" s="268"/>
      <c r="H595" s="268"/>
      <c r="I595" s="268"/>
      <c r="J595" s="268"/>
      <c r="K595" s="268"/>
      <c r="L595" s="268"/>
      <c r="M595" s="268"/>
      <c r="N595" s="268"/>
      <c r="O595" s="268"/>
      <c r="P595" s="310"/>
      <c r="Q595" s="268"/>
      <c r="R595" s="309"/>
      <c r="S595" s="268"/>
      <c r="T595" s="313"/>
      <c r="U595" s="313"/>
      <c r="V595" s="268"/>
      <c r="W595" s="268"/>
      <c r="X595" s="268"/>
      <c r="Y595" s="268"/>
      <c r="Z595" s="268"/>
    </row>
    <row r="596" spans="1:26" ht="24.75" customHeight="1">
      <c r="A596" s="268"/>
      <c r="B596" s="268"/>
      <c r="C596" s="268"/>
      <c r="D596" s="268"/>
      <c r="E596" s="268"/>
      <c r="F596" s="268"/>
      <c r="G596" s="268"/>
      <c r="H596" s="268"/>
      <c r="I596" s="268"/>
      <c r="J596" s="268"/>
      <c r="K596" s="268"/>
      <c r="L596" s="268"/>
      <c r="M596" s="268"/>
      <c r="N596" s="268"/>
      <c r="O596" s="268"/>
      <c r="P596" s="310"/>
      <c r="Q596" s="268"/>
      <c r="R596" s="309"/>
      <c r="S596" s="268"/>
      <c r="T596" s="313"/>
      <c r="U596" s="313"/>
      <c r="V596" s="268"/>
      <c r="W596" s="268"/>
      <c r="X596" s="268"/>
      <c r="Y596" s="268"/>
      <c r="Z596" s="268"/>
    </row>
    <row r="597" spans="1:26" ht="24.75" customHeight="1">
      <c r="A597" s="268"/>
      <c r="B597" s="268"/>
      <c r="C597" s="268"/>
      <c r="D597" s="268"/>
      <c r="E597" s="268"/>
      <c r="F597" s="268"/>
      <c r="G597" s="268"/>
      <c r="H597" s="268"/>
      <c r="I597" s="268"/>
      <c r="J597" s="268"/>
      <c r="K597" s="268"/>
      <c r="L597" s="268"/>
      <c r="M597" s="268"/>
      <c r="N597" s="268"/>
      <c r="O597" s="268"/>
      <c r="P597" s="310"/>
      <c r="Q597" s="268"/>
      <c r="R597" s="309"/>
      <c r="S597" s="268"/>
      <c r="T597" s="313"/>
      <c r="U597" s="313"/>
      <c r="V597" s="268"/>
      <c r="W597" s="268"/>
      <c r="X597" s="268"/>
      <c r="Y597" s="268"/>
      <c r="Z597" s="268"/>
    </row>
    <row r="598" spans="1:26" ht="24.75" customHeight="1">
      <c r="A598" s="268"/>
      <c r="B598" s="268"/>
      <c r="C598" s="268"/>
      <c r="D598" s="268"/>
      <c r="E598" s="268"/>
      <c r="F598" s="268"/>
      <c r="G598" s="268"/>
      <c r="H598" s="268"/>
      <c r="I598" s="268"/>
      <c r="J598" s="268"/>
      <c r="K598" s="268"/>
      <c r="L598" s="268"/>
      <c r="M598" s="268"/>
      <c r="N598" s="268"/>
      <c r="O598" s="268"/>
      <c r="P598" s="310"/>
      <c r="Q598" s="268"/>
      <c r="R598" s="309"/>
      <c r="S598" s="268"/>
      <c r="T598" s="313"/>
      <c r="U598" s="313"/>
      <c r="V598" s="268"/>
      <c r="W598" s="268"/>
      <c r="X598" s="268"/>
      <c r="Y598" s="268"/>
      <c r="Z598" s="268"/>
    </row>
    <row r="599" spans="1:26" ht="24.75" customHeight="1">
      <c r="A599" s="268"/>
      <c r="B599" s="268"/>
      <c r="C599" s="268"/>
      <c r="D599" s="268"/>
      <c r="E599" s="268"/>
      <c r="F599" s="268"/>
      <c r="G599" s="268"/>
      <c r="H599" s="268"/>
      <c r="I599" s="268"/>
      <c r="J599" s="268"/>
      <c r="K599" s="268"/>
      <c r="L599" s="268"/>
      <c r="M599" s="268"/>
      <c r="N599" s="268"/>
      <c r="O599" s="268"/>
      <c r="P599" s="310"/>
      <c r="Q599" s="268"/>
      <c r="R599" s="309"/>
      <c r="S599" s="268"/>
      <c r="T599" s="313"/>
      <c r="U599" s="313"/>
      <c r="V599" s="268"/>
      <c r="W599" s="268"/>
      <c r="X599" s="268"/>
      <c r="Y599" s="268"/>
      <c r="Z599" s="268"/>
    </row>
    <row r="600" spans="1:26" ht="24.75" customHeight="1">
      <c r="A600" s="268"/>
      <c r="B600" s="268"/>
      <c r="C600" s="268"/>
      <c r="D600" s="268"/>
      <c r="E600" s="268"/>
      <c r="F600" s="268"/>
      <c r="G600" s="268"/>
      <c r="H600" s="268"/>
      <c r="I600" s="268"/>
      <c r="J600" s="268"/>
      <c r="K600" s="268"/>
      <c r="L600" s="268"/>
      <c r="M600" s="268"/>
      <c r="N600" s="268"/>
      <c r="O600" s="268"/>
      <c r="P600" s="310"/>
      <c r="Q600" s="268"/>
      <c r="R600" s="309"/>
      <c r="S600" s="268"/>
      <c r="T600" s="313"/>
      <c r="U600" s="313"/>
      <c r="V600" s="268"/>
      <c r="W600" s="268"/>
      <c r="X600" s="268"/>
      <c r="Y600" s="268"/>
      <c r="Z600" s="268"/>
    </row>
    <row r="601" spans="1:26" ht="24.75" customHeight="1">
      <c r="A601" s="268"/>
      <c r="B601" s="268"/>
      <c r="C601" s="268"/>
      <c r="D601" s="268"/>
      <c r="E601" s="268"/>
      <c r="F601" s="268"/>
      <c r="G601" s="268"/>
      <c r="H601" s="268"/>
      <c r="I601" s="268"/>
      <c r="J601" s="268"/>
      <c r="K601" s="268"/>
      <c r="L601" s="268"/>
      <c r="M601" s="268"/>
      <c r="N601" s="268"/>
      <c r="O601" s="268"/>
      <c r="P601" s="310"/>
      <c r="Q601" s="268"/>
      <c r="R601" s="309"/>
      <c r="S601" s="268"/>
      <c r="T601" s="313"/>
      <c r="U601" s="313"/>
      <c r="V601" s="268"/>
      <c r="W601" s="268"/>
      <c r="X601" s="268"/>
      <c r="Y601" s="268"/>
      <c r="Z601" s="268"/>
    </row>
    <row r="602" spans="1:26" ht="24.75" customHeight="1">
      <c r="A602" s="268"/>
      <c r="B602" s="268"/>
      <c r="C602" s="268"/>
      <c r="D602" s="268"/>
      <c r="E602" s="268"/>
      <c r="F602" s="268"/>
      <c r="G602" s="268"/>
      <c r="H602" s="268"/>
      <c r="I602" s="268"/>
      <c r="J602" s="268"/>
      <c r="K602" s="268"/>
      <c r="L602" s="268"/>
      <c r="M602" s="268"/>
      <c r="N602" s="268"/>
      <c r="O602" s="268"/>
      <c r="P602" s="310"/>
      <c r="Q602" s="268"/>
      <c r="R602" s="309"/>
      <c r="S602" s="268"/>
      <c r="T602" s="313"/>
      <c r="U602" s="313"/>
      <c r="V602" s="268"/>
      <c r="W602" s="268"/>
      <c r="X602" s="268"/>
      <c r="Y602" s="268"/>
      <c r="Z602" s="268"/>
    </row>
    <row r="603" spans="1:26" ht="24.75" customHeight="1">
      <c r="A603" s="268"/>
      <c r="B603" s="268"/>
      <c r="C603" s="268"/>
      <c r="D603" s="268"/>
      <c r="E603" s="268"/>
      <c r="F603" s="268"/>
      <c r="G603" s="268"/>
      <c r="H603" s="268"/>
      <c r="I603" s="268"/>
      <c r="J603" s="268"/>
      <c r="K603" s="268"/>
      <c r="L603" s="268"/>
      <c r="M603" s="268"/>
      <c r="N603" s="268"/>
      <c r="O603" s="268"/>
      <c r="P603" s="310"/>
      <c r="Q603" s="268"/>
      <c r="R603" s="309"/>
      <c r="S603" s="268"/>
      <c r="T603" s="313"/>
      <c r="U603" s="313"/>
      <c r="V603" s="268"/>
      <c r="W603" s="268"/>
      <c r="X603" s="268"/>
      <c r="Y603" s="268"/>
      <c r="Z603" s="268"/>
    </row>
    <row r="604" spans="1:26" ht="24.75" customHeight="1">
      <c r="A604" s="268"/>
      <c r="B604" s="268"/>
      <c r="C604" s="268"/>
      <c r="D604" s="268"/>
      <c r="E604" s="268"/>
      <c r="F604" s="268"/>
      <c r="G604" s="268"/>
      <c r="H604" s="268"/>
      <c r="I604" s="268"/>
      <c r="J604" s="268"/>
      <c r="K604" s="268"/>
      <c r="L604" s="268"/>
      <c r="M604" s="268"/>
      <c r="N604" s="268"/>
      <c r="O604" s="268"/>
      <c r="P604" s="310"/>
      <c r="Q604" s="268"/>
      <c r="R604" s="309"/>
      <c r="S604" s="268"/>
      <c r="T604" s="313"/>
      <c r="U604" s="313"/>
      <c r="V604" s="268"/>
      <c r="W604" s="268"/>
      <c r="X604" s="268"/>
      <c r="Y604" s="268"/>
      <c r="Z604" s="268"/>
    </row>
    <row r="605" spans="1:26" ht="24.75" customHeight="1">
      <c r="A605" s="268"/>
      <c r="B605" s="268"/>
      <c r="C605" s="268"/>
      <c r="D605" s="268"/>
      <c r="E605" s="268"/>
      <c r="F605" s="268"/>
      <c r="G605" s="268"/>
      <c r="H605" s="268"/>
      <c r="I605" s="268"/>
      <c r="J605" s="268"/>
      <c r="K605" s="268"/>
      <c r="L605" s="268"/>
      <c r="M605" s="268"/>
      <c r="N605" s="268"/>
      <c r="O605" s="268"/>
      <c r="P605" s="310"/>
      <c r="Q605" s="268"/>
      <c r="R605" s="309"/>
      <c r="S605" s="268"/>
      <c r="T605" s="313"/>
      <c r="U605" s="313"/>
      <c r="V605" s="268"/>
      <c r="W605" s="268"/>
      <c r="X605" s="268"/>
      <c r="Y605" s="268"/>
      <c r="Z605" s="268"/>
    </row>
    <row r="606" spans="1:26" ht="24.75" customHeight="1">
      <c r="A606" s="268"/>
      <c r="B606" s="268"/>
      <c r="C606" s="268"/>
      <c r="D606" s="268"/>
      <c r="E606" s="268"/>
      <c r="F606" s="268"/>
      <c r="G606" s="268"/>
      <c r="H606" s="268"/>
      <c r="I606" s="268"/>
      <c r="J606" s="268"/>
      <c r="K606" s="268"/>
      <c r="L606" s="268"/>
      <c r="M606" s="268"/>
      <c r="N606" s="268"/>
      <c r="O606" s="268"/>
      <c r="P606" s="310"/>
      <c r="Q606" s="268"/>
      <c r="R606" s="309"/>
      <c r="S606" s="268"/>
      <c r="T606" s="313"/>
      <c r="U606" s="313"/>
      <c r="V606" s="268"/>
      <c r="W606" s="268"/>
      <c r="X606" s="268"/>
      <c r="Y606" s="268"/>
      <c r="Z606" s="268"/>
    </row>
    <row r="607" spans="1:26" ht="24.75" customHeight="1">
      <c r="A607" s="268"/>
      <c r="B607" s="268"/>
      <c r="C607" s="268"/>
      <c r="D607" s="268"/>
      <c r="E607" s="268"/>
      <c r="F607" s="268"/>
      <c r="G607" s="268"/>
      <c r="H607" s="268"/>
      <c r="I607" s="268"/>
      <c r="J607" s="268"/>
      <c r="K607" s="268"/>
      <c r="L607" s="268"/>
      <c r="M607" s="268"/>
      <c r="N607" s="268"/>
      <c r="O607" s="268"/>
      <c r="P607" s="310"/>
      <c r="Q607" s="268"/>
      <c r="R607" s="309"/>
      <c r="S607" s="268"/>
      <c r="T607" s="313"/>
      <c r="U607" s="313"/>
      <c r="V607" s="268"/>
      <c r="W607" s="268"/>
      <c r="X607" s="268"/>
      <c r="Y607" s="268"/>
      <c r="Z607" s="268"/>
    </row>
    <row r="608" spans="1:26" ht="24.75" customHeight="1">
      <c r="A608" s="268"/>
      <c r="B608" s="268"/>
      <c r="C608" s="268"/>
      <c r="D608" s="268"/>
      <c r="E608" s="268"/>
      <c r="F608" s="268"/>
      <c r="G608" s="268"/>
      <c r="H608" s="268"/>
      <c r="I608" s="268"/>
      <c r="J608" s="268"/>
      <c r="K608" s="268"/>
      <c r="L608" s="268"/>
      <c r="M608" s="268"/>
      <c r="N608" s="268"/>
      <c r="O608" s="268"/>
      <c r="P608" s="310"/>
      <c r="Q608" s="268"/>
      <c r="R608" s="309"/>
      <c r="S608" s="268"/>
      <c r="T608" s="313"/>
      <c r="U608" s="313"/>
      <c r="V608" s="268"/>
      <c r="W608" s="268"/>
      <c r="X608" s="268"/>
      <c r="Y608" s="268"/>
      <c r="Z608" s="268"/>
    </row>
    <row r="609" spans="1:26" ht="24.75" customHeight="1">
      <c r="A609" s="268"/>
      <c r="B609" s="268"/>
      <c r="C609" s="268"/>
      <c r="D609" s="268"/>
      <c r="E609" s="268"/>
      <c r="F609" s="268"/>
      <c r="G609" s="268"/>
      <c r="H609" s="268"/>
      <c r="I609" s="268"/>
      <c r="J609" s="268"/>
      <c r="K609" s="268"/>
      <c r="L609" s="268"/>
      <c r="M609" s="268"/>
      <c r="N609" s="268"/>
      <c r="O609" s="268"/>
      <c r="P609" s="310"/>
      <c r="Q609" s="268"/>
      <c r="R609" s="309"/>
      <c r="S609" s="268"/>
      <c r="T609" s="313"/>
      <c r="U609" s="313"/>
      <c r="V609" s="268"/>
      <c r="W609" s="268"/>
      <c r="X609" s="268"/>
      <c r="Y609" s="268"/>
      <c r="Z609" s="268"/>
    </row>
    <row r="610" spans="1:26" ht="24.75" customHeight="1">
      <c r="A610" s="268"/>
      <c r="B610" s="268"/>
      <c r="C610" s="268"/>
      <c r="D610" s="268"/>
      <c r="E610" s="268"/>
      <c r="F610" s="268"/>
      <c r="G610" s="268"/>
      <c r="H610" s="268"/>
      <c r="I610" s="268"/>
      <c r="J610" s="268"/>
      <c r="K610" s="268"/>
      <c r="L610" s="268"/>
      <c r="M610" s="268"/>
      <c r="N610" s="268"/>
      <c r="O610" s="268"/>
      <c r="P610" s="310"/>
      <c r="Q610" s="268"/>
      <c r="R610" s="309"/>
      <c r="S610" s="268"/>
      <c r="T610" s="313"/>
      <c r="U610" s="313"/>
      <c r="V610" s="268"/>
      <c r="W610" s="268"/>
      <c r="X610" s="268"/>
      <c r="Y610" s="268"/>
      <c r="Z610" s="268"/>
    </row>
    <row r="611" spans="1:26" ht="24.75" customHeight="1">
      <c r="A611" s="268"/>
      <c r="B611" s="268"/>
      <c r="C611" s="268"/>
      <c r="D611" s="268"/>
      <c r="E611" s="268"/>
      <c r="F611" s="268"/>
      <c r="G611" s="268"/>
      <c r="H611" s="268"/>
      <c r="I611" s="268"/>
      <c r="J611" s="268"/>
      <c r="K611" s="268"/>
      <c r="L611" s="268"/>
      <c r="M611" s="268"/>
      <c r="N611" s="268"/>
      <c r="O611" s="268"/>
      <c r="P611" s="310"/>
      <c r="Q611" s="268"/>
      <c r="R611" s="309"/>
      <c r="S611" s="268"/>
      <c r="T611" s="313"/>
      <c r="U611" s="313"/>
      <c r="V611" s="268"/>
      <c r="W611" s="268"/>
      <c r="X611" s="268"/>
      <c r="Y611" s="268"/>
      <c r="Z611" s="268"/>
    </row>
    <row r="612" spans="1:26" ht="24.75" customHeight="1">
      <c r="A612" s="268"/>
      <c r="B612" s="268"/>
      <c r="C612" s="268"/>
      <c r="D612" s="268"/>
      <c r="E612" s="268"/>
      <c r="F612" s="268"/>
      <c r="G612" s="268"/>
      <c r="H612" s="268"/>
      <c r="I612" s="268"/>
      <c r="J612" s="268"/>
      <c r="K612" s="268"/>
      <c r="L612" s="268"/>
      <c r="M612" s="268"/>
      <c r="N612" s="268"/>
      <c r="O612" s="268"/>
      <c r="P612" s="310"/>
      <c r="Q612" s="268"/>
      <c r="R612" s="309"/>
      <c r="S612" s="268"/>
      <c r="T612" s="313"/>
      <c r="U612" s="313"/>
      <c r="V612" s="268"/>
      <c r="W612" s="268"/>
      <c r="X612" s="268"/>
      <c r="Y612" s="268"/>
      <c r="Z612" s="268"/>
    </row>
    <row r="613" spans="1:26" ht="24.75" customHeight="1">
      <c r="A613" s="268"/>
      <c r="B613" s="268"/>
      <c r="C613" s="268"/>
      <c r="D613" s="268"/>
      <c r="E613" s="268"/>
      <c r="F613" s="268"/>
      <c r="G613" s="268"/>
      <c r="H613" s="268"/>
      <c r="I613" s="268"/>
      <c r="J613" s="268"/>
      <c r="K613" s="268"/>
      <c r="L613" s="268"/>
      <c r="M613" s="268"/>
      <c r="N613" s="268"/>
      <c r="O613" s="268"/>
      <c r="P613" s="310"/>
      <c r="Q613" s="268"/>
      <c r="R613" s="309"/>
      <c r="S613" s="268"/>
      <c r="T613" s="313"/>
      <c r="U613" s="313"/>
      <c r="V613" s="268"/>
      <c r="W613" s="268"/>
      <c r="X613" s="268"/>
      <c r="Y613" s="268"/>
      <c r="Z613" s="268"/>
    </row>
    <row r="614" spans="1:26" ht="24.75" customHeight="1">
      <c r="A614" s="268"/>
      <c r="B614" s="268"/>
      <c r="C614" s="268"/>
      <c r="D614" s="268"/>
      <c r="E614" s="268"/>
      <c r="F614" s="268"/>
      <c r="G614" s="268"/>
      <c r="H614" s="268"/>
      <c r="I614" s="268"/>
      <c r="J614" s="268"/>
      <c r="K614" s="268"/>
      <c r="L614" s="268"/>
      <c r="M614" s="268"/>
      <c r="N614" s="268"/>
      <c r="O614" s="268"/>
      <c r="P614" s="310"/>
      <c r="Q614" s="268"/>
      <c r="R614" s="309"/>
      <c r="S614" s="268"/>
      <c r="T614" s="313"/>
      <c r="U614" s="313"/>
      <c r="V614" s="268"/>
      <c r="W614" s="268"/>
      <c r="X614" s="268"/>
      <c r="Y614" s="268"/>
      <c r="Z614" s="268"/>
    </row>
    <row r="615" spans="1:26" ht="24.75" customHeight="1">
      <c r="A615" s="268"/>
      <c r="B615" s="268"/>
      <c r="C615" s="268"/>
      <c r="D615" s="268"/>
      <c r="E615" s="268"/>
      <c r="F615" s="268"/>
      <c r="G615" s="268"/>
      <c r="H615" s="268"/>
      <c r="I615" s="268"/>
      <c r="J615" s="268"/>
      <c r="K615" s="268"/>
      <c r="L615" s="268"/>
      <c r="M615" s="268"/>
      <c r="N615" s="268"/>
      <c r="O615" s="268"/>
      <c r="P615" s="310"/>
      <c r="Q615" s="268"/>
      <c r="R615" s="309"/>
      <c r="S615" s="268"/>
      <c r="T615" s="313"/>
      <c r="U615" s="313"/>
      <c r="V615" s="268"/>
      <c r="W615" s="268"/>
      <c r="X615" s="268"/>
      <c r="Y615" s="268"/>
      <c r="Z615" s="268"/>
    </row>
    <row r="616" spans="1:26" ht="24.75" customHeight="1">
      <c r="A616" s="268"/>
      <c r="B616" s="268"/>
      <c r="C616" s="268"/>
      <c r="D616" s="268"/>
      <c r="E616" s="268"/>
      <c r="F616" s="268"/>
      <c r="G616" s="268"/>
      <c r="H616" s="268"/>
      <c r="I616" s="268"/>
      <c r="J616" s="268"/>
      <c r="K616" s="268"/>
      <c r="L616" s="268"/>
      <c r="M616" s="268"/>
      <c r="N616" s="268"/>
      <c r="O616" s="268"/>
      <c r="P616" s="310"/>
      <c r="Q616" s="268"/>
      <c r="R616" s="309"/>
      <c r="S616" s="268"/>
      <c r="T616" s="313"/>
      <c r="U616" s="313"/>
      <c r="V616" s="268"/>
      <c r="W616" s="268"/>
      <c r="X616" s="268"/>
      <c r="Y616" s="268"/>
      <c r="Z616" s="268"/>
    </row>
    <row r="617" spans="1:26" ht="24.75" customHeight="1">
      <c r="A617" s="268"/>
      <c r="B617" s="268"/>
      <c r="C617" s="268"/>
      <c r="D617" s="268"/>
      <c r="E617" s="268"/>
      <c r="F617" s="268"/>
      <c r="G617" s="268"/>
      <c r="H617" s="268"/>
      <c r="I617" s="268"/>
      <c r="J617" s="268"/>
      <c r="K617" s="268"/>
      <c r="L617" s="268"/>
      <c r="M617" s="268"/>
      <c r="N617" s="268"/>
      <c r="O617" s="268"/>
      <c r="P617" s="310"/>
      <c r="Q617" s="268"/>
      <c r="R617" s="309"/>
      <c r="S617" s="268"/>
      <c r="T617" s="313"/>
      <c r="U617" s="313"/>
      <c r="V617" s="268"/>
      <c r="W617" s="268"/>
      <c r="X617" s="268"/>
      <c r="Y617" s="268"/>
      <c r="Z617" s="268"/>
    </row>
    <row r="618" spans="1:26" ht="24.75" customHeight="1">
      <c r="A618" s="268"/>
      <c r="B618" s="268"/>
      <c r="C618" s="268"/>
      <c r="D618" s="268"/>
      <c r="E618" s="268"/>
      <c r="F618" s="268"/>
      <c r="G618" s="268"/>
      <c r="H618" s="268"/>
      <c r="I618" s="268"/>
      <c r="J618" s="268"/>
      <c r="K618" s="268"/>
      <c r="L618" s="268"/>
      <c r="M618" s="268"/>
      <c r="N618" s="268"/>
      <c r="O618" s="268"/>
      <c r="P618" s="310"/>
      <c r="Q618" s="268"/>
      <c r="R618" s="309"/>
      <c r="S618" s="268"/>
      <c r="T618" s="313"/>
      <c r="U618" s="313"/>
      <c r="V618" s="268"/>
      <c r="W618" s="268"/>
      <c r="X618" s="268"/>
      <c r="Y618" s="268"/>
      <c r="Z618" s="268"/>
    </row>
    <row r="619" spans="1:26" ht="24.75" customHeight="1">
      <c r="A619" s="268"/>
      <c r="B619" s="268"/>
      <c r="C619" s="268"/>
      <c r="D619" s="268"/>
      <c r="E619" s="268"/>
      <c r="F619" s="268"/>
      <c r="G619" s="268"/>
      <c r="H619" s="268"/>
      <c r="I619" s="268"/>
      <c r="J619" s="268"/>
      <c r="K619" s="268"/>
      <c r="L619" s="268"/>
      <c r="M619" s="268"/>
      <c r="N619" s="268"/>
      <c r="O619" s="268"/>
      <c r="P619" s="310"/>
      <c r="Q619" s="268"/>
      <c r="R619" s="309"/>
      <c r="S619" s="268"/>
      <c r="T619" s="313"/>
      <c r="U619" s="313"/>
      <c r="V619" s="268"/>
      <c r="W619" s="268"/>
      <c r="X619" s="268"/>
      <c r="Y619" s="268"/>
      <c r="Z619" s="268"/>
    </row>
    <row r="620" spans="1:26" ht="24.75" customHeight="1">
      <c r="A620" s="268"/>
      <c r="B620" s="268"/>
      <c r="C620" s="268"/>
      <c r="D620" s="268"/>
      <c r="E620" s="268"/>
      <c r="F620" s="268"/>
      <c r="G620" s="268"/>
      <c r="H620" s="268"/>
      <c r="I620" s="268"/>
      <c r="J620" s="268"/>
      <c r="K620" s="268"/>
      <c r="L620" s="268"/>
      <c r="M620" s="268"/>
      <c r="N620" s="268"/>
      <c r="O620" s="268"/>
      <c r="P620" s="310"/>
      <c r="Q620" s="268"/>
      <c r="R620" s="309"/>
      <c r="S620" s="268"/>
      <c r="T620" s="313"/>
      <c r="U620" s="313"/>
      <c r="V620" s="268"/>
      <c r="W620" s="268"/>
      <c r="X620" s="268"/>
      <c r="Y620" s="268"/>
      <c r="Z620" s="268"/>
    </row>
    <row r="621" spans="1:26" ht="24.75" customHeight="1">
      <c r="A621" s="268"/>
      <c r="B621" s="268"/>
      <c r="C621" s="268"/>
      <c r="D621" s="268"/>
      <c r="E621" s="268"/>
      <c r="F621" s="268"/>
      <c r="G621" s="268"/>
      <c r="H621" s="268"/>
      <c r="I621" s="268"/>
      <c r="J621" s="268"/>
      <c r="K621" s="268"/>
      <c r="L621" s="268"/>
      <c r="M621" s="268"/>
      <c r="N621" s="268"/>
      <c r="O621" s="268"/>
      <c r="P621" s="310"/>
      <c r="Q621" s="268"/>
      <c r="R621" s="309"/>
      <c r="S621" s="268"/>
      <c r="T621" s="313"/>
      <c r="U621" s="313"/>
      <c r="V621" s="268"/>
      <c r="W621" s="268"/>
      <c r="X621" s="268"/>
      <c r="Y621" s="268"/>
      <c r="Z621" s="268"/>
    </row>
    <row r="622" spans="1:26" ht="24.75" customHeight="1">
      <c r="A622" s="268"/>
      <c r="B622" s="268"/>
      <c r="C622" s="268"/>
      <c r="D622" s="268"/>
      <c r="E622" s="268"/>
      <c r="F622" s="268"/>
      <c r="G622" s="268"/>
      <c r="H622" s="268"/>
      <c r="I622" s="268"/>
      <c r="J622" s="268"/>
      <c r="K622" s="268"/>
      <c r="L622" s="268"/>
      <c r="M622" s="268"/>
      <c r="N622" s="268"/>
      <c r="O622" s="268"/>
      <c r="P622" s="310"/>
      <c r="Q622" s="268"/>
      <c r="R622" s="309"/>
      <c r="S622" s="268"/>
      <c r="T622" s="313"/>
      <c r="U622" s="313"/>
      <c r="V622" s="268"/>
      <c r="W622" s="268"/>
      <c r="X622" s="268"/>
      <c r="Y622" s="268"/>
      <c r="Z622" s="268"/>
    </row>
    <row r="623" spans="1:26" ht="24.75" customHeight="1">
      <c r="A623" s="268"/>
      <c r="B623" s="268"/>
      <c r="C623" s="268"/>
      <c r="D623" s="268"/>
      <c r="E623" s="268"/>
      <c r="F623" s="268"/>
      <c r="G623" s="268"/>
      <c r="H623" s="268"/>
      <c r="I623" s="268"/>
      <c r="J623" s="268"/>
      <c r="K623" s="268"/>
      <c r="L623" s="268"/>
      <c r="M623" s="268"/>
      <c r="N623" s="268"/>
      <c r="O623" s="268"/>
      <c r="P623" s="310"/>
      <c r="Q623" s="268"/>
      <c r="R623" s="309"/>
      <c r="S623" s="268"/>
      <c r="T623" s="313"/>
      <c r="U623" s="313"/>
      <c r="V623" s="268"/>
      <c r="W623" s="268"/>
      <c r="X623" s="268"/>
      <c r="Y623" s="268"/>
      <c r="Z623" s="268"/>
    </row>
    <row r="624" spans="1:26" ht="24.75" customHeight="1">
      <c r="A624" s="268"/>
      <c r="B624" s="268"/>
      <c r="C624" s="268"/>
      <c r="D624" s="268"/>
      <c r="E624" s="268"/>
      <c r="F624" s="268"/>
      <c r="G624" s="268"/>
      <c r="H624" s="268"/>
      <c r="I624" s="268"/>
      <c r="J624" s="268"/>
      <c r="K624" s="268"/>
      <c r="L624" s="268"/>
      <c r="M624" s="268"/>
      <c r="N624" s="268"/>
      <c r="O624" s="268"/>
      <c r="P624" s="310"/>
      <c r="Q624" s="268"/>
      <c r="R624" s="309"/>
      <c r="S624" s="268"/>
      <c r="T624" s="313"/>
      <c r="U624" s="313"/>
      <c r="V624" s="268"/>
      <c r="W624" s="268"/>
      <c r="X624" s="268"/>
      <c r="Y624" s="268"/>
      <c r="Z624" s="268"/>
    </row>
    <row r="625" spans="1:26" ht="24.75" customHeight="1">
      <c r="A625" s="268"/>
      <c r="B625" s="268"/>
      <c r="C625" s="268"/>
      <c r="D625" s="268"/>
      <c r="E625" s="268"/>
      <c r="F625" s="268"/>
      <c r="G625" s="268"/>
      <c r="H625" s="268"/>
      <c r="I625" s="268"/>
      <c r="J625" s="268"/>
      <c r="K625" s="268"/>
      <c r="L625" s="268"/>
      <c r="M625" s="268"/>
      <c r="N625" s="268"/>
      <c r="O625" s="268"/>
      <c r="P625" s="310"/>
      <c r="Q625" s="268"/>
      <c r="R625" s="309"/>
      <c r="S625" s="268"/>
      <c r="T625" s="313"/>
      <c r="U625" s="313"/>
      <c r="V625" s="268"/>
      <c r="W625" s="268"/>
      <c r="X625" s="268"/>
      <c r="Y625" s="268"/>
      <c r="Z625" s="268"/>
    </row>
    <row r="626" spans="1:26" ht="24.75" customHeight="1">
      <c r="A626" s="268"/>
      <c r="B626" s="268"/>
      <c r="C626" s="268"/>
      <c r="D626" s="268"/>
      <c r="E626" s="268"/>
      <c r="F626" s="268"/>
      <c r="G626" s="268"/>
      <c r="H626" s="268"/>
      <c r="I626" s="268"/>
      <c r="J626" s="268"/>
      <c r="K626" s="268"/>
      <c r="L626" s="268"/>
      <c r="M626" s="268"/>
      <c r="N626" s="268"/>
      <c r="O626" s="268"/>
      <c r="P626" s="310"/>
      <c r="Q626" s="268"/>
      <c r="R626" s="309"/>
      <c r="S626" s="268"/>
      <c r="T626" s="313"/>
      <c r="U626" s="313"/>
      <c r="V626" s="268"/>
      <c r="W626" s="268"/>
      <c r="X626" s="268"/>
      <c r="Y626" s="268"/>
      <c r="Z626" s="268"/>
    </row>
    <row r="627" spans="1:26" ht="24.75" customHeight="1">
      <c r="A627" s="268"/>
      <c r="B627" s="268"/>
      <c r="C627" s="268"/>
      <c r="D627" s="268"/>
      <c r="E627" s="268"/>
      <c r="F627" s="268"/>
      <c r="G627" s="268"/>
      <c r="H627" s="268"/>
      <c r="I627" s="268"/>
      <c r="J627" s="268"/>
      <c r="K627" s="268"/>
      <c r="L627" s="268"/>
      <c r="M627" s="268"/>
      <c r="N627" s="268"/>
      <c r="O627" s="268"/>
      <c r="P627" s="310"/>
      <c r="Q627" s="268"/>
      <c r="R627" s="309"/>
      <c r="S627" s="268"/>
      <c r="T627" s="313"/>
      <c r="U627" s="313"/>
      <c r="V627" s="268"/>
      <c r="W627" s="268"/>
      <c r="X627" s="268"/>
      <c r="Y627" s="268"/>
      <c r="Z627" s="268"/>
    </row>
    <row r="628" spans="1:26" ht="24.75" customHeight="1">
      <c r="A628" s="268"/>
      <c r="B628" s="268"/>
      <c r="C628" s="268"/>
      <c r="D628" s="268"/>
      <c r="E628" s="268"/>
      <c r="F628" s="268"/>
      <c r="G628" s="268"/>
      <c r="H628" s="268"/>
      <c r="I628" s="268"/>
      <c r="J628" s="268"/>
      <c r="K628" s="268"/>
      <c r="L628" s="268"/>
      <c r="M628" s="268"/>
      <c r="N628" s="268"/>
      <c r="O628" s="268"/>
      <c r="P628" s="310"/>
      <c r="Q628" s="268"/>
      <c r="R628" s="309"/>
      <c r="S628" s="268"/>
      <c r="T628" s="313"/>
      <c r="U628" s="313"/>
      <c r="V628" s="268"/>
      <c r="W628" s="268"/>
      <c r="X628" s="268"/>
      <c r="Y628" s="268"/>
      <c r="Z628" s="268"/>
    </row>
    <row r="629" spans="1:26" ht="24.75" customHeight="1">
      <c r="A629" s="268"/>
      <c r="B629" s="268"/>
      <c r="C629" s="268"/>
      <c r="D629" s="268"/>
      <c r="E629" s="268"/>
      <c r="F629" s="268"/>
      <c r="G629" s="268"/>
      <c r="H629" s="268"/>
      <c r="I629" s="268"/>
      <c r="J629" s="268"/>
      <c r="K629" s="268"/>
      <c r="L629" s="268"/>
      <c r="M629" s="268"/>
      <c r="N629" s="268"/>
      <c r="O629" s="268"/>
      <c r="P629" s="310"/>
      <c r="Q629" s="268"/>
      <c r="R629" s="309"/>
      <c r="S629" s="268"/>
      <c r="T629" s="313"/>
      <c r="U629" s="313"/>
      <c r="V629" s="268"/>
      <c r="W629" s="268"/>
      <c r="X629" s="268"/>
      <c r="Y629" s="268"/>
      <c r="Z629" s="268"/>
    </row>
    <row r="630" spans="1:26" ht="24.75" customHeight="1">
      <c r="A630" s="268"/>
      <c r="B630" s="268"/>
      <c r="C630" s="268"/>
      <c r="D630" s="268"/>
      <c r="E630" s="268"/>
      <c r="F630" s="268"/>
      <c r="G630" s="268"/>
      <c r="H630" s="268"/>
      <c r="I630" s="268"/>
      <c r="J630" s="268"/>
      <c r="K630" s="268"/>
      <c r="L630" s="268"/>
      <c r="M630" s="268"/>
      <c r="N630" s="268"/>
      <c r="O630" s="268"/>
      <c r="P630" s="310"/>
      <c r="Q630" s="268"/>
      <c r="R630" s="309"/>
      <c r="S630" s="268"/>
      <c r="T630" s="313"/>
      <c r="U630" s="313"/>
      <c r="V630" s="268"/>
      <c r="W630" s="268"/>
      <c r="X630" s="268"/>
      <c r="Y630" s="268"/>
      <c r="Z630" s="268"/>
    </row>
    <row r="631" spans="1:26" ht="24.75" customHeight="1">
      <c r="A631" s="268"/>
      <c r="B631" s="268"/>
      <c r="C631" s="268"/>
      <c r="D631" s="268"/>
      <c r="E631" s="268"/>
      <c r="F631" s="268"/>
      <c r="G631" s="268"/>
      <c r="H631" s="268"/>
      <c r="I631" s="268"/>
      <c r="J631" s="268"/>
      <c r="K631" s="268"/>
      <c r="L631" s="268"/>
      <c r="M631" s="268"/>
      <c r="N631" s="268"/>
      <c r="O631" s="268"/>
      <c r="P631" s="310"/>
      <c r="Q631" s="268"/>
      <c r="R631" s="309"/>
      <c r="S631" s="268"/>
      <c r="T631" s="313"/>
      <c r="U631" s="313"/>
      <c r="V631" s="268"/>
      <c r="W631" s="268"/>
      <c r="X631" s="268"/>
      <c r="Y631" s="268"/>
      <c r="Z631" s="268"/>
    </row>
    <row r="632" spans="1:26" ht="24.75" customHeight="1">
      <c r="A632" s="268"/>
      <c r="B632" s="268"/>
      <c r="C632" s="268"/>
      <c r="D632" s="268"/>
      <c r="E632" s="268"/>
      <c r="F632" s="268"/>
      <c r="G632" s="268"/>
      <c r="H632" s="268"/>
      <c r="I632" s="268"/>
      <c r="J632" s="268"/>
      <c r="K632" s="268"/>
      <c r="L632" s="268"/>
      <c r="M632" s="268"/>
      <c r="N632" s="268"/>
      <c r="O632" s="268"/>
      <c r="P632" s="310"/>
      <c r="Q632" s="268"/>
      <c r="R632" s="309"/>
      <c r="S632" s="268"/>
      <c r="T632" s="313"/>
      <c r="U632" s="313"/>
      <c r="V632" s="268"/>
      <c r="W632" s="268"/>
      <c r="X632" s="268"/>
      <c r="Y632" s="268"/>
      <c r="Z632" s="268"/>
    </row>
    <row r="633" spans="1:26" ht="24.75" customHeight="1">
      <c r="A633" s="268"/>
      <c r="B633" s="268"/>
      <c r="C633" s="268"/>
      <c r="D633" s="268"/>
      <c r="E633" s="268"/>
      <c r="F633" s="268"/>
      <c r="G633" s="268"/>
      <c r="H633" s="268"/>
      <c r="I633" s="268"/>
      <c r="J633" s="268"/>
      <c r="K633" s="268"/>
      <c r="L633" s="268"/>
      <c r="M633" s="268"/>
      <c r="N633" s="268"/>
      <c r="O633" s="268"/>
      <c r="P633" s="310"/>
      <c r="Q633" s="268"/>
      <c r="R633" s="309"/>
      <c r="S633" s="268"/>
      <c r="T633" s="313"/>
      <c r="U633" s="313"/>
      <c r="V633" s="268"/>
      <c r="W633" s="268"/>
      <c r="X633" s="268"/>
      <c r="Y633" s="268"/>
      <c r="Z633" s="268"/>
    </row>
    <row r="634" spans="1:26" ht="24.75" customHeight="1">
      <c r="A634" s="268"/>
      <c r="B634" s="268"/>
      <c r="C634" s="268"/>
      <c r="D634" s="268"/>
      <c r="E634" s="268"/>
      <c r="F634" s="268"/>
      <c r="G634" s="268"/>
      <c r="H634" s="268"/>
      <c r="I634" s="268"/>
      <c r="J634" s="268"/>
      <c r="K634" s="268"/>
      <c r="L634" s="268"/>
      <c r="M634" s="268"/>
      <c r="N634" s="268"/>
      <c r="O634" s="268"/>
      <c r="P634" s="310"/>
      <c r="Q634" s="268"/>
      <c r="R634" s="309"/>
      <c r="S634" s="268"/>
      <c r="T634" s="313"/>
      <c r="U634" s="313"/>
      <c r="V634" s="268"/>
      <c r="W634" s="268"/>
      <c r="X634" s="268"/>
      <c r="Y634" s="268"/>
      <c r="Z634" s="268"/>
    </row>
    <row r="635" spans="1:26" ht="24.75" customHeight="1">
      <c r="A635" s="268"/>
      <c r="B635" s="268"/>
      <c r="C635" s="268"/>
      <c r="D635" s="268"/>
      <c r="E635" s="268"/>
      <c r="F635" s="268"/>
      <c r="G635" s="268"/>
      <c r="H635" s="268"/>
      <c r="I635" s="268"/>
      <c r="J635" s="268"/>
      <c r="K635" s="268"/>
      <c r="L635" s="268"/>
      <c r="M635" s="268"/>
      <c r="N635" s="268"/>
      <c r="O635" s="268"/>
      <c r="P635" s="310"/>
      <c r="Q635" s="268"/>
      <c r="R635" s="309"/>
      <c r="S635" s="268"/>
      <c r="T635" s="313"/>
      <c r="U635" s="313"/>
      <c r="V635" s="268"/>
      <c r="W635" s="268"/>
      <c r="X635" s="268"/>
      <c r="Y635" s="268"/>
      <c r="Z635" s="268"/>
    </row>
    <row r="636" spans="1:26" ht="24.75" customHeight="1">
      <c r="A636" s="268"/>
      <c r="B636" s="268"/>
      <c r="C636" s="268"/>
      <c r="D636" s="268"/>
      <c r="E636" s="268"/>
      <c r="F636" s="268"/>
      <c r="G636" s="268"/>
      <c r="H636" s="268"/>
      <c r="I636" s="268"/>
      <c r="J636" s="268"/>
      <c r="K636" s="268"/>
      <c r="L636" s="268"/>
      <c r="M636" s="268"/>
      <c r="N636" s="268"/>
      <c r="O636" s="268"/>
      <c r="P636" s="310"/>
      <c r="Q636" s="268"/>
      <c r="R636" s="309"/>
      <c r="S636" s="268"/>
      <c r="T636" s="313"/>
      <c r="U636" s="313"/>
      <c r="V636" s="268"/>
      <c r="W636" s="268"/>
      <c r="X636" s="268"/>
      <c r="Y636" s="268"/>
      <c r="Z636" s="268"/>
    </row>
    <row r="637" spans="1:26" ht="24.75" customHeight="1">
      <c r="A637" s="268"/>
      <c r="B637" s="268"/>
      <c r="C637" s="268"/>
      <c r="D637" s="268"/>
      <c r="E637" s="268"/>
      <c r="F637" s="268"/>
      <c r="G637" s="268"/>
      <c r="H637" s="268"/>
      <c r="I637" s="268"/>
      <c r="J637" s="268"/>
      <c r="K637" s="268"/>
      <c r="L637" s="268"/>
      <c r="M637" s="268"/>
      <c r="N637" s="268"/>
      <c r="O637" s="268"/>
      <c r="P637" s="310"/>
      <c r="Q637" s="268"/>
      <c r="R637" s="309"/>
      <c r="S637" s="268"/>
      <c r="T637" s="313"/>
      <c r="U637" s="313"/>
      <c r="V637" s="268"/>
      <c r="W637" s="268"/>
      <c r="X637" s="268"/>
      <c r="Y637" s="268"/>
      <c r="Z637" s="268"/>
    </row>
    <row r="638" spans="1:26" ht="24.75" customHeight="1">
      <c r="A638" s="268"/>
      <c r="B638" s="268"/>
      <c r="C638" s="268"/>
      <c r="D638" s="268"/>
      <c r="E638" s="268"/>
      <c r="F638" s="268"/>
      <c r="G638" s="268"/>
      <c r="H638" s="268"/>
      <c r="I638" s="268"/>
      <c r="J638" s="268"/>
      <c r="K638" s="268"/>
      <c r="L638" s="268"/>
      <c r="M638" s="268"/>
      <c r="N638" s="268"/>
      <c r="O638" s="268"/>
      <c r="P638" s="310"/>
      <c r="Q638" s="268"/>
      <c r="R638" s="309"/>
      <c r="S638" s="268"/>
      <c r="T638" s="313"/>
      <c r="U638" s="313"/>
      <c r="V638" s="268"/>
      <c r="W638" s="268"/>
      <c r="X638" s="268"/>
      <c r="Y638" s="268"/>
      <c r="Z638" s="268"/>
    </row>
    <row r="639" spans="1:26" ht="24.75" customHeight="1">
      <c r="A639" s="268"/>
      <c r="B639" s="268"/>
      <c r="C639" s="268"/>
      <c r="D639" s="268"/>
      <c r="E639" s="268"/>
      <c r="F639" s="268"/>
      <c r="G639" s="268"/>
      <c r="H639" s="268"/>
      <c r="I639" s="268"/>
      <c r="J639" s="268"/>
      <c r="K639" s="268"/>
      <c r="L639" s="268"/>
      <c r="M639" s="268"/>
      <c r="N639" s="268"/>
      <c r="O639" s="268"/>
      <c r="P639" s="310"/>
      <c r="Q639" s="268"/>
      <c r="R639" s="309"/>
      <c r="S639" s="268"/>
      <c r="T639" s="313"/>
      <c r="U639" s="313"/>
      <c r="V639" s="268"/>
      <c r="W639" s="268"/>
      <c r="X639" s="268"/>
      <c r="Y639" s="268"/>
      <c r="Z639" s="268"/>
    </row>
    <row r="640" spans="1:26" ht="24.75" customHeight="1">
      <c r="A640" s="268"/>
      <c r="B640" s="268"/>
      <c r="C640" s="268"/>
      <c r="D640" s="268"/>
      <c r="E640" s="268"/>
      <c r="F640" s="268"/>
      <c r="G640" s="268"/>
      <c r="H640" s="268"/>
      <c r="I640" s="268"/>
      <c r="J640" s="268"/>
      <c r="K640" s="268"/>
      <c r="L640" s="268"/>
      <c r="M640" s="268"/>
      <c r="N640" s="268"/>
      <c r="O640" s="268"/>
      <c r="P640" s="310"/>
      <c r="Q640" s="268"/>
      <c r="R640" s="309"/>
      <c r="S640" s="268"/>
      <c r="T640" s="313"/>
      <c r="U640" s="313"/>
      <c r="V640" s="268"/>
      <c r="W640" s="268"/>
      <c r="X640" s="268"/>
      <c r="Y640" s="268"/>
      <c r="Z640" s="268"/>
    </row>
    <row r="641" spans="1:26" ht="24.75" customHeight="1">
      <c r="A641" s="268"/>
      <c r="B641" s="268"/>
      <c r="C641" s="268"/>
      <c r="D641" s="268"/>
      <c r="E641" s="268"/>
      <c r="F641" s="268"/>
      <c r="G641" s="268"/>
      <c r="H641" s="268"/>
      <c r="I641" s="268"/>
      <c r="J641" s="268"/>
      <c r="K641" s="268"/>
      <c r="L641" s="268"/>
      <c r="M641" s="268"/>
      <c r="N641" s="268"/>
      <c r="O641" s="268"/>
      <c r="P641" s="310"/>
      <c r="Q641" s="268"/>
      <c r="R641" s="309"/>
      <c r="S641" s="268"/>
      <c r="T641" s="313"/>
      <c r="U641" s="313"/>
      <c r="V641" s="268"/>
      <c r="W641" s="268"/>
      <c r="X641" s="268"/>
      <c r="Y641" s="268"/>
      <c r="Z641" s="268"/>
    </row>
    <row r="642" spans="1:26" ht="24.75" customHeight="1">
      <c r="A642" s="268"/>
      <c r="B642" s="268"/>
      <c r="C642" s="268"/>
      <c r="D642" s="268"/>
      <c r="E642" s="268"/>
      <c r="F642" s="268"/>
      <c r="G642" s="268"/>
      <c r="H642" s="268"/>
      <c r="I642" s="268"/>
      <c r="J642" s="268"/>
      <c r="K642" s="268"/>
      <c r="L642" s="268"/>
      <c r="M642" s="268"/>
      <c r="N642" s="268"/>
      <c r="O642" s="268"/>
      <c r="P642" s="310"/>
      <c r="Q642" s="268"/>
      <c r="R642" s="309"/>
      <c r="S642" s="268"/>
      <c r="T642" s="313"/>
      <c r="U642" s="313"/>
      <c r="V642" s="268"/>
      <c r="W642" s="268"/>
      <c r="X642" s="268"/>
      <c r="Y642" s="268"/>
      <c r="Z642" s="268"/>
    </row>
    <row r="643" spans="1:26" ht="24.75" customHeight="1">
      <c r="A643" s="268"/>
      <c r="B643" s="268"/>
      <c r="C643" s="268"/>
      <c r="D643" s="268"/>
      <c r="E643" s="268"/>
      <c r="F643" s="268"/>
      <c r="G643" s="268"/>
      <c r="H643" s="268"/>
      <c r="I643" s="268"/>
      <c r="J643" s="268"/>
      <c r="K643" s="268"/>
      <c r="L643" s="268"/>
      <c r="M643" s="268"/>
      <c r="N643" s="268"/>
      <c r="O643" s="268"/>
      <c r="P643" s="310"/>
      <c r="Q643" s="268"/>
      <c r="R643" s="309"/>
      <c r="S643" s="268"/>
      <c r="T643" s="313"/>
      <c r="U643" s="313"/>
      <c r="V643" s="268"/>
      <c r="W643" s="268"/>
      <c r="X643" s="268"/>
      <c r="Y643" s="268"/>
      <c r="Z643" s="268"/>
    </row>
    <row r="644" spans="1:26" ht="24.75" customHeight="1">
      <c r="A644" s="268"/>
      <c r="B644" s="268"/>
      <c r="C644" s="268"/>
      <c r="D644" s="268"/>
      <c r="E644" s="268"/>
      <c r="F644" s="268"/>
      <c r="G644" s="268"/>
      <c r="H644" s="268"/>
      <c r="I644" s="268"/>
      <c r="J644" s="268"/>
      <c r="K644" s="268"/>
      <c r="L644" s="268"/>
      <c r="M644" s="268"/>
      <c r="N644" s="268"/>
      <c r="O644" s="268"/>
      <c r="P644" s="310"/>
      <c r="Q644" s="268"/>
      <c r="R644" s="309"/>
      <c r="S644" s="268"/>
      <c r="T644" s="313"/>
      <c r="U644" s="313"/>
      <c r="V644" s="268"/>
      <c r="W644" s="268"/>
      <c r="X644" s="268"/>
      <c r="Y644" s="268"/>
      <c r="Z644" s="268"/>
    </row>
    <row r="645" spans="1:26" ht="24.75" customHeight="1">
      <c r="A645" s="268"/>
      <c r="B645" s="268"/>
      <c r="C645" s="268"/>
      <c r="D645" s="268"/>
      <c r="E645" s="268"/>
      <c r="F645" s="268"/>
      <c r="G645" s="268"/>
      <c r="H645" s="268"/>
      <c r="I645" s="268"/>
      <c r="J645" s="268"/>
      <c r="K645" s="268"/>
      <c r="L645" s="268"/>
      <c r="M645" s="268"/>
      <c r="N645" s="268"/>
      <c r="O645" s="268"/>
      <c r="P645" s="310"/>
      <c r="Q645" s="268"/>
      <c r="R645" s="309"/>
      <c r="S645" s="268"/>
      <c r="T645" s="313"/>
      <c r="U645" s="313"/>
      <c r="V645" s="268"/>
      <c r="W645" s="268"/>
      <c r="X645" s="268"/>
      <c r="Y645" s="268"/>
      <c r="Z645" s="268"/>
    </row>
    <row r="646" spans="1:26" ht="24.75" customHeight="1">
      <c r="A646" s="268"/>
      <c r="B646" s="268"/>
      <c r="C646" s="268"/>
      <c r="D646" s="268"/>
      <c r="E646" s="268"/>
      <c r="F646" s="268"/>
      <c r="G646" s="268"/>
      <c r="H646" s="268"/>
      <c r="I646" s="268"/>
      <c r="J646" s="268"/>
      <c r="K646" s="268"/>
      <c r="L646" s="268"/>
      <c r="M646" s="268"/>
      <c r="N646" s="268"/>
      <c r="O646" s="268"/>
      <c r="P646" s="310"/>
      <c r="Q646" s="268"/>
      <c r="R646" s="309"/>
      <c r="S646" s="268"/>
      <c r="T646" s="313"/>
      <c r="U646" s="313"/>
      <c r="V646" s="268"/>
      <c r="W646" s="268"/>
      <c r="X646" s="268"/>
      <c r="Y646" s="268"/>
      <c r="Z646" s="268"/>
    </row>
    <row r="647" spans="1:26" ht="24.75" customHeight="1">
      <c r="A647" s="268"/>
      <c r="B647" s="268"/>
      <c r="C647" s="268"/>
      <c r="D647" s="268"/>
      <c r="E647" s="268"/>
      <c r="F647" s="268"/>
      <c r="G647" s="268"/>
      <c r="H647" s="268"/>
      <c r="I647" s="268"/>
      <c r="J647" s="268"/>
      <c r="K647" s="268"/>
      <c r="L647" s="268"/>
      <c r="M647" s="268"/>
      <c r="N647" s="268"/>
      <c r="O647" s="268"/>
      <c r="P647" s="310"/>
      <c r="Q647" s="268"/>
      <c r="R647" s="309"/>
      <c r="S647" s="268"/>
      <c r="T647" s="313"/>
      <c r="U647" s="313"/>
      <c r="V647" s="268"/>
      <c r="W647" s="268"/>
      <c r="X647" s="268"/>
      <c r="Y647" s="268"/>
      <c r="Z647" s="268"/>
    </row>
    <row r="648" spans="1:26" ht="24.75" customHeight="1">
      <c r="A648" s="268"/>
      <c r="B648" s="268"/>
      <c r="C648" s="268"/>
      <c r="D648" s="268"/>
      <c r="E648" s="268"/>
      <c r="F648" s="268"/>
      <c r="G648" s="268"/>
      <c r="H648" s="268"/>
      <c r="I648" s="268"/>
      <c r="J648" s="268"/>
      <c r="K648" s="268"/>
      <c r="L648" s="268"/>
      <c r="M648" s="268"/>
      <c r="N648" s="268"/>
      <c r="O648" s="268"/>
      <c r="P648" s="310"/>
      <c r="Q648" s="268"/>
      <c r="R648" s="309"/>
      <c r="S648" s="268"/>
      <c r="T648" s="313"/>
      <c r="U648" s="313"/>
      <c r="V648" s="268"/>
      <c r="W648" s="268"/>
      <c r="X648" s="268"/>
      <c r="Y648" s="268"/>
      <c r="Z648" s="268"/>
    </row>
    <row r="649" spans="1:26" ht="24.75" customHeight="1">
      <c r="A649" s="268"/>
      <c r="B649" s="268"/>
      <c r="C649" s="268"/>
      <c r="D649" s="268"/>
      <c r="E649" s="268"/>
      <c r="F649" s="268"/>
      <c r="G649" s="268"/>
      <c r="H649" s="268"/>
      <c r="I649" s="268"/>
      <c r="J649" s="268"/>
      <c r="K649" s="268"/>
      <c r="L649" s="268"/>
      <c r="M649" s="268"/>
      <c r="N649" s="268"/>
      <c r="O649" s="268"/>
      <c r="P649" s="310"/>
      <c r="Q649" s="268"/>
      <c r="R649" s="309"/>
      <c r="S649" s="268"/>
      <c r="T649" s="313"/>
      <c r="U649" s="313"/>
      <c r="V649" s="268"/>
      <c r="W649" s="268"/>
      <c r="X649" s="268"/>
      <c r="Y649" s="268"/>
      <c r="Z649" s="268"/>
    </row>
    <row r="650" spans="1:26" ht="24.75" customHeight="1">
      <c r="A650" s="268"/>
      <c r="B650" s="268"/>
      <c r="C650" s="268"/>
      <c r="D650" s="268"/>
      <c r="E650" s="268"/>
      <c r="F650" s="268"/>
      <c r="G650" s="268"/>
      <c r="H650" s="268"/>
      <c r="I650" s="268"/>
      <c r="J650" s="268"/>
      <c r="K650" s="268"/>
      <c r="L650" s="268"/>
      <c r="M650" s="268"/>
      <c r="N650" s="268"/>
      <c r="O650" s="268"/>
      <c r="P650" s="310"/>
      <c r="Q650" s="268"/>
      <c r="R650" s="309"/>
      <c r="S650" s="268"/>
      <c r="T650" s="313"/>
      <c r="U650" s="313"/>
      <c r="V650" s="268"/>
      <c r="W650" s="268"/>
      <c r="X650" s="268"/>
      <c r="Y650" s="268"/>
      <c r="Z650" s="268"/>
    </row>
    <row r="651" spans="1:26" ht="24.75" customHeight="1">
      <c r="A651" s="268"/>
      <c r="B651" s="268"/>
      <c r="C651" s="268"/>
      <c r="D651" s="268"/>
      <c r="E651" s="268"/>
      <c r="F651" s="268"/>
      <c r="G651" s="268"/>
      <c r="H651" s="268"/>
      <c r="I651" s="268"/>
      <c r="J651" s="268"/>
      <c r="K651" s="268"/>
      <c r="L651" s="268"/>
      <c r="M651" s="268"/>
      <c r="N651" s="268"/>
      <c r="O651" s="268"/>
      <c r="P651" s="310"/>
      <c r="Q651" s="268"/>
      <c r="R651" s="309"/>
      <c r="S651" s="268"/>
      <c r="T651" s="313"/>
      <c r="U651" s="313"/>
      <c r="V651" s="268"/>
      <c r="W651" s="268"/>
      <c r="X651" s="268"/>
      <c r="Y651" s="268"/>
      <c r="Z651" s="268"/>
    </row>
    <row r="652" spans="1:26" ht="24.75" customHeight="1">
      <c r="A652" s="268"/>
      <c r="B652" s="268"/>
      <c r="C652" s="268"/>
      <c r="D652" s="268"/>
      <c r="E652" s="268"/>
      <c r="F652" s="268"/>
      <c r="G652" s="268"/>
      <c r="H652" s="268"/>
      <c r="I652" s="268"/>
      <c r="J652" s="268"/>
      <c r="K652" s="268"/>
      <c r="L652" s="268"/>
      <c r="M652" s="268"/>
      <c r="N652" s="268"/>
      <c r="O652" s="268"/>
      <c r="P652" s="310"/>
      <c r="Q652" s="268"/>
      <c r="R652" s="309"/>
      <c r="S652" s="268"/>
      <c r="T652" s="313"/>
      <c r="U652" s="313"/>
      <c r="V652" s="268"/>
      <c r="W652" s="268"/>
      <c r="X652" s="268"/>
      <c r="Y652" s="268"/>
      <c r="Z652" s="268"/>
    </row>
    <row r="653" spans="1:26" ht="24.75" customHeight="1">
      <c r="A653" s="268"/>
      <c r="B653" s="268"/>
      <c r="C653" s="268"/>
      <c r="D653" s="268"/>
      <c r="E653" s="268"/>
      <c r="F653" s="268"/>
      <c r="G653" s="268"/>
      <c r="H653" s="268"/>
      <c r="I653" s="268"/>
      <c r="J653" s="268"/>
      <c r="K653" s="268"/>
      <c r="L653" s="268"/>
      <c r="M653" s="268"/>
      <c r="N653" s="268"/>
      <c r="O653" s="268"/>
      <c r="P653" s="310"/>
      <c r="Q653" s="268"/>
      <c r="R653" s="309"/>
      <c r="S653" s="268"/>
      <c r="T653" s="313"/>
      <c r="U653" s="313"/>
      <c r="V653" s="268"/>
      <c r="W653" s="268"/>
      <c r="X653" s="268"/>
      <c r="Y653" s="268"/>
      <c r="Z653" s="268"/>
    </row>
    <row r="654" spans="1:26" ht="24.75" customHeight="1">
      <c r="A654" s="268"/>
      <c r="B654" s="268"/>
      <c r="C654" s="268"/>
      <c r="D654" s="268"/>
      <c r="E654" s="268"/>
      <c r="F654" s="268"/>
      <c r="G654" s="268"/>
      <c r="H654" s="268"/>
      <c r="I654" s="268"/>
      <c r="J654" s="268"/>
      <c r="K654" s="268"/>
      <c r="L654" s="268"/>
      <c r="M654" s="268"/>
      <c r="N654" s="268"/>
      <c r="O654" s="268"/>
      <c r="P654" s="310"/>
      <c r="Q654" s="268"/>
      <c r="R654" s="309"/>
      <c r="S654" s="268"/>
      <c r="T654" s="313"/>
      <c r="U654" s="313"/>
      <c r="V654" s="268"/>
      <c r="W654" s="268"/>
      <c r="X654" s="268"/>
      <c r="Y654" s="268"/>
      <c r="Z654" s="268"/>
    </row>
    <row r="655" spans="1:26" ht="24.75" customHeight="1">
      <c r="A655" s="268"/>
      <c r="B655" s="268"/>
      <c r="C655" s="268"/>
      <c r="D655" s="268"/>
      <c r="E655" s="268"/>
      <c r="F655" s="268"/>
      <c r="G655" s="268"/>
      <c r="H655" s="268"/>
      <c r="I655" s="268"/>
      <c r="J655" s="268"/>
      <c r="K655" s="268"/>
      <c r="L655" s="268"/>
      <c r="M655" s="268"/>
      <c r="N655" s="268"/>
      <c r="O655" s="268"/>
      <c r="P655" s="310"/>
      <c r="Q655" s="268"/>
      <c r="R655" s="309"/>
      <c r="S655" s="268"/>
      <c r="T655" s="313"/>
      <c r="U655" s="313"/>
      <c r="V655" s="268"/>
      <c r="W655" s="268"/>
      <c r="X655" s="268"/>
      <c r="Y655" s="268"/>
      <c r="Z655" s="268"/>
    </row>
    <row r="656" spans="1:26" ht="24.75" customHeight="1">
      <c r="A656" s="268"/>
      <c r="B656" s="268"/>
      <c r="C656" s="268"/>
      <c r="D656" s="268"/>
      <c r="E656" s="268"/>
      <c r="F656" s="268"/>
      <c r="G656" s="268"/>
      <c r="H656" s="268"/>
      <c r="I656" s="268"/>
      <c r="J656" s="268"/>
      <c r="K656" s="268"/>
      <c r="L656" s="268"/>
      <c r="M656" s="268"/>
      <c r="N656" s="268"/>
      <c r="O656" s="268"/>
      <c r="P656" s="310"/>
      <c r="Q656" s="268"/>
      <c r="R656" s="309"/>
      <c r="S656" s="268"/>
      <c r="T656" s="313"/>
      <c r="U656" s="313"/>
      <c r="V656" s="268"/>
      <c r="W656" s="268"/>
      <c r="X656" s="268"/>
      <c r="Y656" s="268"/>
      <c r="Z656" s="268"/>
    </row>
    <row r="657" spans="1:26" ht="24.75" customHeight="1">
      <c r="A657" s="268"/>
      <c r="B657" s="268"/>
      <c r="C657" s="268"/>
      <c r="D657" s="268"/>
      <c r="E657" s="268"/>
      <c r="F657" s="268"/>
      <c r="G657" s="268"/>
      <c r="H657" s="268"/>
      <c r="I657" s="268"/>
      <c r="J657" s="268"/>
      <c r="K657" s="268"/>
      <c r="L657" s="268"/>
      <c r="M657" s="268"/>
      <c r="N657" s="268"/>
      <c r="O657" s="268"/>
      <c r="P657" s="310"/>
      <c r="Q657" s="268"/>
      <c r="R657" s="309"/>
      <c r="S657" s="268"/>
      <c r="T657" s="313"/>
      <c r="U657" s="313"/>
      <c r="V657" s="268"/>
      <c r="W657" s="268"/>
      <c r="X657" s="268"/>
      <c r="Y657" s="268"/>
      <c r="Z657" s="268"/>
    </row>
    <row r="658" spans="1:26" ht="24.75" customHeight="1">
      <c r="A658" s="268"/>
      <c r="B658" s="268"/>
      <c r="C658" s="268"/>
      <c r="D658" s="268"/>
      <c r="E658" s="268"/>
      <c r="F658" s="268"/>
      <c r="G658" s="268"/>
      <c r="H658" s="268"/>
      <c r="I658" s="268"/>
      <c r="J658" s="268"/>
      <c r="K658" s="268"/>
      <c r="L658" s="268"/>
      <c r="M658" s="268"/>
      <c r="N658" s="268"/>
      <c r="O658" s="268"/>
      <c r="P658" s="310"/>
      <c r="Q658" s="268"/>
      <c r="R658" s="309"/>
      <c r="S658" s="268"/>
      <c r="T658" s="313"/>
      <c r="U658" s="313"/>
      <c r="V658" s="268"/>
      <c r="W658" s="268"/>
      <c r="X658" s="268"/>
      <c r="Y658" s="268"/>
      <c r="Z658" s="268"/>
    </row>
    <row r="659" spans="1:26" ht="24.75" customHeight="1">
      <c r="A659" s="268"/>
      <c r="B659" s="268"/>
      <c r="C659" s="268"/>
      <c r="D659" s="268"/>
      <c r="E659" s="268"/>
      <c r="F659" s="268"/>
      <c r="G659" s="268"/>
      <c r="H659" s="268"/>
      <c r="I659" s="268"/>
      <c r="J659" s="268"/>
      <c r="K659" s="268"/>
      <c r="L659" s="268"/>
      <c r="M659" s="268"/>
      <c r="N659" s="268"/>
      <c r="O659" s="268"/>
      <c r="P659" s="310"/>
      <c r="Q659" s="268"/>
      <c r="R659" s="309"/>
      <c r="S659" s="268"/>
      <c r="T659" s="313"/>
      <c r="U659" s="313"/>
      <c r="V659" s="268"/>
      <c r="W659" s="268"/>
      <c r="X659" s="268"/>
      <c r="Y659" s="268"/>
      <c r="Z659" s="268"/>
    </row>
    <row r="660" spans="1:26" ht="24.75" customHeight="1">
      <c r="A660" s="268"/>
      <c r="B660" s="268"/>
      <c r="C660" s="268"/>
      <c r="D660" s="268"/>
      <c r="E660" s="268"/>
      <c r="F660" s="268"/>
      <c r="G660" s="268"/>
      <c r="H660" s="268"/>
      <c r="I660" s="268"/>
      <c r="J660" s="268"/>
      <c r="K660" s="268"/>
      <c r="L660" s="268"/>
      <c r="M660" s="268"/>
      <c r="N660" s="268"/>
      <c r="O660" s="268"/>
      <c r="P660" s="310"/>
      <c r="Q660" s="268"/>
      <c r="R660" s="309"/>
      <c r="S660" s="268"/>
      <c r="T660" s="313"/>
      <c r="U660" s="313"/>
      <c r="V660" s="268"/>
      <c r="W660" s="268"/>
      <c r="X660" s="268"/>
      <c r="Y660" s="268"/>
      <c r="Z660" s="268"/>
    </row>
    <row r="661" spans="1:26" ht="24.75" customHeight="1">
      <c r="A661" s="268"/>
      <c r="B661" s="268"/>
      <c r="C661" s="268"/>
      <c r="D661" s="268"/>
      <c r="E661" s="268"/>
      <c r="F661" s="268"/>
      <c r="G661" s="268"/>
      <c r="H661" s="268"/>
      <c r="I661" s="268"/>
      <c r="J661" s="268"/>
      <c r="K661" s="268"/>
      <c r="L661" s="268"/>
      <c r="M661" s="268"/>
      <c r="N661" s="268"/>
      <c r="O661" s="268"/>
      <c r="P661" s="310"/>
      <c r="Q661" s="268"/>
      <c r="R661" s="309"/>
      <c r="S661" s="268"/>
      <c r="T661" s="313"/>
      <c r="U661" s="313"/>
      <c r="V661" s="268"/>
      <c r="W661" s="268"/>
      <c r="X661" s="268"/>
      <c r="Y661" s="268"/>
      <c r="Z661" s="268"/>
    </row>
    <row r="662" spans="1:26" ht="24.75" customHeight="1">
      <c r="A662" s="268"/>
      <c r="B662" s="268"/>
      <c r="C662" s="268"/>
      <c r="D662" s="268"/>
      <c r="E662" s="268"/>
      <c r="F662" s="268"/>
      <c r="G662" s="268"/>
      <c r="H662" s="268"/>
      <c r="I662" s="268"/>
      <c r="J662" s="268"/>
      <c r="K662" s="268"/>
      <c r="L662" s="268"/>
      <c r="M662" s="268"/>
      <c r="N662" s="268"/>
      <c r="O662" s="268"/>
      <c r="P662" s="310"/>
      <c r="Q662" s="268"/>
      <c r="R662" s="309"/>
      <c r="S662" s="268"/>
      <c r="T662" s="313"/>
      <c r="U662" s="313"/>
      <c r="V662" s="268"/>
      <c r="W662" s="268"/>
      <c r="X662" s="268"/>
      <c r="Y662" s="268"/>
      <c r="Z662" s="268"/>
    </row>
    <row r="663" spans="1:26" ht="24.75" customHeight="1">
      <c r="A663" s="268"/>
      <c r="B663" s="268"/>
      <c r="C663" s="268"/>
      <c r="D663" s="268"/>
      <c r="E663" s="268"/>
      <c r="F663" s="268"/>
      <c r="G663" s="268"/>
      <c r="H663" s="268"/>
      <c r="I663" s="268"/>
      <c r="J663" s="268"/>
      <c r="K663" s="268"/>
      <c r="L663" s="268"/>
      <c r="M663" s="268"/>
      <c r="N663" s="268"/>
      <c r="O663" s="268"/>
      <c r="P663" s="310"/>
      <c r="Q663" s="268"/>
      <c r="R663" s="309"/>
      <c r="S663" s="268"/>
      <c r="T663" s="313"/>
      <c r="U663" s="313"/>
      <c r="V663" s="268"/>
      <c r="W663" s="268"/>
      <c r="X663" s="268"/>
      <c r="Y663" s="268"/>
      <c r="Z663" s="268"/>
    </row>
    <row r="664" spans="1:26" ht="24.75" customHeight="1">
      <c r="A664" s="268"/>
      <c r="B664" s="268"/>
      <c r="C664" s="268"/>
      <c r="D664" s="268"/>
      <c r="E664" s="268"/>
      <c r="F664" s="268"/>
      <c r="G664" s="268"/>
      <c r="H664" s="268"/>
      <c r="I664" s="268"/>
      <c r="J664" s="268"/>
      <c r="K664" s="268"/>
      <c r="L664" s="268"/>
      <c r="M664" s="268"/>
      <c r="N664" s="268"/>
      <c r="O664" s="268"/>
      <c r="P664" s="310"/>
      <c r="Q664" s="268"/>
      <c r="R664" s="309"/>
      <c r="S664" s="268"/>
      <c r="T664" s="313"/>
      <c r="U664" s="313"/>
      <c r="V664" s="268"/>
      <c r="W664" s="268"/>
      <c r="X664" s="268"/>
      <c r="Y664" s="268"/>
      <c r="Z664" s="268"/>
    </row>
    <row r="665" spans="1:26" ht="24.75" customHeight="1">
      <c r="A665" s="268"/>
      <c r="B665" s="268"/>
      <c r="C665" s="268"/>
      <c r="D665" s="268"/>
      <c r="E665" s="268"/>
      <c r="F665" s="268"/>
      <c r="G665" s="268"/>
      <c r="H665" s="268"/>
      <c r="I665" s="268"/>
      <c r="J665" s="268"/>
      <c r="K665" s="268"/>
      <c r="L665" s="268"/>
      <c r="M665" s="268"/>
      <c r="N665" s="268"/>
      <c r="O665" s="268"/>
      <c r="P665" s="310"/>
      <c r="Q665" s="268"/>
      <c r="R665" s="309"/>
      <c r="S665" s="268"/>
      <c r="T665" s="313"/>
      <c r="U665" s="313"/>
      <c r="V665" s="268"/>
      <c r="W665" s="268"/>
      <c r="X665" s="268"/>
      <c r="Y665" s="268"/>
      <c r="Z665" s="268"/>
    </row>
    <row r="666" spans="1:26" ht="24.75" customHeight="1">
      <c r="A666" s="268"/>
      <c r="B666" s="268"/>
      <c r="C666" s="268"/>
      <c r="D666" s="268"/>
      <c r="E666" s="268"/>
      <c r="F666" s="268"/>
      <c r="G666" s="268"/>
      <c r="H666" s="268"/>
      <c r="I666" s="268"/>
      <c r="J666" s="268"/>
      <c r="K666" s="268"/>
      <c r="L666" s="268"/>
      <c r="M666" s="268"/>
      <c r="N666" s="268"/>
      <c r="O666" s="268"/>
      <c r="P666" s="310"/>
      <c r="Q666" s="268"/>
      <c r="R666" s="309"/>
      <c r="S666" s="268"/>
      <c r="T666" s="313"/>
      <c r="U666" s="313"/>
      <c r="V666" s="268"/>
      <c r="W666" s="268"/>
      <c r="X666" s="268"/>
      <c r="Y666" s="268"/>
      <c r="Z666" s="268"/>
    </row>
    <row r="667" spans="1:26" ht="24.75" customHeight="1">
      <c r="A667" s="268"/>
      <c r="B667" s="268"/>
      <c r="C667" s="268"/>
      <c r="D667" s="268"/>
      <c r="E667" s="268"/>
      <c r="F667" s="268"/>
      <c r="G667" s="268"/>
      <c r="H667" s="268"/>
      <c r="I667" s="268"/>
      <c r="J667" s="268"/>
      <c r="K667" s="268"/>
      <c r="L667" s="268"/>
      <c r="M667" s="268"/>
      <c r="N667" s="268"/>
      <c r="O667" s="268"/>
      <c r="P667" s="310"/>
      <c r="Q667" s="268"/>
      <c r="R667" s="309"/>
      <c r="S667" s="268"/>
      <c r="T667" s="313"/>
      <c r="U667" s="313"/>
      <c r="V667" s="268"/>
      <c r="W667" s="268"/>
      <c r="X667" s="268"/>
      <c r="Y667" s="268"/>
      <c r="Z667" s="268"/>
    </row>
    <row r="668" spans="1:26" ht="24.75" customHeight="1">
      <c r="A668" s="268"/>
      <c r="B668" s="268"/>
      <c r="C668" s="268"/>
      <c r="D668" s="268"/>
      <c r="E668" s="268"/>
      <c r="F668" s="268"/>
      <c r="G668" s="268"/>
      <c r="H668" s="268"/>
      <c r="I668" s="268"/>
      <c r="J668" s="268"/>
      <c r="K668" s="268"/>
      <c r="L668" s="268"/>
      <c r="M668" s="268"/>
      <c r="N668" s="268"/>
      <c r="O668" s="268"/>
      <c r="P668" s="310"/>
      <c r="Q668" s="268"/>
      <c r="R668" s="309"/>
      <c r="S668" s="268"/>
      <c r="T668" s="313"/>
      <c r="U668" s="313"/>
      <c r="V668" s="268"/>
      <c r="W668" s="268"/>
      <c r="X668" s="268"/>
      <c r="Y668" s="268"/>
      <c r="Z668" s="268"/>
    </row>
    <row r="669" spans="1:26" ht="24.75" customHeight="1">
      <c r="A669" s="268"/>
      <c r="B669" s="268"/>
      <c r="C669" s="268"/>
      <c r="D669" s="268"/>
      <c r="E669" s="268"/>
      <c r="F669" s="268"/>
      <c r="G669" s="268"/>
      <c r="H669" s="268"/>
      <c r="I669" s="268"/>
      <c r="J669" s="268"/>
      <c r="K669" s="268"/>
      <c r="L669" s="268"/>
      <c r="M669" s="268"/>
      <c r="N669" s="268"/>
      <c r="O669" s="268"/>
      <c r="P669" s="310"/>
      <c r="Q669" s="268"/>
      <c r="R669" s="309"/>
      <c r="S669" s="268"/>
      <c r="T669" s="313"/>
      <c r="U669" s="313"/>
      <c r="V669" s="268"/>
      <c r="W669" s="268"/>
      <c r="X669" s="268"/>
      <c r="Y669" s="268"/>
      <c r="Z669" s="268"/>
    </row>
    <row r="670" spans="1:26" ht="24.75" customHeight="1">
      <c r="A670" s="268"/>
      <c r="B670" s="268"/>
      <c r="C670" s="268"/>
      <c r="D670" s="268"/>
      <c r="E670" s="268"/>
      <c r="F670" s="268"/>
      <c r="G670" s="268"/>
      <c r="H670" s="268"/>
      <c r="I670" s="268"/>
      <c r="J670" s="268"/>
      <c r="K670" s="268"/>
      <c r="L670" s="268"/>
      <c r="M670" s="268"/>
      <c r="N670" s="268"/>
      <c r="O670" s="268"/>
      <c r="P670" s="310"/>
      <c r="Q670" s="268"/>
      <c r="R670" s="309"/>
      <c r="S670" s="268"/>
      <c r="T670" s="313"/>
      <c r="U670" s="313"/>
      <c r="V670" s="268"/>
      <c r="W670" s="268"/>
      <c r="X670" s="268"/>
      <c r="Y670" s="268"/>
      <c r="Z670" s="268"/>
    </row>
    <row r="671" spans="1:26" ht="24.75" customHeight="1">
      <c r="A671" s="268"/>
      <c r="B671" s="268"/>
      <c r="C671" s="268"/>
      <c r="D671" s="268"/>
      <c r="E671" s="268"/>
      <c r="F671" s="268"/>
      <c r="G671" s="268"/>
      <c r="H671" s="268"/>
      <c r="I671" s="268"/>
      <c r="J671" s="268"/>
      <c r="K671" s="268"/>
      <c r="L671" s="268"/>
      <c r="M671" s="268"/>
      <c r="N671" s="268"/>
      <c r="O671" s="268"/>
      <c r="P671" s="310"/>
      <c r="Q671" s="268"/>
      <c r="R671" s="309"/>
      <c r="S671" s="268"/>
      <c r="T671" s="313"/>
      <c r="U671" s="313"/>
      <c r="V671" s="268"/>
      <c r="W671" s="268"/>
      <c r="X671" s="268"/>
      <c r="Y671" s="268"/>
      <c r="Z671" s="268"/>
    </row>
    <row r="672" spans="1:26" ht="24.75" customHeight="1">
      <c r="A672" s="268"/>
      <c r="B672" s="268"/>
      <c r="C672" s="268"/>
      <c r="D672" s="268"/>
      <c r="E672" s="268"/>
      <c r="F672" s="268"/>
      <c r="G672" s="268"/>
      <c r="H672" s="268"/>
      <c r="I672" s="268"/>
      <c r="J672" s="268"/>
      <c r="K672" s="268"/>
      <c r="L672" s="268"/>
      <c r="M672" s="268"/>
      <c r="N672" s="268"/>
      <c r="O672" s="268"/>
      <c r="P672" s="310"/>
      <c r="Q672" s="268"/>
      <c r="R672" s="309"/>
      <c r="S672" s="268"/>
      <c r="T672" s="313"/>
      <c r="U672" s="313"/>
      <c r="V672" s="268"/>
      <c r="W672" s="268"/>
      <c r="X672" s="268"/>
      <c r="Y672" s="268"/>
      <c r="Z672" s="268"/>
    </row>
    <row r="673" spans="1:26" ht="24.75" customHeight="1">
      <c r="A673" s="268"/>
      <c r="B673" s="268"/>
      <c r="C673" s="268"/>
      <c r="D673" s="268"/>
      <c r="E673" s="268"/>
      <c r="F673" s="268"/>
      <c r="G673" s="268"/>
      <c r="H673" s="268"/>
      <c r="I673" s="268"/>
      <c r="J673" s="268"/>
      <c r="K673" s="268"/>
      <c r="L673" s="268"/>
      <c r="M673" s="268"/>
      <c r="N673" s="268"/>
      <c r="O673" s="268"/>
      <c r="P673" s="310"/>
      <c r="Q673" s="268"/>
      <c r="R673" s="309"/>
      <c r="S673" s="268"/>
      <c r="T673" s="313"/>
      <c r="U673" s="313"/>
      <c r="V673" s="268"/>
      <c r="W673" s="268"/>
      <c r="X673" s="268"/>
      <c r="Y673" s="268"/>
      <c r="Z673" s="268"/>
    </row>
    <row r="674" spans="1:26" ht="24.75" customHeight="1">
      <c r="A674" s="268"/>
      <c r="B674" s="268"/>
      <c r="C674" s="268"/>
      <c r="D674" s="268"/>
      <c r="E674" s="268"/>
      <c r="F674" s="268"/>
      <c r="G674" s="268"/>
      <c r="H674" s="268"/>
      <c r="I674" s="268"/>
      <c r="J674" s="268"/>
      <c r="K674" s="268"/>
      <c r="L674" s="268"/>
      <c r="M674" s="268"/>
      <c r="N674" s="268"/>
      <c r="O674" s="268"/>
      <c r="P674" s="310"/>
      <c r="Q674" s="268"/>
      <c r="R674" s="309"/>
      <c r="S674" s="268"/>
      <c r="T674" s="313"/>
      <c r="U674" s="313"/>
      <c r="V674" s="268"/>
      <c r="W674" s="268"/>
      <c r="X674" s="268"/>
      <c r="Y674" s="268"/>
      <c r="Z674" s="268"/>
    </row>
    <row r="675" spans="1:26" ht="24.75" customHeight="1">
      <c r="A675" s="268"/>
      <c r="B675" s="268"/>
      <c r="C675" s="268"/>
      <c r="D675" s="268"/>
      <c r="E675" s="268"/>
      <c r="F675" s="268"/>
      <c r="G675" s="268"/>
      <c r="H675" s="268"/>
      <c r="I675" s="268"/>
      <c r="J675" s="268"/>
      <c r="K675" s="268"/>
      <c r="L675" s="268"/>
      <c r="M675" s="268"/>
      <c r="N675" s="268"/>
      <c r="O675" s="268"/>
      <c r="P675" s="310"/>
      <c r="Q675" s="268"/>
      <c r="R675" s="309"/>
      <c r="S675" s="268"/>
      <c r="T675" s="313"/>
      <c r="U675" s="313"/>
      <c r="V675" s="268"/>
      <c r="W675" s="268"/>
      <c r="X675" s="268"/>
      <c r="Y675" s="268"/>
      <c r="Z675" s="268"/>
    </row>
    <row r="676" spans="1:26" ht="24.75" customHeight="1">
      <c r="A676" s="268"/>
      <c r="B676" s="268"/>
      <c r="C676" s="268"/>
      <c r="D676" s="268"/>
      <c r="E676" s="268"/>
      <c r="F676" s="268"/>
      <c r="G676" s="268"/>
      <c r="H676" s="268"/>
      <c r="I676" s="268"/>
      <c r="J676" s="268"/>
      <c r="K676" s="268"/>
      <c r="L676" s="268"/>
      <c r="M676" s="268"/>
      <c r="N676" s="268"/>
      <c r="O676" s="268"/>
      <c r="P676" s="310"/>
      <c r="Q676" s="268"/>
      <c r="R676" s="309"/>
      <c r="S676" s="268"/>
      <c r="T676" s="313"/>
      <c r="U676" s="313"/>
      <c r="V676" s="268"/>
      <c r="W676" s="268"/>
      <c r="X676" s="268"/>
      <c r="Y676" s="268"/>
      <c r="Z676" s="268"/>
    </row>
    <row r="677" spans="1:26" ht="24.75" customHeight="1">
      <c r="A677" s="268"/>
      <c r="B677" s="268"/>
      <c r="C677" s="268"/>
      <c r="D677" s="268"/>
      <c r="E677" s="268"/>
      <c r="F677" s="268"/>
      <c r="G677" s="268"/>
      <c r="H677" s="268"/>
      <c r="I677" s="268"/>
      <c r="J677" s="268"/>
      <c r="K677" s="268"/>
      <c r="L677" s="268"/>
      <c r="M677" s="268"/>
      <c r="N677" s="268"/>
      <c r="O677" s="268"/>
      <c r="P677" s="310"/>
      <c r="Q677" s="268"/>
      <c r="R677" s="309"/>
      <c r="S677" s="268"/>
      <c r="T677" s="313"/>
      <c r="U677" s="313"/>
      <c r="V677" s="268"/>
      <c r="W677" s="268"/>
      <c r="X677" s="268"/>
      <c r="Y677" s="268"/>
      <c r="Z677" s="268"/>
    </row>
    <row r="678" spans="1:26" ht="24.75" customHeight="1">
      <c r="A678" s="268"/>
      <c r="B678" s="268"/>
      <c r="C678" s="268"/>
      <c r="D678" s="268"/>
      <c r="E678" s="268"/>
      <c r="F678" s="268"/>
      <c r="G678" s="268"/>
      <c r="H678" s="268"/>
      <c r="I678" s="268"/>
      <c r="J678" s="268"/>
      <c r="K678" s="268"/>
      <c r="L678" s="268"/>
      <c r="M678" s="268"/>
      <c r="N678" s="268"/>
      <c r="O678" s="268"/>
      <c r="P678" s="310"/>
      <c r="Q678" s="268"/>
      <c r="R678" s="309"/>
      <c r="S678" s="268"/>
      <c r="T678" s="313"/>
      <c r="U678" s="313"/>
      <c r="V678" s="268"/>
      <c r="W678" s="268"/>
      <c r="X678" s="268"/>
      <c r="Y678" s="268"/>
      <c r="Z678" s="268"/>
    </row>
    <row r="679" spans="1:26" ht="24.75" customHeight="1">
      <c r="A679" s="268"/>
      <c r="B679" s="268"/>
      <c r="C679" s="268"/>
      <c r="D679" s="268"/>
      <c r="E679" s="268"/>
      <c r="F679" s="268"/>
      <c r="G679" s="268"/>
      <c r="H679" s="268"/>
      <c r="I679" s="268"/>
      <c r="J679" s="268"/>
      <c r="K679" s="268"/>
      <c r="L679" s="268"/>
      <c r="M679" s="268"/>
      <c r="N679" s="268"/>
      <c r="O679" s="268"/>
      <c r="P679" s="310"/>
      <c r="Q679" s="268"/>
      <c r="R679" s="309"/>
      <c r="S679" s="268"/>
      <c r="T679" s="313"/>
      <c r="U679" s="313"/>
      <c r="V679" s="268"/>
      <c r="W679" s="268"/>
      <c r="X679" s="268"/>
      <c r="Y679" s="268"/>
      <c r="Z679" s="268"/>
    </row>
    <row r="680" spans="1:26" ht="24.75" customHeight="1">
      <c r="A680" s="268"/>
      <c r="B680" s="268"/>
      <c r="C680" s="268"/>
      <c r="D680" s="268"/>
      <c r="E680" s="268"/>
      <c r="F680" s="268"/>
      <c r="G680" s="268"/>
      <c r="H680" s="268"/>
      <c r="I680" s="268"/>
      <c r="J680" s="268"/>
      <c r="K680" s="268"/>
      <c r="L680" s="268"/>
      <c r="M680" s="268"/>
      <c r="N680" s="268"/>
      <c r="O680" s="268"/>
      <c r="P680" s="310"/>
      <c r="Q680" s="268"/>
      <c r="R680" s="309"/>
      <c r="S680" s="268"/>
      <c r="T680" s="313"/>
      <c r="U680" s="313"/>
      <c r="V680" s="268"/>
      <c r="W680" s="268"/>
      <c r="X680" s="268"/>
      <c r="Y680" s="268"/>
      <c r="Z680" s="268"/>
    </row>
    <row r="681" spans="1:26" ht="24.75" customHeight="1">
      <c r="A681" s="268"/>
      <c r="B681" s="268"/>
      <c r="C681" s="268"/>
      <c r="D681" s="268"/>
      <c r="E681" s="268"/>
      <c r="F681" s="268"/>
      <c r="G681" s="268"/>
      <c r="H681" s="268"/>
      <c r="I681" s="268"/>
      <c r="J681" s="268"/>
      <c r="K681" s="268"/>
      <c r="L681" s="268"/>
      <c r="M681" s="268"/>
      <c r="N681" s="268"/>
      <c r="O681" s="268"/>
      <c r="P681" s="310"/>
      <c r="Q681" s="268"/>
      <c r="R681" s="309"/>
      <c r="S681" s="268"/>
      <c r="T681" s="313"/>
      <c r="U681" s="313"/>
      <c r="V681" s="268"/>
      <c r="W681" s="268"/>
      <c r="X681" s="268"/>
      <c r="Y681" s="268"/>
      <c r="Z681" s="268"/>
    </row>
    <row r="682" spans="1:26" ht="24.75" customHeight="1">
      <c r="A682" s="268"/>
      <c r="B682" s="268"/>
      <c r="C682" s="268"/>
      <c r="D682" s="268"/>
      <c r="E682" s="268"/>
      <c r="F682" s="268"/>
      <c r="G682" s="268"/>
      <c r="H682" s="268"/>
      <c r="I682" s="268"/>
      <c r="J682" s="268"/>
      <c r="K682" s="268"/>
      <c r="L682" s="268"/>
      <c r="M682" s="268"/>
      <c r="N682" s="268"/>
      <c r="O682" s="268"/>
      <c r="P682" s="310"/>
      <c r="Q682" s="268"/>
      <c r="R682" s="309"/>
      <c r="S682" s="268"/>
      <c r="T682" s="313"/>
      <c r="U682" s="313"/>
      <c r="V682" s="268"/>
      <c r="W682" s="268"/>
      <c r="X682" s="268"/>
      <c r="Y682" s="268"/>
      <c r="Z682" s="268"/>
    </row>
    <row r="683" spans="1:26" ht="24.75" customHeight="1">
      <c r="A683" s="268"/>
      <c r="B683" s="268"/>
      <c r="C683" s="268"/>
      <c r="D683" s="268"/>
      <c r="E683" s="268"/>
      <c r="F683" s="268"/>
      <c r="G683" s="268"/>
      <c r="H683" s="268"/>
      <c r="I683" s="268"/>
      <c r="J683" s="268"/>
      <c r="K683" s="268"/>
      <c r="L683" s="268"/>
      <c r="M683" s="268"/>
      <c r="N683" s="268"/>
      <c r="O683" s="268"/>
      <c r="P683" s="310"/>
      <c r="Q683" s="268"/>
      <c r="R683" s="309"/>
      <c r="S683" s="268"/>
      <c r="T683" s="313"/>
      <c r="U683" s="313"/>
      <c r="V683" s="268"/>
      <c r="W683" s="268"/>
      <c r="X683" s="268"/>
      <c r="Y683" s="268"/>
      <c r="Z683" s="268"/>
    </row>
    <row r="684" spans="1:26" ht="24.75" customHeight="1">
      <c r="A684" s="268"/>
      <c r="B684" s="268"/>
      <c r="C684" s="268"/>
      <c r="D684" s="268"/>
      <c r="E684" s="268"/>
      <c r="F684" s="268"/>
      <c r="G684" s="268"/>
      <c r="H684" s="268"/>
      <c r="I684" s="268"/>
      <c r="J684" s="268"/>
      <c r="K684" s="268"/>
      <c r="L684" s="268"/>
      <c r="M684" s="268"/>
      <c r="N684" s="268"/>
      <c r="O684" s="268"/>
      <c r="P684" s="310"/>
      <c r="Q684" s="268"/>
      <c r="R684" s="309"/>
      <c r="S684" s="268"/>
      <c r="T684" s="313"/>
      <c r="U684" s="313"/>
      <c r="V684" s="268"/>
      <c r="W684" s="268"/>
      <c r="X684" s="268"/>
      <c r="Y684" s="268"/>
      <c r="Z684" s="268"/>
    </row>
    <row r="685" spans="1:26" ht="24.75" customHeight="1">
      <c r="A685" s="268"/>
      <c r="B685" s="268"/>
      <c r="C685" s="268"/>
      <c r="D685" s="268"/>
      <c r="E685" s="268"/>
      <c r="F685" s="268"/>
      <c r="G685" s="268"/>
      <c r="H685" s="268"/>
      <c r="I685" s="268"/>
      <c r="J685" s="268"/>
      <c r="K685" s="268"/>
      <c r="L685" s="268"/>
      <c r="M685" s="268"/>
      <c r="N685" s="268"/>
      <c r="O685" s="268"/>
      <c r="P685" s="310"/>
      <c r="Q685" s="268"/>
      <c r="R685" s="309"/>
      <c r="S685" s="268"/>
      <c r="T685" s="313"/>
      <c r="U685" s="313"/>
      <c r="V685" s="268"/>
      <c r="W685" s="268"/>
      <c r="X685" s="268"/>
      <c r="Y685" s="268"/>
      <c r="Z685" s="268"/>
    </row>
    <row r="686" spans="1:26" ht="24.75" customHeight="1">
      <c r="A686" s="268"/>
      <c r="B686" s="268"/>
      <c r="C686" s="268"/>
      <c r="D686" s="268"/>
      <c r="E686" s="268"/>
      <c r="F686" s="268"/>
      <c r="G686" s="268"/>
      <c r="H686" s="268"/>
      <c r="I686" s="268"/>
      <c r="J686" s="268"/>
      <c r="K686" s="268"/>
      <c r="L686" s="268"/>
      <c r="M686" s="268"/>
      <c r="N686" s="268"/>
      <c r="O686" s="268"/>
      <c r="P686" s="310"/>
      <c r="Q686" s="268"/>
      <c r="R686" s="309"/>
      <c r="S686" s="268"/>
      <c r="T686" s="313"/>
      <c r="U686" s="313"/>
      <c r="V686" s="268"/>
      <c r="W686" s="268"/>
      <c r="X686" s="268"/>
      <c r="Y686" s="268"/>
      <c r="Z686" s="268"/>
    </row>
    <row r="687" spans="1:26" ht="24.75" customHeight="1">
      <c r="A687" s="268"/>
      <c r="B687" s="268"/>
      <c r="C687" s="268"/>
      <c r="D687" s="268"/>
      <c r="E687" s="268"/>
      <c r="F687" s="268"/>
      <c r="G687" s="268"/>
      <c r="H687" s="268"/>
      <c r="I687" s="268"/>
      <c r="J687" s="268"/>
      <c r="K687" s="268"/>
      <c r="L687" s="268"/>
      <c r="M687" s="268"/>
      <c r="N687" s="268"/>
      <c r="O687" s="268"/>
      <c r="P687" s="310"/>
      <c r="Q687" s="268"/>
      <c r="R687" s="309"/>
      <c r="S687" s="268"/>
      <c r="T687" s="313"/>
      <c r="U687" s="313"/>
      <c r="V687" s="268"/>
      <c r="W687" s="268"/>
      <c r="X687" s="268"/>
      <c r="Y687" s="268"/>
      <c r="Z687" s="268"/>
    </row>
    <row r="688" spans="1:26" ht="24.75" customHeight="1">
      <c r="A688" s="268"/>
      <c r="B688" s="268"/>
      <c r="C688" s="268"/>
      <c r="D688" s="268"/>
      <c r="E688" s="268"/>
      <c r="F688" s="268"/>
      <c r="G688" s="268"/>
      <c r="H688" s="268"/>
      <c r="I688" s="268"/>
      <c r="J688" s="268"/>
      <c r="K688" s="268"/>
      <c r="L688" s="268"/>
      <c r="M688" s="268"/>
      <c r="N688" s="268"/>
      <c r="O688" s="268"/>
      <c r="P688" s="310"/>
      <c r="Q688" s="268"/>
      <c r="R688" s="309"/>
      <c r="S688" s="268"/>
      <c r="T688" s="313"/>
      <c r="U688" s="313"/>
      <c r="V688" s="268"/>
      <c r="W688" s="268"/>
      <c r="X688" s="268"/>
      <c r="Y688" s="268"/>
      <c r="Z688" s="268"/>
    </row>
    <row r="689" spans="1:26" ht="24.75" customHeight="1">
      <c r="A689" s="268"/>
      <c r="B689" s="268"/>
      <c r="C689" s="268"/>
      <c r="D689" s="268"/>
      <c r="E689" s="268"/>
      <c r="F689" s="268"/>
      <c r="G689" s="268"/>
      <c r="H689" s="268"/>
      <c r="I689" s="268"/>
      <c r="J689" s="268"/>
      <c r="K689" s="268"/>
      <c r="L689" s="268"/>
      <c r="M689" s="268"/>
      <c r="N689" s="268"/>
      <c r="O689" s="268"/>
      <c r="P689" s="310"/>
      <c r="Q689" s="268"/>
      <c r="R689" s="309"/>
      <c r="S689" s="268"/>
      <c r="T689" s="313"/>
      <c r="U689" s="313"/>
      <c r="V689" s="268"/>
      <c r="W689" s="268"/>
      <c r="X689" s="268"/>
      <c r="Y689" s="268"/>
      <c r="Z689" s="268"/>
    </row>
    <row r="690" spans="1:26" ht="24.75" customHeight="1">
      <c r="A690" s="268"/>
      <c r="B690" s="268"/>
      <c r="C690" s="268"/>
      <c r="D690" s="268"/>
      <c r="E690" s="268"/>
      <c r="F690" s="268"/>
      <c r="G690" s="268"/>
      <c r="H690" s="268"/>
      <c r="I690" s="268"/>
      <c r="J690" s="268"/>
      <c r="K690" s="268"/>
      <c r="L690" s="268"/>
      <c r="M690" s="268"/>
      <c r="N690" s="268"/>
      <c r="O690" s="268"/>
      <c r="P690" s="310"/>
      <c r="Q690" s="268"/>
      <c r="R690" s="309"/>
      <c r="S690" s="268"/>
      <c r="T690" s="313"/>
      <c r="U690" s="313"/>
      <c r="V690" s="268"/>
      <c r="W690" s="268"/>
      <c r="X690" s="268"/>
      <c r="Y690" s="268"/>
      <c r="Z690" s="268"/>
    </row>
    <row r="691" spans="1:26" ht="24.75" customHeight="1">
      <c r="A691" s="268"/>
      <c r="B691" s="268"/>
      <c r="C691" s="268"/>
      <c r="D691" s="268"/>
      <c r="E691" s="268"/>
      <c r="F691" s="268"/>
      <c r="G691" s="268"/>
      <c r="H691" s="268"/>
      <c r="I691" s="268"/>
      <c r="J691" s="268"/>
      <c r="K691" s="268"/>
      <c r="L691" s="268"/>
      <c r="M691" s="268"/>
      <c r="N691" s="268"/>
      <c r="O691" s="268"/>
      <c r="P691" s="310"/>
      <c r="Q691" s="268"/>
      <c r="R691" s="309"/>
      <c r="S691" s="268"/>
      <c r="T691" s="313"/>
      <c r="U691" s="313"/>
      <c r="V691" s="268"/>
      <c r="W691" s="268"/>
      <c r="X691" s="268"/>
      <c r="Y691" s="268"/>
      <c r="Z691" s="268"/>
    </row>
    <row r="692" spans="1:26" ht="24.75" customHeight="1">
      <c r="A692" s="268"/>
      <c r="B692" s="268"/>
      <c r="C692" s="268"/>
      <c r="D692" s="268"/>
      <c r="E692" s="268"/>
      <c r="F692" s="268"/>
      <c r="G692" s="268"/>
      <c r="H692" s="268"/>
      <c r="I692" s="268"/>
      <c r="J692" s="268"/>
      <c r="K692" s="268"/>
      <c r="L692" s="268"/>
      <c r="M692" s="268"/>
      <c r="N692" s="268"/>
      <c r="O692" s="268"/>
      <c r="P692" s="310"/>
      <c r="Q692" s="268"/>
      <c r="R692" s="309"/>
      <c r="S692" s="268"/>
      <c r="T692" s="313"/>
      <c r="U692" s="313"/>
      <c r="V692" s="268"/>
      <c r="W692" s="268"/>
      <c r="X692" s="268"/>
      <c r="Y692" s="268"/>
      <c r="Z692" s="268"/>
    </row>
    <row r="693" spans="1:26" ht="24.75" customHeight="1">
      <c r="A693" s="268"/>
      <c r="B693" s="268"/>
      <c r="C693" s="268"/>
      <c r="D693" s="268"/>
      <c r="E693" s="268"/>
      <c r="F693" s="268"/>
      <c r="G693" s="268"/>
      <c r="H693" s="268"/>
      <c r="I693" s="268"/>
      <c r="J693" s="268"/>
      <c r="K693" s="268"/>
      <c r="L693" s="268"/>
      <c r="M693" s="268"/>
      <c r="N693" s="268"/>
      <c r="O693" s="268"/>
      <c r="P693" s="310"/>
      <c r="Q693" s="268"/>
      <c r="R693" s="309"/>
      <c r="S693" s="268"/>
      <c r="T693" s="313"/>
      <c r="U693" s="313"/>
      <c r="V693" s="268"/>
      <c r="W693" s="268"/>
      <c r="X693" s="268"/>
      <c r="Y693" s="268"/>
      <c r="Z693" s="268"/>
    </row>
    <row r="694" spans="1:26" ht="24.75" customHeight="1">
      <c r="A694" s="268"/>
      <c r="B694" s="268"/>
      <c r="C694" s="268"/>
      <c r="D694" s="268"/>
      <c r="E694" s="268"/>
      <c r="F694" s="268"/>
      <c r="G694" s="268"/>
      <c r="H694" s="268"/>
      <c r="I694" s="268"/>
      <c r="J694" s="268"/>
      <c r="K694" s="268"/>
      <c r="L694" s="268"/>
      <c r="M694" s="268"/>
      <c r="N694" s="268"/>
      <c r="O694" s="268"/>
      <c r="P694" s="310"/>
      <c r="Q694" s="268"/>
      <c r="R694" s="309"/>
      <c r="S694" s="268"/>
      <c r="T694" s="313"/>
      <c r="U694" s="313"/>
      <c r="V694" s="268"/>
      <c r="W694" s="268"/>
      <c r="X694" s="268"/>
      <c r="Y694" s="268"/>
      <c r="Z694" s="268"/>
    </row>
    <row r="695" spans="1:26" ht="24.75" customHeight="1">
      <c r="A695" s="268"/>
      <c r="B695" s="268"/>
      <c r="C695" s="268"/>
      <c r="D695" s="268"/>
      <c r="E695" s="268"/>
      <c r="F695" s="268"/>
      <c r="G695" s="268"/>
      <c r="H695" s="268"/>
      <c r="I695" s="268"/>
      <c r="J695" s="268"/>
      <c r="K695" s="268"/>
      <c r="L695" s="268"/>
      <c r="M695" s="268"/>
      <c r="N695" s="268"/>
      <c r="O695" s="268"/>
      <c r="P695" s="310"/>
      <c r="Q695" s="268"/>
      <c r="R695" s="309"/>
      <c r="S695" s="268"/>
      <c r="T695" s="313"/>
      <c r="U695" s="313"/>
      <c r="V695" s="268"/>
      <c r="W695" s="268"/>
      <c r="X695" s="268"/>
      <c r="Y695" s="268"/>
      <c r="Z695" s="268"/>
    </row>
    <row r="696" spans="1:26" ht="24.75" customHeight="1">
      <c r="A696" s="268"/>
      <c r="B696" s="268"/>
      <c r="C696" s="268"/>
      <c r="D696" s="268"/>
      <c r="E696" s="268"/>
      <c r="F696" s="268"/>
      <c r="G696" s="268"/>
      <c r="H696" s="268"/>
      <c r="I696" s="268"/>
      <c r="J696" s="268"/>
      <c r="K696" s="268"/>
      <c r="L696" s="268"/>
      <c r="M696" s="268"/>
      <c r="N696" s="268"/>
      <c r="O696" s="268"/>
      <c r="P696" s="310"/>
      <c r="Q696" s="268"/>
      <c r="R696" s="309"/>
      <c r="S696" s="268"/>
      <c r="T696" s="313"/>
      <c r="U696" s="313"/>
      <c r="V696" s="268"/>
      <c r="W696" s="268"/>
      <c r="X696" s="268"/>
      <c r="Y696" s="268"/>
      <c r="Z696" s="268"/>
    </row>
    <row r="697" spans="1:26" ht="24.75" customHeight="1">
      <c r="A697" s="268"/>
      <c r="B697" s="268"/>
      <c r="C697" s="268"/>
      <c r="D697" s="268"/>
      <c r="E697" s="268"/>
      <c r="F697" s="268"/>
      <c r="G697" s="268"/>
      <c r="H697" s="268"/>
      <c r="I697" s="268"/>
      <c r="J697" s="268"/>
      <c r="K697" s="268"/>
      <c r="L697" s="268"/>
      <c r="M697" s="268"/>
      <c r="N697" s="268"/>
      <c r="O697" s="268"/>
      <c r="P697" s="310"/>
      <c r="Q697" s="268"/>
      <c r="R697" s="309"/>
      <c r="S697" s="268"/>
      <c r="T697" s="313"/>
      <c r="U697" s="313"/>
      <c r="V697" s="268"/>
      <c r="W697" s="268"/>
      <c r="X697" s="268"/>
      <c r="Y697" s="268"/>
      <c r="Z697" s="268"/>
    </row>
    <row r="698" spans="1:26" ht="24.75" customHeight="1">
      <c r="A698" s="268"/>
      <c r="B698" s="268"/>
      <c r="C698" s="268"/>
      <c r="D698" s="268"/>
      <c r="E698" s="268"/>
      <c r="F698" s="268"/>
      <c r="G698" s="268"/>
      <c r="H698" s="268"/>
      <c r="I698" s="268"/>
      <c r="J698" s="268"/>
      <c r="K698" s="268"/>
      <c r="L698" s="268"/>
      <c r="M698" s="268"/>
      <c r="N698" s="268"/>
      <c r="O698" s="268"/>
      <c r="P698" s="310"/>
      <c r="Q698" s="268"/>
      <c r="R698" s="309"/>
      <c r="S698" s="268"/>
      <c r="T698" s="313"/>
      <c r="U698" s="313"/>
      <c r="V698" s="268"/>
      <c r="W698" s="268"/>
      <c r="X698" s="268"/>
      <c r="Y698" s="268"/>
      <c r="Z698" s="268"/>
    </row>
    <row r="699" spans="1:26" ht="24.75" customHeight="1">
      <c r="A699" s="268"/>
      <c r="B699" s="268"/>
      <c r="C699" s="268"/>
      <c r="D699" s="268"/>
      <c r="E699" s="268"/>
      <c r="F699" s="268"/>
      <c r="G699" s="268"/>
      <c r="H699" s="268"/>
      <c r="I699" s="268"/>
      <c r="J699" s="268"/>
      <c r="K699" s="268"/>
      <c r="L699" s="268"/>
      <c r="M699" s="268"/>
      <c r="N699" s="268"/>
      <c r="O699" s="268"/>
      <c r="P699" s="310"/>
      <c r="Q699" s="268"/>
      <c r="R699" s="309"/>
      <c r="S699" s="268"/>
      <c r="T699" s="313"/>
      <c r="U699" s="313"/>
      <c r="V699" s="268"/>
      <c r="W699" s="268"/>
      <c r="X699" s="268"/>
      <c r="Y699" s="268"/>
      <c r="Z699" s="268"/>
    </row>
    <row r="700" spans="1:26" ht="24.75" customHeight="1">
      <c r="A700" s="268"/>
      <c r="B700" s="268"/>
      <c r="C700" s="268"/>
      <c r="D700" s="268"/>
      <c r="E700" s="268"/>
      <c r="F700" s="268"/>
      <c r="G700" s="268"/>
      <c r="H700" s="268"/>
      <c r="I700" s="268"/>
      <c r="J700" s="268"/>
      <c r="K700" s="268"/>
      <c r="L700" s="268"/>
      <c r="M700" s="268"/>
      <c r="N700" s="268"/>
      <c r="O700" s="268"/>
      <c r="P700" s="310"/>
      <c r="Q700" s="268"/>
      <c r="R700" s="309"/>
      <c r="S700" s="268"/>
      <c r="T700" s="313"/>
      <c r="U700" s="313"/>
      <c r="V700" s="268"/>
      <c r="W700" s="268"/>
      <c r="X700" s="268"/>
      <c r="Y700" s="268"/>
      <c r="Z700" s="268"/>
    </row>
    <row r="701" spans="1:26" ht="24.75" customHeight="1">
      <c r="A701" s="268"/>
      <c r="B701" s="268"/>
      <c r="C701" s="268"/>
      <c r="D701" s="268"/>
      <c r="E701" s="268"/>
      <c r="F701" s="268"/>
      <c r="G701" s="268"/>
      <c r="H701" s="268"/>
      <c r="I701" s="268"/>
      <c r="J701" s="268"/>
      <c r="K701" s="268"/>
      <c r="L701" s="268"/>
      <c r="M701" s="268"/>
      <c r="N701" s="268"/>
      <c r="O701" s="268"/>
      <c r="P701" s="310"/>
      <c r="Q701" s="268"/>
      <c r="R701" s="309"/>
      <c r="S701" s="268"/>
      <c r="T701" s="313"/>
      <c r="U701" s="313"/>
      <c r="V701" s="268"/>
      <c r="W701" s="268"/>
      <c r="X701" s="268"/>
      <c r="Y701" s="268"/>
      <c r="Z701" s="268"/>
    </row>
    <row r="702" spans="1:26" ht="24.75" customHeight="1">
      <c r="A702" s="268"/>
      <c r="B702" s="268"/>
      <c r="C702" s="268"/>
      <c r="D702" s="268"/>
      <c r="E702" s="268"/>
      <c r="F702" s="268"/>
      <c r="G702" s="268"/>
      <c r="H702" s="268"/>
      <c r="I702" s="268"/>
      <c r="J702" s="268"/>
      <c r="K702" s="268"/>
      <c r="L702" s="268"/>
      <c r="M702" s="268"/>
      <c r="N702" s="268"/>
      <c r="O702" s="268"/>
      <c r="P702" s="310"/>
      <c r="Q702" s="268"/>
      <c r="R702" s="309"/>
      <c r="S702" s="268"/>
      <c r="T702" s="313"/>
      <c r="U702" s="313"/>
      <c r="V702" s="268"/>
      <c r="W702" s="268"/>
      <c r="X702" s="268"/>
      <c r="Y702" s="268"/>
      <c r="Z702" s="268"/>
    </row>
    <row r="703" spans="1:26" ht="24.75" customHeight="1">
      <c r="A703" s="268"/>
      <c r="B703" s="268"/>
      <c r="C703" s="268"/>
      <c r="D703" s="268"/>
      <c r="E703" s="268"/>
      <c r="F703" s="268"/>
      <c r="G703" s="268"/>
      <c r="H703" s="268"/>
      <c r="I703" s="268"/>
      <c r="J703" s="268"/>
      <c r="K703" s="268"/>
      <c r="L703" s="268"/>
      <c r="M703" s="268"/>
      <c r="N703" s="268"/>
      <c r="O703" s="268"/>
      <c r="P703" s="310"/>
      <c r="Q703" s="268"/>
      <c r="R703" s="309"/>
      <c r="S703" s="268"/>
      <c r="T703" s="313"/>
      <c r="U703" s="313"/>
      <c r="V703" s="268"/>
      <c r="W703" s="268"/>
      <c r="X703" s="268"/>
      <c r="Y703" s="268"/>
      <c r="Z703" s="268"/>
    </row>
    <row r="704" spans="1:26" ht="24.75" customHeight="1">
      <c r="A704" s="268"/>
      <c r="B704" s="268"/>
      <c r="C704" s="268"/>
      <c r="D704" s="268"/>
      <c r="E704" s="268"/>
      <c r="F704" s="268"/>
      <c r="G704" s="268"/>
      <c r="H704" s="268"/>
      <c r="I704" s="268"/>
      <c r="J704" s="268"/>
      <c r="K704" s="268"/>
      <c r="L704" s="268"/>
      <c r="M704" s="268"/>
      <c r="N704" s="268"/>
      <c r="O704" s="268"/>
      <c r="P704" s="310"/>
      <c r="Q704" s="268"/>
      <c r="R704" s="309"/>
      <c r="S704" s="268"/>
      <c r="T704" s="313"/>
      <c r="U704" s="313"/>
      <c r="V704" s="268"/>
      <c r="W704" s="268"/>
      <c r="X704" s="268"/>
      <c r="Y704" s="268"/>
      <c r="Z704" s="268"/>
    </row>
    <row r="705" spans="1:26" ht="24.75" customHeight="1">
      <c r="A705" s="268"/>
      <c r="B705" s="268"/>
      <c r="C705" s="268"/>
      <c r="D705" s="268"/>
      <c r="E705" s="268"/>
      <c r="F705" s="268"/>
      <c r="G705" s="268"/>
      <c r="H705" s="268"/>
      <c r="I705" s="268"/>
      <c r="J705" s="268"/>
      <c r="K705" s="268"/>
      <c r="L705" s="268"/>
      <c r="M705" s="268"/>
      <c r="N705" s="268"/>
      <c r="O705" s="268"/>
      <c r="P705" s="310"/>
      <c r="Q705" s="268"/>
      <c r="R705" s="309"/>
      <c r="S705" s="268"/>
      <c r="T705" s="313"/>
      <c r="U705" s="313"/>
      <c r="V705" s="268"/>
      <c r="W705" s="268"/>
      <c r="X705" s="268"/>
      <c r="Y705" s="268"/>
      <c r="Z705" s="268"/>
    </row>
    <row r="706" spans="1:26" ht="24.75" customHeight="1">
      <c r="A706" s="268"/>
      <c r="B706" s="268"/>
      <c r="C706" s="268"/>
      <c r="D706" s="268"/>
      <c r="E706" s="268"/>
      <c r="F706" s="268"/>
      <c r="G706" s="268"/>
      <c r="H706" s="268"/>
      <c r="I706" s="268"/>
      <c r="J706" s="268"/>
      <c r="K706" s="268"/>
      <c r="L706" s="268"/>
      <c r="M706" s="268"/>
      <c r="N706" s="268"/>
      <c r="O706" s="268"/>
      <c r="P706" s="310"/>
      <c r="Q706" s="268"/>
      <c r="R706" s="309"/>
      <c r="S706" s="268"/>
      <c r="T706" s="313"/>
      <c r="U706" s="313"/>
      <c r="V706" s="268"/>
      <c r="W706" s="268"/>
      <c r="X706" s="268"/>
      <c r="Y706" s="268"/>
      <c r="Z706" s="268"/>
    </row>
    <row r="707" spans="1:26" ht="24.75" customHeight="1">
      <c r="A707" s="268"/>
      <c r="B707" s="268"/>
      <c r="C707" s="268"/>
      <c r="D707" s="268"/>
      <c r="E707" s="268"/>
      <c r="F707" s="268"/>
      <c r="G707" s="268"/>
      <c r="H707" s="268"/>
      <c r="I707" s="268"/>
      <c r="J707" s="268"/>
      <c r="K707" s="268"/>
      <c r="L707" s="268"/>
      <c r="M707" s="268"/>
      <c r="N707" s="268"/>
      <c r="O707" s="268"/>
      <c r="P707" s="310"/>
      <c r="Q707" s="268"/>
      <c r="R707" s="309"/>
      <c r="S707" s="268"/>
      <c r="T707" s="313"/>
      <c r="U707" s="313"/>
      <c r="V707" s="268"/>
      <c r="W707" s="268"/>
      <c r="X707" s="268"/>
      <c r="Y707" s="268"/>
      <c r="Z707" s="268"/>
    </row>
    <row r="708" spans="1:26" ht="24.75" customHeight="1">
      <c r="A708" s="268"/>
      <c r="B708" s="268"/>
      <c r="C708" s="268"/>
      <c r="D708" s="268"/>
      <c r="E708" s="268"/>
      <c r="F708" s="268"/>
      <c r="G708" s="268"/>
      <c r="H708" s="268"/>
      <c r="I708" s="268"/>
      <c r="J708" s="268"/>
      <c r="K708" s="268"/>
      <c r="L708" s="268"/>
      <c r="M708" s="268"/>
      <c r="N708" s="268"/>
      <c r="O708" s="268"/>
      <c r="P708" s="310"/>
      <c r="Q708" s="268"/>
      <c r="R708" s="309"/>
      <c r="S708" s="268"/>
      <c r="T708" s="313"/>
      <c r="U708" s="313"/>
      <c r="V708" s="268"/>
      <c r="W708" s="268"/>
      <c r="X708" s="268"/>
      <c r="Y708" s="268"/>
      <c r="Z708" s="268"/>
    </row>
    <row r="709" spans="1:26" ht="24.75" customHeight="1">
      <c r="A709" s="268"/>
      <c r="B709" s="268"/>
      <c r="C709" s="268"/>
      <c r="D709" s="268"/>
      <c r="E709" s="268"/>
      <c r="F709" s="268"/>
      <c r="G709" s="268"/>
      <c r="H709" s="268"/>
      <c r="I709" s="268"/>
      <c r="J709" s="268"/>
      <c r="K709" s="268"/>
      <c r="L709" s="268"/>
      <c r="M709" s="268"/>
      <c r="N709" s="268"/>
      <c r="O709" s="268"/>
      <c r="P709" s="310"/>
      <c r="Q709" s="268"/>
      <c r="R709" s="309"/>
      <c r="S709" s="268"/>
      <c r="T709" s="313"/>
      <c r="U709" s="313"/>
      <c r="V709" s="268"/>
      <c r="W709" s="268"/>
      <c r="X709" s="268"/>
      <c r="Y709" s="268"/>
      <c r="Z709" s="268"/>
    </row>
    <row r="710" spans="1:26" ht="24.75" customHeight="1">
      <c r="A710" s="268"/>
      <c r="B710" s="268"/>
      <c r="C710" s="268"/>
      <c r="D710" s="268"/>
      <c r="E710" s="268"/>
      <c r="F710" s="268"/>
      <c r="G710" s="268"/>
      <c r="H710" s="268"/>
      <c r="I710" s="268"/>
      <c r="J710" s="268"/>
      <c r="K710" s="268"/>
      <c r="L710" s="268"/>
      <c r="M710" s="268"/>
      <c r="N710" s="268"/>
      <c r="O710" s="268"/>
      <c r="P710" s="310"/>
      <c r="Q710" s="268"/>
      <c r="R710" s="309"/>
      <c r="S710" s="268"/>
      <c r="T710" s="313"/>
      <c r="U710" s="313"/>
      <c r="V710" s="268"/>
      <c r="W710" s="268"/>
      <c r="X710" s="268"/>
      <c r="Y710" s="268"/>
      <c r="Z710" s="268"/>
    </row>
    <row r="711" spans="1:26" ht="24.75" customHeight="1">
      <c r="A711" s="268"/>
      <c r="B711" s="268"/>
      <c r="C711" s="268"/>
      <c r="D711" s="268"/>
      <c r="E711" s="268"/>
      <c r="F711" s="268"/>
      <c r="G711" s="268"/>
      <c r="H711" s="268"/>
      <c r="I711" s="268"/>
      <c r="J711" s="268"/>
      <c r="K711" s="268"/>
      <c r="L711" s="268"/>
      <c r="M711" s="268"/>
      <c r="N711" s="268"/>
      <c r="O711" s="268"/>
      <c r="P711" s="310"/>
      <c r="Q711" s="268"/>
      <c r="R711" s="309"/>
      <c r="S711" s="268"/>
      <c r="T711" s="313"/>
      <c r="U711" s="313"/>
      <c r="V711" s="268"/>
      <c r="W711" s="268"/>
      <c r="X711" s="268"/>
      <c r="Y711" s="268"/>
      <c r="Z711" s="268"/>
    </row>
    <row r="712" spans="1:26" ht="24.75" customHeight="1">
      <c r="A712" s="268"/>
      <c r="B712" s="268"/>
      <c r="C712" s="268"/>
      <c r="D712" s="268"/>
      <c r="E712" s="268"/>
      <c r="F712" s="268"/>
      <c r="G712" s="268"/>
      <c r="H712" s="268"/>
      <c r="I712" s="268"/>
      <c r="J712" s="268"/>
      <c r="K712" s="268"/>
      <c r="L712" s="268"/>
      <c r="M712" s="268"/>
      <c r="N712" s="268"/>
      <c r="O712" s="268"/>
      <c r="P712" s="310"/>
      <c r="Q712" s="268"/>
      <c r="R712" s="309"/>
      <c r="S712" s="268"/>
      <c r="T712" s="313"/>
      <c r="U712" s="313"/>
      <c r="V712" s="268"/>
      <c r="W712" s="268"/>
      <c r="X712" s="268"/>
      <c r="Y712" s="268"/>
      <c r="Z712" s="268"/>
    </row>
    <row r="713" spans="1:26" ht="24.75" customHeight="1">
      <c r="A713" s="268"/>
      <c r="B713" s="268"/>
      <c r="C713" s="268"/>
      <c r="D713" s="268"/>
      <c r="E713" s="268"/>
      <c r="F713" s="268"/>
      <c r="G713" s="268"/>
      <c r="H713" s="268"/>
      <c r="I713" s="268"/>
      <c r="J713" s="268"/>
      <c r="K713" s="268"/>
      <c r="L713" s="268"/>
      <c r="M713" s="268"/>
      <c r="N713" s="268"/>
      <c r="O713" s="268"/>
      <c r="P713" s="310"/>
      <c r="Q713" s="268"/>
      <c r="R713" s="309"/>
      <c r="S713" s="268"/>
      <c r="T713" s="313"/>
      <c r="U713" s="313"/>
      <c r="V713" s="268"/>
      <c r="W713" s="268"/>
      <c r="X713" s="268"/>
      <c r="Y713" s="268"/>
      <c r="Z713" s="268"/>
    </row>
    <row r="714" spans="1:26" ht="24.75" customHeight="1">
      <c r="A714" s="268"/>
      <c r="B714" s="268"/>
      <c r="C714" s="268"/>
      <c r="D714" s="268"/>
      <c r="E714" s="268"/>
      <c r="F714" s="268"/>
      <c r="G714" s="268"/>
      <c r="H714" s="268"/>
      <c r="I714" s="268"/>
      <c r="J714" s="268"/>
      <c r="K714" s="268"/>
      <c r="L714" s="268"/>
      <c r="M714" s="268"/>
      <c r="N714" s="268"/>
      <c r="O714" s="268"/>
      <c r="P714" s="310"/>
      <c r="Q714" s="268"/>
      <c r="R714" s="309"/>
      <c r="S714" s="268"/>
      <c r="T714" s="313"/>
      <c r="U714" s="313"/>
      <c r="V714" s="268"/>
      <c r="W714" s="268"/>
      <c r="X714" s="268"/>
      <c r="Y714" s="268"/>
      <c r="Z714" s="268"/>
    </row>
    <row r="715" spans="1:26" ht="24.75" customHeight="1">
      <c r="A715" s="268"/>
      <c r="B715" s="268"/>
      <c r="C715" s="268"/>
      <c r="D715" s="268"/>
      <c r="E715" s="268"/>
      <c r="F715" s="268"/>
      <c r="G715" s="268"/>
      <c r="H715" s="268"/>
      <c r="I715" s="268"/>
      <c r="J715" s="268"/>
      <c r="K715" s="268"/>
      <c r="L715" s="268"/>
      <c r="M715" s="268"/>
      <c r="N715" s="268"/>
      <c r="O715" s="268"/>
      <c r="P715" s="310"/>
      <c r="Q715" s="268"/>
      <c r="R715" s="309"/>
      <c r="S715" s="268"/>
      <c r="T715" s="313"/>
      <c r="U715" s="313"/>
      <c r="V715" s="268"/>
      <c r="W715" s="268"/>
      <c r="X715" s="268"/>
      <c r="Y715" s="268"/>
      <c r="Z715" s="268"/>
    </row>
    <row r="716" spans="1:26" ht="24.75" customHeight="1">
      <c r="A716" s="268"/>
      <c r="B716" s="268"/>
      <c r="C716" s="268"/>
      <c r="D716" s="268"/>
      <c r="E716" s="268"/>
      <c r="F716" s="268"/>
      <c r="G716" s="268"/>
      <c r="H716" s="268"/>
      <c r="I716" s="268"/>
      <c r="J716" s="268"/>
      <c r="K716" s="268"/>
      <c r="L716" s="268"/>
      <c r="M716" s="268"/>
      <c r="N716" s="268"/>
      <c r="O716" s="268"/>
      <c r="P716" s="310"/>
      <c r="Q716" s="268"/>
      <c r="R716" s="309"/>
      <c r="S716" s="268"/>
      <c r="T716" s="313"/>
      <c r="U716" s="313"/>
      <c r="V716" s="268"/>
      <c r="W716" s="268"/>
      <c r="X716" s="268"/>
      <c r="Y716" s="268"/>
      <c r="Z716" s="268"/>
    </row>
    <row r="717" spans="1:26" ht="24.75" customHeight="1">
      <c r="A717" s="268"/>
      <c r="B717" s="268"/>
      <c r="C717" s="268"/>
      <c r="D717" s="268"/>
      <c r="E717" s="268"/>
      <c r="F717" s="268"/>
      <c r="G717" s="268"/>
      <c r="H717" s="268"/>
      <c r="I717" s="268"/>
      <c r="J717" s="268"/>
      <c r="K717" s="268"/>
      <c r="L717" s="268"/>
      <c r="M717" s="268"/>
      <c r="N717" s="268"/>
      <c r="O717" s="268"/>
      <c r="P717" s="310"/>
      <c r="Q717" s="268"/>
      <c r="R717" s="309"/>
      <c r="S717" s="268"/>
      <c r="T717" s="313"/>
      <c r="U717" s="313"/>
      <c r="V717" s="268"/>
      <c r="W717" s="268"/>
      <c r="X717" s="268"/>
      <c r="Y717" s="268"/>
      <c r="Z717" s="268"/>
    </row>
    <row r="718" spans="1:26" ht="24.75" customHeight="1">
      <c r="A718" s="268"/>
      <c r="B718" s="268"/>
      <c r="C718" s="268"/>
      <c r="D718" s="268"/>
      <c r="E718" s="268"/>
      <c r="F718" s="268"/>
      <c r="G718" s="268"/>
      <c r="H718" s="268"/>
      <c r="I718" s="268"/>
      <c r="J718" s="268"/>
      <c r="K718" s="268"/>
      <c r="L718" s="268"/>
      <c r="M718" s="268"/>
      <c r="N718" s="268"/>
      <c r="O718" s="268"/>
      <c r="P718" s="310"/>
      <c r="Q718" s="268"/>
      <c r="R718" s="309"/>
      <c r="S718" s="268"/>
      <c r="T718" s="313"/>
      <c r="U718" s="313"/>
      <c r="V718" s="268"/>
      <c r="W718" s="268"/>
      <c r="X718" s="268"/>
      <c r="Y718" s="268"/>
      <c r="Z718" s="268"/>
    </row>
    <row r="719" spans="1:26" ht="24.75" customHeight="1">
      <c r="A719" s="268"/>
      <c r="B719" s="268"/>
      <c r="C719" s="268"/>
      <c r="D719" s="268"/>
      <c r="E719" s="268"/>
      <c r="F719" s="268"/>
      <c r="G719" s="268"/>
      <c r="H719" s="268"/>
      <c r="I719" s="268"/>
      <c r="J719" s="268"/>
      <c r="K719" s="268"/>
      <c r="L719" s="268"/>
      <c r="M719" s="268"/>
      <c r="N719" s="268"/>
      <c r="O719" s="268"/>
      <c r="P719" s="310"/>
      <c r="Q719" s="268"/>
      <c r="R719" s="309"/>
      <c r="S719" s="268"/>
      <c r="T719" s="313"/>
      <c r="U719" s="313"/>
      <c r="V719" s="268"/>
      <c r="W719" s="268"/>
      <c r="X719" s="268"/>
      <c r="Y719" s="268"/>
      <c r="Z719" s="268"/>
    </row>
    <row r="720" spans="1:26" ht="24.75" customHeight="1">
      <c r="A720" s="268"/>
      <c r="B720" s="268"/>
      <c r="C720" s="268"/>
      <c r="D720" s="268"/>
      <c r="E720" s="268"/>
      <c r="F720" s="268"/>
      <c r="G720" s="268"/>
      <c r="H720" s="268"/>
      <c r="I720" s="268"/>
      <c r="J720" s="268"/>
      <c r="K720" s="268"/>
      <c r="L720" s="268"/>
      <c r="M720" s="268"/>
      <c r="N720" s="268"/>
      <c r="O720" s="268"/>
      <c r="P720" s="310"/>
      <c r="Q720" s="268"/>
      <c r="R720" s="309"/>
      <c r="S720" s="268"/>
      <c r="T720" s="313"/>
      <c r="U720" s="313"/>
      <c r="V720" s="268"/>
      <c r="W720" s="268"/>
      <c r="X720" s="268"/>
      <c r="Y720" s="268"/>
      <c r="Z720" s="268"/>
    </row>
    <row r="721" spans="1:26" ht="24.75" customHeight="1">
      <c r="A721" s="268"/>
      <c r="B721" s="268"/>
      <c r="C721" s="268"/>
      <c r="D721" s="268"/>
      <c r="E721" s="268"/>
      <c r="F721" s="268"/>
      <c r="G721" s="268"/>
      <c r="H721" s="268"/>
      <c r="I721" s="268"/>
      <c r="J721" s="268"/>
      <c r="K721" s="268"/>
      <c r="L721" s="268"/>
      <c r="M721" s="268"/>
      <c r="N721" s="268"/>
      <c r="O721" s="268"/>
      <c r="P721" s="310"/>
      <c r="Q721" s="268"/>
      <c r="R721" s="309"/>
      <c r="S721" s="268"/>
      <c r="T721" s="313"/>
      <c r="U721" s="313"/>
      <c r="V721" s="268"/>
      <c r="W721" s="268"/>
      <c r="X721" s="268"/>
      <c r="Y721" s="268"/>
      <c r="Z721" s="268"/>
    </row>
    <row r="722" spans="1:26" ht="24.75" customHeight="1">
      <c r="A722" s="268"/>
      <c r="B722" s="268"/>
      <c r="C722" s="268"/>
      <c r="D722" s="268"/>
      <c r="E722" s="268"/>
      <c r="F722" s="268"/>
      <c r="G722" s="268"/>
      <c r="H722" s="268"/>
      <c r="I722" s="268"/>
      <c r="J722" s="268"/>
      <c r="K722" s="268"/>
      <c r="L722" s="268"/>
      <c r="M722" s="268"/>
      <c r="N722" s="268"/>
      <c r="O722" s="268"/>
      <c r="P722" s="310"/>
      <c r="Q722" s="268"/>
      <c r="R722" s="309"/>
      <c r="S722" s="268"/>
      <c r="T722" s="313"/>
      <c r="U722" s="313"/>
      <c r="V722" s="268"/>
      <c r="W722" s="268"/>
      <c r="X722" s="268"/>
      <c r="Y722" s="268"/>
      <c r="Z722" s="268"/>
    </row>
    <row r="723" spans="1:26" ht="24.75" customHeight="1">
      <c r="A723" s="268"/>
      <c r="B723" s="268"/>
      <c r="C723" s="268"/>
      <c r="D723" s="268"/>
      <c r="E723" s="268"/>
      <c r="F723" s="268"/>
      <c r="G723" s="268"/>
      <c r="H723" s="268"/>
      <c r="I723" s="268"/>
      <c r="J723" s="268"/>
      <c r="K723" s="268"/>
      <c r="L723" s="268"/>
      <c r="M723" s="268"/>
      <c r="N723" s="268"/>
      <c r="O723" s="268"/>
      <c r="P723" s="310"/>
      <c r="Q723" s="268"/>
      <c r="R723" s="309"/>
      <c r="S723" s="268"/>
      <c r="T723" s="313"/>
      <c r="U723" s="313"/>
      <c r="V723" s="268"/>
      <c r="W723" s="268"/>
      <c r="X723" s="268"/>
      <c r="Y723" s="268"/>
      <c r="Z723" s="268"/>
    </row>
    <row r="724" spans="1:26" ht="24.75" customHeight="1">
      <c r="A724" s="268"/>
      <c r="B724" s="268"/>
      <c r="C724" s="268"/>
      <c r="D724" s="268"/>
      <c r="E724" s="268"/>
      <c r="F724" s="268"/>
      <c r="G724" s="268"/>
      <c r="H724" s="268"/>
      <c r="I724" s="268"/>
      <c r="J724" s="268"/>
      <c r="K724" s="268"/>
      <c r="L724" s="268"/>
      <c r="M724" s="268"/>
      <c r="N724" s="268"/>
      <c r="O724" s="268"/>
      <c r="P724" s="310"/>
      <c r="Q724" s="268"/>
      <c r="R724" s="309"/>
      <c r="S724" s="268"/>
      <c r="T724" s="313"/>
      <c r="U724" s="313"/>
      <c r="V724" s="268"/>
      <c r="W724" s="268"/>
      <c r="X724" s="268"/>
      <c r="Y724" s="268"/>
      <c r="Z724" s="268"/>
    </row>
    <row r="725" spans="1:26" ht="24.75" customHeight="1">
      <c r="A725" s="268"/>
      <c r="B725" s="268"/>
      <c r="C725" s="268"/>
      <c r="D725" s="268"/>
      <c r="E725" s="268"/>
      <c r="F725" s="268"/>
      <c r="G725" s="268"/>
      <c r="H725" s="268"/>
      <c r="I725" s="268"/>
      <c r="J725" s="268"/>
      <c r="K725" s="268"/>
      <c r="L725" s="268"/>
      <c r="M725" s="268"/>
      <c r="N725" s="268"/>
      <c r="O725" s="268"/>
      <c r="P725" s="310"/>
      <c r="Q725" s="268"/>
      <c r="R725" s="309"/>
      <c r="S725" s="268"/>
      <c r="T725" s="313"/>
      <c r="U725" s="313"/>
      <c r="V725" s="268"/>
      <c r="W725" s="268"/>
      <c r="X725" s="268"/>
      <c r="Y725" s="268"/>
      <c r="Z725" s="268"/>
    </row>
    <row r="726" spans="1:26" ht="24.75" customHeight="1">
      <c r="A726" s="268"/>
      <c r="B726" s="268"/>
      <c r="C726" s="268"/>
      <c r="D726" s="268"/>
      <c r="E726" s="268"/>
      <c r="F726" s="268"/>
      <c r="G726" s="268"/>
      <c r="H726" s="268"/>
      <c r="I726" s="268"/>
      <c r="J726" s="268"/>
      <c r="K726" s="268"/>
      <c r="L726" s="268"/>
      <c r="M726" s="268"/>
      <c r="N726" s="268"/>
      <c r="O726" s="268"/>
      <c r="P726" s="310"/>
      <c r="Q726" s="268"/>
      <c r="R726" s="309"/>
      <c r="S726" s="268"/>
      <c r="T726" s="313"/>
      <c r="U726" s="313"/>
      <c r="V726" s="268"/>
      <c r="W726" s="268"/>
      <c r="X726" s="268"/>
      <c r="Y726" s="268"/>
      <c r="Z726" s="268"/>
    </row>
    <row r="727" spans="1:26" ht="24.75" customHeight="1">
      <c r="A727" s="268"/>
      <c r="B727" s="268"/>
      <c r="C727" s="268"/>
      <c r="D727" s="268"/>
      <c r="E727" s="268"/>
      <c r="F727" s="268"/>
      <c r="G727" s="268"/>
      <c r="H727" s="268"/>
      <c r="I727" s="268"/>
      <c r="J727" s="268"/>
      <c r="K727" s="268"/>
      <c r="L727" s="268"/>
      <c r="M727" s="268"/>
      <c r="N727" s="268"/>
      <c r="O727" s="268"/>
      <c r="P727" s="310"/>
      <c r="Q727" s="268"/>
      <c r="R727" s="309"/>
      <c r="S727" s="268"/>
      <c r="T727" s="313"/>
      <c r="U727" s="313"/>
      <c r="V727" s="268"/>
      <c r="W727" s="268"/>
      <c r="X727" s="268"/>
      <c r="Y727" s="268"/>
      <c r="Z727" s="268"/>
    </row>
    <row r="728" spans="1:26" ht="24.75" customHeight="1">
      <c r="A728" s="268"/>
      <c r="B728" s="268"/>
      <c r="C728" s="268"/>
      <c r="D728" s="268"/>
      <c r="E728" s="268"/>
      <c r="F728" s="268"/>
      <c r="G728" s="268"/>
      <c r="H728" s="268"/>
      <c r="I728" s="268"/>
      <c r="J728" s="268"/>
      <c r="K728" s="268"/>
      <c r="L728" s="268"/>
      <c r="M728" s="268"/>
      <c r="N728" s="268"/>
      <c r="O728" s="268"/>
      <c r="P728" s="310"/>
      <c r="Q728" s="268"/>
      <c r="R728" s="309"/>
      <c r="S728" s="268"/>
      <c r="T728" s="313"/>
      <c r="U728" s="313"/>
      <c r="V728" s="268"/>
      <c r="W728" s="268"/>
      <c r="X728" s="268"/>
      <c r="Y728" s="268"/>
      <c r="Z728" s="268"/>
    </row>
    <row r="729" spans="1:26" ht="24.75" customHeight="1">
      <c r="A729" s="268"/>
      <c r="B729" s="268"/>
      <c r="C729" s="268"/>
      <c r="D729" s="268"/>
      <c r="E729" s="268"/>
      <c r="F729" s="268"/>
      <c r="G729" s="268"/>
      <c r="H729" s="268"/>
      <c r="I729" s="268"/>
      <c r="J729" s="268"/>
      <c r="K729" s="268"/>
      <c r="L729" s="268"/>
      <c r="M729" s="268"/>
      <c r="N729" s="268"/>
      <c r="O729" s="268"/>
      <c r="P729" s="310"/>
      <c r="Q729" s="268"/>
      <c r="R729" s="309"/>
      <c r="S729" s="268"/>
      <c r="T729" s="313"/>
      <c r="U729" s="313"/>
      <c r="V729" s="268"/>
      <c r="W729" s="268"/>
      <c r="X729" s="268"/>
      <c r="Y729" s="268"/>
      <c r="Z729" s="268"/>
    </row>
    <row r="730" spans="1:26" ht="24.75" customHeight="1">
      <c r="A730" s="268"/>
      <c r="B730" s="268"/>
      <c r="C730" s="268"/>
      <c r="D730" s="268"/>
      <c r="E730" s="268"/>
      <c r="F730" s="268"/>
      <c r="G730" s="268"/>
      <c r="H730" s="268"/>
      <c r="I730" s="268"/>
      <c r="J730" s="268"/>
      <c r="K730" s="268"/>
      <c r="L730" s="268"/>
      <c r="M730" s="268"/>
      <c r="N730" s="268"/>
      <c r="O730" s="268"/>
      <c r="P730" s="310"/>
      <c r="Q730" s="268"/>
      <c r="R730" s="309"/>
      <c r="S730" s="268"/>
      <c r="T730" s="313"/>
      <c r="U730" s="313"/>
      <c r="V730" s="268"/>
      <c r="W730" s="268"/>
      <c r="X730" s="268"/>
      <c r="Y730" s="268"/>
      <c r="Z730" s="268"/>
    </row>
    <row r="731" spans="1:26" ht="24.75" customHeight="1">
      <c r="A731" s="268"/>
      <c r="B731" s="268"/>
      <c r="C731" s="268"/>
      <c r="D731" s="268"/>
      <c r="E731" s="268"/>
      <c r="F731" s="268"/>
      <c r="G731" s="268"/>
      <c r="H731" s="268"/>
      <c r="I731" s="268"/>
      <c r="J731" s="268"/>
      <c r="K731" s="268"/>
      <c r="L731" s="268"/>
      <c r="M731" s="268"/>
      <c r="N731" s="268"/>
      <c r="O731" s="268"/>
      <c r="P731" s="310"/>
      <c r="Q731" s="268"/>
      <c r="R731" s="309"/>
      <c r="S731" s="268"/>
      <c r="T731" s="313"/>
      <c r="U731" s="313"/>
      <c r="V731" s="268"/>
      <c r="W731" s="268"/>
      <c r="X731" s="268"/>
      <c r="Y731" s="268"/>
      <c r="Z731" s="268"/>
    </row>
    <row r="732" spans="1:26" ht="24.75" customHeight="1">
      <c r="A732" s="268"/>
      <c r="B732" s="268"/>
      <c r="C732" s="268"/>
      <c r="D732" s="268"/>
      <c r="E732" s="268"/>
      <c r="F732" s="268"/>
      <c r="G732" s="268"/>
      <c r="H732" s="268"/>
      <c r="I732" s="268"/>
      <c r="J732" s="268"/>
      <c r="K732" s="268"/>
      <c r="L732" s="268"/>
      <c r="M732" s="268"/>
      <c r="N732" s="268"/>
      <c r="O732" s="268"/>
      <c r="P732" s="310"/>
      <c r="Q732" s="268"/>
      <c r="R732" s="309"/>
      <c r="S732" s="268"/>
      <c r="T732" s="313"/>
      <c r="U732" s="313"/>
      <c r="V732" s="268"/>
      <c r="W732" s="268"/>
      <c r="X732" s="268"/>
      <c r="Y732" s="268"/>
      <c r="Z732" s="268"/>
    </row>
    <row r="733" spans="1:26" ht="24.75" customHeight="1">
      <c r="A733" s="268"/>
      <c r="B733" s="268"/>
      <c r="C733" s="268"/>
      <c r="D733" s="268"/>
      <c r="E733" s="268"/>
      <c r="F733" s="268"/>
      <c r="G733" s="268"/>
      <c r="H733" s="268"/>
      <c r="I733" s="268"/>
      <c r="J733" s="268"/>
      <c r="K733" s="268"/>
      <c r="L733" s="268"/>
      <c r="M733" s="268"/>
      <c r="N733" s="268"/>
      <c r="O733" s="268"/>
      <c r="P733" s="310"/>
      <c r="Q733" s="268"/>
      <c r="R733" s="309"/>
      <c r="S733" s="268"/>
      <c r="T733" s="313"/>
      <c r="U733" s="313"/>
      <c r="V733" s="268"/>
      <c r="W733" s="268"/>
      <c r="X733" s="268"/>
      <c r="Y733" s="268"/>
      <c r="Z733" s="268"/>
    </row>
    <row r="734" spans="1:26" ht="24.75" customHeight="1">
      <c r="A734" s="268"/>
      <c r="B734" s="268"/>
      <c r="C734" s="268"/>
      <c r="D734" s="268"/>
      <c r="E734" s="268"/>
      <c r="F734" s="268"/>
      <c r="G734" s="268"/>
      <c r="H734" s="268"/>
      <c r="I734" s="268"/>
      <c r="J734" s="268"/>
      <c r="K734" s="268"/>
      <c r="L734" s="268"/>
      <c r="M734" s="268"/>
      <c r="N734" s="268"/>
      <c r="O734" s="268"/>
      <c r="P734" s="310"/>
      <c r="Q734" s="268"/>
      <c r="R734" s="309"/>
      <c r="S734" s="268"/>
      <c r="T734" s="313"/>
      <c r="U734" s="313"/>
      <c r="V734" s="268"/>
      <c r="W734" s="268"/>
      <c r="X734" s="268"/>
      <c r="Y734" s="268"/>
      <c r="Z734" s="268"/>
    </row>
    <row r="735" spans="1:26" ht="24.75" customHeight="1">
      <c r="A735" s="268"/>
      <c r="B735" s="268"/>
      <c r="C735" s="268"/>
      <c r="D735" s="268"/>
      <c r="E735" s="268"/>
      <c r="F735" s="268"/>
      <c r="G735" s="268"/>
      <c r="H735" s="268"/>
      <c r="I735" s="268"/>
      <c r="J735" s="268"/>
      <c r="K735" s="268"/>
      <c r="L735" s="268"/>
      <c r="M735" s="268"/>
      <c r="N735" s="268"/>
      <c r="O735" s="268"/>
      <c r="P735" s="310"/>
      <c r="Q735" s="268"/>
      <c r="R735" s="309"/>
      <c r="S735" s="268"/>
      <c r="T735" s="313"/>
      <c r="U735" s="313"/>
      <c r="V735" s="268"/>
      <c r="W735" s="268"/>
      <c r="X735" s="268"/>
      <c r="Y735" s="268"/>
      <c r="Z735" s="268"/>
    </row>
    <row r="736" spans="1:26" ht="24.75" customHeight="1">
      <c r="A736" s="268"/>
      <c r="B736" s="268"/>
      <c r="C736" s="268"/>
      <c r="D736" s="268"/>
      <c r="E736" s="268"/>
      <c r="F736" s="268"/>
      <c r="G736" s="268"/>
      <c r="H736" s="268"/>
      <c r="I736" s="268"/>
      <c r="J736" s="268"/>
      <c r="K736" s="268"/>
      <c r="L736" s="268"/>
      <c r="M736" s="268"/>
      <c r="N736" s="268"/>
      <c r="O736" s="268"/>
      <c r="P736" s="310"/>
      <c r="Q736" s="268"/>
      <c r="R736" s="309"/>
      <c r="S736" s="268"/>
      <c r="T736" s="313"/>
      <c r="U736" s="313"/>
      <c r="V736" s="268"/>
      <c r="W736" s="268"/>
      <c r="X736" s="268"/>
      <c r="Y736" s="268"/>
      <c r="Z736" s="268"/>
    </row>
    <row r="737" spans="1:26" ht="24.75" customHeight="1">
      <c r="A737" s="268"/>
      <c r="B737" s="268"/>
      <c r="C737" s="268"/>
      <c r="D737" s="268"/>
      <c r="E737" s="268"/>
      <c r="F737" s="268"/>
      <c r="G737" s="268"/>
      <c r="H737" s="268"/>
      <c r="I737" s="268"/>
      <c r="J737" s="268"/>
      <c r="K737" s="268"/>
      <c r="L737" s="268"/>
      <c r="M737" s="268"/>
      <c r="N737" s="268"/>
      <c r="O737" s="268"/>
      <c r="P737" s="310"/>
      <c r="Q737" s="268"/>
      <c r="R737" s="309"/>
      <c r="S737" s="268"/>
      <c r="T737" s="313"/>
      <c r="U737" s="313"/>
      <c r="V737" s="268"/>
      <c r="W737" s="268"/>
      <c r="X737" s="268"/>
      <c r="Y737" s="268"/>
      <c r="Z737" s="268"/>
    </row>
    <row r="738" spans="1:26" ht="24.75" customHeight="1">
      <c r="A738" s="268"/>
      <c r="B738" s="268"/>
      <c r="C738" s="268"/>
      <c r="D738" s="268"/>
      <c r="E738" s="268"/>
      <c r="F738" s="268"/>
      <c r="G738" s="268"/>
      <c r="H738" s="268"/>
      <c r="I738" s="268"/>
      <c r="J738" s="268"/>
      <c r="K738" s="268"/>
      <c r="L738" s="268"/>
      <c r="M738" s="268"/>
      <c r="N738" s="268"/>
      <c r="O738" s="268"/>
      <c r="P738" s="310"/>
      <c r="Q738" s="268"/>
      <c r="R738" s="309"/>
      <c r="S738" s="268"/>
      <c r="T738" s="313"/>
      <c r="U738" s="313"/>
      <c r="V738" s="268"/>
      <c r="W738" s="268"/>
      <c r="X738" s="268"/>
      <c r="Y738" s="268"/>
      <c r="Z738" s="268"/>
    </row>
    <row r="739" spans="1:26" ht="24.75" customHeight="1">
      <c r="A739" s="268"/>
      <c r="B739" s="268"/>
      <c r="C739" s="268"/>
      <c r="D739" s="268"/>
      <c r="E739" s="268"/>
      <c r="F739" s="268"/>
      <c r="G739" s="268"/>
      <c r="H739" s="268"/>
      <c r="I739" s="268"/>
      <c r="J739" s="268"/>
      <c r="K739" s="268"/>
      <c r="L739" s="268"/>
      <c r="M739" s="268"/>
      <c r="N739" s="268"/>
      <c r="O739" s="268"/>
      <c r="P739" s="310"/>
      <c r="Q739" s="268"/>
      <c r="R739" s="309"/>
      <c r="S739" s="268"/>
      <c r="T739" s="313"/>
      <c r="U739" s="313"/>
      <c r="V739" s="268"/>
      <c r="W739" s="268"/>
      <c r="X739" s="268"/>
      <c r="Y739" s="268"/>
      <c r="Z739" s="268"/>
    </row>
    <row r="740" spans="1:26" ht="24.75" customHeight="1">
      <c r="A740" s="268"/>
      <c r="B740" s="268"/>
      <c r="C740" s="268"/>
      <c r="D740" s="268"/>
      <c r="E740" s="268"/>
      <c r="F740" s="268"/>
      <c r="G740" s="268"/>
      <c r="H740" s="268"/>
      <c r="I740" s="268"/>
      <c r="J740" s="268"/>
      <c r="K740" s="268"/>
      <c r="L740" s="268"/>
      <c r="M740" s="268"/>
      <c r="N740" s="268"/>
      <c r="O740" s="268"/>
      <c r="P740" s="310"/>
      <c r="Q740" s="268"/>
      <c r="R740" s="309"/>
      <c r="S740" s="268"/>
      <c r="T740" s="313"/>
      <c r="U740" s="313"/>
      <c r="V740" s="268"/>
      <c r="W740" s="268"/>
      <c r="X740" s="268"/>
      <c r="Y740" s="268"/>
      <c r="Z740" s="268"/>
    </row>
    <row r="741" spans="1:26" ht="24.75" customHeight="1">
      <c r="A741" s="268"/>
      <c r="B741" s="268"/>
      <c r="C741" s="268"/>
      <c r="D741" s="268"/>
      <c r="E741" s="268"/>
      <c r="F741" s="268"/>
      <c r="G741" s="268"/>
      <c r="H741" s="268"/>
      <c r="I741" s="268"/>
      <c r="J741" s="268"/>
      <c r="K741" s="268"/>
      <c r="L741" s="268"/>
      <c r="M741" s="268"/>
      <c r="N741" s="268"/>
      <c r="O741" s="268"/>
      <c r="P741" s="310"/>
      <c r="Q741" s="268"/>
      <c r="R741" s="309"/>
      <c r="S741" s="268"/>
      <c r="T741" s="313"/>
      <c r="U741" s="313"/>
      <c r="V741" s="268"/>
      <c r="W741" s="268"/>
      <c r="X741" s="268"/>
      <c r="Y741" s="268"/>
      <c r="Z741" s="268"/>
    </row>
    <row r="742" spans="1:26" ht="24.75" customHeight="1">
      <c r="A742" s="268"/>
      <c r="B742" s="268"/>
      <c r="C742" s="268"/>
      <c r="D742" s="268"/>
      <c r="E742" s="268"/>
      <c r="F742" s="268"/>
      <c r="G742" s="268"/>
      <c r="H742" s="268"/>
      <c r="I742" s="268"/>
      <c r="J742" s="268"/>
      <c r="K742" s="268"/>
      <c r="L742" s="268"/>
      <c r="M742" s="268"/>
      <c r="N742" s="268"/>
      <c r="O742" s="268"/>
      <c r="P742" s="310"/>
      <c r="Q742" s="268"/>
      <c r="R742" s="309"/>
      <c r="S742" s="268"/>
      <c r="T742" s="313"/>
      <c r="U742" s="313"/>
      <c r="V742" s="268"/>
      <c r="W742" s="268"/>
      <c r="X742" s="268"/>
      <c r="Y742" s="268"/>
      <c r="Z742" s="268"/>
    </row>
    <row r="743" spans="1:26" ht="24.75" customHeight="1">
      <c r="A743" s="268"/>
      <c r="B743" s="268"/>
      <c r="C743" s="268"/>
      <c r="D743" s="268"/>
      <c r="E743" s="268"/>
      <c r="F743" s="268"/>
      <c r="G743" s="268"/>
      <c r="H743" s="268"/>
      <c r="I743" s="268"/>
      <c r="J743" s="268"/>
      <c r="K743" s="268"/>
      <c r="L743" s="268"/>
      <c r="M743" s="268"/>
      <c r="N743" s="268"/>
      <c r="O743" s="268"/>
      <c r="P743" s="310"/>
      <c r="Q743" s="268"/>
      <c r="R743" s="309"/>
      <c r="S743" s="268"/>
      <c r="T743" s="313"/>
      <c r="U743" s="313"/>
      <c r="V743" s="268"/>
      <c r="W743" s="268"/>
      <c r="X743" s="268"/>
      <c r="Y743" s="268"/>
      <c r="Z743" s="268"/>
    </row>
    <row r="744" spans="1:26" ht="24.75" customHeight="1">
      <c r="A744" s="268"/>
      <c r="B744" s="268"/>
      <c r="C744" s="268"/>
      <c r="D744" s="268"/>
      <c r="E744" s="268"/>
      <c r="F744" s="268"/>
      <c r="G744" s="268"/>
      <c r="H744" s="268"/>
      <c r="I744" s="268"/>
      <c r="J744" s="268"/>
      <c r="K744" s="268"/>
      <c r="L744" s="268"/>
      <c r="M744" s="268"/>
      <c r="N744" s="268"/>
      <c r="O744" s="268"/>
      <c r="P744" s="310"/>
      <c r="Q744" s="268"/>
      <c r="R744" s="309"/>
      <c r="S744" s="268"/>
      <c r="T744" s="313"/>
      <c r="U744" s="313"/>
      <c r="V744" s="268"/>
      <c r="W744" s="268"/>
      <c r="X744" s="268"/>
      <c r="Y744" s="268"/>
      <c r="Z744" s="268"/>
    </row>
    <row r="745" spans="1:26" ht="24.75" customHeight="1">
      <c r="A745" s="268"/>
      <c r="B745" s="268"/>
      <c r="C745" s="268"/>
      <c r="D745" s="268"/>
      <c r="E745" s="268"/>
      <c r="F745" s="268"/>
      <c r="G745" s="268"/>
      <c r="H745" s="268"/>
      <c r="I745" s="268"/>
      <c r="J745" s="268"/>
      <c r="K745" s="268"/>
      <c r="L745" s="268"/>
      <c r="M745" s="268"/>
      <c r="N745" s="268"/>
      <c r="O745" s="268"/>
      <c r="P745" s="310"/>
      <c r="Q745" s="268"/>
      <c r="R745" s="309"/>
      <c r="S745" s="268"/>
      <c r="T745" s="313"/>
      <c r="U745" s="313"/>
      <c r="V745" s="268"/>
      <c r="W745" s="268"/>
      <c r="X745" s="268"/>
      <c r="Y745" s="268"/>
      <c r="Z745" s="268"/>
    </row>
    <row r="746" spans="1:26" ht="24.75" customHeight="1">
      <c r="A746" s="268"/>
      <c r="B746" s="268"/>
      <c r="C746" s="268"/>
      <c r="D746" s="268"/>
      <c r="E746" s="268"/>
      <c r="F746" s="268"/>
      <c r="G746" s="268"/>
      <c r="H746" s="268"/>
      <c r="I746" s="268"/>
      <c r="J746" s="268"/>
      <c r="K746" s="268"/>
      <c r="L746" s="268"/>
      <c r="M746" s="268"/>
      <c r="N746" s="268"/>
      <c r="O746" s="268"/>
      <c r="P746" s="310"/>
      <c r="Q746" s="268"/>
      <c r="R746" s="309"/>
      <c r="S746" s="268"/>
      <c r="T746" s="313"/>
      <c r="U746" s="313"/>
      <c r="V746" s="268"/>
      <c r="W746" s="268"/>
      <c r="X746" s="268"/>
      <c r="Y746" s="268"/>
      <c r="Z746" s="268"/>
    </row>
    <row r="747" spans="1:26" ht="24.75" customHeight="1">
      <c r="A747" s="268"/>
      <c r="B747" s="268"/>
      <c r="C747" s="268"/>
      <c r="D747" s="268"/>
      <c r="E747" s="268"/>
      <c r="F747" s="268"/>
      <c r="G747" s="268"/>
      <c r="H747" s="268"/>
      <c r="I747" s="268"/>
      <c r="J747" s="268"/>
      <c r="K747" s="268"/>
      <c r="L747" s="268"/>
      <c r="M747" s="268"/>
      <c r="N747" s="268"/>
      <c r="O747" s="268"/>
      <c r="P747" s="310"/>
      <c r="Q747" s="268"/>
      <c r="R747" s="309"/>
      <c r="S747" s="268"/>
      <c r="T747" s="313"/>
      <c r="U747" s="313"/>
      <c r="V747" s="268"/>
      <c r="W747" s="268"/>
      <c r="X747" s="268"/>
      <c r="Y747" s="268"/>
      <c r="Z747" s="268"/>
    </row>
    <row r="748" spans="1:26" ht="24.75" customHeight="1">
      <c r="A748" s="268"/>
      <c r="B748" s="268"/>
      <c r="C748" s="268"/>
      <c r="D748" s="268"/>
      <c r="E748" s="268"/>
      <c r="F748" s="268"/>
      <c r="G748" s="268"/>
      <c r="H748" s="268"/>
      <c r="I748" s="268"/>
      <c r="J748" s="268"/>
      <c r="K748" s="268"/>
      <c r="L748" s="268"/>
      <c r="M748" s="268"/>
      <c r="N748" s="268"/>
      <c r="O748" s="268"/>
      <c r="P748" s="310"/>
      <c r="Q748" s="268"/>
      <c r="R748" s="309"/>
      <c r="S748" s="268"/>
      <c r="T748" s="313"/>
      <c r="U748" s="313"/>
      <c r="V748" s="268"/>
      <c r="W748" s="268"/>
      <c r="X748" s="268"/>
      <c r="Y748" s="268"/>
      <c r="Z748" s="268"/>
    </row>
    <row r="749" spans="1:26" ht="24.75" customHeight="1">
      <c r="A749" s="268"/>
      <c r="B749" s="268"/>
      <c r="C749" s="268"/>
      <c r="D749" s="268"/>
      <c r="E749" s="268"/>
      <c r="F749" s="268"/>
      <c r="G749" s="268"/>
      <c r="H749" s="268"/>
      <c r="I749" s="268"/>
      <c r="J749" s="268"/>
      <c r="K749" s="268"/>
      <c r="L749" s="268"/>
      <c r="M749" s="268"/>
      <c r="N749" s="268"/>
      <c r="O749" s="268"/>
      <c r="P749" s="310"/>
      <c r="Q749" s="268"/>
      <c r="R749" s="309"/>
      <c r="S749" s="268"/>
      <c r="T749" s="313"/>
      <c r="U749" s="313"/>
      <c r="V749" s="268"/>
      <c r="W749" s="268"/>
      <c r="X749" s="268"/>
      <c r="Y749" s="268"/>
      <c r="Z749" s="268"/>
    </row>
    <row r="750" spans="1:26" ht="24.75" customHeight="1">
      <c r="A750" s="268"/>
      <c r="B750" s="268"/>
      <c r="C750" s="268"/>
      <c r="D750" s="268"/>
      <c r="E750" s="268"/>
      <c r="F750" s="268"/>
      <c r="G750" s="268"/>
      <c r="H750" s="268"/>
      <c r="I750" s="268"/>
      <c r="J750" s="268"/>
      <c r="K750" s="268"/>
      <c r="L750" s="268"/>
      <c r="M750" s="268"/>
      <c r="N750" s="268"/>
      <c r="O750" s="268"/>
      <c r="P750" s="310"/>
      <c r="Q750" s="268"/>
      <c r="R750" s="309"/>
      <c r="S750" s="268"/>
      <c r="T750" s="313"/>
      <c r="U750" s="313"/>
      <c r="V750" s="268"/>
      <c r="W750" s="268"/>
      <c r="X750" s="268"/>
      <c r="Y750" s="268"/>
      <c r="Z750" s="268"/>
    </row>
    <row r="751" spans="1:26" ht="24.75" customHeight="1">
      <c r="A751" s="268"/>
      <c r="B751" s="268"/>
      <c r="C751" s="268"/>
      <c r="D751" s="268"/>
      <c r="E751" s="268"/>
      <c r="F751" s="268"/>
      <c r="G751" s="268"/>
      <c r="H751" s="268"/>
      <c r="I751" s="268"/>
      <c r="J751" s="268"/>
      <c r="K751" s="268"/>
      <c r="L751" s="268"/>
      <c r="M751" s="268"/>
      <c r="N751" s="268"/>
      <c r="O751" s="268"/>
      <c r="P751" s="310"/>
      <c r="Q751" s="268"/>
      <c r="R751" s="309"/>
      <c r="S751" s="268"/>
      <c r="T751" s="313"/>
      <c r="U751" s="313"/>
      <c r="V751" s="268"/>
      <c r="W751" s="268"/>
      <c r="X751" s="268"/>
      <c r="Y751" s="268"/>
      <c r="Z751" s="268"/>
    </row>
    <row r="752" spans="1:26" ht="24.75" customHeight="1">
      <c r="A752" s="268"/>
      <c r="B752" s="268"/>
      <c r="C752" s="268"/>
      <c r="D752" s="268"/>
      <c r="E752" s="268"/>
      <c r="F752" s="268"/>
      <c r="G752" s="268"/>
      <c r="H752" s="268"/>
      <c r="I752" s="268"/>
      <c r="J752" s="268"/>
      <c r="K752" s="268"/>
      <c r="L752" s="268"/>
      <c r="M752" s="268"/>
      <c r="N752" s="268"/>
      <c r="O752" s="268"/>
      <c r="P752" s="310"/>
      <c r="Q752" s="268"/>
      <c r="R752" s="309"/>
      <c r="S752" s="268"/>
      <c r="T752" s="313"/>
      <c r="U752" s="313"/>
      <c r="V752" s="268"/>
      <c r="W752" s="268"/>
      <c r="X752" s="268"/>
      <c r="Y752" s="268"/>
      <c r="Z752" s="268"/>
    </row>
    <row r="753" spans="1:26" ht="24.75" customHeight="1">
      <c r="A753" s="268"/>
      <c r="B753" s="268"/>
      <c r="C753" s="268"/>
      <c r="D753" s="268"/>
      <c r="E753" s="268"/>
      <c r="F753" s="268"/>
      <c r="G753" s="268"/>
      <c r="H753" s="268"/>
      <c r="I753" s="268"/>
      <c r="J753" s="268"/>
      <c r="K753" s="268"/>
      <c r="L753" s="268"/>
      <c r="M753" s="268"/>
      <c r="N753" s="268"/>
      <c r="O753" s="268"/>
      <c r="P753" s="310"/>
      <c r="Q753" s="268"/>
      <c r="R753" s="309"/>
      <c r="S753" s="268"/>
      <c r="T753" s="313"/>
      <c r="U753" s="313"/>
      <c r="V753" s="268"/>
      <c r="W753" s="268"/>
      <c r="X753" s="268"/>
      <c r="Y753" s="268"/>
      <c r="Z753" s="268"/>
    </row>
    <row r="754" spans="1:26" ht="24.75" customHeight="1">
      <c r="A754" s="268"/>
      <c r="B754" s="268"/>
      <c r="C754" s="268"/>
      <c r="D754" s="268"/>
      <c r="E754" s="268"/>
      <c r="F754" s="268"/>
      <c r="G754" s="268"/>
      <c r="H754" s="268"/>
      <c r="I754" s="268"/>
      <c r="J754" s="268"/>
      <c r="K754" s="268"/>
      <c r="L754" s="268"/>
      <c r="M754" s="268"/>
      <c r="N754" s="268"/>
      <c r="O754" s="268"/>
      <c r="P754" s="310"/>
      <c r="Q754" s="268"/>
      <c r="R754" s="309"/>
      <c r="S754" s="268"/>
      <c r="T754" s="313"/>
      <c r="U754" s="313"/>
      <c r="V754" s="268"/>
      <c r="W754" s="268"/>
      <c r="X754" s="268"/>
      <c r="Y754" s="268"/>
      <c r="Z754" s="268"/>
    </row>
    <row r="755" spans="1:26" ht="24.75" customHeight="1">
      <c r="A755" s="268"/>
      <c r="B755" s="268"/>
      <c r="C755" s="268"/>
      <c r="D755" s="268"/>
      <c r="E755" s="268"/>
      <c r="F755" s="268"/>
      <c r="G755" s="268"/>
      <c r="H755" s="268"/>
      <c r="I755" s="268"/>
      <c r="J755" s="268"/>
      <c r="K755" s="268"/>
      <c r="L755" s="268"/>
      <c r="M755" s="268"/>
      <c r="N755" s="268"/>
      <c r="O755" s="268"/>
      <c r="P755" s="310"/>
      <c r="Q755" s="268"/>
      <c r="R755" s="309"/>
      <c r="S755" s="268"/>
      <c r="T755" s="313"/>
      <c r="U755" s="313"/>
      <c r="V755" s="268"/>
      <c r="W755" s="268"/>
      <c r="X755" s="268"/>
      <c r="Y755" s="268"/>
      <c r="Z755" s="268"/>
    </row>
    <row r="756" spans="1:26" ht="24.75" customHeight="1">
      <c r="A756" s="268"/>
      <c r="B756" s="268"/>
      <c r="C756" s="268"/>
      <c r="D756" s="268"/>
      <c r="E756" s="268"/>
      <c r="F756" s="268"/>
      <c r="G756" s="268"/>
      <c r="H756" s="268"/>
      <c r="I756" s="268"/>
      <c r="J756" s="268"/>
      <c r="K756" s="268"/>
      <c r="L756" s="268"/>
      <c r="M756" s="268"/>
      <c r="N756" s="268"/>
      <c r="O756" s="268"/>
      <c r="P756" s="310"/>
      <c r="Q756" s="268"/>
      <c r="R756" s="309"/>
      <c r="S756" s="268"/>
      <c r="T756" s="313"/>
      <c r="U756" s="313"/>
      <c r="V756" s="268"/>
      <c r="W756" s="268"/>
      <c r="X756" s="268"/>
      <c r="Y756" s="268"/>
      <c r="Z756" s="268"/>
    </row>
    <row r="757" spans="1:26" ht="24.75" customHeight="1">
      <c r="A757" s="268"/>
      <c r="B757" s="268"/>
      <c r="C757" s="268"/>
      <c r="D757" s="268"/>
      <c r="E757" s="268"/>
      <c r="F757" s="268"/>
      <c r="G757" s="268"/>
      <c r="H757" s="268"/>
      <c r="I757" s="268"/>
      <c r="J757" s="268"/>
      <c r="K757" s="268"/>
      <c r="L757" s="268"/>
      <c r="M757" s="268"/>
      <c r="N757" s="268"/>
      <c r="O757" s="268"/>
      <c r="P757" s="310"/>
      <c r="Q757" s="268"/>
      <c r="R757" s="309"/>
      <c r="S757" s="268"/>
      <c r="T757" s="313"/>
      <c r="U757" s="313"/>
      <c r="V757" s="268"/>
      <c r="W757" s="268"/>
      <c r="X757" s="268"/>
      <c r="Y757" s="268"/>
      <c r="Z757" s="268"/>
    </row>
    <row r="758" spans="1:26" ht="24.75" customHeight="1">
      <c r="A758" s="268"/>
      <c r="B758" s="268"/>
      <c r="C758" s="268"/>
      <c r="D758" s="268"/>
      <c r="E758" s="268"/>
      <c r="F758" s="268"/>
      <c r="G758" s="268"/>
      <c r="H758" s="268"/>
      <c r="I758" s="268"/>
      <c r="J758" s="268"/>
      <c r="K758" s="268"/>
      <c r="L758" s="268"/>
      <c r="M758" s="268"/>
      <c r="N758" s="268"/>
      <c r="O758" s="268"/>
      <c r="P758" s="310"/>
      <c r="Q758" s="268"/>
      <c r="R758" s="309"/>
      <c r="S758" s="268"/>
      <c r="T758" s="313"/>
      <c r="U758" s="313"/>
      <c r="V758" s="268"/>
      <c r="W758" s="268"/>
      <c r="X758" s="268"/>
      <c r="Y758" s="268"/>
      <c r="Z758" s="268"/>
    </row>
    <row r="759" spans="1:26" ht="24.75" customHeight="1">
      <c r="A759" s="268"/>
      <c r="B759" s="268"/>
      <c r="C759" s="268"/>
      <c r="D759" s="268"/>
      <c r="E759" s="268"/>
      <c r="F759" s="268"/>
      <c r="G759" s="268"/>
      <c r="H759" s="268"/>
      <c r="I759" s="268"/>
      <c r="J759" s="268"/>
      <c r="K759" s="268"/>
      <c r="L759" s="268"/>
      <c r="M759" s="268"/>
      <c r="N759" s="268"/>
      <c r="O759" s="268"/>
      <c r="P759" s="310"/>
      <c r="Q759" s="268"/>
      <c r="R759" s="309"/>
      <c r="S759" s="268"/>
      <c r="T759" s="313"/>
      <c r="U759" s="313"/>
      <c r="V759" s="268"/>
      <c r="W759" s="268"/>
      <c r="X759" s="268"/>
      <c r="Y759" s="268"/>
      <c r="Z759" s="268"/>
    </row>
    <row r="760" spans="1:26" ht="24.75" customHeight="1">
      <c r="A760" s="268"/>
      <c r="B760" s="268"/>
      <c r="C760" s="268"/>
      <c r="D760" s="268"/>
      <c r="E760" s="268"/>
      <c r="F760" s="268"/>
      <c r="G760" s="268"/>
      <c r="H760" s="268"/>
      <c r="I760" s="268"/>
      <c r="J760" s="268"/>
      <c r="K760" s="268"/>
      <c r="L760" s="268"/>
      <c r="M760" s="268"/>
      <c r="N760" s="268"/>
      <c r="O760" s="268"/>
      <c r="P760" s="310"/>
      <c r="Q760" s="268"/>
      <c r="R760" s="309"/>
      <c r="S760" s="268"/>
      <c r="T760" s="313"/>
      <c r="U760" s="313"/>
      <c r="V760" s="268"/>
      <c r="W760" s="268"/>
      <c r="X760" s="268"/>
      <c r="Y760" s="268"/>
      <c r="Z760" s="268"/>
    </row>
    <row r="761" spans="1:26" ht="24.75" customHeight="1">
      <c r="A761" s="268"/>
      <c r="B761" s="268"/>
      <c r="C761" s="268"/>
      <c r="D761" s="268"/>
      <c r="E761" s="268"/>
      <c r="F761" s="268"/>
      <c r="G761" s="268"/>
      <c r="H761" s="268"/>
      <c r="I761" s="268"/>
      <c r="J761" s="268"/>
      <c r="K761" s="268"/>
      <c r="L761" s="268"/>
      <c r="M761" s="268"/>
      <c r="N761" s="268"/>
      <c r="O761" s="268"/>
      <c r="P761" s="310"/>
      <c r="Q761" s="268"/>
      <c r="R761" s="309"/>
      <c r="S761" s="268"/>
      <c r="T761" s="313"/>
      <c r="U761" s="313"/>
      <c r="V761" s="268"/>
      <c r="W761" s="268"/>
      <c r="X761" s="268"/>
      <c r="Y761" s="268"/>
      <c r="Z761" s="268"/>
    </row>
    <row r="762" spans="1:26" ht="24.75" customHeight="1">
      <c r="A762" s="268"/>
      <c r="B762" s="268"/>
      <c r="C762" s="268"/>
      <c r="D762" s="268"/>
      <c r="E762" s="268"/>
      <c r="F762" s="268"/>
      <c r="G762" s="268"/>
      <c r="H762" s="268"/>
      <c r="I762" s="268"/>
      <c r="J762" s="268"/>
      <c r="K762" s="268"/>
      <c r="L762" s="268"/>
      <c r="M762" s="268"/>
      <c r="N762" s="268"/>
      <c r="O762" s="268"/>
      <c r="P762" s="310"/>
      <c r="Q762" s="268"/>
      <c r="R762" s="309"/>
      <c r="S762" s="268"/>
      <c r="T762" s="313"/>
      <c r="U762" s="313"/>
      <c r="V762" s="268"/>
      <c r="W762" s="268"/>
      <c r="X762" s="268"/>
      <c r="Y762" s="268"/>
      <c r="Z762" s="268"/>
    </row>
    <row r="763" spans="1:26" ht="24.75" customHeight="1">
      <c r="A763" s="268"/>
      <c r="B763" s="268"/>
      <c r="C763" s="268"/>
      <c r="D763" s="268"/>
      <c r="E763" s="268"/>
      <c r="F763" s="268"/>
      <c r="G763" s="268"/>
      <c r="H763" s="268"/>
      <c r="I763" s="268"/>
      <c r="J763" s="268"/>
      <c r="K763" s="268"/>
      <c r="L763" s="268"/>
      <c r="M763" s="268"/>
      <c r="N763" s="268"/>
      <c r="O763" s="268"/>
      <c r="P763" s="310"/>
      <c r="Q763" s="268"/>
      <c r="R763" s="309"/>
      <c r="S763" s="268"/>
      <c r="T763" s="313"/>
      <c r="U763" s="313"/>
      <c r="V763" s="268"/>
      <c r="W763" s="268"/>
      <c r="X763" s="268"/>
      <c r="Y763" s="268"/>
      <c r="Z763" s="268"/>
    </row>
    <row r="764" spans="1:26" ht="24.75" customHeight="1">
      <c r="A764" s="268"/>
      <c r="B764" s="268"/>
      <c r="C764" s="268"/>
      <c r="D764" s="268"/>
      <c r="E764" s="268"/>
      <c r="F764" s="268"/>
      <c r="G764" s="268"/>
      <c r="H764" s="268"/>
      <c r="I764" s="268"/>
      <c r="J764" s="268"/>
      <c r="K764" s="268"/>
      <c r="L764" s="268"/>
      <c r="M764" s="268"/>
      <c r="N764" s="268"/>
      <c r="O764" s="268"/>
      <c r="P764" s="310"/>
      <c r="Q764" s="268"/>
      <c r="R764" s="309"/>
      <c r="S764" s="268"/>
      <c r="T764" s="313"/>
      <c r="U764" s="313"/>
      <c r="V764" s="268"/>
      <c r="W764" s="268"/>
      <c r="X764" s="268"/>
      <c r="Y764" s="268"/>
      <c r="Z764" s="268"/>
    </row>
    <row r="765" spans="1:26" ht="24.75" customHeight="1">
      <c r="A765" s="268"/>
      <c r="B765" s="268"/>
      <c r="C765" s="268"/>
      <c r="D765" s="268"/>
      <c r="E765" s="268"/>
      <c r="F765" s="268"/>
      <c r="G765" s="268"/>
      <c r="H765" s="268"/>
      <c r="I765" s="268"/>
      <c r="J765" s="268"/>
      <c r="K765" s="268"/>
      <c r="L765" s="268"/>
      <c r="M765" s="268"/>
      <c r="N765" s="268"/>
      <c r="O765" s="268"/>
      <c r="P765" s="310"/>
      <c r="Q765" s="268"/>
      <c r="R765" s="309"/>
      <c r="S765" s="268"/>
      <c r="T765" s="313"/>
      <c r="U765" s="313"/>
      <c r="V765" s="268"/>
      <c r="W765" s="268"/>
      <c r="X765" s="268"/>
      <c r="Y765" s="268"/>
      <c r="Z765" s="268"/>
    </row>
    <row r="766" spans="1:26" ht="24.75" customHeight="1">
      <c r="A766" s="268"/>
      <c r="B766" s="268"/>
      <c r="C766" s="268"/>
      <c r="D766" s="268"/>
      <c r="E766" s="268"/>
      <c r="F766" s="268"/>
      <c r="G766" s="268"/>
      <c r="H766" s="268"/>
      <c r="I766" s="268"/>
      <c r="J766" s="268"/>
      <c r="K766" s="268"/>
      <c r="L766" s="268"/>
      <c r="M766" s="268"/>
      <c r="N766" s="268"/>
      <c r="O766" s="268"/>
      <c r="P766" s="310"/>
      <c r="Q766" s="268"/>
      <c r="R766" s="309"/>
      <c r="S766" s="268"/>
      <c r="T766" s="313"/>
      <c r="U766" s="313"/>
      <c r="V766" s="268"/>
      <c r="W766" s="268"/>
      <c r="X766" s="268"/>
      <c r="Y766" s="268"/>
      <c r="Z766" s="268"/>
    </row>
    <row r="767" spans="1:26" ht="24.75" customHeight="1">
      <c r="A767" s="268"/>
      <c r="B767" s="268"/>
      <c r="C767" s="268"/>
      <c r="D767" s="268"/>
      <c r="E767" s="268"/>
      <c r="F767" s="268"/>
      <c r="G767" s="268"/>
      <c r="H767" s="268"/>
      <c r="I767" s="268"/>
      <c r="J767" s="268"/>
      <c r="K767" s="268"/>
      <c r="L767" s="268"/>
      <c r="M767" s="268"/>
      <c r="N767" s="268"/>
      <c r="O767" s="268"/>
      <c r="P767" s="310"/>
      <c r="Q767" s="268"/>
      <c r="R767" s="309"/>
      <c r="S767" s="268"/>
      <c r="T767" s="313"/>
      <c r="U767" s="313"/>
      <c r="V767" s="268"/>
      <c r="W767" s="268"/>
      <c r="X767" s="268"/>
      <c r="Y767" s="268"/>
      <c r="Z767" s="268"/>
    </row>
    <row r="768" spans="1:26" ht="24.75" customHeight="1">
      <c r="A768" s="268"/>
      <c r="B768" s="268"/>
      <c r="C768" s="268"/>
      <c r="D768" s="268"/>
      <c r="E768" s="268"/>
      <c r="F768" s="268"/>
      <c r="G768" s="268"/>
      <c r="H768" s="268"/>
      <c r="I768" s="268"/>
      <c r="J768" s="268"/>
      <c r="K768" s="268"/>
      <c r="L768" s="268"/>
      <c r="M768" s="268"/>
      <c r="N768" s="268"/>
      <c r="O768" s="268"/>
      <c r="P768" s="310"/>
      <c r="Q768" s="268"/>
      <c r="R768" s="309"/>
      <c r="S768" s="268"/>
      <c r="T768" s="313"/>
      <c r="U768" s="313"/>
      <c r="V768" s="268"/>
      <c r="W768" s="268"/>
      <c r="X768" s="268"/>
      <c r="Y768" s="268"/>
      <c r="Z768" s="268"/>
    </row>
    <row r="769" spans="1:26" ht="24.75" customHeight="1">
      <c r="A769" s="268"/>
      <c r="B769" s="268"/>
      <c r="C769" s="268"/>
      <c r="D769" s="268"/>
      <c r="E769" s="268"/>
      <c r="F769" s="268"/>
      <c r="G769" s="268"/>
      <c r="H769" s="268"/>
      <c r="I769" s="268"/>
      <c r="J769" s="268"/>
      <c r="K769" s="268"/>
      <c r="L769" s="268"/>
      <c r="M769" s="268"/>
      <c r="N769" s="268"/>
      <c r="O769" s="268"/>
      <c r="P769" s="310"/>
      <c r="Q769" s="268"/>
      <c r="R769" s="309"/>
      <c r="S769" s="268"/>
      <c r="T769" s="313"/>
      <c r="U769" s="313"/>
      <c r="V769" s="268"/>
      <c r="W769" s="268"/>
      <c r="X769" s="268"/>
      <c r="Y769" s="268"/>
      <c r="Z769" s="268"/>
    </row>
    <row r="770" spans="1:26" ht="24.75" customHeight="1">
      <c r="A770" s="268"/>
      <c r="B770" s="268"/>
      <c r="C770" s="268"/>
      <c r="D770" s="268"/>
      <c r="E770" s="268"/>
      <c r="F770" s="268"/>
      <c r="G770" s="268"/>
      <c r="H770" s="268"/>
      <c r="I770" s="268"/>
      <c r="J770" s="268"/>
      <c r="K770" s="268"/>
      <c r="L770" s="268"/>
      <c r="M770" s="268"/>
      <c r="N770" s="268"/>
      <c r="O770" s="268"/>
      <c r="P770" s="310"/>
      <c r="Q770" s="268"/>
      <c r="R770" s="309"/>
      <c r="S770" s="268"/>
      <c r="T770" s="313"/>
      <c r="U770" s="313"/>
      <c r="V770" s="268"/>
      <c r="W770" s="268"/>
      <c r="X770" s="268"/>
      <c r="Y770" s="268"/>
      <c r="Z770" s="268"/>
    </row>
    <row r="771" spans="1:26" ht="24.75" customHeight="1">
      <c r="A771" s="268"/>
      <c r="B771" s="268"/>
      <c r="C771" s="268"/>
      <c r="D771" s="268"/>
      <c r="E771" s="268"/>
      <c r="F771" s="268"/>
      <c r="G771" s="268"/>
      <c r="H771" s="268"/>
      <c r="I771" s="268"/>
      <c r="J771" s="268"/>
      <c r="K771" s="268"/>
      <c r="L771" s="268"/>
      <c r="M771" s="268"/>
      <c r="N771" s="268"/>
      <c r="O771" s="268"/>
      <c r="P771" s="310"/>
      <c r="Q771" s="268"/>
      <c r="R771" s="309"/>
      <c r="S771" s="268"/>
      <c r="T771" s="313"/>
      <c r="U771" s="313"/>
      <c r="V771" s="268"/>
      <c r="W771" s="268"/>
      <c r="X771" s="268"/>
      <c r="Y771" s="268"/>
      <c r="Z771" s="268"/>
    </row>
    <row r="772" spans="1:26" ht="24.75" customHeight="1">
      <c r="A772" s="268"/>
      <c r="B772" s="268"/>
      <c r="C772" s="268"/>
      <c r="D772" s="268"/>
      <c r="E772" s="268"/>
      <c r="F772" s="268"/>
      <c r="G772" s="268"/>
      <c r="H772" s="268"/>
      <c r="I772" s="268"/>
      <c r="J772" s="268"/>
      <c r="K772" s="268"/>
      <c r="L772" s="268"/>
      <c r="M772" s="268"/>
      <c r="N772" s="268"/>
      <c r="O772" s="268"/>
      <c r="P772" s="310"/>
      <c r="Q772" s="268"/>
      <c r="R772" s="309"/>
      <c r="S772" s="268"/>
      <c r="T772" s="313"/>
      <c r="U772" s="313"/>
      <c r="V772" s="268"/>
      <c r="W772" s="268"/>
      <c r="X772" s="268"/>
      <c r="Y772" s="268"/>
      <c r="Z772" s="268"/>
    </row>
    <row r="773" spans="1:26" ht="24.75" customHeight="1">
      <c r="A773" s="268"/>
      <c r="B773" s="268"/>
      <c r="C773" s="268"/>
      <c r="D773" s="268"/>
      <c r="E773" s="268"/>
      <c r="F773" s="268"/>
      <c r="G773" s="268"/>
      <c r="H773" s="268"/>
      <c r="I773" s="268"/>
      <c r="J773" s="268"/>
      <c r="K773" s="268"/>
      <c r="L773" s="268"/>
      <c r="M773" s="268"/>
      <c r="N773" s="268"/>
      <c r="O773" s="268"/>
      <c r="P773" s="310"/>
      <c r="Q773" s="268"/>
      <c r="R773" s="309"/>
      <c r="S773" s="268"/>
      <c r="T773" s="313"/>
      <c r="U773" s="313"/>
      <c r="V773" s="268"/>
      <c r="W773" s="268"/>
      <c r="X773" s="268"/>
      <c r="Y773" s="268"/>
      <c r="Z773" s="268"/>
    </row>
    <row r="774" spans="1:26" ht="24.75" customHeight="1">
      <c r="A774" s="268"/>
      <c r="B774" s="268"/>
      <c r="C774" s="268"/>
      <c r="D774" s="268"/>
      <c r="E774" s="268"/>
      <c r="F774" s="268"/>
      <c r="G774" s="268"/>
      <c r="H774" s="268"/>
      <c r="I774" s="268"/>
      <c r="J774" s="268"/>
      <c r="K774" s="268"/>
      <c r="L774" s="268"/>
      <c r="M774" s="268"/>
      <c r="N774" s="268"/>
      <c r="O774" s="268"/>
      <c r="P774" s="310"/>
      <c r="Q774" s="268"/>
      <c r="R774" s="309"/>
      <c r="S774" s="268"/>
      <c r="T774" s="313"/>
      <c r="U774" s="313"/>
      <c r="V774" s="268"/>
      <c r="W774" s="268"/>
      <c r="X774" s="268"/>
      <c r="Y774" s="268"/>
      <c r="Z774" s="268"/>
    </row>
    <row r="775" spans="1:26" ht="24.75" customHeight="1">
      <c r="A775" s="268"/>
      <c r="B775" s="268"/>
      <c r="C775" s="268"/>
      <c r="D775" s="268"/>
      <c r="E775" s="268"/>
      <c r="F775" s="268"/>
      <c r="G775" s="268"/>
      <c r="H775" s="268"/>
      <c r="I775" s="268"/>
      <c r="J775" s="268"/>
      <c r="K775" s="268"/>
      <c r="L775" s="268"/>
      <c r="M775" s="268"/>
      <c r="N775" s="268"/>
      <c r="O775" s="268"/>
      <c r="P775" s="310"/>
      <c r="Q775" s="268"/>
      <c r="R775" s="309"/>
      <c r="S775" s="268"/>
      <c r="T775" s="313"/>
      <c r="U775" s="313"/>
      <c r="V775" s="268"/>
      <c r="W775" s="268"/>
      <c r="X775" s="268"/>
      <c r="Y775" s="268"/>
      <c r="Z775" s="268"/>
    </row>
    <row r="776" spans="1:26" ht="24.75" customHeight="1">
      <c r="A776" s="268"/>
      <c r="B776" s="268"/>
      <c r="C776" s="268"/>
      <c r="D776" s="268"/>
      <c r="E776" s="268"/>
      <c r="F776" s="268"/>
      <c r="G776" s="268"/>
      <c r="H776" s="268"/>
      <c r="I776" s="268"/>
      <c r="J776" s="268"/>
      <c r="K776" s="268"/>
      <c r="L776" s="268"/>
      <c r="M776" s="268"/>
      <c r="N776" s="268"/>
      <c r="O776" s="268"/>
      <c r="P776" s="310"/>
      <c r="Q776" s="268"/>
      <c r="R776" s="309"/>
      <c r="S776" s="268"/>
      <c r="T776" s="313"/>
      <c r="U776" s="313"/>
      <c r="V776" s="268"/>
      <c r="W776" s="268"/>
      <c r="X776" s="268"/>
      <c r="Y776" s="268"/>
      <c r="Z776" s="268"/>
    </row>
    <row r="777" spans="1:26" ht="24.75" customHeight="1">
      <c r="A777" s="268"/>
      <c r="B777" s="268"/>
      <c r="C777" s="268"/>
      <c r="D777" s="268"/>
      <c r="E777" s="268"/>
      <c r="F777" s="268"/>
      <c r="G777" s="268"/>
      <c r="H777" s="268"/>
      <c r="I777" s="268"/>
      <c r="J777" s="268"/>
      <c r="K777" s="268"/>
      <c r="L777" s="268"/>
      <c r="M777" s="268"/>
      <c r="N777" s="268"/>
      <c r="O777" s="268"/>
      <c r="P777" s="310"/>
      <c r="Q777" s="268"/>
      <c r="R777" s="309"/>
      <c r="S777" s="268"/>
      <c r="T777" s="313"/>
      <c r="U777" s="313"/>
      <c r="V777" s="268"/>
      <c r="W777" s="268"/>
      <c r="X777" s="268"/>
      <c r="Y777" s="268"/>
      <c r="Z777" s="268"/>
    </row>
    <row r="778" spans="1:26" ht="24.75" customHeight="1">
      <c r="A778" s="268"/>
      <c r="B778" s="268"/>
      <c r="C778" s="268"/>
      <c r="D778" s="268"/>
      <c r="E778" s="268"/>
      <c r="F778" s="268"/>
      <c r="G778" s="268"/>
      <c r="H778" s="268"/>
      <c r="I778" s="268"/>
      <c r="J778" s="268"/>
      <c r="K778" s="268"/>
      <c r="L778" s="268"/>
      <c r="M778" s="268"/>
      <c r="N778" s="268"/>
      <c r="O778" s="268"/>
      <c r="P778" s="310"/>
      <c r="Q778" s="268"/>
      <c r="R778" s="309"/>
      <c r="S778" s="268"/>
      <c r="T778" s="313"/>
      <c r="U778" s="313"/>
      <c r="V778" s="268"/>
      <c r="W778" s="268"/>
      <c r="X778" s="268"/>
      <c r="Y778" s="268"/>
      <c r="Z778" s="268"/>
    </row>
    <row r="779" spans="1:26" ht="24.75" customHeight="1">
      <c r="A779" s="268"/>
      <c r="B779" s="268"/>
      <c r="C779" s="268"/>
      <c r="D779" s="268"/>
      <c r="E779" s="268"/>
      <c r="F779" s="268"/>
      <c r="G779" s="268"/>
      <c r="H779" s="268"/>
      <c r="I779" s="268"/>
      <c r="J779" s="268"/>
      <c r="K779" s="268"/>
      <c r="L779" s="268"/>
      <c r="M779" s="268"/>
      <c r="N779" s="268"/>
      <c r="O779" s="268"/>
      <c r="P779" s="310"/>
      <c r="Q779" s="268"/>
      <c r="R779" s="309"/>
      <c r="S779" s="268"/>
      <c r="T779" s="313"/>
      <c r="U779" s="313"/>
      <c r="V779" s="268"/>
      <c r="W779" s="268"/>
      <c r="X779" s="268"/>
      <c r="Y779" s="268"/>
      <c r="Z779" s="268"/>
    </row>
    <row r="780" spans="1:26" ht="24.75" customHeight="1">
      <c r="A780" s="268"/>
      <c r="B780" s="268"/>
      <c r="C780" s="268"/>
      <c r="D780" s="268"/>
      <c r="E780" s="268"/>
      <c r="F780" s="268"/>
      <c r="G780" s="268"/>
      <c r="H780" s="268"/>
      <c r="I780" s="268"/>
      <c r="J780" s="268"/>
      <c r="K780" s="268"/>
      <c r="L780" s="268"/>
      <c r="M780" s="268"/>
      <c r="N780" s="268"/>
      <c r="O780" s="268"/>
      <c r="P780" s="310"/>
      <c r="Q780" s="268"/>
      <c r="R780" s="309"/>
      <c r="S780" s="268"/>
      <c r="T780" s="313"/>
      <c r="U780" s="313"/>
      <c r="V780" s="268"/>
      <c r="W780" s="268"/>
      <c r="X780" s="268"/>
      <c r="Y780" s="268"/>
      <c r="Z780" s="268"/>
    </row>
    <row r="781" spans="1:26" ht="24.75" customHeight="1">
      <c r="A781" s="268"/>
      <c r="B781" s="268"/>
      <c r="C781" s="268"/>
      <c r="D781" s="268"/>
      <c r="E781" s="268"/>
      <c r="F781" s="268"/>
      <c r="G781" s="268"/>
      <c r="H781" s="268"/>
      <c r="I781" s="268"/>
      <c r="J781" s="268"/>
      <c r="K781" s="268"/>
      <c r="L781" s="268"/>
      <c r="M781" s="268"/>
      <c r="N781" s="268"/>
      <c r="O781" s="268"/>
      <c r="P781" s="310"/>
      <c r="Q781" s="268"/>
      <c r="R781" s="309"/>
      <c r="S781" s="268"/>
      <c r="T781" s="313"/>
      <c r="U781" s="313"/>
      <c r="V781" s="268"/>
      <c r="W781" s="268"/>
      <c r="X781" s="268"/>
      <c r="Y781" s="268"/>
      <c r="Z781" s="268"/>
    </row>
    <row r="782" spans="1:26" ht="24.75" customHeight="1">
      <c r="A782" s="268"/>
      <c r="B782" s="268"/>
      <c r="C782" s="268"/>
      <c r="D782" s="268"/>
      <c r="E782" s="268"/>
      <c r="F782" s="268"/>
      <c r="G782" s="268"/>
      <c r="H782" s="268"/>
      <c r="I782" s="268"/>
      <c r="J782" s="268"/>
      <c r="K782" s="268"/>
      <c r="L782" s="268"/>
      <c r="M782" s="268"/>
      <c r="N782" s="268"/>
      <c r="O782" s="268"/>
      <c r="P782" s="310"/>
      <c r="Q782" s="268"/>
      <c r="R782" s="309"/>
      <c r="S782" s="268"/>
      <c r="T782" s="313"/>
      <c r="U782" s="313"/>
      <c r="V782" s="268"/>
      <c r="W782" s="268"/>
      <c r="X782" s="268"/>
      <c r="Y782" s="268"/>
      <c r="Z782" s="268"/>
    </row>
    <row r="783" spans="1:26" ht="24.75" customHeight="1">
      <c r="A783" s="268"/>
      <c r="B783" s="268"/>
      <c r="C783" s="268"/>
      <c r="D783" s="268"/>
      <c r="E783" s="268"/>
      <c r="F783" s="268"/>
      <c r="G783" s="268"/>
      <c r="H783" s="268"/>
      <c r="I783" s="268"/>
      <c r="J783" s="268"/>
      <c r="K783" s="268"/>
      <c r="L783" s="268"/>
      <c r="M783" s="268"/>
      <c r="N783" s="268"/>
      <c r="O783" s="268"/>
      <c r="P783" s="310"/>
      <c r="Q783" s="268"/>
      <c r="R783" s="309"/>
      <c r="S783" s="268"/>
      <c r="T783" s="313"/>
      <c r="U783" s="313"/>
      <c r="V783" s="268"/>
      <c r="W783" s="268"/>
      <c r="X783" s="268"/>
      <c r="Y783" s="268"/>
      <c r="Z783" s="268"/>
    </row>
    <row r="784" spans="1:26" ht="24.75" customHeight="1">
      <c r="A784" s="268"/>
      <c r="B784" s="268"/>
      <c r="C784" s="268"/>
      <c r="D784" s="268"/>
      <c r="E784" s="268"/>
      <c r="F784" s="268"/>
      <c r="G784" s="268"/>
      <c r="H784" s="268"/>
      <c r="I784" s="268"/>
      <c r="J784" s="268"/>
      <c r="K784" s="268"/>
      <c r="L784" s="268"/>
      <c r="M784" s="268"/>
      <c r="N784" s="268"/>
      <c r="O784" s="268"/>
      <c r="P784" s="310"/>
      <c r="Q784" s="268"/>
      <c r="R784" s="309"/>
      <c r="S784" s="268"/>
      <c r="T784" s="313"/>
      <c r="U784" s="313"/>
      <c r="V784" s="268"/>
      <c r="W784" s="268"/>
      <c r="X784" s="268"/>
      <c r="Y784" s="268"/>
      <c r="Z784" s="268"/>
    </row>
    <row r="785" spans="1:26" ht="24.75" customHeight="1">
      <c r="A785" s="268"/>
      <c r="B785" s="268"/>
      <c r="C785" s="268"/>
      <c r="D785" s="268"/>
      <c r="E785" s="268"/>
      <c r="F785" s="268"/>
      <c r="G785" s="268"/>
      <c r="H785" s="268"/>
      <c r="I785" s="268"/>
      <c r="J785" s="268"/>
      <c r="K785" s="268"/>
      <c r="L785" s="268"/>
      <c r="M785" s="268"/>
      <c r="N785" s="268"/>
      <c r="O785" s="268"/>
      <c r="P785" s="310"/>
      <c r="Q785" s="268"/>
      <c r="R785" s="309"/>
      <c r="S785" s="268"/>
      <c r="T785" s="313"/>
      <c r="U785" s="313"/>
      <c r="V785" s="268"/>
      <c r="W785" s="268"/>
      <c r="X785" s="268"/>
      <c r="Y785" s="268"/>
      <c r="Z785" s="268"/>
    </row>
    <row r="786" spans="1:26" ht="24.75" customHeight="1">
      <c r="A786" s="268"/>
      <c r="B786" s="268"/>
      <c r="C786" s="268"/>
      <c r="D786" s="268"/>
      <c r="E786" s="268"/>
      <c r="F786" s="268"/>
      <c r="G786" s="268"/>
      <c r="H786" s="268"/>
      <c r="I786" s="268"/>
      <c r="J786" s="268"/>
      <c r="K786" s="268"/>
      <c r="L786" s="268"/>
      <c r="M786" s="268"/>
      <c r="N786" s="268"/>
      <c r="O786" s="268"/>
      <c r="P786" s="310"/>
      <c r="Q786" s="268"/>
      <c r="R786" s="309"/>
      <c r="S786" s="268"/>
      <c r="T786" s="313"/>
      <c r="U786" s="313"/>
      <c r="V786" s="268"/>
      <c r="W786" s="268"/>
      <c r="X786" s="268"/>
      <c r="Y786" s="268"/>
      <c r="Z786" s="268"/>
    </row>
    <row r="787" spans="1:26" ht="24.75" customHeight="1">
      <c r="A787" s="268"/>
      <c r="B787" s="268"/>
      <c r="C787" s="268"/>
      <c r="D787" s="268"/>
      <c r="E787" s="268"/>
      <c r="F787" s="268"/>
      <c r="G787" s="268"/>
      <c r="H787" s="268"/>
      <c r="I787" s="268"/>
      <c r="J787" s="268"/>
      <c r="K787" s="268"/>
      <c r="L787" s="268"/>
      <c r="M787" s="268"/>
      <c r="N787" s="268"/>
      <c r="O787" s="268"/>
      <c r="P787" s="310"/>
      <c r="Q787" s="268"/>
      <c r="R787" s="309"/>
      <c r="S787" s="268"/>
      <c r="T787" s="313"/>
      <c r="U787" s="313"/>
      <c r="V787" s="268"/>
      <c r="W787" s="268"/>
      <c r="X787" s="268"/>
      <c r="Y787" s="268"/>
      <c r="Z787" s="268"/>
    </row>
    <row r="788" spans="1:26" ht="24.75" customHeight="1">
      <c r="A788" s="268"/>
      <c r="B788" s="268"/>
      <c r="C788" s="268"/>
      <c r="D788" s="268"/>
      <c r="E788" s="268"/>
      <c r="F788" s="268"/>
      <c r="G788" s="268"/>
      <c r="H788" s="268"/>
      <c r="I788" s="268"/>
      <c r="J788" s="268"/>
      <c r="K788" s="268"/>
      <c r="L788" s="268"/>
      <c r="M788" s="268"/>
      <c r="N788" s="268"/>
      <c r="O788" s="268"/>
      <c r="P788" s="310"/>
      <c r="Q788" s="268"/>
      <c r="R788" s="309"/>
      <c r="S788" s="268"/>
      <c r="T788" s="313"/>
      <c r="U788" s="313"/>
      <c r="V788" s="268"/>
      <c r="W788" s="268"/>
      <c r="X788" s="268"/>
      <c r="Y788" s="268"/>
      <c r="Z788" s="268"/>
    </row>
    <row r="789" spans="1:26" ht="24.75" customHeight="1">
      <c r="A789" s="268"/>
      <c r="B789" s="268"/>
      <c r="C789" s="268"/>
      <c r="D789" s="268"/>
      <c r="E789" s="268"/>
      <c r="F789" s="268"/>
      <c r="G789" s="268"/>
      <c r="H789" s="268"/>
      <c r="I789" s="268"/>
      <c r="J789" s="268"/>
      <c r="K789" s="268"/>
      <c r="L789" s="268"/>
      <c r="M789" s="268"/>
      <c r="N789" s="268"/>
      <c r="O789" s="268"/>
      <c r="P789" s="310"/>
      <c r="Q789" s="268"/>
      <c r="R789" s="309"/>
      <c r="S789" s="268"/>
      <c r="T789" s="313"/>
      <c r="U789" s="313"/>
      <c r="V789" s="268"/>
      <c r="W789" s="268"/>
      <c r="X789" s="268"/>
      <c r="Y789" s="268"/>
      <c r="Z789" s="268"/>
    </row>
    <row r="790" spans="1:26" ht="24.75" customHeight="1">
      <c r="A790" s="268"/>
      <c r="B790" s="268"/>
      <c r="C790" s="268"/>
      <c r="D790" s="268"/>
      <c r="E790" s="268"/>
      <c r="F790" s="268"/>
      <c r="G790" s="268"/>
      <c r="H790" s="268"/>
      <c r="I790" s="268"/>
      <c r="J790" s="268"/>
      <c r="K790" s="268"/>
      <c r="L790" s="268"/>
      <c r="M790" s="268"/>
      <c r="N790" s="268"/>
      <c r="O790" s="268"/>
      <c r="P790" s="310"/>
      <c r="Q790" s="268"/>
      <c r="R790" s="309"/>
      <c r="S790" s="268"/>
      <c r="T790" s="313"/>
      <c r="U790" s="313"/>
      <c r="V790" s="268"/>
      <c r="W790" s="268"/>
      <c r="X790" s="268"/>
      <c r="Y790" s="268"/>
      <c r="Z790" s="268"/>
    </row>
    <row r="791" spans="1:26" ht="24.75" customHeight="1">
      <c r="A791" s="268"/>
      <c r="B791" s="268"/>
      <c r="C791" s="268"/>
      <c r="D791" s="268"/>
      <c r="E791" s="268"/>
      <c r="F791" s="268"/>
      <c r="G791" s="268"/>
      <c r="H791" s="268"/>
      <c r="I791" s="268"/>
      <c r="J791" s="268"/>
      <c r="K791" s="268"/>
      <c r="L791" s="268"/>
      <c r="M791" s="268"/>
      <c r="N791" s="268"/>
      <c r="O791" s="268"/>
      <c r="P791" s="310"/>
      <c r="Q791" s="268"/>
      <c r="R791" s="309"/>
      <c r="S791" s="268"/>
      <c r="T791" s="313"/>
      <c r="U791" s="313"/>
      <c r="V791" s="268"/>
      <c r="W791" s="268"/>
      <c r="X791" s="268"/>
      <c r="Y791" s="268"/>
      <c r="Z791" s="268"/>
    </row>
    <row r="792" spans="1:26" ht="24.75" customHeight="1">
      <c r="A792" s="268"/>
      <c r="B792" s="268"/>
      <c r="C792" s="268"/>
      <c r="D792" s="268"/>
      <c r="E792" s="268"/>
      <c r="F792" s="268"/>
      <c r="G792" s="268"/>
      <c r="H792" s="268"/>
      <c r="I792" s="268"/>
      <c r="J792" s="268"/>
      <c r="K792" s="268"/>
      <c r="L792" s="268"/>
      <c r="M792" s="268"/>
      <c r="N792" s="268"/>
      <c r="O792" s="268"/>
      <c r="P792" s="310"/>
      <c r="Q792" s="268"/>
      <c r="R792" s="309"/>
      <c r="S792" s="268"/>
      <c r="T792" s="313"/>
      <c r="U792" s="313"/>
      <c r="V792" s="268"/>
      <c r="W792" s="268"/>
      <c r="X792" s="268"/>
      <c r="Y792" s="268"/>
      <c r="Z792" s="268"/>
    </row>
    <row r="793" spans="1:26" ht="24.75" customHeight="1">
      <c r="A793" s="268"/>
      <c r="B793" s="268"/>
      <c r="C793" s="268"/>
      <c r="D793" s="268"/>
      <c r="E793" s="268"/>
      <c r="F793" s="268"/>
      <c r="G793" s="268"/>
      <c r="H793" s="268"/>
      <c r="I793" s="268"/>
      <c r="J793" s="268"/>
      <c r="K793" s="268"/>
      <c r="L793" s="268"/>
      <c r="M793" s="268"/>
      <c r="N793" s="268"/>
      <c r="O793" s="268"/>
      <c r="P793" s="310"/>
      <c r="Q793" s="268"/>
      <c r="R793" s="309"/>
      <c r="S793" s="268"/>
      <c r="T793" s="313"/>
      <c r="U793" s="313"/>
      <c r="V793" s="268"/>
      <c r="W793" s="268"/>
      <c r="X793" s="268"/>
      <c r="Y793" s="268"/>
      <c r="Z793" s="268"/>
    </row>
    <row r="794" spans="1:26" ht="24.75" customHeight="1">
      <c r="A794" s="268"/>
      <c r="B794" s="268"/>
      <c r="C794" s="268"/>
      <c r="D794" s="268"/>
      <c r="E794" s="268"/>
      <c r="F794" s="268"/>
      <c r="G794" s="268"/>
      <c r="H794" s="268"/>
      <c r="I794" s="268"/>
      <c r="J794" s="268"/>
      <c r="K794" s="268"/>
      <c r="L794" s="268"/>
      <c r="M794" s="268"/>
      <c r="N794" s="268"/>
      <c r="O794" s="268"/>
      <c r="P794" s="310"/>
      <c r="Q794" s="268"/>
      <c r="R794" s="309"/>
      <c r="S794" s="268"/>
      <c r="T794" s="313"/>
      <c r="U794" s="313"/>
      <c r="V794" s="268"/>
      <c r="W794" s="268"/>
      <c r="X794" s="268"/>
      <c r="Y794" s="268"/>
      <c r="Z794" s="268"/>
    </row>
    <row r="795" spans="1:26" ht="24.75" customHeight="1">
      <c r="A795" s="268"/>
      <c r="B795" s="268"/>
      <c r="C795" s="268"/>
      <c r="D795" s="268"/>
      <c r="E795" s="268"/>
      <c r="F795" s="268"/>
      <c r="G795" s="268"/>
      <c r="H795" s="268"/>
      <c r="I795" s="268"/>
      <c r="J795" s="268"/>
      <c r="K795" s="268"/>
      <c r="L795" s="268"/>
      <c r="M795" s="268"/>
      <c r="N795" s="268"/>
      <c r="O795" s="268"/>
      <c r="P795" s="310"/>
      <c r="Q795" s="268"/>
      <c r="R795" s="309"/>
      <c r="S795" s="268"/>
      <c r="T795" s="313"/>
      <c r="U795" s="313"/>
      <c r="V795" s="268"/>
      <c r="W795" s="268"/>
      <c r="X795" s="268"/>
      <c r="Y795" s="268"/>
      <c r="Z795" s="268"/>
    </row>
    <row r="796" spans="1:26" ht="24.75" customHeight="1">
      <c r="A796" s="268"/>
      <c r="B796" s="268"/>
      <c r="C796" s="268"/>
      <c r="D796" s="268"/>
      <c r="E796" s="268"/>
      <c r="F796" s="268"/>
      <c r="G796" s="268"/>
      <c r="H796" s="268"/>
      <c r="I796" s="268"/>
      <c r="J796" s="268"/>
      <c r="K796" s="268"/>
      <c r="L796" s="268"/>
      <c r="M796" s="268"/>
      <c r="N796" s="268"/>
      <c r="O796" s="268"/>
      <c r="P796" s="310"/>
      <c r="Q796" s="268"/>
      <c r="R796" s="309"/>
      <c r="S796" s="268"/>
      <c r="T796" s="313"/>
      <c r="U796" s="313"/>
      <c r="V796" s="268"/>
      <c r="W796" s="268"/>
      <c r="X796" s="268"/>
      <c r="Y796" s="268"/>
      <c r="Z796" s="268"/>
    </row>
    <row r="797" spans="1:26" ht="24.75" customHeight="1">
      <c r="A797" s="268"/>
      <c r="B797" s="268"/>
      <c r="C797" s="268"/>
      <c r="D797" s="268"/>
      <c r="E797" s="268"/>
      <c r="F797" s="268"/>
      <c r="G797" s="268"/>
      <c r="H797" s="268"/>
      <c r="I797" s="268"/>
      <c r="J797" s="268"/>
      <c r="K797" s="268"/>
      <c r="L797" s="268"/>
      <c r="M797" s="268"/>
      <c r="N797" s="268"/>
      <c r="O797" s="268"/>
      <c r="P797" s="310"/>
      <c r="Q797" s="268"/>
      <c r="R797" s="309"/>
      <c r="S797" s="268"/>
      <c r="T797" s="313"/>
      <c r="U797" s="313"/>
      <c r="V797" s="268"/>
      <c r="W797" s="268"/>
      <c r="X797" s="268"/>
      <c r="Y797" s="268"/>
      <c r="Z797" s="268"/>
    </row>
    <row r="798" spans="1:26" ht="24.75" customHeight="1">
      <c r="A798" s="268"/>
      <c r="B798" s="268"/>
      <c r="C798" s="268"/>
      <c r="D798" s="268"/>
      <c r="E798" s="268"/>
      <c r="F798" s="268"/>
      <c r="G798" s="268"/>
      <c r="H798" s="268"/>
      <c r="I798" s="268"/>
      <c r="J798" s="268"/>
      <c r="K798" s="268"/>
      <c r="L798" s="268"/>
      <c r="M798" s="268"/>
      <c r="N798" s="268"/>
      <c r="O798" s="268"/>
      <c r="P798" s="310"/>
      <c r="Q798" s="268"/>
      <c r="R798" s="309"/>
      <c r="S798" s="268"/>
      <c r="T798" s="313"/>
      <c r="U798" s="313"/>
      <c r="V798" s="268"/>
      <c r="W798" s="268"/>
      <c r="X798" s="268"/>
      <c r="Y798" s="268"/>
      <c r="Z798" s="268"/>
    </row>
    <row r="799" spans="1:26" ht="24.75" customHeight="1">
      <c r="A799" s="268"/>
      <c r="B799" s="268"/>
      <c r="C799" s="268"/>
      <c r="D799" s="268"/>
      <c r="E799" s="268"/>
      <c r="F799" s="268"/>
      <c r="G799" s="268"/>
      <c r="H799" s="268"/>
      <c r="I799" s="268"/>
      <c r="J799" s="268"/>
      <c r="K799" s="268"/>
      <c r="L799" s="268"/>
      <c r="M799" s="268"/>
      <c r="N799" s="268"/>
      <c r="O799" s="268"/>
      <c r="P799" s="310"/>
      <c r="Q799" s="268"/>
      <c r="R799" s="309"/>
      <c r="S799" s="268"/>
      <c r="T799" s="313"/>
      <c r="U799" s="313"/>
      <c r="V799" s="268"/>
      <c r="W799" s="268"/>
      <c r="X799" s="268"/>
      <c r="Y799" s="268"/>
      <c r="Z799" s="268"/>
    </row>
    <row r="800" spans="1:26" ht="24.75" customHeight="1">
      <c r="A800" s="268"/>
      <c r="B800" s="268"/>
      <c r="C800" s="268"/>
      <c r="D800" s="268"/>
      <c r="E800" s="268"/>
      <c r="F800" s="268"/>
      <c r="G800" s="268"/>
      <c r="H800" s="268"/>
      <c r="I800" s="268"/>
      <c r="J800" s="268"/>
      <c r="K800" s="268"/>
      <c r="L800" s="268"/>
      <c r="M800" s="268"/>
      <c r="N800" s="268"/>
      <c r="O800" s="268"/>
      <c r="P800" s="310"/>
      <c r="Q800" s="268"/>
      <c r="R800" s="309"/>
      <c r="S800" s="268"/>
      <c r="T800" s="313"/>
      <c r="U800" s="313"/>
      <c r="V800" s="268"/>
      <c r="W800" s="268"/>
      <c r="X800" s="268"/>
      <c r="Y800" s="268"/>
      <c r="Z800" s="268"/>
    </row>
    <row r="801" spans="1:26" ht="24.75" customHeight="1">
      <c r="A801" s="268"/>
      <c r="B801" s="268"/>
      <c r="C801" s="268"/>
      <c r="D801" s="268"/>
      <c r="E801" s="268"/>
      <c r="F801" s="268"/>
      <c r="G801" s="268"/>
      <c r="H801" s="268"/>
      <c r="I801" s="268"/>
      <c r="J801" s="268"/>
      <c r="K801" s="268"/>
      <c r="L801" s="268"/>
      <c r="M801" s="268"/>
      <c r="N801" s="268"/>
      <c r="O801" s="268"/>
      <c r="P801" s="310"/>
      <c r="Q801" s="268"/>
      <c r="R801" s="309"/>
      <c r="S801" s="268"/>
      <c r="T801" s="313"/>
      <c r="U801" s="313"/>
      <c r="V801" s="268"/>
      <c r="W801" s="268"/>
      <c r="X801" s="268"/>
      <c r="Y801" s="268"/>
      <c r="Z801" s="268"/>
    </row>
    <row r="802" spans="1:26" ht="24.75" customHeight="1">
      <c r="A802" s="268"/>
      <c r="B802" s="268"/>
      <c r="C802" s="268"/>
      <c r="D802" s="268"/>
      <c r="E802" s="268"/>
      <c r="F802" s="268"/>
      <c r="G802" s="268"/>
      <c r="H802" s="268"/>
      <c r="I802" s="268"/>
      <c r="J802" s="268"/>
      <c r="K802" s="268"/>
      <c r="L802" s="268"/>
      <c r="M802" s="268"/>
      <c r="N802" s="268"/>
      <c r="O802" s="268"/>
      <c r="P802" s="310"/>
      <c r="Q802" s="268"/>
      <c r="R802" s="309"/>
      <c r="S802" s="268"/>
      <c r="T802" s="313"/>
      <c r="U802" s="313"/>
      <c r="V802" s="268"/>
      <c r="W802" s="268"/>
      <c r="X802" s="268"/>
      <c r="Y802" s="268"/>
      <c r="Z802" s="268"/>
    </row>
    <row r="803" spans="1:26" ht="24.75" customHeight="1">
      <c r="A803" s="268"/>
      <c r="B803" s="268"/>
      <c r="C803" s="268"/>
      <c r="D803" s="268"/>
      <c r="E803" s="268"/>
      <c r="F803" s="268"/>
      <c r="G803" s="268"/>
      <c r="H803" s="268"/>
      <c r="I803" s="268"/>
      <c r="J803" s="268"/>
      <c r="K803" s="268"/>
      <c r="L803" s="268"/>
      <c r="M803" s="268"/>
      <c r="N803" s="268"/>
      <c r="O803" s="268"/>
      <c r="P803" s="310"/>
      <c r="Q803" s="268"/>
      <c r="R803" s="309"/>
      <c r="S803" s="268"/>
      <c r="T803" s="313"/>
      <c r="U803" s="313"/>
      <c r="V803" s="268"/>
      <c r="W803" s="268"/>
      <c r="X803" s="268"/>
      <c r="Y803" s="268"/>
      <c r="Z803" s="268"/>
    </row>
    <row r="804" spans="1:26" ht="24.75" customHeight="1">
      <c r="A804" s="268"/>
      <c r="B804" s="268"/>
      <c r="C804" s="268"/>
      <c r="D804" s="268"/>
      <c r="E804" s="268"/>
      <c r="F804" s="268"/>
      <c r="G804" s="268"/>
      <c r="H804" s="268"/>
      <c r="I804" s="268"/>
      <c r="J804" s="268"/>
      <c r="K804" s="268"/>
      <c r="L804" s="268"/>
      <c r="M804" s="268"/>
      <c r="N804" s="268"/>
      <c r="O804" s="268"/>
      <c r="P804" s="310"/>
      <c r="Q804" s="268"/>
      <c r="R804" s="309"/>
      <c r="S804" s="268"/>
      <c r="T804" s="313"/>
      <c r="U804" s="313"/>
      <c r="V804" s="268"/>
      <c r="W804" s="268"/>
      <c r="X804" s="268"/>
      <c r="Y804" s="268"/>
      <c r="Z804" s="268"/>
    </row>
    <row r="805" spans="1:26" ht="24.75" customHeight="1">
      <c r="A805" s="268"/>
      <c r="B805" s="268"/>
      <c r="C805" s="268"/>
      <c r="D805" s="268"/>
      <c r="E805" s="268"/>
      <c r="F805" s="268"/>
      <c r="G805" s="268"/>
      <c r="H805" s="268"/>
      <c r="I805" s="268"/>
      <c r="J805" s="268"/>
      <c r="K805" s="268"/>
      <c r="L805" s="268"/>
      <c r="M805" s="268"/>
      <c r="N805" s="268"/>
      <c r="O805" s="268"/>
      <c r="P805" s="310"/>
      <c r="Q805" s="268"/>
      <c r="R805" s="309"/>
      <c r="S805" s="268"/>
      <c r="T805" s="313"/>
      <c r="U805" s="313"/>
      <c r="V805" s="268"/>
      <c r="W805" s="268"/>
      <c r="X805" s="268"/>
      <c r="Y805" s="268"/>
      <c r="Z805" s="268"/>
    </row>
    <row r="806" spans="1:26" ht="24.75" customHeight="1">
      <c r="A806" s="268"/>
      <c r="B806" s="268"/>
      <c r="C806" s="268"/>
      <c r="D806" s="268"/>
      <c r="E806" s="268"/>
      <c r="F806" s="268"/>
      <c r="G806" s="268"/>
      <c r="H806" s="268"/>
      <c r="I806" s="268"/>
      <c r="J806" s="268"/>
      <c r="K806" s="268"/>
      <c r="L806" s="268"/>
      <c r="M806" s="268"/>
      <c r="N806" s="268"/>
      <c r="O806" s="268"/>
      <c r="P806" s="310"/>
      <c r="Q806" s="268"/>
      <c r="R806" s="309"/>
      <c r="S806" s="268"/>
      <c r="T806" s="313"/>
      <c r="U806" s="313"/>
      <c r="V806" s="268"/>
      <c r="W806" s="268"/>
      <c r="X806" s="268"/>
      <c r="Y806" s="268"/>
      <c r="Z806" s="268"/>
    </row>
    <row r="807" spans="1:26" ht="24.75" customHeight="1">
      <c r="A807" s="268"/>
      <c r="B807" s="268"/>
      <c r="C807" s="268"/>
      <c r="D807" s="268"/>
      <c r="E807" s="268"/>
      <c r="F807" s="268"/>
      <c r="G807" s="268"/>
      <c r="H807" s="268"/>
      <c r="I807" s="268"/>
      <c r="J807" s="268"/>
      <c r="K807" s="268"/>
      <c r="L807" s="268"/>
      <c r="M807" s="268"/>
      <c r="N807" s="268"/>
      <c r="O807" s="268"/>
      <c r="P807" s="310"/>
      <c r="Q807" s="268"/>
      <c r="R807" s="309"/>
      <c r="S807" s="268"/>
      <c r="T807" s="313"/>
      <c r="U807" s="313"/>
      <c r="V807" s="268"/>
      <c r="W807" s="268"/>
      <c r="X807" s="268"/>
      <c r="Y807" s="268"/>
      <c r="Z807" s="268"/>
    </row>
    <row r="808" spans="1:26" ht="24.75" customHeight="1">
      <c r="A808" s="268"/>
      <c r="B808" s="268"/>
      <c r="C808" s="268"/>
      <c r="D808" s="268"/>
      <c r="E808" s="268"/>
      <c r="F808" s="268"/>
      <c r="G808" s="268"/>
      <c r="H808" s="268"/>
      <c r="I808" s="268"/>
      <c r="J808" s="268"/>
      <c r="K808" s="268"/>
      <c r="L808" s="268"/>
      <c r="M808" s="268"/>
      <c r="N808" s="268"/>
      <c r="O808" s="268"/>
      <c r="P808" s="310"/>
      <c r="Q808" s="268"/>
      <c r="R808" s="309"/>
      <c r="S808" s="268"/>
      <c r="T808" s="313"/>
      <c r="U808" s="313"/>
      <c r="V808" s="268"/>
      <c r="W808" s="268"/>
      <c r="X808" s="268"/>
      <c r="Y808" s="268"/>
      <c r="Z808" s="268"/>
    </row>
    <row r="809" spans="1:26" ht="24.75" customHeight="1">
      <c r="A809" s="268"/>
      <c r="B809" s="268"/>
      <c r="C809" s="268"/>
      <c r="D809" s="268"/>
      <c r="E809" s="268"/>
      <c r="F809" s="268"/>
      <c r="G809" s="268"/>
      <c r="H809" s="268"/>
      <c r="I809" s="268"/>
      <c r="J809" s="268"/>
      <c r="K809" s="268"/>
      <c r="L809" s="268"/>
      <c r="M809" s="268"/>
      <c r="N809" s="268"/>
      <c r="O809" s="268"/>
      <c r="P809" s="310"/>
      <c r="Q809" s="268"/>
      <c r="R809" s="309"/>
      <c r="S809" s="268"/>
      <c r="T809" s="313"/>
      <c r="U809" s="313"/>
      <c r="V809" s="268"/>
      <c r="W809" s="268"/>
      <c r="X809" s="268"/>
      <c r="Y809" s="268"/>
      <c r="Z809" s="268"/>
    </row>
    <row r="810" spans="1:26" ht="24.75" customHeight="1">
      <c r="A810" s="268"/>
      <c r="B810" s="268"/>
      <c r="C810" s="268"/>
      <c r="D810" s="268"/>
      <c r="E810" s="268"/>
      <c r="F810" s="268"/>
      <c r="G810" s="268"/>
      <c r="H810" s="268"/>
      <c r="I810" s="268"/>
      <c r="J810" s="268"/>
      <c r="K810" s="268"/>
      <c r="L810" s="268"/>
      <c r="M810" s="268"/>
      <c r="N810" s="268"/>
      <c r="O810" s="268"/>
      <c r="P810" s="310"/>
      <c r="Q810" s="268"/>
      <c r="R810" s="309"/>
      <c r="S810" s="268"/>
      <c r="T810" s="313"/>
      <c r="U810" s="313"/>
      <c r="V810" s="268"/>
      <c r="W810" s="268"/>
      <c r="X810" s="268"/>
      <c r="Y810" s="268"/>
      <c r="Z810" s="268"/>
    </row>
    <row r="811" spans="1:26" ht="24.75" customHeight="1">
      <c r="A811" s="268"/>
      <c r="B811" s="268"/>
      <c r="C811" s="268"/>
      <c r="D811" s="268"/>
      <c r="E811" s="268"/>
      <c r="F811" s="268"/>
      <c r="G811" s="268"/>
      <c r="H811" s="268"/>
      <c r="I811" s="268"/>
      <c r="J811" s="268"/>
      <c r="K811" s="268"/>
      <c r="L811" s="268"/>
      <c r="M811" s="268"/>
      <c r="N811" s="268"/>
      <c r="O811" s="268"/>
      <c r="P811" s="310"/>
      <c r="Q811" s="268"/>
      <c r="R811" s="309"/>
      <c r="S811" s="268"/>
      <c r="T811" s="313"/>
      <c r="U811" s="313"/>
      <c r="V811" s="268"/>
      <c r="W811" s="268"/>
      <c r="X811" s="268"/>
      <c r="Y811" s="268"/>
      <c r="Z811" s="268"/>
    </row>
    <row r="812" spans="1:26" ht="24.75" customHeight="1">
      <c r="A812" s="268"/>
      <c r="B812" s="268"/>
      <c r="C812" s="268"/>
      <c r="D812" s="268"/>
      <c r="E812" s="268"/>
      <c r="F812" s="268"/>
      <c r="G812" s="268"/>
      <c r="H812" s="268"/>
      <c r="I812" s="268"/>
      <c r="J812" s="268"/>
      <c r="K812" s="268"/>
      <c r="L812" s="268"/>
      <c r="M812" s="268"/>
      <c r="N812" s="268"/>
      <c r="O812" s="268"/>
      <c r="P812" s="310"/>
      <c r="Q812" s="268"/>
      <c r="R812" s="309"/>
      <c r="S812" s="268"/>
      <c r="T812" s="313"/>
      <c r="U812" s="313"/>
      <c r="V812" s="268"/>
      <c r="W812" s="268"/>
      <c r="X812" s="268"/>
      <c r="Y812" s="268"/>
      <c r="Z812" s="268"/>
    </row>
    <row r="813" spans="1:26" ht="24.75" customHeight="1">
      <c r="A813" s="268"/>
      <c r="B813" s="268"/>
      <c r="C813" s="268"/>
      <c r="D813" s="268"/>
      <c r="E813" s="268"/>
      <c r="F813" s="268"/>
      <c r="G813" s="268"/>
      <c r="H813" s="268"/>
      <c r="I813" s="268"/>
      <c r="J813" s="268"/>
      <c r="K813" s="268"/>
      <c r="L813" s="268"/>
      <c r="M813" s="268"/>
      <c r="N813" s="268"/>
      <c r="O813" s="268"/>
      <c r="P813" s="310"/>
      <c r="Q813" s="268"/>
      <c r="R813" s="309"/>
      <c r="S813" s="268"/>
      <c r="T813" s="313"/>
      <c r="U813" s="313"/>
      <c r="V813" s="268"/>
      <c r="W813" s="268"/>
      <c r="X813" s="268"/>
      <c r="Y813" s="268"/>
      <c r="Z813" s="268"/>
    </row>
    <row r="814" spans="1:26" ht="24.75" customHeight="1">
      <c r="A814" s="268"/>
      <c r="B814" s="268"/>
      <c r="C814" s="268"/>
      <c r="D814" s="268"/>
      <c r="E814" s="268"/>
      <c r="F814" s="268"/>
      <c r="G814" s="268"/>
      <c r="H814" s="268"/>
      <c r="I814" s="268"/>
      <c r="J814" s="268"/>
      <c r="K814" s="268"/>
      <c r="L814" s="268"/>
      <c r="M814" s="268"/>
      <c r="N814" s="268"/>
      <c r="O814" s="268"/>
      <c r="P814" s="310"/>
      <c r="Q814" s="268"/>
      <c r="R814" s="309"/>
      <c r="S814" s="268"/>
      <c r="T814" s="313"/>
      <c r="U814" s="313"/>
      <c r="V814" s="268"/>
      <c r="W814" s="268"/>
      <c r="X814" s="268"/>
      <c r="Y814" s="268"/>
      <c r="Z814" s="268"/>
    </row>
    <row r="815" spans="1:26" ht="24.75" customHeight="1">
      <c r="A815" s="268"/>
      <c r="B815" s="268"/>
      <c r="C815" s="268"/>
      <c r="D815" s="268"/>
      <c r="E815" s="268"/>
      <c r="F815" s="268"/>
      <c r="G815" s="268"/>
      <c r="H815" s="268"/>
      <c r="I815" s="268"/>
      <c r="J815" s="268"/>
      <c r="K815" s="268"/>
      <c r="L815" s="268"/>
      <c r="M815" s="268"/>
      <c r="N815" s="268"/>
      <c r="O815" s="268"/>
      <c r="P815" s="310"/>
      <c r="Q815" s="268"/>
      <c r="R815" s="309"/>
      <c r="S815" s="268"/>
      <c r="T815" s="313"/>
      <c r="U815" s="313"/>
      <c r="V815" s="268"/>
      <c r="W815" s="268"/>
      <c r="X815" s="268"/>
      <c r="Y815" s="268"/>
      <c r="Z815" s="268"/>
    </row>
    <row r="816" spans="1:26" ht="24.75" customHeight="1">
      <c r="A816" s="268"/>
      <c r="B816" s="268"/>
      <c r="C816" s="268"/>
      <c r="D816" s="268"/>
      <c r="E816" s="268"/>
      <c r="F816" s="268"/>
      <c r="G816" s="268"/>
      <c r="H816" s="268"/>
      <c r="I816" s="268"/>
      <c r="J816" s="268"/>
      <c r="K816" s="268"/>
      <c r="L816" s="268"/>
      <c r="M816" s="268"/>
      <c r="N816" s="268"/>
      <c r="O816" s="268"/>
      <c r="P816" s="310"/>
      <c r="Q816" s="268"/>
      <c r="R816" s="309"/>
      <c r="S816" s="268"/>
      <c r="T816" s="313"/>
      <c r="U816" s="313"/>
      <c r="V816" s="268"/>
      <c r="W816" s="268"/>
      <c r="X816" s="268"/>
      <c r="Y816" s="268"/>
      <c r="Z816" s="268"/>
    </row>
    <row r="817" spans="1:26" ht="24.75" customHeight="1">
      <c r="A817" s="268"/>
      <c r="B817" s="268"/>
      <c r="C817" s="268"/>
      <c r="D817" s="268"/>
      <c r="E817" s="268"/>
      <c r="F817" s="268"/>
      <c r="G817" s="268"/>
      <c r="H817" s="268"/>
      <c r="I817" s="268"/>
      <c r="J817" s="268"/>
      <c r="K817" s="268"/>
      <c r="L817" s="268"/>
      <c r="M817" s="268"/>
      <c r="N817" s="268"/>
      <c r="O817" s="268"/>
      <c r="P817" s="310"/>
      <c r="Q817" s="268"/>
      <c r="R817" s="309"/>
      <c r="S817" s="268"/>
      <c r="T817" s="313"/>
      <c r="U817" s="313"/>
      <c r="V817" s="268"/>
      <c r="W817" s="268"/>
      <c r="X817" s="268"/>
      <c r="Y817" s="268"/>
      <c r="Z817" s="268"/>
    </row>
    <row r="818" spans="1:26" ht="24.75" customHeight="1">
      <c r="A818" s="268"/>
      <c r="B818" s="268"/>
      <c r="C818" s="268"/>
      <c r="D818" s="268"/>
      <c r="E818" s="268"/>
      <c r="F818" s="268"/>
      <c r="G818" s="268"/>
      <c r="H818" s="268"/>
      <c r="I818" s="268"/>
      <c r="J818" s="268"/>
      <c r="K818" s="268"/>
      <c r="L818" s="268"/>
      <c r="M818" s="268"/>
      <c r="N818" s="268"/>
      <c r="O818" s="268"/>
      <c r="P818" s="310"/>
      <c r="Q818" s="268"/>
      <c r="R818" s="309"/>
      <c r="S818" s="268"/>
      <c r="T818" s="313"/>
      <c r="U818" s="313"/>
      <c r="V818" s="268"/>
      <c r="W818" s="268"/>
      <c r="X818" s="268"/>
      <c r="Y818" s="268"/>
      <c r="Z818" s="268"/>
    </row>
    <row r="819" spans="1:26" ht="24.75" customHeight="1">
      <c r="A819" s="268"/>
      <c r="B819" s="268"/>
      <c r="C819" s="268"/>
      <c r="D819" s="268"/>
      <c r="E819" s="268"/>
      <c r="F819" s="268"/>
      <c r="G819" s="268"/>
      <c r="H819" s="268"/>
      <c r="I819" s="268"/>
      <c r="J819" s="268"/>
      <c r="K819" s="268"/>
      <c r="L819" s="268"/>
      <c r="M819" s="268"/>
      <c r="N819" s="268"/>
      <c r="O819" s="268"/>
      <c r="P819" s="310"/>
      <c r="Q819" s="268"/>
      <c r="R819" s="309"/>
      <c r="S819" s="268"/>
      <c r="T819" s="313"/>
      <c r="U819" s="313"/>
      <c r="V819" s="268"/>
      <c r="W819" s="268"/>
      <c r="X819" s="268"/>
      <c r="Y819" s="268"/>
      <c r="Z819" s="268"/>
    </row>
    <row r="820" spans="1:26" ht="24.75" customHeight="1">
      <c r="A820" s="268"/>
      <c r="B820" s="268"/>
      <c r="C820" s="268"/>
      <c r="D820" s="268"/>
      <c r="E820" s="268"/>
      <c r="F820" s="268"/>
      <c r="G820" s="268"/>
      <c r="H820" s="268"/>
      <c r="I820" s="268"/>
      <c r="J820" s="268"/>
      <c r="K820" s="268"/>
      <c r="L820" s="268"/>
      <c r="M820" s="268"/>
      <c r="N820" s="268"/>
      <c r="O820" s="268"/>
      <c r="P820" s="310"/>
      <c r="Q820" s="268"/>
      <c r="R820" s="309"/>
      <c r="S820" s="268"/>
      <c r="T820" s="313"/>
      <c r="U820" s="313"/>
      <c r="V820" s="268"/>
      <c r="W820" s="268"/>
      <c r="X820" s="268"/>
      <c r="Y820" s="268"/>
      <c r="Z820" s="268"/>
    </row>
    <row r="821" spans="1:26" ht="24.75" customHeight="1">
      <c r="A821" s="268"/>
      <c r="B821" s="268"/>
      <c r="C821" s="268"/>
      <c r="D821" s="268"/>
      <c r="E821" s="268"/>
      <c r="F821" s="268"/>
      <c r="G821" s="268"/>
      <c r="H821" s="268"/>
      <c r="I821" s="268"/>
      <c r="J821" s="268"/>
      <c r="K821" s="268"/>
      <c r="L821" s="268"/>
      <c r="M821" s="268"/>
      <c r="N821" s="268"/>
      <c r="O821" s="268"/>
      <c r="P821" s="310"/>
      <c r="Q821" s="268"/>
      <c r="R821" s="309"/>
      <c r="S821" s="268"/>
      <c r="T821" s="313"/>
      <c r="U821" s="313"/>
      <c r="V821" s="268"/>
      <c r="W821" s="268"/>
      <c r="X821" s="268"/>
      <c r="Y821" s="268"/>
      <c r="Z821" s="268"/>
    </row>
    <row r="822" spans="1:26" ht="24.75" customHeight="1">
      <c r="A822" s="268"/>
      <c r="B822" s="268"/>
      <c r="C822" s="268"/>
      <c r="D822" s="268"/>
      <c r="E822" s="268"/>
      <c r="F822" s="268"/>
      <c r="G822" s="268"/>
      <c r="H822" s="268"/>
      <c r="I822" s="268"/>
      <c r="J822" s="268"/>
      <c r="K822" s="268"/>
      <c r="L822" s="268"/>
      <c r="M822" s="268"/>
      <c r="N822" s="268"/>
      <c r="O822" s="268"/>
      <c r="P822" s="310"/>
      <c r="Q822" s="268"/>
      <c r="R822" s="309"/>
      <c r="S822" s="268"/>
      <c r="T822" s="313"/>
      <c r="U822" s="313"/>
      <c r="V822" s="268"/>
      <c r="W822" s="268"/>
      <c r="X822" s="268"/>
      <c r="Y822" s="268"/>
      <c r="Z822" s="268"/>
    </row>
    <row r="823" spans="1:26" ht="24.75" customHeight="1">
      <c r="A823" s="268"/>
      <c r="B823" s="268"/>
      <c r="C823" s="268"/>
      <c r="D823" s="268"/>
      <c r="E823" s="268"/>
      <c r="F823" s="268"/>
      <c r="G823" s="268"/>
      <c r="H823" s="268"/>
      <c r="I823" s="268"/>
      <c r="J823" s="268"/>
      <c r="K823" s="268"/>
      <c r="L823" s="268"/>
      <c r="M823" s="268"/>
      <c r="N823" s="268"/>
      <c r="O823" s="268"/>
      <c r="P823" s="310"/>
      <c r="Q823" s="268"/>
      <c r="R823" s="309"/>
      <c r="S823" s="268"/>
      <c r="T823" s="313"/>
      <c r="U823" s="313"/>
      <c r="V823" s="268"/>
      <c r="W823" s="268"/>
      <c r="X823" s="268"/>
      <c r="Y823" s="268"/>
      <c r="Z823" s="268"/>
    </row>
    <row r="824" spans="1:26" ht="24.75" customHeight="1">
      <c r="A824" s="268"/>
      <c r="B824" s="268"/>
      <c r="C824" s="268"/>
      <c r="D824" s="268"/>
      <c r="E824" s="268"/>
      <c r="F824" s="268"/>
      <c r="G824" s="268"/>
      <c r="H824" s="268"/>
      <c r="I824" s="268"/>
      <c r="J824" s="268"/>
      <c r="K824" s="268"/>
      <c r="L824" s="268"/>
      <c r="M824" s="268"/>
      <c r="N824" s="268"/>
      <c r="O824" s="268"/>
      <c r="P824" s="310"/>
      <c r="Q824" s="268"/>
      <c r="R824" s="309"/>
      <c r="S824" s="268"/>
      <c r="T824" s="313"/>
      <c r="U824" s="313"/>
      <c r="V824" s="268"/>
      <c r="W824" s="268"/>
      <c r="X824" s="268"/>
      <c r="Y824" s="268"/>
      <c r="Z824" s="268"/>
    </row>
    <row r="825" spans="1:26" ht="24.75" customHeight="1">
      <c r="A825" s="268"/>
      <c r="B825" s="268"/>
      <c r="C825" s="268"/>
      <c r="D825" s="268"/>
      <c r="E825" s="268"/>
      <c r="F825" s="268"/>
      <c r="G825" s="268"/>
      <c r="H825" s="268"/>
      <c r="I825" s="268"/>
      <c r="J825" s="268"/>
      <c r="K825" s="268"/>
      <c r="L825" s="268"/>
      <c r="M825" s="268"/>
      <c r="N825" s="268"/>
      <c r="O825" s="268"/>
      <c r="P825" s="310"/>
      <c r="Q825" s="268"/>
      <c r="R825" s="309"/>
      <c r="S825" s="268"/>
      <c r="T825" s="313"/>
      <c r="U825" s="313"/>
      <c r="V825" s="268"/>
      <c r="W825" s="268"/>
      <c r="X825" s="268"/>
      <c r="Y825" s="268"/>
      <c r="Z825" s="268"/>
    </row>
    <row r="826" spans="1:26" ht="24.75" customHeight="1">
      <c r="A826" s="268"/>
      <c r="B826" s="268"/>
      <c r="C826" s="268"/>
      <c r="D826" s="268"/>
      <c r="E826" s="268"/>
      <c r="F826" s="268"/>
      <c r="G826" s="268"/>
      <c r="H826" s="268"/>
      <c r="I826" s="268"/>
      <c r="J826" s="268"/>
      <c r="K826" s="268"/>
      <c r="L826" s="268"/>
      <c r="M826" s="268"/>
      <c r="N826" s="268"/>
      <c r="O826" s="268"/>
      <c r="P826" s="310"/>
      <c r="Q826" s="268"/>
      <c r="R826" s="309"/>
      <c r="S826" s="268"/>
      <c r="T826" s="313"/>
      <c r="U826" s="313"/>
      <c r="V826" s="268"/>
      <c r="W826" s="268"/>
      <c r="X826" s="268"/>
      <c r="Y826" s="268"/>
      <c r="Z826" s="268"/>
    </row>
    <row r="827" spans="1:26" ht="24.75" customHeight="1">
      <c r="A827" s="268"/>
      <c r="B827" s="268"/>
      <c r="C827" s="268"/>
      <c r="D827" s="268"/>
      <c r="E827" s="268"/>
      <c r="F827" s="268"/>
      <c r="G827" s="268"/>
      <c r="H827" s="268"/>
      <c r="I827" s="268"/>
      <c r="J827" s="268"/>
      <c r="K827" s="268"/>
      <c r="L827" s="268"/>
      <c r="M827" s="268"/>
      <c r="N827" s="268"/>
      <c r="O827" s="268"/>
      <c r="P827" s="310"/>
      <c r="Q827" s="268"/>
      <c r="R827" s="309"/>
      <c r="S827" s="268"/>
      <c r="T827" s="313"/>
      <c r="U827" s="313"/>
      <c r="V827" s="268"/>
      <c r="W827" s="268"/>
      <c r="X827" s="268"/>
      <c r="Y827" s="268"/>
      <c r="Z827" s="268"/>
    </row>
    <row r="828" spans="1:26" ht="24.75" customHeight="1">
      <c r="A828" s="268"/>
      <c r="B828" s="268"/>
      <c r="C828" s="268"/>
      <c r="D828" s="268"/>
      <c r="E828" s="268"/>
      <c r="F828" s="268"/>
      <c r="G828" s="268"/>
      <c r="H828" s="268"/>
      <c r="I828" s="268"/>
      <c r="J828" s="268"/>
      <c r="K828" s="268"/>
      <c r="L828" s="268"/>
      <c r="M828" s="268"/>
      <c r="N828" s="268"/>
      <c r="O828" s="268"/>
      <c r="P828" s="310"/>
      <c r="Q828" s="268"/>
      <c r="R828" s="309"/>
      <c r="S828" s="268"/>
      <c r="T828" s="313"/>
      <c r="U828" s="313"/>
      <c r="V828" s="268"/>
      <c r="W828" s="268"/>
      <c r="X828" s="268"/>
      <c r="Y828" s="268"/>
      <c r="Z828" s="268"/>
    </row>
    <row r="829" spans="1:26" ht="24.75" customHeight="1">
      <c r="A829" s="268"/>
      <c r="B829" s="268"/>
      <c r="C829" s="268"/>
      <c r="D829" s="268"/>
      <c r="E829" s="268"/>
      <c r="F829" s="268"/>
      <c r="G829" s="268"/>
      <c r="H829" s="268"/>
      <c r="I829" s="268"/>
      <c r="J829" s="268"/>
      <c r="K829" s="268"/>
      <c r="L829" s="268"/>
      <c r="M829" s="268"/>
      <c r="N829" s="268"/>
      <c r="O829" s="268"/>
      <c r="P829" s="310"/>
      <c r="Q829" s="268"/>
      <c r="R829" s="309"/>
      <c r="S829" s="268"/>
      <c r="T829" s="313"/>
      <c r="U829" s="313"/>
      <c r="V829" s="268"/>
      <c r="W829" s="268"/>
      <c r="X829" s="268"/>
      <c r="Y829" s="268"/>
      <c r="Z829" s="268"/>
    </row>
    <row r="830" spans="1:26" ht="24.75" customHeight="1">
      <c r="A830" s="268"/>
      <c r="B830" s="268"/>
      <c r="C830" s="268"/>
      <c r="D830" s="268"/>
      <c r="E830" s="268"/>
      <c r="F830" s="268"/>
      <c r="G830" s="268"/>
      <c r="H830" s="268"/>
      <c r="I830" s="268"/>
      <c r="J830" s="268"/>
      <c r="K830" s="268"/>
      <c r="L830" s="268"/>
      <c r="M830" s="268"/>
      <c r="N830" s="268"/>
      <c r="O830" s="268"/>
      <c r="P830" s="310"/>
      <c r="Q830" s="268"/>
      <c r="R830" s="309"/>
      <c r="S830" s="268"/>
      <c r="T830" s="313"/>
      <c r="U830" s="313"/>
      <c r="V830" s="268"/>
      <c r="W830" s="268"/>
      <c r="X830" s="268"/>
      <c r="Y830" s="268"/>
      <c r="Z830" s="268"/>
    </row>
    <row r="831" spans="1:26" ht="24.75" customHeight="1">
      <c r="A831" s="268"/>
      <c r="B831" s="268"/>
      <c r="C831" s="268"/>
      <c r="D831" s="268"/>
      <c r="E831" s="268"/>
      <c r="F831" s="268"/>
      <c r="G831" s="268"/>
      <c r="H831" s="268"/>
      <c r="I831" s="268"/>
      <c r="J831" s="268"/>
      <c r="K831" s="268"/>
      <c r="L831" s="268"/>
      <c r="M831" s="268"/>
      <c r="N831" s="268"/>
      <c r="O831" s="268"/>
      <c r="P831" s="310"/>
      <c r="Q831" s="268"/>
      <c r="R831" s="309"/>
      <c r="S831" s="268"/>
      <c r="T831" s="313"/>
      <c r="U831" s="313"/>
      <c r="V831" s="268"/>
      <c r="W831" s="268"/>
      <c r="X831" s="268"/>
      <c r="Y831" s="268"/>
      <c r="Z831" s="268"/>
    </row>
    <row r="832" spans="1:26" ht="24.75" customHeight="1">
      <c r="A832" s="268"/>
      <c r="B832" s="268"/>
      <c r="C832" s="268"/>
      <c r="D832" s="268"/>
      <c r="E832" s="268"/>
      <c r="F832" s="268"/>
      <c r="G832" s="268"/>
      <c r="H832" s="268"/>
      <c r="I832" s="268"/>
      <c r="J832" s="268"/>
      <c r="K832" s="268"/>
      <c r="L832" s="268"/>
      <c r="M832" s="268"/>
      <c r="N832" s="268"/>
      <c r="O832" s="268"/>
      <c r="P832" s="310"/>
      <c r="Q832" s="268"/>
      <c r="R832" s="309"/>
      <c r="S832" s="268"/>
      <c r="T832" s="313"/>
      <c r="U832" s="313"/>
      <c r="V832" s="268"/>
      <c r="W832" s="268"/>
      <c r="X832" s="268"/>
      <c r="Y832" s="268"/>
      <c r="Z832" s="268"/>
    </row>
    <row r="833" spans="1:26" ht="24.75" customHeight="1">
      <c r="A833" s="268"/>
      <c r="B833" s="268"/>
      <c r="C833" s="268"/>
      <c r="D833" s="268"/>
      <c r="E833" s="268"/>
      <c r="F833" s="268"/>
      <c r="G833" s="268"/>
      <c r="H833" s="268"/>
      <c r="I833" s="268"/>
      <c r="J833" s="268"/>
      <c r="K833" s="268"/>
      <c r="L833" s="268"/>
      <c r="M833" s="268"/>
      <c r="N833" s="268"/>
      <c r="O833" s="268"/>
      <c r="P833" s="310"/>
      <c r="Q833" s="268"/>
      <c r="R833" s="309"/>
      <c r="S833" s="268"/>
      <c r="T833" s="313"/>
      <c r="U833" s="313"/>
      <c r="V833" s="268"/>
      <c r="W833" s="268"/>
      <c r="X833" s="268"/>
      <c r="Y833" s="268"/>
      <c r="Z833" s="268"/>
    </row>
    <row r="834" spans="1:26" ht="24.75" customHeight="1">
      <c r="A834" s="268"/>
      <c r="B834" s="268"/>
      <c r="C834" s="268"/>
      <c r="D834" s="268"/>
      <c r="E834" s="268"/>
      <c r="F834" s="268"/>
      <c r="G834" s="268"/>
      <c r="H834" s="268"/>
      <c r="I834" s="268"/>
      <c r="J834" s="268"/>
      <c r="K834" s="268"/>
      <c r="L834" s="268"/>
      <c r="M834" s="268"/>
      <c r="N834" s="268"/>
      <c r="O834" s="268"/>
      <c r="P834" s="310"/>
      <c r="Q834" s="268"/>
      <c r="R834" s="309"/>
      <c r="S834" s="268"/>
      <c r="T834" s="313"/>
      <c r="U834" s="313"/>
      <c r="V834" s="268"/>
      <c r="W834" s="268"/>
      <c r="X834" s="268"/>
      <c r="Y834" s="268"/>
      <c r="Z834" s="268"/>
    </row>
    <row r="835" spans="1:26" ht="24.75" customHeight="1">
      <c r="A835" s="268"/>
      <c r="B835" s="268"/>
      <c r="C835" s="268"/>
      <c r="D835" s="268"/>
      <c r="E835" s="268"/>
      <c r="F835" s="268"/>
      <c r="G835" s="268"/>
      <c r="H835" s="268"/>
      <c r="I835" s="268"/>
      <c r="J835" s="268"/>
      <c r="K835" s="268"/>
      <c r="L835" s="268"/>
      <c r="M835" s="268"/>
      <c r="N835" s="268"/>
      <c r="O835" s="268"/>
      <c r="P835" s="310"/>
      <c r="Q835" s="268"/>
      <c r="R835" s="309"/>
      <c r="S835" s="268"/>
      <c r="T835" s="313"/>
      <c r="U835" s="313"/>
      <c r="V835" s="268"/>
      <c r="W835" s="268"/>
      <c r="X835" s="268"/>
      <c r="Y835" s="268"/>
      <c r="Z835" s="268"/>
    </row>
    <row r="836" spans="1:26" ht="24.75" customHeight="1">
      <c r="A836" s="268"/>
      <c r="B836" s="268"/>
      <c r="C836" s="268"/>
      <c r="D836" s="268"/>
      <c r="E836" s="268"/>
      <c r="F836" s="268"/>
      <c r="G836" s="268"/>
      <c r="H836" s="268"/>
      <c r="I836" s="268"/>
      <c r="J836" s="268"/>
      <c r="K836" s="268"/>
      <c r="L836" s="268"/>
      <c r="M836" s="268"/>
      <c r="N836" s="268"/>
      <c r="O836" s="268"/>
      <c r="P836" s="310"/>
      <c r="Q836" s="268"/>
      <c r="R836" s="309"/>
      <c r="S836" s="268"/>
      <c r="T836" s="313"/>
      <c r="U836" s="313"/>
      <c r="V836" s="268"/>
      <c r="W836" s="268"/>
      <c r="X836" s="268"/>
      <c r="Y836" s="268"/>
      <c r="Z836" s="268"/>
    </row>
    <row r="837" spans="1:26" ht="24.75" customHeight="1">
      <c r="A837" s="268"/>
      <c r="B837" s="268"/>
      <c r="C837" s="268"/>
      <c r="D837" s="268"/>
      <c r="E837" s="268"/>
      <c r="F837" s="268"/>
      <c r="G837" s="268"/>
      <c r="H837" s="268"/>
      <c r="I837" s="268"/>
      <c r="J837" s="268"/>
      <c r="K837" s="268"/>
      <c r="L837" s="268"/>
      <c r="M837" s="268"/>
      <c r="N837" s="268"/>
      <c r="O837" s="268"/>
      <c r="P837" s="310"/>
      <c r="Q837" s="268"/>
      <c r="R837" s="309"/>
      <c r="S837" s="268"/>
      <c r="T837" s="313"/>
      <c r="U837" s="313"/>
      <c r="V837" s="268"/>
      <c r="W837" s="268"/>
      <c r="X837" s="268"/>
      <c r="Y837" s="268"/>
      <c r="Z837" s="268"/>
    </row>
    <row r="838" spans="1:26" ht="24.75" customHeight="1">
      <c r="A838" s="268"/>
      <c r="B838" s="268"/>
      <c r="C838" s="268"/>
      <c r="D838" s="268"/>
      <c r="E838" s="268"/>
      <c r="F838" s="268"/>
      <c r="G838" s="268"/>
      <c r="H838" s="268"/>
      <c r="I838" s="268"/>
      <c r="J838" s="268"/>
      <c r="K838" s="268"/>
      <c r="L838" s="268"/>
      <c r="M838" s="268"/>
      <c r="N838" s="268"/>
      <c r="O838" s="268"/>
      <c r="P838" s="310"/>
      <c r="Q838" s="268"/>
      <c r="R838" s="309"/>
      <c r="S838" s="268"/>
      <c r="T838" s="313"/>
      <c r="U838" s="313"/>
      <c r="V838" s="268"/>
      <c r="W838" s="268"/>
      <c r="X838" s="268"/>
      <c r="Y838" s="268"/>
      <c r="Z838" s="268"/>
    </row>
    <row r="839" spans="1:26" ht="24.75" customHeight="1">
      <c r="A839" s="268"/>
      <c r="B839" s="268"/>
      <c r="C839" s="268"/>
      <c r="D839" s="268"/>
      <c r="E839" s="268"/>
      <c r="F839" s="268"/>
      <c r="G839" s="268"/>
      <c r="H839" s="268"/>
      <c r="I839" s="268"/>
      <c r="J839" s="268"/>
      <c r="K839" s="268"/>
      <c r="L839" s="268"/>
      <c r="M839" s="268"/>
      <c r="N839" s="268"/>
      <c r="O839" s="268"/>
      <c r="P839" s="310"/>
      <c r="Q839" s="268"/>
      <c r="R839" s="309"/>
      <c r="S839" s="268"/>
      <c r="T839" s="313"/>
      <c r="U839" s="313"/>
      <c r="V839" s="268"/>
      <c r="W839" s="268"/>
      <c r="X839" s="268"/>
      <c r="Y839" s="268"/>
      <c r="Z839" s="268"/>
    </row>
    <row r="840" spans="1:26" ht="24.75" customHeight="1">
      <c r="A840" s="268"/>
      <c r="B840" s="268"/>
      <c r="C840" s="268"/>
      <c r="D840" s="268"/>
      <c r="E840" s="268"/>
      <c r="F840" s="268"/>
      <c r="G840" s="268"/>
      <c r="H840" s="268"/>
      <c r="I840" s="268"/>
      <c r="J840" s="268"/>
      <c r="K840" s="268"/>
      <c r="L840" s="268"/>
      <c r="M840" s="268"/>
      <c r="N840" s="268"/>
      <c r="O840" s="268"/>
      <c r="P840" s="310"/>
      <c r="Q840" s="268"/>
      <c r="R840" s="309"/>
      <c r="S840" s="268"/>
      <c r="T840" s="313"/>
      <c r="U840" s="313"/>
      <c r="V840" s="268"/>
      <c r="W840" s="268"/>
      <c r="X840" s="268"/>
      <c r="Y840" s="268"/>
      <c r="Z840" s="268"/>
    </row>
    <row r="841" spans="1:26" ht="24.75" customHeight="1">
      <c r="A841" s="268"/>
      <c r="B841" s="268"/>
      <c r="C841" s="268"/>
      <c r="D841" s="268"/>
      <c r="E841" s="268"/>
      <c r="F841" s="268"/>
      <c r="G841" s="268"/>
      <c r="H841" s="268"/>
      <c r="I841" s="268"/>
      <c r="J841" s="268"/>
      <c r="K841" s="268"/>
      <c r="L841" s="268"/>
      <c r="M841" s="268"/>
      <c r="N841" s="268"/>
      <c r="O841" s="268"/>
      <c r="P841" s="310"/>
      <c r="Q841" s="268"/>
      <c r="R841" s="309"/>
      <c r="S841" s="268"/>
      <c r="T841" s="313"/>
      <c r="U841" s="313"/>
      <c r="V841" s="268"/>
      <c r="W841" s="268"/>
      <c r="X841" s="268"/>
      <c r="Y841" s="268"/>
      <c r="Z841" s="268"/>
    </row>
    <row r="842" spans="1:26" ht="24.75" customHeight="1">
      <c r="A842" s="268"/>
      <c r="B842" s="268"/>
      <c r="C842" s="268"/>
      <c r="D842" s="268"/>
      <c r="E842" s="268"/>
      <c r="F842" s="268"/>
      <c r="G842" s="268"/>
      <c r="H842" s="268"/>
      <c r="I842" s="268"/>
      <c r="J842" s="268"/>
      <c r="K842" s="268"/>
      <c r="L842" s="268"/>
      <c r="M842" s="268"/>
      <c r="N842" s="268"/>
      <c r="O842" s="268"/>
      <c r="P842" s="310"/>
      <c r="Q842" s="268"/>
      <c r="R842" s="309"/>
      <c r="S842" s="268"/>
      <c r="T842" s="313"/>
      <c r="U842" s="313"/>
      <c r="V842" s="268"/>
      <c r="W842" s="268"/>
      <c r="X842" s="268"/>
      <c r="Y842" s="268"/>
      <c r="Z842" s="268"/>
    </row>
    <row r="843" spans="1:26" ht="24.75" customHeight="1">
      <c r="A843" s="268"/>
      <c r="B843" s="268"/>
      <c r="C843" s="268"/>
      <c r="D843" s="268"/>
      <c r="E843" s="268"/>
      <c r="F843" s="268"/>
      <c r="G843" s="268"/>
      <c r="H843" s="268"/>
      <c r="I843" s="268"/>
      <c r="J843" s="268"/>
      <c r="K843" s="268"/>
      <c r="L843" s="268"/>
      <c r="M843" s="268"/>
      <c r="N843" s="268"/>
      <c r="O843" s="268"/>
      <c r="P843" s="310"/>
      <c r="Q843" s="268"/>
      <c r="R843" s="309"/>
      <c r="S843" s="268"/>
      <c r="T843" s="313"/>
      <c r="U843" s="313"/>
      <c r="V843" s="268"/>
      <c r="W843" s="268"/>
      <c r="X843" s="268"/>
      <c r="Y843" s="268"/>
      <c r="Z843" s="268"/>
    </row>
    <row r="844" spans="1:26" ht="24.75" customHeight="1">
      <c r="A844" s="268"/>
      <c r="B844" s="268"/>
      <c r="C844" s="268"/>
      <c r="D844" s="268"/>
      <c r="E844" s="268"/>
      <c r="F844" s="268"/>
      <c r="G844" s="268"/>
      <c r="H844" s="268"/>
      <c r="I844" s="268"/>
      <c r="J844" s="268"/>
      <c r="K844" s="268"/>
      <c r="L844" s="268"/>
      <c r="M844" s="268"/>
      <c r="N844" s="268"/>
      <c r="O844" s="268"/>
      <c r="P844" s="310"/>
      <c r="Q844" s="268"/>
      <c r="R844" s="309"/>
      <c r="S844" s="268"/>
      <c r="T844" s="313"/>
      <c r="U844" s="313"/>
      <c r="V844" s="268"/>
      <c r="W844" s="268"/>
      <c r="X844" s="268"/>
      <c r="Y844" s="268"/>
      <c r="Z844" s="268"/>
    </row>
    <row r="845" spans="1:26" ht="24.75" customHeight="1">
      <c r="A845" s="268"/>
      <c r="B845" s="268"/>
      <c r="C845" s="268"/>
      <c r="D845" s="268"/>
      <c r="E845" s="268"/>
      <c r="F845" s="268"/>
      <c r="G845" s="268"/>
      <c r="H845" s="268"/>
      <c r="I845" s="268"/>
      <c r="J845" s="268"/>
      <c r="K845" s="268"/>
      <c r="L845" s="268"/>
      <c r="M845" s="268"/>
      <c r="N845" s="268"/>
      <c r="O845" s="268"/>
      <c r="P845" s="310"/>
      <c r="Q845" s="268"/>
      <c r="R845" s="309"/>
      <c r="S845" s="268"/>
      <c r="T845" s="313"/>
      <c r="U845" s="313"/>
      <c r="V845" s="268"/>
      <c r="W845" s="268"/>
      <c r="X845" s="268"/>
      <c r="Y845" s="268"/>
      <c r="Z845" s="268"/>
    </row>
    <row r="846" spans="1:26" ht="24.75" customHeight="1">
      <c r="A846" s="268"/>
      <c r="B846" s="268"/>
      <c r="C846" s="268"/>
      <c r="D846" s="268"/>
      <c r="E846" s="268"/>
      <c r="F846" s="268"/>
      <c r="G846" s="268"/>
      <c r="H846" s="268"/>
      <c r="I846" s="268"/>
      <c r="J846" s="268"/>
      <c r="K846" s="268"/>
      <c r="L846" s="268"/>
      <c r="M846" s="268"/>
      <c r="N846" s="268"/>
      <c r="O846" s="268"/>
      <c r="P846" s="310"/>
      <c r="Q846" s="268"/>
      <c r="R846" s="309"/>
      <c r="S846" s="268"/>
      <c r="T846" s="313"/>
      <c r="U846" s="313"/>
      <c r="V846" s="268"/>
      <c r="W846" s="268"/>
      <c r="X846" s="268"/>
      <c r="Y846" s="268"/>
      <c r="Z846" s="268"/>
    </row>
    <row r="847" spans="1:26" ht="24.75" customHeight="1">
      <c r="A847" s="268"/>
      <c r="B847" s="268"/>
      <c r="C847" s="268"/>
      <c r="D847" s="268"/>
      <c r="E847" s="268"/>
      <c r="F847" s="268"/>
      <c r="G847" s="268"/>
      <c r="H847" s="268"/>
      <c r="I847" s="268"/>
      <c r="J847" s="268"/>
      <c r="K847" s="268"/>
      <c r="L847" s="268"/>
      <c r="M847" s="268"/>
      <c r="N847" s="268"/>
      <c r="O847" s="268"/>
      <c r="P847" s="310"/>
      <c r="Q847" s="268"/>
      <c r="R847" s="309"/>
      <c r="S847" s="268"/>
      <c r="T847" s="313"/>
      <c r="U847" s="313"/>
      <c r="V847" s="268"/>
      <c r="W847" s="268"/>
      <c r="X847" s="268"/>
      <c r="Y847" s="268"/>
      <c r="Z847" s="268"/>
    </row>
    <row r="848" spans="1:26" ht="24.75" customHeight="1">
      <c r="A848" s="268"/>
      <c r="B848" s="268"/>
      <c r="C848" s="268"/>
      <c r="D848" s="268"/>
      <c r="E848" s="268"/>
      <c r="F848" s="268"/>
      <c r="G848" s="268"/>
      <c r="H848" s="268"/>
      <c r="I848" s="268"/>
      <c r="J848" s="268"/>
      <c r="K848" s="268"/>
      <c r="L848" s="268"/>
      <c r="M848" s="268"/>
      <c r="N848" s="268"/>
      <c r="O848" s="268"/>
      <c r="P848" s="310"/>
      <c r="Q848" s="268"/>
      <c r="R848" s="309"/>
      <c r="S848" s="268"/>
      <c r="T848" s="313"/>
      <c r="U848" s="313"/>
      <c r="V848" s="268"/>
      <c r="W848" s="268"/>
      <c r="X848" s="268"/>
      <c r="Y848" s="268"/>
      <c r="Z848" s="268"/>
    </row>
    <row r="849" spans="1:26" ht="24.75" customHeight="1">
      <c r="A849" s="268"/>
      <c r="B849" s="268"/>
      <c r="C849" s="268"/>
      <c r="D849" s="268"/>
      <c r="E849" s="268"/>
      <c r="F849" s="268"/>
      <c r="G849" s="268"/>
      <c r="H849" s="268"/>
      <c r="I849" s="268"/>
      <c r="J849" s="268"/>
      <c r="K849" s="268"/>
      <c r="L849" s="268"/>
      <c r="M849" s="268"/>
      <c r="N849" s="268"/>
      <c r="O849" s="268"/>
      <c r="P849" s="310"/>
      <c r="Q849" s="268"/>
      <c r="R849" s="309"/>
      <c r="S849" s="268"/>
      <c r="T849" s="313"/>
      <c r="U849" s="313"/>
      <c r="V849" s="268"/>
      <c r="W849" s="268"/>
      <c r="X849" s="268"/>
      <c r="Y849" s="268"/>
      <c r="Z849" s="268"/>
    </row>
    <row r="850" spans="1:26" ht="24.75" customHeight="1">
      <c r="A850" s="268"/>
      <c r="B850" s="268"/>
      <c r="C850" s="268"/>
      <c r="D850" s="268"/>
      <c r="E850" s="268"/>
      <c r="F850" s="268"/>
      <c r="G850" s="268"/>
      <c r="H850" s="268"/>
      <c r="I850" s="268"/>
      <c r="J850" s="268"/>
      <c r="K850" s="268"/>
      <c r="L850" s="268"/>
      <c r="M850" s="268"/>
      <c r="N850" s="268"/>
      <c r="O850" s="268"/>
      <c r="P850" s="310"/>
      <c r="Q850" s="268"/>
      <c r="R850" s="309"/>
      <c r="S850" s="268"/>
      <c r="T850" s="313"/>
      <c r="U850" s="313"/>
      <c r="V850" s="268"/>
      <c r="W850" s="268"/>
      <c r="X850" s="268"/>
      <c r="Y850" s="268"/>
      <c r="Z850" s="268"/>
    </row>
    <row r="851" spans="1:26" ht="24.75" customHeight="1">
      <c r="A851" s="268"/>
      <c r="B851" s="268"/>
      <c r="C851" s="268"/>
      <c r="D851" s="268"/>
      <c r="E851" s="268"/>
      <c r="F851" s="268"/>
      <c r="G851" s="268"/>
      <c r="H851" s="268"/>
      <c r="I851" s="268"/>
      <c r="J851" s="268"/>
      <c r="K851" s="268"/>
      <c r="L851" s="268"/>
      <c r="M851" s="268"/>
      <c r="N851" s="268"/>
      <c r="O851" s="268"/>
      <c r="P851" s="310"/>
      <c r="Q851" s="268"/>
      <c r="R851" s="309"/>
      <c r="S851" s="268"/>
      <c r="T851" s="313"/>
      <c r="U851" s="313"/>
      <c r="V851" s="268"/>
      <c r="W851" s="268"/>
      <c r="X851" s="268"/>
      <c r="Y851" s="268"/>
      <c r="Z851" s="268"/>
    </row>
    <row r="852" spans="1:26" ht="24.75" customHeight="1">
      <c r="A852" s="268"/>
      <c r="B852" s="268"/>
      <c r="C852" s="268"/>
      <c r="D852" s="268"/>
      <c r="E852" s="268"/>
      <c r="F852" s="268"/>
      <c r="G852" s="268"/>
      <c r="H852" s="268"/>
      <c r="I852" s="268"/>
      <c r="J852" s="268"/>
      <c r="K852" s="268"/>
      <c r="L852" s="268"/>
      <c r="M852" s="268"/>
      <c r="N852" s="268"/>
      <c r="O852" s="268"/>
      <c r="P852" s="310"/>
      <c r="Q852" s="268"/>
      <c r="R852" s="309"/>
      <c r="S852" s="268"/>
      <c r="T852" s="313"/>
      <c r="U852" s="313"/>
      <c r="V852" s="268"/>
      <c r="W852" s="268"/>
      <c r="X852" s="268"/>
      <c r="Y852" s="268"/>
      <c r="Z852" s="268"/>
    </row>
    <row r="853" spans="1:26" ht="24.75" customHeight="1">
      <c r="A853" s="268"/>
      <c r="B853" s="268"/>
      <c r="C853" s="268"/>
      <c r="D853" s="268"/>
      <c r="E853" s="268"/>
      <c r="F853" s="268"/>
      <c r="G853" s="268"/>
      <c r="H853" s="268"/>
      <c r="I853" s="268"/>
      <c r="J853" s="268"/>
      <c r="K853" s="268"/>
      <c r="L853" s="268"/>
      <c r="M853" s="268"/>
      <c r="N853" s="268"/>
      <c r="O853" s="268"/>
      <c r="P853" s="310"/>
      <c r="Q853" s="268"/>
      <c r="R853" s="309"/>
      <c r="S853" s="268"/>
      <c r="T853" s="313"/>
      <c r="U853" s="313"/>
      <c r="V853" s="268"/>
      <c r="W853" s="268"/>
      <c r="X853" s="268"/>
      <c r="Y853" s="268"/>
      <c r="Z853" s="268"/>
    </row>
    <row r="854" spans="1:26" ht="24.75" customHeight="1">
      <c r="A854" s="268"/>
      <c r="B854" s="268"/>
      <c r="C854" s="268"/>
      <c r="D854" s="268"/>
      <c r="E854" s="268"/>
      <c r="F854" s="268"/>
      <c r="G854" s="268"/>
      <c r="H854" s="268"/>
      <c r="I854" s="268"/>
      <c r="J854" s="268"/>
      <c r="K854" s="268"/>
      <c r="L854" s="268"/>
      <c r="M854" s="268"/>
      <c r="N854" s="268"/>
      <c r="O854" s="268"/>
      <c r="P854" s="310"/>
      <c r="Q854" s="268"/>
      <c r="R854" s="309"/>
      <c r="S854" s="268"/>
      <c r="T854" s="313"/>
      <c r="U854" s="313"/>
      <c r="V854" s="268"/>
      <c r="W854" s="268"/>
      <c r="X854" s="268"/>
      <c r="Y854" s="268"/>
      <c r="Z854" s="268"/>
    </row>
    <row r="855" spans="1:26" ht="24.75" customHeight="1">
      <c r="A855" s="268"/>
      <c r="B855" s="268"/>
      <c r="C855" s="268"/>
      <c r="D855" s="268"/>
      <c r="E855" s="268"/>
      <c r="F855" s="268"/>
      <c r="G855" s="268"/>
      <c r="H855" s="268"/>
      <c r="I855" s="268"/>
      <c r="J855" s="268"/>
      <c r="K855" s="268"/>
      <c r="L855" s="268"/>
      <c r="M855" s="268"/>
      <c r="N855" s="268"/>
      <c r="O855" s="268"/>
      <c r="P855" s="310"/>
      <c r="Q855" s="268"/>
      <c r="R855" s="309"/>
      <c r="S855" s="268"/>
      <c r="T855" s="313"/>
      <c r="U855" s="313"/>
      <c r="V855" s="268"/>
      <c r="W855" s="268"/>
      <c r="X855" s="268"/>
      <c r="Y855" s="268"/>
      <c r="Z855" s="268"/>
    </row>
    <row r="856" spans="1:26" ht="24.75" customHeight="1">
      <c r="A856" s="268"/>
      <c r="B856" s="268"/>
      <c r="C856" s="268"/>
      <c r="D856" s="268"/>
      <c r="E856" s="268"/>
      <c r="F856" s="268"/>
      <c r="G856" s="268"/>
      <c r="H856" s="268"/>
      <c r="I856" s="268"/>
      <c r="J856" s="268"/>
      <c r="K856" s="268"/>
      <c r="L856" s="268"/>
      <c r="M856" s="268"/>
      <c r="N856" s="268"/>
      <c r="O856" s="268"/>
      <c r="P856" s="310"/>
      <c r="Q856" s="268"/>
      <c r="R856" s="309"/>
      <c r="S856" s="268"/>
      <c r="T856" s="313"/>
      <c r="U856" s="313"/>
      <c r="V856" s="268"/>
      <c r="W856" s="268"/>
      <c r="X856" s="268"/>
      <c r="Y856" s="268"/>
      <c r="Z856" s="268"/>
    </row>
    <row r="857" spans="1:26" ht="24.75" customHeight="1">
      <c r="A857" s="268"/>
      <c r="B857" s="268"/>
      <c r="C857" s="268"/>
      <c r="D857" s="268"/>
      <c r="E857" s="268"/>
      <c r="F857" s="268"/>
      <c r="G857" s="268"/>
      <c r="H857" s="268"/>
      <c r="I857" s="268"/>
      <c r="J857" s="268"/>
      <c r="K857" s="268"/>
      <c r="L857" s="268"/>
      <c r="M857" s="268"/>
      <c r="N857" s="268"/>
      <c r="O857" s="268"/>
      <c r="P857" s="310"/>
      <c r="Q857" s="268"/>
      <c r="R857" s="309"/>
      <c r="S857" s="268"/>
      <c r="T857" s="313"/>
      <c r="U857" s="313"/>
      <c r="V857" s="268"/>
      <c r="W857" s="268"/>
      <c r="X857" s="268"/>
      <c r="Y857" s="268"/>
      <c r="Z857" s="268"/>
    </row>
    <row r="858" spans="1:26" ht="24.75" customHeight="1">
      <c r="A858" s="268"/>
      <c r="B858" s="268"/>
      <c r="C858" s="268"/>
      <c r="D858" s="268"/>
      <c r="E858" s="268"/>
      <c r="F858" s="268"/>
      <c r="G858" s="268"/>
      <c r="H858" s="268"/>
      <c r="I858" s="268"/>
      <c r="J858" s="268"/>
      <c r="K858" s="268"/>
      <c r="L858" s="268"/>
      <c r="M858" s="268"/>
      <c r="N858" s="268"/>
      <c r="O858" s="268"/>
      <c r="P858" s="310"/>
      <c r="Q858" s="268"/>
      <c r="R858" s="309"/>
      <c r="S858" s="268"/>
      <c r="T858" s="313"/>
      <c r="U858" s="313"/>
      <c r="V858" s="268"/>
      <c r="W858" s="268"/>
      <c r="X858" s="268"/>
      <c r="Y858" s="268"/>
      <c r="Z858" s="268"/>
    </row>
    <row r="859" spans="1:26" ht="24.75" customHeight="1">
      <c r="A859" s="268"/>
      <c r="B859" s="268"/>
      <c r="C859" s="268"/>
      <c r="D859" s="268"/>
      <c r="E859" s="268"/>
      <c r="F859" s="268"/>
      <c r="G859" s="268"/>
      <c r="H859" s="268"/>
      <c r="I859" s="268"/>
      <c r="J859" s="268"/>
      <c r="K859" s="268"/>
      <c r="L859" s="268"/>
      <c r="M859" s="268"/>
      <c r="N859" s="268"/>
      <c r="O859" s="268"/>
      <c r="P859" s="310"/>
      <c r="Q859" s="268"/>
      <c r="R859" s="309"/>
      <c r="S859" s="268"/>
      <c r="T859" s="313"/>
      <c r="U859" s="313"/>
      <c r="V859" s="268"/>
      <c r="W859" s="268"/>
      <c r="X859" s="268"/>
      <c r="Y859" s="268"/>
      <c r="Z859" s="268"/>
    </row>
    <row r="860" spans="1:26" ht="24.75" customHeight="1">
      <c r="A860" s="268"/>
      <c r="B860" s="268"/>
      <c r="C860" s="268"/>
      <c r="D860" s="268"/>
      <c r="E860" s="268"/>
      <c r="F860" s="268"/>
      <c r="G860" s="268"/>
      <c r="H860" s="268"/>
      <c r="I860" s="268"/>
      <c r="J860" s="268"/>
      <c r="K860" s="268"/>
      <c r="L860" s="268"/>
      <c r="M860" s="268"/>
      <c r="N860" s="268"/>
      <c r="O860" s="268"/>
      <c r="P860" s="310"/>
      <c r="Q860" s="268"/>
      <c r="R860" s="309"/>
      <c r="S860" s="268"/>
      <c r="T860" s="313"/>
      <c r="U860" s="313"/>
      <c r="V860" s="268"/>
      <c r="W860" s="268"/>
      <c r="X860" s="268"/>
      <c r="Y860" s="268"/>
      <c r="Z860" s="268"/>
    </row>
    <row r="861" spans="1:26" ht="24.75" customHeight="1">
      <c r="A861" s="268"/>
      <c r="B861" s="268"/>
      <c r="C861" s="268"/>
      <c r="D861" s="268"/>
      <c r="E861" s="268"/>
      <c r="F861" s="268"/>
      <c r="G861" s="268"/>
      <c r="H861" s="268"/>
      <c r="I861" s="268"/>
      <c r="J861" s="268"/>
      <c r="K861" s="268"/>
      <c r="L861" s="268"/>
      <c r="M861" s="268"/>
      <c r="N861" s="268"/>
      <c r="O861" s="268"/>
      <c r="P861" s="310"/>
      <c r="Q861" s="268"/>
      <c r="R861" s="309"/>
      <c r="S861" s="268"/>
      <c r="T861" s="313"/>
      <c r="U861" s="313"/>
      <c r="V861" s="268"/>
      <c r="W861" s="268"/>
      <c r="X861" s="268"/>
      <c r="Y861" s="268"/>
      <c r="Z861" s="268"/>
    </row>
    <row r="862" spans="1:26" ht="24.75" customHeight="1">
      <c r="A862" s="268"/>
      <c r="B862" s="268"/>
      <c r="C862" s="268"/>
      <c r="D862" s="268"/>
      <c r="E862" s="268"/>
      <c r="F862" s="268"/>
      <c r="G862" s="268"/>
      <c r="H862" s="268"/>
      <c r="I862" s="268"/>
      <c r="J862" s="268"/>
      <c r="K862" s="268"/>
      <c r="L862" s="268"/>
      <c r="M862" s="268"/>
      <c r="N862" s="268"/>
      <c r="O862" s="268"/>
      <c r="P862" s="310"/>
      <c r="Q862" s="268"/>
      <c r="R862" s="309"/>
      <c r="S862" s="268"/>
      <c r="T862" s="313"/>
      <c r="U862" s="313"/>
      <c r="V862" s="268"/>
      <c r="W862" s="268"/>
      <c r="X862" s="268"/>
      <c r="Y862" s="268"/>
      <c r="Z862" s="268"/>
    </row>
    <row r="863" spans="1:26" ht="24.75" customHeight="1">
      <c r="A863" s="268"/>
      <c r="B863" s="268"/>
      <c r="C863" s="268"/>
      <c r="D863" s="268"/>
      <c r="E863" s="268"/>
      <c r="F863" s="268"/>
      <c r="G863" s="268"/>
      <c r="H863" s="268"/>
      <c r="I863" s="268"/>
      <c r="J863" s="268"/>
      <c r="K863" s="268"/>
      <c r="L863" s="268"/>
      <c r="M863" s="268"/>
      <c r="N863" s="268"/>
      <c r="O863" s="268"/>
      <c r="P863" s="310"/>
      <c r="Q863" s="268"/>
      <c r="R863" s="309"/>
      <c r="S863" s="268"/>
      <c r="T863" s="313"/>
      <c r="U863" s="313"/>
      <c r="V863" s="268"/>
      <c r="W863" s="268"/>
      <c r="X863" s="268"/>
      <c r="Y863" s="268"/>
      <c r="Z863" s="268"/>
    </row>
    <row r="864" spans="1:26" ht="24.75" customHeight="1">
      <c r="A864" s="268"/>
      <c r="B864" s="268"/>
      <c r="C864" s="268"/>
      <c r="D864" s="268"/>
      <c r="E864" s="268"/>
      <c r="F864" s="268"/>
      <c r="G864" s="268"/>
      <c r="H864" s="268"/>
      <c r="I864" s="268"/>
      <c r="J864" s="268"/>
      <c r="K864" s="268"/>
      <c r="L864" s="268"/>
      <c r="M864" s="268"/>
      <c r="N864" s="268"/>
      <c r="O864" s="268"/>
      <c r="P864" s="310"/>
      <c r="Q864" s="268"/>
      <c r="R864" s="309"/>
      <c r="S864" s="268"/>
      <c r="T864" s="313"/>
      <c r="U864" s="313"/>
      <c r="V864" s="268"/>
      <c r="W864" s="268"/>
      <c r="X864" s="268"/>
      <c r="Y864" s="268"/>
      <c r="Z864" s="268"/>
    </row>
    <row r="865" spans="1:26" ht="24.75" customHeight="1">
      <c r="A865" s="268"/>
      <c r="B865" s="268"/>
      <c r="C865" s="268"/>
      <c r="D865" s="268"/>
      <c r="E865" s="268"/>
      <c r="F865" s="268"/>
      <c r="G865" s="268"/>
      <c r="H865" s="268"/>
      <c r="I865" s="268"/>
      <c r="J865" s="268"/>
      <c r="K865" s="268"/>
      <c r="L865" s="268"/>
      <c r="M865" s="268"/>
      <c r="N865" s="268"/>
      <c r="O865" s="268"/>
      <c r="P865" s="310"/>
      <c r="Q865" s="268"/>
      <c r="R865" s="309"/>
      <c r="S865" s="268"/>
      <c r="T865" s="313"/>
      <c r="U865" s="313"/>
      <c r="V865" s="268"/>
      <c r="W865" s="268"/>
      <c r="X865" s="268"/>
      <c r="Y865" s="268"/>
      <c r="Z865" s="268"/>
    </row>
    <row r="866" spans="1:26" ht="24.75" customHeight="1">
      <c r="A866" s="268"/>
      <c r="B866" s="268"/>
      <c r="C866" s="268"/>
      <c r="D866" s="268"/>
      <c r="E866" s="268"/>
      <c r="F866" s="268"/>
      <c r="G866" s="268"/>
      <c r="H866" s="268"/>
      <c r="I866" s="268"/>
      <c r="J866" s="268"/>
      <c r="K866" s="268"/>
      <c r="L866" s="268"/>
      <c r="M866" s="268"/>
      <c r="N866" s="268"/>
      <c r="O866" s="268"/>
      <c r="P866" s="310"/>
      <c r="Q866" s="268"/>
      <c r="R866" s="309"/>
      <c r="S866" s="268"/>
      <c r="T866" s="313"/>
      <c r="U866" s="313"/>
      <c r="V866" s="268"/>
      <c r="W866" s="268"/>
      <c r="X866" s="268"/>
      <c r="Y866" s="268"/>
      <c r="Z866" s="268"/>
    </row>
    <row r="867" spans="1:26" ht="24.75" customHeight="1">
      <c r="A867" s="268"/>
      <c r="B867" s="268"/>
      <c r="C867" s="268"/>
      <c r="D867" s="268"/>
      <c r="E867" s="268"/>
      <c r="F867" s="268"/>
      <c r="G867" s="268"/>
      <c r="H867" s="268"/>
      <c r="I867" s="268"/>
      <c r="J867" s="268"/>
      <c r="K867" s="268"/>
      <c r="L867" s="268"/>
      <c r="M867" s="268"/>
      <c r="N867" s="268"/>
      <c r="O867" s="268"/>
      <c r="P867" s="310"/>
      <c r="Q867" s="268"/>
      <c r="R867" s="309"/>
      <c r="S867" s="268"/>
      <c r="T867" s="313"/>
      <c r="U867" s="313"/>
      <c r="V867" s="268"/>
      <c r="W867" s="268"/>
      <c r="X867" s="268"/>
      <c r="Y867" s="268"/>
      <c r="Z867" s="268"/>
    </row>
    <row r="868" spans="1:26" ht="24.75" customHeight="1">
      <c r="A868" s="268"/>
      <c r="B868" s="268"/>
      <c r="C868" s="268"/>
      <c r="D868" s="268"/>
      <c r="E868" s="268"/>
      <c r="F868" s="268"/>
      <c r="G868" s="268"/>
      <c r="H868" s="268"/>
      <c r="I868" s="268"/>
      <c r="J868" s="268"/>
      <c r="K868" s="268"/>
      <c r="L868" s="268"/>
      <c r="M868" s="268"/>
      <c r="N868" s="268"/>
      <c r="O868" s="268"/>
      <c r="P868" s="310"/>
      <c r="Q868" s="268"/>
      <c r="R868" s="309"/>
      <c r="S868" s="268"/>
      <c r="T868" s="313"/>
      <c r="U868" s="313"/>
      <c r="V868" s="268"/>
      <c r="W868" s="268"/>
      <c r="X868" s="268"/>
      <c r="Y868" s="268"/>
      <c r="Z868" s="268"/>
    </row>
    <row r="869" spans="1:26" ht="24.75" customHeight="1">
      <c r="A869" s="268"/>
      <c r="B869" s="268"/>
      <c r="C869" s="268"/>
      <c r="D869" s="268"/>
      <c r="E869" s="268"/>
      <c r="F869" s="268"/>
      <c r="G869" s="268"/>
      <c r="H869" s="268"/>
      <c r="I869" s="268"/>
      <c r="J869" s="268"/>
      <c r="K869" s="268"/>
      <c r="L869" s="268"/>
      <c r="M869" s="268"/>
      <c r="N869" s="268"/>
      <c r="O869" s="268"/>
      <c r="P869" s="310"/>
      <c r="Q869" s="268"/>
      <c r="R869" s="309"/>
      <c r="S869" s="268"/>
      <c r="T869" s="313"/>
      <c r="U869" s="313"/>
      <c r="V869" s="268"/>
      <c r="W869" s="268"/>
      <c r="X869" s="268"/>
      <c r="Y869" s="268"/>
      <c r="Z869" s="268"/>
    </row>
    <row r="870" spans="1:26" ht="24.75" customHeight="1">
      <c r="A870" s="268"/>
      <c r="B870" s="268"/>
      <c r="C870" s="268"/>
      <c r="D870" s="268"/>
      <c r="E870" s="268"/>
      <c r="F870" s="268"/>
      <c r="G870" s="268"/>
      <c r="H870" s="268"/>
      <c r="I870" s="268"/>
      <c r="J870" s="268"/>
      <c r="K870" s="268"/>
      <c r="L870" s="268"/>
      <c r="M870" s="268"/>
      <c r="N870" s="268"/>
      <c r="O870" s="268"/>
      <c r="P870" s="310"/>
      <c r="Q870" s="268"/>
      <c r="R870" s="309"/>
      <c r="S870" s="268"/>
      <c r="T870" s="313"/>
      <c r="U870" s="313"/>
      <c r="V870" s="268"/>
      <c r="W870" s="268"/>
      <c r="X870" s="268"/>
      <c r="Y870" s="268"/>
      <c r="Z870" s="268"/>
    </row>
    <row r="871" spans="1:26" ht="24.75" customHeight="1">
      <c r="A871" s="268"/>
      <c r="B871" s="268"/>
      <c r="C871" s="268"/>
      <c r="D871" s="268"/>
      <c r="E871" s="268"/>
      <c r="F871" s="268"/>
      <c r="G871" s="268"/>
      <c r="H871" s="268"/>
      <c r="I871" s="268"/>
      <c r="J871" s="268"/>
      <c r="K871" s="268"/>
      <c r="L871" s="268"/>
      <c r="M871" s="268"/>
      <c r="N871" s="268"/>
      <c r="O871" s="268"/>
      <c r="P871" s="310"/>
      <c r="Q871" s="268"/>
      <c r="R871" s="309"/>
      <c r="S871" s="268"/>
      <c r="T871" s="313"/>
      <c r="U871" s="313"/>
      <c r="V871" s="268"/>
      <c r="W871" s="268"/>
      <c r="X871" s="268"/>
      <c r="Y871" s="268"/>
      <c r="Z871" s="268"/>
    </row>
    <row r="872" spans="1:26" ht="24.75" customHeight="1">
      <c r="A872" s="268"/>
      <c r="B872" s="268"/>
      <c r="C872" s="268"/>
      <c r="D872" s="268"/>
      <c r="E872" s="268"/>
      <c r="F872" s="268"/>
      <c r="G872" s="268"/>
      <c r="H872" s="268"/>
      <c r="I872" s="268"/>
      <c r="J872" s="268"/>
      <c r="K872" s="268"/>
      <c r="L872" s="268"/>
      <c r="M872" s="268"/>
      <c r="N872" s="268"/>
      <c r="O872" s="268"/>
      <c r="P872" s="310"/>
      <c r="Q872" s="268"/>
      <c r="R872" s="309"/>
      <c r="S872" s="268"/>
      <c r="T872" s="313"/>
      <c r="U872" s="313"/>
      <c r="V872" s="268"/>
      <c r="W872" s="268"/>
      <c r="X872" s="268"/>
      <c r="Y872" s="268"/>
      <c r="Z872" s="268"/>
    </row>
    <row r="873" spans="1:26" ht="24.75" customHeight="1">
      <c r="A873" s="268"/>
      <c r="B873" s="268"/>
      <c r="C873" s="268"/>
      <c r="D873" s="268"/>
      <c r="E873" s="268"/>
      <c r="F873" s="268"/>
      <c r="G873" s="268"/>
      <c r="H873" s="268"/>
      <c r="I873" s="268"/>
      <c r="J873" s="268"/>
      <c r="K873" s="268"/>
      <c r="L873" s="268"/>
      <c r="M873" s="268"/>
      <c r="N873" s="268"/>
      <c r="O873" s="268"/>
      <c r="P873" s="310"/>
      <c r="Q873" s="268"/>
      <c r="R873" s="309"/>
      <c r="S873" s="268"/>
      <c r="T873" s="313"/>
      <c r="U873" s="313"/>
      <c r="V873" s="268"/>
      <c r="W873" s="268"/>
      <c r="X873" s="268"/>
      <c r="Y873" s="268"/>
      <c r="Z873" s="268"/>
    </row>
    <row r="874" spans="1:26" ht="24.75" customHeight="1">
      <c r="A874" s="268"/>
      <c r="B874" s="268"/>
      <c r="C874" s="268"/>
      <c r="D874" s="268"/>
      <c r="E874" s="268"/>
      <c r="F874" s="268"/>
      <c r="G874" s="268"/>
      <c r="H874" s="268"/>
      <c r="I874" s="268"/>
      <c r="J874" s="268"/>
      <c r="K874" s="268"/>
      <c r="L874" s="268"/>
      <c r="M874" s="268"/>
      <c r="N874" s="268"/>
      <c r="O874" s="268"/>
      <c r="P874" s="310"/>
      <c r="Q874" s="268"/>
      <c r="R874" s="309"/>
      <c r="S874" s="268"/>
      <c r="T874" s="313"/>
      <c r="U874" s="313"/>
      <c r="V874" s="268"/>
      <c r="W874" s="268"/>
      <c r="X874" s="268"/>
      <c r="Y874" s="268"/>
      <c r="Z874" s="268"/>
    </row>
    <row r="875" spans="1:26" ht="24.75" customHeight="1">
      <c r="A875" s="268"/>
      <c r="B875" s="268"/>
      <c r="C875" s="268"/>
      <c r="D875" s="268"/>
      <c r="E875" s="268"/>
      <c r="F875" s="268"/>
      <c r="G875" s="268"/>
      <c r="H875" s="268"/>
      <c r="I875" s="268"/>
      <c r="J875" s="268"/>
      <c r="K875" s="268"/>
      <c r="L875" s="268"/>
      <c r="M875" s="268"/>
      <c r="N875" s="268"/>
      <c r="O875" s="268"/>
      <c r="P875" s="310"/>
      <c r="Q875" s="268"/>
      <c r="R875" s="309"/>
      <c r="S875" s="268"/>
      <c r="T875" s="313"/>
      <c r="U875" s="313"/>
      <c r="V875" s="268"/>
      <c r="W875" s="268"/>
      <c r="X875" s="268"/>
      <c r="Y875" s="268"/>
      <c r="Z875" s="268"/>
    </row>
    <row r="876" spans="1:26" ht="24.75" customHeight="1">
      <c r="A876" s="268"/>
      <c r="B876" s="268"/>
      <c r="C876" s="268"/>
      <c r="D876" s="268"/>
      <c r="E876" s="268"/>
      <c r="F876" s="268"/>
      <c r="G876" s="268"/>
      <c r="H876" s="268"/>
      <c r="I876" s="268"/>
      <c r="J876" s="268"/>
      <c r="K876" s="268"/>
      <c r="L876" s="268"/>
      <c r="M876" s="268"/>
      <c r="N876" s="268"/>
      <c r="O876" s="268"/>
      <c r="P876" s="310"/>
      <c r="Q876" s="268"/>
      <c r="R876" s="309"/>
      <c r="S876" s="268"/>
      <c r="T876" s="313"/>
      <c r="U876" s="313"/>
      <c r="V876" s="268"/>
      <c r="W876" s="268"/>
      <c r="X876" s="268"/>
      <c r="Y876" s="268"/>
      <c r="Z876" s="268"/>
    </row>
    <row r="877" spans="1:26" ht="24.75" customHeight="1">
      <c r="A877" s="268"/>
      <c r="B877" s="268"/>
      <c r="C877" s="268"/>
      <c r="D877" s="268"/>
      <c r="E877" s="268"/>
      <c r="F877" s="268"/>
      <c r="G877" s="268"/>
      <c r="H877" s="268"/>
      <c r="I877" s="268"/>
      <c r="J877" s="268"/>
      <c r="K877" s="268"/>
      <c r="L877" s="268"/>
      <c r="M877" s="268"/>
      <c r="N877" s="268"/>
      <c r="O877" s="268"/>
      <c r="P877" s="310"/>
      <c r="Q877" s="268"/>
      <c r="R877" s="309"/>
      <c r="S877" s="268"/>
      <c r="T877" s="313"/>
      <c r="U877" s="313"/>
      <c r="V877" s="268"/>
      <c r="W877" s="268"/>
      <c r="X877" s="268"/>
      <c r="Y877" s="268"/>
      <c r="Z877" s="268"/>
    </row>
    <row r="878" spans="1:26" ht="24.75" customHeight="1">
      <c r="A878" s="268"/>
      <c r="B878" s="268"/>
      <c r="C878" s="268"/>
      <c r="D878" s="268"/>
      <c r="E878" s="268"/>
      <c r="F878" s="268"/>
      <c r="G878" s="268"/>
      <c r="H878" s="268"/>
      <c r="I878" s="268"/>
      <c r="J878" s="268"/>
      <c r="K878" s="268"/>
      <c r="L878" s="268"/>
      <c r="M878" s="268"/>
      <c r="N878" s="268"/>
      <c r="O878" s="268"/>
      <c r="P878" s="310"/>
      <c r="Q878" s="268"/>
      <c r="R878" s="309"/>
      <c r="S878" s="268"/>
      <c r="T878" s="313"/>
      <c r="U878" s="313"/>
      <c r="V878" s="268"/>
      <c r="W878" s="268"/>
      <c r="X878" s="268"/>
      <c r="Y878" s="268"/>
      <c r="Z878" s="268"/>
    </row>
    <row r="879" spans="1:26" ht="24.75" customHeight="1">
      <c r="A879" s="268"/>
      <c r="B879" s="268"/>
      <c r="C879" s="268"/>
      <c r="D879" s="268"/>
      <c r="E879" s="268"/>
      <c r="F879" s="268"/>
      <c r="G879" s="268"/>
      <c r="H879" s="268"/>
      <c r="I879" s="268"/>
      <c r="J879" s="268"/>
      <c r="K879" s="268"/>
      <c r="L879" s="268"/>
      <c r="M879" s="268"/>
      <c r="N879" s="268"/>
      <c r="O879" s="268"/>
      <c r="P879" s="310"/>
      <c r="Q879" s="268"/>
      <c r="R879" s="309"/>
      <c r="S879" s="268"/>
      <c r="T879" s="313"/>
      <c r="U879" s="313"/>
      <c r="V879" s="268"/>
      <c r="W879" s="268"/>
      <c r="X879" s="268"/>
      <c r="Y879" s="268"/>
      <c r="Z879" s="268"/>
    </row>
    <row r="880" spans="1:26" ht="24.75" customHeight="1">
      <c r="A880" s="268"/>
      <c r="B880" s="268"/>
      <c r="C880" s="268"/>
      <c r="D880" s="268"/>
      <c r="E880" s="268"/>
      <c r="F880" s="268"/>
      <c r="G880" s="268"/>
      <c r="H880" s="268"/>
      <c r="I880" s="268"/>
      <c r="J880" s="268"/>
      <c r="K880" s="268"/>
      <c r="L880" s="268"/>
      <c r="M880" s="268"/>
      <c r="N880" s="268"/>
      <c r="O880" s="268"/>
      <c r="P880" s="310"/>
      <c r="Q880" s="268"/>
      <c r="R880" s="309"/>
      <c r="S880" s="268"/>
      <c r="T880" s="313"/>
      <c r="U880" s="313"/>
      <c r="V880" s="268"/>
      <c r="W880" s="268"/>
      <c r="X880" s="268"/>
      <c r="Y880" s="268"/>
      <c r="Z880" s="268"/>
    </row>
    <row r="881" spans="1:26" ht="24.75" customHeight="1">
      <c r="A881" s="268"/>
      <c r="B881" s="268"/>
      <c r="C881" s="268"/>
      <c r="D881" s="268"/>
      <c r="E881" s="268"/>
      <c r="F881" s="268"/>
      <c r="G881" s="268"/>
      <c r="H881" s="268"/>
      <c r="I881" s="268"/>
      <c r="J881" s="268"/>
      <c r="K881" s="268"/>
      <c r="L881" s="268"/>
      <c r="M881" s="268"/>
      <c r="N881" s="268"/>
      <c r="O881" s="268"/>
      <c r="P881" s="310"/>
      <c r="Q881" s="268"/>
      <c r="R881" s="309"/>
      <c r="S881" s="268"/>
      <c r="T881" s="313"/>
      <c r="U881" s="313"/>
      <c r="V881" s="268"/>
      <c r="W881" s="268"/>
      <c r="X881" s="268"/>
      <c r="Y881" s="268"/>
      <c r="Z881" s="268"/>
    </row>
    <row r="882" spans="1:26" ht="24.75" customHeight="1">
      <c r="A882" s="268"/>
      <c r="B882" s="268"/>
      <c r="C882" s="268"/>
      <c r="D882" s="268"/>
      <c r="E882" s="268"/>
      <c r="F882" s="268"/>
      <c r="G882" s="268"/>
      <c r="H882" s="268"/>
      <c r="I882" s="268"/>
      <c r="J882" s="268"/>
      <c r="K882" s="268"/>
      <c r="L882" s="268"/>
      <c r="M882" s="268"/>
      <c r="N882" s="268"/>
      <c r="O882" s="268"/>
      <c r="P882" s="310"/>
      <c r="Q882" s="268"/>
      <c r="R882" s="309"/>
      <c r="S882" s="268"/>
      <c r="T882" s="313"/>
      <c r="U882" s="313"/>
      <c r="V882" s="268"/>
      <c r="W882" s="268"/>
      <c r="X882" s="268"/>
      <c r="Y882" s="268"/>
      <c r="Z882" s="268"/>
    </row>
    <row r="883" spans="1:26" ht="24.75" customHeight="1">
      <c r="A883" s="268"/>
      <c r="B883" s="268"/>
      <c r="C883" s="268"/>
      <c r="D883" s="268"/>
      <c r="E883" s="268"/>
      <c r="F883" s="268"/>
      <c r="G883" s="268"/>
      <c r="H883" s="268"/>
      <c r="I883" s="268"/>
      <c r="J883" s="268"/>
      <c r="K883" s="268"/>
      <c r="L883" s="268"/>
      <c r="M883" s="268"/>
      <c r="N883" s="268"/>
      <c r="O883" s="268"/>
      <c r="P883" s="310"/>
      <c r="Q883" s="268"/>
      <c r="R883" s="309"/>
      <c r="S883" s="268"/>
      <c r="T883" s="313"/>
      <c r="U883" s="313"/>
      <c r="V883" s="268"/>
      <c r="W883" s="268"/>
      <c r="X883" s="268"/>
      <c r="Y883" s="268"/>
      <c r="Z883" s="268"/>
    </row>
    <row r="884" spans="1:26" ht="24.75" customHeight="1">
      <c r="A884" s="268"/>
      <c r="B884" s="268"/>
      <c r="C884" s="268"/>
      <c r="D884" s="268"/>
      <c r="E884" s="268"/>
      <c r="F884" s="268"/>
      <c r="G884" s="268"/>
      <c r="H884" s="268"/>
      <c r="I884" s="268"/>
      <c r="J884" s="268"/>
      <c r="K884" s="268"/>
      <c r="L884" s="268"/>
      <c r="M884" s="268"/>
      <c r="N884" s="268"/>
      <c r="O884" s="268"/>
      <c r="P884" s="310"/>
      <c r="Q884" s="268"/>
      <c r="R884" s="309"/>
      <c r="S884" s="268"/>
      <c r="T884" s="313"/>
      <c r="U884" s="313"/>
      <c r="V884" s="268"/>
      <c r="W884" s="268"/>
      <c r="X884" s="268"/>
      <c r="Y884" s="268"/>
      <c r="Z884" s="268"/>
    </row>
    <row r="885" spans="1:26" ht="24.75" customHeight="1">
      <c r="A885" s="268"/>
      <c r="B885" s="268"/>
      <c r="C885" s="268"/>
      <c r="D885" s="268"/>
      <c r="E885" s="268"/>
      <c r="F885" s="268"/>
      <c r="G885" s="268"/>
      <c r="H885" s="268"/>
      <c r="I885" s="268"/>
      <c r="J885" s="268"/>
      <c r="K885" s="268"/>
      <c r="L885" s="268"/>
      <c r="M885" s="268"/>
      <c r="N885" s="268"/>
      <c r="O885" s="268"/>
      <c r="P885" s="310"/>
      <c r="Q885" s="268"/>
      <c r="R885" s="309"/>
      <c r="S885" s="268"/>
      <c r="T885" s="313"/>
      <c r="U885" s="313"/>
      <c r="V885" s="268"/>
      <c r="W885" s="268"/>
      <c r="X885" s="268"/>
      <c r="Y885" s="268"/>
      <c r="Z885" s="268"/>
    </row>
    <row r="886" spans="1:26" ht="24.75" customHeight="1">
      <c r="A886" s="268"/>
      <c r="B886" s="268"/>
      <c r="C886" s="268"/>
      <c r="D886" s="268"/>
      <c r="E886" s="268"/>
      <c r="F886" s="268"/>
      <c r="G886" s="268"/>
      <c r="H886" s="268"/>
      <c r="I886" s="268"/>
      <c r="J886" s="268"/>
      <c r="K886" s="268"/>
      <c r="L886" s="268"/>
      <c r="M886" s="268"/>
      <c r="N886" s="268"/>
      <c r="O886" s="268"/>
      <c r="P886" s="310"/>
      <c r="Q886" s="268"/>
      <c r="R886" s="309"/>
      <c r="S886" s="268"/>
      <c r="T886" s="313"/>
      <c r="U886" s="313"/>
      <c r="V886" s="268"/>
      <c r="W886" s="268"/>
      <c r="X886" s="268"/>
      <c r="Y886" s="268"/>
      <c r="Z886" s="268"/>
    </row>
    <row r="887" spans="1:26" ht="24.75" customHeight="1">
      <c r="A887" s="268"/>
      <c r="B887" s="268"/>
      <c r="C887" s="268"/>
      <c r="D887" s="268"/>
      <c r="E887" s="268"/>
      <c r="F887" s="268"/>
      <c r="G887" s="268"/>
      <c r="H887" s="268"/>
      <c r="I887" s="268"/>
      <c r="J887" s="268"/>
      <c r="K887" s="268"/>
      <c r="L887" s="268"/>
      <c r="M887" s="268"/>
      <c r="N887" s="268"/>
      <c r="O887" s="268"/>
      <c r="P887" s="310"/>
      <c r="Q887" s="268"/>
      <c r="R887" s="309"/>
      <c r="S887" s="268"/>
      <c r="T887" s="313"/>
      <c r="U887" s="313"/>
      <c r="V887" s="268"/>
      <c r="W887" s="268"/>
      <c r="X887" s="268"/>
      <c r="Y887" s="268"/>
      <c r="Z887" s="268"/>
    </row>
    <row r="888" spans="1:26" ht="24.75" customHeight="1">
      <c r="A888" s="268"/>
      <c r="B888" s="268"/>
      <c r="C888" s="268"/>
      <c r="D888" s="268"/>
      <c r="E888" s="268"/>
      <c r="F888" s="268"/>
      <c r="G888" s="268"/>
      <c r="H888" s="268"/>
      <c r="I888" s="268"/>
      <c r="J888" s="268"/>
      <c r="K888" s="268"/>
      <c r="L888" s="268"/>
      <c r="M888" s="268"/>
      <c r="N888" s="268"/>
      <c r="O888" s="268"/>
      <c r="P888" s="310"/>
      <c r="Q888" s="268"/>
      <c r="R888" s="309"/>
      <c r="S888" s="268"/>
      <c r="T888" s="313"/>
      <c r="U888" s="313"/>
      <c r="V888" s="268"/>
      <c r="W888" s="268"/>
      <c r="X888" s="268"/>
      <c r="Y888" s="268"/>
      <c r="Z888" s="268"/>
    </row>
    <row r="889" spans="1:26" ht="24.75" customHeight="1">
      <c r="A889" s="268"/>
      <c r="B889" s="268"/>
      <c r="C889" s="268"/>
      <c r="D889" s="268"/>
      <c r="E889" s="268"/>
      <c r="F889" s="268"/>
      <c r="G889" s="268"/>
      <c r="H889" s="268"/>
      <c r="I889" s="268"/>
      <c r="J889" s="268"/>
      <c r="K889" s="268"/>
      <c r="L889" s="268"/>
      <c r="M889" s="268"/>
      <c r="N889" s="268"/>
      <c r="O889" s="268"/>
      <c r="P889" s="310"/>
      <c r="Q889" s="268"/>
      <c r="R889" s="309"/>
      <c r="S889" s="268"/>
      <c r="T889" s="313"/>
      <c r="U889" s="313"/>
      <c r="V889" s="268"/>
      <c r="W889" s="268"/>
      <c r="X889" s="268"/>
      <c r="Y889" s="268"/>
      <c r="Z889" s="268"/>
    </row>
    <row r="890" spans="1:26" ht="24.75" customHeight="1">
      <c r="A890" s="268"/>
      <c r="B890" s="268"/>
      <c r="C890" s="268"/>
      <c r="D890" s="268"/>
      <c r="E890" s="268"/>
      <c r="F890" s="268"/>
      <c r="G890" s="268"/>
      <c r="H890" s="268"/>
      <c r="I890" s="268"/>
      <c r="J890" s="268"/>
      <c r="K890" s="268"/>
      <c r="L890" s="268"/>
      <c r="M890" s="268"/>
      <c r="N890" s="268"/>
      <c r="O890" s="268"/>
      <c r="P890" s="310"/>
      <c r="Q890" s="268"/>
      <c r="R890" s="309"/>
      <c r="S890" s="268"/>
      <c r="T890" s="313"/>
      <c r="U890" s="313"/>
      <c r="V890" s="268"/>
      <c r="W890" s="268"/>
      <c r="X890" s="268"/>
      <c r="Y890" s="268"/>
      <c r="Z890" s="268"/>
    </row>
    <row r="891" spans="1:26" ht="24.75" customHeight="1">
      <c r="A891" s="268"/>
      <c r="B891" s="268"/>
      <c r="C891" s="268"/>
      <c r="D891" s="268"/>
      <c r="E891" s="268"/>
      <c r="F891" s="268"/>
      <c r="G891" s="268"/>
      <c r="H891" s="268"/>
      <c r="I891" s="268"/>
      <c r="J891" s="268"/>
      <c r="K891" s="268"/>
      <c r="L891" s="268"/>
      <c r="M891" s="268"/>
      <c r="N891" s="268"/>
      <c r="O891" s="268"/>
      <c r="P891" s="310"/>
      <c r="Q891" s="268"/>
      <c r="R891" s="309"/>
      <c r="S891" s="268"/>
      <c r="T891" s="313"/>
      <c r="U891" s="313"/>
      <c r="V891" s="268"/>
      <c r="W891" s="268"/>
      <c r="X891" s="268"/>
      <c r="Y891" s="268"/>
      <c r="Z891" s="268"/>
    </row>
    <row r="892" spans="1:26" ht="24.75" customHeight="1">
      <c r="A892" s="268"/>
      <c r="B892" s="268"/>
      <c r="C892" s="268"/>
      <c r="D892" s="268"/>
      <c r="E892" s="268"/>
      <c r="F892" s="268"/>
      <c r="G892" s="268"/>
      <c r="H892" s="268"/>
      <c r="I892" s="268"/>
      <c r="J892" s="268"/>
      <c r="K892" s="268"/>
      <c r="L892" s="268"/>
      <c r="M892" s="268"/>
      <c r="N892" s="268"/>
      <c r="O892" s="268"/>
      <c r="P892" s="310"/>
      <c r="Q892" s="268"/>
      <c r="R892" s="309"/>
      <c r="S892" s="268"/>
      <c r="T892" s="313"/>
      <c r="U892" s="313"/>
      <c r="V892" s="268"/>
      <c r="W892" s="268"/>
      <c r="X892" s="268"/>
      <c r="Y892" s="268"/>
      <c r="Z892" s="268"/>
    </row>
    <row r="893" spans="1:26" ht="24.75" customHeight="1">
      <c r="A893" s="268"/>
      <c r="B893" s="268"/>
      <c r="C893" s="268"/>
      <c r="D893" s="268"/>
      <c r="E893" s="268"/>
      <c r="F893" s="268"/>
      <c r="G893" s="268"/>
      <c r="H893" s="268"/>
      <c r="I893" s="268"/>
      <c r="J893" s="268"/>
      <c r="K893" s="268"/>
      <c r="L893" s="268"/>
      <c r="M893" s="268"/>
      <c r="N893" s="268"/>
      <c r="O893" s="268"/>
      <c r="P893" s="310"/>
      <c r="Q893" s="268"/>
      <c r="R893" s="309"/>
      <c r="S893" s="268"/>
      <c r="T893" s="313"/>
      <c r="U893" s="313"/>
      <c r="V893" s="268"/>
      <c r="W893" s="268"/>
      <c r="X893" s="268"/>
      <c r="Y893" s="268"/>
      <c r="Z893" s="268"/>
    </row>
    <row r="894" spans="1:26" ht="24.75" customHeight="1">
      <c r="A894" s="268"/>
      <c r="B894" s="268"/>
      <c r="C894" s="268"/>
      <c r="D894" s="268"/>
      <c r="E894" s="268"/>
      <c r="F894" s="268"/>
      <c r="G894" s="268"/>
      <c r="H894" s="268"/>
      <c r="I894" s="268"/>
      <c r="J894" s="268"/>
      <c r="K894" s="268"/>
      <c r="L894" s="268"/>
      <c r="M894" s="268"/>
      <c r="N894" s="268"/>
      <c r="O894" s="268"/>
      <c r="P894" s="310"/>
      <c r="Q894" s="268"/>
      <c r="R894" s="309"/>
      <c r="S894" s="268"/>
      <c r="T894" s="313"/>
      <c r="U894" s="313"/>
      <c r="V894" s="268"/>
      <c r="W894" s="268"/>
      <c r="X894" s="268"/>
      <c r="Y894" s="268"/>
      <c r="Z894" s="268"/>
    </row>
    <row r="895" spans="1:26" ht="24.75" customHeight="1">
      <c r="A895" s="268"/>
      <c r="B895" s="268"/>
      <c r="C895" s="268"/>
      <c r="D895" s="268"/>
      <c r="E895" s="268"/>
      <c r="F895" s="268"/>
      <c r="G895" s="268"/>
      <c r="H895" s="268"/>
      <c r="I895" s="268"/>
      <c r="J895" s="268"/>
      <c r="K895" s="268"/>
      <c r="L895" s="268"/>
      <c r="M895" s="268"/>
      <c r="N895" s="268"/>
      <c r="O895" s="268"/>
      <c r="P895" s="310"/>
      <c r="Q895" s="268"/>
      <c r="R895" s="309"/>
      <c r="S895" s="268"/>
      <c r="T895" s="313"/>
      <c r="U895" s="313"/>
      <c r="V895" s="268"/>
      <c r="W895" s="268"/>
      <c r="X895" s="268"/>
      <c r="Y895" s="268"/>
      <c r="Z895" s="268"/>
    </row>
    <row r="896" spans="1:26" ht="24.75" customHeight="1">
      <c r="A896" s="268"/>
      <c r="B896" s="268"/>
      <c r="C896" s="268"/>
      <c r="D896" s="268"/>
      <c r="E896" s="268"/>
      <c r="F896" s="268"/>
      <c r="G896" s="268"/>
      <c r="H896" s="268"/>
      <c r="I896" s="268"/>
      <c r="J896" s="268"/>
      <c r="K896" s="268"/>
      <c r="L896" s="268"/>
      <c r="M896" s="268"/>
      <c r="N896" s="268"/>
      <c r="O896" s="268"/>
      <c r="P896" s="310"/>
      <c r="Q896" s="268"/>
      <c r="R896" s="309"/>
      <c r="S896" s="268"/>
      <c r="T896" s="313"/>
      <c r="U896" s="313"/>
      <c r="V896" s="268"/>
      <c r="W896" s="268"/>
      <c r="X896" s="268"/>
      <c r="Y896" s="268"/>
      <c r="Z896" s="268"/>
    </row>
    <row r="897" spans="1:26" ht="24.75" customHeight="1">
      <c r="A897" s="268"/>
      <c r="B897" s="268"/>
      <c r="C897" s="268"/>
      <c r="D897" s="268"/>
      <c r="E897" s="268"/>
      <c r="F897" s="268"/>
      <c r="G897" s="268"/>
      <c r="H897" s="268"/>
      <c r="I897" s="268"/>
      <c r="J897" s="268"/>
      <c r="K897" s="268"/>
      <c r="L897" s="268"/>
      <c r="M897" s="268"/>
      <c r="N897" s="268"/>
      <c r="O897" s="268"/>
      <c r="P897" s="310"/>
      <c r="Q897" s="268"/>
      <c r="R897" s="309"/>
      <c r="S897" s="268"/>
      <c r="T897" s="313"/>
      <c r="U897" s="313"/>
      <c r="V897" s="268"/>
      <c r="W897" s="268"/>
      <c r="X897" s="268"/>
      <c r="Y897" s="268"/>
      <c r="Z897" s="268"/>
    </row>
    <row r="898" spans="1:26" ht="24.75" customHeight="1">
      <c r="A898" s="268"/>
      <c r="B898" s="268"/>
      <c r="C898" s="268"/>
      <c r="D898" s="268"/>
      <c r="E898" s="268"/>
      <c r="F898" s="268"/>
      <c r="G898" s="268"/>
      <c r="H898" s="268"/>
      <c r="I898" s="268"/>
      <c r="J898" s="268"/>
      <c r="K898" s="268"/>
      <c r="L898" s="268"/>
      <c r="M898" s="268"/>
      <c r="N898" s="268"/>
      <c r="O898" s="268"/>
      <c r="P898" s="310"/>
      <c r="Q898" s="268"/>
      <c r="R898" s="309"/>
      <c r="S898" s="268"/>
      <c r="T898" s="313"/>
      <c r="U898" s="313"/>
      <c r="V898" s="268"/>
      <c r="W898" s="268"/>
      <c r="X898" s="268"/>
      <c r="Y898" s="268"/>
      <c r="Z898" s="268"/>
    </row>
    <row r="899" spans="1:26" ht="24.75" customHeight="1">
      <c r="A899" s="268"/>
      <c r="B899" s="268"/>
      <c r="C899" s="268"/>
      <c r="D899" s="268"/>
      <c r="E899" s="268"/>
      <c r="F899" s="268"/>
      <c r="G899" s="268"/>
      <c r="H899" s="268"/>
      <c r="I899" s="268"/>
      <c r="J899" s="268"/>
      <c r="K899" s="268"/>
      <c r="L899" s="268"/>
      <c r="M899" s="268"/>
      <c r="N899" s="268"/>
      <c r="O899" s="268"/>
      <c r="P899" s="310"/>
      <c r="Q899" s="268"/>
      <c r="R899" s="309"/>
      <c r="S899" s="268"/>
      <c r="T899" s="313"/>
      <c r="U899" s="313"/>
      <c r="V899" s="268"/>
      <c r="W899" s="268"/>
      <c r="X899" s="268"/>
      <c r="Y899" s="268"/>
      <c r="Z899" s="268"/>
    </row>
    <row r="900" spans="1:26" ht="24.75" customHeight="1">
      <c r="A900" s="268"/>
      <c r="B900" s="268"/>
      <c r="C900" s="268"/>
      <c r="D900" s="268"/>
      <c r="E900" s="268"/>
      <c r="F900" s="268"/>
      <c r="G900" s="268"/>
      <c r="H900" s="268"/>
      <c r="I900" s="268"/>
      <c r="J900" s="268"/>
      <c r="K900" s="268"/>
      <c r="L900" s="268"/>
      <c r="M900" s="268"/>
      <c r="N900" s="268"/>
      <c r="O900" s="268"/>
      <c r="P900" s="310"/>
      <c r="Q900" s="268"/>
      <c r="R900" s="309"/>
      <c r="S900" s="268"/>
      <c r="T900" s="313"/>
      <c r="U900" s="313"/>
      <c r="V900" s="268"/>
      <c r="W900" s="268"/>
      <c r="X900" s="268"/>
      <c r="Y900" s="268"/>
      <c r="Z900" s="268"/>
    </row>
    <row r="901" spans="1:26" ht="24.75" customHeight="1">
      <c r="A901" s="268"/>
      <c r="B901" s="268"/>
      <c r="C901" s="268"/>
      <c r="D901" s="268"/>
      <c r="E901" s="268"/>
      <c r="F901" s="268"/>
      <c r="G901" s="268"/>
      <c r="H901" s="268"/>
      <c r="I901" s="268"/>
      <c r="J901" s="268"/>
      <c r="K901" s="268"/>
      <c r="L901" s="268"/>
      <c r="M901" s="268"/>
      <c r="N901" s="268"/>
      <c r="O901" s="268"/>
      <c r="P901" s="310"/>
      <c r="Q901" s="268"/>
      <c r="R901" s="309"/>
      <c r="S901" s="268"/>
      <c r="T901" s="313"/>
      <c r="U901" s="313"/>
      <c r="V901" s="268"/>
      <c r="W901" s="268"/>
      <c r="X901" s="268"/>
      <c r="Y901" s="268"/>
      <c r="Z901" s="268"/>
    </row>
    <row r="902" spans="1:26" ht="24.75" customHeight="1">
      <c r="A902" s="268"/>
      <c r="B902" s="268"/>
      <c r="C902" s="268"/>
      <c r="D902" s="268"/>
      <c r="E902" s="268"/>
      <c r="F902" s="268"/>
      <c r="G902" s="268"/>
      <c r="H902" s="268"/>
      <c r="I902" s="268"/>
      <c r="J902" s="268"/>
      <c r="K902" s="268"/>
      <c r="L902" s="268"/>
      <c r="M902" s="268"/>
      <c r="N902" s="268"/>
      <c r="O902" s="268"/>
      <c r="P902" s="310"/>
      <c r="Q902" s="268"/>
      <c r="R902" s="309"/>
      <c r="S902" s="268"/>
      <c r="T902" s="313"/>
      <c r="U902" s="313"/>
      <c r="V902" s="268"/>
      <c r="W902" s="268"/>
      <c r="X902" s="268"/>
      <c r="Y902" s="268"/>
      <c r="Z902" s="268"/>
    </row>
    <row r="903" spans="1:26" ht="24.75" customHeight="1">
      <c r="A903" s="268"/>
      <c r="B903" s="268"/>
      <c r="C903" s="268"/>
      <c r="D903" s="268"/>
      <c r="E903" s="268"/>
      <c r="F903" s="268"/>
      <c r="G903" s="268"/>
      <c r="H903" s="268"/>
      <c r="I903" s="268"/>
      <c r="J903" s="268"/>
      <c r="K903" s="268"/>
      <c r="L903" s="268"/>
      <c r="M903" s="268"/>
      <c r="N903" s="268"/>
      <c r="O903" s="268"/>
      <c r="P903" s="310"/>
      <c r="Q903" s="268"/>
      <c r="R903" s="309"/>
      <c r="S903" s="268"/>
      <c r="T903" s="313"/>
      <c r="U903" s="313"/>
      <c r="V903" s="268"/>
      <c r="W903" s="268"/>
      <c r="X903" s="268"/>
      <c r="Y903" s="268"/>
      <c r="Z903" s="268"/>
    </row>
    <row r="904" spans="1:26" ht="24.75" customHeight="1">
      <c r="A904" s="268"/>
      <c r="B904" s="268"/>
      <c r="C904" s="268"/>
      <c r="D904" s="268"/>
      <c r="E904" s="268"/>
      <c r="F904" s="268"/>
      <c r="G904" s="268"/>
      <c r="H904" s="268"/>
      <c r="I904" s="268"/>
      <c r="J904" s="268"/>
      <c r="K904" s="268"/>
      <c r="L904" s="268"/>
      <c r="M904" s="268"/>
      <c r="N904" s="268"/>
      <c r="O904" s="268"/>
      <c r="P904" s="310"/>
      <c r="Q904" s="268"/>
      <c r="R904" s="309"/>
      <c r="S904" s="268"/>
      <c r="T904" s="313"/>
      <c r="U904" s="313"/>
      <c r="V904" s="268"/>
      <c r="W904" s="268"/>
      <c r="X904" s="268"/>
      <c r="Y904" s="268"/>
      <c r="Z904" s="268"/>
    </row>
    <row r="905" spans="1:26" ht="24.75" customHeight="1">
      <c r="A905" s="268"/>
      <c r="B905" s="268"/>
      <c r="C905" s="268"/>
      <c r="D905" s="268"/>
      <c r="E905" s="268"/>
      <c r="F905" s="268"/>
      <c r="G905" s="268"/>
      <c r="H905" s="268"/>
      <c r="I905" s="268"/>
      <c r="J905" s="268"/>
      <c r="K905" s="268"/>
      <c r="L905" s="268"/>
      <c r="M905" s="268"/>
      <c r="N905" s="268"/>
      <c r="O905" s="268"/>
      <c r="P905" s="310"/>
      <c r="Q905" s="268"/>
      <c r="R905" s="309"/>
      <c r="S905" s="268"/>
      <c r="T905" s="313"/>
      <c r="U905" s="313"/>
      <c r="V905" s="268"/>
      <c r="W905" s="268"/>
      <c r="X905" s="268"/>
      <c r="Y905" s="268"/>
      <c r="Z905" s="268"/>
    </row>
    <row r="906" spans="1:26" ht="24.75" customHeight="1">
      <c r="A906" s="268"/>
      <c r="B906" s="268"/>
      <c r="C906" s="268"/>
      <c r="D906" s="268"/>
      <c r="E906" s="268"/>
      <c r="F906" s="268"/>
      <c r="G906" s="268"/>
      <c r="H906" s="268"/>
      <c r="I906" s="268"/>
      <c r="J906" s="268"/>
      <c r="K906" s="268"/>
      <c r="L906" s="268"/>
      <c r="M906" s="268"/>
      <c r="N906" s="268"/>
      <c r="O906" s="268"/>
      <c r="P906" s="310"/>
      <c r="Q906" s="268"/>
      <c r="R906" s="309"/>
      <c r="S906" s="268"/>
      <c r="T906" s="313"/>
      <c r="U906" s="313"/>
      <c r="V906" s="268"/>
      <c r="W906" s="268"/>
      <c r="X906" s="268"/>
      <c r="Y906" s="268"/>
      <c r="Z906" s="268"/>
    </row>
    <row r="907" spans="1:26" ht="24.75" customHeight="1">
      <c r="A907" s="268"/>
      <c r="B907" s="268"/>
      <c r="C907" s="268"/>
      <c r="D907" s="268"/>
      <c r="E907" s="268"/>
      <c r="F907" s="268"/>
      <c r="G907" s="268"/>
      <c r="H907" s="268"/>
      <c r="I907" s="268"/>
      <c r="J907" s="268"/>
      <c r="K907" s="268"/>
      <c r="L907" s="268"/>
      <c r="M907" s="268"/>
      <c r="N907" s="268"/>
      <c r="O907" s="268"/>
      <c r="P907" s="310"/>
      <c r="Q907" s="268"/>
      <c r="R907" s="309"/>
      <c r="S907" s="268"/>
      <c r="T907" s="313"/>
      <c r="U907" s="313"/>
      <c r="V907" s="268"/>
      <c r="W907" s="268"/>
      <c r="X907" s="268"/>
      <c r="Y907" s="268"/>
      <c r="Z907" s="268"/>
    </row>
    <row r="908" spans="1:26" ht="24.75" customHeight="1">
      <c r="A908" s="268"/>
      <c r="B908" s="268"/>
      <c r="C908" s="268"/>
      <c r="D908" s="268"/>
      <c r="E908" s="268"/>
      <c r="F908" s="268"/>
      <c r="G908" s="268"/>
      <c r="H908" s="268"/>
      <c r="I908" s="268"/>
      <c r="J908" s="268"/>
      <c r="K908" s="268"/>
      <c r="L908" s="268"/>
      <c r="M908" s="268"/>
      <c r="N908" s="268"/>
      <c r="O908" s="268"/>
      <c r="P908" s="310"/>
      <c r="Q908" s="268"/>
      <c r="R908" s="309"/>
      <c r="S908" s="268"/>
      <c r="T908" s="313"/>
      <c r="U908" s="313"/>
      <c r="V908" s="268"/>
      <c r="W908" s="268"/>
      <c r="X908" s="268"/>
      <c r="Y908" s="268"/>
      <c r="Z908" s="268"/>
    </row>
    <row r="909" spans="1:26" ht="24.75" customHeight="1">
      <c r="A909" s="268"/>
      <c r="B909" s="268"/>
      <c r="C909" s="268"/>
      <c r="D909" s="268"/>
      <c r="E909" s="268"/>
      <c r="F909" s="268"/>
      <c r="G909" s="268"/>
      <c r="H909" s="268"/>
      <c r="I909" s="268"/>
      <c r="J909" s="268"/>
      <c r="K909" s="268"/>
      <c r="L909" s="268"/>
      <c r="M909" s="268"/>
      <c r="N909" s="268"/>
      <c r="O909" s="268"/>
      <c r="P909" s="310"/>
      <c r="Q909" s="268"/>
      <c r="R909" s="309"/>
      <c r="S909" s="268"/>
      <c r="T909" s="313"/>
      <c r="U909" s="313"/>
      <c r="V909" s="268"/>
      <c r="W909" s="268"/>
      <c r="X909" s="268"/>
      <c r="Y909" s="268"/>
      <c r="Z909" s="268"/>
    </row>
    <row r="910" spans="1:26" ht="24.75" customHeight="1">
      <c r="A910" s="268"/>
      <c r="B910" s="268"/>
      <c r="C910" s="268"/>
      <c r="D910" s="268"/>
      <c r="E910" s="268"/>
      <c r="F910" s="268"/>
      <c r="G910" s="268"/>
      <c r="H910" s="268"/>
      <c r="I910" s="268"/>
      <c r="J910" s="268"/>
      <c r="K910" s="268"/>
      <c r="L910" s="268"/>
      <c r="M910" s="268"/>
      <c r="N910" s="268"/>
      <c r="O910" s="268"/>
      <c r="P910" s="310"/>
      <c r="Q910" s="268"/>
      <c r="R910" s="309"/>
      <c r="S910" s="268"/>
      <c r="T910" s="313"/>
      <c r="U910" s="313"/>
      <c r="V910" s="268"/>
      <c r="W910" s="268"/>
      <c r="X910" s="268"/>
      <c r="Y910" s="268"/>
      <c r="Z910" s="268"/>
    </row>
    <row r="911" spans="1:26" ht="24.75" customHeight="1">
      <c r="A911" s="268"/>
      <c r="B911" s="268"/>
      <c r="C911" s="268"/>
      <c r="D911" s="268"/>
      <c r="E911" s="268"/>
      <c r="F911" s="268"/>
      <c r="G911" s="268"/>
      <c r="H911" s="268"/>
      <c r="I911" s="268"/>
      <c r="J911" s="268"/>
      <c r="K911" s="268"/>
      <c r="L911" s="268"/>
      <c r="M911" s="268"/>
      <c r="N911" s="268"/>
      <c r="O911" s="268"/>
      <c r="P911" s="310"/>
      <c r="Q911" s="268"/>
      <c r="R911" s="309"/>
      <c r="S911" s="268"/>
      <c r="T911" s="313"/>
      <c r="U911" s="313"/>
      <c r="V911" s="268"/>
      <c r="W911" s="268"/>
      <c r="X911" s="268"/>
      <c r="Y911" s="268"/>
      <c r="Z911" s="268"/>
    </row>
    <row r="912" spans="1:26" ht="24.75" customHeight="1">
      <c r="A912" s="268"/>
      <c r="B912" s="268"/>
      <c r="C912" s="268"/>
      <c r="D912" s="268"/>
      <c r="E912" s="268"/>
      <c r="F912" s="268"/>
      <c r="G912" s="268"/>
      <c r="H912" s="268"/>
      <c r="I912" s="268"/>
      <c r="J912" s="268"/>
      <c r="K912" s="268"/>
      <c r="L912" s="268"/>
      <c r="M912" s="268"/>
      <c r="N912" s="268"/>
      <c r="O912" s="268"/>
      <c r="P912" s="310"/>
      <c r="Q912" s="268"/>
      <c r="R912" s="309"/>
      <c r="S912" s="268"/>
      <c r="T912" s="313"/>
      <c r="U912" s="313"/>
      <c r="V912" s="268"/>
      <c r="W912" s="268"/>
      <c r="X912" s="268"/>
      <c r="Y912" s="268"/>
      <c r="Z912" s="268"/>
    </row>
    <row r="913" spans="1:26" ht="24.75" customHeight="1">
      <c r="A913" s="268"/>
      <c r="B913" s="268"/>
      <c r="C913" s="268"/>
      <c r="D913" s="268"/>
      <c r="E913" s="268"/>
      <c r="F913" s="268"/>
      <c r="G913" s="268"/>
      <c r="H913" s="268"/>
      <c r="I913" s="268"/>
      <c r="J913" s="268"/>
      <c r="K913" s="268"/>
      <c r="L913" s="268"/>
      <c r="M913" s="268"/>
      <c r="N913" s="268"/>
      <c r="O913" s="268"/>
      <c r="P913" s="310"/>
      <c r="Q913" s="268"/>
      <c r="R913" s="309"/>
      <c r="S913" s="268"/>
      <c r="T913" s="313"/>
      <c r="U913" s="313"/>
      <c r="V913" s="268"/>
      <c r="W913" s="268"/>
      <c r="X913" s="268"/>
      <c r="Y913" s="268"/>
      <c r="Z913" s="268"/>
    </row>
    <row r="914" spans="1:26" ht="24.75" customHeight="1">
      <c r="A914" s="268"/>
      <c r="B914" s="268"/>
      <c r="C914" s="268"/>
      <c r="D914" s="268"/>
      <c r="E914" s="268"/>
      <c r="F914" s="268"/>
      <c r="G914" s="268"/>
      <c r="H914" s="268"/>
      <c r="I914" s="268"/>
      <c r="J914" s="268"/>
      <c r="K914" s="268"/>
      <c r="L914" s="268"/>
      <c r="M914" s="268"/>
      <c r="N914" s="268"/>
      <c r="O914" s="268"/>
      <c r="P914" s="310"/>
      <c r="Q914" s="268"/>
      <c r="R914" s="309"/>
      <c r="S914" s="268"/>
      <c r="T914" s="313"/>
      <c r="U914" s="313"/>
      <c r="V914" s="268"/>
      <c r="W914" s="268"/>
      <c r="X914" s="268"/>
      <c r="Y914" s="268"/>
      <c r="Z914" s="268"/>
    </row>
    <row r="915" spans="1:26" ht="24.75" customHeight="1">
      <c r="A915" s="268"/>
      <c r="B915" s="268"/>
      <c r="C915" s="268"/>
      <c r="D915" s="268"/>
      <c r="E915" s="268"/>
      <c r="F915" s="268"/>
      <c r="G915" s="268"/>
      <c r="H915" s="268"/>
      <c r="I915" s="268"/>
      <c r="J915" s="268"/>
      <c r="K915" s="268"/>
      <c r="L915" s="268"/>
      <c r="M915" s="268"/>
      <c r="N915" s="268"/>
      <c r="O915" s="268"/>
      <c r="P915" s="310"/>
      <c r="Q915" s="268"/>
      <c r="R915" s="309"/>
      <c r="S915" s="268"/>
      <c r="T915" s="313"/>
      <c r="U915" s="313"/>
      <c r="V915" s="268"/>
      <c r="W915" s="268"/>
      <c r="X915" s="268"/>
      <c r="Y915" s="268"/>
      <c r="Z915" s="268"/>
    </row>
    <row r="916" spans="1:26" ht="24.75" customHeight="1">
      <c r="A916" s="268"/>
      <c r="B916" s="268"/>
      <c r="C916" s="268"/>
      <c r="D916" s="268"/>
      <c r="E916" s="268"/>
      <c r="F916" s="268"/>
      <c r="G916" s="268"/>
      <c r="H916" s="268"/>
      <c r="I916" s="268"/>
      <c r="J916" s="268"/>
      <c r="K916" s="268"/>
      <c r="L916" s="268"/>
      <c r="M916" s="268"/>
      <c r="N916" s="268"/>
      <c r="O916" s="268"/>
      <c r="P916" s="310"/>
      <c r="Q916" s="268"/>
      <c r="R916" s="309"/>
      <c r="S916" s="268"/>
      <c r="T916" s="313"/>
      <c r="U916" s="313"/>
      <c r="V916" s="268"/>
      <c r="W916" s="268"/>
      <c r="X916" s="268"/>
      <c r="Y916" s="268"/>
      <c r="Z916" s="268"/>
    </row>
    <row r="917" spans="1:26" ht="24.75" customHeight="1">
      <c r="A917" s="268"/>
      <c r="B917" s="268"/>
      <c r="C917" s="268"/>
      <c r="D917" s="268"/>
      <c r="E917" s="268"/>
      <c r="F917" s="268"/>
      <c r="G917" s="268"/>
      <c r="H917" s="268"/>
      <c r="I917" s="268"/>
      <c r="J917" s="268"/>
      <c r="K917" s="268"/>
      <c r="L917" s="268"/>
      <c r="M917" s="268"/>
      <c r="N917" s="268"/>
      <c r="O917" s="268"/>
      <c r="P917" s="310"/>
      <c r="Q917" s="268"/>
      <c r="R917" s="309"/>
      <c r="S917" s="268"/>
      <c r="T917" s="313"/>
      <c r="U917" s="313"/>
      <c r="V917" s="268"/>
      <c r="W917" s="268"/>
      <c r="X917" s="268"/>
      <c r="Y917" s="268"/>
      <c r="Z917" s="268"/>
    </row>
    <row r="918" spans="1:26" ht="24.75" customHeight="1">
      <c r="A918" s="268"/>
      <c r="B918" s="268"/>
      <c r="C918" s="268"/>
      <c r="D918" s="268"/>
      <c r="E918" s="268"/>
      <c r="F918" s="268"/>
      <c r="G918" s="268"/>
      <c r="H918" s="268"/>
      <c r="I918" s="268"/>
      <c r="J918" s="268"/>
      <c r="K918" s="268"/>
      <c r="L918" s="268"/>
      <c r="M918" s="268"/>
      <c r="N918" s="268"/>
      <c r="O918" s="268"/>
      <c r="P918" s="310"/>
      <c r="Q918" s="268"/>
      <c r="R918" s="309"/>
      <c r="S918" s="268"/>
      <c r="T918" s="313"/>
      <c r="U918" s="313"/>
      <c r="V918" s="268"/>
      <c r="W918" s="268"/>
      <c r="X918" s="268"/>
      <c r="Y918" s="268"/>
      <c r="Z918" s="268"/>
    </row>
    <row r="919" spans="1:26" ht="24.75" customHeight="1">
      <c r="A919" s="268"/>
      <c r="B919" s="268"/>
      <c r="C919" s="268"/>
      <c r="D919" s="268"/>
      <c r="E919" s="268"/>
      <c r="F919" s="268"/>
      <c r="G919" s="268"/>
      <c r="H919" s="268"/>
      <c r="I919" s="268"/>
      <c r="J919" s="268"/>
      <c r="K919" s="268"/>
      <c r="L919" s="268"/>
      <c r="M919" s="268"/>
      <c r="N919" s="268"/>
      <c r="O919" s="268"/>
      <c r="P919" s="310"/>
      <c r="Q919" s="268"/>
      <c r="R919" s="309"/>
      <c r="S919" s="268"/>
      <c r="T919" s="313"/>
      <c r="U919" s="313"/>
      <c r="V919" s="268"/>
      <c r="W919" s="268"/>
      <c r="X919" s="268"/>
      <c r="Y919" s="268"/>
      <c r="Z919" s="268"/>
    </row>
    <row r="920" spans="1:26" ht="24.75" customHeight="1">
      <c r="A920" s="268"/>
      <c r="B920" s="268"/>
      <c r="C920" s="268"/>
      <c r="D920" s="268"/>
      <c r="E920" s="268"/>
      <c r="F920" s="268"/>
      <c r="G920" s="268"/>
      <c r="H920" s="268"/>
      <c r="I920" s="268"/>
      <c r="J920" s="268"/>
      <c r="K920" s="268"/>
      <c r="L920" s="268"/>
      <c r="M920" s="268"/>
      <c r="N920" s="268"/>
      <c r="O920" s="268"/>
      <c r="P920" s="310"/>
      <c r="Q920" s="268"/>
      <c r="R920" s="309"/>
      <c r="S920" s="268"/>
      <c r="T920" s="313"/>
      <c r="U920" s="313"/>
      <c r="V920" s="268"/>
      <c r="W920" s="268"/>
      <c r="X920" s="268"/>
      <c r="Y920" s="268"/>
      <c r="Z920" s="268"/>
    </row>
    <row r="921" spans="1:26" ht="24.75" customHeight="1">
      <c r="A921" s="268"/>
      <c r="B921" s="268"/>
      <c r="C921" s="268"/>
      <c r="D921" s="268"/>
      <c r="E921" s="268"/>
      <c r="F921" s="268"/>
      <c r="G921" s="268"/>
      <c r="H921" s="268"/>
      <c r="I921" s="268"/>
      <c r="J921" s="268"/>
      <c r="K921" s="268"/>
      <c r="L921" s="268"/>
      <c r="M921" s="268"/>
      <c r="N921" s="268"/>
      <c r="O921" s="268"/>
      <c r="P921" s="310"/>
      <c r="Q921" s="268"/>
      <c r="R921" s="309"/>
      <c r="S921" s="268"/>
      <c r="T921" s="313"/>
      <c r="U921" s="313"/>
      <c r="V921" s="268"/>
      <c r="W921" s="268"/>
      <c r="X921" s="268"/>
      <c r="Y921" s="268"/>
      <c r="Z921" s="268"/>
    </row>
    <row r="922" spans="1:26" ht="24.75" customHeight="1">
      <c r="A922" s="268"/>
      <c r="B922" s="268"/>
      <c r="C922" s="268"/>
      <c r="D922" s="268"/>
      <c r="E922" s="268"/>
      <c r="F922" s="268"/>
      <c r="G922" s="268"/>
      <c r="H922" s="268"/>
      <c r="I922" s="268"/>
      <c r="J922" s="268"/>
      <c r="K922" s="268"/>
      <c r="L922" s="268"/>
      <c r="M922" s="268"/>
      <c r="N922" s="268"/>
      <c r="O922" s="268"/>
      <c r="P922" s="310"/>
      <c r="Q922" s="268"/>
      <c r="R922" s="309"/>
      <c r="S922" s="268"/>
      <c r="T922" s="313"/>
      <c r="U922" s="313"/>
      <c r="V922" s="268"/>
      <c r="W922" s="268"/>
      <c r="X922" s="268"/>
      <c r="Y922" s="268"/>
      <c r="Z922" s="268"/>
    </row>
    <row r="923" spans="1:26" ht="24.75" customHeight="1">
      <c r="A923" s="268"/>
      <c r="B923" s="268"/>
      <c r="C923" s="268"/>
      <c r="D923" s="268"/>
      <c r="E923" s="268"/>
      <c r="F923" s="268"/>
      <c r="G923" s="268"/>
      <c r="H923" s="268"/>
      <c r="I923" s="268"/>
      <c r="J923" s="268"/>
      <c r="K923" s="268"/>
      <c r="L923" s="268"/>
      <c r="M923" s="268"/>
      <c r="N923" s="268"/>
      <c r="O923" s="268"/>
      <c r="P923" s="310"/>
      <c r="Q923" s="268"/>
      <c r="R923" s="309"/>
      <c r="S923" s="268"/>
      <c r="T923" s="313"/>
      <c r="U923" s="313"/>
      <c r="V923" s="268"/>
      <c r="W923" s="268"/>
      <c r="X923" s="268"/>
      <c r="Y923" s="268"/>
      <c r="Z923" s="268"/>
    </row>
    <row r="924" spans="1:26" ht="24.75" customHeight="1">
      <c r="A924" s="268"/>
      <c r="B924" s="268"/>
      <c r="C924" s="268"/>
      <c r="D924" s="268"/>
      <c r="E924" s="268"/>
      <c r="F924" s="268"/>
      <c r="G924" s="268"/>
      <c r="H924" s="268"/>
      <c r="I924" s="268"/>
      <c r="J924" s="268"/>
      <c r="K924" s="268"/>
      <c r="L924" s="268"/>
      <c r="M924" s="268"/>
      <c r="N924" s="268"/>
      <c r="O924" s="268"/>
      <c r="P924" s="310"/>
      <c r="Q924" s="268"/>
      <c r="R924" s="309"/>
      <c r="S924" s="268"/>
      <c r="T924" s="313"/>
      <c r="U924" s="313"/>
      <c r="V924" s="268"/>
      <c r="W924" s="268"/>
      <c r="X924" s="268"/>
      <c r="Y924" s="268"/>
      <c r="Z924" s="268"/>
    </row>
    <row r="925" spans="1:26" ht="24.75" customHeight="1">
      <c r="A925" s="268"/>
      <c r="B925" s="268"/>
      <c r="C925" s="268"/>
      <c r="D925" s="268"/>
      <c r="E925" s="268"/>
      <c r="F925" s="268"/>
      <c r="G925" s="268"/>
      <c r="H925" s="268"/>
      <c r="I925" s="268"/>
      <c r="J925" s="268"/>
      <c r="K925" s="268"/>
      <c r="L925" s="268"/>
      <c r="M925" s="268"/>
      <c r="N925" s="268"/>
      <c r="O925" s="268"/>
      <c r="P925" s="310"/>
      <c r="Q925" s="268"/>
      <c r="R925" s="309"/>
      <c r="S925" s="268"/>
      <c r="T925" s="313"/>
      <c r="U925" s="313"/>
      <c r="V925" s="268"/>
      <c r="W925" s="268"/>
      <c r="X925" s="268"/>
      <c r="Y925" s="268"/>
      <c r="Z925" s="268"/>
    </row>
    <row r="926" spans="1:26" ht="24.75" customHeight="1">
      <c r="A926" s="268"/>
      <c r="B926" s="268"/>
      <c r="C926" s="268"/>
      <c r="D926" s="268"/>
      <c r="E926" s="268"/>
      <c r="F926" s="268"/>
      <c r="G926" s="268"/>
      <c r="H926" s="268"/>
      <c r="I926" s="268"/>
      <c r="J926" s="268"/>
      <c r="K926" s="268"/>
      <c r="L926" s="268"/>
      <c r="M926" s="268"/>
      <c r="N926" s="268"/>
      <c r="O926" s="268"/>
      <c r="P926" s="310"/>
      <c r="Q926" s="268"/>
      <c r="R926" s="309"/>
      <c r="S926" s="268"/>
      <c r="T926" s="313"/>
      <c r="U926" s="313"/>
      <c r="V926" s="268"/>
      <c r="W926" s="268"/>
      <c r="X926" s="268"/>
      <c r="Y926" s="268"/>
      <c r="Z926" s="268"/>
    </row>
    <row r="927" spans="1:26" ht="24.75" customHeight="1">
      <c r="A927" s="268"/>
      <c r="B927" s="268"/>
      <c r="C927" s="268"/>
      <c r="D927" s="268"/>
      <c r="E927" s="268"/>
      <c r="F927" s="268"/>
      <c r="G927" s="268"/>
      <c r="H927" s="268"/>
      <c r="I927" s="268"/>
      <c r="J927" s="268"/>
      <c r="K927" s="268"/>
      <c r="L927" s="268"/>
      <c r="M927" s="268"/>
      <c r="N927" s="268"/>
      <c r="O927" s="268"/>
      <c r="P927" s="310"/>
      <c r="Q927" s="268"/>
      <c r="R927" s="309"/>
      <c r="S927" s="268"/>
      <c r="T927" s="313"/>
      <c r="U927" s="313"/>
      <c r="V927" s="268"/>
      <c r="W927" s="268"/>
      <c r="X927" s="268"/>
      <c r="Y927" s="268"/>
      <c r="Z927" s="268"/>
    </row>
    <row r="928" spans="1:26" ht="24.75" customHeight="1">
      <c r="A928" s="268"/>
      <c r="B928" s="268"/>
      <c r="C928" s="268"/>
      <c r="D928" s="268"/>
      <c r="E928" s="268"/>
      <c r="F928" s="268"/>
      <c r="G928" s="268"/>
      <c r="H928" s="268"/>
      <c r="I928" s="268"/>
      <c r="J928" s="268"/>
      <c r="K928" s="268"/>
      <c r="L928" s="268"/>
      <c r="M928" s="268"/>
      <c r="N928" s="268"/>
      <c r="O928" s="268"/>
      <c r="P928" s="310"/>
      <c r="Q928" s="268"/>
      <c r="R928" s="309"/>
      <c r="S928" s="268"/>
      <c r="T928" s="313"/>
      <c r="U928" s="313"/>
      <c r="V928" s="268"/>
      <c r="W928" s="268"/>
      <c r="X928" s="268"/>
      <c r="Y928" s="268"/>
      <c r="Z928" s="268"/>
    </row>
    <row r="929" spans="1:26" ht="24.75" customHeight="1">
      <c r="A929" s="268"/>
      <c r="B929" s="268"/>
      <c r="C929" s="268"/>
      <c r="D929" s="268"/>
      <c r="E929" s="268"/>
      <c r="F929" s="268"/>
      <c r="G929" s="268"/>
      <c r="H929" s="268"/>
      <c r="I929" s="268"/>
      <c r="J929" s="268"/>
      <c r="K929" s="268"/>
      <c r="L929" s="268"/>
      <c r="M929" s="268"/>
      <c r="N929" s="268"/>
      <c r="O929" s="268"/>
      <c r="P929" s="310"/>
      <c r="Q929" s="268"/>
      <c r="R929" s="309"/>
      <c r="S929" s="268"/>
      <c r="T929" s="313"/>
      <c r="U929" s="313"/>
      <c r="V929" s="268"/>
      <c r="W929" s="268"/>
      <c r="X929" s="268"/>
      <c r="Y929" s="268"/>
      <c r="Z929" s="268"/>
    </row>
    <row r="930" spans="1:26" ht="24.75" customHeight="1">
      <c r="A930" s="268"/>
      <c r="B930" s="268"/>
      <c r="C930" s="268"/>
      <c r="D930" s="268"/>
      <c r="E930" s="268"/>
      <c r="F930" s="268"/>
      <c r="G930" s="268"/>
      <c r="H930" s="268"/>
      <c r="I930" s="268"/>
      <c r="J930" s="268"/>
      <c r="K930" s="268"/>
      <c r="L930" s="268"/>
      <c r="M930" s="268"/>
      <c r="N930" s="268"/>
      <c r="O930" s="268"/>
      <c r="P930" s="310"/>
      <c r="Q930" s="268"/>
      <c r="R930" s="309"/>
      <c r="S930" s="268"/>
      <c r="T930" s="313"/>
      <c r="U930" s="313"/>
      <c r="V930" s="268"/>
      <c r="W930" s="268"/>
      <c r="X930" s="268"/>
      <c r="Y930" s="268"/>
      <c r="Z930" s="268"/>
    </row>
    <row r="931" spans="1:26" ht="24.75" customHeight="1">
      <c r="A931" s="268"/>
      <c r="B931" s="268"/>
      <c r="C931" s="268"/>
      <c r="D931" s="268"/>
      <c r="E931" s="268"/>
      <c r="F931" s="268"/>
      <c r="G931" s="268"/>
      <c r="H931" s="268"/>
      <c r="I931" s="268"/>
      <c r="J931" s="268"/>
      <c r="K931" s="268"/>
      <c r="L931" s="268"/>
      <c r="M931" s="268"/>
      <c r="N931" s="268"/>
      <c r="O931" s="268"/>
      <c r="P931" s="310"/>
      <c r="Q931" s="268"/>
      <c r="R931" s="309"/>
      <c r="S931" s="268"/>
      <c r="T931" s="313"/>
      <c r="U931" s="313"/>
      <c r="V931" s="268"/>
      <c r="W931" s="268"/>
      <c r="X931" s="268"/>
      <c r="Y931" s="268"/>
      <c r="Z931" s="268"/>
    </row>
    <row r="932" spans="1:26" ht="24.75" customHeight="1">
      <c r="A932" s="268"/>
      <c r="B932" s="268"/>
      <c r="C932" s="268"/>
      <c r="D932" s="268"/>
      <c r="E932" s="268"/>
      <c r="F932" s="268"/>
      <c r="G932" s="268"/>
      <c r="H932" s="268"/>
      <c r="I932" s="268"/>
      <c r="J932" s="268"/>
      <c r="K932" s="268"/>
      <c r="L932" s="268"/>
      <c r="M932" s="268"/>
      <c r="N932" s="268"/>
      <c r="O932" s="268"/>
      <c r="P932" s="310"/>
      <c r="Q932" s="268"/>
      <c r="R932" s="309"/>
      <c r="S932" s="268"/>
      <c r="T932" s="313"/>
      <c r="U932" s="313"/>
      <c r="V932" s="268"/>
      <c r="W932" s="268"/>
      <c r="X932" s="268"/>
      <c r="Y932" s="268"/>
      <c r="Z932" s="268"/>
    </row>
    <row r="933" spans="1:26" ht="24.75" customHeight="1">
      <c r="A933" s="268"/>
      <c r="B933" s="268"/>
      <c r="C933" s="268"/>
      <c r="D933" s="268"/>
      <c r="E933" s="268"/>
      <c r="F933" s="268"/>
      <c r="G933" s="268"/>
      <c r="H933" s="268"/>
      <c r="I933" s="268"/>
      <c r="J933" s="268"/>
      <c r="K933" s="268"/>
      <c r="L933" s="268"/>
      <c r="M933" s="268"/>
      <c r="N933" s="268"/>
      <c r="O933" s="268"/>
      <c r="P933" s="310"/>
      <c r="Q933" s="268"/>
      <c r="R933" s="309"/>
      <c r="S933" s="268"/>
      <c r="T933" s="313"/>
      <c r="U933" s="313"/>
      <c r="V933" s="268"/>
      <c r="W933" s="268"/>
      <c r="X933" s="268"/>
      <c r="Y933" s="268"/>
      <c r="Z933" s="268"/>
    </row>
    <row r="934" spans="1:26" ht="24.75" customHeight="1">
      <c r="A934" s="268"/>
      <c r="B934" s="268"/>
      <c r="C934" s="268"/>
      <c r="D934" s="268"/>
      <c r="E934" s="268"/>
      <c r="F934" s="268"/>
      <c r="G934" s="268"/>
      <c r="H934" s="268"/>
      <c r="I934" s="268"/>
      <c r="J934" s="268"/>
      <c r="K934" s="268"/>
      <c r="L934" s="268"/>
      <c r="M934" s="268"/>
      <c r="N934" s="268"/>
      <c r="O934" s="268"/>
      <c r="P934" s="310"/>
      <c r="Q934" s="268"/>
      <c r="R934" s="309"/>
      <c r="S934" s="268"/>
      <c r="T934" s="313"/>
      <c r="U934" s="313"/>
      <c r="V934" s="268"/>
      <c r="W934" s="268"/>
      <c r="X934" s="268"/>
      <c r="Y934" s="268"/>
      <c r="Z934" s="268"/>
    </row>
    <row r="935" spans="1:26" ht="24.75" customHeight="1">
      <c r="A935" s="268"/>
      <c r="B935" s="268"/>
      <c r="C935" s="268"/>
      <c r="D935" s="268"/>
      <c r="E935" s="268"/>
      <c r="F935" s="268"/>
      <c r="G935" s="268"/>
      <c r="H935" s="268"/>
      <c r="I935" s="268"/>
      <c r="J935" s="268"/>
      <c r="K935" s="268"/>
      <c r="L935" s="268"/>
      <c r="M935" s="268"/>
      <c r="N935" s="268"/>
      <c r="O935" s="268"/>
      <c r="P935" s="310"/>
      <c r="Q935" s="268"/>
      <c r="R935" s="309"/>
      <c r="S935" s="268"/>
      <c r="T935" s="313"/>
      <c r="U935" s="313"/>
      <c r="V935" s="268"/>
      <c r="W935" s="268"/>
      <c r="X935" s="268"/>
      <c r="Y935" s="268"/>
      <c r="Z935" s="268"/>
    </row>
    <row r="936" spans="1:26" ht="24.75" customHeight="1">
      <c r="A936" s="268"/>
      <c r="B936" s="268"/>
      <c r="C936" s="268"/>
      <c r="D936" s="268"/>
      <c r="E936" s="268"/>
      <c r="F936" s="268"/>
      <c r="G936" s="268"/>
      <c r="H936" s="268"/>
      <c r="I936" s="268"/>
      <c r="J936" s="268"/>
      <c r="K936" s="268"/>
      <c r="L936" s="268"/>
      <c r="M936" s="268"/>
      <c r="N936" s="268"/>
      <c r="O936" s="268"/>
      <c r="P936" s="310"/>
      <c r="Q936" s="268"/>
      <c r="R936" s="309"/>
      <c r="S936" s="268"/>
      <c r="T936" s="313"/>
      <c r="U936" s="313"/>
      <c r="V936" s="268"/>
      <c r="W936" s="268"/>
      <c r="X936" s="268"/>
      <c r="Y936" s="268"/>
      <c r="Z936" s="268"/>
    </row>
    <row r="937" spans="1:26" ht="24.75" customHeight="1">
      <c r="A937" s="268"/>
      <c r="B937" s="268"/>
      <c r="C937" s="268"/>
      <c r="D937" s="268"/>
      <c r="E937" s="268"/>
      <c r="F937" s="268"/>
      <c r="G937" s="268"/>
      <c r="H937" s="268"/>
      <c r="I937" s="268"/>
      <c r="J937" s="268"/>
      <c r="K937" s="268"/>
      <c r="L937" s="268"/>
      <c r="M937" s="268"/>
      <c r="N937" s="268"/>
      <c r="O937" s="268"/>
      <c r="P937" s="310"/>
      <c r="Q937" s="268"/>
      <c r="R937" s="309"/>
      <c r="S937" s="268"/>
      <c r="T937" s="313"/>
      <c r="U937" s="313"/>
      <c r="V937" s="268"/>
      <c r="W937" s="268"/>
      <c r="X937" s="268"/>
      <c r="Y937" s="268"/>
      <c r="Z937" s="268"/>
    </row>
    <row r="938" spans="1:26" ht="24.75" customHeight="1">
      <c r="A938" s="268"/>
      <c r="B938" s="268"/>
      <c r="C938" s="268"/>
      <c r="D938" s="268"/>
      <c r="E938" s="268"/>
      <c r="F938" s="268"/>
      <c r="G938" s="268"/>
      <c r="H938" s="268"/>
      <c r="I938" s="268"/>
      <c r="J938" s="268"/>
      <c r="K938" s="268"/>
      <c r="L938" s="268"/>
      <c r="M938" s="268"/>
      <c r="N938" s="268"/>
      <c r="O938" s="268"/>
      <c r="P938" s="310"/>
      <c r="Q938" s="268"/>
      <c r="R938" s="309"/>
      <c r="S938" s="268"/>
      <c r="T938" s="313"/>
      <c r="U938" s="313"/>
      <c r="V938" s="268"/>
      <c r="W938" s="268"/>
      <c r="X938" s="268"/>
      <c r="Y938" s="268"/>
      <c r="Z938" s="268"/>
    </row>
    <row r="939" spans="1:26" ht="24.75" customHeight="1">
      <c r="A939" s="268"/>
      <c r="B939" s="268"/>
      <c r="C939" s="268"/>
      <c r="D939" s="268"/>
      <c r="E939" s="268"/>
      <c r="F939" s="268"/>
      <c r="G939" s="268"/>
      <c r="H939" s="268"/>
      <c r="I939" s="268"/>
      <c r="J939" s="268"/>
      <c r="K939" s="268"/>
      <c r="L939" s="268"/>
      <c r="M939" s="268"/>
      <c r="N939" s="268"/>
      <c r="O939" s="268"/>
      <c r="P939" s="310"/>
      <c r="Q939" s="268"/>
      <c r="R939" s="309"/>
      <c r="S939" s="268"/>
      <c r="T939" s="313"/>
      <c r="U939" s="313"/>
      <c r="V939" s="268"/>
      <c r="W939" s="268"/>
      <c r="X939" s="268"/>
      <c r="Y939" s="268"/>
      <c r="Z939" s="268"/>
    </row>
    <row r="940" spans="1:26" ht="24.75" customHeight="1">
      <c r="A940" s="268"/>
      <c r="B940" s="268"/>
      <c r="C940" s="268"/>
      <c r="D940" s="268"/>
      <c r="E940" s="268"/>
      <c r="F940" s="268"/>
      <c r="G940" s="268"/>
      <c r="H940" s="268"/>
      <c r="I940" s="268"/>
      <c r="J940" s="268"/>
      <c r="K940" s="268"/>
      <c r="L940" s="268"/>
      <c r="M940" s="268"/>
      <c r="N940" s="268"/>
      <c r="O940" s="268"/>
      <c r="P940" s="310"/>
      <c r="Q940" s="268"/>
      <c r="R940" s="309"/>
      <c r="S940" s="268"/>
      <c r="T940" s="313"/>
      <c r="U940" s="313"/>
      <c r="V940" s="268"/>
      <c r="W940" s="268"/>
      <c r="X940" s="268"/>
      <c r="Y940" s="268"/>
      <c r="Z940" s="268"/>
    </row>
    <row r="941" spans="1:26" ht="24.75" customHeight="1">
      <c r="A941" s="268"/>
      <c r="B941" s="268"/>
      <c r="C941" s="268"/>
      <c r="D941" s="268"/>
      <c r="E941" s="268"/>
      <c r="F941" s="268"/>
      <c r="G941" s="268"/>
      <c r="H941" s="268"/>
      <c r="I941" s="268"/>
      <c r="J941" s="268"/>
      <c r="K941" s="268"/>
      <c r="L941" s="268"/>
      <c r="M941" s="268"/>
      <c r="N941" s="268"/>
      <c r="O941" s="268"/>
      <c r="P941" s="310"/>
      <c r="Q941" s="268"/>
      <c r="R941" s="309"/>
      <c r="S941" s="268"/>
      <c r="T941" s="313"/>
      <c r="U941" s="313"/>
      <c r="V941" s="268"/>
      <c r="W941" s="268"/>
      <c r="X941" s="268"/>
      <c r="Y941" s="268"/>
      <c r="Z941" s="268"/>
    </row>
    <row r="942" spans="1:26" ht="24.75" customHeight="1">
      <c r="A942" s="268"/>
      <c r="B942" s="268"/>
      <c r="C942" s="268"/>
      <c r="D942" s="268"/>
      <c r="E942" s="268"/>
      <c r="F942" s="268"/>
      <c r="G942" s="268"/>
      <c r="H942" s="268"/>
      <c r="I942" s="268"/>
      <c r="J942" s="268"/>
      <c r="K942" s="268"/>
      <c r="L942" s="268"/>
      <c r="M942" s="268"/>
      <c r="N942" s="268"/>
      <c r="O942" s="268"/>
      <c r="P942" s="310"/>
      <c r="Q942" s="268"/>
      <c r="R942" s="309"/>
      <c r="S942" s="268"/>
      <c r="T942" s="313"/>
      <c r="U942" s="313"/>
      <c r="V942" s="268"/>
      <c r="W942" s="268"/>
      <c r="X942" s="268"/>
      <c r="Y942" s="268"/>
      <c r="Z942" s="268"/>
    </row>
    <row r="943" spans="1:26" ht="24.75" customHeight="1">
      <c r="A943" s="268"/>
      <c r="B943" s="268"/>
      <c r="C943" s="268"/>
      <c r="D943" s="268"/>
      <c r="E943" s="268"/>
      <c r="F943" s="268"/>
      <c r="G943" s="268"/>
      <c r="H943" s="268"/>
      <c r="I943" s="268"/>
      <c r="J943" s="268"/>
      <c r="K943" s="268"/>
      <c r="L943" s="268"/>
      <c r="M943" s="268"/>
      <c r="N943" s="268"/>
      <c r="O943" s="268"/>
      <c r="P943" s="310"/>
      <c r="Q943" s="268"/>
      <c r="R943" s="309"/>
      <c r="S943" s="268"/>
      <c r="T943" s="313"/>
      <c r="U943" s="313"/>
      <c r="V943" s="268"/>
      <c r="W943" s="268"/>
      <c r="X943" s="268"/>
      <c r="Y943" s="268"/>
      <c r="Z943" s="268"/>
    </row>
    <row r="944" spans="1:26" ht="24.75" customHeight="1">
      <c r="A944" s="268"/>
      <c r="B944" s="268"/>
      <c r="C944" s="268"/>
      <c r="D944" s="268"/>
      <c r="E944" s="268"/>
      <c r="F944" s="268"/>
      <c r="G944" s="268"/>
      <c r="H944" s="268"/>
      <c r="I944" s="268"/>
      <c r="J944" s="268"/>
      <c r="K944" s="268"/>
      <c r="L944" s="268"/>
      <c r="M944" s="268"/>
      <c r="N944" s="268"/>
      <c r="O944" s="268"/>
      <c r="P944" s="310"/>
      <c r="Q944" s="268"/>
      <c r="R944" s="309"/>
      <c r="S944" s="268"/>
      <c r="T944" s="313"/>
      <c r="U944" s="313"/>
      <c r="V944" s="268"/>
      <c r="W944" s="268"/>
      <c r="X944" s="268"/>
      <c r="Y944" s="268"/>
      <c r="Z944" s="268"/>
    </row>
    <row r="945" spans="1:26" ht="24.75" customHeight="1">
      <c r="A945" s="268"/>
      <c r="B945" s="268"/>
      <c r="C945" s="268"/>
      <c r="D945" s="268"/>
      <c r="E945" s="268"/>
      <c r="F945" s="268"/>
      <c r="G945" s="268"/>
      <c r="H945" s="268"/>
      <c r="I945" s="268"/>
      <c r="J945" s="268"/>
      <c r="K945" s="268"/>
      <c r="L945" s="268"/>
      <c r="M945" s="268"/>
      <c r="N945" s="268"/>
      <c r="O945" s="268"/>
      <c r="P945" s="310"/>
      <c r="Q945" s="268"/>
      <c r="R945" s="309"/>
      <c r="S945" s="268"/>
      <c r="T945" s="313"/>
      <c r="U945" s="313"/>
      <c r="V945" s="268"/>
      <c r="W945" s="268"/>
      <c r="X945" s="268"/>
      <c r="Y945" s="268"/>
      <c r="Z945" s="268"/>
    </row>
    <row r="946" spans="1:26" ht="24.75" customHeight="1">
      <c r="A946" s="268"/>
      <c r="B946" s="268"/>
      <c r="C946" s="268"/>
      <c r="D946" s="268"/>
      <c r="E946" s="268"/>
      <c r="F946" s="268"/>
      <c r="G946" s="268"/>
      <c r="H946" s="268"/>
      <c r="I946" s="268"/>
      <c r="J946" s="268"/>
      <c r="K946" s="268"/>
      <c r="L946" s="268"/>
      <c r="M946" s="268"/>
      <c r="N946" s="268"/>
      <c r="O946" s="268"/>
      <c r="P946" s="310"/>
      <c r="Q946" s="268"/>
      <c r="R946" s="309"/>
      <c r="S946" s="268"/>
      <c r="T946" s="313"/>
      <c r="U946" s="313"/>
      <c r="V946" s="268"/>
      <c r="W946" s="268"/>
      <c r="X946" s="268"/>
      <c r="Y946" s="268"/>
      <c r="Z946" s="268"/>
    </row>
    <row r="947" spans="1:26" ht="24.75" customHeight="1">
      <c r="A947" s="268"/>
      <c r="B947" s="268"/>
      <c r="C947" s="268"/>
      <c r="D947" s="268"/>
      <c r="E947" s="268"/>
      <c r="F947" s="268"/>
      <c r="G947" s="268"/>
      <c r="H947" s="268"/>
      <c r="I947" s="268"/>
      <c r="J947" s="268"/>
      <c r="K947" s="268"/>
      <c r="L947" s="268"/>
      <c r="M947" s="268"/>
      <c r="N947" s="268"/>
      <c r="O947" s="268"/>
      <c r="P947" s="310"/>
      <c r="Q947" s="268"/>
      <c r="R947" s="309"/>
      <c r="S947" s="268"/>
      <c r="T947" s="313"/>
      <c r="U947" s="313"/>
      <c r="V947" s="268"/>
      <c r="W947" s="268"/>
      <c r="X947" s="268"/>
      <c r="Y947" s="268"/>
      <c r="Z947" s="268"/>
    </row>
    <row r="948" spans="1:26" ht="24.75" customHeight="1">
      <c r="A948" s="268"/>
      <c r="B948" s="268"/>
      <c r="C948" s="268"/>
      <c r="D948" s="268"/>
      <c r="E948" s="268"/>
      <c r="F948" s="268"/>
      <c r="G948" s="268"/>
      <c r="H948" s="268"/>
      <c r="I948" s="268"/>
      <c r="J948" s="268"/>
      <c r="K948" s="268"/>
      <c r="L948" s="268"/>
      <c r="M948" s="268"/>
      <c r="N948" s="268"/>
      <c r="O948" s="268"/>
      <c r="P948" s="310"/>
      <c r="Q948" s="268"/>
      <c r="R948" s="309"/>
      <c r="S948" s="268"/>
      <c r="T948" s="313"/>
      <c r="U948" s="313"/>
      <c r="V948" s="268"/>
      <c r="W948" s="268"/>
      <c r="X948" s="268"/>
      <c r="Y948" s="268"/>
      <c r="Z948" s="268"/>
    </row>
    <row r="949" spans="1:26" ht="24.75" customHeight="1">
      <c r="A949" s="268"/>
      <c r="B949" s="268"/>
      <c r="C949" s="268"/>
      <c r="D949" s="268"/>
      <c r="E949" s="268"/>
      <c r="F949" s="268"/>
      <c r="G949" s="268"/>
      <c r="H949" s="268"/>
      <c r="I949" s="268"/>
      <c r="J949" s="268"/>
      <c r="K949" s="268"/>
      <c r="L949" s="268"/>
      <c r="M949" s="268"/>
      <c r="N949" s="268"/>
      <c r="O949" s="268"/>
      <c r="P949" s="310"/>
      <c r="Q949" s="268"/>
      <c r="R949" s="309"/>
      <c r="S949" s="268"/>
      <c r="T949" s="313"/>
      <c r="U949" s="313"/>
      <c r="V949" s="268"/>
      <c r="W949" s="268"/>
      <c r="X949" s="268"/>
      <c r="Y949" s="268"/>
      <c r="Z949" s="268"/>
    </row>
    <row r="950" spans="1:26" ht="24.75" customHeight="1">
      <c r="A950" s="268"/>
      <c r="B950" s="268"/>
      <c r="C950" s="268"/>
      <c r="D950" s="268"/>
      <c r="E950" s="268"/>
      <c r="F950" s="268"/>
      <c r="G950" s="268"/>
      <c r="H950" s="268"/>
      <c r="I950" s="268"/>
      <c r="J950" s="268"/>
      <c r="K950" s="268"/>
      <c r="L950" s="268"/>
      <c r="M950" s="268"/>
      <c r="N950" s="268"/>
      <c r="O950" s="268"/>
      <c r="P950" s="310"/>
      <c r="Q950" s="268"/>
      <c r="R950" s="309"/>
      <c r="S950" s="268"/>
      <c r="T950" s="313"/>
      <c r="U950" s="313"/>
      <c r="V950" s="268"/>
      <c r="W950" s="268"/>
      <c r="X950" s="268"/>
      <c r="Y950" s="268"/>
      <c r="Z950" s="268"/>
    </row>
    <row r="951" spans="1:26" ht="24.75" customHeight="1">
      <c r="A951" s="268"/>
      <c r="B951" s="268"/>
      <c r="C951" s="268"/>
      <c r="D951" s="268"/>
      <c r="E951" s="268"/>
      <c r="F951" s="268"/>
      <c r="G951" s="268"/>
      <c r="H951" s="268"/>
      <c r="I951" s="268"/>
      <c r="J951" s="268"/>
      <c r="K951" s="268"/>
      <c r="L951" s="268"/>
      <c r="M951" s="268"/>
      <c r="N951" s="268"/>
      <c r="O951" s="268"/>
      <c r="P951" s="310"/>
      <c r="Q951" s="268"/>
      <c r="R951" s="309"/>
      <c r="S951" s="268"/>
      <c r="T951" s="313"/>
      <c r="U951" s="313"/>
      <c r="V951" s="268"/>
      <c r="W951" s="268"/>
      <c r="X951" s="268"/>
      <c r="Y951" s="268"/>
      <c r="Z951" s="268"/>
    </row>
    <row r="952" spans="1:26" ht="24.75" customHeight="1">
      <c r="A952" s="268"/>
      <c r="B952" s="268"/>
      <c r="C952" s="268"/>
      <c r="D952" s="268"/>
      <c r="E952" s="268"/>
      <c r="F952" s="268"/>
      <c r="G952" s="268"/>
      <c r="H952" s="268"/>
      <c r="I952" s="268"/>
      <c r="J952" s="268"/>
      <c r="K952" s="268"/>
      <c r="L952" s="268"/>
      <c r="M952" s="268"/>
      <c r="N952" s="268"/>
      <c r="O952" s="268"/>
      <c r="P952" s="310"/>
      <c r="Q952" s="268"/>
      <c r="R952" s="309"/>
      <c r="S952" s="268"/>
      <c r="T952" s="313"/>
      <c r="U952" s="313"/>
      <c r="V952" s="268"/>
      <c r="W952" s="268"/>
      <c r="X952" s="268"/>
      <c r="Y952" s="268"/>
      <c r="Z952" s="268"/>
    </row>
    <row r="953" spans="1:26" ht="24.75" customHeight="1">
      <c r="A953" s="268"/>
      <c r="B953" s="268"/>
      <c r="C953" s="268"/>
      <c r="D953" s="268"/>
      <c r="E953" s="268"/>
      <c r="F953" s="268"/>
      <c r="G953" s="268"/>
      <c r="H953" s="268"/>
      <c r="I953" s="268"/>
      <c r="J953" s="268"/>
      <c r="K953" s="268"/>
      <c r="L953" s="268"/>
      <c r="M953" s="268"/>
      <c r="N953" s="268"/>
      <c r="O953" s="268"/>
      <c r="P953" s="310"/>
      <c r="Q953" s="268"/>
      <c r="R953" s="309"/>
      <c r="S953" s="268"/>
      <c r="T953" s="313"/>
      <c r="U953" s="313"/>
      <c r="V953" s="268"/>
      <c r="W953" s="268"/>
      <c r="X953" s="268"/>
      <c r="Y953" s="268"/>
      <c r="Z953" s="268"/>
    </row>
    <row r="954" spans="1:26" ht="24.75" customHeight="1">
      <c r="A954" s="268"/>
      <c r="B954" s="268"/>
      <c r="C954" s="268"/>
      <c r="D954" s="268"/>
      <c r="E954" s="268"/>
      <c r="F954" s="268"/>
      <c r="G954" s="268"/>
      <c r="H954" s="268"/>
      <c r="I954" s="268"/>
      <c r="J954" s="268"/>
      <c r="K954" s="268"/>
      <c r="L954" s="268"/>
      <c r="M954" s="268"/>
      <c r="N954" s="268"/>
      <c r="O954" s="268"/>
      <c r="P954" s="310"/>
      <c r="Q954" s="268"/>
      <c r="R954" s="309"/>
      <c r="S954" s="268"/>
      <c r="T954" s="313"/>
      <c r="U954" s="313"/>
      <c r="V954" s="268"/>
      <c r="W954" s="268"/>
      <c r="X954" s="268"/>
      <c r="Y954" s="268"/>
      <c r="Z954" s="268"/>
    </row>
    <row r="955" spans="1:26" ht="24.75" customHeight="1">
      <c r="A955" s="268"/>
      <c r="B955" s="268"/>
      <c r="C955" s="268"/>
      <c r="D955" s="268"/>
      <c r="E955" s="268"/>
      <c r="F955" s="268"/>
      <c r="G955" s="268"/>
      <c r="H955" s="268"/>
      <c r="I955" s="268"/>
      <c r="J955" s="268"/>
      <c r="K955" s="268"/>
      <c r="L955" s="268"/>
      <c r="M955" s="268"/>
      <c r="N955" s="268"/>
      <c r="O955" s="268"/>
      <c r="P955" s="310"/>
      <c r="Q955" s="268"/>
      <c r="R955" s="309"/>
      <c r="S955" s="268"/>
      <c r="T955" s="313"/>
      <c r="U955" s="313"/>
      <c r="V955" s="268"/>
      <c r="W955" s="268"/>
      <c r="X955" s="268"/>
      <c r="Y955" s="268"/>
      <c r="Z955" s="268"/>
    </row>
    <row r="956" spans="1:26" ht="24.75" customHeight="1">
      <c r="A956" s="268"/>
      <c r="B956" s="268"/>
      <c r="C956" s="268"/>
      <c r="D956" s="268"/>
      <c r="E956" s="268"/>
      <c r="F956" s="268"/>
      <c r="G956" s="268"/>
      <c r="H956" s="268"/>
      <c r="I956" s="268"/>
      <c r="J956" s="268"/>
      <c r="K956" s="268"/>
      <c r="L956" s="268"/>
      <c r="M956" s="268"/>
      <c r="N956" s="268"/>
      <c r="O956" s="268"/>
      <c r="P956" s="310"/>
      <c r="Q956" s="268"/>
      <c r="R956" s="309"/>
      <c r="S956" s="268"/>
      <c r="T956" s="313"/>
      <c r="U956" s="313"/>
      <c r="V956" s="268"/>
      <c r="W956" s="268"/>
      <c r="X956" s="268"/>
      <c r="Y956" s="268"/>
      <c r="Z956" s="268"/>
    </row>
    <row r="957" spans="1:26" ht="24.75" customHeight="1">
      <c r="A957" s="268"/>
      <c r="B957" s="268"/>
      <c r="C957" s="268"/>
      <c r="D957" s="268"/>
      <c r="E957" s="268"/>
      <c r="F957" s="268"/>
      <c r="G957" s="268"/>
      <c r="H957" s="268"/>
      <c r="I957" s="268"/>
      <c r="J957" s="268"/>
      <c r="K957" s="268"/>
      <c r="L957" s="268"/>
      <c r="M957" s="268"/>
      <c r="N957" s="268"/>
      <c r="O957" s="268"/>
      <c r="P957" s="310"/>
      <c r="Q957" s="268"/>
      <c r="R957" s="309"/>
      <c r="S957" s="268"/>
      <c r="T957" s="313"/>
      <c r="U957" s="313"/>
      <c r="V957" s="268"/>
      <c r="W957" s="268"/>
      <c r="X957" s="268"/>
      <c r="Y957" s="268"/>
      <c r="Z957" s="268"/>
    </row>
    <row r="958" spans="1:26" ht="24.75" customHeight="1">
      <c r="A958" s="268"/>
      <c r="B958" s="268"/>
      <c r="C958" s="268"/>
      <c r="D958" s="268"/>
      <c r="E958" s="268"/>
      <c r="F958" s="268"/>
      <c r="G958" s="268"/>
      <c r="H958" s="268"/>
      <c r="I958" s="268"/>
      <c r="J958" s="268"/>
      <c r="K958" s="268"/>
      <c r="L958" s="268"/>
      <c r="M958" s="268"/>
      <c r="N958" s="268"/>
      <c r="O958" s="268"/>
      <c r="P958" s="310"/>
      <c r="Q958" s="268"/>
      <c r="R958" s="309"/>
      <c r="S958" s="268"/>
      <c r="T958" s="313"/>
      <c r="U958" s="313"/>
      <c r="V958" s="268"/>
      <c r="W958" s="268"/>
      <c r="X958" s="268"/>
      <c r="Y958" s="268"/>
      <c r="Z958" s="268"/>
    </row>
    <row r="959" spans="1:26" ht="24.75" customHeight="1">
      <c r="A959" s="268"/>
      <c r="B959" s="268"/>
      <c r="C959" s="268"/>
      <c r="D959" s="268"/>
      <c r="E959" s="268"/>
      <c r="F959" s="268"/>
      <c r="G959" s="268"/>
      <c r="H959" s="268"/>
      <c r="I959" s="268"/>
      <c r="J959" s="268"/>
      <c r="K959" s="268"/>
      <c r="L959" s="268"/>
      <c r="M959" s="268"/>
      <c r="N959" s="268"/>
      <c r="O959" s="268"/>
      <c r="P959" s="310"/>
      <c r="Q959" s="268"/>
      <c r="R959" s="309"/>
      <c r="S959" s="268"/>
      <c r="T959" s="313"/>
      <c r="U959" s="313"/>
      <c r="V959" s="268"/>
      <c r="W959" s="268"/>
      <c r="X959" s="268"/>
      <c r="Y959" s="268"/>
      <c r="Z959" s="268"/>
    </row>
    <row r="960" spans="1:26" ht="24.75" customHeight="1">
      <c r="A960" s="268"/>
      <c r="B960" s="268"/>
      <c r="C960" s="268"/>
      <c r="D960" s="268"/>
      <c r="E960" s="268"/>
      <c r="F960" s="268"/>
      <c r="G960" s="268"/>
      <c r="H960" s="268"/>
      <c r="I960" s="268"/>
      <c r="J960" s="268"/>
      <c r="K960" s="268"/>
      <c r="L960" s="268"/>
      <c r="M960" s="268"/>
      <c r="N960" s="268"/>
      <c r="O960" s="268"/>
      <c r="P960" s="310"/>
      <c r="Q960" s="268"/>
      <c r="R960" s="309"/>
      <c r="S960" s="268"/>
      <c r="T960" s="313"/>
      <c r="U960" s="313"/>
      <c r="V960" s="268"/>
      <c r="W960" s="268"/>
      <c r="X960" s="268"/>
      <c r="Y960" s="268"/>
      <c r="Z960" s="268"/>
    </row>
    <row r="961" spans="1:26" ht="24.75" customHeight="1">
      <c r="A961" s="268"/>
      <c r="B961" s="268"/>
      <c r="C961" s="268"/>
      <c r="D961" s="268"/>
      <c r="E961" s="268"/>
      <c r="F961" s="268"/>
      <c r="G961" s="268"/>
      <c r="H961" s="268"/>
      <c r="I961" s="268"/>
      <c r="J961" s="268"/>
      <c r="K961" s="268"/>
      <c r="L961" s="268"/>
      <c r="M961" s="268"/>
      <c r="N961" s="268"/>
      <c r="O961" s="268"/>
      <c r="P961" s="310"/>
      <c r="Q961" s="268"/>
      <c r="R961" s="309"/>
      <c r="S961" s="268"/>
      <c r="T961" s="313"/>
      <c r="U961" s="313"/>
      <c r="V961" s="268"/>
      <c r="W961" s="268"/>
      <c r="X961" s="268"/>
      <c r="Y961" s="268"/>
      <c r="Z961" s="268"/>
    </row>
    <row r="962" spans="1:26" ht="24.75" customHeight="1">
      <c r="A962" s="268"/>
      <c r="B962" s="268"/>
      <c r="C962" s="268"/>
      <c r="D962" s="268"/>
      <c r="E962" s="268"/>
      <c r="F962" s="268"/>
      <c r="G962" s="268"/>
      <c r="H962" s="268"/>
      <c r="I962" s="268"/>
      <c r="J962" s="268"/>
      <c r="K962" s="268"/>
      <c r="L962" s="268"/>
      <c r="M962" s="268"/>
      <c r="N962" s="268"/>
      <c r="O962" s="268"/>
      <c r="P962" s="310"/>
      <c r="Q962" s="268"/>
      <c r="R962" s="309"/>
      <c r="S962" s="268"/>
      <c r="T962" s="313"/>
      <c r="U962" s="313"/>
      <c r="V962" s="268"/>
      <c r="W962" s="268"/>
      <c r="X962" s="268"/>
      <c r="Y962" s="268"/>
      <c r="Z962" s="268"/>
    </row>
    <row r="963" spans="1:26" ht="24.75" customHeight="1">
      <c r="A963" s="268"/>
      <c r="B963" s="268"/>
      <c r="C963" s="268"/>
      <c r="D963" s="268"/>
      <c r="E963" s="268"/>
      <c r="F963" s="268"/>
      <c r="G963" s="268"/>
      <c r="H963" s="268"/>
      <c r="I963" s="268"/>
      <c r="J963" s="268"/>
      <c r="K963" s="268"/>
      <c r="L963" s="268"/>
      <c r="M963" s="268"/>
      <c r="N963" s="268"/>
      <c r="O963" s="268"/>
      <c r="P963" s="310"/>
      <c r="Q963" s="268"/>
      <c r="R963" s="309"/>
      <c r="S963" s="268"/>
      <c r="T963" s="313"/>
      <c r="U963" s="313"/>
      <c r="V963" s="268"/>
      <c r="W963" s="268"/>
      <c r="X963" s="268"/>
      <c r="Y963" s="268"/>
      <c r="Z963" s="268"/>
    </row>
    <row r="964" spans="1:26" ht="24.75" customHeight="1">
      <c r="A964" s="268"/>
      <c r="B964" s="268"/>
      <c r="C964" s="268"/>
      <c r="D964" s="268"/>
      <c r="E964" s="268"/>
      <c r="F964" s="268"/>
      <c r="G964" s="268"/>
      <c r="H964" s="268"/>
      <c r="I964" s="268"/>
      <c r="J964" s="268"/>
      <c r="K964" s="268"/>
      <c r="L964" s="268"/>
      <c r="M964" s="268"/>
      <c r="N964" s="268"/>
      <c r="O964" s="268"/>
      <c r="P964" s="310"/>
      <c r="Q964" s="268"/>
      <c r="R964" s="309"/>
      <c r="S964" s="268"/>
      <c r="T964" s="313"/>
      <c r="U964" s="313"/>
      <c r="V964" s="268"/>
      <c r="W964" s="268"/>
      <c r="X964" s="268"/>
      <c r="Y964" s="268"/>
      <c r="Z964" s="268"/>
    </row>
    <row r="965" spans="1:26" ht="24.75" customHeight="1">
      <c r="A965" s="268"/>
      <c r="B965" s="268"/>
      <c r="C965" s="268"/>
      <c r="D965" s="268"/>
      <c r="E965" s="268"/>
      <c r="F965" s="268"/>
      <c r="G965" s="268"/>
      <c r="H965" s="268"/>
      <c r="I965" s="268"/>
      <c r="J965" s="268"/>
      <c r="K965" s="268"/>
      <c r="L965" s="268"/>
      <c r="M965" s="268"/>
      <c r="N965" s="268"/>
      <c r="O965" s="268"/>
      <c r="P965" s="310"/>
      <c r="Q965" s="268"/>
      <c r="R965" s="309"/>
      <c r="S965" s="268"/>
      <c r="T965" s="313"/>
      <c r="U965" s="313"/>
      <c r="V965" s="268"/>
      <c r="W965" s="268"/>
      <c r="X965" s="268"/>
      <c r="Y965" s="268"/>
      <c r="Z965" s="268"/>
    </row>
    <row r="966" spans="1:26" ht="24.75" customHeight="1">
      <c r="A966" s="268"/>
      <c r="B966" s="268"/>
      <c r="C966" s="268"/>
      <c r="D966" s="268"/>
      <c r="E966" s="268"/>
      <c r="F966" s="268"/>
      <c r="G966" s="268"/>
      <c r="H966" s="268"/>
      <c r="I966" s="268"/>
      <c r="J966" s="268"/>
      <c r="K966" s="268"/>
      <c r="L966" s="268"/>
      <c r="M966" s="268"/>
      <c r="N966" s="268"/>
      <c r="O966" s="268"/>
      <c r="P966" s="310"/>
      <c r="Q966" s="268"/>
      <c r="R966" s="309"/>
      <c r="S966" s="268"/>
      <c r="T966" s="313"/>
      <c r="U966" s="313"/>
      <c r="V966" s="268"/>
      <c r="W966" s="268"/>
      <c r="X966" s="268"/>
      <c r="Y966" s="268"/>
      <c r="Z966" s="268"/>
    </row>
    <row r="967" spans="1:26" ht="24.75" customHeight="1">
      <c r="A967" s="268"/>
      <c r="B967" s="268"/>
      <c r="C967" s="268"/>
      <c r="D967" s="268"/>
      <c r="E967" s="268"/>
      <c r="F967" s="268"/>
      <c r="G967" s="268"/>
      <c r="H967" s="268"/>
      <c r="I967" s="268"/>
      <c r="J967" s="268"/>
      <c r="K967" s="268"/>
      <c r="L967" s="268"/>
      <c r="M967" s="268"/>
      <c r="N967" s="268"/>
      <c r="O967" s="268"/>
      <c r="P967" s="310"/>
      <c r="Q967" s="268"/>
      <c r="R967" s="309"/>
      <c r="S967" s="268"/>
      <c r="T967" s="313"/>
      <c r="U967" s="313"/>
      <c r="V967" s="268"/>
      <c r="W967" s="268"/>
      <c r="X967" s="268"/>
      <c r="Y967" s="268"/>
      <c r="Z967" s="268"/>
    </row>
    <row r="968" spans="1:26" ht="24.75" customHeight="1">
      <c r="A968" s="268"/>
      <c r="B968" s="268"/>
      <c r="C968" s="268"/>
      <c r="D968" s="268"/>
      <c r="E968" s="268"/>
      <c r="F968" s="268"/>
      <c r="G968" s="268"/>
      <c r="H968" s="268"/>
      <c r="I968" s="268"/>
      <c r="J968" s="268"/>
      <c r="K968" s="268"/>
      <c r="L968" s="268"/>
      <c r="M968" s="268"/>
      <c r="N968" s="268"/>
      <c r="O968" s="268"/>
      <c r="P968" s="310"/>
      <c r="Q968" s="268"/>
      <c r="R968" s="309"/>
      <c r="S968" s="268"/>
      <c r="T968" s="313"/>
      <c r="U968" s="313"/>
      <c r="V968" s="268"/>
      <c r="W968" s="268"/>
      <c r="X968" s="268"/>
      <c r="Y968" s="268"/>
      <c r="Z968" s="268"/>
    </row>
    <row r="969" spans="1:26" ht="24.75" customHeight="1">
      <c r="A969" s="268"/>
      <c r="B969" s="268"/>
      <c r="C969" s="268"/>
      <c r="D969" s="268"/>
      <c r="E969" s="268"/>
      <c r="F969" s="268"/>
      <c r="G969" s="268"/>
      <c r="H969" s="268"/>
      <c r="I969" s="268"/>
      <c r="J969" s="268"/>
      <c r="K969" s="268"/>
      <c r="L969" s="268"/>
      <c r="M969" s="268"/>
      <c r="N969" s="268"/>
      <c r="O969" s="268"/>
      <c r="P969" s="310"/>
      <c r="Q969" s="268"/>
      <c r="R969" s="309"/>
      <c r="S969" s="268"/>
      <c r="T969" s="313"/>
      <c r="U969" s="313"/>
      <c r="V969" s="268"/>
      <c r="W969" s="268"/>
      <c r="X969" s="268"/>
      <c r="Y969" s="268"/>
      <c r="Z969" s="268"/>
    </row>
    <row r="970" spans="1:26" ht="24.75" customHeight="1">
      <c r="A970" s="268"/>
      <c r="B970" s="268"/>
      <c r="C970" s="268"/>
      <c r="D970" s="268"/>
      <c r="E970" s="268"/>
      <c r="F970" s="268"/>
      <c r="G970" s="268"/>
      <c r="H970" s="268"/>
      <c r="I970" s="268"/>
      <c r="J970" s="268"/>
      <c r="K970" s="268"/>
      <c r="L970" s="268"/>
      <c r="M970" s="268"/>
      <c r="N970" s="268"/>
      <c r="O970" s="268"/>
      <c r="P970" s="310"/>
      <c r="Q970" s="268"/>
      <c r="R970" s="309"/>
      <c r="S970" s="268"/>
      <c r="T970" s="313"/>
      <c r="U970" s="313"/>
      <c r="V970" s="268"/>
      <c r="W970" s="268"/>
      <c r="X970" s="268"/>
      <c r="Y970" s="268"/>
      <c r="Z970" s="268"/>
    </row>
    <row r="971" spans="1:26" ht="24.75" customHeight="1">
      <c r="A971" s="268"/>
      <c r="B971" s="268"/>
      <c r="C971" s="268"/>
      <c r="D971" s="268"/>
      <c r="E971" s="268"/>
      <c r="F971" s="268"/>
      <c r="G971" s="268"/>
      <c r="H971" s="268"/>
      <c r="I971" s="268"/>
      <c r="J971" s="268"/>
      <c r="K971" s="268"/>
      <c r="L971" s="268"/>
      <c r="M971" s="268"/>
      <c r="N971" s="268"/>
      <c r="O971" s="268"/>
      <c r="P971" s="310"/>
      <c r="Q971" s="268"/>
      <c r="R971" s="309"/>
      <c r="S971" s="268"/>
      <c r="T971" s="313"/>
      <c r="U971" s="313"/>
      <c r="V971" s="268"/>
      <c r="W971" s="268"/>
      <c r="X971" s="268"/>
      <c r="Y971" s="268"/>
      <c r="Z971" s="268"/>
    </row>
    <row r="972" spans="1:26" ht="24.75" customHeight="1">
      <c r="A972" s="268"/>
      <c r="B972" s="268"/>
      <c r="C972" s="268"/>
      <c r="D972" s="268"/>
      <c r="E972" s="268"/>
      <c r="F972" s="268"/>
      <c r="G972" s="268"/>
      <c r="H972" s="268"/>
      <c r="I972" s="268"/>
      <c r="J972" s="268"/>
      <c r="K972" s="268"/>
      <c r="L972" s="268"/>
      <c r="M972" s="268"/>
      <c r="N972" s="268"/>
      <c r="O972" s="268"/>
      <c r="P972" s="310"/>
      <c r="Q972" s="268"/>
      <c r="R972" s="309"/>
      <c r="S972" s="268"/>
      <c r="T972" s="313"/>
      <c r="U972" s="313"/>
      <c r="V972" s="268"/>
      <c r="W972" s="268"/>
      <c r="X972" s="268"/>
      <c r="Y972" s="268"/>
      <c r="Z972" s="268"/>
    </row>
    <row r="973" spans="1:26" ht="24.75" customHeight="1">
      <c r="A973" s="268"/>
      <c r="B973" s="268"/>
      <c r="C973" s="268"/>
      <c r="D973" s="268"/>
      <c r="E973" s="268"/>
      <c r="F973" s="268"/>
      <c r="G973" s="268"/>
      <c r="H973" s="268"/>
      <c r="I973" s="268"/>
      <c r="J973" s="268"/>
      <c r="K973" s="268"/>
      <c r="L973" s="268"/>
      <c r="M973" s="268"/>
      <c r="N973" s="268"/>
      <c r="O973" s="268"/>
      <c r="P973" s="310"/>
      <c r="Q973" s="268"/>
      <c r="R973" s="309"/>
      <c r="S973" s="268"/>
      <c r="T973" s="313"/>
      <c r="U973" s="313"/>
      <c r="V973" s="268"/>
      <c r="W973" s="268"/>
      <c r="X973" s="268"/>
      <c r="Y973" s="268"/>
      <c r="Z973" s="268"/>
    </row>
    <row r="974" spans="1:26" ht="24.75" customHeight="1">
      <c r="A974" s="268"/>
      <c r="B974" s="268"/>
      <c r="C974" s="268"/>
      <c r="D974" s="268"/>
      <c r="E974" s="268"/>
      <c r="F974" s="268"/>
      <c r="G974" s="268"/>
      <c r="H974" s="268"/>
      <c r="I974" s="268"/>
      <c r="J974" s="268"/>
      <c r="K974" s="268"/>
      <c r="L974" s="268"/>
      <c r="M974" s="268"/>
      <c r="N974" s="268"/>
      <c r="O974" s="268"/>
      <c r="P974" s="310"/>
      <c r="Q974" s="268"/>
      <c r="R974" s="309"/>
      <c r="S974" s="268"/>
      <c r="T974" s="313"/>
      <c r="U974" s="313"/>
      <c r="V974" s="268"/>
      <c r="W974" s="268"/>
      <c r="X974" s="268"/>
      <c r="Y974" s="268"/>
      <c r="Z974" s="268"/>
    </row>
    <row r="975" spans="1:26" ht="24.75" customHeight="1">
      <c r="A975" s="268"/>
      <c r="B975" s="268"/>
      <c r="C975" s="268"/>
      <c r="D975" s="268"/>
      <c r="E975" s="268"/>
      <c r="F975" s="268"/>
      <c r="G975" s="268"/>
      <c r="H975" s="268"/>
      <c r="I975" s="268"/>
      <c r="J975" s="268"/>
      <c r="K975" s="268"/>
      <c r="L975" s="268"/>
      <c r="M975" s="268"/>
      <c r="N975" s="268"/>
      <c r="O975" s="268"/>
      <c r="P975" s="310"/>
      <c r="Q975" s="268"/>
      <c r="R975" s="309"/>
      <c r="S975" s="268"/>
      <c r="T975" s="313"/>
      <c r="U975" s="313"/>
      <c r="V975" s="268"/>
      <c r="W975" s="268"/>
      <c r="X975" s="268"/>
      <c r="Y975" s="268"/>
      <c r="Z975" s="268"/>
    </row>
    <row r="976" spans="1:26" ht="24.75" customHeight="1">
      <c r="A976" s="268"/>
      <c r="B976" s="268"/>
      <c r="C976" s="268"/>
      <c r="D976" s="268"/>
      <c r="E976" s="268"/>
      <c r="F976" s="268"/>
      <c r="G976" s="268"/>
      <c r="H976" s="268"/>
      <c r="I976" s="268"/>
      <c r="J976" s="268"/>
      <c r="K976" s="268"/>
      <c r="L976" s="268"/>
      <c r="M976" s="268"/>
      <c r="N976" s="268"/>
      <c r="O976" s="268"/>
      <c r="P976" s="310"/>
      <c r="Q976" s="268"/>
      <c r="R976" s="309"/>
      <c r="S976" s="268"/>
      <c r="T976" s="313"/>
      <c r="U976" s="313"/>
      <c r="V976" s="268"/>
      <c r="W976" s="268"/>
      <c r="X976" s="268"/>
      <c r="Y976" s="268"/>
      <c r="Z976" s="268"/>
    </row>
    <row r="977" spans="1:26" ht="24.75" customHeight="1">
      <c r="A977" s="268"/>
      <c r="B977" s="268"/>
      <c r="C977" s="268"/>
      <c r="D977" s="268"/>
      <c r="E977" s="268"/>
      <c r="F977" s="268"/>
      <c r="G977" s="268"/>
      <c r="H977" s="268"/>
      <c r="I977" s="268"/>
      <c r="J977" s="268"/>
      <c r="K977" s="268"/>
      <c r="L977" s="268"/>
      <c r="M977" s="268"/>
      <c r="N977" s="268"/>
      <c r="O977" s="268"/>
      <c r="P977" s="310"/>
      <c r="Q977" s="268"/>
      <c r="R977" s="309"/>
      <c r="S977" s="268"/>
      <c r="T977" s="313"/>
      <c r="U977" s="313"/>
      <c r="V977" s="268"/>
      <c r="W977" s="268"/>
      <c r="X977" s="268"/>
      <c r="Y977" s="268"/>
      <c r="Z977" s="268"/>
    </row>
    <row r="978" spans="1:26" ht="24.75" customHeight="1">
      <c r="A978" s="268"/>
      <c r="B978" s="268"/>
      <c r="C978" s="268"/>
      <c r="D978" s="268"/>
      <c r="E978" s="268"/>
      <c r="F978" s="268"/>
      <c r="G978" s="268"/>
      <c r="H978" s="268"/>
      <c r="I978" s="268"/>
      <c r="J978" s="268"/>
      <c r="K978" s="268"/>
      <c r="L978" s="268"/>
      <c r="M978" s="268"/>
      <c r="N978" s="268"/>
      <c r="O978" s="268"/>
      <c r="P978" s="310"/>
      <c r="Q978" s="268"/>
      <c r="R978" s="309"/>
      <c r="S978" s="268"/>
      <c r="T978" s="313"/>
      <c r="U978" s="313"/>
      <c r="V978" s="268"/>
      <c r="W978" s="268"/>
      <c r="X978" s="268"/>
      <c r="Y978" s="268"/>
      <c r="Z978" s="268"/>
    </row>
    <row r="979" spans="1:26" ht="24.75" customHeight="1">
      <c r="A979" s="268"/>
      <c r="B979" s="268"/>
      <c r="C979" s="268"/>
      <c r="D979" s="268"/>
      <c r="E979" s="268"/>
      <c r="F979" s="268"/>
      <c r="G979" s="268"/>
      <c r="H979" s="268"/>
      <c r="I979" s="268"/>
      <c r="J979" s="268"/>
      <c r="K979" s="268"/>
      <c r="L979" s="268"/>
      <c r="M979" s="268"/>
      <c r="N979" s="268"/>
      <c r="O979" s="268"/>
      <c r="P979" s="310"/>
      <c r="Q979" s="268"/>
      <c r="R979" s="309"/>
      <c r="S979" s="268"/>
      <c r="T979" s="313"/>
      <c r="U979" s="313"/>
      <c r="V979" s="268"/>
      <c r="W979" s="268"/>
      <c r="X979" s="268"/>
      <c r="Y979" s="268"/>
      <c r="Z979" s="268"/>
    </row>
    <row r="980" spans="1:26" ht="24.75" customHeight="1">
      <c r="A980" s="268"/>
      <c r="B980" s="268"/>
      <c r="C980" s="268"/>
      <c r="D980" s="268"/>
      <c r="E980" s="268"/>
      <c r="F980" s="268"/>
      <c r="G980" s="268"/>
      <c r="H980" s="268"/>
      <c r="I980" s="268"/>
      <c r="J980" s="268"/>
      <c r="K980" s="268"/>
      <c r="L980" s="268"/>
      <c r="M980" s="268"/>
      <c r="N980" s="268"/>
      <c r="O980" s="268"/>
      <c r="P980" s="310"/>
      <c r="Q980" s="268"/>
      <c r="R980" s="309"/>
      <c r="S980" s="268"/>
      <c r="T980" s="313"/>
      <c r="U980" s="313"/>
      <c r="V980" s="268"/>
      <c r="W980" s="268"/>
      <c r="X980" s="268"/>
      <c r="Y980" s="268"/>
      <c r="Z980" s="268"/>
    </row>
    <row r="981" spans="1:26" ht="24.75" customHeight="1">
      <c r="A981" s="268"/>
      <c r="B981" s="268"/>
      <c r="C981" s="268"/>
      <c r="D981" s="268"/>
      <c r="E981" s="268"/>
      <c r="F981" s="268"/>
      <c r="G981" s="268"/>
      <c r="H981" s="268"/>
      <c r="I981" s="268"/>
      <c r="J981" s="268"/>
      <c r="K981" s="268"/>
      <c r="L981" s="268"/>
      <c r="M981" s="268"/>
      <c r="N981" s="268"/>
      <c r="O981" s="268"/>
      <c r="P981" s="310"/>
      <c r="Q981" s="268"/>
      <c r="R981" s="309"/>
      <c r="S981" s="268"/>
      <c r="T981" s="313"/>
      <c r="U981" s="313"/>
      <c r="V981" s="268"/>
      <c r="W981" s="268"/>
      <c r="X981" s="268"/>
      <c r="Y981" s="268"/>
      <c r="Z981" s="268"/>
    </row>
    <row r="982" spans="1:26" ht="24.75" customHeight="1">
      <c r="A982" s="268"/>
      <c r="B982" s="268"/>
      <c r="C982" s="268"/>
      <c r="D982" s="268"/>
      <c r="E982" s="268"/>
      <c r="F982" s="268"/>
      <c r="G982" s="268"/>
      <c r="H982" s="268"/>
      <c r="I982" s="268"/>
      <c r="J982" s="268"/>
      <c r="K982" s="268"/>
      <c r="L982" s="268"/>
      <c r="M982" s="268"/>
      <c r="N982" s="268"/>
      <c r="O982" s="268"/>
      <c r="P982" s="310"/>
      <c r="Q982" s="268"/>
      <c r="R982" s="309"/>
      <c r="S982" s="268"/>
      <c r="T982" s="313"/>
      <c r="U982" s="313"/>
      <c r="V982" s="268"/>
      <c r="W982" s="268"/>
      <c r="X982" s="268"/>
      <c r="Y982" s="268"/>
      <c r="Z982" s="268"/>
    </row>
    <row r="983" spans="1:26" ht="24.75" customHeight="1">
      <c r="A983" s="268"/>
      <c r="B983" s="268"/>
      <c r="C983" s="268"/>
      <c r="D983" s="268"/>
      <c r="E983" s="268"/>
      <c r="F983" s="268"/>
      <c r="G983" s="268"/>
      <c r="H983" s="268"/>
      <c r="I983" s="268"/>
      <c r="J983" s="268"/>
      <c r="K983" s="268"/>
      <c r="L983" s="268"/>
      <c r="M983" s="268"/>
      <c r="N983" s="268"/>
      <c r="O983" s="268"/>
      <c r="P983" s="310"/>
      <c r="Q983" s="268"/>
      <c r="R983" s="309"/>
      <c r="S983" s="268"/>
      <c r="T983" s="313"/>
      <c r="U983" s="313"/>
      <c r="V983" s="268"/>
      <c r="W983" s="268"/>
      <c r="X983" s="268"/>
      <c r="Y983" s="268"/>
      <c r="Z983" s="268"/>
    </row>
    <row r="984" spans="1:26" ht="24.75" customHeight="1">
      <c r="A984" s="268"/>
      <c r="B984" s="268"/>
      <c r="C984" s="268"/>
      <c r="D984" s="268"/>
      <c r="E984" s="268"/>
      <c r="F984" s="268"/>
      <c r="G984" s="268"/>
      <c r="H984" s="268"/>
      <c r="I984" s="268"/>
      <c r="J984" s="268"/>
      <c r="K984" s="268"/>
      <c r="L984" s="268"/>
      <c r="M984" s="268"/>
      <c r="N984" s="268"/>
      <c r="O984" s="268"/>
      <c r="P984" s="310"/>
      <c r="Q984" s="268"/>
      <c r="R984" s="309"/>
      <c r="S984" s="268"/>
      <c r="T984" s="313"/>
      <c r="U984" s="313"/>
      <c r="V984" s="268"/>
      <c r="W984" s="268"/>
      <c r="X984" s="268"/>
      <c r="Y984" s="268"/>
      <c r="Z984" s="268"/>
    </row>
    <row r="985" spans="1:26" ht="24.75" customHeight="1">
      <c r="A985" s="268"/>
      <c r="B985" s="268"/>
      <c r="C985" s="268"/>
      <c r="D985" s="268"/>
      <c r="E985" s="268"/>
      <c r="F985" s="268"/>
      <c r="G985" s="268"/>
      <c r="H985" s="268"/>
      <c r="I985" s="268"/>
      <c r="J985" s="268"/>
      <c r="K985" s="268"/>
      <c r="L985" s="268"/>
      <c r="M985" s="268"/>
      <c r="N985" s="268"/>
      <c r="O985" s="268"/>
      <c r="P985" s="310"/>
      <c r="Q985" s="268"/>
      <c r="R985" s="309"/>
      <c r="S985" s="268"/>
      <c r="T985" s="313"/>
      <c r="U985" s="313"/>
      <c r="V985" s="268"/>
      <c r="W985" s="268"/>
      <c r="X985" s="268"/>
      <c r="Y985" s="268"/>
      <c r="Z985" s="268"/>
    </row>
    <row r="986" spans="1:26" ht="24.75" customHeight="1">
      <c r="A986" s="268"/>
      <c r="B986" s="268"/>
      <c r="C986" s="268"/>
      <c r="D986" s="268"/>
      <c r="E986" s="268"/>
      <c r="F986" s="268"/>
      <c r="G986" s="268"/>
      <c r="H986" s="268"/>
      <c r="I986" s="268"/>
      <c r="J986" s="268"/>
      <c r="K986" s="268"/>
      <c r="L986" s="268"/>
      <c r="M986" s="268"/>
      <c r="N986" s="268"/>
      <c r="O986" s="268"/>
      <c r="P986" s="310"/>
      <c r="Q986" s="268"/>
      <c r="R986" s="309"/>
      <c r="S986" s="268"/>
      <c r="T986" s="313"/>
      <c r="U986" s="313"/>
      <c r="V986" s="268"/>
      <c r="W986" s="268"/>
      <c r="X986" s="268"/>
      <c r="Y986" s="268"/>
      <c r="Z986" s="268"/>
    </row>
    <row r="987" spans="1:26" ht="24.75" customHeight="1">
      <c r="A987" s="268"/>
      <c r="B987" s="268"/>
      <c r="C987" s="268"/>
      <c r="D987" s="268"/>
      <c r="E987" s="268"/>
      <c r="F987" s="268"/>
      <c r="G987" s="268"/>
      <c r="H987" s="268"/>
      <c r="I987" s="268"/>
      <c r="J987" s="268"/>
      <c r="K987" s="268"/>
      <c r="L987" s="268"/>
      <c r="M987" s="268"/>
      <c r="N987" s="268"/>
      <c r="O987" s="268"/>
      <c r="P987" s="310"/>
      <c r="Q987" s="268"/>
      <c r="R987" s="309"/>
      <c r="S987" s="268"/>
      <c r="T987" s="313"/>
      <c r="U987" s="313"/>
      <c r="V987" s="268"/>
      <c r="W987" s="268"/>
      <c r="X987" s="268"/>
      <c r="Y987" s="268"/>
      <c r="Z987" s="268"/>
    </row>
    <row r="988" spans="1:26" ht="24.75" customHeight="1">
      <c r="A988" s="268"/>
      <c r="B988" s="268"/>
      <c r="C988" s="268"/>
      <c r="D988" s="268"/>
      <c r="E988" s="268"/>
      <c r="F988" s="268"/>
      <c r="G988" s="268"/>
      <c r="H988" s="268"/>
      <c r="I988" s="268"/>
      <c r="J988" s="268"/>
      <c r="K988" s="268"/>
      <c r="L988" s="268"/>
      <c r="M988" s="268"/>
      <c r="N988" s="268"/>
      <c r="O988" s="268"/>
      <c r="P988" s="310"/>
      <c r="Q988" s="268"/>
      <c r="R988" s="309"/>
      <c r="S988" s="268"/>
      <c r="T988" s="313"/>
      <c r="U988" s="313"/>
      <c r="V988" s="268"/>
      <c r="W988" s="268"/>
      <c r="X988" s="268"/>
      <c r="Y988" s="268"/>
      <c r="Z988" s="268"/>
    </row>
    <row r="989" spans="1:26" ht="24.75" customHeight="1">
      <c r="A989" s="268"/>
      <c r="B989" s="268"/>
      <c r="C989" s="268"/>
      <c r="D989" s="268"/>
      <c r="E989" s="268"/>
      <c r="F989" s="268"/>
      <c r="G989" s="268"/>
      <c r="H989" s="268"/>
      <c r="I989" s="268"/>
      <c r="J989" s="268"/>
      <c r="K989" s="268"/>
      <c r="L989" s="268"/>
      <c r="M989" s="268"/>
      <c r="N989" s="268"/>
      <c r="O989" s="268"/>
      <c r="P989" s="310"/>
      <c r="Q989" s="268"/>
      <c r="R989" s="309"/>
      <c r="S989" s="268"/>
      <c r="T989" s="313"/>
      <c r="U989" s="313"/>
      <c r="V989" s="268"/>
      <c r="W989" s="268"/>
      <c r="X989" s="268"/>
      <c r="Y989" s="268"/>
      <c r="Z989" s="268"/>
    </row>
    <row r="990" spans="1:26" ht="24.75" customHeight="1">
      <c r="A990" s="268"/>
      <c r="B990" s="268"/>
      <c r="C990" s="268"/>
      <c r="D990" s="268"/>
      <c r="E990" s="268"/>
      <c r="F990" s="268"/>
      <c r="G990" s="268"/>
      <c r="H990" s="268"/>
      <c r="I990" s="268"/>
      <c r="J990" s="268"/>
      <c r="K990" s="268"/>
      <c r="L990" s="268"/>
      <c r="M990" s="268"/>
      <c r="N990" s="268"/>
      <c r="O990" s="268"/>
      <c r="P990" s="310"/>
      <c r="Q990" s="268"/>
      <c r="R990" s="309"/>
      <c r="S990" s="268"/>
      <c r="T990" s="313"/>
      <c r="U990" s="313"/>
      <c r="V990" s="268"/>
      <c r="W990" s="268"/>
      <c r="X990" s="268"/>
      <c r="Y990" s="268"/>
      <c r="Z990" s="268"/>
    </row>
    <row r="991" spans="1:26" ht="24.75" customHeight="1">
      <c r="A991" s="268"/>
      <c r="B991" s="268"/>
      <c r="C991" s="268"/>
      <c r="D991" s="268"/>
      <c r="E991" s="268"/>
      <c r="F991" s="268"/>
      <c r="G991" s="268"/>
      <c r="H991" s="268"/>
      <c r="I991" s="268"/>
      <c r="J991" s="268"/>
      <c r="K991" s="268"/>
      <c r="L991" s="268"/>
      <c r="M991" s="268"/>
      <c r="N991" s="268"/>
      <c r="O991" s="268"/>
      <c r="P991" s="310"/>
      <c r="Q991" s="268"/>
      <c r="R991" s="309"/>
      <c r="S991" s="268"/>
      <c r="T991" s="313"/>
      <c r="U991" s="313"/>
      <c r="V991" s="268"/>
      <c r="W991" s="268"/>
      <c r="X991" s="268"/>
      <c r="Y991" s="268"/>
      <c r="Z991" s="268"/>
    </row>
    <row r="992" spans="1:26" ht="24.75" customHeight="1">
      <c r="A992" s="268"/>
      <c r="B992" s="268"/>
      <c r="C992" s="268"/>
      <c r="D992" s="268"/>
      <c r="E992" s="268"/>
      <c r="F992" s="268"/>
      <c r="G992" s="268"/>
      <c r="H992" s="268"/>
      <c r="I992" s="268"/>
      <c r="J992" s="268"/>
      <c r="K992" s="268"/>
      <c r="L992" s="268"/>
      <c r="M992" s="268"/>
      <c r="N992" s="268"/>
      <c r="O992" s="268"/>
      <c r="P992" s="310"/>
      <c r="Q992" s="268"/>
      <c r="R992" s="309"/>
      <c r="S992" s="268"/>
      <c r="T992" s="313"/>
      <c r="U992" s="313"/>
      <c r="V992" s="268"/>
      <c r="W992" s="268"/>
      <c r="X992" s="268"/>
      <c r="Y992" s="268"/>
      <c r="Z992" s="268"/>
    </row>
    <row r="993" spans="1:26" ht="24.75" customHeight="1">
      <c r="A993" s="268"/>
      <c r="B993" s="268"/>
      <c r="C993" s="268"/>
      <c r="D993" s="268"/>
      <c r="E993" s="268"/>
      <c r="F993" s="268"/>
      <c r="G993" s="268"/>
      <c r="H993" s="268"/>
      <c r="I993" s="268"/>
      <c r="J993" s="268"/>
      <c r="K993" s="268"/>
      <c r="L993" s="268"/>
      <c r="M993" s="268"/>
      <c r="N993" s="268"/>
      <c r="O993" s="268"/>
      <c r="P993" s="310"/>
      <c r="Q993" s="268"/>
      <c r="R993" s="309"/>
      <c r="S993" s="268"/>
      <c r="T993" s="313"/>
      <c r="U993" s="313"/>
      <c r="V993" s="268"/>
      <c r="W993" s="268"/>
      <c r="X993" s="268"/>
      <c r="Y993" s="268"/>
      <c r="Z993" s="268"/>
    </row>
    <row r="994" spans="1:26" ht="24.75" customHeight="1">
      <c r="A994" s="268"/>
      <c r="B994" s="268"/>
      <c r="C994" s="268"/>
      <c r="D994" s="268"/>
      <c r="E994" s="268"/>
      <c r="F994" s="268"/>
      <c r="G994" s="268"/>
      <c r="H994" s="268"/>
      <c r="I994" s="268"/>
      <c r="J994" s="268"/>
      <c r="K994" s="268"/>
      <c r="L994" s="268"/>
      <c r="M994" s="268"/>
      <c r="N994" s="268"/>
      <c r="O994" s="268"/>
      <c r="P994" s="310"/>
      <c r="Q994" s="268"/>
      <c r="R994" s="309"/>
      <c r="S994" s="268"/>
      <c r="T994" s="313"/>
      <c r="U994" s="313"/>
      <c r="V994" s="268"/>
      <c r="W994" s="268"/>
      <c r="X994" s="268"/>
      <c r="Y994" s="268"/>
      <c r="Z994" s="268"/>
    </row>
    <row r="995" spans="1:26" ht="24.75" customHeight="1">
      <c r="A995" s="268"/>
      <c r="B995" s="268"/>
      <c r="C995" s="268"/>
      <c r="D995" s="268"/>
      <c r="E995" s="268"/>
      <c r="F995" s="268"/>
      <c r="G995" s="268"/>
      <c r="H995" s="268"/>
      <c r="I995" s="268"/>
      <c r="J995" s="268"/>
      <c r="K995" s="268"/>
      <c r="L995" s="268"/>
      <c r="M995" s="268"/>
      <c r="N995" s="268"/>
      <c r="O995" s="268"/>
      <c r="P995" s="310"/>
      <c r="Q995" s="268"/>
      <c r="R995" s="309"/>
      <c r="S995" s="268"/>
      <c r="T995" s="313"/>
      <c r="U995" s="313"/>
      <c r="V995" s="268"/>
      <c r="W995" s="268"/>
      <c r="X995" s="268"/>
      <c r="Y995" s="268"/>
      <c r="Z995" s="268"/>
    </row>
    <row r="996" spans="1:26" ht="24.75" customHeight="1">
      <c r="A996" s="268"/>
      <c r="B996" s="268"/>
      <c r="C996" s="268"/>
      <c r="D996" s="268"/>
      <c r="E996" s="268"/>
      <c r="F996" s="268"/>
      <c r="G996" s="268"/>
      <c r="H996" s="268"/>
      <c r="I996" s="268"/>
      <c r="J996" s="268"/>
      <c r="K996" s="268"/>
      <c r="L996" s="268"/>
      <c r="M996" s="268"/>
      <c r="N996" s="268"/>
      <c r="O996" s="268"/>
      <c r="P996" s="310"/>
      <c r="Q996" s="268"/>
      <c r="R996" s="309"/>
      <c r="S996" s="268"/>
      <c r="T996" s="313"/>
      <c r="U996" s="313"/>
      <c r="V996" s="268"/>
      <c r="W996" s="268"/>
      <c r="X996" s="268"/>
      <c r="Y996" s="268"/>
      <c r="Z996" s="268"/>
    </row>
    <row r="997" spans="1:26" ht="24.75" customHeight="1">
      <c r="A997" s="268"/>
      <c r="B997" s="268"/>
      <c r="C997" s="268"/>
      <c r="D997" s="268"/>
      <c r="E997" s="268"/>
      <c r="F997" s="268"/>
      <c r="G997" s="268"/>
      <c r="H997" s="268"/>
      <c r="I997" s="268"/>
      <c r="J997" s="268"/>
      <c r="K997" s="268"/>
      <c r="L997" s="268"/>
      <c r="M997" s="268"/>
      <c r="N997" s="268"/>
      <c r="O997" s="268"/>
      <c r="P997" s="310"/>
      <c r="Q997" s="268"/>
      <c r="R997" s="309"/>
      <c r="S997" s="268"/>
      <c r="T997" s="313"/>
      <c r="U997" s="313"/>
      <c r="V997" s="268"/>
      <c r="W997" s="268"/>
      <c r="X997" s="268"/>
      <c r="Y997" s="268"/>
      <c r="Z997" s="268"/>
    </row>
    <row r="998" spans="1:26" ht="24.75" customHeight="1">
      <c r="A998" s="268"/>
      <c r="B998" s="268"/>
      <c r="C998" s="268"/>
      <c r="D998" s="268"/>
      <c r="E998" s="268"/>
      <c r="F998" s="268"/>
      <c r="G998" s="268"/>
      <c r="H998" s="268"/>
      <c r="I998" s="268"/>
      <c r="J998" s="268"/>
      <c r="K998" s="268"/>
      <c r="L998" s="268"/>
      <c r="M998" s="268"/>
      <c r="N998" s="268"/>
      <c r="O998" s="268"/>
      <c r="P998" s="310"/>
      <c r="Q998" s="268"/>
      <c r="R998" s="309"/>
      <c r="S998" s="268"/>
      <c r="T998" s="313"/>
      <c r="U998" s="313"/>
      <c r="V998" s="268"/>
      <c r="W998" s="268"/>
      <c r="X998" s="268"/>
      <c r="Y998" s="268"/>
      <c r="Z998" s="268"/>
    </row>
    <row r="999" spans="1:26" ht="24.75" customHeight="1">
      <c r="A999" s="268"/>
      <c r="B999" s="268"/>
      <c r="C999" s="268"/>
      <c r="D999" s="268"/>
      <c r="E999" s="268"/>
      <c r="F999" s="268"/>
      <c r="G999" s="268"/>
      <c r="H999" s="268"/>
      <c r="I999" s="268"/>
      <c r="J999" s="268"/>
      <c r="K999" s="268"/>
      <c r="L999" s="268"/>
      <c r="M999" s="268"/>
      <c r="N999" s="268"/>
      <c r="O999" s="268"/>
      <c r="P999" s="310"/>
      <c r="Q999" s="268"/>
      <c r="R999" s="309"/>
      <c r="S999" s="268"/>
      <c r="T999" s="313"/>
      <c r="U999" s="313"/>
      <c r="V999" s="268"/>
      <c r="W999" s="268"/>
      <c r="X999" s="268"/>
      <c r="Y999" s="268"/>
      <c r="Z999" s="268"/>
    </row>
    <row r="1000" spans="1:26" ht="24.75" customHeight="1">
      <c r="A1000" s="268"/>
      <c r="B1000" s="268"/>
      <c r="C1000" s="268"/>
      <c r="D1000" s="268"/>
      <c r="E1000" s="268"/>
      <c r="F1000" s="268"/>
      <c r="G1000" s="268"/>
      <c r="H1000" s="268"/>
      <c r="I1000" s="268"/>
      <c r="J1000" s="268"/>
      <c r="K1000" s="268"/>
      <c r="L1000" s="268"/>
      <c r="M1000" s="268"/>
      <c r="N1000" s="268"/>
      <c r="O1000" s="268"/>
      <c r="P1000" s="310"/>
      <c r="Q1000" s="268"/>
      <c r="R1000" s="309"/>
      <c r="S1000" s="268"/>
      <c r="T1000" s="313"/>
      <c r="U1000" s="313"/>
      <c r="V1000" s="268"/>
      <c r="W1000" s="268"/>
      <c r="X1000" s="268"/>
      <c r="Y1000" s="268"/>
      <c r="Z1000" s="268"/>
    </row>
  </sheetData>
  <mergeCells count="1">
    <mergeCell ref="D1:R1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1.28515625" defaultRowHeight="15" customHeight="1" x14ac:dyDescent="0"/>
  <cols>
    <col min="1" max="1" width="6.5703125" customWidth="1"/>
    <col min="2" max="2" width="8.85546875" customWidth="1"/>
    <col min="3" max="4" width="10.85546875" customWidth="1"/>
    <col min="5" max="5" width="17.85546875" customWidth="1"/>
    <col min="6" max="6" width="15.140625" customWidth="1"/>
    <col min="7" max="12" width="17.85546875" customWidth="1"/>
    <col min="13" max="13" width="14.5703125" customWidth="1"/>
    <col min="14" max="14" width="15.7109375" hidden="1" customWidth="1"/>
    <col min="15" max="15" width="24.5703125" customWidth="1"/>
    <col min="16" max="16" width="14.85546875" customWidth="1"/>
    <col min="17" max="17" width="29.28515625" customWidth="1"/>
    <col min="18" max="18" width="7" customWidth="1"/>
    <col min="19" max="19" width="18.85546875" customWidth="1"/>
    <col min="20" max="20" width="5.140625" customWidth="1"/>
    <col min="21" max="26" width="7" customWidth="1"/>
  </cols>
  <sheetData>
    <row r="1" spans="1:26" ht="24.75" customHeight="1">
      <c r="A1" s="268"/>
      <c r="B1" s="447" t="s">
        <v>5325</v>
      </c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268"/>
      <c r="S1" s="438" t="s">
        <v>4780</v>
      </c>
      <c r="T1" s="439"/>
      <c r="U1" s="268"/>
      <c r="V1" s="268"/>
      <c r="W1" s="268"/>
      <c r="X1" s="268"/>
      <c r="Y1" s="268"/>
      <c r="Z1" s="268"/>
    </row>
    <row r="2" spans="1:26" ht="46.5" customHeight="1">
      <c r="A2" s="371"/>
      <c r="B2" s="372" t="s">
        <v>11</v>
      </c>
      <c r="C2" s="299" t="s">
        <v>13</v>
      </c>
      <c r="D2" s="299" t="s">
        <v>4573</v>
      </c>
      <c r="E2" s="300" t="s">
        <v>4574</v>
      </c>
      <c r="F2" s="301" t="s">
        <v>19</v>
      </c>
      <c r="G2" s="301" t="s">
        <v>4782</v>
      </c>
      <c r="H2" s="301" t="s">
        <v>4576</v>
      </c>
      <c r="I2" s="302" t="s">
        <v>1</v>
      </c>
      <c r="J2" s="299" t="s">
        <v>24</v>
      </c>
      <c r="K2" s="372" t="s">
        <v>34</v>
      </c>
      <c r="L2" s="372" t="s">
        <v>4783</v>
      </c>
      <c r="M2" s="372" t="s">
        <v>4784</v>
      </c>
      <c r="N2" s="372" t="s">
        <v>5326</v>
      </c>
      <c r="O2" s="372" t="s">
        <v>4577</v>
      </c>
      <c r="P2" s="372" t="s">
        <v>4578</v>
      </c>
      <c r="Q2" s="372" t="s">
        <v>44</v>
      </c>
      <c r="R2" s="268"/>
      <c r="S2" s="266" t="s">
        <v>4579</v>
      </c>
      <c r="T2" s="266" t="s">
        <v>4580</v>
      </c>
      <c r="U2" s="268"/>
      <c r="V2" s="268"/>
      <c r="W2" s="268"/>
      <c r="X2" s="268"/>
      <c r="Y2" s="268"/>
      <c r="Z2" s="268"/>
    </row>
    <row r="3" spans="1:26" ht="24.75" customHeight="1">
      <c r="A3" s="268"/>
      <c r="B3" s="230"/>
      <c r="C3" s="230"/>
      <c r="D3" s="230"/>
      <c r="E3" s="230"/>
      <c r="F3" s="238"/>
      <c r="G3" s="230"/>
      <c r="H3" s="230"/>
      <c r="I3" s="230"/>
      <c r="J3" s="230"/>
      <c r="K3" s="230"/>
      <c r="L3" s="230"/>
      <c r="M3" s="230"/>
      <c r="N3" s="230"/>
      <c r="O3" s="230"/>
      <c r="P3" s="230"/>
      <c r="Q3" s="256"/>
      <c r="R3" s="268"/>
      <c r="S3" s="351" t="s">
        <v>4585</v>
      </c>
      <c r="T3" s="266">
        <v>0</v>
      </c>
      <c r="U3" s="268"/>
      <c r="V3" s="268"/>
      <c r="W3" s="268"/>
      <c r="X3" s="268"/>
      <c r="Y3" s="268"/>
      <c r="Z3" s="268"/>
    </row>
    <row r="4" spans="1:26" ht="24.75" customHeight="1">
      <c r="A4" s="268"/>
      <c r="B4" s="268"/>
      <c r="C4" s="268"/>
      <c r="D4" s="268"/>
      <c r="E4" s="268"/>
      <c r="F4" s="268"/>
      <c r="G4" s="268"/>
      <c r="H4" s="268"/>
      <c r="I4" s="268"/>
      <c r="J4" s="268"/>
      <c r="K4" s="268"/>
      <c r="L4" s="310"/>
      <c r="M4" s="268"/>
      <c r="N4" s="268"/>
      <c r="O4" s="268"/>
      <c r="P4" s="268"/>
      <c r="Q4" s="268"/>
      <c r="R4" s="268"/>
      <c r="S4" s="331" t="s">
        <v>2863</v>
      </c>
      <c r="T4" s="266">
        <v>0</v>
      </c>
      <c r="U4" s="268"/>
      <c r="V4" s="268"/>
      <c r="W4" s="268"/>
      <c r="X4" s="268"/>
      <c r="Y4" s="268"/>
      <c r="Z4" s="268"/>
    </row>
    <row r="5" spans="1:26" ht="24.75" customHeight="1">
      <c r="A5" s="268"/>
      <c r="B5" s="268"/>
      <c r="C5" s="268"/>
      <c r="D5" s="268"/>
      <c r="E5" s="268"/>
      <c r="F5" s="268"/>
      <c r="G5" s="268"/>
      <c r="H5" s="268"/>
      <c r="I5" s="268"/>
      <c r="J5" s="268"/>
      <c r="K5" s="268"/>
      <c r="L5" s="310"/>
      <c r="M5" s="268"/>
      <c r="N5" s="268"/>
      <c r="O5" s="310"/>
      <c r="P5" s="268"/>
      <c r="Q5" s="309"/>
      <c r="R5" s="268"/>
      <c r="S5" s="352" t="s">
        <v>5300</v>
      </c>
      <c r="T5" s="266">
        <v>0</v>
      </c>
      <c r="U5" s="268"/>
      <c r="V5" s="268"/>
      <c r="W5" s="268"/>
      <c r="X5" s="268"/>
      <c r="Y5" s="268"/>
      <c r="Z5" s="268"/>
    </row>
    <row r="6" spans="1:26" ht="24.75" customHeight="1">
      <c r="A6" s="268"/>
      <c r="B6" s="268"/>
      <c r="C6" s="268"/>
      <c r="D6" s="268"/>
      <c r="E6" s="268"/>
      <c r="F6" s="238" t="s">
        <v>5327</v>
      </c>
      <c r="G6" s="373" t="s">
        <v>5300</v>
      </c>
      <c r="H6" s="268"/>
      <c r="I6" s="268"/>
      <c r="J6" s="268"/>
      <c r="K6" s="268"/>
      <c r="L6" s="310"/>
      <c r="M6" s="268"/>
      <c r="N6" s="268"/>
      <c r="O6" s="310"/>
      <c r="P6" s="268"/>
      <c r="Q6" s="309"/>
      <c r="R6" s="268"/>
      <c r="S6" s="353" t="s">
        <v>5301</v>
      </c>
      <c r="T6" s="266">
        <v>0</v>
      </c>
      <c r="U6" s="268"/>
      <c r="V6" s="268"/>
      <c r="W6" s="268"/>
      <c r="X6" s="268"/>
      <c r="Y6" s="268"/>
      <c r="Z6" s="268"/>
    </row>
    <row r="7" spans="1:26" ht="24.75" customHeight="1">
      <c r="A7" s="268"/>
      <c r="B7" s="268"/>
      <c r="C7" s="268"/>
      <c r="D7" s="268"/>
      <c r="E7" s="268"/>
      <c r="F7" s="238" t="s">
        <v>5328</v>
      </c>
      <c r="G7" s="373" t="s">
        <v>5300</v>
      </c>
      <c r="H7" s="268"/>
      <c r="I7" s="268"/>
      <c r="J7" s="268"/>
      <c r="K7" s="268"/>
      <c r="L7" s="310"/>
      <c r="M7" s="268"/>
      <c r="N7" s="268"/>
      <c r="O7" s="310"/>
      <c r="P7" s="268"/>
      <c r="Q7" s="309"/>
      <c r="R7" s="268"/>
      <c r="S7" s="354" t="s">
        <v>5302</v>
      </c>
      <c r="T7" s="266">
        <v>0</v>
      </c>
      <c r="U7" s="268"/>
      <c r="V7" s="268"/>
      <c r="W7" s="268"/>
      <c r="X7" s="268"/>
      <c r="Y7" s="268"/>
      <c r="Z7" s="268"/>
    </row>
    <row r="8" spans="1:26" ht="24.75" customHeight="1">
      <c r="A8" s="268"/>
      <c r="B8" s="268"/>
      <c r="C8" s="268"/>
      <c r="D8" s="268"/>
      <c r="E8" s="268"/>
      <c r="F8" s="238" t="s">
        <v>5329</v>
      </c>
      <c r="G8" s="373" t="s">
        <v>5300</v>
      </c>
      <c r="H8" s="268"/>
      <c r="I8" s="268"/>
      <c r="J8" s="268"/>
      <c r="K8" s="268"/>
      <c r="L8" s="310"/>
      <c r="M8" s="268"/>
      <c r="N8" s="268"/>
      <c r="O8" s="310"/>
      <c r="P8" s="268"/>
      <c r="Q8" s="309"/>
      <c r="R8" s="268"/>
      <c r="S8" s="355" t="s">
        <v>5303</v>
      </c>
      <c r="T8" s="266">
        <v>0</v>
      </c>
      <c r="U8" s="268"/>
      <c r="V8" s="268"/>
      <c r="W8" s="268"/>
      <c r="X8" s="268"/>
      <c r="Y8" s="268"/>
      <c r="Z8" s="268"/>
    </row>
    <row r="9" spans="1:26" ht="24.75" customHeight="1">
      <c r="A9" s="268"/>
      <c r="B9" s="268"/>
      <c r="C9" s="268"/>
      <c r="D9" s="268"/>
      <c r="E9" s="268"/>
      <c r="F9" s="238" t="s">
        <v>5330</v>
      </c>
      <c r="G9" s="373" t="s">
        <v>5300</v>
      </c>
      <c r="H9" s="268"/>
      <c r="I9" s="268"/>
      <c r="J9" s="268"/>
      <c r="K9" s="268"/>
      <c r="L9" s="310"/>
      <c r="M9" s="268"/>
      <c r="N9" s="268"/>
      <c r="O9" s="310"/>
      <c r="P9" s="268"/>
      <c r="Q9" s="309"/>
      <c r="R9" s="268"/>
      <c r="S9" s="356" t="s">
        <v>5304</v>
      </c>
      <c r="T9" s="266">
        <v>0</v>
      </c>
      <c r="U9" s="268"/>
      <c r="V9" s="268"/>
      <c r="W9" s="268"/>
      <c r="X9" s="268"/>
      <c r="Y9" s="268"/>
      <c r="Z9" s="268"/>
    </row>
    <row r="10" spans="1:26" ht="24.75" customHeight="1">
      <c r="A10" s="268"/>
      <c r="B10" s="268"/>
      <c r="C10" s="268"/>
      <c r="D10" s="268"/>
      <c r="E10" s="268"/>
      <c r="F10" s="238" t="s">
        <v>5332</v>
      </c>
      <c r="G10" s="373" t="s">
        <v>5300</v>
      </c>
      <c r="H10" s="268"/>
      <c r="I10" s="268"/>
      <c r="J10" s="268"/>
      <c r="K10" s="268"/>
      <c r="L10" s="310"/>
      <c r="M10" s="268"/>
      <c r="N10" s="268"/>
      <c r="O10" s="310"/>
      <c r="P10" s="268"/>
      <c r="Q10" s="268"/>
      <c r="R10" s="268"/>
      <c r="S10" s="358" t="s">
        <v>5305</v>
      </c>
      <c r="T10" s="266">
        <v>0</v>
      </c>
      <c r="U10" s="268"/>
      <c r="V10" s="268"/>
      <c r="W10" s="268"/>
      <c r="X10" s="268"/>
      <c r="Y10" s="268"/>
      <c r="Z10" s="268"/>
    </row>
    <row r="11" spans="1:26" ht="24.75" customHeight="1">
      <c r="A11" s="268"/>
      <c r="B11" s="268"/>
      <c r="C11" s="268"/>
      <c r="D11" s="268"/>
      <c r="E11" s="268"/>
      <c r="F11" s="238" t="s">
        <v>5333</v>
      </c>
      <c r="G11" s="373" t="s">
        <v>5300</v>
      </c>
      <c r="H11" s="268"/>
      <c r="I11" s="268"/>
      <c r="J11" s="268"/>
      <c r="K11" s="268"/>
      <c r="L11" s="310"/>
      <c r="M11" s="268"/>
      <c r="N11" s="268"/>
      <c r="O11" s="310"/>
      <c r="P11" s="268"/>
      <c r="Q11" s="309"/>
      <c r="R11" s="268"/>
      <c r="S11" s="360" t="s">
        <v>5306</v>
      </c>
      <c r="T11" s="266">
        <v>0</v>
      </c>
      <c r="U11" s="268"/>
      <c r="V11" s="268"/>
      <c r="W11" s="268"/>
      <c r="X11" s="268"/>
      <c r="Y11" s="268"/>
      <c r="Z11" s="268"/>
    </row>
    <row r="12" spans="1:26" ht="24.75" customHeight="1">
      <c r="A12" s="268"/>
      <c r="B12" s="268"/>
      <c r="C12" s="268"/>
      <c r="D12" s="268"/>
      <c r="E12" s="268"/>
      <c r="F12" s="238" t="s">
        <v>5334</v>
      </c>
      <c r="G12" s="375" t="s">
        <v>5300</v>
      </c>
      <c r="H12" s="268"/>
      <c r="I12" s="268"/>
      <c r="J12" s="268"/>
      <c r="K12" s="268"/>
      <c r="L12" s="310"/>
      <c r="M12" s="268"/>
      <c r="N12" s="268"/>
      <c r="O12" s="310"/>
      <c r="P12" s="268"/>
      <c r="Q12" s="309"/>
      <c r="R12" s="268"/>
      <c r="S12" s="362" t="s">
        <v>5307</v>
      </c>
      <c r="T12" s="266">
        <v>0</v>
      </c>
      <c r="U12" s="268"/>
      <c r="V12" s="268"/>
      <c r="W12" s="268"/>
      <c r="X12" s="268"/>
      <c r="Y12" s="268"/>
      <c r="Z12" s="268"/>
    </row>
    <row r="13" spans="1:26" ht="24.75" customHeight="1">
      <c r="A13" s="268"/>
      <c r="B13" s="268"/>
      <c r="C13" s="268"/>
      <c r="D13" s="268"/>
      <c r="E13" s="268"/>
      <c r="F13" s="277" t="s">
        <v>5335</v>
      </c>
      <c r="G13" s="377" t="s">
        <v>5302</v>
      </c>
      <c r="H13" s="268"/>
      <c r="I13" s="268"/>
      <c r="J13" s="268"/>
      <c r="K13" s="310"/>
      <c r="L13" s="268"/>
      <c r="M13" s="268"/>
      <c r="N13" s="310"/>
      <c r="O13" s="230" t="s">
        <v>5336</v>
      </c>
      <c r="P13" s="309"/>
      <c r="Q13" s="268"/>
      <c r="R13" s="268"/>
      <c r="S13" s="363" t="s">
        <v>5308</v>
      </c>
      <c r="T13" s="266">
        <v>0</v>
      </c>
      <c r="U13" s="268"/>
      <c r="V13" s="268"/>
      <c r="W13" s="268"/>
      <c r="X13" s="268"/>
      <c r="Y13" s="268"/>
      <c r="Z13" s="268"/>
    </row>
    <row r="14" spans="1:26" ht="24.75" customHeight="1">
      <c r="A14" s="268"/>
      <c r="B14" s="268"/>
      <c r="C14" s="268"/>
      <c r="D14" s="268"/>
      <c r="E14" s="268"/>
      <c r="F14" s="379" t="s">
        <v>5337</v>
      </c>
      <c r="G14" s="377" t="s">
        <v>5302</v>
      </c>
      <c r="H14" s="268"/>
      <c r="I14" s="268"/>
      <c r="J14" s="268"/>
      <c r="K14" s="310"/>
      <c r="L14" s="268"/>
      <c r="M14" s="268"/>
      <c r="N14" s="310"/>
      <c r="O14" s="230" t="s">
        <v>5336</v>
      </c>
      <c r="P14" s="309"/>
      <c r="Q14" s="268"/>
      <c r="R14" s="268"/>
      <c r="S14" s="364" t="s">
        <v>4811</v>
      </c>
      <c r="T14" s="266">
        <v>0</v>
      </c>
      <c r="U14" s="268"/>
      <c r="V14" s="268"/>
      <c r="W14" s="268"/>
      <c r="X14" s="268"/>
      <c r="Y14" s="268"/>
      <c r="Z14" s="268"/>
    </row>
    <row r="15" spans="1:26" ht="24.75" customHeight="1">
      <c r="A15" s="268"/>
      <c r="B15" s="268"/>
      <c r="C15" s="268"/>
      <c r="D15" s="268"/>
      <c r="E15" s="268"/>
      <c r="F15" s="277" t="s">
        <v>5338</v>
      </c>
      <c r="G15" s="377" t="s">
        <v>5302</v>
      </c>
      <c r="H15" s="268"/>
      <c r="I15" s="268"/>
      <c r="J15" s="268"/>
      <c r="K15" s="310"/>
      <c r="L15" s="268"/>
      <c r="M15" s="268"/>
      <c r="N15" s="310"/>
      <c r="O15" s="230" t="s">
        <v>5336</v>
      </c>
      <c r="P15" s="309"/>
      <c r="Q15" s="268"/>
      <c r="R15" s="268"/>
      <c r="S15" s="365" t="s">
        <v>4815</v>
      </c>
      <c r="T15" s="266">
        <v>0</v>
      </c>
      <c r="U15" s="268"/>
      <c r="V15" s="268"/>
      <c r="W15" s="268"/>
      <c r="X15" s="268"/>
      <c r="Y15" s="268"/>
      <c r="Z15" s="268"/>
    </row>
    <row r="16" spans="1:26" ht="24.75" customHeight="1">
      <c r="A16" s="268"/>
      <c r="B16" s="268"/>
      <c r="C16" s="268"/>
      <c r="D16" s="268"/>
      <c r="E16" s="268"/>
      <c r="F16" s="277" t="s">
        <v>5339</v>
      </c>
      <c r="G16" s="377" t="s">
        <v>5302</v>
      </c>
      <c r="H16" s="268"/>
      <c r="I16" s="268"/>
      <c r="J16" s="268"/>
      <c r="K16" s="310"/>
      <c r="L16" s="268"/>
      <c r="M16" s="268"/>
      <c r="N16" s="310"/>
      <c r="O16" s="230" t="s">
        <v>5336</v>
      </c>
      <c r="P16" s="309"/>
      <c r="Q16" s="268"/>
      <c r="R16" s="268"/>
      <c r="S16" s="368" t="s">
        <v>4821</v>
      </c>
      <c r="T16" s="266">
        <v>0</v>
      </c>
      <c r="U16" s="268"/>
      <c r="V16" s="268"/>
      <c r="W16" s="268"/>
      <c r="X16" s="268"/>
      <c r="Y16" s="268"/>
      <c r="Z16" s="268"/>
    </row>
    <row r="17" spans="1:26" ht="24.75" customHeight="1">
      <c r="A17" s="268"/>
      <c r="B17" s="268"/>
      <c r="C17" s="268"/>
      <c r="D17" s="268"/>
      <c r="E17" s="268"/>
      <c r="F17" s="277" t="s">
        <v>5340</v>
      </c>
      <c r="G17" s="377" t="s">
        <v>5302</v>
      </c>
      <c r="H17" s="268"/>
      <c r="I17" s="268"/>
      <c r="J17" s="268"/>
      <c r="K17" s="268"/>
      <c r="L17" s="310"/>
      <c r="M17" s="268"/>
      <c r="N17" s="268"/>
      <c r="O17" s="230" t="s">
        <v>5336</v>
      </c>
      <c r="P17" s="268"/>
      <c r="Q17" s="309"/>
      <c r="R17" s="268"/>
      <c r="S17" s="315" t="s">
        <v>4826</v>
      </c>
      <c r="T17" s="266">
        <v>0</v>
      </c>
      <c r="U17" s="268"/>
      <c r="V17" s="268"/>
      <c r="W17" s="268"/>
      <c r="X17" s="268"/>
      <c r="Y17" s="268"/>
      <c r="Z17" s="268"/>
    </row>
    <row r="18" spans="1:26" ht="24.75" customHeight="1">
      <c r="A18" s="268"/>
      <c r="B18" s="268"/>
      <c r="C18" s="268"/>
      <c r="D18" s="268"/>
      <c r="E18" s="268"/>
      <c r="F18" s="277" t="s">
        <v>5341</v>
      </c>
      <c r="G18" s="377" t="s">
        <v>5302</v>
      </c>
      <c r="H18" s="268"/>
      <c r="I18" s="268"/>
      <c r="J18" s="268"/>
      <c r="K18" s="268"/>
      <c r="L18" s="310"/>
      <c r="M18" s="268"/>
      <c r="N18" s="268"/>
      <c r="O18" s="230" t="s">
        <v>5336</v>
      </c>
      <c r="P18" s="268"/>
      <c r="Q18" s="309"/>
      <c r="R18" s="268"/>
      <c r="S18" s="317" t="s">
        <v>4833</v>
      </c>
      <c r="T18" s="266">
        <v>0</v>
      </c>
      <c r="U18" s="268"/>
      <c r="V18" s="268"/>
      <c r="W18" s="268"/>
      <c r="X18" s="268"/>
      <c r="Y18" s="268"/>
      <c r="Z18" s="268"/>
    </row>
    <row r="19" spans="1:26" ht="24.75" customHeight="1">
      <c r="A19" s="268"/>
      <c r="B19" s="268"/>
      <c r="C19" s="268"/>
      <c r="D19" s="268"/>
      <c r="E19" s="268"/>
      <c r="F19" s="277" t="s">
        <v>5342</v>
      </c>
      <c r="G19" s="377" t="s">
        <v>5302</v>
      </c>
      <c r="H19" s="268"/>
      <c r="I19" s="268"/>
      <c r="J19" s="268"/>
      <c r="K19" s="268"/>
      <c r="L19" s="310"/>
      <c r="M19" s="268"/>
      <c r="N19" s="268"/>
      <c r="O19" s="230" t="s">
        <v>5336</v>
      </c>
      <c r="P19" s="268"/>
      <c r="Q19" s="309"/>
      <c r="R19" s="268"/>
      <c r="S19" s="318" t="s">
        <v>4840</v>
      </c>
      <c r="T19" s="319" t="s">
        <v>4795</v>
      </c>
      <c r="U19" s="268"/>
      <c r="V19" s="268"/>
      <c r="W19" s="268"/>
      <c r="X19" s="268"/>
      <c r="Y19" s="268"/>
      <c r="Z19" s="268"/>
    </row>
    <row r="20" spans="1:26" ht="24.75" customHeight="1">
      <c r="A20" s="268"/>
      <c r="B20" s="268"/>
      <c r="C20" s="268"/>
      <c r="D20" s="268"/>
      <c r="E20" s="268"/>
      <c r="F20" s="238" t="s">
        <v>5343</v>
      </c>
      <c r="G20" s="377" t="s">
        <v>5302</v>
      </c>
      <c r="H20" s="268"/>
      <c r="I20" s="268"/>
      <c r="J20" s="268"/>
      <c r="K20" s="268"/>
      <c r="L20" s="310"/>
      <c r="M20" s="268"/>
      <c r="N20" s="268"/>
      <c r="O20" s="230" t="s">
        <v>5336</v>
      </c>
      <c r="P20" s="268"/>
      <c r="Q20" s="309"/>
      <c r="R20" s="268"/>
      <c r="S20" s="318" t="s">
        <v>5196</v>
      </c>
      <c r="T20" s="319" t="s">
        <v>4795</v>
      </c>
      <c r="U20" s="268"/>
      <c r="V20" s="268"/>
      <c r="W20" s="268"/>
      <c r="X20" s="268"/>
      <c r="Y20" s="268"/>
      <c r="Z20" s="268"/>
    </row>
    <row r="21" spans="1:26" ht="24.75" customHeight="1">
      <c r="A21" s="268"/>
      <c r="B21" s="268"/>
      <c r="C21" s="268"/>
      <c r="D21" s="268"/>
      <c r="E21" s="268"/>
      <c r="F21" s="238" t="s">
        <v>5344</v>
      </c>
      <c r="G21" s="377" t="s">
        <v>5302</v>
      </c>
      <c r="H21" s="268"/>
      <c r="I21" s="268"/>
      <c r="J21" s="268"/>
      <c r="K21" s="268"/>
      <c r="L21" s="310"/>
      <c r="M21" s="268"/>
      <c r="N21" s="268"/>
      <c r="O21" s="230" t="s">
        <v>5336</v>
      </c>
      <c r="P21" s="268"/>
      <c r="Q21" s="309"/>
      <c r="R21" s="313"/>
      <c r="S21" s="336" t="s">
        <v>4878</v>
      </c>
      <c r="T21" s="266">
        <v>0</v>
      </c>
      <c r="U21" s="268"/>
      <c r="V21" s="268"/>
      <c r="W21" s="268"/>
      <c r="X21" s="268"/>
      <c r="Y21" s="268"/>
      <c r="Z21" s="268"/>
    </row>
    <row r="22" spans="1:26" ht="24.75" customHeight="1">
      <c r="A22" s="268"/>
      <c r="B22" s="268"/>
      <c r="C22" s="268"/>
      <c r="D22" s="268"/>
      <c r="E22" s="268"/>
      <c r="F22" s="238" t="s">
        <v>5345</v>
      </c>
      <c r="G22" s="377" t="s">
        <v>5302</v>
      </c>
      <c r="H22" s="268"/>
      <c r="I22" s="268"/>
      <c r="J22" s="268"/>
      <c r="K22" s="268"/>
      <c r="L22" s="310"/>
      <c r="M22" s="268"/>
      <c r="N22" s="268"/>
      <c r="O22" s="230" t="s">
        <v>5336</v>
      </c>
      <c r="P22" s="268"/>
      <c r="Q22" s="309"/>
      <c r="R22" s="268"/>
      <c r="S22" s="336" t="s">
        <v>5346</v>
      </c>
      <c r="T22" s="266">
        <v>0</v>
      </c>
      <c r="U22" s="268"/>
      <c r="V22" s="268"/>
      <c r="W22" s="268"/>
      <c r="X22" s="268"/>
      <c r="Y22" s="268"/>
      <c r="Z22" s="268"/>
    </row>
    <row r="23" spans="1:26" ht="24.75" customHeight="1">
      <c r="A23" s="268"/>
      <c r="B23" s="268"/>
      <c r="C23" s="268"/>
      <c r="D23" s="268"/>
      <c r="E23" s="268"/>
      <c r="F23" s="238" t="s">
        <v>5347</v>
      </c>
      <c r="G23" s="377" t="s">
        <v>5302</v>
      </c>
      <c r="H23" s="268"/>
      <c r="I23" s="268"/>
      <c r="J23" s="268"/>
      <c r="K23" s="268"/>
      <c r="L23" s="310"/>
      <c r="M23" s="268"/>
      <c r="N23" s="268"/>
      <c r="O23" s="230" t="s">
        <v>5336</v>
      </c>
      <c r="P23" s="268"/>
      <c r="Q23" s="309"/>
      <c r="R23" s="268"/>
      <c r="S23" s="268"/>
      <c r="T23" s="268"/>
      <c r="U23" s="268"/>
      <c r="V23" s="268"/>
      <c r="W23" s="268"/>
      <c r="X23" s="268"/>
      <c r="Y23" s="268"/>
      <c r="Z23" s="268"/>
    </row>
    <row r="24" spans="1:26" ht="24.75" customHeight="1">
      <c r="A24" s="268"/>
      <c r="B24" s="268"/>
      <c r="C24" s="268"/>
      <c r="D24" s="268"/>
      <c r="E24" s="268"/>
      <c r="F24" s="238" t="s">
        <v>5349</v>
      </c>
      <c r="G24" s="377" t="s">
        <v>5302</v>
      </c>
      <c r="H24" s="268"/>
      <c r="I24" s="268"/>
      <c r="J24" s="268"/>
      <c r="K24" s="268"/>
      <c r="L24" s="310"/>
      <c r="M24" s="268"/>
      <c r="N24" s="268"/>
      <c r="O24" s="230" t="s">
        <v>5336</v>
      </c>
      <c r="P24" s="268"/>
      <c r="Q24" s="309"/>
      <c r="R24" s="268"/>
      <c r="S24" s="313"/>
      <c r="T24" s="268"/>
      <c r="U24" s="268"/>
      <c r="V24" s="268"/>
      <c r="W24" s="268"/>
      <c r="X24" s="268"/>
      <c r="Y24" s="268"/>
      <c r="Z24" s="268"/>
    </row>
    <row r="25" spans="1:26" ht="24.75" customHeight="1">
      <c r="A25" s="268"/>
      <c r="B25" s="268"/>
      <c r="C25" s="268"/>
      <c r="D25" s="268"/>
      <c r="E25" s="268"/>
      <c r="F25" s="238" t="s">
        <v>5350</v>
      </c>
      <c r="G25" s="377" t="s">
        <v>5302</v>
      </c>
      <c r="H25" s="268"/>
      <c r="I25" s="268"/>
      <c r="J25" s="268"/>
      <c r="K25" s="268"/>
      <c r="L25" s="310"/>
      <c r="M25" s="268"/>
      <c r="N25" s="268"/>
      <c r="O25" s="230" t="s">
        <v>5336</v>
      </c>
      <c r="P25" s="268"/>
      <c r="Q25" s="309"/>
      <c r="R25" s="268"/>
      <c r="S25" s="313"/>
      <c r="T25" s="268"/>
      <c r="U25" s="268"/>
      <c r="V25" s="268"/>
      <c r="W25" s="268"/>
      <c r="X25" s="268"/>
      <c r="Y25" s="268"/>
      <c r="Z25" s="268"/>
    </row>
    <row r="26" spans="1:26" ht="24.75" customHeight="1">
      <c r="A26" s="268"/>
      <c r="B26" s="268"/>
      <c r="C26" s="268"/>
      <c r="D26" s="268"/>
      <c r="E26" s="268"/>
      <c r="F26" s="238" t="s">
        <v>5351</v>
      </c>
      <c r="G26" s="377" t="s">
        <v>5302</v>
      </c>
      <c r="H26" s="268"/>
      <c r="I26" s="268"/>
      <c r="J26" s="268"/>
      <c r="K26" s="268"/>
      <c r="L26" s="310"/>
      <c r="M26" s="268"/>
      <c r="N26" s="268"/>
      <c r="O26" s="230" t="s">
        <v>5336</v>
      </c>
      <c r="P26" s="268"/>
      <c r="Q26" s="309"/>
      <c r="R26" s="268"/>
      <c r="S26" s="313"/>
      <c r="T26" s="268"/>
      <c r="U26" s="268"/>
      <c r="V26" s="268"/>
      <c r="W26" s="268"/>
      <c r="X26" s="268"/>
      <c r="Y26" s="268"/>
      <c r="Z26" s="268"/>
    </row>
    <row r="27" spans="1:26" ht="24.75" customHeight="1">
      <c r="A27" s="268"/>
      <c r="B27" s="268"/>
      <c r="C27" s="268"/>
      <c r="D27" s="268"/>
      <c r="E27" s="268"/>
      <c r="F27" s="238" t="s">
        <v>5352</v>
      </c>
      <c r="G27" s="377" t="s">
        <v>5302</v>
      </c>
      <c r="H27" s="268"/>
      <c r="I27" s="268"/>
      <c r="J27" s="268"/>
      <c r="K27" s="268"/>
      <c r="L27" s="310"/>
      <c r="M27" s="268"/>
      <c r="N27" s="268"/>
      <c r="O27" s="230" t="s">
        <v>5336</v>
      </c>
      <c r="P27" s="268"/>
      <c r="Q27" s="309"/>
      <c r="R27" s="268"/>
      <c r="S27" s="313"/>
      <c r="T27" s="268"/>
      <c r="U27" s="268"/>
      <c r="V27" s="268"/>
      <c r="W27" s="268"/>
      <c r="X27" s="268"/>
      <c r="Y27" s="268"/>
      <c r="Z27" s="268"/>
    </row>
    <row r="28" spans="1:26" ht="24.75" customHeight="1">
      <c r="A28" s="268"/>
      <c r="B28" s="268"/>
      <c r="C28" s="268"/>
      <c r="D28" s="268"/>
      <c r="E28" s="268"/>
      <c r="F28" s="238" t="s">
        <v>5345</v>
      </c>
      <c r="G28" s="377" t="s">
        <v>5302</v>
      </c>
      <c r="H28" s="268"/>
      <c r="I28" s="268"/>
      <c r="J28" s="268"/>
      <c r="K28" s="268"/>
      <c r="L28" s="310"/>
      <c r="M28" s="268"/>
      <c r="N28" s="268"/>
      <c r="O28" s="230" t="s">
        <v>5336</v>
      </c>
      <c r="P28" s="268"/>
      <c r="Q28" s="309"/>
      <c r="R28" s="268"/>
      <c r="S28" s="313"/>
      <c r="T28" s="313"/>
      <c r="U28" s="268"/>
      <c r="V28" s="268"/>
      <c r="W28" s="268"/>
      <c r="X28" s="268"/>
      <c r="Y28" s="268"/>
      <c r="Z28" s="268"/>
    </row>
    <row r="29" spans="1:26" ht="24.75" customHeight="1">
      <c r="A29" s="268"/>
      <c r="B29" s="268"/>
      <c r="C29" s="268"/>
      <c r="D29" s="268"/>
      <c r="E29" s="268"/>
      <c r="F29" s="238" t="s">
        <v>5353</v>
      </c>
      <c r="G29" s="377" t="s">
        <v>5302</v>
      </c>
      <c r="H29" s="268"/>
      <c r="I29" s="268"/>
      <c r="J29" s="268"/>
      <c r="K29" s="268"/>
      <c r="L29" s="310"/>
      <c r="M29" s="268"/>
      <c r="N29" s="268"/>
      <c r="O29" s="230" t="s">
        <v>5336</v>
      </c>
      <c r="P29" s="268"/>
      <c r="Q29" s="309"/>
      <c r="R29" s="268"/>
      <c r="S29" s="313"/>
      <c r="T29" s="313"/>
      <c r="U29" s="268"/>
      <c r="V29" s="268"/>
      <c r="W29" s="268"/>
      <c r="X29" s="268"/>
      <c r="Y29" s="268"/>
      <c r="Z29" s="268"/>
    </row>
    <row r="30" spans="1:26" ht="24.75" customHeight="1">
      <c r="A30" s="268"/>
      <c r="B30" s="268"/>
      <c r="C30" s="268"/>
      <c r="D30" s="268"/>
      <c r="E30" s="268"/>
      <c r="F30" s="238" t="s">
        <v>5354</v>
      </c>
      <c r="G30" s="377" t="s">
        <v>5302</v>
      </c>
      <c r="H30" s="268"/>
      <c r="I30" s="268"/>
      <c r="J30" s="268"/>
      <c r="K30" s="268"/>
      <c r="L30" s="310"/>
      <c r="M30" s="268"/>
      <c r="N30" s="268"/>
      <c r="O30" s="230" t="s">
        <v>5336</v>
      </c>
      <c r="P30" s="268"/>
      <c r="Q30" s="309"/>
      <c r="R30" s="268"/>
      <c r="S30" s="313"/>
      <c r="T30" s="313"/>
      <c r="U30" s="268"/>
      <c r="V30" s="268"/>
      <c r="W30" s="268"/>
      <c r="X30" s="268"/>
      <c r="Y30" s="268"/>
      <c r="Z30" s="268"/>
    </row>
    <row r="31" spans="1:26" ht="24.75" customHeight="1">
      <c r="A31" s="268"/>
      <c r="B31" s="268"/>
      <c r="C31" s="268"/>
      <c r="D31" s="268"/>
      <c r="E31" s="268"/>
      <c r="F31" s="238" t="s">
        <v>5356</v>
      </c>
      <c r="G31" s="377" t="s">
        <v>5302</v>
      </c>
      <c r="H31" s="268"/>
      <c r="I31" s="268"/>
      <c r="J31" s="268"/>
      <c r="K31" s="268"/>
      <c r="L31" s="310"/>
      <c r="M31" s="268"/>
      <c r="N31" s="268"/>
      <c r="O31" s="230" t="s">
        <v>5336</v>
      </c>
      <c r="P31" s="268"/>
      <c r="Q31" s="309"/>
      <c r="R31" s="268"/>
      <c r="S31" s="313"/>
      <c r="T31" s="313"/>
      <c r="U31" s="268"/>
      <c r="V31" s="268"/>
      <c r="W31" s="268"/>
      <c r="X31" s="268"/>
      <c r="Y31" s="268"/>
      <c r="Z31" s="268"/>
    </row>
    <row r="32" spans="1:26" ht="24.75" customHeight="1">
      <c r="A32" s="268"/>
      <c r="B32" s="268"/>
      <c r="C32" s="268"/>
      <c r="D32" s="268"/>
      <c r="E32" s="268"/>
      <c r="F32" s="238" t="s">
        <v>5358</v>
      </c>
      <c r="G32" s="377" t="s">
        <v>5302</v>
      </c>
      <c r="H32" s="268"/>
      <c r="I32" s="268"/>
      <c r="J32" s="268"/>
      <c r="K32" s="268"/>
      <c r="L32" s="310"/>
      <c r="M32" s="268"/>
      <c r="N32" s="268"/>
      <c r="O32" s="230" t="s">
        <v>5336</v>
      </c>
      <c r="P32" s="268"/>
      <c r="Q32" s="309"/>
      <c r="R32" s="268"/>
      <c r="S32" s="313"/>
      <c r="T32" s="313"/>
      <c r="U32" s="268"/>
      <c r="V32" s="268"/>
      <c r="W32" s="268"/>
      <c r="X32" s="268"/>
      <c r="Y32" s="268"/>
      <c r="Z32" s="268"/>
    </row>
    <row r="33" spans="1:26" ht="24.75" customHeight="1">
      <c r="A33" s="268"/>
      <c r="B33" s="268"/>
      <c r="C33" s="268"/>
      <c r="D33" s="268"/>
      <c r="E33" s="268"/>
      <c r="F33" s="238" t="s">
        <v>5360</v>
      </c>
      <c r="G33" s="377" t="s">
        <v>5302</v>
      </c>
      <c r="H33" s="268"/>
      <c r="I33" s="268"/>
      <c r="J33" s="268"/>
      <c r="K33" s="268"/>
      <c r="L33" s="310"/>
      <c r="M33" s="268"/>
      <c r="N33" s="268"/>
      <c r="O33" s="230" t="s">
        <v>5336</v>
      </c>
      <c r="P33" s="268"/>
      <c r="Q33" s="309"/>
      <c r="R33" s="268"/>
      <c r="S33" s="313"/>
      <c r="T33" s="313"/>
      <c r="U33" s="268"/>
      <c r="V33" s="268"/>
      <c r="W33" s="268"/>
      <c r="X33" s="268"/>
      <c r="Y33" s="268"/>
      <c r="Z33" s="268"/>
    </row>
    <row r="34" spans="1:26" ht="24.75" customHeight="1">
      <c r="A34" s="268"/>
      <c r="B34" s="268"/>
      <c r="C34" s="268"/>
      <c r="D34" s="268"/>
      <c r="E34" s="268"/>
      <c r="F34" s="238" t="s">
        <v>5362</v>
      </c>
      <c r="G34" s="377" t="s">
        <v>5302</v>
      </c>
      <c r="H34" s="268"/>
      <c r="I34" s="268"/>
      <c r="J34" s="268"/>
      <c r="K34" s="268"/>
      <c r="L34" s="310"/>
      <c r="M34" s="268"/>
      <c r="N34" s="268"/>
      <c r="O34" s="230" t="s">
        <v>5336</v>
      </c>
      <c r="P34" s="268"/>
      <c r="Q34" s="309"/>
      <c r="R34" s="268"/>
      <c r="S34" s="313"/>
      <c r="T34" s="313"/>
      <c r="U34" s="268"/>
      <c r="V34" s="268"/>
      <c r="W34" s="268"/>
      <c r="X34" s="268"/>
      <c r="Y34" s="268"/>
      <c r="Z34" s="268"/>
    </row>
    <row r="35" spans="1:26" ht="24.75" customHeight="1">
      <c r="A35" s="268"/>
      <c r="B35" s="268"/>
      <c r="C35" s="268"/>
      <c r="D35" s="268"/>
      <c r="E35" s="268"/>
      <c r="F35" s="238" t="s">
        <v>5364</v>
      </c>
      <c r="G35" s="377" t="s">
        <v>5302</v>
      </c>
      <c r="H35" s="268"/>
      <c r="I35" s="268"/>
      <c r="J35" s="268"/>
      <c r="K35" s="268"/>
      <c r="L35" s="310"/>
      <c r="M35" s="268"/>
      <c r="N35" s="268"/>
      <c r="O35" s="230" t="s">
        <v>5336</v>
      </c>
      <c r="P35" s="268"/>
      <c r="Q35" s="309"/>
      <c r="R35" s="313"/>
      <c r="S35" s="313"/>
      <c r="T35" s="313"/>
      <c r="U35" s="268"/>
      <c r="V35" s="268"/>
      <c r="W35" s="268"/>
      <c r="X35" s="268"/>
      <c r="Y35" s="268"/>
      <c r="Z35" s="268"/>
    </row>
    <row r="36" spans="1:26" ht="24.75" customHeight="1">
      <c r="A36" s="268"/>
      <c r="B36" s="268"/>
      <c r="C36" s="268"/>
      <c r="D36" s="268"/>
      <c r="E36" s="268"/>
      <c r="F36" s="238" t="s">
        <v>5366</v>
      </c>
      <c r="G36" s="377" t="s">
        <v>5302</v>
      </c>
      <c r="H36" s="268"/>
      <c r="I36" s="268"/>
      <c r="J36" s="268"/>
      <c r="K36" s="268"/>
      <c r="L36" s="310"/>
      <c r="M36" s="268"/>
      <c r="N36" s="268"/>
      <c r="O36" s="230" t="s">
        <v>5336</v>
      </c>
      <c r="P36" s="268"/>
      <c r="Q36" s="309"/>
      <c r="R36" s="313"/>
      <c r="S36" s="313"/>
      <c r="T36" s="313"/>
      <c r="U36" s="268"/>
      <c r="V36" s="268"/>
      <c r="W36" s="268"/>
      <c r="X36" s="268"/>
      <c r="Y36" s="268"/>
      <c r="Z36" s="268"/>
    </row>
    <row r="37" spans="1:26" ht="24.75" customHeight="1">
      <c r="A37" s="268"/>
      <c r="B37" s="268"/>
      <c r="C37" s="268"/>
      <c r="D37" s="268"/>
      <c r="E37" s="268"/>
      <c r="F37" s="238" t="s">
        <v>5368</v>
      </c>
      <c r="G37" s="377" t="s">
        <v>5302</v>
      </c>
      <c r="H37" s="268"/>
      <c r="I37" s="268"/>
      <c r="J37" s="268"/>
      <c r="K37" s="268"/>
      <c r="L37" s="310"/>
      <c r="M37" s="268"/>
      <c r="N37" s="268"/>
      <c r="O37" s="230" t="s">
        <v>5336</v>
      </c>
      <c r="P37" s="268"/>
      <c r="Q37" s="309"/>
      <c r="R37" s="268"/>
      <c r="S37" s="313"/>
      <c r="T37" s="313"/>
      <c r="U37" s="268"/>
      <c r="V37" s="268"/>
      <c r="W37" s="268"/>
      <c r="X37" s="268"/>
      <c r="Y37" s="268"/>
      <c r="Z37" s="268"/>
    </row>
    <row r="38" spans="1:26" ht="24.75" customHeight="1">
      <c r="A38" s="268"/>
      <c r="B38" s="268"/>
      <c r="C38" s="268"/>
      <c r="D38" s="268"/>
      <c r="E38" s="268"/>
      <c r="F38" s="238" t="s">
        <v>5369</v>
      </c>
      <c r="G38" s="377" t="s">
        <v>5302</v>
      </c>
      <c r="H38" s="268"/>
      <c r="I38" s="268"/>
      <c r="J38" s="268"/>
      <c r="K38" s="268"/>
      <c r="L38" s="310"/>
      <c r="M38" s="268"/>
      <c r="N38" s="268"/>
      <c r="O38" s="230" t="s">
        <v>5336</v>
      </c>
      <c r="P38" s="268"/>
      <c r="Q38" s="309"/>
      <c r="R38" s="268"/>
      <c r="S38" s="313"/>
      <c r="T38" s="313"/>
      <c r="U38" s="268"/>
      <c r="V38" s="268"/>
      <c r="W38" s="268"/>
      <c r="X38" s="268"/>
      <c r="Y38" s="268"/>
      <c r="Z38" s="268"/>
    </row>
    <row r="39" spans="1:26" ht="24.75" customHeight="1">
      <c r="A39" s="268"/>
      <c r="B39" s="268"/>
      <c r="C39" s="268"/>
      <c r="D39" s="268"/>
      <c r="E39" s="268"/>
      <c r="F39" s="238" t="s">
        <v>5370</v>
      </c>
      <c r="G39" s="377" t="s">
        <v>5302</v>
      </c>
      <c r="H39" s="268"/>
      <c r="I39" s="268"/>
      <c r="J39" s="268"/>
      <c r="K39" s="268"/>
      <c r="L39" s="310"/>
      <c r="M39" s="268"/>
      <c r="N39" s="268"/>
      <c r="O39" s="230" t="s">
        <v>5336</v>
      </c>
      <c r="P39" s="268"/>
      <c r="Q39" s="309"/>
      <c r="R39" s="268"/>
      <c r="S39" s="313"/>
      <c r="T39" s="313"/>
      <c r="U39" s="268"/>
      <c r="V39" s="268"/>
      <c r="W39" s="268"/>
      <c r="X39" s="268"/>
      <c r="Y39" s="268"/>
      <c r="Z39" s="268"/>
    </row>
    <row r="40" spans="1:26" ht="24.75" customHeight="1">
      <c r="A40" s="268"/>
      <c r="B40" s="268"/>
      <c r="C40" s="268"/>
      <c r="D40" s="268"/>
      <c r="E40" s="268"/>
      <c r="F40" s="238" t="s">
        <v>5371</v>
      </c>
      <c r="G40" s="377" t="s">
        <v>5302</v>
      </c>
      <c r="H40" s="268"/>
      <c r="I40" s="268"/>
      <c r="J40" s="268"/>
      <c r="K40" s="268"/>
      <c r="L40" s="310"/>
      <c r="M40" s="268"/>
      <c r="N40" s="268"/>
      <c r="O40" s="230" t="s">
        <v>5336</v>
      </c>
      <c r="P40" s="268"/>
      <c r="Q40" s="309"/>
      <c r="R40" s="268"/>
      <c r="S40" s="313"/>
      <c r="T40" s="313"/>
      <c r="U40" s="268"/>
      <c r="V40" s="268"/>
      <c r="W40" s="268"/>
      <c r="X40" s="268"/>
      <c r="Y40" s="268"/>
      <c r="Z40" s="268"/>
    </row>
    <row r="41" spans="1:26" ht="24.75" customHeight="1">
      <c r="A41" s="268"/>
      <c r="B41" s="268"/>
      <c r="C41" s="268"/>
      <c r="D41" s="268"/>
      <c r="E41" s="268"/>
      <c r="F41" s="238" t="s">
        <v>5372</v>
      </c>
      <c r="G41" s="377" t="s">
        <v>5302</v>
      </c>
      <c r="H41" s="268"/>
      <c r="I41" s="268"/>
      <c r="J41" s="268"/>
      <c r="K41" s="268"/>
      <c r="L41" s="310"/>
      <c r="M41" s="268"/>
      <c r="N41" s="268"/>
      <c r="O41" s="230" t="s">
        <v>5336</v>
      </c>
      <c r="P41" s="268"/>
      <c r="Q41" s="309"/>
      <c r="R41" s="268"/>
      <c r="S41" s="313"/>
      <c r="T41" s="313"/>
      <c r="U41" s="268"/>
      <c r="V41" s="268"/>
      <c r="W41" s="268"/>
      <c r="X41" s="268"/>
      <c r="Y41" s="268"/>
      <c r="Z41" s="268"/>
    </row>
    <row r="42" spans="1:26" ht="24.75" customHeight="1">
      <c r="A42" s="268"/>
      <c r="B42" s="268"/>
      <c r="C42" s="268"/>
      <c r="D42" s="268"/>
      <c r="E42" s="268"/>
      <c r="F42" s="238" t="s">
        <v>5373</v>
      </c>
      <c r="G42" s="377" t="s">
        <v>5302</v>
      </c>
      <c r="H42" s="268"/>
      <c r="I42" s="268"/>
      <c r="J42" s="268"/>
      <c r="K42" s="268"/>
      <c r="L42" s="310"/>
      <c r="M42" s="268"/>
      <c r="N42" s="268"/>
      <c r="O42" s="230" t="s">
        <v>5336</v>
      </c>
      <c r="P42" s="268"/>
      <c r="Q42" s="309"/>
      <c r="R42" s="268"/>
      <c r="S42" s="313"/>
      <c r="T42" s="313"/>
      <c r="U42" s="268"/>
      <c r="V42" s="268"/>
      <c r="W42" s="268"/>
      <c r="X42" s="268"/>
      <c r="Y42" s="268"/>
      <c r="Z42" s="268"/>
    </row>
    <row r="43" spans="1:26" ht="24.75" customHeight="1">
      <c r="A43" s="268"/>
      <c r="B43" s="268"/>
      <c r="C43" s="268"/>
      <c r="D43" s="268"/>
      <c r="E43" s="268"/>
      <c r="F43" s="238" t="s">
        <v>5374</v>
      </c>
      <c r="G43" s="377" t="s">
        <v>5302</v>
      </c>
      <c r="H43" s="268"/>
      <c r="I43" s="268"/>
      <c r="J43" s="268"/>
      <c r="K43" s="268"/>
      <c r="L43" s="310"/>
      <c r="M43" s="268"/>
      <c r="N43" s="268"/>
      <c r="O43" s="230" t="s">
        <v>5336</v>
      </c>
      <c r="P43" s="268"/>
      <c r="Q43" s="309"/>
      <c r="R43" s="268"/>
      <c r="S43" s="313"/>
      <c r="T43" s="313"/>
      <c r="U43" s="268"/>
      <c r="V43" s="268"/>
      <c r="W43" s="268"/>
      <c r="X43" s="268"/>
      <c r="Y43" s="268"/>
      <c r="Z43" s="268"/>
    </row>
    <row r="44" spans="1:26" ht="24.75" customHeight="1">
      <c r="A44" s="268"/>
      <c r="B44" s="268"/>
      <c r="C44" s="268"/>
      <c r="D44" s="268"/>
      <c r="E44" s="268"/>
      <c r="F44" s="238" t="s">
        <v>5358</v>
      </c>
      <c r="G44" s="377" t="s">
        <v>5302</v>
      </c>
      <c r="H44" s="268"/>
      <c r="I44" s="268"/>
      <c r="J44" s="268"/>
      <c r="K44" s="268"/>
      <c r="L44" s="310"/>
      <c r="M44" s="268"/>
      <c r="N44" s="268"/>
      <c r="O44" s="230" t="s">
        <v>5336</v>
      </c>
      <c r="P44" s="268"/>
      <c r="Q44" s="309"/>
      <c r="R44" s="268"/>
      <c r="S44" s="313"/>
      <c r="T44" s="313"/>
      <c r="U44" s="268"/>
      <c r="V44" s="268"/>
      <c r="W44" s="268"/>
      <c r="X44" s="268"/>
      <c r="Y44" s="268"/>
      <c r="Z44" s="268"/>
    </row>
    <row r="45" spans="1:26" ht="24.75" customHeight="1">
      <c r="A45" s="268"/>
      <c r="B45" s="268"/>
      <c r="C45" s="268"/>
      <c r="D45" s="268"/>
      <c r="E45" s="268"/>
      <c r="F45" s="238" t="s">
        <v>5375</v>
      </c>
      <c r="G45" s="377" t="s">
        <v>5302</v>
      </c>
      <c r="H45" s="268"/>
      <c r="I45" s="268"/>
      <c r="J45" s="268"/>
      <c r="K45" s="268"/>
      <c r="L45" s="310"/>
      <c r="M45" s="268"/>
      <c r="N45" s="268"/>
      <c r="O45" s="230" t="s">
        <v>5336</v>
      </c>
      <c r="P45" s="268"/>
      <c r="Q45" s="309"/>
      <c r="R45" s="268"/>
      <c r="S45" s="313"/>
      <c r="T45" s="313"/>
      <c r="U45" s="268"/>
      <c r="V45" s="268"/>
      <c r="W45" s="268"/>
      <c r="X45" s="268"/>
      <c r="Y45" s="268"/>
      <c r="Z45" s="268"/>
    </row>
    <row r="46" spans="1:26" ht="24.75" customHeight="1">
      <c r="A46" s="268"/>
      <c r="B46" s="268"/>
      <c r="C46" s="268"/>
      <c r="D46" s="268"/>
      <c r="E46" s="268"/>
      <c r="F46" s="238" t="s">
        <v>5376</v>
      </c>
      <c r="G46" s="377" t="s">
        <v>5302</v>
      </c>
      <c r="H46" s="268"/>
      <c r="I46" s="268"/>
      <c r="J46" s="268"/>
      <c r="K46" s="268"/>
      <c r="L46" s="310"/>
      <c r="M46" s="268"/>
      <c r="N46" s="268"/>
      <c r="O46" s="230" t="s">
        <v>5336</v>
      </c>
      <c r="P46" s="268"/>
      <c r="Q46" s="309"/>
      <c r="R46" s="268"/>
      <c r="S46" s="313"/>
      <c r="T46" s="313"/>
      <c r="U46" s="268"/>
      <c r="V46" s="268"/>
      <c r="W46" s="268"/>
      <c r="X46" s="268"/>
      <c r="Y46" s="268"/>
      <c r="Z46" s="268"/>
    </row>
    <row r="47" spans="1:26" ht="24.75" customHeight="1">
      <c r="A47" s="268"/>
      <c r="B47" s="268"/>
      <c r="C47" s="268"/>
      <c r="D47" s="268"/>
      <c r="E47" s="268"/>
      <c r="F47" s="238" t="s">
        <v>5377</v>
      </c>
      <c r="G47" s="377" t="s">
        <v>5302</v>
      </c>
      <c r="H47" s="268"/>
      <c r="I47" s="268"/>
      <c r="J47" s="268"/>
      <c r="K47" s="268"/>
      <c r="L47" s="310"/>
      <c r="M47" s="268"/>
      <c r="N47" s="268"/>
      <c r="O47" s="230" t="s">
        <v>5336</v>
      </c>
      <c r="P47" s="268"/>
      <c r="Q47" s="309"/>
      <c r="R47" s="268"/>
      <c r="S47" s="313"/>
      <c r="T47" s="313"/>
      <c r="U47" s="268"/>
      <c r="V47" s="268"/>
      <c r="W47" s="268"/>
      <c r="X47" s="268"/>
      <c r="Y47" s="268"/>
      <c r="Z47" s="268"/>
    </row>
    <row r="48" spans="1:26" ht="24.75" customHeight="1">
      <c r="A48" s="268"/>
      <c r="B48" s="268"/>
      <c r="C48" s="268"/>
      <c r="D48" s="268"/>
      <c r="E48" s="268"/>
      <c r="F48" s="238" t="s">
        <v>5378</v>
      </c>
      <c r="G48" s="377" t="s">
        <v>5302</v>
      </c>
      <c r="H48" s="268"/>
      <c r="I48" s="268"/>
      <c r="J48" s="268"/>
      <c r="K48" s="268"/>
      <c r="L48" s="310"/>
      <c r="M48" s="268"/>
      <c r="N48" s="268"/>
      <c r="O48" s="230" t="s">
        <v>5336</v>
      </c>
      <c r="P48" s="268"/>
      <c r="Q48" s="309"/>
      <c r="R48" s="268"/>
      <c r="S48" s="313"/>
      <c r="T48" s="313"/>
      <c r="U48" s="268"/>
      <c r="V48" s="268"/>
      <c r="W48" s="268"/>
      <c r="X48" s="268"/>
      <c r="Y48" s="268"/>
      <c r="Z48" s="268"/>
    </row>
    <row r="49" spans="1:26" ht="24.75" customHeight="1">
      <c r="A49" s="268"/>
      <c r="B49" s="268"/>
      <c r="C49" s="268"/>
      <c r="D49" s="268"/>
      <c r="E49" s="268"/>
      <c r="F49" s="238" t="s">
        <v>5379</v>
      </c>
      <c r="G49" s="377" t="s">
        <v>5302</v>
      </c>
      <c r="H49" s="268"/>
      <c r="I49" s="268"/>
      <c r="J49" s="268"/>
      <c r="K49" s="268"/>
      <c r="L49" s="310"/>
      <c r="M49" s="268"/>
      <c r="N49" s="268"/>
      <c r="O49" s="230" t="s">
        <v>5336</v>
      </c>
      <c r="P49" s="268"/>
      <c r="Q49" s="309"/>
      <c r="R49" s="268"/>
      <c r="S49" s="313"/>
      <c r="T49" s="313"/>
      <c r="U49" s="268"/>
      <c r="V49" s="268"/>
      <c r="W49" s="268"/>
      <c r="X49" s="268"/>
      <c r="Y49" s="268"/>
      <c r="Z49" s="268"/>
    </row>
    <row r="50" spans="1:26" ht="24.75" customHeight="1">
      <c r="A50" s="268"/>
      <c r="B50" s="268"/>
      <c r="C50" s="268"/>
      <c r="D50" s="268"/>
      <c r="E50" s="268"/>
      <c r="F50" s="238" t="s">
        <v>5380</v>
      </c>
      <c r="G50" s="377" t="s">
        <v>5302</v>
      </c>
      <c r="H50" s="268"/>
      <c r="I50" s="268"/>
      <c r="J50" s="268"/>
      <c r="K50" s="268"/>
      <c r="L50" s="310"/>
      <c r="M50" s="268"/>
      <c r="N50" s="268"/>
      <c r="O50" s="230" t="s">
        <v>5336</v>
      </c>
      <c r="P50" s="268"/>
      <c r="Q50" s="309"/>
      <c r="R50" s="268"/>
      <c r="S50" s="313"/>
      <c r="T50" s="313"/>
      <c r="U50" s="268"/>
      <c r="V50" s="268"/>
      <c r="W50" s="268"/>
      <c r="X50" s="268"/>
      <c r="Y50" s="268"/>
      <c r="Z50" s="268"/>
    </row>
    <row r="51" spans="1:26" ht="24.75" customHeight="1">
      <c r="A51" s="268"/>
      <c r="B51" s="268"/>
      <c r="C51" s="268"/>
      <c r="D51" s="268"/>
      <c r="E51" s="268"/>
      <c r="F51" s="268"/>
      <c r="G51" s="268"/>
      <c r="H51" s="268"/>
      <c r="I51" s="268"/>
      <c r="J51" s="268"/>
      <c r="K51" s="268"/>
      <c r="L51" s="310"/>
      <c r="M51" s="268"/>
      <c r="N51" s="268"/>
      <c r="O51" s="310"/>
      <c r="P51" s="268"/>
      <c r="Q51" s="309"/>
      <c r="R51" s="268"/>
      <c r="S51" s="313"/>
      <c r="T51" s="313"/>
      <c r="U51" s="268"/>
      <c r="V51" s="268"/>
      <c r="W51" s="268"/>
      <c r="X51" s="268"/>
      <c r="Y51" s="268"/>
      <c r="Z51" s="268"/>
    </row>
    <row r="52" spans="1:26" ht="24.75" customHeight="1">
      <c r="A52" s="268"/>
      <c r="B52" s="268"/>
      <c r="C52" s="268"/>
      <c r="D52" s="268"/>
      <c r="E52" s="268"/>
      <c r="F52" s="268"/>
      <c r="G52" s="268"/>
      <c r="H52" s="268"/>
      <c r="I52" s="268"/>
      <c r="J52" s="268"/>
      <c r="K52" s="268"/>
      <c r="L52" s="310"/>
      <c r="M52" s="268"/>
      <c r="N52" s="268"/>
      <c r="O52" s="310"/>
      <c r="P52" s="268"/>
      <c r="Q52" s="309"/>
      <c r="R52" s="268"/>
      <c r="S52" s="313"/>
      <c r="T52" s="313"/>
      <c r="U52" s="268"/>
      <c r="V52" s="268"/>
      <c r="W52" s="268"/>
      <c r="X52" s="268"/>
      <c r="Y52" s="268"/>
      <c r="Z52" s="268"/>
    </row>
    <row r="53" spans="1:26" ht="24.75" customHeight="1">
      <c r="A53" s="268"/>
      <c r="B53" s="268"/>
      <c r="C53" s="268"/>
      <c r="D53" s="268"/>
      <c r="E53" s="268"/>
      <c r="F53" s="268"/>
      <c r="G53" s="268"/>
      <c r="H53" s="268"/>
      <c r="I53" s="268"/>
      <c r="J53" s="268"/>
      <c r="K53" s="268"/>
      <c r="L53" s="310"/>
      <c r="M53" s="268"/>
      <c r="N53" s="268"/>
      <c r="O53" s="310"/>
      <c r="P53" s="268"/>
      <c r="Q53" s="309"/>
      <c r="R53" s="268"/>
      <c r="S53" s="313"/>
      <c r="T53" s="313"/>
      <c r="U53" s="268"/>
      <c r="V53" s="268"/>
      <c r="W53" s="268"/>
      <c r="X53" s="268"/>
      <c r="Y53" s="268"/>
      <c r="Z53" s="268"/>
    </row>
    <row r="54" spans="1:26" ht="24.75" customHeight="1">
      <c r="A54" s="268"/>
      <c r="B54" s="268"/>
      <c r="C54" s="268"/>
      <c r="D54" s="268"/>
      <c r="E54" s="268"/>
      <c r="F54" s="268"/>
      <c r="G54" s="268"/>
      <c r="H54" s="268"/>
      <c r="I54" s="268"/>
      <c r="J54" s="268"/>
      <c r="K54" s="268"/>
      <c r="L54" s="310"/>
      <c r="M54" s="268"/>
      <c r="N54" s="268"/>
      <c r="O54" s="310"/>
      <c r="P54" s="268"/>
      <c r="Q54" s="309"/>
      <c r="R54" s="268"/>
      <c r="S54" s="313"/>
      <c r="T54" s="313"/>
      <c r="U54" s="268"/>
      <c r="V54" s="268"/>
      <c r="W54" s="268"/>
      <c r="X54" s="268"/>
      <c r="Y54" s="268"/>
      <c r="Z54" s="268"/>
    </row>
    <row r="55" spans="1:26" ht="24.75" customHeight="1">
      <c r="A55" s="268"/>
      <c r="B55" s="268"/>
      <c r="C55" s="268"/>
      <c r="D55" s="268"/>
      <c r="E55" s="268"/>
      <c r="F55" s="268"/>
      <c r="G55" s="268"/>
      <c r="H55" s="268"/>
      <c r="I55" s="268"/>
      <c r="J55" s="268"/>
      <c r="K55" s="268"/>
      <c r="L55" s="310"/>
      <c r="M55" s="268"/>
      <c r="N55" s="268"/>
      <c r="O55" s="310"/>
      <c r="P55" s="268"/>
      <c r="Q55" s="309"/>
      <c r="R55" s="268"/>
      <c r="S55" s="313"/>
      <c r="T55" s="313"/>
      <c r="U55" s="268"/>
      <c r="V55" s="268"/>
      <c r="W55" s="268"/>
      <c r="X55" s="268"/>
      <c r="Y55" s="268"/>
      <c r="Z55" s="268"/>
    </row>
    <row r="56" spans="1:26" ht="24.75" customHeight="1">
      <c r="A56" s="268"/>
      <c r="B56" s="268"/>
      <c r="C56" s="268"/>
      <c r="D56" s="268"/>
      <c r="E56" s="268"/>
      <c r="F56" s="268"/>
      <c r="G56" s="268"/>
      <c r="H56" s="268"/>
      <c r="I56" s="268"/>
      <c r="J56" s="268"/>
      <c r="K56" s="268"/>
      <c r="L56" s="310"/>
      <c r="M56" s="268"/>
      <c r="N56" s="268"/>
      <c r="O56" s="310"/>
      <c r="P56" s="268"/>
      <c r="Q56" s="309"/>
      <c r="R56" s="268"/>
      <c r="S56" s="313"/>
      <c r="T56" s="313"/>
      <c r="U56" s="268"/>
      <c r="V56" s="268"/>
      <c r="W56" s="268"/>
      <c r="X56" s="268"/>
      <c r="Y56" s="268"/>
      <c r="Z56" s="268"/>
    </row>
    <row r="57" spans="1:26" ht="24.75" customHeight="1">
      <c r="A57" s="268"/>
      <c r="B57" s="268"/>
      <c r="C57" s="268"/>
      <c r="D57" s="268"/>
      <c r="E57" s="268"/>
      <c r="F57" s="268"/>
      <c r="G57" s="268"/>
      <c r="H57" s="268"/>
      <c r="I57" s="268"/>
      <c r="J57" s="268"/>
      <c r="K57" s="268"/>
      <c r="L57" s="310"/>
      <c r="M57" s="268"/>
      <c r="N57" s="268"/>
      <c r="O57" s="310"/>
      <c r="P57" s="268"/>
      <c r="Q57" s="309"/>
      <c r="R57" s="268"/>
      <c r="S57" s="313"/>
      <c r="T57" s="313"/>
      <c r="U57" s="268"/>
      <c r="V57" s="268"/>
      <c r="W57" s="268"/>
      <c r="X57" s="268"/>
      <c r="Y57" s="268"/>
      <c r="Z57" s="268"/>
    </row>
    <row r="58" spans="1:26" ht="24.75" customHeight="1">
      <c r="A58" s="268"/>
      <c r="B58" s="268"/>
      <c r="C58" s="268"/>
      <c r="D58" s="268"/>
      <c r="E58" s="268"/>
      <c r="F58" s="268"/>
      <c r="G58" s="268"/>
      <c r="H58" s="268"/>
      <c r="I58" s="268"/>
      <c r="J58" s="268"/>
      <c r="K58" s="268"/>
      <c r="L58" s="310"/>
      <c r="M58" s="268"/>
      <c r="N58" s="268"/>
      <c r="O58" s="310"/>
      <c r="P58" s="268"/>
      <c r="Q58" s="309"/>
      <c r="R58" s="268"/>
      <c r="S58" s="313"/>
      <c r="T58" s="313"/>
      <c r="U58" s="268"/>
      <c r="V58" s="268"/>
      <c r="W58" s="268"/>
      <c r="X58" s="268"/>
      <c r="Y58" s="268"/>
      <c r="Z58" s="268"/>
    </row>
    <row r="59" spans="1:26" ht="24.75" customHeight="1">
      <c r="A59" s="268"/>
      <c r="B59" s="268"/>
      <c r="C59" s="268"/>
      <c r="D59" s="268"/>
      <c r="E59" s="268"/>
      <c r="F59" s="268"/>
      <c r="G59" s="268"/>
      <c r="H59" s="268"/>
      <c r="I59" s="268"/>
      <c r="J59" s="268"/>
      <c r="K59" s="268"/>
      <c r="L59" s="310"/>
      <c r="M59" s="268"/>
      <c r="N59" s="268"/>
      <c r="O59" s="310"/>
      <c r="P59" s="268"/>
      <c r="Q59" s="309"/>
      <c r="R59" s="268"/>
      <c r="S59" s="313"/>
      <c r="T59" s="313"/>
      <c r="U59" s="268"/>
      <c r="V59" s="268"/>
      <c r="W59" s="268"/>
      <c r="X59" s="268"/>
      <c r="Y59" s="268"/>
      <c r="Z59" s="268"/>
    </row>
    <row r="60" spans="1:26" ht="24.75" customHeight="1">
      <c r="A60" s="268"/>
      <c r="B60" s="268"/>
      <c r="C60" s="268"/>
      <c r="D60" s="268"/>
      <c r="E60" s="268"/>
      <c r="F60" s="268"/>
      <c r="G60" s="268"/>
      <c r="H60" s="268"/>
      <c r="I60" s="268"/>
      <c r="J60" s="268"/>
      <c r="K60" s="268"/>
      <c r="L60" s="310"/>
      <c r="M60" s="268"/>
      <c r="N60" s="268"/>
      <c r="O60" s="310"/>
      <c r="P60" s="268"/>
      <c r="Q60" s="309"/>
      <c r="R60" s="268"/>
      <c r="S60" s="313"/>
      <c r="T60" s="313"/>
      <c r="U60" s="268"/>
      <c r="V60" s="268"/>
      <c r="W60" s="268"/>
      <c r="X60" s="268"/>
      <c r="Y60" s="268"/>
      <c r="Z60" s="268"/>
    </row>
    <row r="61" spans="1:26" ht="24.75" customHeight="1">
      <c r="A61" s="268"/>
      <c r="B61" s="268"/>
      <c r="C61" s="268"/>
      <c r="D61" s="268"/>
      <c r="E61" s="268"/>
      <c r="F61" s="268"/>
      <c r="G61" s="268"/>
      <c r="H61" s="268"/>
      <c r="I61" s="268"/>
      <c r="J61" s="268"/>
      <c r="K61" s="268"/>
      <c r="L61" s="310"/>
      <c r="M61" s="268"/>
      <c r="N61" s="268"/>
      <c r="O61" s="310"/>
      <c r="P61" s="268"/>
      <c r="Q61" s="309"/>
      <c r="R61" s="268"/>
      <c r="S61" s="313"/>
      <c r="T61" s="313"/>
      <c r="U61" s="268"/>
      <c r="V61" s="268"/>
      <c r="W61" s="268"/>
      <c r="X61" s="268"/>
      <c r="Y61" s="268"/>
      <c r="Z61" s="268"/>
    </row>
    <row r="62" spans="1:26" ht="24.75" customHeight="1">
      <c r="A62" s="268"/>
      <c r="B62" s="268"/>
      <c r="C62" s="268"/>
      <c r="D62" s="268"/>
      <c r="E62" s="268"/>
      <c r="F62" s="268"/>
      <c r="G62" s="268"/>
      <c r="H62" s="268"/>
      <c r="I62" s="268"/>
      <c r="J62" s="268"/>
      <c r="K62" s="268"/>
      <c r="L62" s="310"/>
      <c r="M62" s="268"/>
      <c r="N62" s="268"/>
      <c r="O62" s="310"/>
      <c r="P62" s="268"/>
      <c r="Q62" s="309"/>
      <c r="R62" s="268"/>
      <c r="S62" s="313"/>
      <c r="T62" s="313"/>
      <c r="U62" s="268"/>
      <c r="V62" s="268"/>
      <c r="W62" s="268"/>
      <c r="X62" s="268"/>
      <c r="Y62" s="268"/>
      <c r="Z62" s="268"/>
    </row>
    <row r="63" spans="1:26" ht="24.75" customHeight="1">
      <c r="A63" s="268"/>
      <c r="B63" s="268"/>
      <c r="C63" s="268"/>
      <c r="D63" s="268"/>
      <c r="E63" s="268"/>
      <c r="F63" s="268"/>
      <c r="G63" s="268"/>
      <c r="H63" s="268"/>
      <c r="I63" s="268"/>
      <c r="J63" s="268"/>
      <c r="K63" s="268"/>
      <c r="L63" s="310"/>
      <c r="M63" s="268"/>
      <c r="N63" s="268"/>
      <c r="O63" s="310"/>
      <c r="P63" s="268"/>
      <c r="Q63" s="309"/>
      <c r="R63" s="268"/>
      <c r="S63" s="313"/>
      <c r="T63" s="313"/>
      <c r="U63" s="268"/>
      <c r="V63" s="268"/>
      <c r="W63" s="268"/>
      <c r="X63" s="268"/>
      <c r="Y63" s="268"/>
      <c r="Z63" s="268"/>
    </row>
    <row r="64" spans="1:26" ht="24.75" customHeight="1">
      <c r="A64" s="268"/>
      <c r="B64" s="268"/>
      <c r="C64" s="268"/>
      <c r="D64" s="268"/>
      <c r="E64" s="268"/>
      <c r="F64" s="268"/>
      <c r="G64" s="268"/>
      <c r="H64" s="268"/>
      <c r="I64" s="268"/>
      <c r="J64" s="268"/>
      <c r="K64" s="268"/>
      <c r="L64" s="310"/>
      <c r="M64" s="268"/>
      <c r="N64" s="268"/>
      <c r="O64" s="310"/>
      <c r="P64" s="268"/>
      <c r="Q64" s="309"/>
      <c r="R64" s="268"/>
      <c r="S64" s="313"/>
      <c r="T64" s="313"/>
      <c r="U64" s="268"/>
      <c r="V64" s="268"/>
      <c r="W64" s="268"/>
      <c r="X64" s="268"/>
      <c r="Y64" s="268"/>
      <c r="Z64" s="268"/>
    </row>
    <row r="65" spans="1:26" ht="24.75" customHeight="1">
      <c r="A65" s="268"/>
      <c r="B65" s="268"/>
      <c r="C65" s="268"/>
      <c r="D65" s="268"/>
      <c r="E65" s="268"/>
      <c r="F65" s="268"/>
      <c r="G65" s="268"/>
      <c r="H65" s="268"/>
      <c r="I65" s="268"/>
      <c r="J65" s="268"/>
      <c r="K65" s="268"/>
      <c r="L65" s="310"/>
      <c r="M65" s="268"/>
      <c r="N65" s="268"/>
      <c r="O65" s="310"/>
      <c r="P65" s="268"/>
      <c r="Q65" s="309"/>
      <c r="R65" s="268"/>
      <c r="S65" s="313"/>
      <c r="T65" s="313"/>
      <c r="U65" s="268"/>
      <c r="V65" s="268"/>
      <c r="W65" s="268"/>
      <c r="X65" s="268"/>
      <c r="Y65" s="268"/>
      <c r="Z65" s="268"/>
    </row>
    <row r="66" spans="1:26" ht="24.75" customHeight="1">
      <c r="A66" s="268"/>
      <c r="B66" s="268"/>
      <c r="C66" s="268"/>
      <c r="D66" s="268"/>
      <c r="E66" s="268"/>
      <c r="F66" s="268"/>
      <c r="G66" s="268"/>
      <c r="H66" s="268"/>
      <c r="I66" s="268"/>
      <c r="J66" s="268"/>
      <c r="K66" s="268"/>
      <c r="L66" s="310"/>
      <c r="M66" s="268"/>
      <c r="N66" s="268"/>
      <c r="O66" s="310"/>
      <c r="P66" s="268"/>
      <c r="Q66" s="309"/>
      <c r="R66" s="268"/>
      <c r="S66" s="313"/>
      <c r="T66" s="313"/>
      <c r="U66" s="268"/>
      <c r="V66" s="268"/>
      <c r="W66" s="268"/>
      <c r="X66" s="268"/>
      <c r="Y66" s="268"/>
      <c r="Z66" s="268"/>
    </row>
    <row r="67" spans="1:26" ht="24.75" customHeight="1">
      <c r="A67" s="268"/>
      <c r="B67" s="268"/>
      <c r="C67" s="268"/>
      <c r="D67" s="268"/>
      <c r="E67" s="268"/>
      <c r="F67" s="268"/>
      <c r="G67" s="268"/>
      <c r="H67" s="268"/>
      <c r="I67" s="268"/>
      <c r="J67" s="268"/>
      <c r="K67" s="268"/>
      <c r="L67" s="310"/>
      <c r="M67" s="268"/>
      <c r="N67" s="268"/>
      <c r="O67" s="310"/>
      <c r="P67" s="268"/>
      <c r="Q67" s="309"/>
      <c r="R67" s="268"/>
      <c r="S67" s="313"/>
      <c r="T67" s="313"/>
      <c r="U67" s="268"/>
      <c r="V67" s="268"/>
      <c r="W67" s="268"/>
      <c r="X67" s="268"/>
      <c r="Y67" s="268"/>
      <c r="Z67" s="268"/>
    </row>
    <row r="68" spans="1:26" ht="24.75" customHeight="1">
      <c r="A68" s="268"/>
      <c r="B68" s="268"/>
      <c r="C68" s="268"/>
      <c r="D68" s="268"/>
      <c r="E68" s="268"/>
      <c r="F68" s="268"/>
      <c r="G68" s="268"/>
      <c r="H68" s="268"/>
      <c r="I68" s="268"/>
      <c r="J68" s="268"/>
      <c r="K68" s="268"/>
      <c r="L68" s="310"/>
      <c r="M68" s="268"/>
      <c r="N68" s="268"/>
      <c r="O68" s="310"/>
      <c r="P68" s="268"/>
      <c r="Q68" s="309"/>
      <c r="R68" s="268"/>
      <c r="S68" s="313"/>
      <c r="T68" s="313"/>
      <c r="U68" s="268"/>
      <c r="V68" s="268"/>
      <c r="W68" s="268"/>
      <c r="X68" s="268"/>
      <c r="Y68" s="268"/>
      <c r="Z68" s="268"/>
    </row>
    <row r="69" spans="1:26" ht="24.75" customHeight="1">
      <c r="A69" s="268"/>
      <c r="B69" s="268"/>
      <c r="C69" s="268"/>
      <c r="D69" s="268"/>
      <c r="E69" s="268"/>
      <c r="F69" s="268"/>
      <c r="G69" s="268"/>
      <c r="H69" s="268"/>
      <c r="I69" s="268"/>
      <c r="J69" s="268"/>
      <c r="K69" s="268"/>
      <c r="L69" s="310"/>
      <c r="M69" s="268"/>
      <c r="N69" s="268"/>
      <c r="O69" s="310"/>
      <c r="P69" s="268"/>
      <c r="Q69" s="309"/>
      <c r="R69" s="268"/>
      <c r="S69" s="313"/>
      <c r="T69" s="313"/>
      <c r="U69" s="268"/>
      <c r="V69" s="268"/>
      <c r="W69" s="268"/>
      <c r="X69" s="268"/>
      <c r="Y69" s="268"/>
      <c r="Z69" s="268"/>
    </row>
    <row r="70" spans="1:26" ht="24.75" customHeight="1">
      <c r="A70" s="268"/>
      <c r="B70" s="268"/>
      <c r="C70" s="268"/>
      <c r="D70" s="268"/>
      <c r="E70" s="268"/>
      <c r="F70" s="268"/>
      <c r="G70" s="268"/>
      <c r="H70" s="268"/>
      <c r="I70" s="268"/>
      <c r="J70" s="268"/>
      <c r="K70" s="268"/>
      <c r="L70" s="310"/>
      <c r="M70" s="268"/>
      <c r="N70" s="268"/>
      <c r="O70" s="310"/>
      <c r="P70" s="268"/>
      <c r="Q70" s="309"/>
      <c r="R70" s="268"/>
      <c r="S70" s="313"/>
      <c r="T70" s="313"/>
      <c r="U70" s="268"/>
      <c r="V70" s="268"/>
      <c r="W70" s="268"/>
      <c r="X70" s="268"/>
      <c r="Y70" s="268"/>
      <c r="Z70" s="268"/>
    </row>
    <row r="71" spans="1:26" ht="24.75" customHeight="1">
      <c r="A71" s="268"/>
      <c r="B71" s="268"/>
      <c r="C71" s="268"/>
      <c r="D71" s="268"/>
      <c r="E71" s="268"/>
      <c r="F71" s="268"/>
      <c r="G71" s="268"/>
      <c r="H71" s="268"/>
      <c r="I71" s="268"/>
      <c r="J71" s="268"/>
      <c r="K71" s="268"/>
      <c r="L71" s="310"/>
      <c r="M71" s="268"/>
      <c r="N71" s="268"/>
      <c r="O71" s="310"/>
      <c r="P71" s="268"/>
      <c r="Q71" s="309"/>
      <c r="R71" s="268"/>
      <c r="S71" s="313"/>
      <c r="T71" s="313"/>
      <c r="U71" s="268"/>
      <c r="V71" s="268"/>
      <c r="W71" s="268"/>
      <c r="X71" s="268"/>
      <c r="Y71" s="268"/>
      <c r="Z71" s="268"/>
    </row>
    <row r="72" spans="1:26" ht="24.75" customHeight="1">
      <c r="A72" s="268"/>
      <c r="B72" s="268"/>
      <c r="C72" s="268"/>
      <c r="D72" s="268"/>
      <c r="E72" s="268"/>
      <c r="F72" s="268"/>
      <c r="G72" s="268"/>
      <c r="H72" s="268"/>
      <c r="I72" s="268"/>
      <c r="J72" s="268"/>
      <c r="K72" s="268"/>
      <c r="L72" s="310"/>
      <c r="M72" s="268"/>
      <c r="N72" s="268"/>
      <c r="O72" s="310"/>
      <c r="P72" s="268"/>
      <c r="Q72" s="309"/>
      <c r="R72" s="268"/>
      <c r="S72" s="313"/>
      <c r="T72" s="313"/>
      <c r="U72" s="268"/>
      <c r="V72" s="268"/>
      <c r="W72" s="268"/>
      <c r="X72" s="268"/>
      <c r="Y72" s="268"/>
      <c r="Z72" s="268"/>
    </row>
    <row r="73" spans="1:26" ht="24.75" customHeight="1">
      <c r="A73" s="268"/>
      <c r="B73" s="268"/>
      <c r="C73" s="268"/>
      <c r="D73" s="268"/>
      <c r="E73" s="268"/>
      <c r="F73" s="268"/>
      <c r="G73" s="268"/>
      <c r="H73" s="268"/>
      <c r="I73" s="268"/>
      <c r="J73" s="268"/>
      <c r="K73" s="268"/>
      <c r="L73" s="310"/>
      <c r="M73" s="268"/>
      <c r="N73" s="268"/>
      <c r="O73" s="310"/>
      <c r="P73" s="268"/>
      <c r="Q73" s="309"/>
      <c r="R73" s="268"/>
      <c r="S73" s="313"/>
      <c r="T73" s="313"/>
      <c r="U73" s="268"/>
      <c r="V73" s="268"/>
      <c r="W73" s="268"/>
      <c r="X73" s="268"/>
      <c r="Y73" s="268"/>
      <c r="Z73" s="268"/>
    </row>
    <row r="74" spans="1:26" ht="24.75" customHeight="1">
      <c r="A74" s="268"/>
      <c r="B74" s="268"/>
      <c r="C74" s="268"/>
      <c r="D74" s="268"/>
      <c r="E74" s="268"/>
      <c r="F74" s="268"/>
      <c r="G74" s="268"/>
      <c r="H74" s="268"/>
      <c r="I74" s="268"/>
      <c r="J74" s="268"/>
      <c r="K74" s="268"/>
      <c r="L74" s="310"/>
      <c r="M74" s="268"/>
      <c r="N74" s="268"/>
      <c r="O74" s="310"/>
      <c r="P74" s="268"/>
      <c r="Q74" s="309"/>
      <c r="R74" s="268"/>
      <c r="S74" s="313"/>
      <c r="T74" s="313"/>
      <c r="U74" s="268"/>
      <c r="V74" s="268"/>
      <c r="W74" s="268"/>
      <c r="X74" s="268"/>
      <c r="Y74" s="268"/>
      <c r="Z74" s="268"/>
    </row>
    <row r="75" spans="1:26" ht="24.75" customHeight="1">
      <c r="A75" s="268"/>
      <c r="B75" s="268"/>
      <c r="C75" s="268"/>
      <c r="D75" s="268"/>
      <c r="E75" s="268"/>
      <c r="F75" s="268"/>
      <c r="G75" s="268"/>
      <c r="H75" s="268"/>
      <c r="I75" s="268"/>
      <c r="J75" s="268"/>
      <c r="K75" s="268"/>
      <c r="L75" s="310"/>
      <c r="M75" s="268"/>
      <c r="N75" s="268"/>
      <c r="O75" s="310"/>
      <c r="P75" s="268"/>
      <c r="Q75" s="309"/>
      <c r="R75" s="268"/>
      <c r="S75" s="313"/>
      <c r="T75" s="313"/>
      <c r="U75" s="268"/>
      <c r="V75" s="268"/>
      <c r="W75" s="268"/>
      <c r="X75" s="268"/>
      <c r="Y75" s="268"/>
      <c r="Z75" s="268"/>
    </row>
    <row r="76" spans="1:26" ht="24.75" customHeight="1">
      <c r="A76" s="268"/>
      <c r="B76" s="268"/>
      <c r="C76" s="268"/>
      <c r="D76" s="268"/>
      <c r="E76" s="268"/>
      <c r="F76" s="268"/>
      <c r="G76" s="268"/>
      <c r="H76" s="268"/>
      <c r="I76" s="268"/>
      <c r="J76" s="268"/>
      <c r="K76" s="268"/>
      <c r="L76" s="310"/>
      <c r="M76" s="268"/>
      <c r="N76" s="268"/>
      <c r="O76" s="310"/>
      <c r="P76" s="268"/>
      <c r="Q76" s="309"/>
      <c r="R76" s="268"/>
      <c r="S76" s="313"/>
      <c r="T76" s="313"/>
      <c r="U76" s="268"/>
      <c r="V76" s="268"/>
      <c r="W76" s="268"/>
      <c r="X76" s="268"/>
      <c r="Y76" s="268"/>
      <c r="Z76" s="268"/>
    </row>
    <row r="77" spans="1:26" ht="24.75" customHeight="1">
      <c r="A77" s="268"/>
      <c r="B77" s="268"/>
      <c r="C77" s="268"/>
      <c r="D77" s="268"/>
      <c r="E77" s="268"/>
      <c r="F77" s="268"/>
      <c r="G77" s="268"/>
      <c r="H77" s="268"/>
      <c r="I77" s="268"/>
      <c r="J77" s="268"/>
      <c r="K77" s="268"/>
      <c r="L77" s="310"/>
      <c r="M77" s="268"/>
      <c r="N77" s="268"/>
      <c r="O77" s="310"/>
      <c r="P77" s="268"/>
      <c r="Q77" s="309"/>
      <c r="R77" s="268"/>
      <c r="S77" s="313"/>
      <c r="T77" s="313"/>
      <c r="U77" s="268"/>
      <c r="V77" s="268"/>
      <c r="W77" s="268"/>
      <c r="X77" s="268"/>
      <c r="Y77" s="268"/>
      <c r="Z77" s="268"/>
    </row>
    <row r="78" spans="1:26" ht="24.75" customHeight="1">
      <c r="A78" s="268"/>
      <c r="B78" s="268"/>
      <c r="C78" s="268"/>
      <c r="D78" s="268"/>
      <c r="E78" s="268"/>
      <c r="F78" s="268"/>
      <c r="G78" s="268"/>
      <c r="H78" s="268"/>
      <c r="I78" s="268"/>
      <c r="J78" s="268"/>
      <c r="K78" s="268"/>
      <c r="L78" s="310"/>
      <c r="M78" s="268"/>
      <c r="N78" s="268"/>
      <c r="O78" s="310"/>
      <c r="P78" s="268"/>
      <c r="Q78" s="309"/>
      <c r="R78" s="268"/>
      <c r="S78" s="313"/>
      <c r="T78" s="313"/>
      <c r="U78" s="268"/>
      <c r="V78" s="268"/>
      <c r="W78" s="268"/>
      <c r="X78" s="268"/>
      <c r="Y78" s="268"/>
      <c r="Z78" s="268"/>
    </row>
    <row r="79" spans="1:26" ht="24.75" customHeight="1">
      <c r="A79" s="268"/>
      <c r="B79" s="268"/>
      <c r="C79" s="268"/>
      <c r="D79" s="268"/>
      <c r="E79" s="268"/>
      <c r="F79" s="268"/>
      <c r="G79" s="268"/>
      <c r="H79" s="268"/>
      <c r="I79" s="268"/>
      <c r="J79" s="268"/>
      <c r="K79" s="268"/>
      <c r="L79" s="310"/>
      <c r="M79" s="268"/>
      <c r="N79" s="268"/>
      <c r="O79" s="310"/>
      <c r="P79" s="268"/>
      <c r="Q79" s="309"/>
      <c r="R79" s="268"/>
      <c r="S79" s="313"/>
      <c r="T79" s="313"/>
      <c r="U79" s="268"/>
      <c r="V79" s="268"/>
      <c r="W79" s="268"/>
      <c r="X79" s="268"/>
      <c r="Y79" s="268"/>
      <c r="Z79" s="268"/>
    </row>
    <row r="80" spans="1:26" ht="24.75" customHeight="1">
      <c r="A80" s="268"/>
      <c r="B80" s="268"/>
      <c r="C80" s="268"/>
      <c r="D80" s="268"/>
      <c r="E80" s="268"/>
      <c r="F80" s="268"/>
      <c r="G80" s="268"/>
      <c r="H80" s="268"/>
      <c r="I80" s="268"/>
      <c r="J80" s="268"/>
      <c r="K80" s="268"/>
      <c r="L80" s="310"/>
      <c r="M80" s="268"/>
      <c r="N80" s="268"/>
      <c r="O80" s="310"/>
      <c r="P80" s="268"/>
      <c r="Q80" s="309"/>
      <c r="R80" s="268"/>
      <c r="S80" s="313"/>
      <c r="T80" s="313"/>
      <c r="U80" s="268"/>
      <c r="V80" s="268"/>
      <c r="W80" s="268"/>
      <c r="X80" s="268"/>
      <c r="Y80" s="268"/>
      <c r="Z80" s="268"/>
    </row>
    <row r="81" spans="1:26" ht="24.75" customHeight="1">
      <c r="A81" s="268"/>
      <c r="B81" s="268"/>
      <c r="C81" s="268"/>
      <c r="D81" s="268"/>
      <c r="E81" s="268"/>
      <c r="F81" s="268"/>
      <c r="G81" s="268"/>
      <c r="H81" s="268"/>
      <c r="I81" s="268"/>
      <c r="J81" s="268"/>
      <c r="K81" s="268"/>
      <c r="L81" s="310"/>
      <c r="M81" s="268"/>
      <c r="N81" s="268"/>
      <c r="O81" s="310"/>
      <c r="P81" s="268"/>
      <c r="Q81" s="309"/>
      <c r="R81" s="268"/>
      <c r="S81" s="313"/>
      <c r="T81" s="313"/>
      <c r="U81" s="268"/>
      <c r="V81" s="268"/>
      <c r="W81" s="268"/>
      <c r="X81" s="268"/>
      <c r="Y81" s="268"/>
      <c r="Z81" s="268"/>
    </row>
    <row r="82" spans="1:26" ht="24.75" customHeight="1">
      <c r="A82" s="268"/>
      <c r="B82" s="268"/>
      <c r="C82" s="268"/>
      <c r="D82" s="268"/>
      <c r="E82" s="268"/>
      <c r="F82" s="268"/>
      <c r="G82" s="268"/>
      <c r="H82" s="268"/>
      <c r="I82" s="268"/>
      <c r="J82" s="268"/>
      <c r="K82" s="268"/>
      <c r="L82" s="310"/>
      <c r="M82" s="268"/>
      <c r="N82" s="268"/>
      <c r="O82" s="310"/>
      <c r="P82" s="268"/>
      <c r="Q82" s="309"/>
      <c r="R82" s="268"/>
      <c r="S82" s="313"/>
      <c r="T82" s="313"/>
      <c r="U82" s="268"/>
      <c r="V82" s="268"/>
      <c r="W82" s="268"/>
      <c r="X82" s="268"/>
      <c r="Y82" s="268"/>
      <c r="Z82" s="268"/>
    </row>
    <row r="83" spans="1:26" ht="24.75" customHeight="1">
      <c r="A83" s="268"/>
      <c r="B83" s="268"/>
      <c r="C83" s="268"/>
      <c r="D83" s="268"/>
      <c r="E83" s="268"/>
      <c r="F83" s="268"/>
      <c r="G83" s="268"/>
      <c r="H83" s="268"/>
      <c r="I83" s="268"/>
      <c r="J83" s="268"/>
      <c r="K83" s="268"/>
      <c r="L83" s="310"/>
      <c r="M83" s="268"/>
      <c r="N83" s="268"/>
      <c r="O83" s="310"/>
      <c r="P83" s="268"/>
      <c r="Q83" s="309"/>
      <c r="R83" s="268"/>
      <c r="S83" s="313"/>
      <c r="T83" s="313"/>
      <c r="U83" s="268"/>
      <c r="V83" s="268"/>
      <c r="W83" s="268"/>
      <c r="X83" s="268"/>
      <c r="Y83" s="268"/>
      <c r="Z83" s="268"/>
    </row>
    <row r="84" spans="1:26" ht="24.75" customHeight="1">
      <c r="A84" s="268"/>
      <c r="B84" s="268"/>
      <c r="C84" s="268"/>
      <c r="D84" s="268"/>
      <c r="E84" s="268"/>
      <c r="F84" s="268"/>
      <c r="G84" s="268"/>
      <c r="H84" s="268"/>
      <c r="I84" s="268"/>
      <c r="J84" s="268"/>
      <c r="K84" s="268"/>
      <c r="L84" s="310"/>
      <c r="M84" s="268"/>
      <c r="N84" s="268"/>
      <c r="O84" s="310"/>
      <c r="P84" s="268"/>
      <c r="Q84" s="309"/>
      <c r="R84" s="268"/>
      <c r="S84" s="313"/>
      <c r="T84" s="313"/>
      <c r="U84" s="268"/>
      <c r="V84" s="268"/>
      <c r="W84" s="268"/>
      <c r="X84" s="268"/>
      <c r="Y84" s="268"/>
      <c r="Z84" s="268"/>
    </row>
    <row r="85" spans="1:26" ht="24.75" customHeight="1">
      <c r="A85" s="268"/>
      <c r="B85" s="268"/>
      <c r="C85" s="268"/>
      <c r="D85" s="268"/>
      <c r="E85" s="268"/>
      <c r="F85" s="268"/>
      <c r="G85" s="268"/>
      <c r="H85" s="268"/>
      <c r="I85" s="268"/>
      <c r="J85" s="268"/>
      <c r="K85" s="268"/>
      <c r="L85" s="310"/>
      <c r="M85" s="268"/>
      <c r="N85" s="268"/>
      <c r="O85" s="310"/>
      <c r="P85" s="268"/>
      <c r="Q85" s="309"/>
      <c r="R85" s="268"/>
      <c r="S85" s="313"/>
      <c r="T85" s="313"/>
      <c r="U85" s="268"/>
      <c r="V85" s="268"/>
      <c r="W85" s="268"/>
      <c r="X85" s="268"/>
      <c r="Y85" s="268"/>
      <c r="Z85" s="268"/>
    </row>
    <row r="86" spans="1:26" ht="24.75" customHeight="1">
      <c r="A86" s="268"/>
      <c r="B86" s="268"/>
      <c r="C86" s="268"/>
      <c r="D86" s="268"/>
      <c r="E86" s="268"/>
      <c r="F86" s="268"/>
      <c r="G86" s="268"/>
      <c r="H86" s="268"/>
      <c r="I86" s="268"/>
      <c r="J86" s="268"/>
      <c r="K86" s="268"/>
      <c r="L86" s="310"/>
      <c r="M86" s="268"/>
      <c r="N86" s="268"/>
      <c r="O86" s="310"/>
      <c r="P86" s="268"/>
      <c r="Q86" s="309"/>
      <c r="R86" s="268"/>
      <c r="S86" s="313"/>
      <c r="T86" s="313"/>
      <c r="U86" s="268"/>
      <c r="V86" s="268"/>
      <c r="W86" s="268"/>
      <c r="X86" s="268"/>
      <c r="Y86" s="268"/>
      <c r="Z86" s="268"/>
    </row>
    <row r="87" spans="1:26" ht="24.75" customHeight="1">
      <c r="A87" s="268"/>
      <c r="B87" s="268"/>
      <c r="C87" s="268"/>
      <c r="D87" s="268"/>
      <c r="E87" s="268"/>
      <c r="F87" s="268"/>
      <c r="G87" s="268"/>
      <c r="H87" s="268"/>
      <c r="I87" s="268"/>
      <c r="J87" s="268"/>
      <c r="K87" s="268"/>
      <c r="L87" s="310"/>
      <c r="M87" s="268"/>
      <c r="N87" s="268"/>
      <c r="O87" s="310"/>
      <c r="P87" s="268"/>
      <c r="Q87" s="309"/>
      <c r="R87" s="268"/>
      <c r="S87" s="313"/>
      <c r="T87" s="313"/>
      <c r="U87" s="268"/>
      <c r="V87" s="268"/>
      <c r="W87" s="268"/>
      <c r="X87" s="268"/>
      <c r="Y87" s="268"/>
      <c r="Z87" s="268"/>
    </row>
    <row r="88" spans="1:26" ht="24.75" customHeight="1">
      <c r="A88" s="268"/>
      <c r="B88" s="268"/>
      <c r="C88" s="268"/>
      <c r="D88" s="268"/>
      <c r="E88" s="268"/>
      <c r="F88" s="268"/>
      <c r="G88" s="268"/>
      <c r="H88" s="268"/>
      <c r="I88" s="268"/>
      <c r="J88" s="268"/>
      <c r="K88" s="268"/>
      <c r="L88" s="310"/>
      <c r="M88" s="268"/>
      <c r="N88" s="268"/>
      <c r="O88" s="310"/>
      <c r="P88" s="268"/>
      <c r="Q88" s="309"/>
      <c r="R88" s="268"/>
      <c r="S88" s="313"/>
      <c r="T88" s="313"/>
      <c r="U88" s="268"/>
      <c r="V88" s="268"/>
      <c r="W88" s="268"/>
      <c r="X88" s="268"/>
      <c r="Y88" s="268"/>
      <c r="Z88" s="268"/>
    </row>
    <row r="89" spans="1:26" ht="24.75" customHeight="1">
      <c r="A89" s="268"/>
      <c r="B89" s="268"/>
      <c r="C89" s="268"/>
      <c r="D89" s="268"/>
      <c r="E89" s="268"/>
      <c r="F89" s="268"/>
      <c r="G89" s="268"/>
      <c r="H89" s="268"/>
      <c r="I89" s="268"/>
      <c r="J89" s="268"/>
      <c r="K89" s="268"/>
      <c r="L89" s="310"/>
      <c r="M89" s="268"/>
      <c r="N89" s="268"/>
      <c r="O89" s="310"/>
      <c r="P89" s="268"/>
      <c r="Q89" s="309"/>
      <c r="R89" s="268"/>
      <c r="S89" s="313"/>
      <c r="T89" s="313"/>
      <c r="U89" s="268"/>
      <c r="V89" s="268"/>
      <c r="W89" s="268"/>
      <c r="X89" s="268"/>
      <c r="Y89" s="268"/>
      <c r="Z89" s="268"/>
    </row>
    <row r="90" spans="1:26" ht="24.75" customHeight="1">
      <c r="A90" s="268"/>
      <c r="B90" s="268"/>
      <c r="C90" s="268"/>
      <c r="D90" s="268"/>
      <c r="E90" s="268"/>
      <c r="F90" s="268"/>
      <c r="G90" s="268"/>
      <c r="H90" s="268"/>
      <c r="I90" s="268"/>
      <c r="J90" s="268"/>
      <c r="K90" s="268"/>
      <c r="L90" s="310"/>
      <c r="M90" s="268"/>
      <c r="N90" s="268"/>
      <c r="O90" s="310"/>
      <c r="P90" s="268"/>
      <c r="Q90" s="309"/>
      <c r="R90" s="268"/>
      <c r="S90" s="313"/>
      <c r="T90" s="313"/>
      <c r="U90" s="268"/>
      <c r="V90" s="268"/>
      <c r="W90" s="268"/>
      <c r="X90" s="268"/>
      <c r="Y90" s="268"/>
      <c r="Z90" s="268"/>
    </row>
    <row r="91" spans="1:26" ht="24.75" customHeight="1">
      <c r="A91" s="268"/>
      <c r="B91" s="268"/>
      <c r="C91" s="268"/>
      <c r="D91" s="268"/>
      <c r="E91" s="268"/>
      <c r="F91" s="268"/>
      <c r="G91" s="268"/>
      <c r="H91" s="268"/>
      <c r="I91" s="268"/>
      <c r="J91" s="268"/>
      <c r="K91" s="268"/>
      <c r="L91" s="310"/>
      <c r="M91" s="268"/>
      <c r="N91" s="268"/>
      <c r="O91" s="310"/>
      <c r="P91" s="268"/>
      <c r="Q91" s="309"/>
      <c r="R91" s="268"/>
      <c r="S91" s="313"/>
      <c r="T91" s="313"/>
      <c r="U91" s="268"/>
      <c r="V91" s="268"/>
      <c r="W91" s="268"/>
      <c r="X91" s="268"/>
      <c r="Y91" s="268"/>
      <c r="Z91" s="268"/>
    </row>
    <row r="92" spans="1:26" ht="24.75" customHeight="1">
      <c r="A92" s="268"/>
      <c r="B92" s="268"/>
      <c r="C92" s="268"/>
      <c r="D92" s="268"/>
      <c r="E92" s="268"/>
      <c r="F92" s="268"/>
      <c r="G92" s="268"/>
      <c r="H92" s="268"/>
      <c r="I92" s="268"/>
      <c r="J92" s="268"/>
      <c r="K92" s="268"/>
      <c r="L92" s="310"/>
      <c r="M92" s="268"/>
      <c r="N92" s="268"/>
      <c r="O92" s="310"/>
      <c r="P92" s="268"/>
      <c r="Q92" s="309"/>
      <c r="R92" s="268"/>
      <c r="S92" s="313"/>
      <c r="T92" s="313"/>
      <c r="U92" s="268"/>
      <c r="V92" s="268"/>
      <c r="W92" s="268"/>
      <c r="X92" s="268"/>
      <c r="Y92" s="268"/>
      <c r="Z92" s="268"/>
    </row>
    <row r="93" spans="1:26" ht="24.75" customHeight="1">
      <c r="A93" s="268"/>
      <c r="B93" s="268"/>
      <c r="C93" s="268"/>
      <c r="D93" s="268"/>
      <c r="E93" s="268"/>
      <c r="F93" s="268"/>
      <c r="G93" s="268"/>
      <c r="H93" s="268"/>
      <c r="I93" s="268"/>
      <c r="J93" s="268"/>
      <c r="K93" s="268"/>
      <c r="L93" s="310"/>
      <c r="M93" s="268"/>
      <c r="N93" s="268"/>
      <c r="O93" s="310"/>
      <c r="P93" s="268"/>
      <c r="Q93" s="309"/>
      <c r="R93" s="268"/>
      <c r="S93" s="313"/>
      <c r="T93" s="313"/>
      <c r="U93" s="268"/>
      <c r="V93" s="268"/>
      <c r="W93" s="268"/>
      <c r="X93" s="268"/>
      <c r="Y93" s="268"/>
      <c r="Z93" s="268"/>
    </row>
    <row r="94" spans="1:26" ht="24.75" customHeight="1">
      <c r="A94" s="268"/>
      <c r="B94" s="268"/>
      <c r="C94" s="268"/>
      <c r="D94" s="268"/>
      <c r="E94" s="268"/>
      <c r="F94" s="268"/>
      <c r="G94" s="268"/>
      <c r="H94" s="268"/>
      <c r="I94" s="268"/>
      <c r="J94" s="268"/>
      <c r="K94" s="268"/>
      <c r="L94" s="310"/>
      <c r="M94" s="268"/>
      <c r="N94" s="268"/>
      <c r="O94" s="310"/>
      <c r="P94" s="268"/>
      <c r="Q94" s="309"/>
      <c r="R94" s="268"/>
      <c r="S94" s="313"/>
      <c r="T94" s="313"/>
      <c r="U94" s="268"/>
      <c r="V94" s="268"/>
      <c r="W94" s="268"/>
      <c r="X94" s="268"/>
      <c r="Y94" s="268"/>
      <c r="Z94" s="268"/>
    </row>
    <row r="95" spans="1:26" ht="24.75" customHeight="1">
      <c r="A95" s="268"/>
      <c r="B95" s="268"/>
      <c r="C95" s="268"/>
      <c r="D95" s="268"/>
      <c r="E95" s="268"/>
      <c r="F95" s="268"/>
      <c r="G95" s="268"/>
      <c r="H95" s="268"/>
      <c r="I95" s="268"/>
      <c r="J95" s="268"/>
      <c r="K95" s="268"/>
      <c r="L95" s="310"/>
      <c r="M95" s="268"/>
      <c r="N95" s="268"/>
      <c r="O95" s="310"/>
      <c r="P95" s="268"/>
      <c r="Q95" s="309"/>
      <c r="R95" s="268"/>
      <c r="S95" s="313"/>
      <c r="T95" s="313"/>
      <c r="U95" s="268"/>
      <c r="V95" s="268"/>
      <c r="W95" s="268"/>
      <c r="X95" s="268"/>
      <c r="Y95" s="268"/>
      <c r="Z95" s="268"/>
    </row>
    <row r="96" spans="1:26" ht="24.75" customHeight="1">
      <c r="A96" s="268"/>
      <c r="B96" s="268"/>
      <c r="C96" s="268"/>
      <c r="D96" s="268"/>
      <c r="E96" s="268"/>
      <c r="F96" s="268"/>
      <c r="G96" s="268"/>
      <c r="H96" s="268"/>
      <c r="I96" s="268"/>
      <c r="J96" s="268"/>
      <c r="K96" s="268"/>
      <c r="L96" s="310"/>
      <c r="M96" s="268"/>
      <c r="N96" s="268"/>
      <c r="O96" s="310"/>
      <c r="P96" s="268"/>
      <c r="Q96" s="309"/>
      <c r="R96" s="268"/>
      <c r="S96" s="313"/>
      <c r="T96" s="313"/>
      <c r="U96" s="268"/>
      <c r="V96" s="268"/>
      <c r="W96" s="268"/>
      <c r="X96" s="268"/>
      <c r="Y96" s="268"/>
      <c r="Z96" s="268"/>
    </row>
    <row r="97" spans="1:26" ht="24.75" customHeight="1">
      <c r="A97" s="268"/>
      <c r="B97" s="268"/>
      <c r="C97" s="268"/>
      <c r="D97" s="268"/>
      <c r="E97" s="268"/>
      <c r="F97" s="268"/>
      <c r="G97" s="268"/>
      <c r="H97" s="268"/>
      <c r="I97" s="268"/>
      <c r="J97" s="268"/>
      <c r="K97" s="268"/>
      <c r="L97" s="310"/>
      <c r="M97" s="268"/>
      <c r="N97" s="268"/>
      <c r="O97" s="310"/>
      <c r="P97" s="268"/>
      <c r="Q97" s="309"/>
      <c r="R97" s="268"/>
      <c r="S97" s="313"/>
      <c r="T97" s="313"/>
      <c r="U97" s="268"/>
      <c r="V97" s="268"/>
      <c r="W97" s="268"/>
      <c r="X97" s="268"/>
      <c r="Y97" s="268"/>
      <c r="Z97" s="268"/>
    </row>
    <row r="98" spans="1:26" ht="24.75" customHeight="1">
      <c r="A98" s="268"/>
      <c r="B98" s="268"/>
      <c r="C98" s="268"/>
      <c r="D98" s="268"/>
      <c r="E98" s="268"/>
      <c r="F98" s="268"/>
      <c r="G98" s="268"/>
      <c r="H98" s="268"/>
      <c r="I98" s="268"/>
      <c r="J98" s="268"/>
      <c r="K98" s="268"/>
      <c r="L98" s="310"/>
      <c r="M98" s="268"/>
      <c r="N98" s="268"/>
      <c r="O98" s="310"/>
      <c r="P98" s="268"/>
      <c r="Q98" s="309"/>
      <c r="R98" s="268"/>
      <c r="S98" s="313"/>
      <c r="T98" s="313"/>
      <c r="U98" s="268"/>
      <c r="V98" s="268"/>
      <c r="W98" s="268"/>
      <c r="X98" s="268"/>
      <c r="Y98" s="268"/>
      <c r="Z98" s="268"/>
    </row>
    <row r="99" spans="1:26" ht="24.75" customHeight="1">
      <c r="A99" s="268"/>
      <c r="B99" s="268"/>
      <c r="C99" s="268"/>
      <c r="D99" s="268"/>
      <c r="E99" s="268"/>
      <c r="F99" s="268"/>
      <c r="G99" s="268"/>
      <c r="H99" s="268"/>
      <c r="I99" s="268"/>
      <c r="J99" s="268"/>
      <c r="K99" s="268"/>
      <c r="L99" s="310"/>
      <c r="M99" s="268"/>
      <c r="N99" s="268"/>
      <c r="O99" s="310"/>
      <c r="P99" s="268"/>
      <c r="Q99" s="309"/>
      <c r="R99" s="268"/>
      <c r="S99" s="313"/>
      <c r="T99" s="313"/>
      <c r="U99" s="268"/>
      <c r="V99" s="268"/>
      <c r="W99" s="268"/>
      <c r="X99" s="268"/>
      <c r="Y99" s="268"/>
      <c r="Z99" s="268"/>
    </row>
    <row r="100" spans="1:26" ht="24.75" customHeight="1">
      <c r="A100" s="268"/>
      <c r="B100" s="268"/>
      <c r="C100" s="268"/>
      <c r="D100" s="268"/>
      <c r="E100" s="268"/>
      <c r="F100" s="268"/>
      <c r="G100" s="268"/>
      <c r="H100" s="268"/>
      <c r="I100" s="268"/>
      <c r="J100" s="268"/>
      <c r="K100" s="268"/>
      <c r="L100" s="310"/>
      <c r="M100" s="268"/>
      <c r="N100" s="268"/>
      <c r="O100" s="310"/>
      <c r="P100" s="268"/>
      <c r="Q100" s="309"/>
      <c r="R100" s="268"/>
      <c r="S100" s="313"/>
      <c r="T100" s="313"/>
      <c r="U100" s="268"/>
      <c r="V100" s="268"/>
      <c r="W100" s="268"/>
      <c r="X100" s="268"/>
      <c r="Y100" s="268"/>
      <c r="Z100" s="268"/>
    </row>
    <row r="101" spans="1:26" ht="24.75" customHeight="1">
      <c r="A101" s="268"/>
      <c r="B101" s="268"/>
      <c r="C101" s="268"/>
      <c r="D101" s="268"/>
      <c r="E101" s="268"/>
      <c r="F101" s="268"/>
      <c r="G101" s="268"/>
      <c r="H101" s="268"/>
      <c r="I101" s="268"/>
      <c r="J101" s="268"/>
      <c r="K101" s="268"/>
      <c r="L101" s="310"/>
      <c r="M101" s="268"/>
      <c r="N101" s="268"/>
      <c r="O101" s="310"/>
      <c r="P101" s="268"/>
      <c r="Q101" s="309"/>
      <c r="R101" s="268"/>
      <c r="S101" s="313"/>
      <c r="T101" s="313"/>
      <c r="U101" s="268"/>
      <c r="V101" s="268"/>
      <c r="W101" s="268"/>
      <c r="X101" s="268"/>
      <c r="Y101" s="268"/>
      <c r="Z101" s="268"/>
    </row>
    <row r="102" spans="1:26" ht="24.75" customHeight="1">
      <c r="A102" s="268"/>
      <c r="B102" s="268"/>
      <c r="C102" s="268"/>
      <c r="D102" s="268"/>
      <c r="E102" s="268"/>
      <c r="F102" s="268"/>
      <c r="G102" s="268"/>
      <c r="H102" s="268"/>
      <c r="I102" s="268"/>
      <c r="J102" s="268"/>
      <c r="K102" s="268"/>
      <c r="L102" s="310"/>
      <c r="M102" s="268"/>
      <c r="N102" s="268"/>
      <c r="O102" s="310"/>
      <c r="P102" s="268"/>
      <c r="Q102" s="309"/>
      <c r="R102" s="268"/>
      <c r="S102" s="313"/>
      <c r="T102" s="313"/>
      <c r="U102" s="268"/>
      <c r="V102" s="268"/>
      <c r="W102" s="268"/>
      <c r="X102" s="268"/>
      <c r="Y102" s="268"/>
      <c r="Z102" s="268"/>
    </row>
    <row r="103" spans="1:26" ht="24.75" customHeight="1">
      <c r="A103" s="268"/>
      <c r="B103" s="268"/>
      <c r="C103" s="268"/>
      <c r="D103" s="268"/>
      <c r="E103" s="268"/>
      <c r="F103" s="268"/>
      <c r="G103" s="268"/>
      <c r="H103" s="268"/>
      <c r="I103" s="268"/>
      <c r="J103" s="268"/>
      <c r="K103" s="268"/>
      <c r="L103" s="310"/>
      <c r="M103" s="268"/>
      <c r="N103" s="268"/>
      <c r="O103" s="310"/>
      <c r="P103" s="268"/>
      <c r="Q103" s="309"/>
      <c r="R103" s="268"/>
      <c r="S103" s="313"/>
      <c r="T103" s="313"/>
      <c r="U103" s="268"/>
      <c r="V103" s="268"/>
      <c r="W103" s="268"/>
      <c r="X103" s="268"/>
      <c r="Y103" s="268"/>
      <c r="Z103" s="268"/>
    </row>
    <row r="104" spans="1:26" ht="24.75" customHeight="1">
      <c r="A104" s="268"/>
      <c r="B104" s="268"/>
      <c r="C104" s="268"/>
      <c r="D104" s="268"/>
      <c r="E104" s="268"/>
      <c r="F104" s="268"/>
      <c r="G104" s="268"/>
      <c r="H104" s="268"/>
      <c r="I104" s="268"/>
      <c r="J104" s="268"/>
      <c r="K104" s="268"/>
      <c r="L104" s="310"/>
      <c r="M104" s="268"/>
      <c r="N104" s="268"/>
      <c r="O104" s="310"/>
      <c r="P104" s="268"/>
      <c r="Q104" s="309"/>
      <c r="R104" s="268"/>
      <c r="S104" s="313"/>
      <c r="T104" s="313"/>
      <c r="U104" s="268"/>
      <c r="V104" s="268"/>
      <c r="W104" s="268"/>
      <c r="X104" s="268"/>
      <c r="Y104" s="268"/>
      <c r="Z104" s="268"/>
    </row>
    <row r="105" spans="1:26" ht="24.75" customHeight="1">
      <c r="A105" s="268"/>
      <c r="B105" s="268"/>
      <c r="C105" s="268"/>
      <c r="D105" s="268"/>
      <c r="E105" s="268"/>
      <c r="F105" s="268"/>
      <c r="G105" s="268"/>
      <c r="H105" s="268"/>
      <c r="I105" s="268"/>
      <c r="J105" s="268"/>
      <c r="K105" s="268"/>
      <c r="L105" s="310"/>
      <c r="M105" s="268"/>
      <c r="N105" s="268"/>
      <c r="O105" s="310"/>
      <c r="P105" s="268"/>
      <c r="Q105" s="309"/>
      <c r="R105" s="268"/>
      <c r="S105" s="313"/>
      <c r="T105" s="313"/>
      <c r="U105" s="268"/>
      <c r="V105" s="268"/>
      <c r="W105" s="268"/>
      <c r="X105" s="268"/>
      <c r="Y105" s="268"/>
      <c r="Z105" s="268"/>
    </row>
    <row r="106" spans="1:26" ht="24.75" customHeight="1">
      <c r="A106" s="268"/>
      <c r="B106" s="268"/>
      <c r="C106" s="268"/>
      <c r="D106" s="268"/>
      <c r="E106" s="268"/>
      <c r="F106" s="268"/>
      <c r="G106" s="268"/>
      <c r="H106" s="268"/>
      <c r="I106" s="268"/>
      <c r="J106" s="268"/>
      <c r="K106" s="268"/>
      <c r="L106" s="310"/>
      <c r="M106" s="268"/>
      <c r="N106" s="268"/>
      <c r="O106" s="310"/>
      <c r="P106" s="268"/>
      <c r="Q106" s="309"/>
      <c r="R106" s="268"/>
      <c r="S106" s="313"/>
      <c r="T106" s="313"/>
      <c r="U106" s="268"/>
      <c r="V106" s="268"/>
      <c r="W106" s="268"/>
      <c r="X106" s="268"/>
      <c r="Y106" s="268"/>
      <c r="Z106" s="268"/>
    </row>
    <row r="107" spans="1:26" ht="24.75" customHeight="1">
      <c r="A107" s="268"/>
      <c r="B107" s="268"/>
      <c r="C107" s="268"/>
      <c r="D107" s="268"/>
      <c r="E107" s="268"/>
      <c r="F107" s="268"/>
      <c r="G107" s="268"/>
      <c r="H107" s="268"/>
      <c r="I107" s="268"/>
      <c r="J107" s="268"/>
      <c r="K107" s="268"/>
      <c r="L107" s="310"/>
      <c r="M107" s="268"/>
      <c r="N107" s="268"/>
      <c r="O107" s="310"/>
      <c r="P107" s="268"/>
      <c r="Q107" s="309"/>
      <c r="R107" s="268"/>
      <c r="S107" s="313"/>
      <c r="T107" s="313"/>
      <c r="U107" s="268"/>
      <c r="V107" s="268"/>
      <c r="W107" s="268"/>
      <c r="X107" s="268"/>
      <c r="Y107" s="268"/>
      <c r="Z107" s="268"/>
    </row>
    <row r="108" spans="1:26" ht="24.75" customHeight="1">
      <c r="A108" s="268"/>
      <c r="B108" s="268"/>
      <c r="C108" s="268"/>
      <c r="D108" s="268"/>
      <c r="E108" s="268"/>
      <c r="F108" s="268"/>
      <c r="G108" s="268"/>
      <c r="H108" s="268"/>
      <c r="I108" s="268"/>
      <c r="J108" s="268"/>
      <c r="K108" s="268"/>
      <c r="L108" s="310"/>
      <c r="M108" s="268"/>
      <c r="N108" s="268"/>
      <c r="O108" s="310"/>
      <c r="P108" s="268"/>
      <c r="Q108" s="309"/>
      <c r="R108" s="268"/>
      <c r="S108" s="313"/>
      <c r="T108" s="313"/>
      <c r="U108" s="268"/>
      <c r="V108" s="268"/>
      <c r="W108" s="268"/>
      <c r="X108" s="268"/>
      <c r="Y108" s="268"/>
      <c r="Z108" s="268"/>
    </row>
    <row r="109" spans="1:26" ht="24.75" customHeight="1">
      <c r="A109" s="268"/>
      <c r="B109" s="268"/>
      <c r="C109" s="268"/>
      <c r="D109" s="268"/>
      <c r="E109" s="268"/>
      <c r="F109" s="268"/>
      <c r="G109" s="268"/>
      <c r="H109" s="268"/>
      <c r="I109" s="268"/>
      <c r="J109" s="268"/>
      <c r="K109" s="268"/>
      <c r="L109" s="310"/>
      <c r="M109" s="268"/>
      <c r="N109" s="268"/>
      <c r="O109" s="310"/>
      <c r="P109" s="268"/>
      <c r="Q109" s="309"/>
      <c r="R109" s="268"/>
      <c r="S109" s="313"/>
      <c r="T109" s="313"/>
      <c r="U109" s="268"/>
      <c r="V109" s="268"/>
      <c r="W109" s="268"/>
      <c r="X109" s="268"/>
      <c r="Y109" s="268"/>
      <c r="Z109" s="268"/>
    </row>
    <row r="110" spans="1:26" ht="24.75" customHeight="1">
      <c r="A110" s="268"/>
      <c r="B110" s="268"/>
      <c r="C110" s="268"/>
      <c r="D110" s="268"/>
      <c r="E110" s="268"/>
      <c r="F110" s="268"/>
      <c r="G110" s="268"/>
      <c r="H110" s="268"/>
      <c r="I110" s="268"/>
      <c r="J110" s="268"/>
      <c r="K110" s="268"/>
      <c r="L110" s="310"/>
      <c r="M110" s="268"/>
      <c r="N110" s="268"/>
      <c r="O110" s="310"/>
      <c r="P110" s="268"/>
      <c r="Q110" s="309"/>
      <c r="R110" s="268"/>
      <c r="S110" s="313"/>
      <c r="T110" s="313"/>
      <c r="U110" s="268"/>
      <c r="V110" s="268"/>
      <c r="W110" s="268"/>
      <c r="X110" s="268"/>
      <c r="Y110" s="268"/>
      <c r="Z110" s="268"/>
    </row>
    <row r="111" spans="1:26" ht="24.75" customHeight="1">
      <c r="A111" s="268"/>
      <c r="B111" s="268"/>
      <c r="C111" s="268"/>
      <c r="D111" s="268"/>
      <c r="E111" s="268"/>
      <c r="F111" s="268"/>
      <c r="G111" s="268"/>
      <c r="H111" s="268"/>
      <c r="I111" s="268"/>
      <c r="J111" s="268"/>
      <c r="K111" s="268"/>
      <c r="L111" s="310"/>
      <c r="M111" s="268"/>
      <c r="N111" s="268"/>
      <c r="O111" s="310"/>
      <c r="P111" s="268"/>
      <c r="Q111" s="309"/>
      <c r="R111" s="268"/>
      <c r="S111" s="313"/>
      <c r="T111" s="313"/>
      <c r="U111" s="268"/>
      <c r="V111" s="268"/>
      <c r="W111" s="268"/>
      <c r="X111" s="268"/>
      <c r="Y111" s="268"/>
      <c r="Z111" s="268"/>
    </row>
    <row r="112" spans="1:26" ht="24.75" customHeight="1">
      <c r="A112" s="268"/>
      <c r="B112" s="268"/>
      <c r="C112" s="268"/>
      <c r="D112" s="268"/>
      <c r="E112" s="268"/>
      <c r="F112" s="268"/>
      <c r="G112" s="268"/>
      <c r="H112" s="268"/>
      <c r="I112" s="268"/>
      <c r="J112" s="268"/>
      <c r="K112" s="268"/>
      <c r="L112" s="310"/>
      <c r="M112" s="268"/>
      <c r="N112" s="268"/>
      <c r="O112" s="310"/>
      <c r="P112" s="268"/>
      <c r="Q112" s="309"/>
      <c r="R112" s="268"/>
      <c r="S112" s="313"/>
      <c r="T112" s="313"/>
      <c r="U112" s="268"/>
      <c r="V112" s="268"/>
      <c r="W112" s="268"/>
      <c r="X112" s="268"/>
      <c r="Y112" s="268"/>
      <c r="Z112" s="268"/>
    </row>
    <row r="113" spans="1:26" ht="24.75" customHeight="1">
      <c r="A113" s="268"/>
      <c r="B113" s="268"/>
      <c r="C113" s="268"/>
      <c r="D113" s="268"/>
      <c r="E113" s="268"/>
      <c r="F113" s="268"/>
      <c r="G113" s="268"/>
      <c r="H113" s="268"/>
      <c r="I113" s="268"/>
      <c r="J113" s="268"/>
      <c r="K113" s="268"/>
      <c r="L113" s="310"/>
      <c r="M113" s="268"/>
      <c r="N113" s="268"/>
      <c r="O113" s="310"/>
      <c r="P113" s="268"/>
      <c r="Q113" s="309"/>
      <c r="R113" s="268"/>
      <c r="S113" s="313"/>
      <c r="T113" s="313"/>
      <c r="U113" s="268"/>
      <c r="V113" s="268"/>
      <c r="W113" s="268"/>
      <c r="X113" s="268"/>
      <c r="Y113" s="268"/>
      <c r="Z113" s="268"/>
    </row>
    <row r="114" spans="1:26" ht="24.75" customHeight="1">
      <c r="A114" s="268"/>
      <c r="B114" s="268"/>
      <c r="C114" s="268"/>
      <c r="D114" s="268"/>
      <c r="E114" s="268"/>
      <c r="F114" s="268"/>
      <c r="G114" s="268"/>
      <c r="H114" s="268"/>
      <c r="I114" s="268"/>
      <c r="J114" s="268"/>
      <c r="K114" s="268"/>
      <c r="L114" s="310"/>
      <c r="M114" s="268"/>
      <c r="N114" s="268"/>
      <c r="O114" s="310"/>
      <c r="P114" s="268"/>
      <c r="Q114" s="309"/>
      <c r="R114" s="268"/>
      <c r="S114" s="313"/>
      <c r="T114" s="313"/>
      <c r="U114" s="268"/>
      <c r="V114" s="268"/>
      <c r="W114" s="268"/>
      <c r="X114" s="268"/>
      <c r="Y114" s="268"/>
      <c r="Z114" s="268"/>
    </row>
    <row r="115" spans="1:26" ht="24.75" customHeight="1">
      <c r="A115" s="268"/>
      <c r="B115" s="268"/>
      <c r="C115" s="268"/>
      <c r="D115" s="268"/>
      <c r="E115" s="268"/>
      <c r="F115" s="268"/>
      <c r="G115" s="268"/>
      <c r="H115" s="268"/>
      <c r="I115" s="268"/>
      <c r="J115" s="268"/>
      <c r="K115" s="268"/>
      <c r="L115" s="310"/>
      <c r="M115" s="268"/>
      <c r="N115" s="268"/>
      <c r="O115" s="310"/>
      <c r="P115" s="268"/>
      <c r="Q115" s="309"/>
      <c r="R115" s="268"/>
      <c r="S115" s="313"/>
      <c r="T115" s="313"/>
      <c r="U115" s="268"/>
      <c r="V115" s="268"/>
      <c r="W115" s="268"/>
      <c r="X115" s="268"/>
      <c r="Y115" s="268"/>
      <c r="Z115" s="268"/>
    </row>
    <row r="116" spans="1:26" ht="24.75" customHeight="1">
      <c r="A116" s="268"/>
      <c r="B116" s="268"/>
      <c r="C116" s="268"/>
      <c r="D116" s="268"/>
      <c r="E116" s="268"/>
      <c r="F116" s="268"/>
      <c r="G116" s="268"/>
      <c r="H116" s="268"/>
      <c r="I116" s="268"/>
      <c r="J116" s="268"/>
      <c r="K116" s="268"/>
      <c r="L116" s="310"/>
      <c r="M116" s="268"/>
      <c r="N116" s="268"/>
      <c r="O116" s="310"/>
      <c r="P116" s="268"/>
      <c r="Q116" s="309"/>
      <c r="R116" s="268"/>
      <c r="S116" s="313"/>
      <c r="T116" s="313"/>
      <c r="U116" s="268"/>
      <c r="V116" s="268"/>
      <c r="W116" s="268"/>
      <c r="X116" s="268"/>
      <c r="Y116" s="268"/>
      <c r="Z116" s="268"/>
    </row>
    <row r="117" spans="1:26" ht="24.75" customHeight="1">
      <c r="A117" s="268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310"/>
      <c r="M117" s="268"/>
      <c r="N117" s="268"/>
      <c r="O117" s="310"/>
      <c r="P117" s="268"/>
      <c r="Q117" s="309"/>
      <c r="R117" s="268"/>
      <c r="S117" s="313"/>
      <c r="T117" s="313"/>
      <c r="U117" s="268"/>
      <c r="V117" s="268"/>
      <c r="W117" s="268"/>
      <c r="X117" s="268"/>
      <c r="Y117" s="268"/>
      <c r="Z117" s="268"/>
    </row>
    <row r="118" spans="1:26" ht="24.75" customHeight="1">
      <c r="A118" s="268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310"/>
      <c r="M118" s="268"/>
      <c r="N118" s="268"/>
      <c r="O118" s="310"/>
      <c r="P118" s="268"/>
      <c r="Q118" s="309"/>
      <c r="R118" s="268"/>
      <c r="S118" s="313"/>
      <c r="T118" s="313"/>
      <c r="U118" s="268"/>
      <c r="V118" s="268"/>
      <c r="W118" s="268"/>
      <c r="X118" s="268"/>
      <c r="Y118" s="268"/>
      <c r="Z118" s="268"/>
    </row>
    <row r="119" spans="1:26" ht="24.75" customHeight="1">
      <c r="A119" s="268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310"/>
      <c r="M119" s="268"/>
      <c r="N119" s="268"/>
      <c r="O119" s="310"/>
      <c r="P119" s="268"/>
      <c r="Q119" s="309"/>
      <c r="R119" s="268"/>
      <c r="S119" s="313"/>
      <c r="T119" s="313"/>
      <c r="U119" s="268"/>
      <c r="V119" s="268"/>
      <c r="W119" s="268"/>
      <c r="X119" s="268"/>
      <c r="Y119" s="268"/>
      <c r="Z119" s="268"/>
    </row>
    <row r="120" spans="1:26" ht="24.75" customHeight="1">
      <c r="A120" s="268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310"/>
      <c r="M120" s="268"/>
      <c r="N120" s="268"/>
      <c r="O120" s="310"/>
      <c r="P120" s="268"/>
      <c r="Q120" s="309"/>
      <c r="R120" s="268"/>
      <c r="S120" s="313"/>
      <c r="T120" s="313"/>
      <c r="U120" s="268"/>
      <c r="V120" s="268"/>
      <c r="W120" s="268"/>
      <c r="X120" s="268"/>
      <c r="Y120" s="268"/>
      <c r="Z120" s="268"/>
    </row>
    <row r="121" spans="1:26" ht="24.75" customHeight="1">
      <c r="A121" s="268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310"/>
      <c r="M121" s="268"/>
      <c r="N121" s="268"/>
      <c r="O121" s="310"/>
      <c r="P121" s="268"/>
      <c r="Q121" s="309"/>
      <c r="R121" s="268"/>
      <c r="S121" s="313"/>
      <c r="T121" s="313"/>
      <c r="U121" s="268"/>
      <c r="V121" s="268"/>
      <c r="W121" s="268"/>
      <c r="X121" s="268"/>
      <c r="Y121" s="268"/>
      <c r="Z121" s="268"/>
    </row>
    <row r="122" spans="1:26" ht="24.75" customHeight="1">
      <c r="A122" s="268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310"/>
      <c r="M122" s="268"/>
      <c r="N122" s="268"/>
      <c r="O122" s="310"/>
      <c r="P122" s="268"/>
      <c r="Q122" s="309"/>
      <c r="R122" s="268"/>
      <c r="S122" s="313"/>
      <c r="T122" s="313"/>
      <c r="U122" s="268"/>
      <c r="V122" s="268"/>
      <c r="W122" s="268"/>
      <c r="X122" s="268"/>
      <c r="Y122" s="268"/>
      <c r="Z122" s="268"/>
    </row>
    <row r="123" spans="1:26" ht="24.75" customHeight="1">
      <c r="A123" s="268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310"/>
      <c r="M123" s="268"/>
      <c r="N123" s="268"/>
      <c r="O123" s="310"/>
      <c r="P123" s="268"/>
      <c r="Q123" s="309"/>
      <c r="R123" s="268"/>
      <c r="S123" s="313"/>
      <c r="T123" s="313"/>
      <c r="U123" s="268"/>
      <c r="V123" s="268"/>
      <c r="W123" s="268"/>
      <c r="X123" s="268"/>
      <c r="Y123" s="268"/>
      <c r="Z123" s="268"/>
    </row>
    <row r="124" spans="1:26" ht="24.75" customHeight="1">
      <c r="A124" s="268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310"/>
      <c r="M124" s="268"/>
      <c r="N124" s="268"/>
      <c r="O124" s="310"/>
      <c r="P124" s="268"/>
      <c r="Q124" s="309"/>
      <c r="R124" s="268"/>
      <c r="S124" s="313"/>
      <c r="T124" s="313"/>
      <c r="U124" s="268"/>
      <c r="V124" s="268"/>
      <c r="W124" s="268"/>
      <c r="X124" s="268"/>
      <c r="Y124" s="268"/>
      <c r="Z124" s="268"/>
    </row>
    <row r="125" spans="1:26" ht="24.75" customHeight="1">
      <c r="A125" s="268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310"/>
      <c r="M125" s="268"/>
      <c r="N125" s="268"/>
      <c r="O125" s="310"/>
      <c r="P125" s="268"/>
      <c r="Q125" s="309"/>
      <c r="R125" s="268"/>
      <c r="S125" s="313"/>
      <c r="T125" s="313"/>
      <c r="U125" s="268"/>
      <c r="V125" s="268"/>
      <c r="W125" s="268"/>
      <c r="X125" s="268"/>
      <c r="Y125" s="268"/>
      <c r="Z125" s="268"/>
    </row>
    <row r="126" spans="1:26" ht="24.75" customHeight="1">
      <c r="A126" s="268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310"/>
      <c r="M126" s="268"/>
      <c r="N126" s="268"/>
      <c r="O126" s="310"/>
      <c r="P126" s="268"/>
      <c r="Q126" s="309"/>
      <c r="R126" s="268"/>
      <c r="S126" s="313"/>
      <c r="T126" s="313"/>
      <c r="U126" s="268"/>
      <c r="V126" s="268"/>
      <c r="W126" s="268"/>
      <c r="X126" s="268"/>
      <c r="Y126" s="268"/>
      <c r="Z126" s="268"/>
    </row>
    <row r="127" spans="1:26" ht="24.75" customHeight="1">
      <c r="A127" s="268"/>
      <c r="B127" s="268"/>
      <c r="C127" s="268"/>
      <c r="D127" s="268"/>
      <c r="E127" s="268"/>
      <c r="F127" s="268"/>
      <c r="G127" s="268"/>
      <c r="H127" s="268"/>
      <c r="I127" s="268"/>
      <c r="J127" s="268"/>
      <c r="K127" s="268"/>
      <c r="L127" s="310"/>
      <c r="M127" s="268"/>
      <c r="N127" s="268"/>
      <c r="O127" s="310"/>
      <c r="P127" s="268"/>
      <c r="Q127" s="309"/>
      <c r="R127" s="268"/>
      <c r="S127" s="313"/>
      <c r="T127" s="313"/>
      <c r="U127" s="268"/>
      <c r="V127" s="268"/>
      <c r="W127" s="268"/>
      <c r="X127" s="268"/>
      <c r="Y127" s="268"/>
      <c r="Z127" s="268"/>
    </row>
    <row r="128" spans="1:26" ht="24.75" customHeight="1">
      <c r="A128" s="268"/>
      <c r="B128" s="268"/>
      <c r="C128" s="268"/>
      <c r="D128" s="268"/>
      <c r="E128" s="268"/>
      <c r="F128" s="268"/>
      <c r="G128" s="268"/>
      <c r="H128" s="268"/>
      <c r="I128" s="268"/>
      <c r="J128" s="268"/>
      <c r="K128" s="268"/>
      <c r="L128" s="310"/>
      <c r="M128" s="268"/>
      <c r="N128" s="268"/>
      <c r="O128" s="310"/>
      <c r="P128" s="268"/>
      <c r="Q128" s="309"/>
      <c r="R128" s="268"/>
      <c r="S128" s="313"/>
      <c r="T128" s="313"/>
      <c r="U128" s="268"/>
      <c r="V128" s="268"/>
      <c r="W128" s="268"/>
      <c r="X128" s="268"/>
      <c r="Y128" s="268"/>
      <c r="Z128" s="268"/>
    </row>
    <row r="129" spans="1:26" ht="24.75" customHeight="1">
      <c r="A129" s="268"/>
      <c r="B129" s="268"/>
      <c r="C129" s="268"/>
      <c r="D129" s="268"/>
      <c r="E129" s="268"/>
      <c r="F129" s="268"/>
      <c r="G129" s="268"/>
      <c r="H129" s="268"/>
      <c r="I129" s="268"/>
      <c r="J129" s="268"/>
      <c r="K129" s="268"/>
      <c r="L129" s="310"/>
      <c r="M129" s="268"/>
      <c r="N129" s="268"/>
      <c r="O129" s="310"/>
      <c r="P129" s="268"/>
      <c r="Q129" s="309"/>
      <c r="R129" s="268"/>
      <c r="S129" s="313"/>
      <c r="T129" s="313"/>
      <c r="U129" s="268"/>
      <c r="V129" s="268"/>
      <c r="W129" s="268"/>
      <c r="X129" s="268"/>
      <c r="Y129" s="268"/>
      <c r="Z129" s="268"/>
    </row>
    <row r="130" spans="1:26" ht="24.75" customHeight="1">
      <c r="A130" s="268"/>
      <c r="B130" s="268"/>
      <c r="C130" s="268"/>
      <c r="D130" s="268"/>
      <c r="E130" s="268"/>
      <c r="F130" s="268"/>
      <c r="G130" s="268"/>
      <c r="H130" s="268"/>
      <c r="I130" s="268"/>
      <c r="J130" s="268"/>
      <c r="K130" s="268"/>
      <c r="L130" s="310"/>
      <c r="M130" s="268"/>
      <c r="N130" s="268"/>
      <c r="O130" s="310"/>
      <c r="P130" s="268"/>
      <c r="Q130" s="309"/>
      <c r="R130" s="268"/>
      <c r="S130" s="313"/>
      <c r="T130" s="313"/>
      <c r="U130" s="268"/>
      <c r="V130" s="268"/>
      <c r="W130" s="268"/>
      <c r="X130" s="268"/>
      <c r="Y130" s="268"/>
      <c r="Z130" s="268"/>
    </row>
    <row r="131" spans="1:26" ht="24.75" customHeight="1">
      <c r="A131" s="268"/>
      <c r="B131" s="268"/>
      <c r="C131" s="268"/>
      <c r="D131" s="268"/>
      <c r="E131" s="268"/>
      <c r="F131" s="268"/>
      <c r="G131" s="268"/>
      <c r="H131" s="268"/>
      <c r="I131" s="268"/>
      <c r="J131" s="268"/>
      <c r="K131" s="268"/>
      <c r="L131" s="310"/>
      <c r="M131" s="268"/>
      <c r="N131" s="268"/>
      <c r="O131" s="310"/>
      <c r="P131" s="268"/>
      <c r="Q131" s="309"/>
      <c r="R131" s="268"/>
      <c r="S131" s="313"/>
      <c r="T131" s="313"/>
      <c r="U131" s="268"/>
      <c r="V131" s="268"/>
      <c r="W131" s="268"/>
      <c r="X131" s="268"/>
      <c r="Y131" s="268"/>
      <c r="Z131" s="268"/>
    </row>
    <row r="132" spans="1:26" ht="24.75" customHeight="1">
      <c r="A132" s="268"/>
      <c r="B132" s="268"/>
      <c r="C132" s="268"/>
      <c r="D132" s="268"/>
      <c r="E132" s="268"/>
      <c r="F132" s="268"/>
      <c r="G132" s="268"/>
      <c r="H132" s="268"/>
      <c r="I132" s="268"/>
      <c r="J132" s="268"/>
      <c r="K132" s="268"/>
      <c r="L132" s="310"/>
      <c r="M132" s="268"/>
      <c r="N132" s="268"/>
      <c r="O132" s="310"/>
      <c r="P132" s="268"/>
      <c r="Q132" s="309"/>
      <c r="R132" s="268"/>
      <c r="S132" s="313"/>
      <c r="T132" s="313"/>
      <c r="U132" s="268"/>
      <c r="V132" s="268"/>
      <c r="W132" s="268"/>
      <c r="X132" s="268"/>
      <c r="Y132" s="268"/>
      <c r="Z132" s="268"/>
    </row>
    <row r="133" spans="1:26" ht="24.75" customHeight="1">
      <c r="A133" s="268"/>
      <c r="B133" s="268"/>
      <c r="C133" s="268"/>
      <c r="D133" s="268"/>
      <c r="E133" s="268"/>
      <c r="F133" s="268"/>
      <c r="G133" s="268"/>
      <c r="H133" s="268"/>
      <c r="I133" s="268"/>
      <c r="J133" s="268"/>
      <c r="K133" s="268"/>
      <c r="L133" s="310"/>
      <c r="M133" s="268"/>
      <c r="N133" s="268"/>
      <c r="O133" s="310"/>
      <c r="P133" s="268"/>
      <c r="Q133" s="309"/>
      <c r="R133" s="268"/>
      <c r="S133" s="313"/>
      <c r="T133" s="313"/>
      <c r="U133" s="268"/>
      <c r="V133" s="268"/>
      <c r="W133" s="268"/>
      <c r="X133" s="268"/>
      <c r="Y133" s="268"/>
      <c r="Z133" s="268"/>
    </row>
    <row r="134" spans="1:26" ht="24.75" customHeight="1">
      <c r="A134" s="268"/>
      <c r="B134" s="268"/>
      <c r="C134" s="268"/>
      <c r="D134" s="268"/>
      <c r="E134" s="268"/>
      <c r="F134" s="268"/>
      <c r="G134" s="268"/>
      <c r="H134" s="268"/>
      <c r="I134" s="268"/>
      <c r="J134" s="268"/>
      <c r="K134" s="268"/>
      <c r="L134" s="310"/>
      <c r="M134" s="268"/>
      <c r="N134" s="268"/>
      <c r="O134" s="310"/>
      <c r="P134" s="268"/>
      <c r="Q134" s="309"/>
      <c r="R134" s="268"/>
      <c r="S134" s="313"/>
      <c r="T134" s="313"/>
      <c r="U134" s="268"/>
      <c r="V134" s="268"/>
      <c r="W134" s="268"/>
      <c r="X134" s="268"/>
      <c r="Y134" s="268"/>
      <c r="Z134" s="268"/>
    </row>
    <row r="135" spans="1:26" ht="24.75" customHeight="1">
      <c r="A135" s="268"/>
      <c r="B135" s="268"/>
      <c r="C135" s="268"/>
      <c r="D135" s="268"/>
      <c r="E135" s="268"/>
      <c r="F135" s="268"/>
      <c r="G135" s="268"/>
      <c r="H135" s="268"/>
      <c r="I135" s="268"/>
      <c r="J135" s="268"/>
      <c r="K135" s="268"/>
      <c r="L135" s="310"/>
      <c r="M135" s="268"/>
      <c r="N135" s="268"/>
      <c r="O135" s="310"/>
      <c r="P135" s="268"/>
      <c r="Q135" s="309"/>
      <c r="R135" s="268"/>
      <c r="S135" s="313"/>
      <c r="T135" s="313"/>
      <c r="U135" s="268"/>
      <c r="V135" s="268"/>
      <c r="W135" s="268"/>
      <c r="X135" s="268"/>
      <c r="Y135" s="268"/>
      <c r="Z135" s="268"/>
    </row>
    <row r="136" spans="1:26" ht="24.75" customHeight="1">
      <c r="A136" s="268"/>
      <c r="B136" s="268"/>
      <c r="C136" s="268"/>
      <c r="D136" s="268"/>
      <c r="E136" s="268"/>
      <c r="F136" s="268"/>
      <c r="G136" s="268"/>
      <c r="H136" s="268"/>
      <c r="I136" s="268"/>
      <c r="J136" s="268"/>
      <c r="K136" s="268"/>
      <c r="L136" s="310"/>
      <c r="M136" s="268"/>
      <c r="N136" s="268"/>
      <c r="O136" s="310"/>
      <c r="P136" s="268"/>
      <c r="Q136" s="309"/>
      <c r="R136" s="268"/>
      <c r="S136" s="313"/>
      <c r="T136" s="313"/>
      <c r="U136" s="268"/>
      <c r="V136" s="268"/>
      <c r="W136" s="268"/>
      <c r="X136" s="268"/>
      <c r="Y136" s="268"/>
      <c r="Z136" s="268"/>
    </row>
    <row r="137" spans="1:26" ht="24.75" customHeight="1">
      <c r="A137" s="268"/>
      <c r="B137" s="268"/>
      <c r="C137" s="268"/>
      <c r="D137" s="268"/>
      <c r="E137" s="268"/>
      <c r="F137" s="268"/>
      <c r="G137" s="268"/>
      <c r="H137" s="268"/>
      <c r="I137" s="268"/>
      <c r="J137" s="268"/>
      <c r="K137" s="268"/>
      <c r="L137" s="310"/>
      <c r="M137" s="268"/>
      <c r="N137" s="268"/>
      <c r="O137" s="310"/>
      <c r="P137" s="268"/>
      <c r="Q137" s="309"/>
      <c r="R137" s="268"/>
      <c r="S137" s="313"/>
      <c r="T137" s="313"/>
      <c r="U137" s="268"/>
      <c r="V137" s="268"/>
      <c r="W137" s="268"/>
      <c r="X137" s="268"/>
      <c r="Y137" s="268"/>
      <c r="Z137" s="268"/>
    </row>
    <row r="138" spans="1:26" ht="24.75" customHeight="1">
      <c r="A138" s="268"/>
      <c r="B138" s="268"/>
      <c r="C138" s="268"/>
      <c r="D138" s="268"/>
      <c r="E138" s="268"/>
      <c r="F138" s="268"/>
      <c r="G138" s="268"/>
      <c r="H138" s="268"/>
      <c r="I138" s="268"/>
      <c r="J138" s="268"/>
      <c r="K138" s="268"/>
      <c r="L138" s="310"/>
      <c r="M138" s="268"/>
      <c r="N138" s="268"/>
      <c r="O138" s="310"/>
      <c r="P138" s="268"/>
      <c r="Q138" s="309"/>
      <c r="R138" s="268"/>
      <c r="S138" s="313"/>
      <c r="T138" s="313"/>
      <c r="U138" s="268"/>
      <c r="V138" s="268"/>
      <c r="W138" s="268"/>
      <c r="X138" s="268"/>
      <c r="Y138" s="268"/>
      <c r="Z138" s="268"/>
    </row>
    <row r="139" spans="1:26" ht="24.75" customHeight="1">
      <c r="A139" s="268"/>
      <c r="B139" s="268"/>
      <c r="C139" s="268"/>
      <c r="D139" s="268"/>
      <c r="E139" s="268"/>
      <c r="F139" s="268"/>
      <c r="G139" s="268"/>
      <c r="H139" s="268"/>
      <c r="I139" s="268"/>
      <c r="J139" s="268"/>
      <c r="K139" s="268"/>
      <c r="L139" s="310"/>
      <c r="M139" s="268"/>
      <c r="N139" s="268"/>
      <c r="O139" s="310"/>
      <c r="P139" s="268"/>
      <c r="Q139" s="309"/>
      <c r="R139" s="268"/>
      <c r="S139" s="313"/>
      <c r="T139" s="313"/>
      <c r="U139" s="268"/>
      <c r="V139" s="268"/>
      <c r="W139" s="268"/>
      <c r="X139" s="268"/>
      <c r="Y139" s="268"/>
      <c r="Z139" s="268"/>
    </row>
    <row r="140" spans="1:26" ht="24.75" customHeight="1">
      <c r="A140" s="268"/>
      <c r="B140" s="268"/>
      <c r="C140" s="268"/>
      <c r="D140" s="268"/>
      <c r="E140" s="268"/>
      <c r="F140" s="268"/>
      <c r="G140" s="268"/>
      <c r="H140" s="268"/>
      <c r="I140" s="268"/>
      <c r="J140" s="268"/>
      <c r="K140" s="268"/>
      <c r="L140" s="310"/>
      <c r="M140" s="268"/>
      <c r="N140" s="268"/>
      <c r="O140" s="310"/>
      <c r="P140" s="268"/>
      <c r="Q140" s="309"/>
      <c r="R140" s="268"/>
      <c r="S140" s="313"/>
      <c r="T140" s="313"/>
      <c r="U140" s="268"/>
      <c r="V140" s="268"/>
      <c r="W140" s="268"/>
      <c r="X140" s="268"/>
      <c r="Y140" s="268"/>
      <c r="Z140" s="268"/>
    </row>
    <row r="141" spans="1:26" ht="24.75" customHeight="1">
      <c r="A141" s="268"/>
      <c r="B141" s="268"/>
      <c r="C141" s="268"/>
      <c r="D141" s="268"/>
      <c r="E141" s="268"/>
      <c r="F141" s="268"/>
      <c r="G141" s="268"/>
      <c r="H141" s="268"/>
      <c r="I141" s="268"/>
      <c r="J141" s="268"/>
      <c r="K141" s="268"/>
      <c r="L141" s="310"/>
      <c r="M141" s="268"/>
      <c r="N141" s="268"/>
      <c r="O141" s="310"/>
      <c r="P141" s="268"/>
      <c r="Q141" s="309"/>
      <c r="R141" s="268"/>
      <c r="S141" s="313"/>
      <c r="T141" s="313"/>
      <c r="U141" s="268"/>
      <c r="V141" s="268"/>
      <c r="W141" s="268"/>
      <c r="X141" s="268"/>
      <c r="Y141" s="268"/>
      <c r="Z141" s="268"/>
    </row>
    <row r="142" spans="1:26" ht="24.75" customHeight="1">
      <c r="A142" s="268"/>
      <c r="B142" s="268"/>
      <c r="C142" s="268"/>
      <c r="D142" s="268"/>
      <c r="E142" s="268"/>
      <c r="F142" s="268"/>
      <c r="G142" s="268"/>
      <c r="H142" s="268"/>
      <c r="I142" s="268"/>
      <c r="J142" s="268"/>
      <c r="K142" s="268"/>
      <c r="L142" s="310"/>
      <c r="M142" s="268"/>
      <c r="N142" s="268"/>
      <c r="O142" s="310"/>
      <c r="P142" s="268"/>
      <c r="Q142" s="309"/>
      <c r="R142" s="268"/>
      <c r="S142" s="313"/>
      <c r="T142" s="313"/>
      <c r="U142" s="268"/>
      <c r="V142" s="268"/>
      <c r="W142" s="268"/>
      <c r="X142" s="268"/>
      <c r="Y142" s="268"/>
      <c r="Z142" s="268"/>
    </row>
    <row r="143" spans="1:26" ht="24.75" customHeight="1">
      <c r="A143" s="268"/>
      <c r="B143" s="268"/>
      <c r="C143" s="268"/>
      <c r="D143" s="268"/>
      <c r="E143" s="268"/>
      <c r="F143" s="268"/>
      <c r="G143" s="268"/>
      <c r="H143" s="268"/>
      <c r="I143" s="268"/>
      <c r="J143" s="268"/>
      <c r="K143" s="268"/>
      <c r="L143" s="310"/>
      <c r="M143" s="268"/>
      <c r="N143" s="268"/>
      <c r="O143" s="310"/>
      <c r="P143" s="268"/>
      <c r="Q143" s="309"/>
      <c r="R143" s="268"/>
      <c r="S143" s="313"/>
      <c r="T143" s="313"/>
      <c r="U143" s="268"/>
      <c r="V143" s="268"/>
      <c r="W143" s="268"/>
      <c r="X143" s="268"/>
      <c r="Y143" s="268"/>
      <c r="Z143" s="268"/>
    </row>
    <row r="144" spans="1:26" ht="24.75" customHeight="1">
      <c r="A144" s="268"/>
      <c r="B144" s="268"/>
      <c r="C144" s="268"/>
      <c r="D144" s="268"/>
      <c r="E144" s="268"/>
      <c r="F144" s="268"/>
      <c r="G144" s="268"/>
      <c r="H144" s="268"/>
      <c r="I144" s="268"/>
      <c r="J144" s="268"/>
      <c r="K144" s="268"/>
      <c r="L144" s="310"/>
      <c r="M144" s="268"/>
      <c r="N144" s="268"/>
      <c r="O144" s="310"/>
      <c r="P144" s="268"/>
      <c r="Q144" s="309"/>
      <c r="R144" s="268"/>
      <c r="S144" s="313"/>
      <c r="T144" s="313"/>
      <c r="U144" s="268"/>
      <c r="V144" s="268"/>
      <c r="W144" s="268"/>
      <c r="X144" s="268"/>
      <c r="Y144" s="268"/>
      <c r="Z144" s="268"/>
    </row>
    <row r="145" spans="1:26" ht="24.75" customHeight="1">
      <c r="A145" s="268"/>
      <c r="B145" s="268"/>
      <c r="C145" s="268"/>
      <c r="D145" s="268"/>
      <c r="E145" s="268"/>
      <c r="F145" s="268"/>
      <c r="G145" s="268"/>
      <c r="H145" s="268"/>
      <c r="I145" s="268"/>
      <c r="J145" s="268"/>
      <c r="K145" s="268"/>
      <c r="L145" s="310"/>
      <c r="M145" s="268"/>
      <c r="N145" s="268"/>
      <c r="O145" s="310"/>
      <c r="P145" s="268"/>
      <c r="Q145" s="309"/>
      <c r="R145" s="268"/>
      <c r="S145" s="313"/>
      <c r="T145" s="313"/>
      <c r="U145" s="268"/>
      <c r="V145" s="268"/>
      <c r="W145" s="268"/>
      <c r="X145" s="268"/>
      <c r="Y145" s="268"/>
      <c r="Z145" s="268"/>
    </row>
    <row r="146" spans="1:26" ht="24.75" customHeight="1">
      <c r="A146" s="268"/>
      <c r="B146" s="268"/>
      <c r="C146" s="268"/>
      <c r="D146" s="268"/>
      <c r="E146" s="268"/>
      <c r="F146" s="268"/>
      <c r="G146" s="268"/>
      <c r="H146" s="268"/>
      <c r="I146" s="268"/>
      <c r="J146" s="268"/>
      <c r="K146" s="268"/>
      <c r="L146" s="310"/>
      <c r="M146" s="268"/>
      <c r="N146" s="268"/>
      <c r="O146" s="310"/>
      <c r="P146" s="268"/>
      <c r="Q146" s="309"/>
      <c r="R146" s="268"/>
      <c r="S146" s="313"/>
      <c r="T146" s="313"/>
      <c r="U146" s="268"/>
      <c r="V146" s="268"/>
      <c r="W146" s="268"/>
      <c r="X146" s="268"/>
      <c r="Y146" s="268"/>
      <c r="Z146" s="268"/>
    </row>
    <row r="147" spans="1:26" ht="24.75" customHeight="1">
      <c r="A147" s="268"/>
      <c r="B147" s="268"/>
      <c r="C147" s="268"/>
      <c r="D147" s="268"/>
      <c r="E147" s="268"/>
      <c r="F147" s="268"/>
      <c r="G147" s="268"/>
      <c r="H147" s="268"/>
      <c r="I147" s="268"/>
      <c r="J147" s="268"/>
      <c r="K147" s="268"/>
      <c r="L147" s="310"/>
      <c r="M147" s="268"/>
      <c r="N147" s="268"/>
      <c r="O147" s="310"/>
      <c r="P147" s="268"/>
      <c r="Q147" s="309"/>
      <c r="R147" s="268"/>
      <c r="S147" s="313"/>
      <c r="T147" s="313"/>
      <c r="U147" s="268"/>
      <c r="V147" s="268"/>
      <c r="W147" s="268"/>
      <c r="X147" s="268"/>
      <c r="Y147" s="268"/>
      <c r="Z147" s="268"/>
    </row>
    <row r="148" spans="1:26" ht="24.75" customHeight="1">
      <c r="A148" s="268"/>
      <c r="B148" s="268"/>
      <c r="C148" s="268"/>
      <c r="D148" s="268"/>
      <c r="E148" s="268"/>
      <c r="F148" s="268"/>
      <c r="G148" s="268"/>
      <c r="H148" s="268"/>
      <c r="I148" s="268"/>
      <c r="J148" s="268"/>
      <c r="K148" s="268"/>
      <c r="L148" s="310"/>
      <c r="M148" s="268"/>
      <c r="N148" s="268"/>
      <c r="O148" s="310"/>
      <c r="P148" s="268"/>
      <c r="Q148" s="309"/>
      <c r="R148" s="268"/>
      <c r="S148" s="313"/>
      <c r="T148" s="313"/>
      <c r="U148" s="268"/>
      <c r="V148" s="268"/>
      <c r="W148" s="268"/>
      <c r="X148" s="268"/>
      <c r="Y148" s="268"/>
      <c r="Z148" s="268"/>
    </row>
    <row r="149" spans="1:26" ht="24.75" customHeight="1">
      <c r="A149" s="268"/>
      <c r="B149" s="268"/>
      <c r="C149" s="268"/>
      <c r="D149" s="268"/>
      <c r="E149" s="268"/>
      <c r="F149" s="268"/>
      <c r="G149" s="268"/>
      <c r="H149" s="268"/>
      <c r="I149" s="268"/>
      <c r="J149" s="268"/>
      <c r="K149" s="268"/>
      <c r="L149" s="310"/>
      <c r="M149" s="268"/>
      <c r="N149" s="268"/>
      <c r="O149" s="310"/>
      <c r="P149" s="268"/>
      <c r="Q149" s="309"/>
      <c r="R149" s="268"/>
      <c r="S149" s="313"/>
      <c r="T149" s="313"/>
      <c r="U149" s="268"/>
      <c r="V149" s="268"/>
      <c r="W149" s="268"/>
      <c r="X149" s="268"/>
      <c r="Y149" s="268"/>
      <c r="Z149" s="268"/>
    </row>
    <row r="150" spans="1:26" ht="24.75" customHeight="1">
      <c r="A150" s="268"/>
      <c r="B150" s="268"/>
      <c r="C150" s="268"/>
      <c r="D150" s="268"/>
      <c r="E150" s="268"/>
      <c r="F150" s="268"/>
      <c r="G150" s="268"/>
      <c r="H150" s="268"/>
      <c r="I150" s="268"/>
      <c r="J150" s="268"/>
      <c r="K150" s="268"/>
      <c r="L150" s="310"/>
      <c r="M150" s="268"/>
      <c r="N150" s="268"/>
      <c r="O150" s="310"/>
      <c r="P150" s="268"/>
      <c r="Q150" s="309"/>
      <c r="R150" s="268"/>
      <c r="S150" s="313"/>
      <c r="T150" s="313"/>
      <c r="U150" s="268"/>
      <c r="V150" s="268"/>
      <c r="W150" s="268"/>
      <c r="X150" s="268"/>
      <c r="Y150" s="268"/>
      <c r="Z150" s="268"/>
    </row>
    <row r="151" spans="1:26" ht="24.75" customHeight="1">
      <c r="A151" s="268"/>
      <c r="B151" s="268"/>
      <c r="C151" s="268"/>
      <c r="D151" s="268"/>
      <c r="E151" s="268"/>
      <c r="F151" s="268"/>
      <c r="G151" s="268"/>
      <c r="H151" s="268"/>
      <c r="I151" s="268"/>
      <c r="J151" s="268"/>
      <c r="K151" s="268"/>
      <c r="L151" s="310"/>
      <c r="M151" s="268"/>
      <c r="N151" s="268"/>
      <c r="O151" s="310"/>
      <c r="P151" s="268"/>
      <c r="Q151" s="309"/>
      <c r="R151" s="268"/>
      <c r="S151" s="313"/>
      <c r="T151" s="313"/>
      <c r="U151" s="268"/>
      <c r="V151" s="268"/>
      <c r="W151" s="268"/>
      <c r="X151" s="268"/>
      <c r="Y151" s="268"/>
      <c r="Z151" s="268"/>
    </row>
    <row r="152" spans="1:26" ht="24.75" customHeight="1">
      <c r="A152" s="268"/>
      <c r="B152" s="268"/>
      <c r="C152" s="268"/>
      <c r="D152" s="268"/>
      <c r="E152" s="268"/>
      <c r="F152" s="268"/>
      <c r="G152" s="268"/>
      <c r="H152" s="268"/>
      <c r="I152" s="268"/>
      <c r="J152" s="268"/>
      <c r="K152" s="268"/>
      <c r="L152" s="310"/>
      <c r="M152" s="268"/>
      <c r="N152" s="268"/>
      <c r="O152" s="310"/>
      <c r="P152" s="268"/>
      <c r="Q152" s="309"/>
      <c r="R152" s="268"/>
      <c r="S152" s="313"/>
      <c r="T152" s="313"/>
      <c r="U152" s="268"/>
      <c r="V152" s="268"/>
      <c r="W152" s="268"/>
      <c r="X152" s="268"/>
      <c r="Y152" s="268"/>
      <c r="Z152" s="268"/>
    </row>
    <row r="153" spans="1:26" ht="24.75" customHeight="1">
      <c r="A153" s="268"/>
      <c r="B153" s="268"/>
      <c r="C153" s="268"/>
      <c r="D153" s="268"/>
      <c r="E153" s="268"/>
      <c r="F153" s="268"/>
      <c r="G153" s="268"/>
      <c r="H153" s="268"/>
      <c r="I153" s="268"/>
      <c r="J153" s="268"/>
      <c r="K153" s="268"/>
      <c r="L153" s="310"/>
      <c r="M153" s="268"/>
      <c r="N153" s="268"/>
      <c r="O153" s="310"/>
      <c r="P153" s="268"/>
      <c r="Q153" s="309"/>
      <c r="R153" s="268"/>
      <c r="S153" s="313"/>
      <c r="T153" s="313"/>
      <c r="U153" s="268"/>
      <c r="V153" s="268"/>
      <c r="W153" s="268"/>
      <c r="X153" s="268"/>
      <c r="Y153" s="268"/>
      <c r="Z153" s="268"/>
    </row>
    <row r="154" spans="1:26" ht="24.75" customHeight="1">
      <c r="A154" s="268"/>
      <c r="B154" s="268"/>
      <c r="C154" s="268"/>
      <c r="D154" s="268"/>
      <c r="E154" s="268"/>
      <c r="F154" s="268"/>
      <c r="G154" s="268"/>
      <c r="H154" s="268"/>
      <c r="I154" s="268"/>
      <c r="J154" s="268"/>
      <c r="K154" s="268"/>
      <c r="L154" s="310"/>
      <c r="M154" s="268"/>
      <c r="N154" s="268"/>
      <c r="O154" s="310"/>
      <c r="P154" s="268"/>
      <c r="Q154" s="309"/>
      <c r="R154" s="268"/>
      <c r="S154" s="313"/>
      <c r="T154" s="313"/>
      <c r="U154" s="268"/>
      <c r="V154" s="268"/>
      <c r="W154" s="268"/>
      <c r="X154" s="268"/>
      <c r="Y154" s="268"/>
      <c r="Z154" s="268"/>
    </row>
    <row r="155" spans="1:26" ht="24.75" customHeight="1">
      <c r="A155" s="268"/>
      <c r="B155" s="268"/>
      <c r="C155" s="268"/>
      <c r="D155" s="268"/>
      <c r="E155" s="268"/>
      <c r="F155" s="268"/>
      <c r="G155" s="268"/>
      <c r="H155" s="268"/>
      <c r="I155" s="268"/>
      <c r="J155" s="268"/>
      <c r="K155" s="268"/>
      <c r="L155" s="310"/>
      <c r="M155" s="268"/>
      <c r="N155" s="268"/>
      <c r="O155" s="310"/>
      <c r="P155" s="268"/>
      <c r="Q155" s="309"/>
      <c r="R155" s="268"/>
      <c r="S155" s="313"/>
      <c r="T155" s="313"/>
      <c r="U155" s="268"/>
      <c r="V155" s="268"/>
      <c r="W155" s="268"/>
      <c r="X155" s="268"/>
      <c r="Y155" s="268"/>
      <c r="Z155" s="268"/>
    </row>
    <row r="156" spans="1:26" ht="24.75" customHeight="1">
      <c r="A156" s="268"/>
      <c r="B156" s="268"/>
      <c r="C156" s="268"/>
      <c r="D156" s="268"/>
      <c r="E156" s="268"/>
      <c r="F156" s="268"/>
      <c r="G156" s="268"/>
      <c r="H156" s="268"/>
      <c r="I156" s="268"/>
      <c r="J156" s="268"/>
      <c r="K156" s="268"/>
      <c r="L156" s="310"/>
      <c r="M156" s="268"/>
      <c r="N156" s="268"/>
      <c r="O156" s="310"/>
      <c r="P156" s="268"/>
      <c r="Q156" s="309"/>
      <c r="R156" s="268"/>
      <c r="S156" s="313"/>
      <c r="T156" s="313"/>
      <c r="U156" s="268"/>
      <c r="V156" s="268"/>
      <c r="W156" s="268"/>
      <c r="X156" s="268"/>
      <c r="Y156" s="268"/>
      <c r="Z156" s="268"/>
    </row>
    <row r="157" spans="1:26" ht="24.75" customHeight="1">
      <c r="A157" s="268"/>
      <c r="B157" s="268"/>
      <c r="C157" s="268"/>
      <c r="D157" s="268"/>
      <c r="E157" s="268"/>
      <c r="F157" s="268"/>
      <c r="G157" s="268"/>
      <c r="H157" s="268"/>
      <c r="I157" s="268"/>
      <c r="J157" s="268"/>
      <c r="K157" s="268"/>
      <c r="L157" s="310"/>
      <c r="M157" s="268"/>
      <c r="N157" s="268"/>
      <c r="O157" s="310"/>
      <c r="P157" s="268"/>
      <c r="Q157" s="309"/>
      <c r="R157" s="268"/>
      <c r="S157" s="313"/>
      <c r="T157" s="313"/>
      <c r="U157" s="268"/>
      <c r="V157" s="268"/>
      <c r="W157" s="268"/>
      <c r="X157" s="268"/>
      <c r="Y157" s="268"/>
      <c r="Z157" s="268"/>
    </row>
    <row r="158" spans="1:26" ht="24.75" customHeight="1">
      <c r="A158" s="268"/>
      <c r="B158" s="268"/>
      <c r="C158" s="268"/>
      <c r="D158" s="268"/>
      <c r="E158" s="268"/>
      <c r="F158" s="268"/>
      <c r="G158" s="268"/>
      <c r="H158" s="268"/>
      <c r="I158" s="268"/>
      <c r="J158" s="268"/>
      <c r="K158" s="268"/>
      <c r="L158" s="310"/>
      <c r="M158" s="268"/>
      <c r="N158" s="268"/>
      <c r="O158" s="310"/>
      <c r="P158" s="268"/>
      <c r="Q158" s="309"/>
      <c r="R158" s="268"/>
      <c r="S158" s="313"/>
      <c r="T158" s="313"/>
      <c r="U158" s="268"/>
      <c r="V158" s="268"/>
      <c r="W158" s="268"/>
      <c r="X158" s="268"/>
      <c r="Y158" s="268"/>
      <c r="Z158" s="268"/>
    </row>
    <row r="159" spans="1:26" ht="24.75" customHeight="1">
      <c r="A159" s="268"/>
      <c r="B159" s="268"/>
      <c r="C159" s="268"/>
      <c r="D159" s="268"/>
      <c r="E159" s="268"/>
      <c r="F159" s="268"/>
      <c r="G159" s="268"/>
      <c r="H159" s="268"/>
      <c r="I159" s="268"/>
      <c r="J159" s="268"/>
      <c r="K159" s="268"/>
      <c r="L159" s="310"/>
      <c r="M159" s="268"/>
      <c r="N159" s="268"/>
      <c r="O159" s="310"/>
      <c r="P159" s="268"/>
      <c r="Q159" s="309"/>
      <c r="R159" s="268"/>
      <c r="S159" s="313"/>
      <c r="T159" s="313"/>
      <c r="U159" s="268"/>
      <c r="V159" s="268"/>
      <c r="W159" s="268"/>
      <c r="X159" s="268"/>
      <c r="Y159" s="268"/>
      <c r="Z159" s="268"/>
    </row>
    <row r="160" spans="1:26" ht="24.75" customHeight="1">
      <c r="A160" s="268"/>
      <c r="B160" s="268"/>
      <c r="C160" s="268"/>
      <c r="D160" s="268"/>
      <c r="E160" s="268"/>
      <c r="F160" s="268"/>
      <c r="G160" s="268"/>
      <c r="H160" s="268"/>
      <c r="I160" s="268"/>
      <c r="J160" s="268"/>
      <c r="K160" s="268"/>
      <c r="L160" s="310"/>
      <c r="M160" s="268"/>
      <c r="N160" s="268"/>
      <c r="O160" s="310"/>
      <c r="P160" s="268"/>
      <c r="Q160" s="309"/>
      <c r="R160" s="268"/>
      <c r="S160" s="313"/>
      <c r="T160" s="313"/>
      <c r="U160" s="268"/>
      <c r="V160" s="268"/>
      <c r="W160" s="268"/>
      <c r="X160" s="268"/>
      <c r="Y160" s="268"/>
      <c r="Z160" s="268"/>
    </row>
    <row r="161" spans="1:26" ht="24.75" customHeight="1">
      <c r="A161" s="268"/>
      <c r="B161" s="268"/>
      <c r="C161" s="268"/>
      <c r="D161" s="268"/>
      <c r="E161" s="268"/>
      <c r="F161" s="268"/>
      <c r="G161" s="268"/>
      <c r="H161" s="268"/>
      <c r="I161" s="268"/>
      <c r="J161" s="268"/>
      <c r="K161" s="268"/>
      <c r="L161" s="310"/>
      <c r="M161" s="268"/>
      <c r="N161" s="268"/>
      <c r="O161" s="310"/>
      <c r="P161" s="268"/>
      <c r="Q161" s="309"/>
      <c r="R161" s="268"/>
      <c r="S161" s="313"/>
      <c r="T161" s="313"/>
      <c r="U161" s="268"/>
      <c r="V161" s="268"/>
      <c r="W161" s="268"/>
      <c r="X161" s="268"/>
      <c r="Y161" s="268"/>
      <c r="Z161" s="268"/>
    </row>
    <row r="162" spans="1:26" ht="24.75" customHeight="1">
      <c r="A162" s="268"/>
      <c r="B162" s="268"/>
      <c r="C162" s="268"/>
      <c r="D162" s="268"/>
      <c r="E162" s="268"/>
      <c r="F162" s="268"/>
      <c r="G162" s="268"/>
      <c r="H162" s="268"/>
      <c r="I162" s="268"/>
      <c r="J162" s="268"/>
      <c r="K162" s="268"/>
      <c r="L162" s="310"/>
      <c r="M162" s="268"/>
      <c r="N162" s="268"/>
      <c r="O162" s="310"/>
      <c r="P162" s="268"/>
      <c r="Q162" s="309"/>
      <c r="R162" s="268"/>
      <c r="S162" s="313"/>
      <c r="T162" s="313"/>
      <c r="U162" s="268"/>
      <c r="V162" s="268"/>
      <c r="W162" s="268"/>
      <c r="X162" s="268"/>
      <c r="Y162" s="268"/>
      <c r="Z162" s="268"/>
    </row>
    <row r="163" spans="1:26" ht="24.75" customHeight="1">
      <c r="A163" s="268"/>
      <c r="B163" s="268"/>
      <c r="C163" s="268"/>
      <c r="D163" s="268"/>
      <c r="E163" s="268"/>
      <c r="F163" s="268"/>
      <c r="G163" s="268"/>
      <c r="H163" s="268"/>
      <c r="I163" s="268"/>
      <c r="J163" s="268"/>
      <c r="K163" s="268"/>
      <c r="L163" s="310"/>
      <c r="M163" s="268"/>
      <c r="N163" s="268"/>
      <c r="O163" s="310"/>
      <c r="P163" s="268"/>
      <c r="Q163" s="309"/>
      <c r="R163" s="268"/>
      <c r="S163" s="313"/>
      <c r="T163" s="313"/>
      <c r="U163" s="268"/>
      <c r="V163" s="268"/>
      <c r="W163" s="268"/>
      <c r="X163" s="268"/>
      <c r="Y163" s="268"/>
      <c r="Z163" s="268"/>
    </row>
    <row r="164" spans="1:26" ht="24.75" customHeight="1">
      <c r="A164" s="268"/>
      <c r="B164" s="268"/>
      <c r="C164" s="268"/>
      <c r="D164" s="268"/>
      <c r="E164" s="268"/>
      <c r="F164" s="268"/>
      <c r="G164" s="268"/>
      <c r="H164" s="268"/>
      <c r="I164" s="268"/>
      <c r="J164" s="268"/>
      <c r="K164" s="268"/>
      <c r="L164" s="310"/>
      <c r="M164" s="268"/>
      <c r="N164" s="268"/>
      <c r="O164" s="310"/>
      <c r="P164" s="268"/>
      <c r="Q164" s="309"/>
      <c r="R164" s="268"/>
      <c r="S164" s="313"/>
      <c r="T164" s="313"/>
      <c r="U164" s="268"/>
      <c r="V164" s="268"/>
      <c r="W164" s="268"/>
      <c r="X164" s="268"/>
      <c r="Y164" s="268"/>
      <c r="Z164" s="268"/>
    </row>
    <row r="165" spans="1:26" ht="24.75" customHeight="1">
      <c r="A165" s="268"/>
      <c r="B165" s="268"/>
      <c r="C165" s="268"/>
      <c r="D165" s="268"/>
      <c r="E165" s="268"/>
      <c r="F165" s="268"/>
      <c r="G165" s="268"/>
      <c r="H165" s="268"/>
      <c r="I165" s="268"/>
      <c r="J165" s="268"/>
      <c r="K165" s="268"/>
      <c r="L165" s="310"/>
      <c r="M165" s="268"/>
      <c r="N165" s="268"/>
      <c r="O165" s="310"/>
      <c r="P165" s="268"/>
      <c r="Q165" s="309"/>
      <c r="R165" s="268"/>
      <c r="S165" s="313"/>
      <c r="T165" s="313"/>
      <c r="U165" s="268"/>
      <c r="V165" s="268"/>
      <c r="W165" s="268"/>
      <c r="X165" s="268"/>
      <c r="Y165" s="268"/>
      <c r="Z165" s="268"/>
    </row>
    <row r="166" spans="1:26" ht="24.75" customHeight="1">
      <c r="A166" s="268"/>
      <c r="B166" s="268"/>
      <c r="C166" s="268"/>
      <c r="D166" s="268"/>
      <c r="E166" s="268"/>
      <c r="F166" s="268"/>
      <c r="G166" s="268"/>
      <c r="H166" s="268"/>
      <c r="I166" s="268"/>
      <c r="J166" s="268"/>
      <c r="K166" s="268"/>
      <c r="L166" s="310"/>
      <c r="M166" s="268"/>
      <c r="N166" s="268"/>
      <c r="O166" s="310"/>
      <c r="P166" s="268"/>
      <c r="Q166" s="309"/>
      <c r="R166" s="268"/>
      <c r="S166" s="313"/>
      <c r="T166" s="313"/>
      <c r="U166" s="268"/>
      <c r="V166" s="268"/>
      <c r="W166" s="268"/>
      <c r="X166" s="268"/>
      <c r="Y166" s="268"/>
      <c r="Z166" s="268"/>
    </row>
    <row r="167" spans="1:26" ht="24.75" customHeight="1">
      <c r="A167" s="268"/>
      <c r="B167" s="268"/>
      <c r="C167" s="268"/>
      <c r="D167" s="268"/>
      <c r="E167" s="268"/>
      <c r="F167" s="268"/>
      <c r="G167" s="268"/>
      <c r="H167" s="268"/>
      <c r="I167" s="268"/>
      <c r="J167" s="268"/>
      <c r="K167" s="268"/>
      <c r="L167" s="310"/>
      <c r="M167" s="268"/>
      <c r="N167" s="268"/>
      <c r="O167" s="310"/>
      <c r="P167" s="268"/>
      <c r="Q167" s="309"/>
      <c r="R167" s="268"/>
      <c r="S167" s="313"/>
      <c r="T167" s="313"/>
      <c r="U167" s="268"/>
      <c r="V167" s="268"/>
      <c r="W167" s="268"/>
      <c r="X167" s="268"/>
      <c r="Y167" s="268"/>
      <c r="Z167" s="268"/>
    </row>
    <row r="168" spans="1:26" ht="24.75" customHeight="1">
      <c r="A168" s="268"/>
      <c r="B168" s="268"/>
      <c r="C168" s="268"/>
      <c r="D168" s="268"/>
      <c r="E168" s="268"/>
      <c r="F168" s="268"/>
      <c r="G168" s="268"/>
      <c r="H168" s="268"/>
      <c r="I168" s="268"/>
      <c r="J168" s="268"/>
      <c r="K168" s="268"/>
      <c r="L168" s="310"/>
      <c r="M168" s="268"/>
      <c r="N168" s="268"/>
      <c r="O168" s="310"/>
      <c r="P168" s="268"/>
      <c r="Q168" s="309"/>
      <c r="R168" s="268"/>
      <c r="S168" s="313"/>
      <c r="T168" s="313"/>
      <c r="U168" s="268"/>
      <c r="V168" s="268"/>
      <c r="W168" s="268"/>
      <c r="X168" s="268"/>
      <c r="Y168" s="268"/>
      <c r="Z168" s="268"/>
    </row>
    <row r="169" spans="1:26" ht="24.75" customHeight="1">
      <c r="A169" s="268"/>
      <c r="B169" s="268"/>
      <c r="C169" s="268"/>
      <c r="D169" s="268"/>
      <c r="E169" s="268"/>
      <c r="F169" s="268"/>
      <c r="G169" s="268"/>
      <c r="H169" s="268"/>
      <c r="I169" s="268"/>
      <c r="J169" s="268"/>
      <c r="K169" s="268"/>
      <c r="L169" s="310"/>
      <c r="M169" s="268"/>
      <c r="N169" s="268"/>
      <c r="O169" s="310"/>
      <c r="P169" s="268"/>
      <c r="Q169" s="309"/>
      <c r="R169" s="268"/>
      <c r="S169" s="313"/>
      <c r="T169" s="313"/>
      <c r="U169" s="268"/>
      <c r="V169" s="268"/>
      <c r="W169" s="268"/>
      <c r="X169" s="268"/>
      <c r="Y169" s="268"/>
      <c r="Z169" s="268"/>
    </row>
    <row r="170" spans="1:26" ht="24.75" customHeight="1">
      <c r="A170" s="268"/>
      <c r="B170" s="268"/>
      <c r="C170" s="268"/>
      <c r="D170" s="268"/>
      <c r="E170" s="268"/>
      <c r="F170" s="268"/>
      <c r="G170" s="268"/>
      <c r="H170" s="268"/>
      <c r="I170" s="268"/>
      <c r="J170" s="268"/>
      <c r="K170" s="268"/>
      <c r="L170" s="310"/>
      <c r="M170" s="268"/>
      <c r="N170" s="268"/>
      <c r="O170" s="310"/>
      <c r="P170" s="268"/>
      <c r="Q170" s="309"/>
      <c r="R170" s="268"/>
      <c r="S170" s="313"/>
      <c r="T170" s="313"/>
      <c r="U170" s="268"/>
      <c r="V170" s="268"/>
      <c r="W170" s="268"/>
      <c r="X170" s="268"/>
      <c r="Y170" s="268"/>
      <c r="Z170" s="268"/>
    </row>
    <row r="171" spans="1:26" ht="24.75" customHeight="1">
      <c r="A171" s="268"/>
      <c r="B171" s="268"/>
      <c r="C171" s="268"/>
      <c r="D171" s="268"/>
      <c r="E171" s="268"/>
      <c r="F171" s="268"/>
      <c r="G171" s="268"/>
      <c r="H171" s="268"/>
      <c r="I171" s="268"/>
      <c r="J171" s="268"/>
      <c r="K171" s="268"/>
      <c r="L171" s="310"/>
      <c r="M171" s="268"/>
      <c r="N171" s="268"/>
      <c r="O171" s="310"/>
      <c r="P171" s="268"/>
      <c r="Q171" s="309"/>
      <c r="R171" s="268"/>
      <c r="S171" s="313"/>
      <c r="T171" s="313"/>
      <c r="U171" s="268"/>
      <c r="V171" s="268"/>
      <c r="W171" s="268"/>
      <c r="X171" s="268"/>
      <c r="Y171" s="268"/>
      <c r="Z171" s="268"/>
    </row>
    <row r="172" spans="1:26" ht="24.75" customHeight="1">
      <c r="A172" s="268"/>
      <c r="B172" s="268"/>
      <c r="C172" s="268"/>
      <c r="D172" s="268"/>
      <c r="E172" s="268"/>
      <c r="F172" s="268"/>
      <c r="G172" s="268"/>
      <c r="H172" s="268"/>
      <c r="I172" s="268"/>
      <c r="J172" s="268"/>
      <c r="K172" s="268"/>
      <c r="L172" s="310"/>
      <c r="M172" s="268"/>
      <c r="N172" s="268"/>
      <c r="O172" s="310"/>
      <c r="P172" s="268"/>
      <c r="Q172" s="309"/>
      <c r="R172" s="268"/>
      <c r="S172" s="313"/>
      <c r="T172" s="313"/>
      <c r="U172" s="268"/>
      <c r="V172" s="268"/>
      <c r="W172" s="268"/>
      <c r="X172" s="268"/>
      <c r="Y172" s="268"/>
      <c r="Z172" s="268"/>
    </row>
    <row r="173" spans="1:26" ht="24.75" customHeight="1">
      <c r="A173" s="268"/>
      <c r="B173" s="268"/>
      <c r="C173" s="268"/>
      <c r="D173" s="268"/>
      <c r="E173" s="268"/>
      <c r="F173" s="268"/>
      <c r="G173" s="268"/>
      <c r="H173" s="268"/>
      <c r="I173" s="268"/>
      <c r="J173" s="268"/>
      <c r="K173" s="268"/>
      <c r="L173" s="310"/>
      <c r="M173" s="268"/>
      <c r="N173" s="268"/>
      <c r="O173" s="310"/>
      <c r="P173" s="268"/>
      <c r="Q173" s="309"/>
      <c r="R173" s="268"/>
      <c r="S173" s="313"/>
      <c r="T173" s="313"/>
      <c r="U173" s="268"/>
      <c r="V173" s="268"/>
      <c r="W173" s="268"/>
      <c r="X173" s="268"/>
      <c r="Y173" s="268"/>
      <c r="Z173" s="268"/>
    </row>
    <row r="174" spans="1:26" ht="24.75" customHeight="1">
      <c r="A174" s="268"/>
      <c r="B174" s="268"/>
      <c r="C174" s="268"/>
      <c r="D174" s="268"/>
      <c r="E174" s="268"/>
      <c r="F174" s="268"/>
      <c r="G174" s="268"/>
      <c r="H174" s="268"/>
      <c r="I174" s="268"/>
      <c r="J174" s="268"/>
      <c r="K174" s="268"/>
      <c r="L174" s="310"/>
      <c r="M174" s="268"/>
      <c r="N174" s="268"/>
      <c r="O174" s="310"/>
      <c r="P174" s="268"/>
      <c r="Q174" s="309"/>
      <c r="R174" s="268"/>
      <c r="S174" s="313"/>
      <c r="T174" s="313"/>
      <c r="U174" s="268"/>
      <c r="V174" s="268"/>
      <c r="W174" s="268"/>
      <c r="X174" s="268"/>
      <c r="Y174" s="268"/>
      <c r="Z174" s="268"/>
    </row>
    <row r="175" spans="1:26" ht="24.75" customHeight="1">
      <c r="A175" s="268"/>
      <c r="B175" s="268"/>
      <c r="C175" s="268"/>
      <c r="D175" s="268"/>
      <c r="E175" s="268"/>
      <c r="F175" s="268"/>
      <c r="G175" s="268"/>
      <c r="H175" s="268"/>
      <c r="I175" s="268"/>
      <c r="J175" s="268"/>
      <c r="K175" s="268"/>
      <c r="L175" s="310"/>
      <c r="M175" s="268"/>
      <c r="N175" s="268"/>
      <c r="O175" s="310"/>
      <c r="P175" s="268"/>
      <c r="Q175" s="309"/>
      <c r="R175" s="268"/>
      <c r="S175" s="313"/>
      <c r="T175" s="313"/>
      <c r="U175" s="268"/>
      <c r="V175" s="268"/>
      <c r="W175" s="268"/>
      <c r="X175" s="268"/>
      <c r="Y175" s="268"/>
      <c r="Z175" s="268"/>
    </row>
    <row r="176" spans="1:26" ht="24.75" customHeight="1">
      <c r="A176" s="268"/>
      <c r="B176" s="268"/>
      <c r="C176" s="268"/>
      <c r="D176" s="268"/>
      <c r="E176" s="268"/>
      <c r="F176" s="268"/>
      <c r="G176" s="268"/>
      <c r="H176" s="268"/>
      <c r="I176" s="268"/>
      <c r="J176" s="268"/>
      <c r="K176" s="268"/>
      <c r="L176" s="310"/>
      <c r="M176" s="268"/>
      <c r="N176" s="268"/>
      <c r="O176" s="310"/>
      <c r="P176" s="268"/>
      <c r="Q176" s="309"/>
      <c r="R176" s="268"/>
      <c r="S176" s="313"/>
      <c r="T176" s="313"/>
      <c r="U176" s="268"/>
      <c r="V176" s="268"/>
      <c r="W176" s="268"/>
      <c r="X176" s="268"/>
      <c r="Y176" s="268"/>
      <c r="Z176" s="268"/>
    </row>
    <row r="177" spans="1:26" ht="24.75" customHeight="1">
      <c r="A177" s="268"/>
      <c r="B177" s="268"/>
      <c r="C177" s="268"/>
      <c r="D177" s="268"/>
      <c r="E177" s="268"/>
      <c r="F177" s="268"/>
      <c r="G177" s="268"/>
      <c r="H177" s="268"/>
      <c r="I177" s="268"/>
      <c r="J177" s="268"/>
      <c r="K177" s="268"/>
      <c r="L177" s="310"/>
      <c r="M177" s="268"/>
      <c r="N177" s="268"/>
      <c r="O177" s="310"/>
      <c r="P177" s="268"/>
      <c r="Q177" s="309"/>
      <c r="R177" s="268"/>
      <c r="S177" s="313"/>
      <c r="T177" s="313"/>
      <c r="U177" s="268"/>
      <c r="V177" s="268"/>
      <c r="W177" s="268"/>
      <c r="X177" s="268"/>
      <c r="Y177" s="268"/>
      <c r="Z177" s="268"/>
    </row>
    <row r="178" spans="1:26" ht="24.75" customHeight="1">
      <c r="A178" s="268"/>
      <c r="B178" s="268"/>
      <c r="C178" s="268"/>
      <c r="D178" s="268"/>
      <c r="E178" s="268"/>
      <c r="F178" s="268"/>
      <c r="G178" s="268"/>
      <c r="H178" s="268"/>
      <c r="I178" s="268"/>
      <c r="J178" s="268"/>
      <c r="K178" s="268"/>
      <c r="L178" s="310"/>
      <c r="M178" s="268"/>
      <c r="N178" s="268"/>
      <c r="O178" s="310"/>
      <c r="P178" s="268"/>
      <c r="Q178" s="309"/>
      <c r="R178" s="268"/>
      <c r="S178" s="313"/>
      <c r="T178" s="313"/>
      <c r="U178" s="268"/>
      <c r="V178" s="268"/>
      <c r="W178" s="268"/>
      <c r="X178" s="268"/>
      <c r="Y178" s="268"/>
      <c r="Z178" s="268"/>
    </row>
    <row r="179" spans="1:26" ht="24.75" customHeight="1">
      <c r="A179" s="268"/>
      <c r="B179" s="268"/>
      <c r="C179" s="268"/>
      <c r="D179" s="268"/>
      <c r="E179" s="268"/>
      <c r="F179" s="268"/>
      <c r="G179" s="268"/>
      <c r="H179" s="268"/>
      <c r="I179" s="268"/>
      <c r="J179" s="268"/>
      <c r="K179" s="268"/>
      <c r="L179" s="310"/>
      <c r="M179" s="268"/>
      <c r="N179" s="268"/>
      <c r="O179" s="310"/>
      <c r="P179" s="268"/>
      <c r="Q179" s="309"/>
      <c r="R179" s="268"/>
      <c r="S179" s="313"/>
      <c r="T179" s="313"/>
      <c r="U179" s="268"/>
      <c r="V179" s="268"/>
      <c r="W179" s="268"/>
      <c r="X179" s="268"/>
      <c r="Y179" s="268"/>
      <c r="Z179" s="268"/>
    </row>
    <row r="180" spans="1:26" ht="24.75" customHeight="1">
      <c r="A180" s="268"/>
      <c r="B180" s="268"/>
      <c r="C180" s="268"/>
      <c r="D180" s="268"/>
      <c r="E180" s="268"/>
      <c r="F180" s="268"/>
      <c r="G180" s="268"/>
      <c r="H180" s="268"/>
      <c r="I180" s="268"/>
      <c r="J180" s="268"/>
      <c r="K180" s="268"/>
      <c r="L180" s="310"/>
      <c r="M180" s="268"/>
      <c r="N180" s="268"/>
      <c r="O180" s="310"/>
      <c r="P180" s="268"/>
      <c r="Q180" s="309"/>
      <c r="R180" s="268"/>
      <c r="S180" s="313"/>
      <c r="T180" s="313"/>
      <c r="U180" s="268"/>
      <c r="V180" s="268"/>
      <c r="W180" s="268"/>
      <c r="X180" s="268"/>
      <c r="Y180" s="268"/>
      <c r="Z180" s="268"/>
    </row>
    <row r="181" spans="1:26" ht="24.75" customHeight="1">
      <c r="A181" s="268"/>
      <c r="B181" s="268"/>
      <c r="C181" s="268"/>
      <c r="D181" s="268"/>
      <c r="E181" s="268"/>
      <c r="F181" s="268"/>
      <c r="G181" s="268"/>
      <c r="H181" s="268"/>
      <c r="I181" s="268"/>
      <c r="J181" s="268"/>
      <c r="K181" s="268"/>
      <c r="L181" s="310"/>
      <c r="M181" s="268"/>
      <c r="N181" s="268"/>
      <c r="O181" s="310"/>
      <c r="P181" s="268"/>
      <c r="Q181" s="309"/>
      <c r="R181" s="268"/>
      <c r="S181" s="313"/>
      <c r="T181" s="313"/>
      <c r="U181" s="268"/>
      <c r="V181" s="268"/>
      <c r="W181" s="268"/>
      <c r="X181" s="268"/>
      <c r="Y181" s="268"/>
      <c r="Z181" s="268"/>
    </row>
    <row r="182" spans="1:26" ht="24.75" customHeight="1">
      <c r="A182" s="268"/>
      <c r="B182" s="268"/>
      <c r="C182" s="268"/>
      <c r="D182" s="268"/>
      <c r="E182" s="268"/>
      <c r="F182" s="268"/>
      <c r="G182" s="268"/>
      <c r="H182" s="268"/>
      <c r="I182" s="268"/>
      <c r="J182" s="268"/>
      <c r="K182" s="268"/>
      <c r="L182" s="310"/>
      <c r="M182" s="268"/>
      <c r="N182" s="268"/>
      <c r="O182" s="310"/>
      <c r="P182" s="268"/>
      <c r="Q182" s="309"/>
      <c r="R182" s="268"/>
      <c r="S182" s="313"/>
      <c r="T182" s="313"/>
      <c r="U182" s="268"/>
      <c r="V182" s="268"/>
      <c r="W182" s="268"/>
      <c r="X182" s="268"/>
      <c r="Y182" s="268"/>
      <c r="Z182" s="268"/>
    </row>
    <row r="183" spans="1:26" ht="24.75" customHeight="1">
      <c r="A183" s="268"/>
      <c r="B183" s="268"/>
      <c r="C183" s="268"/>
      <c r="D183" s="268"/>
      <c r="E183" s="268"/>
      <c r="F183" s="268"/>
      <c r="G183" s="268"/>
      <c r="H183" s="268"/>
      <c r="I183" s="268"/>
      <c r="J183" s="268"/>
      <c r="K183" s="268"/>
      <c r="L183" s="310"/>
      <c r="M183" s="268"/>
      <c r="N183" s="268"/>
      <c r="O183" s="310"/>
      <c r="P183" s="268"/>
      <c r="Q183" s="309"/>
      <c r="R183" s="268"/>
      <c r="S183" s="313"/>
      <c r="T183" s="313"/>
      <c r="U183" s="268"/>
      <c r="V183" s="268"/>
      <c r="W183" s="268"/>
      <c r="X183" s="268"/>
      <c r="Y183" s="268"/>
      <c r="Z183" s="268"/>
    </row>
    <row r="184" spans="1:26" ht="24.75" customHeight="1">
      <c r="A184" s="268"/>
      <c r="B184" s="268"/>
      <c r="C184" s="268"/>
      <c r="D184" s="268"/>
      <c r="E184" s="268"/>
      <c r="F184" s="268"/>
      <c r="G184" s="268"/>
      <c r="H184" s="268"/>
      <c r="I184" s="268"/>
      <c r="J184" s="268"/>
      <c r="K184" s="268"/>
      <c r="L184" s="310"/>
      <c r="M184" s="268"/>
      <c r="N184" s="268"/>
      <c r="O184" s="310"/>
      <c r="P184" s="268"/>
      <c r="Q184" s="309"/>
      <c r="R184" s="268"/>
      <c r="S184" s="313"/>
      <c r="T184" s="313"/>
      <c r="U184" s="268"/>
      <c r="V184" s="268"/>
      <c r="W184" s="268"/>
      <c r="X184" s="268"/>
      <c r="Y184" s="268"/>
      <c r="Z184" s="268"/>
    </row>
    <row r="185" spans="1:26" ht="24.75" customHeight="1">
      <c r="A185" s="268"/>
      <c r="B185" s="268"/>
      <c r="C185" s="268"/>
      <c r="D185" s="268"/>
      <c r="E185" s="268"/>
      <c r="F185" s="268"/>
      <c r="G185" s="268"/>
      <c r="H185" s="268"/>
      <c r="I185" s="268"/>
      <c r="J185" s="268"/>
      <c r="K185" s="268"/>
      <c r="L185" s="310"/>
      <c r="M185" s="268"/>
      <c r="N185" s="268"/>
      <c r="O185" s="310"/>
      <c r="P185" s="268"/>
      <c r="Q185" s="309"/>
      <c r="R185" s="268"/>
      <c r="S185" s="313"/>
      <c r="T185" s="313"/>
      <c r="U185" s="268"/>
      <c r="V185" s="268"/>
      <c r="W185" s="268"/>
      <c r="X185" s="268"/>
      <c r="Y185" s="268"/>
      <c r="Z185" s="268"/>
    </row>
    <row r="186" spans="1:26" ht="24.75" customHeight="1">
      <c r="A186" s="268"/>
      <c r="B186" s="268"/>
      <c r="C186" s="268"/>
      <c r="D186" s="268"/>
      <c r="E186" s="268"/>
      <c r="F186" s="268"/>
      <c r="G186" s="268"/>
      <c r="H186" s="268"/>
      <c r="I186" s="268"/>
      <c r="J186" s="268"/>
      <c r="K186" s="268"/>
      <c r="L186" s="310"/>
      <c r="M186" s="268"/>
      <c r="N186" s="268"/>
      <c r="O186" s="310"/>
      <c r="P186" s="268"/>
      <c r="Q186" s="309"/>
      <c r="R186" s="268"/>
      <c r="S186" s="313"/>
      <c r="T186" s="313"/>
      <c r="U186" s="268"/>
      <c r="V186" s="268"/>
      <c r="W186" s="268"/>
      <c r="X186" s="268"/>
      <c r="Y186" s="268"/>
      <c r="Z186" s="268"/>
    </row>
    <row r="187" spans="1:26" ht="24.75" customHeight="1">
      <c r="A187" s="268"/>
      <c r="B187" s="268"/>
      <c r="C187" s="268"/>
      <c r="D187" s="268"/>
      <c r="E187" s="268"/>
      <c r="F187" s="268"/>
      <c r="G187" s="268"/>
      <c r="H187" s="268"/>
      <c r="I187" s="268"/>
      <c r="J187" s="268"/>
      <c r="K187" s="268"/>
      <c r="L187" s="310"/>
      <c r="M187" s="268"/>
      <c r="N187" s="268"/>
      <c r="O187" s="310"/>
      <c r="P187" s="268"/>
      <c r="Q187" s="309"/>
      <c r="R187" s="268"/>
      <c r="S187" s="313"/>
      <c r="T187" s="313"/>
      <c r="U187" s="268"/>
      <c r="V187" s="268"/>
      <c r="W187" s="268"/>
      <c r="X187" s="268"/>
      <c r="Y187" s="268"/>
      <c r="Z187" s="268"/>
    </row>
    <row r="188" spans="1:26" ht="24.75" customHeight="1">
      <c r="A188" s="268"/>
      <c r="B188" s="268"/>
      <c r="C188" s="268"/>
      <c r="D188" s="268"/>
      <c r="E188" s="268"/>
      <c r="F188" s="268"/>
      <c r="G188" s="268"/>
      <c r="H188" s="268"/>
      <c r="I188" s="268"/>
      <c r="J188" s="268"/>
      <c r="K188" s="268"/>
      <c r="L188" s="310"/>
      <c r="M188" s="268"/>
      <c r="N188" s="268"/>
      <c r="O188" s="310"/>
      <c r="P188" s="268"/>
      <c r="Q188" s="309"/>
      <c r="R188" s="268"/>
      <c r="S188" s="313"/>
      <c r="T188" s="313"/>
      <c r="U188" s="268"/>
      <c r="V188" s="268"/>
      <c r="W188" s="268"/>
      <c r="X188" s="268"/>
      <c r="Y188" s="268"/>
      <c r="Z188" s="268"/>
    </row>
    <row r="189" spans="1:26" ht="24.75" customHeight="1">
      <c r="A189" s="268"/>
      <c r="B189" s="268"/>
      <c r="C189" s="268"/>
      <c r="D189" s="268"/>
      <c r="E189" s="268"/>
      <c r="F189" s="268"/>
      <c r="G189" s="268"/>
      <c r="H189" s="268"/>
      <c r="I189" s="268"/>
      <c r="J189" s="268"/>
      <c r="K189" s="268"/>
      <c r="L189" s="310"/>
      <c r="M189" s="268"/>
      <c r="N189" s="268"/>
      <c r="O189" s="310"/>
      <c r="P189" s="268"/>
      <c r="Q189" s="309"/>
      <c r="R189" s="268"/>
      <c r="S189" s="313"/>
      <c r="T189" s="313"/>
      <c r="U189" s="268"/>
      <c r="V189" s="268"/>
      <c r="W189" s="268"/>
      <c r="X189" s="268"/>
      <c r="Y189" s="268"/>
      <c r="Z189" s="268"/>
    </row>
    <row r="190" spans="1:26" ht="24.75" customHeight="1">
      <c r="A190" s="268"/>
      <c r="B190" s="268"/>
      <c r="C190" s="268"/>
      <c r="D190" s="268"/>
      <c r="E190" s="268"/>
      <c r="F190" s="268"/>
      <c r="G190" s="268"/>
      <c r="H190" s="268"/>
      <c r="I190" s="268"/>
      <c r="J190" s="268"/>
      <c r="K190" s="268"/>
      <c r="L190" s="310"/>
      <c r="M190" s="268"/>
      <c r="N190" s="268"/>
      <c r="O190" s="310"/>
      <c r="P190" s="268"/>
      <c r="Q190" s="309"/>
      <c r="R190" s="268"/>
      <c r="S190" s="313"/>
      <c r="T190" s="313"/>
      <c r="U190" s="268"/>
      <c r="V190" s="268"/>
      <c r="W190" s="268"/>
      <c r="X190" s="268"/>
      <c r="Y190" s="268"/>
      <c r="Z190" s="268"/>
    </row>
    <row r="191" spans="1:26" ht="24.75" customHeight="1">
      <c r="A191" s="268"/>
      <c r="B191" s="268"/>
      <c r="C191" s="268"/>
      <c r="D191" s="268"/>
      <c r="E191" s="268"/>
      <c r="F191" s="268"/>
      <c r="G191" s="268"/>
      <c r="H191" s="268"/>
      <c r="I191" s="268"/>
      <c r="J191" s="268"/>
      <c r="K191" s="268"/>
      <c r="L191" s="310"/>
      <c r="M191" s="268"/>
      <c r="N191" s="268"/>
      <c r="O191" s="310"/>
      <c r="P191" s="268"/>
      <c r="Q191" s="309"/>
      <c r="R191" s="268"/>
      <c r="S191" s="313"/>
      <c r="T191" s="313"/>
      <c r="U191" s="268"/>
      <c r="V191" s="268"/>
      <c r="W191" s="268"/>
      <c r="X191" s="268"/>
      <c r="Y191" s="268"/>
      <c r="Z191" s="268"/>
    </row>
    <row r="192" spans="1:26" ht="24.75" customHeight="1">
      <c r="A192" s="268"/>
      <c r="B192" s="268"/>
      <c r="C192" s="268"/>
      <c r="D192" s="268"/>
      <c r="E192" s="268"/>
      <c r="F192" s="268"/>
      <c r="G192" s="268"/>
      <c r="H192" s="268"/>
      <c r="I192" s="268"/>
      <c r="J192" s="268"/>
      <c r="K192" s="268"/>
      <c r="L192" s="310"/>
      <c r="M192" s="268"/>
      <c r="N192" s="268"/>
      <c r="O192" s="310"/>
      <c r="P192" s="268"/>
      <c r="Q192" s="309"/>
      <c r="R192" s="268"/>
      <c r="S192" s="313"/>
      <c r="T192" s="313"/>
      <c r="U192" s="268"/>
      <c r="V192" s="268"/>
      <c r="W192" s="268"/>
      <c r="X192" s="268"/>
      <c r="Y192" s="268"/>
      <c r="Z192" s="268"/>
    </row>
    <row r="193" spans="1:26" ht="24.75" customHeight="1">
      <c r="A193" s="268"/>
      <c r="B193" s="268"/>
      <c r="C193" s="268"/>
      <c r="D193" s="268"/>
      <c r="E193" s="268"/>
      <c r="F193" s="268"/>
      <c r="G193" s="268"/>
      <c r="H193" s="268"/>
      <c r="I193" s="268"/>
      <c r="J193" s="268"/>
      <c r="K193" s="268"/>
      <c r="L193" s="310"/>
      <c r="M193" s="268"/>
      <c r="N193" s="268"/>
      <c r="O193" s="310"/>
      <c r="P193" s="268"/>
      <c r="Q193" s="309"/>
      <c r="R193" s="268"/>
      <c r="S193" s="313"/>
      <c r="T193" s="313"/>
      <c r="U193" s="268"/>
      <c r="V193" s="268"/>
      <c r="W193" s="268"/>
      <c r="X193" s="268"/>
      <c r="Y193" s="268"/>
      <c r="Z193" s="268"/>
    </row>
    <row r="194" spans="1:26" ht="24.75" customHeight="1">
      <c r="A194" s="268"/>
      <c r="B194" s="268"/>
      <c r="C194" s="268"/>
      <c r="D194" s="268"/>
      <c r="E194" s="268"/>
      <c r="F194" s="268"/>
      <c r="G194" s="268"/>
      <c r="H194" s="268"/>
      <c r="I194" s="268"/>
      <c r="J194" s="268"/>
      <c r="K194" s="268"/>
      <c r="L194" s="310"/>
      <c r="M194" s="268"/>
      <c r="N194" s="268"/>
      <c r="O194" s="310"/>
      <c r="P194" s="268"/>
      <c r="Q194" s="309"/>
      <c r="R194" s="268"/>
      <c r="S194" s="313"/>
      <c r="T194" s="313"/>
      <c r="U194" s="268"/>
      <c r="V194" s="268"/>
      <c r="W194" s="268"/>
      <c r="X194" s="268"/>
      <c r="Y194" s="268"/>
      <c r="Z194" s="268"/>
    </row>
    <row r="195" spans="1:26" ht="24.75" customHeight="1">
      <c r="A195" s="268"/>
      <c r="B195" s="268"/>
      <c r="C195" s="268"/>
      <c r="D195" s="268"/>
      <c r="E195" s="268"/>
      <c r="F195" s="268"/>
      <c r="G195" s="268"/>
      <c r="H195" s="268"/>
      <c r="I195" s="268"/>
      <c r="J195" s="268"/>
      <c r="K195" s="268"/>
      <c r="L195" s="310"/>
      <c r="M195" s="268"/>
      <c r="N195" s="268"/>
      <c r="O195" s="310"/>
      <c r="P195" s="268"/>
      <c r="Q195" s="309"/>
      <c r="R195" s="268"/>
      <c r="S195" s="313"/>
      <c r="T195" s="313"/>
      <c r="U195" s="268"/>
      <c r="V195" s="268"/>
      <c r="W195" s="268"/>
      <c r="X195" s="268"/>
      <c r="Y195" s="268"/>
      <c r="Z195" s="268"/>
    </row>
    <row r="196" spans="1:26" ht="24.75" customHeight="1">
      <c r="A196" s="268"/>
      <c r="B196" s="268"/>
      <c r="C196" s="268"/>
      <c r="D196" s="268"/>
      <c r="E196" s="268"/>
      <c r="F196" s="268"/>
      <c r="G196" s="268"/>
      <c r="H196" s="268"/>
      <c r="I196" s="268"/>
      <c r="J196" s="268"/>
      <c r="K196" s="268"/>
      <c r="L196" s="310"/>
      <c r="M196" s="268"/>
      <c r="N196" s="268"/>
      <c r="O196" s="310"/>
      <c r="P196" s="268"/>
      <c r="Q196" s="309"/>
      <c r="R196" s="268"/>
      <c r="S196" s="313"/>
      <c r="T196" s="313"/>
      <c r="U196" s="268"/>
      <c r="V196" s="268"/>
      <c r="W196" s="268"/>
      <c r="X196" s="268"/>
      <c r="Y196" s="268"/>
      <c r="Z196" s="268"/>
    </row>
    <row r="197" spans="1:26" ht="24.75" customHeight="1">
      <c r="A197" s="268"/>
      <c r="B197" s="268"/>
      <c r="C197" s="268"/>
      <c r="D197" s="268"/>
      <c r="E197" s="268"/>
      <c r="F197" s="268"/>
      <c r="G197" s="268"/>
      <c r="H197" s="268"/>
      <c r="I197" s="268"/>
      <c r="J197" s="268"/>
      <c r="K197" s="268"/>
      <c r="L197" s="310"/>
      <c r="M197" s="268"/>
      <c r="N197" s="268"/>
      <c r="O197" s="310"/>
      <c r="P197" s="268"/>
      <c r="Q197" s="309"/>
      <c r="R197" s="268"/>
      <c r="S197" s="313"/>
      <c r="T197" s="313"/>
      <c r="U197" s="268"/>
      <c r="V197" s="268"/>
      <c r="W197" s="268"/>
      <c r="X197" s="268"/>
      <c r="Y197" s="268"/>
      <c r="Z197" s="268"/>
    </row>
    <row r="198" spans="1:26" ht="24.75" customHeight="1">
      <c r="A198" s="268"/>
      <c r="B198" s="268"/>
      <c r="C198" s="268"/>
      <c r="D198" s="268"/>
      <c r="E198" s="268"/>
      <c r="F198" s="268"/>
      <c r="G198" s="268"/>
      <c r="H198" s="268"/>
      <c r="I198" s="268"/>
      <c r="J198" s="268"/>
      <c r="K198" s="268"/>
      <c r="L198" s="310"/>
      <c r="M198" s="268"/>
      <c r="N198" s="268"/>
      <c r="O198" s="310"/>
      <c r="P198" s="268"/>
      <c r="Q198" s="309"/>
      <c r="R198" s="268"/>
      <c r="S198" s="313"/>
      <c r="T198" s="313"/>
      <c r="U198" s="268"/>
      <c r="V198" s="268"/>
      <c r="W198" s="268"/>
      <c r="X198" s="268"/>
      <c r="Y198" s="268"/>
      <c r="Z198" s="268"/>
    </row>
    <row r="199" spans="1:26" ht="24.75" customHeight="1">
      <c r="A199" s="268"/>
      <c r="B199" s="268"/>
      <c r="C199" s="268"/>
      <c r="D199" s="268"/>
      <c r="E199" s="268"/>
      <c r="F199" s="268"/>
      <c r="G199" s="268"/>
      <c r="H199" s="268"/>
      <c r="I199" s="268"/>
      <c r="J199" s="268"/>
      <c r="K199" s="268"/>
      <c r="L199" s="310"/>
      <c r="M199" s="268"/>
      <c r="N199" s="268"/>
      <c r="O199" s="310"/>
      <c r="P199" s="268"/>
      <c r="Q199" s="309"/>
      <c r="R199" s="268"/>
      <c r="S199" s="313"/>
      <c r="T199" s="313"/>
      <c r="U199" s="268"/>
      <c r="V199" s="268"/>
      <c r="W199" s="268"/>
      <c r="X199" s="268"/>
      <c r="Y199" s="268"/>
      <c r="Z199" s="268"/>
    </row>
    <row r="200" spans="1:26" ht="24.75" customHeight="1">
      <c r="A200" s="268"/>
      <c r="B200" s="268"/>
      <c r="C200" s="268"/>
      <c r="D200" s="268"/>
      <c r="E200" s="268"/>
      <c r="F200" s="268"/>
      <c r="G200" s="268"/>
      <c r="H200" s="268"/>
      <c r="I200" s="268"/>
      <c r="J200" s="268"/>
      <c r="K200" s="268"/>
      <c r="L200" s="310"/>
      <c r="M200" s="268"/>
      <c r="N200" s="268"/>
      <c r="O200" s="310"/>
      <c r="P200" s="268"/>
      <c r="Q200" s="309"/>
      <c r="R200" s="268"/>
      <c r="S200" s="313"/>
      <c r="T200" s="313"/>
      <c r="U200" s="268"/>
      <c r="V200" s="268"/>
      <c r="W200" s="268"/>
      <c r="X200" s="268"/>
      <c r="Y200" s="268"/>
      <c r="Z200" s="268"/>
    </row>
    <row r="201" spans="1:26" ht="24.75" customHeight="1">
      <c r="A201" s="268"/>
      <c r="B201" s="268"/>
      <c r="C201" s="268"/>
      <c r="D201" s="268"/>
      <c r="E201" s="268"/>
      <c r="F201" s="268"/>
      <c r="G201" s="268"/>
      <c r="H201" s="268"/>
      <c r="I201" s="268"/>
      <c r="J201" s="268"/>
      <c r="K201" s="268"/>
      <c r="L201" s="310"/>
      <c r="M201" s="268"/>
      <c r="N201" s="268"/>
      <c r="O201" s="310"/>
      <c r="P201" s="268"/>
      <c r="Q201" s="309"/>
      <c r="R201" s="268"/>
      <c r="S201" s="313"/>
      <c r="T201" s="313"/>
      <c r="U201" s="268"/>
      <c r="V201" s="268"/>
      <c r="W201" s="268"/>
      <c r="X201" s="268"/>
      <c r="Y201" s="268"/>
      <c r="Z201" s="268"/>
    </row>
    <row r="202" spans="1:26" ht="24.75" customHeight="1">
      <c r="A202" s="268"/>
      <c r="B202" s="268"/>
      <c r="C202" s="268"/>
      <c r="D202" s="268"/>
      <c r="E202" s="268"/>
      <c r="F202" s="268"/>
      <c r="G202" s="268"/>
      <c r="H202" s="268"/>
      <c r="I202" s="268"/>
      <c r="J202" s="268"/>
      <c r="K202" s="268"/>
      <c r="L202" s="310"/>
      <c r="M202" s="268"/>
      <c r="N202" s="268"/>
      <c r="O202" s="310"/>
      <c r="P202" s="268"/>
      <c r="Q202" s="309"/>
      <c r="R202" s="268"/>
      <c r="S202" s="313"/>
      <c r="T202" s="313"/>
      <c r="U202" s="268"/>
      <c r="V202" s="268"/>
      <c r="W202" s="268"/>
      <c r="X202" s="268"/>
      <c r="Y202" s="268"/>
      <c r="Z202" s="268"/>
    </row>
    <row r="203" spans="1:26" ht="24.75" customHeight="1">
      <c r="A203" s="268"/>
      <c r="B203" s="268"/>
      <c r="C203" s="268"/>
      <c r="D203" s="268"/>
      <c r="E203" s="268"/>
      <c r="F203" s="268"/>
      <c r="G203" s="268"/>
      <c r="H203" s="268"/>
      <c r="I203" s="268"/>
      <c r="J203" s="268"/>
      <c r="K203" s="268"/>
      <c r="L203" s="310"/>
      <c r="M203" s="268"/>
      <c r="N203" s="268"/>
      <c r="O203" s="310"/>
      <c r="P203" s="268"/>
      <c r="Q203" s="309"/>
      <c r="R203" s="268"/>
      <c r="S203" s="313"/>
      <c r="T203" s="313"/>
      <c r="U203" s="268"/>
      <c r="V203" s="268"/>
      <c r="W203" s="268"/>
      <c r="X203" s="268"/>
      <c r="Y203" s="268"/>
      <c r="Z203" s="268"/>
    </row>
    <row r="204" spans="1:26" ht="24.75" customHeight="1">
      <c r="A204" s="268"/>
      <c r="B204" s="268"/>
      <c r="C204" s="268"/>
      <c r="D204" s="268"/>
      <c r="E204" s="268"/>
      <c r="F204" s="268"/>
      <c r="G204" s="268"/>
      <c r="H204" s="268"/>
      <c r="I204" s="268"/>
      <c r="J204" s="268"/>
      <c r="K204" s="268"/>
      <c r="L204" s="310"/>
      <c r="M204" s="268"/>
      <c r="N204" s="268"/>
      <c r="O204" s="310"/>
      <c r="P204" s="268"/>
      <c r="Q204" s="309"/>
      <c r="R204" s="268"/>
      <c r="S204" s="313"/>
      <c r="T204" s="313"/>
      <c r="U204" s="268"/>
      <c r="V204" s="268"/>
      <c r="W204" s="268"/>
      <c r="X204" s="268"/>
      <c r="Y204" s="268"/>
      <c r="Z204" s="268"/>
    </row>
    <row r="205" spans="1:26" ht="24.75" customHeight="1">
      <c r="A205" s="268"/>
      <c r="B205" s="268"/>
      <c r="C205" s="268"/>
      <c r="D205" s="268"/>
      <c r="E205" s="268"/>
      <c r="F205" s="268"/>
      <c r="G205" s="268"/>
      <c r="H205" s="268"/>
      <c r="I205" s="268"/>
      <c r="J205" s="268"/>
      <c r="K205" s="268"/>
      <c r="L205" s="310"/>
      <c r="M205" s="268"/>
      <c r="N205" s="268"/>
      <c r="O205" s="310"/>
      <c r="P205" s="268"/>
      <c r="Q205" s="309"/>
      <c r="R205" s="268"/>
      <c r="S205" s="313"/>
      <c r="T205" s="313"/>
      <c r="U205" s="268"/>
      <c r="V205" s="268"/>
      <c r="W205" s="268"/>
      <c r="X205" s="268"/>
      <c r="Y205" s="268"/>
      <c r="Z205" s="268"/>
    </row>
    <row r="206" spans="1:26" ht="24.75" customHeight="1">
      <c r="A206" s="268"/>
      <c r="B206" s="268"/>
      <c r="C206" s="268"/>
      <c r="D206" s="268"/>
      <c r="E206" s="268"/>
      <c r="F206" s="268"/>
      <c r="G206" s="268"/>
      <c r="H206" s="268"/>
      <c r="I206" s="268"/>
      <c r="J206" s="268"/>
      <c r="K206" s="268"/>
      <c r="L206" s="310"/>
      <c r="M206" s="268"/>
      <c r="N206" s="268"/>
      <c r="O206" s="310"/>
      <c r="P206" s="268"/>
      <c r="Q206" s="309"/>
      <c r="R206" s="268"/>
      <c r="S206" s="313"/>
      <c r="T206" s="313"/>
      <c r="U206" s="268"/>
      <c r="V206" s="268"/>
      <c r="W206" s="268"/>
      <c r="X206" s="268"/>
      <c r="Y206" s="268"/>
      <c r="Z206" s="268"/>
    </row>
    <row r="207" spans="1:26" ht="24.75" customHeight="1">
      <c r="A207" s="268"/>
      <c r="B207" s="268"/>
      <c r="C207" s="268"/>
      <c r="D207" s="268"/>
      <c r="E207" s="268"/>
      <c r="F207" s="268"/>
      <c r="G207" s="268"/>
      <c r="H207" s="268"/>
      <c r="I207" s="268"/>
      <c r="J207" s="268"/>
      <c r="K207" s="268"/>
      <c r="L207" s="310"/>
      <c r="M207" s="268"/>
      <c r="N207" s="268"/>
      <c r="O207" s="310"/>
      <c r="P207" s="268"/>
      <c r="Q207" s="309"/>
      <c r="R207" s="268"/>
      <c r="S207" s="313"/>
      <c r="T207" s="313"/>
      <c r="U207" s="268"/>
      <c r="V207" s="268"/>
      <c r="W207" s="268"/>
      <c r="X207" s="268"/>
      <c r="Y207" s="268"/>
      <c r="Z207" s="268"/>
    </row>
    <row r="208" spans="1:26" ht="24.75" customHeight="1">
      <c r="A208" s="268"/>
      <c r="B208" s="268"/>
      <c r="C208" s="268"/>
      <c r="D208" s="268"/>
      <c r="E208" s="268"/>
      <c r="F208" s="268"/>
      <c r="G208" s="268"/>
      <c r="H208" s="268"/>
      <c r="I208" s="268"/>
      <c r="J208" s="268"/>
      <c r="K208" s="268"/>
      <c r="L208" s="310"/>
      <c r="M208" s="268"/>
      <c r="N208" s="268"/>
      <c r="O208" s="310"/>
      <c r="P208" s="268"/>
      <c r="Q208" s="309"/>
      <c r="R208" s="268"/>
      <c r="S208" s="313"/>
      <c r="T208" s="313"/>
      <c r="U208" s="268"/>
      <c r="V208" s="268"/>
      <c r="W208" s="268"/>
      <c r="X208" s="268"/>
      <c r="Y208" s="268"/>
      <c r="Z208" s="268"/>
    </row>
    <row r="209" spans="1:26" ht="24.75" customHeight="1">
      <c r="A209" s="268"/>
      <c r="B209" s="268"/>
      <c r="C209" s="268"/>
      <c r="D209" s="268"/>
      <c r="E209" s="268"/>
      <c r="F209" s="268"/>
      <c r="G209" s="268"/>
      <c r="H209" s="268"/>
      <c r="I209" s="268"/>
      <c r="J209" s="268"/>
      <c r="K209" s="268"/>
      <c r="L209" s="310"/>
      <c r="M209" s="268"/>
      <c r="N209" s="268"/>
      <c r="O209" s="310"/>
      <c r="P209" s="268"/>
      <c r="Q209" s="309"/>
      <c r="R209" s="268"/>
      <c r="S209" s="313"/>
      <c r="T209" s="313"/>
      <c r="U209" s="268"/>
      <c r="V209" s="268"/>
      <c r="W209" s="268"/>
      <c r="X209" s="268"/>
      <c r="Y209" s="268"/>
      <c r="Z209" s="268"/>
    </row>
    <row r="210" spans="1:26" ht="24.75" customHeight="1">
      <c r="A210" s="268"/>
      <c r="B210" s="268"/>
      <c r="C210" s="268"/>
      <c r="D210" s="268"/>
      <c r="E210" s="268"/>
      <c r="F210" s="268"/>
      <c r="G210" s="268"/>
      <c r="H210" s="268"/>
      <c r="I210" s="268"/>
      <c r="J210" s="268"/>
      <c r="K210" s="268"/>
      <c r="L210" s="310"/>
      <c r="M210" s="268"/>
      <c r="N210" s="268"/>
      <c r="O210" s="310"/>
      <c r="P210" s="268"/>
      <c r="Q210" s="309"/>
      <c r="R210" s="268"/>
      <c r="S210" s="313"/>
      <c r="T210" s="313"/>
      <c r="U210" s="268"/>
      <c r="V210" s="268"/>
      <c r="W210" s="268"/>
      <c r="X210" s="268"/>
      <c r="Y210" s="268"/>
      <c r="Z210" s="268"/>
    </row>
    <row r="211" spans="1:26" ht="24.75" customHeight="1">
      <c r="A211" s="268"/>
      <c r="B211" s="268"/>
      <c r="C211" s="268"/>
      <c r="D211" s="268"/>
      <c r="E211" s="268"/>
      <c r="F211" s="268"/>
      <c r="G211" s="268"/>
      <c r="H211" s="268"/>
      <c r="I211" s="268"/>
      <c r="J211" s="268"/>
      <c r="K211" s="268"/>
      <c r="L211" s="310"/>
      <c r="M211" s="268"/>
      <c r="N211" s="268"/>
      <c r="O211" s="310"/>
      <c r="P211" s="268"/>
      <c r="Q211" s="309"/>
      <c r="R211" s="268"/>
      <c r="S211" s="313"/>
      <c r="T211" s="313"/>
      <c r="U211" s="268"/>
      <c r="V211" s="268"/>
      <c r="W211" s="268"/>
      <c r="X211" s="268"/>
      <c r="Y211" s="268"/>
      <c r="Z211" s="268"/>
    </row>
    <row r="212" spans="1:26" ht="24.75" customHeight="1">
      <c r="A212" s="268"/>
      <c r="B212" s="268"/>
      <c r="C212" s="268"/>
      <c r="D212" s="268"/>
      <c r="E212" s="268"/>
      <c r="F212" s="268"/>
      <c r="G212" s="268"/>
      <c r="H212" s="268"/>
      <c r="I212" s="268"/>
      <c r="J212" s="268"/>
      <c r="K212" s="268"/>
      <c r="L212" s="310"/>
      <c r="M212" s="268"/>
      <c r="N212" s="268"/>
      <c r="O212" s="310"/>
      <c r="P212" s="268"/>
      <c r="Q212" s="309"/>
      <c r="R212" s="268"/>
      <c r="S212" s="313"/>
      <c r="T212" s="313"/>
      <c r="U212" s="268"/>
      <c r="V212" s="268"/>
      <c r="W212" s="268"/>
      <c r="X212" s="268"/>
      <c r="Y212" s="268"/>
      <c r="Z212" s="268"/>
    </row>
    <row r="213" spans="1:26" ht="24.75" customHeight="1">
      <c r="A213" s="268"/>
      <c r="B213" s="268"/>
      <c r="C213" s="268"/>
      <c r="D213" s="268"/>
      <c r="E213" s="268"/>
      <c r="F213" s="268"/>
      <c r="G213" s="268"/>
      <c r="H213" s="268"/>
      <c r="I213" s="268"/>
      <c r="J213" s="268"/>
      <c r="K213" s="268"/>
      <c r="L213" s="310"/>
      <c r="M213" s="268"/>
      <c r="N213" s="268"/>
      <c r="O213" s="310"/>
      <c r="P213" s="268"/>
      <c r="Q213" s="309"/>
      <c r="R213" s="268"/>
      <c r="S213" s="313"/>
      <c r="T213" s="313"/>
      <c r="U213" s="268"/>
      <c r="V213" s="268"/>
      <c r="W213" s="268"/>
      <c r="X213" s="268"/>
      <c r="Y213" s="268"/>
      <c r="Z213" s="268"/>
    </row>
    <row r="214" spans="1:26" ht="24.75" customHeight="1">
      <c r="A214" s="268"/>
      <c r="B214" s="268"/>
      <c r="C214" s="268"/>
      <c r="D214" s="268"/>
      <c r="E214" s="268"/>
      <c r="F214" s="268"/>
      <c r="G214" s="268"/>
      <c r="H214" s="268"/>
      <c r="I214" s="268"/>
      <c r="J214" s="268"/>
      <c r="K214" s="268"/>
      <c r="L214" s="310"/>
      <c r="M214" s="268"/>
      <c r="N214" s="268"/>
      <c r="O214" s="310"/>
      <c r="P214" s="268"/>
      <c r="Q214" s="309"/>
      <c r="R214" s="268"/>
      <c r="S214" s="313"/>
      <c r="T214" s="313"/>
      <c r="U214" s="268"/>
      <c r="V214" s="268"/>
      <c r="W214" s="268"/>
      <c r="X214" s="268"/>
      <c r="Y214" s="268"/>
      <c r="Z214" s="268"/>
    </row>
    <row r="215" spans="1:26" ht="24.75" customHeight="1">
      <c r="A215" s="268"/>
      <c r="B215" s="268"/>
      <c r="C215" s="268"/>
      <c r="D215" s="268"/>
      <c r="E215" s="268"/>
      <c r="F215" s="268"/>
      <c r="G215" s="268"/>
      <c r="H215" s="268"/>
      <c r="I215" s="268"/>
      <c r="J215" s="268"/>
      <c r="K215" s="268"/>
      <c r="L215" s="310"/>
      <c r="M215" s="268"/>
      <c r="N215" s="268"/>
      <c r="O215" s="310"/>
      <c r="P215" s="268"/>
      <c r="Q215" s="309"/>
      <c r="R215" s="268"/>
      <c r="S215" s="313"/>
      <c r="T215" s="313"/>
      <c r="U215" s="268"/>
      <c r="V215" s="268"/>
      <c r="W215" s="268"/>
      <c r="X215" s="268"/>
      <c r="Y215" s="268"/>
      <c r="Z215" s="268"/>
    </row>
    <row r="216" spans="1:26" ht="24.75" customHeight="1">
      <c r="A216" s="268"/>
      <c r="B216" s="268"/>
      <c r="C216" s="268"/>
      <c r="D216" s="268"/>
      <c r="E216" s="268"/>
      <c r="F216" s="268"/>
      <c r="G216" s="268"/>
      <c r="H216" s="268"/>
      <c r="I216" s="268"/>
      <c r="J216" s="268"/>
      <c r="K216" s="268"/>
      <c r="L216" s="310"/>
      <c r="M216" s="268"/>
      <c r="N216" s="268"/>
      <c r="O216" s="310"/>
      <c r="P216" s="268"/>
      <c r="Q216" s="309"/>
      <c r="R216" s="268"/>
      <c r="S216" s="313"/>
      <c r="T216" s="313"/>
      <c r="U216" s="268"/>
      <c r="V216" s="268"/>
      <c r="W216" s="268"/>
      <c r="X216" s="268"/>
      <c r="Y216" s="268"/>
      <c r="Z216" s="268"/>
    </row>
    <row r="217" spans="1:26" ht="24.75" customHeight="1">
      <c r="A217" s="268"/>
      <c r="B217" s="268"/>
      <c r="C217" s="268"/>
      <c r="D217" s="268"/>
      <c r="E217" s="268"/>
      <c r="F217" s="268"/>
      <c r="G217" s="268"/>
      <c r="H217" s="268"/>
      <c r="I217" s="268"/>
      <c r="J217" s="268"/>
      <c r="K217" s="268"/>
      <c r="L217" s="310"/>
      <c r="M217" s="268"/>
      <c r="N217" s="268"/>
      <c r="O217" s="310"/>
      <c r="P217" s="268"/>
      <c r="Q217" s="309"/>
      <c r="R217" s="268"/>
      <c r="S217" s="313"/>
      <c r="T217" s="313"/>
      <c r="U217" s="268"/>
      <c r="V217" s="268"/>
      <c r="W217" s="268"/>
      <c r="X217" s="268"/>
      <c r="Y217" s="268"/>
      <c r="Z217" s="268"/>
    </row>
    <row r="218" spans="1:26" ht="24.75" customHeight="1">
      <c r="A218" s="268"/>
      <c r="B218" s="268"/>
      <c r="C218" s="268"/>
      <c r="D218" s="268"/>
      <c r="E218" s="268"/>
      <c r="F218" s="268"/>
      <c r="G218" s="268"/>
      <c r="H218" s="268"/>
      <c r="I218" s="268"/>
      <c r="J218" s="268"/>
      <c r="K218" s="268"/>
      <c r="L218" s="310"/>
      <c r="M218" s="268"/>
      <c r="N218" s="268"/>
      <c r="O218" s="310"/>
      <c r="P218" s="268"/>
      <c r="Q218" s="309"/>
      <c r="R218" s="268"/>
      <c r="S218" s="313"/>
      <c r="T218" s="313"/>
      <c r="U218" s="268"/>
      <c r="V218" s="268"/>
      <c r="W218" s="268"/>
      <c r="X218" s="268"/>
      <c r="Y218" s="268"/>
      <c r="Z218" s="268"/>
    </row>
    <row r="219" spans="1:26" ht="24.75" customHeight="1">
      <c r="A219" s="268"/>
      <c r="B219" s="268"/>
      <c r="C219" s="268"/>
      <c r="D219" s="268"/>
      <c r="E219" s="268"/>
      <c r="F219" s="268"/>
      <c r="G219" s="268"/>
      <c r="H219" s="268"/>
      <c r="I219" s="268"/>
      <c r="J219" s="268"/>
      <c r="K219" s="268"/>
      <c r="L219" s="310"/>
      <c r="M219" s="268"/>
      <c r="N219" s="268"/>
      <c r="O219" s="310"/>
      <c r="P219" s="268"/>
      <c r="Q219" s="309"/>
      <c r="R219" s="268"/>
      <c r="S219" s="313"/>
      <c r="T219" s="313"/>
      <c r="U219" s="268"/>
      <c r="V219" s="268"/>
      <c r="W219" s="268"/>
      <c r="X219" s="268"/>
      <c r="Y219" s="268"/>
      <c r="Z219" s="268"/>
    </row>
    <row r="220" spans="1:26" ht="24.75" customHeight="1">
      <c r="A220" s="268"/>
      <c r="B220" s="268"/>
      <c r="C220" s="268"/>
      <c r="D220" s="268"/>
      <c r="E220" s="268"/>
      <c r="F220" s="268"/>
      <c r="G220" s="268"/>
      <c r="H220" s="268"/>
      <c r="I220" s="268"/>
      <c r="J220" s="268"/>
      <c r="K220" s="268"/>
      <c r="L220" s="310"/>
      <c r="M220" s="268"/>
      <c r="N220" s="268"/>
      <c r="O220" s="310"/>
      <c r="P220" s="268"/>
      <c r="Q220" s="309"/>
      <c r="R220" s="268"/>
      <c r="S220" s="313"/>
      <c r="T220" s="313"/>
      <c r="U220" s="268"/>
      <c r="V220" s="268"/>
      <c r="W220" s="268"/>
      <c r="X220" s="268"/>
      <c r="Y220" s="268"/>
      <c r="Z220" s="268"/>
    </row>
    <row r="221" spans="1:26" ht="24.75" customHeight="1">
      <c r="A221" s="268"/>
      <c r="B221" s="268"/>
      <c r="C221" s="268"/>
      <c r="D221" s="268"/>
      <c r="E221" s="268"/>
      <c r="F221" s="268"/>
      <c r="G221" s="268"/>
      <c r="H221" s="268"/>
      <c r="I221" s="268"/>
      <c r="J221" s="268"/>
      <c r="K221" s="268"/>
      <c r="L221" s="310"/>
      <c r="M221" s="268"/>
      <c r="N221" s="268"/>
      <c r="O221" s="310"/>
      <c r="P221" s="268"/>
      <c r="Q221" s="309"/>
      <c r="R221" s="268"/>
      <c r="S221" s="313"/>
      <c r="T221" s="313"/>
      <c r="U221" s="268"/>
      <c r="V221" s="268"/>
      <c r="W221" s="268"/>
      <c r="X221" s="268"/>
      <c r="Y221" s="268"/>
      <c r="Z221" s="268"/>
    </row>
    <row r="222" spans="1:26" ht="24.75" customHeight="1">
      <c r="A222" s="268"/>
      <c r="B222" s="268"/>
      <c r="C222" s="268"/>
      <c r="D222" s="268"/>
      <c r="E222" s="268"/>
      <c r="F222" s="268"/>
      <c r="G222" s="268"/>
      <c r="H222" s="268"/>
      <c r="I222" s="268"/>
      <c r="J222" s="268"/>
      <c r="K222" s="268"/>
      <c r="L222" s="310"/>
      <c r="M222" s="268"/>
      <c r="N222" s="268"/>
      <c r="O222" s="310"/>
      <c r="P222" s="268"/>
      <c r="Q222" s="309"/>
      <c r="R222" s="268"/>
      <c r="S222" s="313"/>
      <c r="T222" s="313"/>
      <c r="U222" s="268"/>
      <c r="V222" s="268"/>
      <c r="W222" s="268"/>
      <c r="X222" s="268"/>
      <c r="Y222" s="268"/>
      <c r="Z222" s="268"/>
    </row>
    <row r="223" spans="1:26" ht="24.75" customHeight="1">
      <c r="A223" s="268"/>
      <c r="B223" s="268"/>
      <c r="C223" s="268"/>
      <c r="D223" s="268"/>
      <c r="E223" s="268"/>
      <c r="F223" s="268"/>
      <c r="G223" s="268"/>
      <c r="H223" s="268"/>
      <c r="I223" s="268"/>
      <c r="J223" s="268"/>
      <c r="K223" s="268"/>
      <c r="L223" s="310"/>
      <c r="M223" s="268"/>
      <c r="N223" s="268"/>
      <c r="O223" s="310"/>
      <c r="P223" s="268"/>
      <c r="Q223" s="309"/>
      <c r="R223" s="268"/>
      <c r="S223" s="313"/>
      <c r="T223" s="313"/>
      <c r="U223" s="268"/>
      <c r="V223" s="268"/>
      <c r="W223" s="268"/>
      <c r="X223" s="268"/>
      <c r="Y223" s="268"/>
      <c r="Z223" s="268"/>
    </row>
    <row r="224" spans="1:26" ht="24.75" customHeight="1">
      <c r="A224" s="268"/>
      <c r="B224" s="268"/>
      <c r="C224" s="268"/>
      <c r="D224" s="268"/>
      <c r="E224" s="268"/>
      <c r="F224" s="268"/>
      <c r="G224" s="268"/>
      <c r="H224" s="268"/>
      <c r="I224" s="268"/>
      <c r="J224" s="268"/>
      <c r="K224" s="268"/>
      <c r="L224" s="310"/>
      <c r="M224" s="268"/>
      <c r="N224" s="268"/>
      <c r="O224" s="310"/>
      <c r="P224" s="268"/>
      <c r="Q224" s="309"/>
      <c r="R224" s="268"/>
      <c r="S224" s="313"/>
      <c r="T224" s="313"/>
      <c r="U224" s="268"/>
      <c r="V224" s="268"/>
      <c r="W224" s="268"/>
      <c r="X224" s="268"/>
      <c r="Y224" s="268"/>
      <c r="Z224" s="268"/>
    </row>
    <row r="225" spans="1:26" ht="24.75" customHeight="1">
      <c r="A225" s="268"/>
      <c r="B225" s="268"/>
      <c r="C225" s="268"/>
      <c r="D225" s="268"/>
      <c r="E225" s="268"/>
      <c r="F225" s="268"/>
      <c r="G225" s="268"/>
      <c r="H225" s="268"/>
      <c r="I225" s="268"/>
      <c r="J225" s="268"/>
      <c r="K225" s="268"/>
      <c r="L225" s="310"/>
      <c r="M225" s="268"/>
      <c r="N225" s="268"/>
      <c r="O225" s="310"/>
      <c r="P225" s="268"/>
      <c r="Q225" s="309"/>
      <c r="R225" s="268"/>
      <c r="S225" s="313"/>
      <c r="T225" s="313"/>
      <c r="U225" s="268"/>
      <c r="V225" s="268"/>
      <c r="W225" s="268"/>
      <c r="X225" s="268"/>
      <c r="Y225" s="268"/>
      <c r="Z225" s="268"/>
    </row>
    <row r="226" spans="1:26" ht="24.75" customHeight="1">
      <c r="A226" s="268"/>
      <c r="B226" s="268"/>
      <c r="C226" s="268"/>
      <c r="D226" s="268"/>
      <c r="E226" s="268"/>
      <c r="F226" s="268"/>
      <c r="G226" s="268"/>
      <c r="H226" s="268"/>
      <c r="I226" s="268"/>
      <c r="J226" s="268"/>
      <c r="K226" s="268"/>
      <c r="L226" s="310"/>
      <c r="M226" s="268"/>
      <c r="N226" s="268"/>
      <c r="O226" s="310"/>
      <c r="P226" s="268"/>
      <c r="Q226" s="309"/>
      <c r="R226" s="268"/>
      <c r="S226" s="313"/>
      <c r="T226" s="313"/>
      <c r="U226" s="268"/>
      <c r="V226" s="268"/>
      <c r="W226" s="268"/>
      <c r="X226" s="268"/>
      <c r="Y226" s="268"/>
      <c r="Z226" s="268"/>
    </row>
    <row r="227" spans="1:26" ht="24.75" customHeight="1">
      <c r="A227" s="268"/>
      <c r="B227" s="268"/>
      <c r="C227" s="268"/>
      <c r="D227" s="268"/>
      <c r="E227" s="268"/>
      <c r="F227" s="268"/>
      <c r="G227" s="268"/>
      <c r="H227" s="268"/>
      <c r="I227" s="268"/>
      <c r="J227" s="268"/>
      <c r="K227" s="268"/>
      <c r="L227" s="310"/>
      <c r="M227" s="268"/>
      <c r="N227" s="268"/>
      <c r="O227" s="310"/>
      <c r="P227" s="268"/>
      <c r="Q227" s="309"/>
      <c r="R227" s="268"/>
      <c r="S227" s="313"/>
      <c r="T227" s="313"/>
      <c r="U227" s="268"/>
      <c r="V227" s="268"/>
      <c r="W227" s="268"/>
      <c r="X227" s="268"/>
      <c r="Y227" s="268"/>
      <c r="Z227" s="268"/>
    </row>
    <row r="228" spans="1:26" ht="24.75" customHeight="1">
      <c r="A228" s="268"/>
      <c r="B228" s="268"/>
      <c r="C228" s="268"/>
      <c r="D228" s="268"/>
      <c r="E228" s="268"/>
      <c r="F228" s="268"/>
      <c r="G228" s="268"/>
      <c r="H228" s="268"/>
      <c r="I228" s="268"/>
      <c r="J228" s="268"/>
      <c r="K228" s="268"/>
      <c r="L228" s="310"/>
      <c r="M228" s="268"/>
      <c r="N228" s="268"/>
      <c r="O228" s="310"/>
      <c r="P228" s="268"/>
      <c r="Q228" s="309"/>
      <c r="R228" s="268"/>
      <c r="S228" s="313"/>
      <c r="T228" s="313"/>
      <c r="U228" s="268"/>
      <c r="V228" s="268"/>
      <c r="W228" s="268"/>
      <c r="X228" s="268"/>
      <c r="Y228" s="268"/>
      <c r="Z228" s="268"/>
    </row>
    <row r="229" spans="1:26" ht="24.75" customHeight="1">
      <c r="A229" s="268"/>
      <c r="B229" s="268"/>
      <c r="C229" s="268"/>
      <c r="D229" s="268"/>
      <c r="E229" s="268"/>
      <c r="F229" s="268"/>
      <c r="G229" s="268"/>
      <c r="H229" s="268"/>
      <c r="I229" s="268"/>
      <c r="J229" s="268"/>
      <c r="K229" s="268"/>
      <c r="L229" s="310"/>
      <c r="M229" s="268"/>
      <c r="N229" s="268"/>
      <c r="O229" s="310"/>
      <c r="P229" s="268"/>
      <c r="Q229" s="309"/>
      <c r="R229" s="268"/>
      <c r="S229" s="313"/>
      <c r="T229" s="313"/>
      <c r="U229" s="268"/>
      <c r="V229" s="268"/>
      <c r="W229" s="268"/>
      <c r="X229" s="268"/>
      <c r="Y229" s="268"/>
      <c r="Z229" s="268"/>
    </row>
    <row r="230" spans="1:26" ht="24.75" customHeight="1">
      <c r="A230" s="268"/>
      <c r="B230" s="268"/>
      <c r="C230" s="268"/>
      <c r="D230" s="268"/>
      <c r="E230" s="268"/>
      <c r="F230" s="268"/>
      <c r="G230" s="268"/>
      <c r="H230" s="268"/>
      <c r="I230" s="268"/>
      <c r="J230" s="268"/>
      <c r="K230" s="268"/>
      <c r="L230" s="310"/>
      <c r="M230" s="268"/>
      <c r="N230" s="268"/>
      <c r="O230" s="310"/>
      <c r="P230" s="268"/>
      <c r="Q230" s="309"/>
      <c r="R230" s="268"/>
      <c r="S230" s="313"/>
      <c r="T230" s="313"/>
      <c r="U230" s="268"/>
      <c r="V230" s="268"/>
      <c r="W230" s="268"/>
      <c r="X230" s="268"/>
      <c r="Y230" s="268"/>
      <c r="Z230" s="268"/>
    </row>
    <row r="231" spans="1:26" ht="24.75" customHeight="1">
      <c r="A231" s="268"/>
      <c r="B231" s="268"/>
      <c r="C231" s="268"/>
      <c r="D231" s="268"/>
      <c r="E231" s="268"/>
      <c r="F231" s="268"/>
      <c r="G231" s="268"/>
      <c r="H231" s="268"/>
      <c r="I231" s="268"/>
      <c r="J231" s="268"/>
      <c r="K231" s="268"/>
      <c r="L231" s="310"/>
      <c r="M231" s="268"/>
      <c r="N231" s="268"/>
      <c r="O231" s="310"/>
      <c r="P231" s="268"/>
      <c r="Q231" s="309"/>
      <c r="R231" s="268"/>
      <c r="S231" s="313"/>
      <c r="T231" s="313"/>
      <c r="U231" s="268"/>
      <c r="V231" s="268"/>
      <c r="W231" s="268"/>
      <c r="X231" s="268"/>
      <c r="Y231" s="268"/>
      <c r="Z231" s="268"/>
    </row>
    <row r="232" spans="1:26" ht="24.75" customHeight="1">
      <c r="A232" s="268"/>
      <c r="B232" s="268"/>
      <c r="C232" s="268"/>
      <c r="D232" s="268"/>
      <c r="E232" s="268"/>
      <c r="F232" s="268"/>
      <c r="G232" s="268"/>
      <c r="H232" s="268"/>
      <c r="I232" s="268"/>
      <c r="J232" s="268"/>
      <c r="K232" s="268"/>
      <c r="L232" s="310"/>
      <c r="M232" s="268"/>
      <c r="N232" s="268"/>
      <c r="O232" s="310"/>
      <c r="P232" s="268"/>
      <c r="Q232" s="309"/>
      <c r="R232" s="268"/>
      <c r="S232" s="313"/>
      <c r="T232" s="313"/>
      <c r="U232" s="268"/>
      <c r="V232" s="268"/>
      <c r="W232" s="268"/>
      <c r="X232" s="268"/>
      <c r="Y232" s="268"/>
      <c r="Z232" s="268"/>
    </row>
    <row r="233" spans="1:26" ht="24.75" customHeight="1">
      <c r="A233" s="268"/>
      <c r="B233" s="268"/>
      <c r="C233" s="268"/>
      <c r="D233" s="268"/>
      <c r="E233" s="268"/>
      <c r="F233" s="268"/>
      <c r="G233" s="268"/>
      <c r="H233" s="268"/>
      <c r="I233" s="268"/>
      <c r="J233" s="268"/>
      <c r="K233" s="268"/>
      <c r="L233" s="310"/>
      <c r="M233" s="268"/>
      <c r="N233" s="268"/>
      <c r="O233" s="310"/>
      <c r="P233" s="268"/>
      <c r="Q233" s="309"/>
      <c r="R233" s="268"/>
      <c r="S233" s="313"/>
      <c r="T233" s="313"/>
      <c r="U233" s="268"/>
      <c r="V233" s="268"/>
      <c r="W233" s="268"/>
      <c r="X233" s="268"/>
      <c r="Y233" s="268"/>
      <c r="Z233" s="268"/>
    </row>
    <row r="234" spans="1:26" ht="24.75" customHeight="1">
      <c r="A234" s="268"/>
      <c r="B234" s="268"/>
      <c r="C234" s="268"/>
      <c r="D234" s="268"/>
      <c r="E234" s="268"/>
      <c r="F234" s="268"/>
      <c r="G234" s="268"/>
      <c r="H234" s="268"/>
      <c r="I234" s="268"/>
      <c r="J234" s="268"/>
      <c r="K234" s="268"/>
      <c r="L234" s="310"/>
      <c r="M234" s="268"/>
      <c r="N234" s="268"/>
      <c r="O234" s="310"/>
      <c r="P234" s="268"/>
      <c r="Q234" s="309"/>
      <c r="R234" s="268"/>
      <c r="S234" s="313"/>
      <c r="T234" s="313"/>
      <c r="U234" s="268"/>
      <c r="V234" s="268"/>
      <c r="W234" s="268"/>
      <c r="X234" s="268"/>
      <c r="Y234" s="268"/>
      <c r="Z234" s="268"/>
    </row>
    <row r="235" spans="1:26" ht="24.75" customHeight="1">
      <c r="A235" s="268"/>
      <c r="B235" s="268"/>
      <c r="C235" s="268"/>
      <c r="D235" s="268"/>
      <c r="E235" s="268"/>
      <c r="F235" s="268"/>
      <c r="G235" s="268"/>
      <c r="H235" s="268"/>
      <c r="I235" s="268"/>
      <c r="J235" s="268"/>
      <c r="K235" s="268"/>
      <c r="L235" s="310"/>
      <c r="M235" s="268"/>
      <c r="N235" s="268"/>
      <c r="O235" s="310"/>
      <c r="P235" s="268"/>
      <c r="Q235" s="309"/>
      <c r="R235" s="268"/>
      <c r="S235" s="313"/>
      <c r="T235" s="313"/>
      <c r="U235" s="268"/>
      <c r="V235" s="268"/>
      <c r="W235" s="268"/>
      <c r="X235" s="268"/>
      <c r="Y235" s="268"/>
      <c r="Z235" s="268"/>
    </row>
    <row r="236" spans="1:26" ht="24.75" customHeight="1">
      <c r="A236" s="268"/>
      <c r="B236" s="268"/>
      <c r="C236" s="268"/>
      <c r="D236" s="268"/>
      <c r="E236" s="268"/>
      <c r="F236" s="268"/>
      <c r="G236" s="268"/>
      <c r="H236" s="268"/>
      <c r="I236" s="268"/>
      <c r="J236" s="268"/>
      <c r="K236" s="268"/>
      <c r="L236" s="310"/>
      <c r="M236" s="268"/>
      <c r="N236" s="268"/>
      <c r="O236" s="310"/>
      <c r="P236" s="268"/>
      <c r="Q236" s="309"/>
      <c r="R236" s="268"/>
      <c r="S236" s="313"/>
      <c r="T236" s="313"/>
      <c r="U236" s="268"/>
      <c r="V236" s="268"/>
      <c r="W236" s="268"/>
      <c r="X236" s="268"/>
      <c r="Y236" s="268"/>
      <c r="Z236" s="268"/>
    </row>
    <row r="237" spans="1:26" ht="24.75" customHeight="1">
      <c r="A237" s="268"/>
      <c r="B237" s="268"/>
      <c r="C237" s="268"/>
      <c r="D237" s="268"/>
      <c r="E237" s="268"/>
      <c r="F237" s="268"/>
      <c r="G237" s="268"/>
      <c r="H237" s="268"/>
      <c r="I237" s="268"/>
      <c r="J237" s="268"/>
      <c r="K237" s="268"/>
      <c r="L237" s="310"/>
      <c r="M237" s="268"/>
      <c r="N237" s="268"/>
      <c r="O237" s="310"/>
      <c r="P237" s="268"/>
      <c r="Q237" s="309"/>
      <c r="R237" s="268"/>
      <c r="S237" s="313"/>
      <c r="T237" s="313"/>
      <c r="U237" s="268"/>
      <c r="V237" s="268"/>
      <c r="W237" s="268"/>
      <c r="X237" s="268"/>
      <c r="Y237" s="268"/>
      <c r="Z237" s="268"/>
    </row>
    <row r="238" spans="1:26" ht="24.75" customHeight="1">
      <c r="A238" s="268"/>
      <c r="B238" s="268"/>
      <c r="C238" s="268"/>
      <c r="D238" s="268"/>
      <c r="E238" s="268"/>
      <c r="F238" s="268"/>
      <c r="G238" s="268"/>
      <c r="H238" s="268"/>
      <c r="I238" s="268"/>
      <c r="J238" s="268"/>
      <c r="K238" s="268"/>
      <c r="L238" s="310"/>
      <c r="M238" s="268"/>
      <c r="N238" s="268"/>
      <c r="O238" s="310"/>
      <c r="P238" s="268"/>
      <c r="Q238" s="309"/>
      <c r="R238" s="268"/>
      <c r="S238" s="313"/>
      <c r="T238" s="313"/>
      <c r="U238" s="268"/>
      <c r="V238" s="268"/>
      <c r="W238" s="268"/>
      <c r="X238" s="268"/>
      <c r="Y238" s="268"/>
      <c r="Z238" s="268"/>
    </row>
    <row r="239" spans="1:26" ht="24.75" customHeight="1">
      <c r="A239" s="268"/>
      <c r="B239" s="268"/>
      <c r="C239" s="268"/>
      <c r="D239" s="268"/>
      <c r="E239" s="268"/>
      <c r="F239" s="268"/>
      <c r="G239" s="268"/>
      <c r="H239" s="268"/>
      <c r="I239" s="268"/>
      <c r="J239" s="268"/>
      <c r="K239" s="268"/>
      <c r="L239" s="310"/>
      <c r="M239" s="268"/>
      <c r="N239" s="268"/>
      <c r="O239" s="310"/>
      <c r="P239" s="268"/>
      <c r="Q239" s="309"/>
      <c r="R239" s="268"/>
      <c r="S239" s="313"/>
      <c r="T239" s="313"/>
      <c r="U239" s="268"/>
      <c r="V239" s="268"/>
      <c r="W239" s="268"/>
      <c r="X239" s="268"/>
      <c r="Y239" s="268"/>
      <c r="Z239" s="268"/>
    </row>
    <row r="240" spans="1:26" ht="24.75" customHeight="1">
      <c r="A240" s="268"/>
      <c r="B240" s="268"/>
      <c r="C240" s="268"/>
      <c r="D240" s="268"/>
      <c r="E240" s="268"/>
      <c r="F240" s="268"/>
      <c r="G240" s="268"/>
      <c r="H240" s="268"/>
      <c r="I240" s="268"/>
      <c r="J240" s="268"/>
      <c r="K240" s="268"/>
      <c r="L240" s="310"/>
      <c r="M240" s="268"/>
      <c r="N240" s="268"/>
      <c r="O240" s="310"/>
      <c r="P240" s="268"/>
      <c r="Q240" s="309"/>
      <c r="R240" s="268"/>
      <c r="S240" s="313"/>
      <c r="T240" s="313"/>
      <c r="U240" s="268"/>
      <c r="V240" s="268"/>
      <c r="W240" s="268"/>
      <c r="X240" s="268"/>
      <c r="Y240" s="268"/>
      <c r="Z240" s="268"/>
    </row>
    <row r="241" spans="1:26" ht="24.75" customHeight="1">
      <c r="A241" s="268"/>
      <c r="B241" s="268"/>
      <c r="C241" s="268"/>
      <c r="D241" s="268"/>
      <c r="E241" s="268"/>
      <c r="F241" s="268"/>
      <c r="G241" s="268"/>
      <c r="H241" s="268"/>
      <c r="I241" s="268"/>
      <c r="J241" s="268"/>
      <c r="K241" s="268"/>
      <c r="L241" s="310"/>
      <c r="M241" s="268"/>
      <c r="N241" s="268"/>
      <c r="O241" s="310"/>
      <c r="P241" s="268"/>
      <c r="Q241" s="309"/>
      <c r="R241" s="268"/>
      <c r="S241" s="313"/>
      <c r="T241" s="313"/>
      <c r="U241" s="268"/>
      <c r="V241" s="268"/>
      <c r="W241" s="268"/>
      <c r="X241" s="268"/>
      <c r="Y241" s="268"/>
      <c r="Z241" s="268"/>
    </row>
    <row r="242" spans="1:26" ht="24.75" customHeight="1">
      <c r="A242" s="268"/>
      <c r="B242" s="268"/>
      <c r="C242" s="268"/>
      <c r="D242" s="268"/>
      <c r="E242" s="268"/>
      <c r="F242" s="268"/>
      <c r="G242" s="268"/>
      <c r="H242" s="268"/>
      <c r="I242" s="268"/>
      <c r="J242" s="268"/>
      <c r="K242" s="268"/>
      <c r="L242" s="310"/>
      <c r="M242" s="268"/>
      <c r="N242" s="268"/>
      <c r="O242" s="310"/>
      <c r="P242" s="268"/>
      <c r="Q242" s="309"/>
      <c r="R242" s="268"/>
      <c r="S242" s="313"/>
      <c r="T242" s="313"/>
      <c r="U242" s="268"/>
      <c r="V242" s="268"/>
      <c r="W242" s="268"/>
      <c r="X242" s="268"/>
      <c r="Y242" s="268"/>
      <c r="Z242" s="268"/>
    </row>
    <row r="243" spans="1:26" ht="24.75" customHeight="1">
      <c r="A243" s="268"/>
      <c r="B243" s="268"/>
      <c r="C243" s="268"/>
      <c r="D243" s="268"/>
      <c r="E243" s="268"/>
      <c r="F243" s="268"/>
      <c r="G243" s="268"/>
      <c r="H243" s="268"/>
      <c r="I243" s="268"/>
      <c r="J243" s="268"/>
      <c r="K243" s="268"/>
      <c r="L243" s="310"/>
      <c r="M243" s="268"/>
      <c r="N243" s="268"/>
      <c r="O243" s="310"/>
      <c r="P243" s="268"/>
      <c r="Q243" s="309"/>
      <c r="R243" s="268"/>
      <c r="S243" s="313"/>
      <c r="T243" s="313"/>
      <c r="U243" s="268"/>
      <c r="V243" s="268"/>
      <c r="W243" s="268"/>
      <c r="X243" s="268"/>
      <c r="Y243" s="268"/>
      <c r="Z243" s="268"/>
    </row>
    <row r="244" spans="1:26" ht="24.75" customHeight="1">
      <c r="A244" s="268"/>
      <c r="B244" s="268"/>
      <c r="C244" s="268"/>
      <c r="D244" s="268"/>
      <c r="E244" s="268"/>
      <c r="F244" s="268"/>
      <c r="G244" s="268"/>
      <c r="H244" s="268"/>
      <c r="I244" s="268"/>
      <c r="J244" s="268"/>
      <c r="K244" s="268"/>
      <c r="L244" s="310"/>
      <c r="M244" s="268"/>
      <c r="N244" s="268"/>
      <c r="O244" s="310"/>
      <c r="P244" s="268"/>
      <c r="Q244" s="309"/>
      <c r="R244" s="268"/>
      <c r="S244" s="313"/>
      <c r="T244" s="313"/>
      <c r="U244" s="268"/>
      <c r="V244" s="268"/>
      <c r="W244" s="268"/>
      <c r="X244" s="268"/>
      <c r="Y244" s="268"/>
      <c r="Z244" s="268"/>
    </row>
    <row r="245" spans="1:26" ht="24.75" customHeight="1">
      <c r="A245" s="268"/>
      <c r="B245" s="268"/>
      <c r="C245" s="268"/>
      <c r="D245" s="268"/>
      <c r="E245" s="268"/>
      <c r="F245" s="268"/>
      <c r="G245" s="268"/>
      <c r="H245" s="268"/>
      <c r="I245" s="268"/>
      <c r="J245" s="268"/>
      <c r="K245" s="268"/>
      <c r="L245" s="310"/>
      <c r="M245" s="268"/>
      <c r="N245" s="268"/>
      <c r="O245" s="310"/>
      <c r="P245" s="268"/>
      <c r="Q245" s="309"/>
      <c r="R245" s="268"/>
      <c r="S245" s="313"/>
      <c r="T245" s="313"/>
      <c r="U245" s="268"/>
      <c r="V245" s="268"/>
      <c r="W245" s="268"/>
      <c r="X245" s="268"/>
      <c r="Y245" s="268"/>
      <c r="Z245" s="268"/>
    </row>
    <row r="246" spans="1:26" ht="24.75" customHeight="1">
      <c r="A246" s="268"/>
      <c r="B246" s="268"/>
      <c r="C246" s="268"/>
      <c r="D246" s="268"/>
      <c r="E246" s="268"/>
      <c r="F246" s="268"/>
      <c r="G246" s="268"/>
      <c r="H246" s="268"/>
      <c r="I246" s="268"/>
      <c r="J246" s="268"/>
      <c r="K246" s="268"/>
      <c r="L246" s="310"/>
      <c r="M246" s="268"/>
      <c r="N246" s="268"/>
      <c r="O246" s="310"/>
      <c r="P246" s="268"/>
      <c r="Q246" s="309"/>
      <c r="R246" s="268"/>
      <c r="S246" s="313"/>
      <c r="T246" s="313"/>
      <c r="U246" s="268"/>
      <c r="V246" s="268"/>
      <c r="W246" s="268"/>
      <c r="X246" s="268"/>
      <c r="Y246" s="268"/>
      <c r="Z246" s="268"/>
    </row>
    <row r="247" spans="1:26" ht="24.75" customHeight="1">
      <c r="A247" s="268"/>
      <c r="B247" s="268"/>
      <c r="C247" s="268"/>
      <c r="D247" s="268"/>
      <c r="E247" s="268"/>
      <c r="F247" s="268"/>
      <c r="G247" s="268"/>
      <c r="H247" s="268"/>
      <c r="I247" s="268"/>
      <c r="J247" s="268"/>
      <c r="K247" s="268"/>
      <c r="L247" s="310"/>
      <c r="M247" s="268"/>
      <c r="N247" s="268"/>
      <c r="O247" s="310"/>
      <c r="P247" s="268"/>
      <c r="Q247" s="309"/>
      <c r="R247" s="268"/>
      <c r="S247" s="313"/>
      <c r="T247" s="313"/>
      <c r="U247" s="268"/>
      <c r="V247" s="268"/>
      <c r="W247" s="268"/>
      <c r="X247" s="268"/>
      <c r="Y247" s="268"/>
      <c r="Z247" s="268"/>
    </row>
    <row r="248" spans="1:26" ht="24.75" customHeight="1">
      <c r="A248" s="268"/>
      <c r="B248" s="268"/>
      <c r="C248" s="268"/>
      <c r="D248" s="268"/>
      <c r="E248" s="268"/>
      <c r="F248" s="268"/>
      <c r="G248" s="268"/>
      <c r="H248" s="268"/>
      <c r="I248" s="268"/>
      <c r="J248" s="268"/>
      <c r="K248" s="268"/>
      <c r="L248" s="310"/>
      <c r="M248" s="268"/>
      <c r="N248" s="268"/>
      <c r="O248" s="310"/>
      <c r="P248" s="268"/>
      <c r="Q248" s="309"/>
      <c r="R248" s="268"/>
      <c r="S248" s="313"/>
      <c r="T248" s="313"/>
      <c r="U248" s="268"/>
      <c r="V248" s="268"/>
      <c r="W248" s="268"/>
      <c r="X248" s="268"/>
      <c r="Y248" s="268"/>
      <c r="Z248" s="268"/>
    </row>
    <row r="249" spans="1:26" ht="24.75" customHeight="1">
      <c r="A249" s="268"/>
      <c r="B249" s="268"/>
      <c r="C249" s="268"/>
      <c r="D249" s="268"/>
      <c r="E249" s="268"/>
      <c r="F249" s="268"/>
      <c r="G249" s="268"/>
      <c r="H249" s="268"/>
      <c r="I249" s="268"/>
      <c r="J249" s="268"/>
      <c r="K249" s="268"/>
      <c r="L249" s="310"/>
      <c r="M249" s="268"/>
      <c r="N249" s="268"/>
      <c r="O249" s="310"/>
      <c r="P249" s="268"/>
      <c r="Q249" s="309"/>
      <c r="R249" s="268"/>
      <c r="S249" s="313"/>
      <c r="T249" s="313"/>
      <c r="U249" s="268"/>
      <c r="V249" s="268"/>
      <c r="W249" s="268"/>
      <c r="X249" s="268"/>
      <c r="Y249" s="268"/>
      <c r="Z249" s="268"/>
    </row>
    <row r="250" spans="1:26" ht="24.75" customHeight="1">
      <c r="A250" s="268"/>
      <c r="B250" s="268"/>
      <c r="C250" s="268"/>
      <c r="D250" s="268"/>
      <c r="E250" s="268"/>
      <c r="F250" s="268"/>
      <c r="G250" s="268"/>
      <c r="H250" s="268"/>
      <c r="I250" s="268"/>
      <c r="J250" s="268"/>
      <c r="K250" s="268"/>
      <c r="L250" s="310"/>
      <c r="M250" s="268"/>
      <c r="N250" s="268"/>
      <c r="O250" s="310"/>
      <c r="P250" s="268"/>
      <c r="Q250" s="309"/>
      <c r="R250" s="268"/>
      <c r="S250" s="313"/>
      <c r="T250" s="313"/>
      <c r="U250" s="268"/>
      <c r="V250" s="268"/>
      <c r="W250" s="268"/>
      <c r="X250" s="268"/>
      <c r="Y250" s="268"/>
      <c r="Z250" s="268"/>
    </row>
    <row r="251" spans="1:26" ht="24.75" customHeight="1">
      <c r="A251" s="268"/>
      <c r="B251" s="268"/>
      <c r="C251" s="268"/>
      <c r="D251" s="268"/>
      <c r="E251" s="268"/>
      <c r="F251" s="268"/>
      <c r="G251" s="268"/>
      <c r="H251" s="268"/>
      <c r="I251" s="389"/>
      <c r="J251" s="389"/>
      <c r="K251" s="389"/>
      <c r="L251" s="268"/>
      <c r="M251" s="268"/>
      <c r="N251" s="268"/>
      <c r="O251" s="310"/>
      <c r="P251" s="268"/>
      <c r="Q251" s="309"/>
      <c r="R251" s="268"/>
      <c r="S251" s="313"/>
      <c r="T251" s="313"/>
      <c r="U251" s="268"/>
      <c r="V251" s="268"/>
      <c r="W251" s="268"/>
      <c r="X251" s="268"/>
      <c r="Y251" s="268"/>
      <c r="Z251" s="268"/>
    </row>
    <row r="252" spans="1:26" ht="24.75" customHeight="1">
      <c r="A252" s="268"/>
      <c r="B252" s="268"/>
      <c r="C252" s="268"/>
      <c r="D252" s="268"/>
      <c r="E252" s="268"/>
      <c r="F252" s="268"/>
      <c r="G252" s="268"/>
      <c r="H252" s="268"/>
      <c r="I252" s="389"/>
      <c r="J252" s="389"/>
      <c r="K252" s="389"/>
      <c r="L252" s="268"/>
      <c r="M252" s="268"/>
      <c r="N252" s="268"/>
      <c r="O252" s="310"/>
      <c r="P252" s="268"/>
      <c r="Q252" s="309"/>
      <c r="R252" s="268"/>
      <c r="S252" s="313"/>
      <c r="T252" s="313"/>
      <c r="U252" s="268"/>
      <c r="V252" s="268"/>
      <c r="W252" s="268"/>
      <c r="X252" s="268"/>
      <c r="Y252" s="268"/>
      <c r="Z252" s="268"/>
    </row>
    <row r="253" spans="1:26" ht="24.75" customHeight="1">
      <c r="A253" s="268"/>
      <c r="B253" s="268"/>
      <c r="C253" s="268"/>
      <c r="D253" s="268"/>
      <c r="E253" s="268"/>
      <c r="F253" s="268"/>
      <c r="G253" s="268"/>
      <c r="H253" s="268"/>
      <c r="I253" s="389"/>
      <c r="J253" s="389"/>
      <c r="K253" s="389"/>
      <c r="L253" s="268"/>
      <c r="M253" s="268"/>
      <c r="N253" s="268"/>
      <c r="O253" s="310"/>
      <c r="P253" s="268"/>
      <c r="Q253" s="309"/>
      <c r="R253" s="268"/>
      <c r="S253" s="313"/>
      <c r="T253" s="313"/>
      <c r="U253" s="268"/>
      <c r="V253" s="268"/>
      <c r="W253" s="268"/>
      <c r="X253" s="268"/>
      <c r="Y253" s="268"/>
      <c r="Z253" s="268"/>
    </row>
    <row r="254" spans="1:26" ht="24.75" customHeight="1">
      <c r="A254" s="268"/>
      <c r="B254" s="268"/>
      <c r="C254" s="268"/>
      <c r="D254" s="268"/>
      <c r="E254" s="268"/>
      <c r="F254" s="268"/>
      <c r="G254" s="268"/>
      <c r="H254" s="268"/>
      <c r="I254" s="389"/>
      <c r="J254" s="389"/>
      <c r="K254" s="389"/>
      <c r="L254" s="268"/>
      <c r="M254" s="268"/>
      <c r="N254" s="268"/>
      <c r="O254" s="310"/>
      <c r="P254" s="268"/>
      <c r="Q254" s="309"/>
      <c r="R254" s="268"/>
      <c r="S254" s="313"/>
      <c r="T254" s="313"/>
      <c r="U254" s="268"/>
      <c r="V254" s="268"/>
      <c r="W254" s="268"/>
      <c r="X254" s="268"/>
      <c r="Y254" s="268"/>
      <c r="Z254" s="268"/>
    </row>
    <row r="255" spans="1:26" ht="24.75" customHeight="1">
      <c r="A255" s="268"/>
      <c r="B255" s="268"/>
      <c r="C255" s="268"/>
      <c r="D255" s="268"/>
      <c r="E255" s="268"/>
      <c r="F255" s="268"/>
      <c r="G255" s="268"/>
      <c r="H255" s="268"/>
      <c r="I255" s="389"/>
      <c r="J255" s="389"/>
      <c r="K255" s="389"/>
      <c r="L255" s="268"/>
      <c r="M255" s="268"/>
      <c r="N255" s="268"/>
      <c r="O255" s="310"/>
      <c r="P255" s="268"/>
      <c r="Q255" s="309"/>
      <c r="R255" s="268"/>
      <c r="S255" s="313"/>
      <c r="T255" s="313"/>
      <c r="U255" s="268"/>
      <c r="V255" s="268"/>
      <c r="W255" s="268"/>
      <c r="X255" s="268"/>
      <c r="Y255" s="268"/>
      <c r="Z255" s="268"/>
    </row>
    <row r="256" spans="1:26" ht="24.75" customHeight="1">
      <c r="A256" s="268"/>
      <c r="B256" s="268"/>
      <c r="C256" s="268"/>
      <c r="D256" s="268"/>
      <c r="E256" s="268"/>
      <c r="F256" s="268"/>
      <c r="G256" s="268"/>
      <c r="H256" s="268"/>
      <c r="I256" s="389"/>
      <c r="J256" s="389"/>
      <c r="K256" s="389"/>
      <c r="L256" s="268"/>
      <c r="M256" s="268"/>
      <c r="N256" s="268"/>
      <c r="O256" s="310"/>
      <c r="P256" s="268"/>
      <c r="Q256" s="309"/>
      <c r="R256" s="268"/>
      <c r="S256" s="313"/>
      <c r="T256" s="313"/>
      <c r="U256" s="268"/>
      <c r="V256" s="268"/>
      <c r="W256" s="268"/>
      <c r="X256" s="268"/>
      <c r="Y256" s="268"/>
      <c r="Z256" s="268"/>
    </row>
    <row r="257" spans="1:26" ht="24.75" customHeight="1">
      <c r="A257" s="268"/>
      <c r="B257" s="268"/>
      <c r="C257" s="268"/>
      <c r="D257" s="268"/>
      <c r="E257" s="268"/>
      <c r="F257" s="268"/>
      <c r="G257" s="268"/>
      <c r="H257" s="268"/>
      <c r="I257" s="389"/>
      <c r="J257" s="389"/>
      <c r="K257" s="389"/>
      <c r="L257" s="268"/>
      <c r="M257" s="268"/>
      <c r="N257" s="268"/>
      <c r="O257" s="310"/>
      <c r="P257" s="268"/>
      <c r="Q257" s="309"/>
      <c r="R257" s="268"/>
      <c r="S257" s="313"/>
      <c r="T257" s="313"/>
      <c r="U257" s="268"/>
      <c r="V257" s="268"/>
      <c r="W257" s="268"/>
      <c r="X257" s="268"/>
      <c r="Y257" s="268"/>
      <c r="Z257" s="268"/>
    </row>
    <row r="258" spans="1:26" ht="24.75" customHeight="1">
      <c r="A258" s="268"/>
      <c r="B258" s="268"/>
      <c r="C258" s="268"/>
      <c r="D258" s="268"/>
      <c r="E258" s="268"/>
      <c r="F258" s="268"/>
      <c r="G258" s="268"/>
      <c r="H258" s="268"/>
      <c r="I258" s="389"/>
      <c r="J258" s="389"/>
      <c r="K258" s="389"/>
      <c r="L258" s="268"/>
      <c r="M258" s="268"/>
      <c r="N258" s="268"/>
      <c r="O258" s="310"/>
      <c r="P258" s="268"/>
      <c r="Q258" s="309"/>
      <c r="R258" s="268"/>
      <c r="S258" s="313"/>
      <c r="T258" s="313"/>
      <c r="U258" s="268"/>
      <c r="V258" s="268"/>
      <c r="W258" s="268"/>
      <c r="X258" s="268"/>
      <c r="Y258" s="268"/>
      <c r="Z258" s="268"/>
    </row>
    <row r="259" spans="1:26" ht="24.75" customHeight="1">
      <c r="A259" s="268"/>
      <c r="B259" s="268"/>
      <c r="C259" s="268"/>
      <c r="D259" s="268"/>
      <c r="E259" s="268"/>
      <c r="F259" s="268"/>
      <c r="G259" s="268"/>
      <c r="H259" s="268"/>
      <c r="I259" s="389"/>
      <c r="J259" s="389"/>
      <c r="K259" s="389"/>
      <c r="L259" s="268"/>
      <c r="M259" s="268"/>
      <c r="N259" s="268"/>
      <c r="O259" s="310"/>
      <c r="P259" s="268"/>
      <c r="Q259" s="309"/>
      <c r="R259" s="268"/>
      <c r="S259" s="313"/>
      <c r="T259" s="313"/>
      <c r="U259" s="268"/>
      <c r="V259" s="268"/>
      <c r="W259" s="268"/>
      <c r="X259" s="268"/>
      <c r="Y259" s="268"/>
      <c r="Z259" s="268"/>
    </row>
    <row r="260" spans="1:26" ht="24.75" customHeight="1">
      <c r="A260" s="268"/>
      <c r="B260" s="268"/>
      <c r="C260" s="268"/>
      <c r="D260" s="268"/>
      <c r="E260" s="268"/>
      <c r="F260" s="268"/>
      <c r="G260" s="268"/>
      <c r="H260" s="268"/>
      <c r="I260" s="389"/>
      <c r="J260" s="389"/>
      <c r="K260" s="389"/>
      <c r="L260" s="268"/>
      <c r="M260" s="268"/>
      <c r="N260" s="268"/>
      <c r="O260" s="310"/>
      <c r="P260" s="268"/>
      <c r="Q260" s="309"/>
      <c r="R260" s="268"/>
      <c r="S260" s="313"/>
      <c r="T260" s="313"/>
      <c r="U260" s="268"/>
      <c r="V260" s="268"/>
      <c r="W260" s="268"/>
      <c r="X260" s="268"/>
      <c r="Y260" s="268"/>
      <c r="Z260" s="268"/>
    </row>
    <row r="261" spans="1:26" ht="24.75" customHeight="1">
      <c r="A261" s="268"/>
      <c r="B261" s="268"/>
      <c r="C261" s="268"/>
      <c r="D261" s="268"/>
      <c r="E261" s="268"/>
      <c r="F261" s="268"/>
      <c r="G261" s="268"/>
      <c r="H261" s="268"/>
      <c r="I261" s="389"/>
      <c r="J261" s="389"/>
      <c r="K261" s="389"/>
      <c r="L261" s="268"/>
      <c r="M261" s="268"/>
      <c r="N261" s="268"/>
      <c r="O261" s="310"/>
      <c r="P261" s="268"/>
      <c r="Q261" s="309"/>
      <c r="R261" s="268"/>
      <c r="S261" s="313"/>
      <c r="T261" s="313"/>
      <c r="U261" s="268"/>
      <c r="V261" s="268"/>
      <c r="W261" s="268"/>
      <c r="X261" s="268"/>
      <c r="Y261" s="268"/>
      <c r="Z261" s="268"/>
    </row>
    <row r="262" spans="1:26" ht="24.75" customHeight="1">
      <c r="A262" s="268"/>
      <c r="B262" s="268"/>
      <c r="C262" s="268"/>
      <c r="D262" s="268"/>
      <c r="E262" s="268"/>
      <c r="F262" s="268"/>
      <c r="G262" s="268"/>
      <c r="H262" s="268"/>
      <c r="I262" s="389"/>
      <c r="J262" s="389"/>
      <c r="K262" s="389"/>
      <c r="L262" s="268"/>
      <c r="M262" s="268"/>
      <c r="N262" s="268"/>
      <c r="O262" s="310"/>
      <c r="P262" s="268"/>
      <c r="Q262" s="309"/>
      <c r="R262" s="268"/>
      <c r="S262" s="313"/>
      <c r="T262" s="313"/>
      <c r="U262" s="268"/>
      <c r="V262" s="268"/>
      <c r="W262" s="268"/>
      <c r="X262" s="268"/>
      <c r="Y262" s="268"/>
      <c r="Z262" s="268"/>
    </row>
    <row r="263" spans="1:26" ht="24.75" customHeight="1">
      <c r="A263" s="268"/>
      <c r="B263" s="268"/>
      <c r="C263" s="268"/>
      <c r="D263" s="268"/>
      <c r="E263" s="268"/>
      <c r="F263" s="268"/>
      <c r="G263" s="268"/>
      <c r="H263" s="268"/>
      <c r="I263" s="389"/>
      <c r="J263" s="389"/>
      <c r="K263" s="389"/>
      <c r="L263" s="268"/>
      <c r="M263" s="268"/>
      <c r="N263" s="268"/>
      <c r="O263" s="310"/>
      <c r="P263" s="268"/>
      <c r="Q263" s="309"/>
      <c r="R263" s="268"/>
      <c r="S263" s="313"/>
      <c r="T263" s="313"/>
      <c r="U263" s="268"/>
      <c r="V263" s="268"/>
      <c r="W263" s="268"/>
      <c r="X263" s="268"/>
      <c r="Y263" s="268"/>
      <c r="Z263" s="268"/>
    </row>
    <row r="264" spans="1:26" ht="24.75" customHeight="1">
      <c r="A264" s="268"/>
      <c r="B264" s="268"/>
      <c r="C264" s="268"/>
      <c r="D264" s="268"/>
      <c r="E264" s="268"/>
      <c r="F264" s="268"/>
      <c r="G264" s="268"/>
      <c r="H264" s="268"/>
      <c r="I264" s="389"/>
      <c r="J264" s="389"/>
      <c r="K264" s="389"/>
      <c r="L264" s="268"/>
      <c r="M264" s="268"/>
      <c r="N264" s="268"/>
      <c r="O264" s="310"/>
      <c r="P264" s="268"/>
      <c r="Q264" s="309"/>
      <c r="R264" s="268"/>
      <c r="S264" s="313"/>
      <c r="T264" s="313"/>
      <c r="U264" s="268"/>
      <c r="V264" s="268"/>
      <c r="W264" s="268"/>
      <c r="X264" s="268"/>
      <c r="Y264" s="268"/>
      <c r="Z264" s="268"/>
    </row>
    <row r="265" spans="1:26" ht="24.75" customHeight="1">
      <c r="A265" s="268"/>
      <c r="B265" s="268"/>
      <c r="C265" s="268"/>
      <c r="D265" s="268"/>
      <c r="E265" s="268"/>
      <c r="F265" s="268"/>
      <c r="G265" s="268"/>
      <c r="H265" s="268"/>
      <c r="I265" s="389"/>
      <c r="J265" s="389"/>
      <c r="K265" s="389"/>
      <c r="L265" s="268"/>
      <c r="M265" s="268"/>
      <c r="N265" s="268"/>
      <c r="O265" s="310"/>
      <c r="P265" s="268"/>
      <c r="Q265" s="309"/>
      <c r="R265" s="268"/>
      <c r="S265" s="313"/>
      <c r="T265" s="313"/>
      <c r="U265" s="268"/>
      <c r="V265" s="268"/>
      <c r="W265" s="268"/>
      <c r="X265" s="268"/>
      <c r="Y265" s="268"/>
      <c r="Z265" s="268"/>
    </row>
    <row r="266" spans="1:26" ht="24.75" customHeight="1">
      <c r="A266" s="268"/>
      <c r="B266" s="268"/>
      <c r="C266" s="268"/>
      <c r="D266" s="268"/>
      <c r="E266" s="268"/>
      <c r="F266" s="268"/>
      <c r="G266" s="268"/>
      <c r="H266" s="268"/>
      <c r="I266" s="389"/>
      <c r="J266" s="389"/>
      <c r="K266" s="389"/>
      <c r="L266" s="268"/>
      <c r="M266" s="268"/>
      <c r="N266" s="268"/>
      <c r="O266" s="310"/>
      <c r="P266" s="268"/>
      <c r="Q266" s="309"/>
      <c r="R266" s="268"/>
      <c r="S266" s="313"/>
      <c r="T266" s="313"/>
      <c r="U266" s="268"/>
      <c r="V266" s="268"/>
      <c r="W266" s="268"/>
      <c r="X266" s="268"/>
      <c r="Y266" s="268"/>
      <c r="Z266" s="268"/>
    </row>
    <row r="267" spans="1:26" ht="24.75" customHeight="1">
      <c r="A267" s="268"/>
      <c r="B267" s="268"/>
      <c r="C267" s="268"/>
      <c r="D267" s="268"/>
      <c r="E267" s="268"/>
      <c r="F267" s="268"/>
      <c r="G267" s="268"/>
      <c r="H267" s="268"/>
      <c r="I267" s="389"/>
      <c r="J267" s="389"/>
      <c r="K267" s="389"/>
      <c r="L267" s="268"/>
      <c r="M267" s="268"/>
      <c r="N267" s="268"/>
      <c r="O267" s="310"/>
      <c r="P267" s="268"/>
      <c r="Q267" s="309"/>
      <c r="R267" s="268"/>
      <c r="S267" s="313"/>
      <c r="T267" s="313"/>
      <c r="U267" s="268"/>
      <c r="V267" s="268"/>
      <c r="W267" s="268"/>
      <c r="X267" s="268"/>
      <c r="Y267" s="268"/>
      <c r="Z267" s="268"/>
    </row>
    <row r="268" spans="1:26" ht="24.75" customHeight="1">
      <c r="A268" s="268"/>
      <c r="B268" s="268"/>
      <c r="C268" s="268"/>
      <c r="D268" s="268"/>
      <c r="E268" s="268"/>
      <c r="F268" s="268"/>
      <c r="G268" s="268"/>
      <c r="H268" s="268"/>
      <c r="I268" s="389"/>
      <c r="J268" s="389"/>
      <c r="K268" s="389"/>
      <c r="L268" s="268"/>
      <c r="M268" s="268"/>
      <c r="N268" s="268"/>
      <c r="O268" s="310"/>
      <c r="P268" s="268"/>
      <c r="Q268" s="309"/>
      <c r="R268" s="268"/>
      <c r="S268" s="313"/>
      <c r="T268" s="313"/>
      <c r="U268" s="268"/>
      <c r="V268" s="268"/>
      <c r="W268" s="268"/>
      <c r="X268" s="268"/>
      <c r="Y268" s="268"/>
      <c r="Z268" s="268"/>
    </row>
    <row r="269" spans="1:26" ht="24.75" customHeight="1">
      <c r="A269" s="268"/>
      <c r="B269" s="268"/>
      <c r="C269" s="268"/>
      <c r="D269" s="268"/>
      <c r="E269" s="268"/>
      <c r="F269" s="268"/>
      <c r="G269" s="268"/>
      <c r="H269" s="268"/>
      <c r="I269" s="389"/>
      <c r="J269" s="389"/>
      <c r="K269" s="389"/>
      <c r="L269" s="268"/>
      <c r="M269" s="268"/>
      <c r="N269" s="268"/>
      <c r="O269" s="310"/>
      <c r="P269" s="268"/>
      <c r="Q269" s="309"/>
      <c r="R269" s="268"/>
      <c r="S269" s="313"/>
      <c r="T269" s="313"/>
      <c r="U269" s="268"/>
      <c r="V269" s="268"/>
      <c r="W269" s="268"/>
      <c r="X269" s="268"/>
      <c r="Y269" s="268"/>
      <c r="Z269" s="268"/>
    </row>
    <row r="270" spans="1:26" ht="24.75" customHeight="1">
      <c r="A270" s="268"/>
      <c r="B270" s="268"/>
      <c r="C270" s="268"/>
      <c r="D270" s="268"/>
      <c r="E270" s="268"/>
      <c r="F270" s="268"/>
      <c r="G270" s="268"/>
      <c r="H270" s="268"/>
      <c r="I270" s="389"/>
      <c r="J270" s="389"/>
      <c r="K270" s="389"/>
      <c r="L270" s="268"/>
      <c r="M270" s="268"/>
      <c r="N270" s="268"/>
      <c r="O270" s="310"/>
      <c r="P270" s="268"/>
      <c r="Q270" s="309"/>
      <c r="R270" s="268"/>
      <c r="S270" s="313"/>
      <c r="T270" s="313"/>
      <c r="U270" s="268"/>
      <c r="V270" s="268"/>
      <c r="W270" s="268"/>
      <c r="X270" s="268"/>
      <c r="Y270" s="268"/>
      <c r="Z270" s="268"/>
    </row>
    <row r="271" spans="1:26" ht="24.75" customHeight="1">
      <c r="A271" s="268"/>
      <c r="B271" s="268"/>
      <c r="C271" s="268"/>
      <c r="D271" s="268"/>
      <c r="E271" s="268"/>
      <c r="F271" s="268"/>
      <c r="G271" s="268"/>
      <c r="H271" s="268"/>
      <c r="I271" s="389"/>
      <c r="J271" s="389"/>
      <c r="K271" s="389"/>
      <c r="L271" s="268"/>
      <c r="M271" s="268"/>
      <c r="N271" s="268"/>
      <c r="O271" s="310"/>
      <c r="P271" s="268"/>
      <c r="Q271" s="309"/>
      <c r="R271" s="268"/>
      <c r="S271" s="313"/>
      <c r="T271" s="313"/>
      <c r="U271" s="268"/>
      <c r="V271" s="268"/>
      <c r="W271" s="268"/>
      <c r="X271" s="268"/>
      <c r="Y271" s="268"/>
      <c r="Z271" s="268"/>
    </row>
    <row r="272" spans="1:26" ht="24.75" customHeight="1">
      <c r="A272" s="268"/>
      <c r="B272" s="268"/>
      <c r="C272" s="268"/>
      <c r="D272" s="268"/>
      <c r="E272" s="268"/>
      <c r="F272" s="268"/>
      <c r="G272" s="268"/>
      <c r="H272" s="268"/>
      <c r="I272" s="389"/>
      <c r="J272" s="389"/>
      <c r="K272" s="389"/>
      <c r="L272" s="268"/>
      <c r="M272" s="268"/>
      <c r="N272" s="268"/>
      <c r="O272" s="310"/>
      <c r="P272" s="268"/>
      <c r="Q272" s="309"/>
      <c r="R272" s="268"/>
      <c r="S272" s="313"/>
      <c r="T272" s="313"/>
      <c r="U272" s="268"/>
      <c r="V272" s="268"/>
      <c r="W272" s="268"/>
      <c r="X272" s="268"/>
      <c r="Y272" s="268"/>
      <c r="Z272" s="268"/>
    </row>
    <row r="273" spans="1:26" ht="24.75" customHeight="1">
      <c r="A273" s="268"/>
      <c r="B273" s="268"/>
      <c r="C273" s="268"/>
      <c r="D273" s="268"/>
      <c r="E273" s="268"/>
      <c r="F273" s="268"/>
      <c r="G273" s="268"/>
      <c r="H273" s="268"/>
      <c r="I273" s="389"/>
      <c r="J273" s="389"/>
      <c r="K273" s="389"/>
      <c r="L273" s="268"/>
      <c r="M273" s="268"/>
      <c r="N273" s="268"/>
      <c r="O273" s="310"/>
      <c r="P273" s="268"/>
      <c r="Q273" s="309"/>
      <c r="R273" s="268"/>
      <c r="S273" s="313"/>
      <c r="T273" s="313"/>
      <c r="U273" s="268"/>
      <c r="V273" s="268"/>
      <c r="W273" s="268"/>
      <c r="X273" s="268"/>
      <c r="Y273" s="268"/>
      <c r="Z273" s="268"/>
    </row>
    <row r="274" spans="1:26" ht="24.75" customHeight="1">
      <c r="A274" s="268"/>
      <c r="B274" s="268"/>
      <c r="C274" s="268"/>
      <c r="D274" s="268"/>
      <c r="E274" s="268"/>
      <c r="F274" s="268"/>
      <c r="G274" s="268"/>
      <c r="H274" s="268"/>
      <c r="I274" s="389"/>
      <c r="J274" s="389"/>
      <c r="K274" s="389"/>
      <c r="L274" s="268"/>
      <c r="M274" s="268"/>
      <c r="N274" s="268"/>
      <c r="O274" s="310"/>
      <c r="P274" s="268"/>
      <c r="Q274" s="309"/>
      <c r="R274" s="268"/>
      <c r="S274" s="313"/>
      <c r="T274" s="313"/>
      <c r="U274" s="268"/>
      <c r="V274" s="268"/>
      <c r="W274" s="268"/>
      <c r="X274" s="268"/>
      <c r="Y274" s="268"/>
      <c r="Z274" s="268"/>
    </row>
    <row r="275" spans="1:26" ht="24.75" customHeight="1">
      <c r="A275" s="268"/>
      <c r="B275" s="268"/>
      <c r="C275" s="268"/>
      <c r="D275" s="268"/>
      <c r="E275" s="268"/>
      <c r="F275" s="268"/>
      <c r="G275" s="268"/>
      <c r="H275" s="268"/>
      <c r="I275" s="389"/>
      <c r="J275" s="389"/>
      <c r="K275" s="389"/>
      <c r="L275" s="268"/>
      <c r="M275" s="268"/>
      <c r="N275" s="268"/>
      <c r="O275" s="310"/>
      <c r="P275" s="268"/>
      <c r="Q275" s="309"/>
      <c r="R275" s="268"/>
      <c r="S275" s="313"/>
      <c r="T275" s="313"/>
      <c r="U275" s="268"/>
      <c r="V275" s="268"/>
      <c r="W275" s="268"/>
      <c r="X275" s="268"/>
      <c r="Y275" s="268"/>
      <c r="Z275" s="268"/>
    </row>
    <row r="276" spans="1:26" ht="24.75" customHeight="1">
      <c r="A276" s="268"/>
      <c r="B276" s="268"/>
      <c r="C276" s="268"/>
      <c r="D276" s="268"/>
      <c r="E276" s="268"/>
      <c r="F276" s="268"/>
      <c r="G276" s="268"/>
      <c r="H276" s="268"/>
      <c r="I276" s="389"/>
      <c r="J276" s="389"/>
      <c r="K276" s="389"/>
      <c r="L276" s="268"/>
      <c r="M276" s="268"/>
      <c r="N276" s="268"/>
      <c r="O276" s="310"/>
      <c r="P276" s="268"/>
      <c r="Q276" s="309"/>
      <c r="R276" s="268"/>
      <c r="S276" s="313"/>
      <c r="T276" s="313"/>
      <c r="U276" s="268"/>
      <c r="V276" s="268"/>
      <c r="W276" s="268"/>
      <c r="X276" s="268"/>
      <c r="Y276" s="268"/>
      <c r="Z276" s="268"/>
    </row>
    <row r="277" spans="1:26" ht="24.75" customHeight="1">
      <c r="A277" s="268"/>
      <c r="B277" s="268"/>
      <c r="C277" s="268"/>
      <c r="D277" s="268"/>
      <c r="E277" s="268"/>
      <c r="F277" s="268"/>
      <c r="G277" s="268"/>
      <c r="H277" s="268"/>
      <c r="I277" s="389"/>
      <c r="J277" s="389"/>
      <c r="K277" s="389"/>
      <c r="L277" s="268"/>
      <c r="M277" s="268"/>
      <c r="N277" s="268"/>
      <c r="O277" s="310"/>
      <c r="P277" s="268"/>
      <c r="Q277" s="309"/>
      <c r="R277" s="268"/>
      <c r="S277" s="313"/>
      <c r="T277" s="313"/>
      <c r="U277" s="268"/>
      <c r="V277" s="268"/>
      <c r="W277" s="268"/>
      <c r="X277" s="268"/>
      <c r="Y277" s="268"/>
      <c r="Z277" s="268"/>
    </row>
    <row r="278" spans="1:26" ht="24.75" customHeight="1">
      <c r="A278" s="268"/>
      <c r="B278" s="268"/>
      <c r="C278" s="268"/>
      <c r="D278" s="268"/>
      <c r="E278" s="268"/>
      <c r="F278" s="268"/>
      <c r="G278" s="268"/>
      <c r="H278" s="268"/>
      <c r="I278" s="389"/>
      <c r="J278" s="389"/>
      <c r="K278" s="389"/>
      <c r="L278" s="268"/>
      <c r="M278" s="268"/>
      <c r="N278" s="268"/>
      <c r="O278" s="310"/>
      <c r="P278" s="268"/>
      <c r="Q278" s="309"/>
      <c r="R278" s="268"/>
      <c r="S278" s="313"/>
      <c r="T278" s="313"/>
      <c r="U278" s="268"/>
      <c r="V278" s="268"/>
      <c r="W278" s="268"/>
      <c r="X278" s="268"/>
      <c r="Y278" s="268"/>
      <c r="Z278" s="268"/>
    </row>
    <row r="279" spans="1:26" ht="24.75" customHeight="1">
      <c r="A279" s="268"/>
      <c r="B279" s="268"/>
      <c r="C279" s="268"/>
      <c r="D279" s="268"/>
      <c r="E279" s="268"/>
      <c r="F279" s="268"/>
      <c r="G279" s="268"/>
      <c r="H279" s="268"/>
      <c r="I279" s="389"/>
      <c r="J279" s="389"/>
      <c r="K279" s="389"/>
      <c r="L279" s="268"/>
      <c r="M279" s="268"/>
      <c r="N279" s="268"/>
      <c r="O279" s="310"/>
      <c r="P279" s="268"/>
      <c r="Q279" s="309"/>
      <c r="R279" s="268"/>
      <c r="S279" s="313"/>
      <c r="T279" s="313"/>
      <c r="U279" s="268"/>
      <c r="V279" s="268"/>
      <c r="W279" s="268"/>
      <c r="X279" s="268"/>
      <c r="Y279" s="268"/>
      <c r="Z279" s="268"/>
    </row>
    <row r="280" spans="1:26" ht="24.75" customHeight="1">
      <c r="A280" s="268"/>
      <c r="B280" s="268"/>
      <c r="C280" s="268"/>
      <c r="D280" s="268"/>
      <c r="E280" s="268"/>
      <c r="F280" s="268"/>
      <c r="G280" s="268"/>
      <c r="H280" s="268"/>
      <c r="I280" s="389"/>
      <c r="J280" s="389"/>
      <c r="K280" s="389"/>
      <c r="L280" s="268"/>
      <c r="M280" s="268"/>
      <c r="N280" s="268"/>
      <c r="O280" s="310"/>
      <c r="P280" s="268"/>
      <c r="Q280" s="309"/>
      <c r="R280" s="268"/>
      <c r="S280" s="313"/>
      <c r="T280" s="313"/>
      <c r="U280" s="268"/>
      <c r="V280" s="268"/>
      <c r="W280" s="268"/>
      <c r="X280" s="268"/>
      <c r="Y280" s="268"/>
      <c r="Z280" s="268"/>
    </row>
    <row r="281" spans="1:26" ht="24.75" customHeight="1">
      <c r="A281" s="268"/>
      <c r="B281" s="268"/>
      <c r="C281" s="268"/>
      <c r="D281" s="268"/>
      <c r="E281" s="268"/>
      <c r="F281" s="268"/>
      <c r="G281" s="268"/>
      <c r="H281" s="268"/>
      <c r="I281" s="389"/>
      <c r="J281" s="389"/>
      <c r="K281" s="389"/>
      <c r="L281" s="268"/>
      <c r="M281" s="268"/>
      <c r="N281" s="268"/>
      <c r="O281" s="310"/>
      <c r="P281" s="268"/>
      <c r="Q281" s="309"/>
      <c r="R281" s="268"/>
      <c r="S281" s="313"/>
      <c r="T281" s="313"/>
      <c r="U281" s="268"/>
      <c r="V281" s="268"/>
      <c r="W281" s="268"/>
      <c r="X281" s="268"/>
      <c r="Y281" s="268"/>
      <c r="Z281" s="268"/>
    </row>
    <row r="282" spans="1:26" ht="24.75" customHeight="1">
      <c r="A282" s="268"/>
      <c r="B282" s="268"/>
      <c r="C282" s="268"/>
      <c r="D282" s="268"/>
      <c r="E282" s="268"/>
      <c r="F282" s="268"/>
      <c r="G282" s="268"/>
      <c r="H282" s="268"/>
      <c r="I282" s="389"/>
      <c r="J282" s="389"/>
      <c r="K282" s="389"/>
      <c r="L282" s="268"/>
      <c r="M282" s="268"/>
      <c r="N282" s="268"/>
      <c r="O282" s="310"/>
      <c r="P282" s="268"/>
      <c r="Q282" s="309"/>
      <c r="R282" s="268"/>
      <c r="S282" s="313"/>
      <c r="T282" s="313"/>
      <c r="U282" s="268"/>
      <c r="V282" s="268"/>
      <c r="W282" s="268"/>
      <c r="X282" s="268"/>
      <c r="Y282" s="268"/>
      <c r="Z282" s="268"/>
    </row>
    <row r="283" spans="1:26" ht="24.75" customHeight="1">
      <c r="A283" s="268"/>
      <c r="B283" s="268"/>
      <c r="C283" s="268"/>
      <c r="D283" s="268"/>
      <c r="E283" s="268"/>
      <c r="F283" s="268"/>
      <c r="G283" s="268"/>
      <c r="H283" s="268"/>
      <c r="I283" s="389"/>
      <c r="J283" s="389"/>
      <c r="K283" s="389"/>
      <c r="L283" s="268"/>
      <c r="M283" s="268"/>
      <c r="N283" s="268"/>
      <c r="O283" s="310"/>
      <c r="P283" s="268"/>
      <c r="Q283" s="309"/>
      <c r="R283" s="268"/>
      <c r="S283" s="313"/>
      <c r="T283" s="313"/>
      <c r="U283" s="268"/>
      <c r="V283" s="268"/>
      <c r="W283" s="268"/>
      <c r="X283" s="268"/>
      <c r="Y283" s="268"/>
      <c r="Z283" s="268"/>
    </row>
    <row r="284" spans="1:26" ht="24.75" customHeight="1">
      <c r="A284" s="268"/>
      <c r="B284" s="268"/>
      <c r="C284" s="268"/>
      <c r="D284" s="268"/>
      <c r="E284" s="268"/>
      <c r="F284" s="268"/>
      <c r="G284" s="268"/>
      <c r="H284" s="268"/>
      <c r="I284" s="389"/>
      <c r="J284" s="389"/>
      <c r="K284" s="389"/>
      <c r="L284" s="268"/>
      <c r="M284" s="268"/>
      <c r="N284" s="268"/>
      <c r="O284" s="310"/>
      <c r="P284" s="268"/>
      <c r="Q284" s="309"/>
      <c r="R284" s="268"/>
      <c r="S284" s="313"/>
      <c r="T284" s="313"/>
      <c r="U284" s="268"/>
      <c r="V284" s="268"/>
      <c r="W284" s="268"/>
      <c r="X284" s="268"/>
      <c r="Y284" s="268"/>
      <c r="Z284" s="268"/>
    </row>
    <row r="285" spans="1:26" ht="24.75" customHeight="1">
      <c r="A285" s="268"/>
      <c r="B285" s="268"/>
      <c r="C285" s="268"/>
      <c r="D285" s="268"/>
      <c r="E285" s="268"/>
      <c r="F285" s="268"/>
      <c r="G285" s="268"/>
      <c r="H285" s="268"/>
      <c r="I285" s="389"/>
      <c r="J285" s="389"/>
      <c r="K285" s="389"/>
      <c r="L285" s="268"/>
      <c r="M285" s="268"/>
      <c r="N285" s="268"/>
      <c r="O285" s="310"/>
      <c r="P285" s="268"/>
      <c r="Q285" s="309"/>
      <c r="R285" s="268"/>
      <c r="S285" s="313"/>
      <c r="T285" s="313"/>
      <c r="U285" s="268"/>
      <c r="V285" s="268"/>
      <c r="W285" s="268"/>
      <c r="X285" s="268"/>
      <c r="Y285" s="268"/>
      <c r="Z285" s="268"/>
    </row>
    <row r="286" spans="1:26" ht="24.75" customHeight="1">
      <c r="A286" s="268"/>
      <c r="B286" s="268"/>
      <c r="C286" s="268"/>
      <c r="D286" s="268"/>
      <c r="E286" s="268"/>
      <c r="F286" s="268"/>
      <c r="G286" s="268"/>
      <c r="H286" s="268"/>
      <c r="I286" s="389"/>
      <c r="J286" s="389"/>
      <c r="K286" s="389"/>
      <c r="L286" s="268"/>
      <c r="M286" s="268"/>
      <c r="N286" s="268"/>
      <c r="O286" s="310"/>
      <c r="P286" s="268"/>
      <c r="Q286" s="309"/>
      <c r="R286" s="268"/>
      <c r="S286" s="313"/>
      <c r="T286" s="313"/>
      <c r="U286" s="268"/>
      <c r="V286" s="268"/>
      <c r="W286" s="268"/>
      <c r="X286" s="268"/>
      <c r="Y286" s="268"/>
      <c r="Z286" s="268"/>
    </row>
    <row r="287" spans="1:26" ht="24.75" customHeight="1">
      <c r="A287" s="268"/>
      <c r="B287" s="268"/>
      <c r="C287" s="268"/>
      <c r="D287" s="268"/>
      <c r="E287" s="268"/>
      <c r="F287" s="268"/>
      <c r="G287" s="268"/>
      <c r="H287" s="268"/>
      <c r="I287" s="389"/>
      <c r="J287" s="389"/>
      <c r="K287" s="389"/>
      <c r="L287" s="268"/>
      <c r="M287" s="268"/>
      <c r="N287" s="268"/>
      <c r="O287" s="310"/>
      <c r="P287" s="268"/>
      <c r="Q287" s="309"/>
      <c r="R287" s="268"/>
      <c r="S287" s="313"/>
      <c r="T287" s="313"/>
      <c r="U287" s="268"/>
      <c r="V287" s="268"/>
      <c r="W287" s="268"/>
      <c r="X287" s="268"/>
      <c r="Y287" s="268"/>
      <c r="Z287" s="268"/>
    </row>
    <row r="288" spans="1:26" ht="24.75" customHeight="1">
      <c r="A288" s="268"/>
      <c r="B288" s="268"/>
      <c r="C288" s="268"/>
      <c r="D288" s="268"/>
      <c r="E288" s="268"/>
      <c r="F288" s="268"/>
      <c r="G288" s="268"/>
      <c r="H288" s="268"/>
      <c r="I288" s="389"/>
      <c r="J288" s="389"/>
      <c r="K288" s="389"/>
      <c r="L288" s="268"/>
      <c r="M288" s="268"/>
      <c r="N288" s="268"/>
      <c r="O288" s="310"/>
      <c r="P288" s="268"/>
      <c r="Q288" s="309"/>
      <c r="R288" s="268"/>
      <c r="S288" s="313"/>
      <c r="T288" s="313"/>
      <c r="U288" s="268"/>
      <c r="V288" s="268"/>
      <c r="W288" s="268"/>
      <c r="X288" s="268"/>
      <c r="Y288" s="268"/>
      <c r="Z288" s="268"/>
    </row>
    <row r="289" spans="1:26" ht="24.75" customHeight="1">
      <c r="A289" s="268"/>
      <c r="B289" s="268"/>
      <c r="C289" s="268"/>
      <c r="D289" s="268"/>
      <c r="E289" s="268"/>
      <c r="F289" s="268"/>
      <c r="G289" s="268"/>
      <c r="H289" s="268"/>
      <c r="I289" s="389"/>
      <c r="J289" s="389"/>
      <c r="K289" s="389"/>
      <c r="L289" s="268"/>
      <c r="M289" s="268"/>
      <c r="N289" s="268"/>
      <c r="O289" s="310"/>
      <c r="P289" s="268"/>
      <c r="Q289" s="309"/>
      <c r="R289" s="268"/>
      <c r="S289" s="313"/>
      <c r="T289" s="313"/>
      <c r="U289" s="268"/>
      <c r="V289" s="268"/>
      <c r="W289" s="268"/>
      <c r="X289" s="268"/>
      <c r="Y289" s="268"/>
      <c r="Z289" s="268"/>
    </row>
    <row r="290" spans="1:26" ht="24.75" customHeight="1">
      <c r="A290" s="268"/>
      <c r="B290" s="268"/>
      <c r="C290" s="268"/>
      <c r="D290" s="268"/>
      <c r="E290" s="268"/>
      <c r="F290" s="268"/>
      <c r="G290" s="268"/>
      <c r="H290" s="268"/>
      <c r="I290" s="389"/>
      <c r="J290" s="389"/>
      <c r="K290" s="389"/>
      <c r="L290" s="268"/>
      <c r="M290" s="268"/>
      <c r="N290" s="268"/>
      <c r="O290" s="310"/>
      <c r="P290" s="268"/>
      <c r="Q290" s="309"/>
      <c r="R290" s="268"/>
      <c r="S290" s="313"/>
      <c r="T290" s="313"/>
      <c r="U290" s="268"/>
      <c r="V290" s="268"/>
      <c r="W290" s="268"/>
      <c r="X290" s="268"/>
      <c r="Y290" s="268"/>
      <c r="Z290" s="268"/>
    </row>
    <row r="291" spans="1:26" ht="24.75" customHeight="1">
      <c r="A291" s="268"/>
      <c r="B291" s="268"/>
      <c r="C291" s="268"/>
      <c r="D291" s="268"/>
      <c r="E291" s="268"/>
      <c r="F291" s="268"/>
      <c r="G291" s="268"/>
      <c r="H291" s="268"/>
      <c r="I291" s="389"/>
      <c r="J291" s="389"/>
      <c r="K291" s="389"/>
      <c r="L291" s="268"/>
      <c r="M291" s="268"/>
      <c r="N291" s="268"/>
      <c r="O291" s="310"/>
      <c r="P291" s="268"/>
      <c r="Q291" s="309"/>
      <c r="R291" s="268"/>
      <c r="S291" s="313"/>
      <c r="T291" s="313"/>
      <c r="U291" s="268"/>
      <c r="V291" s="268"/>
      <c r="W291" s="268"/>
      <c r="X291" s="268"/>
      <c r="Y291" s="268"/>
      <c r="Z291" s="268"/>
    </row>
    <row r="292" spans="1:26" ht="24.75" customHeight="1">
      <c r="A292" s="268"/>
      <c r="B292" s="268"/>
      <c r="C292" s="268"/>
      <c r="D292" s="268"/>
      <c r="E292" s="268"/>
      <c r="F292" s="268"/>
      <c r="G292" s="268"/>
      <c r="H292" s="268"/>
      <c r="I292" s="389"/>
      <c r="J292" s="389"/>
      <c r="K292" s="389"/>
      <c r="L292" s="268"/>
      <c r="M292" s="268"/>
      <c r="N292" s="268"/>
      <c r="O292" s="310"/>
      <c r="P292" s="268"/>
      <c r="Q292" s="309"/>
      <c r="R292" s="268"/>
      <c r="S292" s="313"/>
      <c r="T292" s="313"/>
      <c r="U292" s="268"/>
      <c r="V292" s="268"/>
      <c r="W292" s="268"/>
      <c r="X292" s="268"/>
      <c r="Y292" s="268"/>
      <c r="Z292" s="268"/>
    </row>
    <row r="293" spans="1:26" ht="24.75" customHeight="1">
      <c r="A293" s="268"/>
      <c r="B293" s="268"/>
      <c r="C293" s="268"/>
      <c r="D293" s="268"/>
      <c r="E293" s="268"/>
      <c r="F293" s="268"/>
      <c r="G293" s="268"/>
      <c r="H293" s="268"/>
      <c r="I293" s="389"/>
      <c r="J293" s="389"/>
      <c r="K293" s="389"/>
      <c r="L293" s="268"/>
      <c r="M293" s="268"/>
      <c r="N293" s="268"/>
      <c r="O293" s="310"/>
      <c r="P293" s="268"/>
      <c r="Q293" s="309"/>
      <c r="R293" s="268"/>
      <c r="S293" s="313"/>
      <c r="T293" s="313"/>
      <c r="U293" s="268"/>
      <c r="V293" s="268"/>
      <c r="W293" s="268"/>
      <c r="X293" s="268"/>
      <c r="Y293" s="268"/>
      <c r="Z293" s="268"/>
    </row>
    <row r="294" spans="1:26" ht="24.75" customHeight="1">
      <c r="A294" s="268"/>
      <c r="B294" s="268"/>
      <c r="C294" s="268"/>
      <c r="D294" s="268"/>
      <c r="E294" s="268"/>
      <c r="F294" s="268"/>
      <c r="G294" s="268"/>
      <c r="H294" s="268"/>
      <c r="I294" s="389"/>
      <c r="J294" s="389"/>
      <c r="K294" s="389"/>
      <c r="L294" s="268"/>
      <c r="M294" s="268"/>
      <c r="N294" s="268"/>
      <c r="O294" s="310"/>
      <c r="P294" s="268"/>
      <c r="Q294" s="309"/>
      <c r="R294" s="268"/>
      <c r="S294" s="313"/>
      <c r="T294" s="313"/>
      <c r="U294" s="268"/>
      <c r="V294" s="268"/>
      <c r="W294" s="268"/>
      <c r="X294" s="268"/>
      <c r="Y294" s="268"/>
      <c r="Z294" s="268"/>
    </row>
    <row r="295" spans="1:26" ht="24.75" customHeight="1">
      <c r="A295" s="268"/>
      <c r="B295" s="268"/>
      <c r="C295" s="268"/>
      <c r="D295" s="268"/>
      <c r="E295" s="268"/>
      <c r="F295" s="268"/>
      <c r="G295" s="268"/>
      <c r="H295" s="268"/>
      <c r="I295" s="389"/>
      <c r="J295" s="389"/>
      <c r="K295" s="389"/>
      <c r="L295" s="268"/>
      <c r="M295" s="268"/>
      <c r="N295" s="268"/>
      <c r="O295" s="310"/>
      <c r="P295" s="268"/>
      <c r="Q295" s="309"/>
      <c r="R295" s="268"/>
      <c r="S295" s="313"/>
      <c r="T295" s="313"/>
      <c r="U295" s="268"/>
      <c r="V295" s="268"/>
      <c r="W295" s="268"/>
      <c r="X295" s="268"/>
      <c r="Y295" s="268"/>
      <c r="Z295" s="268"/>
    </row>
    <row r="296" spans="1:26" ht="24.75" customHeight="1">
      <c r="A296" s="268"/>
      <c r="B296" s="268"/>
      <c r="C296" s="268"/>
      <c r="D296" s="268"/>
      <c r="E296" s="268"/>
      <c r="F296" s="268"/>
      <c r="G296" s="268"/>
      <c r="H296" s="268"/>
      <c r="I296" s="389"/>
      <c r="J296" s="389"/>
      <c r="K296" s="389"/>
      <c r="L296" s="268"/>
      <c r="M296" s="268"/>
      <c r="N296" s="268"/>
      <c r="O296" s="310"/>
      <c r="P296" s="268"/>
      <c r="Q296" s="309"/>
      <c r="R296" s="268"/>
      <c r="S296" s="313"/>
      <c r="T296" s="313"/>
      <c r="U296" s="268"/>
      <c r="V296" s="268"/>
      <c r="W296" s="268"/>
      <c r="X296" s="268"/>
      <c r="Y296" s="268"/>
      <c r="Z296" s="268"/>
    </row>
    <row r="297" spans="1:26" ht="24.75" customHeight="1">
      <c r="A297" s="268"/>
      <c r="B297" s="268"/>
      <c r="C297" s="268"/>
      <c r="D297" s="268"/>
      <c r="E297" s="268"/>
      <c r="F297" s="268"/>
      <c r="G297" s="268"/>
      <c r="H297" s="268"/>
      <c r="I297" s="389"/>
      <c r="J297" s="389"/>
      <c r="K297" s="389"/>
      <c r="L297" s="268"/>
      <c r="M297" s="268"/>
      <c r="N297" s="268"/>
      <c r="O297" s="310"/>
      <c r="P297" s="268"/>
      <c r="Q297" s="309"/>
      <c r="R297" s="268"/>
      <c r="S297" s="313"/>
      <c r="T297" s="313"/>
      <c r="U297" s="268"/>
      <c r="V297" s="268"/>
      <c r="W297" s="268"/>
      <c r="X297" s="268"/>
      <c r="Y297" s="268"/>
      <c r="Z297" s="268"/>
    </row>
    <row r="298" spans="1:26" ht="24.75" customHeight="1">
      <c r="A298" s="268"/>
      <c r="B298" s="268"/>
      <c r="C298" s="268"/>
      <c r="D298" s="268"/>
      <c r="E298" s="268"/>
      <c r="F298" s="268"/>
      <c r="G298" s="268"/>
      <c r="H298" s="268"/>
      <c r="I298" s="389"/>
      <c r="J298" s="389"/>
      <c r="K298" s="389"/>
      <c r="L298" s="268"/>
      <c r="M298" s="268"/>
      <c r="N298" s="268"/>
      <c r="O298" s="310"/>
      <c r="P298" s="268"/>
      <c r="Q298" s="309"/>
      <c r="R298" s="268"/>
      <c r="S298" s="313"/>
      <c r="T298" s="313"/>
      <c r="U298" s="268"/>
      <c r="V298" s="268"/>
      <c r="W298" s="268"/>
      <c r="X298" s="268"/>
      <c r="Y298" s="268"/>
      <c r="Z298" s="268"/>
    </row>
    <row r="299" spans="1:26" ht="24.75" customHeight="1">
      <c r="A299" s="268"/>
      <c r="B299" s="268"/>
      <c r="C299" s="268"/>
      <c r="D299" s="268"/>
      <c r="E299" s="268"/>
      <c r="F299" s="268"/>
      <c r="G299" s="268"/>
      <c r="H299" s="268"/>
      <c r="I299" s="389"/>
      <c r="J299" s="389"/>
      <c r="K299" s="389"/>
      <c r="L299" s="268"/>
      <c r="M299" s="268"/>
      <c r="N299" s="268"/>
      <c r="O299" s="310"/>
      <c r="P299" s="268"/>
      <c r="Q299" s="309"/>
      <c r="R299" s="268"/>
      <c r="S299" s="313"/>
      <c r="T299" s="313"/>
      <c r="U299" s="268"/>
      <c r="V299" s="268"/>
      <c r="W299" s="268"/>
      <c r="X299" s="268"/>
      <c r="Y299" s="268"/>
      <c r="Z299" s="268"/>
    </row>
    <row r="300" spans="1:26" ht="24.75" customHeight="1">
      <c r="A300" s="268"/>
      <c r="B300" s="268"/>
      <c r="C300" s="268"/>
      <c r="D300" s="268"/>
      <c r="E300" s="268"/>
      <c r="F300" s="268"/>
      <c r="G300" s="268"/>
      <c r="H300" s="268"/>
      <c r="I300" s="389"/>
      <c r="J300" s="389"/>
      <c r="K300" s="389"/>
      <c r="L300" s="268"/>
      <c r="M300" s="268"/>
      <c r="N300" s="268"/>
      <c r="O300" s="310"/>
      <c r="P300" s="268"/>
      <c r="Q300" s="309"/>
      <c r="R300" s="268"/>
      <c r="S300" s="313"/>
      <c r="T300" s="313"/>
      <c r="U300" s="268"/>
      <c r="V300" s="268"/>
      <c r="W300" s="268"/>
      <c r="X300" s="268"/>
      <c r="Y300" s="268"/>
      <c r="Z300" s="268"/>
    </row>
    <row r="301" spans="1:26" ht="24.75" customHeight="1">
      <c r="A301" s="268"/>
      <c r="B301" s="268"/>
      <c r="C301" s="268"/>
      <c r="D301" s="268"/>
      <c r="E301" s="268"/>
      <c r="F301" s="268"/>
      <c r="G301" s="268"/>
      <c r="H301" s="268"/>
      <c r="I301" s="389"/>
      <c r="J301" s="389"/>
      <c r="K301" s="389"/>
      <c r="L301" s="268"/>
      <c r="M301" s="268"/>
      <c r="N301" s="268"/>
      <c r="O301" s="310"/>
      <c r="P301" s="268"/>
      <c r="Q301" s="309"/>
      <c r="R301" s="268"/>
      <c r="S301" s="313"/>
      <c r="T301" s="313"/>
      <c r="U301" s="268"/>
      <c r="V301" s="268"/>
      <c r="W301" s="268"/>
      <c r="X301" s="268"/>
      <c r="Y301" s="268"/>
      <c r="Z301" s="268"/>
    </row>
    <row r="302" spans="1:26" ht="24.75" customHeight="1">
      <c r="A302" s="268"/>
      <c r="B302" s="268"/>
      <c r="C302" s="268"/>
      <c r="D302" s="268"/>
      <c r="E302" s="268"/>
      <c r="F302" s="268"/>
      <c r="G302" s="268"/>
      <c r="H302" s="268"/>
      <c r="I302" s="389"/>
      <c r="J302" s="389"/>
      <c r="K302" s="389"/>
      <c r="L302" s="268"/>
      <c r="M302" s="268"/>
      <c r="N302" s="268"/>
      <c r="O302" s="310"/>
      <c r="P302" s="268"/>
      <c r="Q302" s="309"/>
      <c r="R302" s="268"/>
      <c r="S302" s="313"/>
      <c r="T302" s="313"/>
      <c r="U302" s="268"/>
      <c r="V302" s="268"/>
      <c r="W302" s="268"/>
      <c r="X302" s="268"/>
      <c r="Y302" s="268"/>
      <c r="Z302" s="268"/>
    </row>
    <row r="303" spans="1:26" ht="24.75" customHeight="1">
      <c r="A303" s="268"/>
      <c r="B303" s="268"/>
      <c r="C303" s="268"/>
      <c r="D303" s="268"/>
      <c r="E303" s="268"/>
      <c r="F303" s="268"/>
      <c r="G303" s="268"/>
      <c r="H303" s="268"/>
      <c r="I303" s="389"/>
      <c r="J303" s="389"/>
      <c r="K303" s="389"/>
      <c r="L303" s="268"/>
      <c r="M303" s="268"/>
      <c r="N303" s="268"/>
      <c r="O303" s="310"/>
      <c r="P303" s="268"/>
      <c r="Q303" s="309"/>
      <c r="R303" s="268"/>
      <c r="S303" s="313"/>
      <c r="T303" s="313"/>
      <c r="U303" s="268"/>
      <c r="V303" s="268"/>
      <c r="W303" s="268"/>
      <c r="X303" s="268"/>
      <c r="Y303" s="268"/>
      <c r="Z303" s="268"/>
    </row>
    <row r="304" spans="1:26" ht="24.75" customHeight="1">
      <c r="A304" s="268"/>
      <c r="B304" s="268"/>
      <c r="C304" s="268"/>
      <c r="D304" s="268"/>
      <c r="E304" s="268"/>
      <c r="F304" s="268"/>
      <c r="G304" s="268"/>
      <c r="H304" s="268"/>
      <c r="I304" s="389"/>
      <c r="J304" s="389"/>
      <c r="K304" s="389"/>
      <c r="L304" s="268"/>
      <c r="M304" s="268"/>
      <c r="N304" s="268"/>
      <c r="O304" s="310"/>
      <c r="P304" s="268"/>
      <c r="Q304" s="309"/>
      <c r="R304" s="268"/>
      <c r="S304" s="313"/>
      <c r="T304" s="313"/>
      <c r="U304" s="268"/>
      <c r="V304" s="268"/>
      <c r="W304" s="268"/>
      <c r="X304" s="268"/>
      <c r="Y304" s="268"/>
      <c r="Z304" s="268"/>
    </row>
    <row r="305" spans="1:26" ht="24.75" customHeight="1">
      <c r="A305" s="268"/>
      <c r="B305" s="268"/>
      <c r="C305" s="268"/>
      <c r="D305" s="268"/>
      <c r="E305" s="268"/>
      <c r="F305" s="268"/>
      <c r="G305" s="268"/>
      <c r="H305" s="268"/>
      <c r="I305" s="389"/>
      <c r="J305" s="389"/>
      <c r="K305" s="389"/>
      <c r="L305" s="268"/>
      <c r="M305" s="268"/>
      <c r="N305" s="268"/>
      <c r="O305" s="310"/>
      <c r="P305" s="268"/>
      <c r="Q305" s="309"/>
      <c r="R305" s="268"/>
      <c r="S305" s="313"/>
      <c r="T305" s="313"/>
      <c r="U305" s="268"/>
      <c r="V305" s="268"/>
      <c r="W305" s="268"/>
      <c r="X305" s="268"/>
      <c r="Y305" s="268"/>
      <c r="Z305" s="268"/>
    </row>
    <row r="306" spans="1:26" ht="24.75" customHeight="1">
      <c r="A306" s="268"/>
      <c r="B306" s="268"/>
      <c r="C306" s="268"/>
      <c r="D306" s="268"/>
      <c r="E306" s="268"/>
      <c r="F306" s="268"/>
      <c r="G306" s="268"/>
      <c r="H306" s="268"/>
      <c r="I306" s="389"/>
      <c r="J306" s="389"/>
      <c r="K306" s="389"/>
      <c r="L306" s="268"/>
      <c r="M306" s="268"/>
      <c r="N306" s="268"/>
      <c r="O306" s="310"/>
      <c r="P306" s="268"/>
      <c r="Q306" s="309"/>
      <c r="R306" s="268"/>
      <c r="S306" s="313"/>
      <c r="T306" s="313"/>
      <c r="U306" s="268"/>
      <c r="V306" s="268"/>
      <c r="W306" s="268"/>
      <c r="X306" s="268"/>
      <c r="Y306" s="268"/>
      <c r="Z306" s="268"/>
    </row>
    <row r="307" spans="1:26" ht="24.75" customHeight="1">
      <c r="A307" s="268"/>
      <c r="B307" s="268"/>
      <c r="C307" s="268"/>
      <c r="D307" s="268"/>
      <c r="E307" s="268"/>
      <c r="F307" s="268"/>
      <c r="G307" s="268"/>
      <c r="H307" s="268"/>
      <c r="I307" s="389"/>
      <c r="J307" s="389"/>
      <c r="K307" s="389"/>
      <c r="L307" s="268"/>
      <c r="M307" s="268"/>
      <c r="N307" s="268"/>
      <c r="O307" s="310"/>
      <c r="P307" s="268"/>
      <c r="Q307" s="309"/>
      <c r="R307" s="268"/>
      <c r="S307" s="313"/>
      <c r="T307" s="313"/>
      <c r="U307" s="268"/>
      <c r="V307" s="268"/>
      <c r="W307" s="268"/>
      <c r="X307" s="268"/>
      <c r="Y307" s="268"/>
      <c r="Z307" s="268"/>
    </row>
    <row r="308" spans="1:26" ht="24.75" customHeight="1">
      <c r="A308" s="268"/>
      <c r="B308" s="268"/>
      <c r="C308" s="268"/>
      <c r="D308" s="268"/>
      <c r="E308" s="268"/>
      <c r="F308" s="268"/>
      <c r="G308" s="268"/>
      <c r="H308" s="268"/>
      <c r="I308" s="389"/>
      <c r="J308" s="389"/>
      <c r="K308" s="389"/>
      <c r="L308" s="268"/>
      <c r="M308" s="268"/>
      <c r="N308" s="268"/>
      <c r="O308" s="310"/>
      <c r="P308" s="268"/>
      <c r="Q308" s="309"/>
      <c r="R308" s="268"/>
      <c r="S308" s="313"/>
      <c r="T308" s="313"/>
      <c r="U308" s="268"/>
      <c r="V308" s="268"/>
      <c r="W308" s="268"/>
      <c r="X308" s="268"/>
      <c r="Y308" s="268"/>
      <c r="Z308" s="268"/>
    </row>
    <row r="309" spans="1:26" ht="24.75" customHeight="1">
      <c r="A309" s="268"/>
      <c r="B309" s="268"/>
      <c r="C309" s="268"/>
      <c r="D309" s="268"/>
      <c r="E309" s="268"/>
      <c r="F309" s="268"/>
      <c r="G309" s="268"/>
      <c r="H309" s="268"/>
      <c r="I309" s="389"/>
      <c r="J309" s="389"/>
      <c r="K309" s="389"/>
      <c r="L309" s="268"/>
      <c r="M309" s="268"/>
      <c r="N309" s="268"/>
      <c r="O309" s="310"/>
      <c r="P309" s="268"/>
      <c r="Q309" s="309"/>
      <c r="R309" s="268"/>
      <c r="S309" s="313"/>
      <c r="T309" s="313"/>
      <c r="U309" s="268"/>
      <c r="V309" s="268"/>
      <c r="W309" s="268"/>
      <c r="X309" s="268"/>
      <c r="Y309" s="268"/>
      <c r="Z309" s="268"/>
    </row>
    <row r="310" spans="1:26" ht="24.75" customHeight="1">
      <c r="A310" s="268"/>
      <c r="B310" s="268"/>
      <c r="C310" s="268"/>
      <c r="D310" s="268"/>
      <c r="E310" s="268"/>
      <c r="F310" s="268"/>
      <c r="G310" s="268"/>
      <c r="H310" s="268"/>
      <c r="I310" s="389"/>
      <c r="J310" s="389"/>
      <c r="K310" s="389"/>
      <c r="L310" s="268"/>
      <c r="M310" s="268"/>
      <c r="N310" s="268"/>
      <c r="O310" s="310"/>
      <c r="P310" s="268"/>
      <c r="Q310" s="309"/>
      <c r="R310" s="268"/>
      <c r="S310" s="313"/>
      <c r="T310" s="313"/>
      <c r="U310" s="268"/>
      <c r="V310" s="268"/>
      <c r="W310" s="268"/>
      <c r="X310" s="268"/>
      <c r="Y310" s="268"/>
      <c r="Z310" s="268"/>
    </row>
    <row r="311" spans="1:26" ht="24.75" customHeight="1">
      <c r="A311" s="268"/>
      <c r="B311" s="268"/>
      <c r="C311" s="268"/>
      <c r="D311" s="268"/>
      <c r="E311" s="268"/>
      <c r="F311" s="268"/>
      <c r="G311" s="268"/>
      <c r="H311" s="268"/>
      <c r="I311" s="389"/>
      <c r="J311" s="389"/>
      <c r="K311" s="389"/>
      <c r="L311" s="268"/>
      <c r="M311" s="268"/>
      <c r="N311" s="268"/>
      <c r="O311" s="310"/>
      <c r="P311" s="268"/>
      <c r="Q311" s="309"/>
      <c r="R311" s="268"/>
      <c r="S311" s="313"/>
      <c r="T311" s="313"/>
      <c r="U311" s="268"/>
      <c r="V311" s="268"/>
      <c r="W311" s="268"/>
      <c r="X311" s="268"/>
      <c r="Y311" s="268"/>
      <c r="Z311" s="268"/>
    </row>
    <row r="312" spans="1:26" ht="24.75" customHeight="1">
      <c r="A312" s="268"/>
      <c r="B312" s="268"/>
      <c r="C312" s="268"/>
      <c r="D312" s="268"/>
      <c r="E312" s="268"/>
      <c r="F312" s="268"/>
      <c r="G312" s="268"/>
      <c r="H312" s="268"/>
      <c r="I312" s="389"/>
      <c r="J312" s="389"/>
      <c r="K312" s="389"/>
      <c r="L312" s="268"/>
      <c r="M312" s="268"/>
      <c r="N312" s="268"/>
      <c r="O312" s="310"/>
      <c r="P312" s="268"/>
      <c r="Q312" s="309"/>
      <c r="R312" s="268"/>
      <c r="S312" s="313"/>
      <c r="T312" s="313"/>
      <c r="U312" s="268"/>
      <c r="V312" s="268"/>
      <c r="W312" s="268"/>
      <c r="X312" s="268"/>
      <c r="Y312" s="268"/>
      <c r="Z312" s="268"/>
    </row>
    <row r="313" spans="1:26" ht="24.75" customHeight="1">
      <c r="A313" s="268"/>
      <c r="B313" s="268"/>
      <c r="C313" s="268"/>
      <c r="D313" s="268"/>
      <c r="E313" s="268"/>
      <c r="F313" s="268"/>
      <c r="G313" s="268"/>
      <c r="H313" s="268"/>
      <c r="I313" s="389"/>
      <c r="J313" s="389"/>
      <c r="K313" s="389"/>
      <c r="L313" s="268"/>
      <c r="M313" s="268"/>
      <c r="N313" s="268"/>
      <c r="O313" s="310"/>
      <c r="P313" s="268"/>
      <c r="Q313" s="309"/>
      <c r="R313" s="268"/>
      <c r="S313" s="313"/>
      <c r="T313" s="313"/>
      <c r="U313" s="268"/>
      <c r="V313" s="268"/>
      <c r="W313" s="268"/>
      <c r="X313" s="268"/>
      <c r="Y313" s="268"/>
      <c r="Z313" s="268"/>
    </row>
    <row r="314" spans="1:26" ht="24.75" customHeight="1">
      <c r="A314" s="268"/>
      <c r="B314" s="268"/>
      <c r="C314" s="268"/>
      <c r="D314" s="268"/>
      <c r="E314" s="268"/>
      <c r="F314" s="268"/>
      <c r="G314" s="268"/>
      <c r="H314" s="268"/>
      <c r="I314" s="389"/>
      <c r="J314" s="389"/>
      <c r="K314" s="389"/>
      <c r="L314" s="268"/>
      <c r="M314" s="268"/>
      <c r="N314" s="268"/>
      <c r="O314" s="310"/>
      <c r="P314" s="268"/>
      <c r="Q314" s="309"/>
      <c r="R314" s="268"/>
      <c r="S314" s="313"/>
      <c r="T314" s="313"/>
      <c r="U314" s="268"/>
      <c r="V314" s="268"/>
      <c r="W314" s="268"/>
      <c r="X314" s="268"/>
      <c r="Y314" s="268"/>
      <c r="Z314" s="268"/>
    </row>
    <row r="315" spans="1:26" ht="24.75" customHeight="1">
      <c r="A315" s="268"/>
      <c r="B315" s="268"/>
      <c r="C315" s="268"/>
      <c r="D315" s="268"/>
      <c r="E315" s="268"/>
      <c r="F315" s="268"/>
      <c r="G315" s="268"/>
      <c r="H315" s="268"/>
      <c r="I315" s="389"/>
      <c r="J315" s="389"/>
      <c r="K315" s="389"/>
      <c r="L315" s="268"/>
      <c r="M315" s="268"/>
      <c r="N315" s="268"/>
      <c r="O315" s="310"/>
      <c r="P315" s="268"/>
      <c r="Q315" s="309"/>
      <c r="R315" s="268"/>
      <c r="S315" s="313"/>
      <c r="T315" s="313"/>
      <c r="U315" s="268"/>
      <c r="V315" s="268"/>
      <c r="W315" s="268"/>
      <c r="X315" s="268"/>
      <c r="Y315" s="268"/>
      <c r="Z315" s="268"/>
    </row>
    <row r="316" spans="1:26" ht="24.75" customHeight="1">
      <c r="A316" s="268"/>
      <c r="B316" s="268"/>
      <c r="C316" s="268"/>
      <c r="D316" s="268"/>
      <c r="E316" s="268"/>
      <c r="F316" s="268"/>
      <c r="G316" s="268"/>
      <c r="H316" s="268"/>
      <c r="I316" s="389"/>
      <c r="J316" s="389"/>
      <c r="K316" s="389"/>
      <c r="L316" s="268"/>
      <c r="M316" s="268"/>
      <c r="N316" s="268"/>
      <c r="O316" s="310"/>
      <c r="P316" s="268"/>
      <c r="Q316" s="309"/>
      <c r="R316" s="268"/>
      <c r="S316" s="313"/>
      <c r="T316" s="313"/>
      <c r="U316" s="268"/>
      <c r="V316" s="268"/>
      <c r="W316" s="268"/>
      <c r="X316" s="268"/>
      <c r="Y316" s="268"/>
      <c r="Z316" s="268"/>
    </row>
    <row r="317" spans="1:26" ht="24.75" customHeight="1">
      <c r="A317" s="268"/>
      <c r="B317" s="268"/>
      <c r="C317" s="268"/>
      <c r="D317" s="268"/>
      <c r="E317" s="268"/>
      <c r="F317" s="268"/>
      <c r="G317" s="268"/>
      <c r="H317" s="268"/>
      <c r="I317" s="389"/>
      <c r="J317" s="389"/>
      <c r="K317" s="389"/>
      <c r="L317" s="268"/>
      <c r="M317" s="268"/>
      <c r="N317" s="268"/>
      <c r="O317" s="310"/>
      <c r="P317" s="268"/>
      <c r="Q317" s="309"/>
      <c r="R317" s="268"/>
      <c r="S317" s="313"/>
      <c r="T317" s="313"/>
      <c r="U317" s="268"/>
      <c r="V317" s="268"/>
      <c r="W317" s="268"/>
      <c r="X317" s="268"/>
      <c r="Y317" s="268"/>
      <c r="Z317" s="268"/>
    </row>
    <row r="318" spans="1:26" ht="24.75" customHeight="1">
      <c r="A318" s="268"/>
      <c r="B318" s="268"/>
      <c r="C318" s="268"/>
      <c r="D318" s="268"/>
      <c r="E318" s="268"/>
      <c r="F318" s="268"/>
      <c r="G318" s="268"/>
      <c r="H318" s="268"/>
      <c r="I318" s="389"/>
      <c r="J318" s="389"/>
      <c r="K318" s="389"/>
      <c r="L318" s="268"/>
      <c r="M318" s="268"/>
      <c r="N318" s="268"/>
      <c r="O318" s="310"/>
      <c r="P318" s="268"/>
      <c r="Q318" s="309"/>
      <c r="R318" s="268"/>
      <c r="S318" s="313"/>
      <c r="T318" s="313"/>
      <c r="U318" s="268"/>
      <c r="V318" s="268"/>
      <c r="W318" s="268"/>
      <c r="X318" s="268"/>
      <c r="Y318" s="268"/>
      <c r="Z318" s="268"/>
    </row>
    <row r="319" spans="1:26" ht="24.75" customHeight="1">
      <c r="A319" s="268"/>
      <c r="B319" s="268"/>
      <c r="C319" s="268"/>
      <c r="D319" s="268"/>
      <c r="E319" s="268"/>
      <c r="F319" s="268"/>
      <c r="G319" s="268"/>
      <c r="H319" s="268"/>
      <c r="I319" s="389"/>
      <c r="J319" s="389"/>
      <c r="K319" s="389"/>
      <c r="L319" s="268"/>
      <c r="M319" s="268"/>
      <c r="N319" s="268"/>
      <c r="O319" s="310"/>
      <c r="P319" s="268"/>
      <c r="Q319" s="309"/>
      <c r="R319" s="268"/>
      <c r="S319" s="313"/>
      <c r="T319" s="313"/>
      <c r="U319" s="268"/>
      <c r="V319" s="268"/>
      <c r="W319" s="268"/>
      <c r="X319" s="268"/>
      <c r="Y319" s="268"/>
      <c r="Z319" s="268"/>
    </row>
    <row r="320" spans="1:26" ht="24.75" customHeight="1">
      <c r="A320" s="268"/>
      <c r="B320" s="268"/>
      <c r="C320" s="268"/>
      <c r="D320" s="268"/>
      <c r="E320" s="268"/>
      <c r="F320" s="268"/>
      <c r="G320" s="268"/>
      <c r="H320" s="268"/>
      <c r="I320" s="389"/>
      <c r="J320" s="389"/>
      <c r="K320" s="389"/>
      <c r="L320" s="268"/>
      <c r="M320" s="268"/>
      <c r="N320" s="268"/>
      <c r="O320" s="310"/>
      <c r="P320" s="268"/>
      <c r="Q320" s="309"/>
      <c r="R320" s="268"/>
      <c r="S320" s="313"/>
      <c r="T320" s="313"/>
      <c r="U320" s="268"/>
      <c r="V320" s="268"/>
      <c r="W320" s="268"/>
      <c r="X320" s="268"/>
      <c r="Y320" s="268"/>
      <c r="Z320" s="268"/>
    </row>
    <row r="321" spans="1:26" ht="24.75" customHeight="1">
      <c r="A321" s="268"/>
      <c r="B321" s="268"/>
      <c r="C321" s="268"/>
      <c r="D321" s="268"/>
      <c r="E321" s="268"/>
      <c r="F321" s="268"/>
      <c r="G321" s="268"/>
      <c r="H321" s="268"/>
      <c r="I321" s="389"/>
      <c r="J321" s="389"/>
      <c r="K321" s="389"/>
      <c r="L321" s="268"/>
      <c r="M321" s="268"/>
      <c r="N321" s="268"/>
      <c r="O321" s="310"/>
      <c r="P321" s="268"/>
      <c r="Q321" s="309"/>
      <c r="R321" s="268"/>
      <c r="S321" s="313"/>
      <c r="T321" s="313"/>
      <c r="U321" s="268"/>
      <c r="V321" s="268"/>
      <c r="W321" s="268"/>
      <c r="X321" s="268"/>
      <c r="Y321" s="268"/>
      <c r="Z321" s="268"/>
    </row>
    <row r="322" spans="1:26" ht="24.75" customHeight="1">
      <c r="A322" s="268"/>
      <c r="B322" s="268"/>
      <c r="C322" s="268"/>
      <c r="D322" s="268"/>
      <c r="E322" s="268"/>
      <c r="F322" s="268"/>
      <c r="G322" s="268"/>
      <c r="H322" s="268"/>
      <c r="I322" s="389"/>
      <c r="J322" s="389"/>
      <c r="K322" s="389"/>
      <c r="L322" s="268"/>
      <c r="M322" s="268"/>
      <c r="N322" s="268"/>
      <c r="O322" s="310"/>
      <c r="P322" s="268"/>
      <c r="Q322" s="309"/>
      <c r="R322" s="268"/>
      <c r="S322" s="313"/>
      <c r="T322" s="313"/>
      <c r="U322" s="268"/>
      <c r="V322" s="268"/>
      <c r="W322" s="268"/>
      <c r="X322" s="268"/>
      <c r="Y322" s="268"/>
      <c r="Z322" s="268"/>
    </row>
    <row r="323" spans="1:26" ht="24.75" customHeight="1">
      <c r="A323" s="268"/>
      <c r="B323" s="268"/>
      <c r="C323" s="268"/>
      <c r="D323" s="268"/>
      <c r="E323" s="268"/>
      <c r="F323" s="268"/>
      <c r="G323" s="268"/>
      <c r="H323" s="268"/>
      <c r="I323" s="389"/>
      <c r="J323" s="389"/>
      <c r="K323" s="389"/>
      <c r="L323" s="268"/>
      <c r="M323" s="268"/>
      <c r="N323" s="268"/>
      <c r="O323" s="310"/>
      <c r="P323" s="268"/>
      <c r="Q323" s="309"/>
      <c r="R323" s="268"/>
      <c r="S323" s="313"/>
      <c r="T323" s="313"/>
      <c r="U323" s="268"/>
      <c r="V323" s="268"/>
      <c r="W323" s="268"/>
      <c r="X323" s="268"/>
      <c r="Y323" s="268"/>
      <c r="Z323" s="268"/>
    </row>
    <row r="324" spans="1:26" ht="24.75" customHeight="1">
      <c r="A324" s="268"/>
      <c r="B324" s="268"/>
      <c r="C324" s="268"/>
      <c r="D324" s="268"/>
      <c r="E324" s="268"/>
      <c r="F324" s="268"/>
      <c r="G324" s="268"/>
      <c r="H324" s="268"/>
      <c r="I324" s="389"/>
      <c r="J324" s="389"/>
      <c r="K324" s="389"/>
      <c r="L324" s="268"/>
      <c r="M324" s="268"/>
      <c r="N324" s="268"/>
      <c r="O324" s="310"/>
      <c r="P324" s="268"/>
      <c r="Q324" s="309"/>
      <c r="R324" s="268"/>
      <c r="S324" s="313"/>
      <c r="T324" s="313"/>
      <c r="U324" s="268"/>
      <c r="V324" s="268"/>
      <c r="W324" s="268"/>
      <c r="X324" s="268"/>
      <c r="Y324" s="268"/>
      <c r="Z324" s="268"/>
    </row>
    <row r="325" spans="1:26" ht="24.75" customHeight="1">
      <c r="A325" s="268"/>
      <c r="B325" s="268"/>
      <c r="C325" s="268"/>
      <c r="D325" s="268"/>
      <c r="E325" s="268"/>
      <c r="F325" s="268"/>
      <c r="G325" s="268"/>
      <c r="H325" s="268"/>
      <c r="I325" s="389"/>
      <c r="J325" s="389"/>
      <c r="K325" s="389"/>
      <c r="L325" s="268"/>
      <c r="M325" s="268"/>
      <c r="N325" s="268"/>
      <c r="O325" s="310"/>
      <c r="P325" s="268"/>
      <c r="Q325" s="309"/>
      <c r="R325" s="268"/>
      <c r="S325" s="313"/>
      <c r="T325" s="313"/>
      <c r="U325" s="268"/>
      <c r="V325" s="268"/>
      <c r="W325" s="268"/>
      <c r="X325" s="268"/>
      <c r="Y325" s="268"/>
      <c r="Z325" s="268"/>
    </row>
    <row r="326" spans="1:26" ht="24.75" customHeight="1">
      <c r="A326" s="268"/>
      <c r="B326" s="268"/>
      <c r="C326" s="268"/>
      <c r="D326" s="268"/>
      <c r="E326" s="268"/>
      <c r="F326" s="268"/>
      <c r="G326" s="268"/>
      <c r="H326" s="268"/>
      <c r="I326" s="389"/>
      <c r="J326" s="389"/>
      <c r="K326" s="389"/>
      <c r="L326" s="268"/>
      <c r="M326" s="268"/>
      <c r="N326" s="268"/>
      <c r="O326" s="310"/>
      <c r="P326" s="268"/>
      <c r="Q326" s="309"/>
      <c r="R326" s="268"/>
      <c r="S326" s="313"/>
      <c r="T326" s="313"/>
      <c r="U326" s="268"/>
      <c r="V326" s="268"/>
      <c r="W326" s="268"/>
      <c r="X326" s="268"/>
      <c r="Y326" s="268"/>
      <c r="Z326" s="268"/>
    </row>
    <row r="327" spans="1:26" ht="24.75" customHeight="1">
      <c r="A327" s="268"/>
      <c r="B327" s="268"/>
      <c r="C327" s="268"/>
      <c r="D327" s="268"/>
      <c r="E327" s="268"/>
      <c r="F327" s="268"/>
      <c r="G327" s="268"/>
      <c r="H327" s="268"/>
      <c r="I327" s="389"/>
      <c r="J327" s="389"/>
      <c r="K327" s="389"/>
      <c r="L327" s="268"/>
      <c r="M327" s="268"/>
      <c r="N327" s="268"/>
      <c r="O327" s="310"/>
      <c r="P327" s="268"/>
      <c r="Q327" s="309"/>
      <c r="R327" s="268"/>
      <c r="S327" s="313"/>
      <c r="T327" s="313"/>
      <c r="U327" s="268"/>
      <c r="V327" s="268"/>
      <c r="W327" s="268"/>
      <c r="X327" s="268"/>
      <c r="Y327" s="268"/>
      <c r="Z327" s="268"/>
    </row>
    <row r="328" spans="1:26" ht="24.75" customHeight="1">
      <c r="A328" s="268"/>
      <c r="B328" s="268"/>
      <c r="C328" s="268"/>
      <c r="D328" s="268"/>
      <c r="E328" s="268"/>
      <c r="F328" s="268"/>
      <c r="G328" s="268"/>
      <c r="H328" s="268"/>
      <c r="I328" s="389"/>
      <c r="J328" s="389"/>
      <c r="K328" s="389"/>
      <c r="L328" s="268"/>
      <c r="M328" s="268"/>
      <c r="N328" s="268"/>
      <c r="O328" s="310"/>
      <c r="P328" s="268"/>
      <c r="Q328" s="309"/>
      <c r="R328" s="268"/>
      <c r="S328" s="313"/>
      <c r="T328" s="313"/>
      <c r="U328" s="268"/>
      <c r="V328" s="268"/>
      <c r="W328" s="268"/>
      <c r="X328" s="268"/>
      <c r="Y328" s="268"/>
      <c r="Z328" s="268"/>
    </row>
    <row r="329" spans="1:26" ht="24.75" customHeight="1">
      <c r="A329" s="268"/>
      <c r="B329" s="268"/>
      <c r="C329" s="268"/>
      <c r="D329" s="268"/>
      <c r="E329" s="268"/>
      <c r="F329" s="268"/>
      <c r="G329" s="268"/>
      <c r="H329" s="268"/>
      <c r="I329" s="389"/>
      <c r="J329" s="389"/>
      <c r="K329" s="389"/>
      <c r="L329" s="268"/>
      <c r="M329" s="268"/>
      <c r="N329" s="268"/>
      <c r="O329" s="310"/>
      <c r="P329" s="268"/>
      <c r="Q329" s="309"/>
      <c r="R329" s="268"/>
      <c r="S329" s="313"/>
      <c r="T329" s="313"/>
      <c r="U329" s="268"/>
      <c r="V329" s="268"/>
      <c r="W329" s="268"/>
      <c r="X329" s="268"/>
      <c r="Y329" s="268"/>
      <c r="Z329" s="268"/>
    </row>
    <row r="330" spans="1:26" ht="24.75" customHeight="1">
      <c r="A330" s="268"/>
      <c r="B330" s="268"/>
      <c r="C330" s="268"/>
      <c r="D330" s="268"/>
      <c r="E330" s="268"/>
      <c r="F330" s="268"/>
      <c r="G330" s="268"/>
      <c r="H330" s="268"/>
      <c r="I330" s="389"/>
      <c r="J330" s="389"/>
      <c r="K330" s="389"/>
      <c r="L330" s="268"/>
      <c r="M330" s="268"/>
      <c r="N330" s="268"/>
      <c r="O330" s="310"/>
      <c r="P330" s="268"/>
      <c r="Q330" s="309"/>
      <c r="R330" s="268"/>
      <c r="S330" s="313"/>
      <c r="T330" s="313"/>
      <c r="U330" s="268"/>
      <c r="V330" s="268"/>
      <c r="W330" s="268"/>
      <c r="X330" s="268"/>
      <c r="Y330" s="268"/>
      <c r="Z330" s="268"/>
    </row>
    <row r="331" spans="1:26" ht="24.75" customHeight="1">
      <c r="A331" s="268"/>
      <c r="B331" s="268"/>
      <c r="C331" s="268"/>
      <c r="D331" s="268"/>
      <c r="E331" s="268"/>
      <c r="F331" s="268"/>
      <c r="G331" s="268"/>
      <c r="H331" s="268"/>
      <c r="I331" s="389"/>
      <c r="J331" s="389"/>
      <c r="K331" s="389"/>
      <c r="L331" s="268"/>
      <c r="M331" s="268"/>
      <c r="N331" s="268"/>
      <c r="O331" s="310"/>
      <c r="P331" s="268"/>
      <c r="Q331" s="309"/>
      <c r="R331" s="268"/>
      <c r="S331" s="313"/>
      <c r="T331" s="313"/>
      <c r="U331" s="268"/>
      <c r="V331" s="268"/>
      <c r="W331" s="268"/>
      <c r="X331" s="268"/>
      <c r="Y331" s="268"/>
      <c r="Z331" s="268"/>
    </row>
    <row r="332" spans="1:26" ht="24.75" customHeight="1">
      <c r="A332" s="268"/>
      <c r="B332" s="268"/>
      <c r="C332" s="268"/>
      <c r="D332" s="268"/>
      <c r="E332" s="268"/>
      <c r="F332" s="268"/>
      <c r="G332" s="268"/>
      <c r="H332" s="268"/>
      <c r="I332" s="389"/>
      <c r="J332" s="389"/>
      <c r="K332" s="389"/>
      <c r="L332" s="268"/>
      <c r="M332" s="268"/>
      <c r="N332" s="268"/>
      <c r="O332" s="310"/>
      <c r="P332" s="268"/>
      <c r="Q332" s="309"/>
      <c r="R332" s="268"/>
      <c r="S332" s="313"/>
      <c r="T332" s="313"/>
      <c r="U332" s="268"/>
      <c r="V332" s="268"/>
      <c r="W332" s="268"/>
      <c r="X332" s="268"/>
      <c r="Y332" s="268"/>
      <c r="Z332" s="268"/>
    </row>
    <row r="333" spans="1:26" ht="24.75" customHeight="1">
      <c r="A333" s="268"/>
      <c r="B333" s="268"/>
      <c r="C333" s="268"/>
      <c r="D333" s="268"/>
      <c r="E333" s="268"/>
      <c r="F333" s="268"/>
      <c r="G333" s="268"/>
      <c r="H333" s="268"/>
      <c r="I333" s="389"/>
      <c r="J333" s="389"/>
      <c r="K333" s="389"/>
      <c r="L333" s="268"/>
      <c r="M333" s="268"/>
      <c r="N333" s="268"/>
      <c r="O333" s="310"/>
      <c r="P333" s="268"/>
      <c r="Q333" s="309"/>
      <c r="R333" s="268"/>
      <c r="S333" s="313"/>
      <c r="T333" s="313"/>
      <c r="U333" s="268"/>
      <c r="V333" s="268"/>
      <c r="W333" s="268"/>
      <c r="X333" s="268"/>
      <c r="Y333" s="268"/>
      <c r="Z333" s="268"/>
    </row>
    <row r="334" spans="1:26" ht="24.75" customHeight="1">
      <c r="A334" s="268"/>
      <c r="B334" s="268"/>
      <c r="C334" s="268"/>
      <c r="D334" s="268"/>
      <c r="E334" s="268"/>
      <c r="F334" s="268"/>
      <c r="G334" s="268"/>
      <c r="H334" s="268"/>
      <c r="I334" s="389"/>
      <c r="J334" s="389"/>
      <c r="K334" s="389"/>
      <c r="L334" s="268"/>
      <c r="M334" s="268"/>
      <c r="N334" s="268"/>
      <c r="O334" s="310"/>
      <c r="P334" s="268"/>
      <c r="Q334" s="309"/>
      <c r="R334" s="268"/>
      <c r="S334" s="313"/>
      <c r="T334" s="313"/>
      <c r="U334" s="268"/>
      <c r="V334" s="268"/>
      <c r="W334" s="268"/>
      <c r="X334" s="268"/>
      <c r="Y334" s="268"/>
      <c r="Z334" s="268"/>
    </row>
    <row r="335" spans="1:26" ht="24.75" customHeight="1">
      <c r="A335" s="268"/>
      <c r="B335" s="268"/>
      <c r="C335" s="268"/>
      <c r="D335" s="268"/>
      <c r="E335" s="268"/>
      <c r="F335" s="268"/>
      <c r="G335" s="268"/>
      <c r="H335" s="268"/>
      <c r="I335" s="389"/>
      <c r="J335" s="389"/>
      <c r="K335" s="389"/>
      <c r="L335" s="268"/>
      <c r="M335" s="268"/>
      <c r="N335" s="268"/>
      <c r="O335" s="310"/>
      <c r="P335" s="268"/>
      <c r="Q335" s="309"/>
      <c r="R335" s="268"/>
      <c r="S335" s="313"/>
      <c r="T335" s="313"/>
      <c r="U335" s="268"/>
      <c r="V335" s="268"/>
      <c r="W335" s="268"/>
      <c r="X335" s="268"/>
      <c r="Y335" s="268"/>
      <c r="Z335" s="268"/>
    </row>
    <row r="336" spans="1:26" ht="24.75" customHeight="1">
      <c r="A336" s="268"/>
      <c r="B336" s="268"/>
      <c r="C336" s="268"/>
      <c r="D336" s="268"/>
      <c r="E336" s="268"/>
      <c r="F336" s="268"/>
      <c r="G336" s="268"/>
      <c r="H336" s="268"/>
      <c r="I336" s="389"/>
      <c r="J336" s="389"/>
      <c r="K336" s="389"/>
      <c r="L336" s="268"/>
      <c r="M336" s="268"/>
      <c r="N336" s="268"/>
      <c r="O336" s="310"/>
      <c r="P336" s="268"/>
      <c r="Q336" s="309"/>
      <c r="R336" s="268"/>
      <c r="S336" s="313"/>
      <c r="T336" s="313"/>
      <c r="U336" s="268"/>
      <c r="V336" s="268"/>
      <c r="W336" s="268"/>
      <c r="X336" s="268"/>
      <c r="Y336" s="268"/>
      <c r="Z336" s="268"/>
    </row>
    <row r="337" spans="1:26" ht="24.75" customHeight="1">
      <c r="A337" s="268"/>
      <c r="B337" s="268"/>
      <c r="C337" s="268"/>
      <c r="D337" s="268"/>
      <c r="E337" s="268"/>
      <c r="F337" s="268"/>
      <c r="G337" s="268"/>
      <c r="H337" s="268"/>
      <c r="I337" s="389"/>
      <c r="J337" s="389"/>
      <c r="K337" s="389"/>
      <c r="L337" s="268"/>
      <c r="M337" s="268"/>
      <c r="N337" s="268"/>
      <c r="O337" s="310"/>
      <c r="P337" s="268"/>
      <c r="Q337" s="309"/>
      <c r="R337" s="268"/>
      <c r="S337" s="313"/>
      <c r="T337" s="313"/>
      <c r="U337" s="268"/>
      <c r="V337" s="268"/>
      <c r="W337" s="268"/>
      <c r="X337" s="268"/>
      <c r="Y337" s="268"/>
      <c r="Z337" s="268"/>
    </row>
    <row r="338" spans="1:26" ht="24.75" customHeight="1">
      <c r="A338" s="268"/>
      <c r="B338" s="268"/>
      <c r="C338" s="268"/>
      <c r="D338" s="268"/>
      <c r="E338" s="268"/>
      <c r="F338" s="268"/>
      <c r="G338" s="268"/>
      <c r="H338" s="268"/>
      <c r="I338" s="389"/>
      <c r="J338" s="389"/>
      <c r="K338" s="389"/>
      <c r="L338" s="268"/>
      <c r="M338" s="268"/>
      <c r="N338" s="268"/>
      <c r="O338" s="310"/>
      <c r="P338" s="268"/>
      <c r="Q338" s="309"/>
      <c r="R338" s="268"/>
      <c r="S338" s="313"/>
      <c r="T338" s="313"/>
      <c r="U338" s="268"/>
      <c r="V338" s="268"/>
      <c r="W338" s="268"/>
      <c r="X338" s="268"/>
      <c r="Y338" s="268"/>
      <c r="Z338" s="268"/>
    </row>
    <row r="339" spans="1:26" ht="24.75" customHeight="1">
      <c r="A339" s="268"/>
      <c r="B339" s="268"/>
      <c r="C339" s="268"/>
      <c r="D339" s="268"/>
      <c r="E339" s="268"/>
      <c r="F339" s="268"/>
      <c r="G339" s="268"/>
      <c r="H339" s="268"/>
      <c r="I339" s="389"/>
      <c r="J339" s="389"/>
      <c r="K339" s="389"/>
      <c r="L339" s="268"/>
      <c r="M339" s="268"/>
      <c r="N339" s="268"/>
      <c r="O339" s="310"/>
      <c r="P339" s="268"/>
      <c r="Q339" s="309"/>
      <c r="R339" s="268"/>
      <c r="S339" s="313"/>
      <c r="T339" s="313"/>
      <c r="U339" s="268"/>
      <c r="V339" s="268"/>
      <c r="W339" s="268"/>
      <c r="X339" s="268"/>
      <c r="Y339" s="268"/>
      <c r="Z339" s="268"/>
    </row>
    <row r="340" spans="1:26" ht="24.75" customHeight="1">
      <c r="A340" s="268"/>
      <c r="B340" s="268"/>
      <c r="C340" s="268"/>
      <c r="D340" s="268"/>
      <c r="E340" s="268"/>
      <c r="F340" s="268"/>
      <c r="G340" s="268"/>
      <c r="H340" s="268"/>
      <c r="I340" s="389"/>
      <c r="J340" s="389"/>
      <c r="K340" s="389"/>
      <c r="L340" s="268"/>
      <c r="M340" s="268"/>
      <c r="N340" s="268"/>
      <c r="O340" s="310"/>
      <c r="P340" s="268"/>
      <c r="Q340" s="309"/>
      <c r="R340" s="268"/>
      <c r="S340" s="313"/>
      <c r="T340" s="313"/>
      <c r="U340" s="268"/>
      <c r="V340" s="268"/>
      <c r="W340" s="268"/>
      <c r="X340" s="268"/>
      <c r="Y340" s="268"/>
      <c r="Z340" s="268"/>
    </row>
    <row r="341" spans="1:26" ht="24.75" customHeight="1">
      <c r="A341" s="268"/>
      <c r="B341" s="268"/>
      <c r="C341" s="268"/>
      <c r="D341" s="268"/>
      <c r="E341" s="268"/>
      <c r="F341" s="268"/>
      <c r="G341" s="268"/>
      <c r="H341" s="268"/>
      <c r="I341" s="389"/>
      <c r="J341" s="389"/>
      <c r="K341" s="389"/>
      <c r="L341" s="268"/>
      <c r="M341" s="268"/>
      <c r="N341" s="268"/>
      <c r="O341" s="310"/>
      <c r="P341" s="268"/>
      <c r="Q341" s="309"/>
      <c r="R341" s="268"/>
      <c r="S341" s="313"/>
      <c r="T341" s="313"/>
      <c r="U341" s="268"/>
      <c r="V341" s="268"/>
      <c r="W341" s="268"/>
      <c r="X341" s="268"/>
      <c r="Y341" s="268"/>
      <c r="Z341" s="268"/>
    </row>
    <row r="342" spans="1:26" ht="24.75" customHeight="1">
      <c r="A342" s="268"/>
      <c r="B342" s="268"/>
      <c r="C342" s="268"/>
      <c r="D342" s="268"/>
      <c r="E342" s="268"/>
      <c r="F342" s="268"/>
      <c r="G342" s="268"/>
      <c r="H342" s="268"/>
      <c r="I342" s="389"/>
      <c r="J342" s="389"/>
      <c r="K342" s="389"/>
      <c r="L342" s="268"/>
      <c r="M342" s="268"/>
      <c r="N342" s="268"/>
      <c r="O342" s="310"/>
      <c r="P342" s="268"/>
      <c r="Q342" s="309"/>
      <c r="R342" s="268"/>
      <c r="S342" s="313"/>
      <c r="T342" s="313"/>
      <c r="U342" s="268"/>
      <c r="V342" s="268"/>
      <c r="W342" s="268"/>
      <c r="X342" s="268"/>
      <c r="Y342" s="268"/>
      <c r="Z342" s="268"/>
    </row>
    <row r="343" spans="1:26" ht="24.75" customHeight="1">
      <c r="A343" s="268"/>
      <c r="B343" s="268"/>
      <c r="C343" s="268"/>
      <c r="D343" s="268"/>
      <c r="E343" s="268"/>
      <c r="F343" s="268"/>
      <c r="G343" s="268"/>
      <c r="H343" s="268"/>
      <c r="I343" s="389"/>
      <c r="J343" s="389"/>
      <c r="K343" s="389"/>
      <c r="L343" s="268"/>
      <c r="M343" s="268"/>
      <c r="N343" s="268"/>
      <c r="O343" s="310"/>
      <c r="P343" s="268"/>
      <c r="Q343" s="309"/>
      <c r="R343" s="268"/>
      <c r="S343" s="313"/>
      <c r="T343" s="313"/>
      <c r="U343" s="268"/>
      <c r="V343" s="268"/>
      <c r="W343" s="268"/>
      <c r="X343" s="268"/>
      <c r="Y343" s="268"/>
      <c r="Z343" s="268"/>
    </row>
    <row r="344" spans="1:26" ht="24.75" customHeight="1">
      <c r="A344" s="268"/>
      <c r="B344" s="268"/>
      <c r="C344" s="268"/>
      <c r="D344" s="268"/>
      <c r="E344" s="268"/>
      <c r="F344" s="268"/>
      <c r="G344" s="268"/>
      <c r="H344" s="268"/>
      <c r="I344" s="389"/>
      <c r="J344" s="389"/>
      <c r="K344" s="389"/>
      <c r="L344" s="268"/>
      <c r="M344" s="268"/>
      <c r="N344" s="268"/>
      <c r="O344" s="310"/>
      <c r="P344" s="268"/>
      <c r="Q344" s="309"/>
      <c r="R344" s="268"/>
      <c r="S344" s="313"/>
      <c r="T344" s="313"/>
      <c r="U344" s="268"/>
      <c r="V344" s="268"/>
      <c r="W344" s="268"/>
      <c r="X344" s="268"/>
      <c r="Y344" s="268"/>
      <c r="Z344" s="268"/>
    </row>
    <row r="345" spans="1:26" ht="24.75" customHeight="1">
      <c r="A345" s="268"/>
      <c r="B345" s="268"/>
      <c r="C345" s="268"/>
      <c r="D345" s="268"/>
      <c r="E345" s="268"/>
      <c r="F345" s="268"/>
      <c r="G345" s="268"/>
      <c r="H345" s="268"/>
      <c r="I345" s="389"/>
      <c r="J345" s="389"/>
      <c r="K345" s="389"/>
      <c r="L345" s="268"/>
      <c r="M345" s="268"/>
      <c r="N345" s="268"/>
      <c r="O345" s="310"/>
      <c r="P345" s="268"/>
      <c r="Q345" s="309"/>
      <c r="R345" s="268"/>
      <c r="S345" s="313"/>
      <c r="T345" s="313"/>
      <c r="U345" s="268"/>
      <c r="V345" s="268"/>
      <c r="W345" s="268"/>
      <c r="X345" s="268"/>
      <c r="Y345" s="268"/>
      <c r="Z345" s="268"/>
    </row>
    <row r="346" spans="1:26" ht="24.75" customHeight="1">
      <c r="A346" s="268"/>
      <c r="B346" s="268"/>
      <c r="C346" s="268"/>
      <c r="D346" s="268"/>
      <c r="E346" s="268"/>
      <c r="F346" s="268"/>
      <c r="G346" s="268"/>
      <c r="H346" s="268"/>
      <c r="I346" s="389"/>
      <c r="J346" s="389"/>
      <c r="K346" s="389"/>
      <c r="L346" s="268"/>
      <c r="M346" s="268"/>
      <c r="N346" s="268"/>
      <c r="O346" s="310"/>
      <c r="P346" s="268"/>
      <c r="Q346" s="309"/>
      <c r="R346" s="268"/>
      <c r="S346" s="313"/>
      <c r="T346" s="313"/>
      <c r="U346" s="268"/>
      <c r="V346" s="268"/>
      <c r="W346" s="268"/>
      <c r="X346" s="268"/>
      <c r="Y346" s="268"/>
      <c r="Z346" s="268"/>
    </row>
    <row r="347" spans="1:26" ht="24.75" customHeight="1">
      <c r="A347" s="268"/>
      <c r="B347" s="268"/>
      <c r="C347" s="268"/>
      <c r="D347" s="268"/>
      <c r="E347" s="268"/>
      <c r="F347" s="268"/>
      <c r="G347" s="268"/>
      <c r="H347" s="268"/>
      <c r="I347" s="389"/>
      <c r="J347" s="389"/>
      <c r="K347" s="389"/>
      <c r="L347" s="268"/>
      <c r="M347" s="268"/>
      <c r="N347" s="268"/>
      <c r="O347" s="310"/>
      <c r="P347" s="268"/>
      <c r="Q347" s="309"/>
      <c r="R347" s="268"/>
      <c r="S347" s="313"/>
      <c r="T347" s="313"/>
      <c r="U347" s="268"/>
      <c r="V347" s="268"/>
      <c r="W347" s="268"/>
      <c r="X347" s="268"/>
      <c r="Y347" s="268"/>
      <c r="Z347" s="268"/>
    </row>
    <row r="348" spans="1:26" ht="24.75" customHeight="1">
      <c r="A348" s="268"/>
      <c r="B348" s="268"/>
      <c r="C348" s="268"/>
      <c r="D348" s="268"/>
      <c r="E348" s="268"/>
      <c r="F348" s="268"/>
      <c r="G348" s="268"/>
      <c r="H348" s="268"/>
      <c r="I348" s="389"/>
      <c r="J348" s="389"/>
      <c r="K348" s="389"/>
      <c r="L348" s="268"/>
      <c r="M348" s="268"/>
      <c r="N348" s="268"/>
      <c r="O348" s="310"/>
      <c r="P348" s="268"/>
      <c r="Q348" s="309"/>
      <c r="R348" s="268"/>
      <c r="S348" s="313"/>
      <c r="T348" s="313"/>
      <c r="U348" s="268"/>
      <c r="V348" s="268"/>
      <c r="W348" s="268"/>
      <c r="X348" s="268"/>
      <c r="Y348" s="268"/>
      <c r="Z348" s="268"/>
    </row>
    <row r="349" spans="1:26" ht="24.75" customHeight="1">
      <c r="A349" s="268"/>
      <c r="B349" s="268"/>
      <c r="C349" s="268"/>
      <c r="D349" s="268"/>
      <c r="E349" s="268"/>
      <c r="F349" s="268"/>
      <c r="G349" s="268"/>
      <c r="H349" s="268"/>
      <c r="I349" s="389"/>
      <c r="J349" s="389"/>
      <c r="K349" s="389"/>
      <c r="L349" s="268"/>
      <c r="M349" s="268"/>
      <c r="N349" s="268"/>
      <c r="O349" s="310"/>
      <c r="P349" s="268"/>
      <c r="Q349" s="309"/>
      <c r="R349" s="268"/>
      <c r="S349" s="313"/>
      <c r="T349" s="313"/>
      <c r="U349" s="268"/>
      <c r="V349" s="268"/>
      <c r="W349" s="268"/>
      <c r="X349" s="268"/>
      <c r="Y349" s="268"/>
      <c r="Z349" s="268"/>
    </row>
    <row r="350" spans="1:26" ht="24.75" customHeight="1">
      <c r="A350" s="268"/>
      <c r="B350" s="268"/>
      <c r="C350" s="268"/>
      <c r="D350" s="268"/>
      <c r="E350" s="268"/>
      <c r="F350" s="268"/>
      <c r="G350" s="268"/>
      <c r="H350" s="268"/>
      <c r="I350" s="389"/>
      <c r="J350" s="389"/>
      <c r="K350" s="389"/>
      <c r="L350" s="268"/>
      <c r="M350" s="268"/>
      <c r="N350" s="268"/>
      <c r="O350" s="310"/>
      <c r="P350" s="268"/>
      <c r="Q350" s="309"/>
      <c r="R350" s="268"/>
      <c r="S350" s="313"/>
      <c r="T350" s="313"/>
      <c r="U350" s="268"/>
      <c r="V350" s="268"/>
      <c r="W350" s="268"/>
      <c r="X350" s="268"/>
      <c r="Y350" s="268"/>
      <c r="Z350" s="268"/>
    </row>
    <row r="351" spans="1:26" ht="24.75" customHeight="1">
      <c r="A351" s="268"/>
      <c r="B351" s="268"/>
      <c r="C351" s="268"/>
      <c r="D351" s="268"/>
      <c r="E351" s="268"/>
      <c r="F351" s="268"/>
      <c r="G351" s="268"/>
      <c r="H351" s="268"/>
      <c r="I351" s="389"/>
      <c r="J351" s="389"/>
      <c r="K351" s="389"/>
      <c r="L351" s="268"/>
      <c r="M351" s="268"/>
      <c r="N351" s="268"/>
      <c r="O351" s="310"/>
      <c r="P351" s="268"/>
      <c r="Q351" s="309"/>
      <c r="R351" s="268"/>
      <c r="S351" s="313"/>
      <c r="T351" s="313"/>
      <c r="U351" s="268"/>
      <c r="V351" s="268"/>
      <c r="W351" s="268"/>
      <c r="X351" s="268"/>
      <c r="Y351" s="268"/>
      <c r="Z351" s="268"/>
    </row>
    <row r="352" spans="1:26" ht="24.75" customHeight="1">
      <c r="A352" s="268"/>
      <c r="B352" s="268"/>
      <c r="C352" s="268"/>
      <c r="D352" s="268"/>
      <c r="E352" s="268"/>
      <c r="F352" s="268"/>
      <c r="G352" s="268"/>
      <c r="H352" s="268"/>
      <c r="I352" s="389"/>
      <c r="J352" s="389"/>
      <c r="K352" s="389"/>
      <c r="L352" s="268"/>
      <c r="M352" s="268"/>
      <c r="N352" s="268"/>
      <c r="O352" s="310"/>
      <c r="P352" s="268"/>
      <c r="Q352" s="309"/>
      <c r="R352" s="268"/>
      <c r="S352" s="313"/>
      <c r="T352" s="313"/>
      <c r="U352" s="268"/>
      <c r="V352" s="268"/>
      <c r="W352" s="268"/>
      <c r="X352" s="268"/>
      <c r="Y352" s="268"/>
      <c r="Z352" s="268"/>
    </row>
    <row r="353" spans="1:26" ht="24.75" customHeight="1">
      <c r="A353" s="268"/>
      <c r="B353" s="268"/>
      <c r="C353" s="268"/>
      <c r="D353" s="268"/>
      <c r="E353" s="268"/>
      <c r="F353" s="268"/>
      <c r="G353" s="268"/>
      <c r="H353" s="268"/>
      <c r="I353" s="389"/>
      <c r="J353" s="389"/>
      <c r="K353" s="389"/>
      <c r="L353" s="268"/>
      <c r="M353" s="268"/>
      <c r="N353" s="268"/>
      <c r="O353" s="310"/>
      <c r="P353" s="268"/>
      <c r="Q353" s="309"/>
      <c r="R353" s="268"/>
      <c r="S353" s="313"/>
      <c r="T353" s="313"/>
      <c r="U353" s="268"/>
      <c r="V353" s="268"/>
      <c r="W353" s="268"/>
      <c r="X353" s="268"/>
      <c r="Y353" s="268"/>
      <c r="Z353" s="268"/>
    </row>
    <row r="354" spans="1:26" ht="24.75" customHeight="1">
      <c r="A354" s="268"/>
      <c r="B354" s="268"/>
      <c r="C354" s="268"/>
      <c r="D354" s="268"/>
      <c r="E354" s="268"/>
      <c r="F354" s="268"/>
      <c r="G354" s="268"/>
      <c r="H354" s="268"/>
      <c r="I354" s="389"/>
      <c r="J354" s="389"/>
      <c r="K354" s="389"/>
      <c r="L354" s="268"/>
      <c r="M354" s="268"/>
      <c r="N354" s="268"/>
      <c r="O354" s="310"/>
      <c r="P354" s="268"/>
      <c r="Q354" s="309"/>
      <c r="R354" s="268"/>
      <c r="S354" s="313"/>
      <c r="T354" s="313"/>
      <c r="U354" s="268"/>
      <c r="V354" s="268"/>
      <c r="W354" s="268"/>
      <c r="X354" s="268"/>
      <c r="Y354" s="268"/>
      <c r="Z354" s="268"/>
    </row>
    <row r="355" spans="1:26" ht="24.75" customHeight="1">
      <c r="A355" s="268"/>
      <c r="B355" s="268"/>
      <c r="C355" s="268"/>
      <c r="D355" s="268"/>
      <c r="E355" s="268"/>
      <c r="F355" s="268"/>
      <c r="G355" s="268"/>
      <c r="H355" s="268"/>
      <c r="I355" s="389"/>
      <c r="J355" s="389"/>
      <c r="K355" s="389"/>
      <c r="L355" s="268"/>
      <c r="M355" s="268"/>
      <c r="N355" s="268"/>
      <c r="O355" s="310"/>
      <c r="P355" s="268"/>
      <c r="Q355" s="309"/>
      <c r="R355" s="268"/>
      <c r="S355" s="313"/>
      <c r="T355" s="313"/>
      <c r="U355" s="268"/>
      <c r="V355" s="268"/>
      <c r="W355" s="268"/>
      <c r="X355" s="268"/>
      <c r="Y355" s="268"/>
      <c r="Z355" s="268"/>
    </row>
    <row r="356" spans="1:26" ht="24.75" customHeight="1">
      <c r="A356" s="268"/>
      <c r="B356" s="268"/>
      <c r="C356" s="268"/>
      <c r="D356" s="268"/>
      <c r="E356" s="268"/>
      <c r="F356" s="268"/>
      <c r="G356" s="268"/>
      <c r="H356" s="268"/>
      <c r="I356" s="389"/>
      <c r="J356" s="389"/>
      <c r="K356" s="389"/>
      <c r="L356" s="268"/>
      <c r="M356" s="268"/>
      <c r="N356" s="268"/>
      <c r="O356" s="310"/>
      <c r="P356" s="268"/>
      <c r="Q356" s="309"/>
      <c r="R356" s="268"/>
      <c r="S356" s="313"/>
      <c r="T356" s="313"/>
      <c r="U356" s="268"/>
      <c r="V356" s="268"/>
      <c r="W356" s="268"/>
      <c r="X356" s="268"/>
      <c r="Y356" s="268"/>
      <c r="Z356" s="268"/>
    </row>
    <row r="357" spans="1:26" ht="24.75" customHeight="1">
      <c r="A357" s="268"/>
      <c r="B357" s="268"/>
      <c r="C357" s="268"/>
      <c r="D357" s="268"/>
      <c r="E357" s="268"/>
      <c r="F357" s="268"/>
      <c r="G357" s="268"/>
      <c r="H357" s="268"/>
      <c r="I357" s="389"/>
      <c r="J357" s="389"/>
      <c r="K357" s="389"/>
      <c r="L357" s="268"/>
      <c r="M357" s="268"/>
      <c r="N357" s="268"/>
      <c r="O357" s="310"/>
      <c r="P357" s="268"/>
      <c r="Q357" s="309"/>
      <c r="R357" s="268"/>
      <c r="S357" s="313"/>
      <c r="T357" s="313"/>
      <c r="U357" s="268"/>
      <c r="V357" s="268"/>
      <c r="W357" s="268"/>
      <c r="X357" s="268"/>
      <c r="Y357" s="268"/>
      <c r="Z357" s="268"/>
    </row>
    <row r="358" spans="1:26" ht="24.75" customHeight="1">
      <c r="A358" s="268"/>
      <c r="B358" s="268"/>
      <c r="C358" s="268"/>
      <c r="D358" s="268"/>
      <c r="E358" s="268"/>
      <c r="F358" s="268"/>
      <c r="G358" s="268"/>
      <c r="H358" s="268"/>
      <c r="I358" s="389"/>
      <c r="J358" s="389"/>
      <c r="K358" s="389"/>
      <c r="L358" s="268"/>
      <c r="M358" s="268"/>
      <c r="N358" s="268"/>
      <c r="O358" s="310"/>
      <c r="P358" s="268"/>
      <c r="Q358" s="309"/>
      <c r="R358" s="268"/>
      <c r="S358" s="313"/>
      <c r="T358" s="313"/>
      <c r="U358" s="268"/>
      <c r="V358" s="268"/>
      <c r="W358" s="268"/>
      <c r="X358" s="268"/>
      <c r="Y358" s="268"/>
      <c r="Z358" s="268"/>
    </row>
    <row r="359" spans="1:26" ht="24.75" customHeight="1">
      <c r="A359" s="268"/>
      <c r="B359" s="268"/>
      <c r="C359" s="268"/>
      <c r="D359" s="268"/>
      <c r="E359" s="268"/>
      <c r="F359" s="268"/>
      <c r="G359" s="268"/>
      <c r="H359" s="268"/>
      <c r="I359" s="389"/>
      <c r="J359" s="389"/>
      <c r="K359" s="389"/>
      <c r="L359" s="268"/>
      <c r="M359" s="268"/>
      <c r="N359" s="268"/>
      <c r="O359" s="310"/>
      <c r="P359" s="268"/>
      <c r="Q359" s="309"/>
      <c r="R359" s="268"/>
      <c r="S359" s="313"/>
      <c r="T359" s="313"/>
      <c r="U359" s="268"/>
      <c r="V359" s="268"/>
      <c r="W359" s="268"/>
      <c r="X359" s="268"/>
      <c r="Y359" s="268"/>
      <c r="Z359" s="268"/>
    </row>
    <row r="360" spans="1:26" ht="24.75" customHeight="1">
      <c r="A360" s="268"/>
      <c r="B360" s="268"/>
      <c r="C360" s="268"/>
      <c r="D360" s="268"/>
      <c r="E360" s="268"/>
      <c r="F360" s="268"/>
      <c r="G360" s="268"/>
      <c r="H360" s="268"/>
      <c r="I360" s="389"/>
      <c r="J360" s="389"/>
      <c r="K360" s="389"/>
      <c r="L360" s="268"/>
      <c r="M360" s="268"/>
      <c r="N360" s="268"/>
      <c r="O360" s="310"/>
      <c r="P360" s="268"/>
      <c r="Q360" s="309"/>
      <c r="R360" s="268"/>
      <c r="S360" s="313"/>
      <c r="T360" s="313"/>
      <c r="U360" s="268"/>
      <c r="V360" s="268"/>
      <c r="W360" s="268"/>
      <c r="X360" s="268"/>
      <c r="Y360" s="268"/>
      <c r="Z360" s="268"/>
    </row>
    <row r="361" spans="1:26" ht="24.75" customHeight="1">
      <c r="A361" s="268"/>
      <c r="B361" s="268"/>
      <c r="C361" s="268"/>
      <c r="D361" s="268"/>
      <c r="E361" s="268"/>
      <c r="F361" s="268"/>
      <c r="G361" s="268"/>
      <c r="H361" s="268"/>
      <c r="I361" s="389"/>
      <c r="J361" s="389"/>
      <c r="K361" s="389"/>
      <c r="L361" s="268"/>
      <c r="M361" s="268"/>
      <c r="N361" s="268"/>
      <c r="O361" s="310"/>
      <c r="P361" s="268"/>
      <c r="Q361" s="309"/>
      <c r="R361" s="268"/>
      <c r="S361" s="313"/>
      <c r="T361" s="313"/>
      <c r="U361" s="268"/>
      <c r="V361" s="268"/>
      <c r="W361" s="268"/>
      <c r="X361" s="268"/>
      <c r="Y361" s="268"/>
      <c r="Z361" s="268"/>
    </row>
    <row r="362" spans="1:26" ht="24.75" customHeight="1">
      <c r="A362" s="268"/>
      <c r="B362" s="268"/>
      <c r="C362" s="268"/>
      <c r="D362" s="268"/>
      <c r="E362" s="268"/>
      <c r="F362" s="268"/>
      <c r="G362" s="268"/>
      <c r="H362" s="268"/>
      <c r="I362" s="389"/>
      <c r="J362" s="389"/>
      <c r="K362" s="389"/>
      <c r="L362" s="268"/>
      <c r="M362" s="268"/>
      <c r="N362" s="268"/>
      <c r="O362" s="310"/>
      <c r="P362" s="268"/>
      <c r="Q362" s="309"/>
      <c r="R362" s="268"/>
      <c r="S362" s="313"/>
      <c r="T362" s="313"/>
      <c r="U362" s="268"/>
      <c r="V362" s="268"/>
      <c r="W362" s="268"/>
      <c r="X362" s="268"/>
      <c r="Y362" s="268"/>
      <c r="Z362" s="268"/>
    </row>
    <row r="363" spans="1:26" ht="24.75" customHeight="1">
      <c r="A363" s="268"/>
      <c r="B363" s="268"/>
      <c r="C363" s="268"/>
      <c r="D363" s="268"/>
      <c r="E363" s="268"/>
      <c r="F363" s="268"/>
      <c r="G363" s="268"/>
      <c r="H363" s="268"/>
      <c r="I363" s="389"/>
      <c r="J363" s="389"/>
      <c r="K363" s="389"/>
      <c r="L363" s="268"/>
      <c r="M363" s="268"/>
      <c r="N363" s="268"/>
      <c r="O363" s="310"/>
      <c r="P363" s="268"/>
      <c r="Q363" s="309"/>
      <c r="R363" s="268"/>
      <c r="S363" s="313"/>
      <c r="T363" s="313"/>
      <c r="U363" s="268"/>
      <c r="V363" s="268"/>
      <c r="W363" s="268"/>
      <c r="X363" s="268"/>
      <c r="Y363" s="268"/>
      <c r="Z363" s="268"/>
    </row>
    <row r="364" spans="1:26" ht="24.75" customHeight="1">
      <c r="A364" s="268"/>
      <c r="B364" s="268"/>
      <c r="C364" s="268"/>
      <c r="D364" s="268"/>
      <c r="E364" s="268"/>
      <c r="F364" s="268"/>
      <c r="G364" s="268"/>
      <c r="H364" s="268"/>
      <c r="I364" s="389"/>
      <c r="J364" s="389"/>
      <c r="K364" s="389"/>
      <c r="L364" s="268"/>
      <c r="M364" s="268"/>
      <c r="N364" s="268"/>
      <c r="O364" s="310"/>
      <c r="P364" s="268"/>
      <c r="Q364" s="309"/>
      <c r="R364" s="268"/>
      <c r="S364" s="313"/>
      <c r="T364" s="313"/>
      <c r="U364" s="268"/>
      <c r="V364" s="268"/>
      <c r="W364" s="268"/>
      <c r="X364" s="268"/>
      <c r="Y364" s="268"/>
      <c r="Z364" s="268"/>
    </row>
    <row r="365" spans="1:26" ht="24.75" customHeight="1">
      <c r="A365" s="268"/>
      <c r="B365" s="268"/>
      <c r="C365" s="268"/>
      <c r="D365" s="268"/>
      <c r="E365" s="268"/>
      <c r="F365" s="268"/>
      <c r="G365" s="268"/>
      <c r="H365" s="268"/>
      <c r="I365" s="389"/>
      <c r="J365" s="389"/>
      <c r="K365" s="389"/>
      <c r="L365" s="268"/>
      <c r="M365" s="268"/>
      <c r="N365" s="268"/>
      <c r="O365" s="310"/>
      <c r="P365" s="268"/>
      <c r="Q365" s="309"/>
      <c r="R365" s="268"/>
      <c r="S365" s="313"/>
      <c r="T365" s="313"/>
      <c r="U365" s="268"/>
      <c r="V365" s="268"/>
      <c r="W365" s="268"/>
      <c r="X365" s="268"/>
      <c r="Y365" s="268"/>
      <c r="Z365" s="268"/>
    </row>
    <row r="366" spans="1:26" ht="24.75" customHeight="1">
      <c r="A366" s="268"/>
      <c r="B366" s="268"/>
      <c r="C366" s="268"/>
      <c r="D366" s="268"/>
      <c r="E366" s="268"/>
      <c r="F366" s="268"/>
      <c r="G366" s="268"/>
      <c r="H366" s="268"/>
      <c r="I366" s="389"/>
      <c r="J366" s="389"/>
      <c r="K366" s="389"/>
      <c r="L366" s="268"/>
      <c r="M366" s="268"/>
      <c r="N366" s="268"/>
      <c r="O366" s="310"/>
      <c r="P366" s="268"/>
      <c r="Q366" s="309"/>
      <c r="R366" s="268"/>
      <c r="S366" s="313"/>
      <c r="T366" s="313"/>
      <c r="U366" s="268"/>
      <c r="V366" s="268"/>
      <c r="W366" s="268"/>
      <c r="X366" s="268"/>
      <c r="Y366" s="268"/>
      <c r="Z366" s="268"/>
    </row>
    <row r="367" spans="1:26" ht="24.75" customHeight="1">
      <c r="A367" s="268"/>
      <c r="B367" s="268"/>
      <c r="C367" s="268"/>
      <c r="D367" s="268"/>
      <c r="E367" s="268"/>
      <c r="F367" s="268"/>
      <c r="G367" s="268"/>
      <c r="H367" s="268"/>
      <c r="I367" s="389"/>
      <c r="J367" s="389"/>
      <c r="K367" s="389"/>
      <c r="L367" s="268"/>
      <c r="M367" s="268"/>
      <c r="N367" s="268"/>
      <c r="O367" s="310"/>
      <c r="P367" s="268"/>
      <c r="Q367" s="309"/>
      <c r="R367" s="268"/>
      <c r="S367" s="313"/>
      <c r="T367" s="313"/>
      <c r="U367" s="268"/>
      <c r="V367" s="268"/>
      <c r="W367" s="268"/>
      <c r="X367" s="268"/>
      <c r="Y367" s="268"/>
      <c r="Z367" s="268"/>
    </row>
    <row r="368" spans="1:26" ht="24.75" customHeight="1">
      <c r="A368" s="268"/>
      <c r="B368" s="268"/>
      <c r="C368" s="268"/>
      <c r="D368" s="268"/>
      <c r="E368" s="268"/>
      <c r="F368" s="268"/>
      <c r="G368" s="268"/>
      <c r="H368" s="268"/>
      <c r="I368" s="389"/>
      <c r="J368" s="389"/>
      <c r="K368" s="389"/>
      <c r="L368" s="268"/>
      <c r="M368" s="268"/>
      <c r="N368" s="268"/>
      <c r="O368" s="310"/>
      <c r="P368" s="268"/>
      <c r="Q368" s="309"/>
      <c r="R368" s="268"/>
      <c r="S368" s="313"/>
      <c r="T368" s="313"/>
      <c r="U368" s="268"/>
      <c r="V368" s="268"/>
      <c r="W368" s="268"/>
      <c r="X368" s="268"/>
      <c r="Y368" s="268"/>
      <c r="Z368" s="268"/>
    </row>
    <row r="369" spans="1:26" ht="24.75" customHeight="1">
      <c r="A369" s="268"/>
      <c r="B369" s="268"/>
      <c r="C369" s="268"/>
      <c r="D369" s="268"/>
      <c r="E369" s="268"/>
      <c r="F369" s="268"/>
      <c r="G369" s="268"/>
      <c r="H369" s="268"/>
      <c r="I369" s="389"/>
      <c r="J369" s="389"/>
      <c r="K369" s="389"/>
      <c r="L369" s="268"/>
      <c r="M369" s="268"/>
      <c r="N369" s="268"/>
      <c r="O369" s="310"/>
      <c r="P369" s="268"/>
      <c r="Q369" s="309"/>
      <c r="R369" s="268"/>
      <c r="S369" s="313"/>
      <c r="T369" s="313"/>
      <c r="U369" s="268"/>
      <c r="V369" s="268"/>
      <c r="W369" s="268"/>
      <c r="X369" s="268"/>
      <c r="Y369" s="268"/>
      <c r="Z369" s="268"/>
    </row>
    <row r="370" spans="1:26" ht="24.75" customHeight="1">
      <c r="A370" s="268"/>
      <c r="B370" s="268"/>
      <c r="C370" s="268"/>
      <c r="D370" s="268"/>
      <c r="E370" s="268"/>
      <c r="F370" s="268"/>
      <c r="G370" s="268"/>
      <c r="H370" s="268"/>
      <c r="I370" s="389"/>
      <c r="J370" s="389"/>
      <c r="K370" s="389"/>
      <c r="L370" s="268"/>
      <c r="M370" s="268"/>
      <c r="N370" s="268"/>
      <c r="O370" s="310"/>
      <c r="P370" s="268"/>
      <c r="Q370" s="309"/>
      <c r="R370" s="268"/>
      <c r="S370" s="313"/>
      <c r="T370" s="313"/>
      <c r="U370" s="268"/>
      <c r="V370" s="268"/>
      <c r="W370" s="268"/>
      <c r="X370" s="268"/>
      <c r="Y370" s="268"/>
      <c r="Z370" s="268"/>
    </row>
    <row r="371" spans="1:26" ht="24.75" customHeight="1">
      <c r="A371" s="268"/>
      <c r="B371" s="268"/>
      <c r="C371" s="268"/>
      <c r="D371" s="268"/>
      <c r="E371" s="268"/>
      <c r="F371" s="268"/>
      <c r="G371" s="268"/>
      <c r="H371" s="268"/>
      <c r="I371" s="389"/>
      <c r="J371" s="389"/>
      <c r="K371" s="389"/>
      <c r="L371" s="268"/>
      <c r="M371" s="268"/>
      <c r="N371" s="268"/>
      <c r="O371" s="310"/>
      <c r="P371" s="268"/>
      <c r="Q371" s="309"/>
      <c r="R371" s="268"/>
      <c r="S371" s="313"/>
      <c r="T371" s="313"/>
      <c r="U371" s="268"/>
      <c r="V371" s="268"/>
      <c r="W371" s="268"/>
      <c r="X371" s="268"/>
      <c r="Y371" s="268"/>
      <c r="Z371" s="268"/>
    </row>
    <row r="372" spans="1:26" ht="24.75" customHeight="1">
      <c r="A372" s="268"/>
      <c r="B372" s="268"/>
      <c r="C372" s="268"/>
      <c r="D372" s="268"/>
      <c r="E372" s="268"/>
      <c r="F372" s="268"/>
      <c r="G372" s="268"/>
      <c r="H372" s="268"/>
      <c r="I372" s="389"/>
      <c r="J372" s="389"/>
      <c r="K372" s="389"/>
      <c r="L372" s="268"/>
      <c r="M372" s="268"/>
      <c r="N372" s="268"/>
      <c r="O372" s="310"/>
      <c r="P372" s="268"/>
      <c r="Q372" s="309"/>
      <c r="R372" s="268"/>
      <c r="S372" s="313"/>
      <c r="T372" s="313"/>
      <c r="U372" s="268"/>
      <c r="V372" s="268"/>
      <c r="W372" s="268"/>
      <c r="X372" s="268"/>
      <c r="Y372" s="268"/>
      <c r="Z372" s="268"/>
    </row>
    <row r="373" spans="1:26" ht="24.75" customHeight="1">
      <c r="A373" s="268"/>
      <c r="B373" s="268"/>
      <c r="C373" s="268"/>
      <c r="D373" s="268"/>
      <c r="E373" s="268"/>
      <c r="F373" s="268"/>
      <c r="G373" s="268"/>
      <c r="H373" s="268"/>
      <c r="I373" s="389"/>
      <c r="J373" s="389"/>
      <c r="K373" s="389"/>
      <c r="L373" s="268"/>
      <c r="M373" s="268"/>
      <c r="N373" s="268"/>
      <c r="O373" s="310"/>
      <c r="P373" s="268"/>
      <c r="Q373" s="309"/>
      <c r="R373" s="268"/>
      <c r="S373" s="313"/>
      <c r="T373" s="313"/>
      <c r="U373" s="268"/>
      <c r="V373" s="268"/>
      <c r="W373" s="268"/>
      <c r="X373" s="268"/>
      <c r="Y373" s="268"/>
      <c r="Z373" s="268"/>
    </row>
    <row r="374" spans="1:26" ht="24.75" customHeight="1">
      <c r="A374" s="268"/>
      <c r="B374" s="268"/>
      <c r="C374" s="268"/>
      <c r="D374" s="268"/>
      <c r="E374" s="268"/>
      <c r="F374" s="268"/>
      <c r="G374" s="268"/>
      <c r="H374" s="268"/>
      <c r="I374" s="389"/>
      <c r="J374" s="389"/>
      <c r="K374" s="389"/>
      <c r="L374" s="268"/>
      <c r="M374" s="268"/>
      <c r="N374" s="268"/>
      <c r="O374" s="310"/>
      <c r="P374" s="268"/>
      <c r="Q374" s="309"/>
      <c r="R374" s="268"/>
      <c r="S374" s="313"/>
      <c r="T374" s="313"/>
      <c r="U374" s="268"/>
      <c r="V374" s="268"/>
      <c r="W374" s="268"/>
      <c r="X374" s="268"/>
      <c r="Y374" s="268"/>
      <c r="Z374" s="268"/>
    </row>
    <row r="375" spans="1:26" ht="24.75" customHeight="1">
      <c r="A375" s="268"/>
      <c r="B375" s="268"/>
      <c r="C375" s="268"/>
      <c r="D375" s="268"/>
      <c r="E375" s="268"/>
      <c r="F375" s="268"/>
      <c r="G375" s="268"/>
      <c r="H375" s="268"/>
      <c r="I375" s="389"/>
      <c r="J375" s="389"/>
      <c r="K375" s="389"/>
      <c r="L375" s="268"/>
      <c r="M375" s="268"/>
      <c r="N375" s="268"/>
      <c r="O375" s="310"/>
      <c r="P375" s="268"/>
      <c r="Q375" s="309"/>
      <c r="R375" s="268"/>
      <c r="S375" s="313"/>
      <c r="T375" s="313"/>
      <c r="U375" s="268"/>
      <c r="V375" s="268"/>
      <c r="W375" s="268"/>
      <c r="X375" s="268"/>
      <c r="Y375" s="268"/>
      <c r="Z375" s="268"/>
    </row>
    <row r="376" spans="1:26" ht="24.75" customHeight="1">
      <c r="A376" s="268"/>
      <c r="B376" s="268"/>
      <c r="C376" s="268"/>
      <c r="D376" s="268"/>
      <c r="E376" s="268"/>
      <c r="F376" s="268"/>
      <c r="G376" s="268"/>
      <c r="H376" s="268"/>
      <c r="I376" s="389"/>
      <c r="J376" s="389"/>
      <c r="K376" s="389"/>
      <c r="L376" s="268"/>
      <c r="M376" s="268"/>
      <c r="N376" s="268"/>
      <c r="O376" s="310"/>
      <c r="P376" s="268"/>
      <c r="Q376" s="309"/>
      <c r="R376" s="268"/>
      <c r="S376" s="313"/>
      <c r="T376" s="313"/>
      <c r="U376" s="268"/>
      <c r="V376" s="268"/>
      <c r="W376" s="268"/>
      <c r="X376" s="268"/>
      <c r="Y376" s="268"/>
      <c r="Z376" s="268"/>
    </row>
    <row r="377" spans="1:26" ht="24.75" customHeight="1">
      <c r="A377" s="268"/>
      <c r="B377" s="268"/>
      <c r="C377" s="268"/>
      <c r="D377" s="268"/>
      <c r="E377" s="268"/>
      <c r="F377" s="268"/>
      <c r="G377" s="268"/>
      <c r="H377" s="268"/>
      <c r="I377" s="389"/>
      <c r="J377" s="389"/>
      <c r="K377" s="389"/>
      <c r="L377" s="268"/>
      <c r="M377" s="268"/>
      <c r="N377" s="268"/>
      <c r="O377" s="310"/>
      <c r="P377" s="268"/>
      <c r="Q377" s="309"/>
      <c r="R377" s="268"/>
      <c r="S377" s="313"/>
      <c r="T377" s="313"/>
      <c r="U377" s="268"/>
      <c r="V377" s="268"/>
      <c r="W377" s="268"/>
      <c r="X377" s="268"/>
      <c r="Y377" s="268"/>
      <c r="Z377" s="268"/>
    </row>
    <row r="378" spans="1:26" ht="24.75" customHeight="1">
      <c r="A378" s="268"/>
      <c r="B378" s="268"/>
      <c r="C378" s="268"/>
      <c r="D378" s="268"/>
      <c r="E378" s="268"/>
      <c r="F378" s="268"/>
      <c r="G378" s="268"/>
      <c r="H378" s="268"/>
      <c r="I378" s="389"/>
      <c r="J378" s="389"/>
      <c r="K378" s="389"/>
      <c r="L378" s="268"/>
      <c r="M378" s="268"/>
      <c r="N378" s="268"/>
      <c r="O378" s="310"/>
      <c r="P378" s="268"/>
      <c r="Q378" s="309"/>
      <c r="R378" s="268"/>
      <c r="S378" s="313"/>
      <c r="T378" s="313"/>
      <c r="U378" s="268"/>
      <c r="V378" s="268"/>
      <c r="W378" s="268"/>
      <c r="X378" s="268"/>
      <c r="Y378" s="268"/>
      <c r="Z378" s="268"/>
    </row>
    <row r="379" spans="1:26" ht="24.75" customHeight="1">
      <c r="A379" s="268"/>
      <c r="B379" s="268"/>
      <c r="C379" s="268"/>
      <c r="D379" s="268"/>
      <c r="E379" s="268"/>
      <c r="F379" s="268"/>
      <c r="G379" s="268"/>
      <c r="H379" s="268"/>
      <c r="I379" s="389"/>
      <c r="J379" s="389"/>
      <c r="K379" s="389"/>
      <c r="L379" s="268"/>
      <c r="M379" s="268"/>
      <c r="N379" s="268"/>
      <c r="O379" s="310"/>
      <c r="P379" s="268"/>
      <c r="Q379" s="309"/>
      <c r="R379" s="268"/>
      <c r="S379" s="313"/>
      <c r="T379" s="313"/>
      <c r="U379" s="268"/>
      <c r="V379" s="268"/>
      <c r="W379" s="268"/>
      <c r="X379" s="268"/>
      <c r="Y379" s="268"/>
      <c r="Z379" s="268"/>
    </row>
    <row r="380" spans="1:26" ht="24.75" customHeight="1">
      <c r="A380" s="268"/>
      <c r="B380" s="268"/>
      <c r="C380" s="268"/>
      <c r="D380" s="268"/>
      <c r="E380" s="268"/>
      <c r="F380" s="268"/>
      <c r="G380" s="268"/>
      <c r="H380" s="268"/>
      <c r="I380" s="389"/>
      <c r="J380" s="389"/>
      <c r="K380" s="389"/>
      <c r="L380" s="268"/>
      <c r="M380" s="268"/>
      <c r="N380" s="268"/>
      <c r="O380" s="310"/>
      <c r="P380" s="268"/>
      <c r="Q380" s="309"/>
      <c r="R380" s="268"/>
      <c r="S380" s="313"/>
      <c r="T380" s="313"/>
      <c r="U380" s="268"/>
      <c r="V380" s="268"/>
      <c r="W380" s="268"/>
      <c r="X380" s="268"/>
      <c r="Y380" s="268"/>
      <c r="Z380" s="268"/>
    </row>
    <row r="381" spans="1:26" ht="24.75" customHeight="1">
      <c r="A381" s="268"/>
      <c r="B381" s="268"/>
      <c r="C381" s="268"/>
      <c r="D381" s="268"/>
      <c r="E381" s="268"/>
      <c r="F381" s="268"/>
      <c r="G381" s="268"/>
      <c r="H381" s="268"/>
      <c r="I381" s="389"/>
      <c r="J381" s="389"/>
      <c r="K381" s="389"/>
      <c r="L381" s="268"/>
      <c r="M381" s="268"/>
      <c r="N381" s="268"/>
      <c r="O381" s="310"/>
      <c r="P381" s="268"/>
      <c r="Q381" s="309"/>
      <c r="R381" s="268"/>
      <c r="S381" s="313"/>
      <c r="T381" s="313"/>
      <c r="U381" s="268"/>
      <c r="V381" s="268"/>
      <c r="W381" s="268"/>
      <c r="X381" s="268"/>
      <c r="Y381" s="268"/>
      <c r="Z381" s="268"/>
    </row>
    <row r="382" spans="1:26" ht="24.75" customHeight="1">
      <c r="A382" s="268"/>
      <c r="B382" s="268"/>
      <c r="C382" s="268"/>
      <c r="D382" s="268"/>
      <c r="E382" s="268"/>
      <c r="F382" s="268"/>
      <c r="G382" s="268"/>
      <c r="H382" s="268"/>
      <c r="I382" s="389"/>
      <c r="J382" s="389"/>
      <c r="K382" s="389"/>
      <c r="L382" s="268"/>
      <c r="M382" s="268"/>
      <c r="N382" s="268"/>
      <c r="O382" s="310"/>
      <c r="P382" s="268"/>
      <c r="Q382" s="309"/>
      <c r="R382" s="268"/>
      <c r="S382" s="313"/>
      <c r="T382" s="313"/>
      <c r="U382" s="268"/>
      <c r="V382" s="268"/>
      <c r="W382" s="268"/>
      <c r="X382" s="268"/>
      <c r="Y382" s="268"/>
      <c r="Z382" s="268"/>
    </row>
    <row r="383" spans="1:26" ht="24.75" customHeight="1">
      <c r="A383" s="268"/>
      <c r="B383" s="268"/>
      <c r="C383" s="268"/>
      <c r="D383" s="268"/>
      <c r="E383" s="268"/>
      <c r="F383" s="268"/>
      <c r="G383" s="268"/>
      <c r="H383" s="268"/>
      <c r="I383" s="389"/>
      <c r="J383" s="389"/>
      <c r="K383" s="389"/>
      <c r="L383" s="268"/>
      <c r="M383" s="268"/>
      <c r="N383" s="268"/>
      <c r="O383" s="310"/>
      <c r="P383" s="268"/>
      <c r="Q383" s="309"/>
      <c r="R383" s="268"/>
      <c r="S383" s="313"/>
      <c r="T383" s="313"/>
      <c r="U383" s="268"/>
      <c r="V383" s="268"/>
      <c r="W383" s="268"/>
      <c r="X383" s="268"/>
      <c r="Y383" s="268"/>
      <c r="Z383" s="268"/>
    </row>
    <row r="384" spans="1:26" ht="24.75" customHeight="1">
      <c r="A384" s="268"/>
      <c r="B384" s="268"/>
      <c r="C384" s="268"/>
      <c r="D384" s="268"/>
      <c r="E384" s="268"/>
      <c r="F384" s="268"/>
      <c r="G384" s="268"/>
      <c r="H384" s="268"/>
      <c r="I384" s="389"/>
      <c r="J384" s="389"/>
      <c r="K384" s="389"/>
      <c r="L384" s="268"/>
      <c r="M384" s="268"/>
      <c r="N384" s="268"/>
      <c r="O384" s="310"/>
      <c r="P384" s="268"/>
      <c r="Q384" s="309"/>
      <c r="R384" s="268"/>
      <c r="S384" s="313"/>
      <c r="T384" s="313"/>
      <c r="U384" s="268"/>
      <c r="V384" s="268"/>
      <c r="W384" s="268"/>
      <c r="X384" s="268"/>
      <c r="Y384" s="268"/>
      <c r="Z384" s="268"/>
    </row>
    <row r="385" spans="1:26" ht="24.75" customHeight="1">
      <c r="A385" s="268"/>
      <c r="B385" s="268"/>
      <c r="C385" s="268"/>
      <c r="D385" s="268"/>
      <c r="E385" s="268"/>
      <c r="F385" s="268"/>
      <c r="G385" s="268"/>
      <c r="H385" s="268"/>
      <c r="I385" s="389"/>
      <c r="J385" s="389"/>
      <c r="K385" s="389"/>
      <c r="L385" s="268"/>
      <c r="M385" s="268"/>
      <c r="N385" s="268"/>
      <c r="O385" s="310"/>
      <c r="P385" s="268"/>
      <c r="Q385" s="309"/>
      <c r="R385" s="268"/>
      <c r="S385" s="313"/>
      <c r="T385" s="313"/>
      <c r="U385" s="268"/>
      <c r="V385" s="268"/>
      <c r="W385" s="268"/>
      <c r="X385" s="268"/>
      <c r="Y385" s="268"/>
      <c r="Z385" s="268"/>
    </row>
    <row r="386" spans="1:26" ht="24.75" customHeight="1">
      <c r="A386" s="268"/>
      <c r="B386" s="268"/>
      <c r="C386" s="268"/>
      <c r="D386" s="268"/>
      <c r="E386" s="268"/>
      <c r="F386" s="268"/>
      <c r="G386" s="268"/>
      <c r="H386" s="268"/>
      <c r="I386" s="389"/>
      <c r="J386" s="389"/>
      <c r="K386" s="389"/>
      <c r="L386" s="268"/>
      <c r="M386" s="268"/>
      <c r="N386" s="268"/>
      <c r="O386" s="310"/>
      <c r="P386" s="268"/>
      <c r="Q386" s="309"/>
      <c r="R386" s="268"/>
      <c r="S386" s="313"/>
      <c r="T386" s="313"/>
      <c r="U386" s="268"/>
      <c r="V386" s="268"/>
      <c r="W386" s="268"/>
      <c r="X386" s="268"/>
      <c r="Y386" s="268"/>
      <c r="Z386" s="268"/>
    </row>
    <row r="387" spans="1:26" ht="24.75" customHeight="1">
      <c r="A387" s="268"/>
      <c r="B387" s="268"/>
      <c r="C387" s="268"/>
      <c r="D387" s="268"/>
      <c r="E387" s="268"/>
      <c r="F387" s="268"/>
      <c r="G387" s="268"/>
      <c r="H387" s="268"/>
      <c r="I387" s="389"/>
      <c r="J387" s="389"/>
      <c r="K387" s="389"/>
      <c r="L387" s="268"/>
      <c r="M387" s="268"/>
      <c r="N387" s="268"/>
      <c r="O387" s="310"/>
      <c r="P387" s="268"/>
      <c r="Q387" s="309"/>
      <c r="R387" s="268"/>
      <c r="S387" s="313"/>
      <c r="T387" s="313"/>
      <c r="U387" s="268"/>
      <c r="V387" s="268"/>
      <c r="W387" s="268"/>
      <c r="X387" s="268"/>
      <c r="Y387" s="268"/>
      <c r="Z387" s="268"/>
    </row>
    <row r="388" spans="1:26" ht="24.75" customHeight="1">
      <c r="A388" s="268"/>
      <c r="B388" s="268"/>
      <c r="C388" s="268"/>
      <c r="D388" s="268"/>
      <c r="E388" s="268"/>
      <c r="F388" s="268"/>
      <c r="G388" s="268"/>
      <c r="H388" s="268"/>
      <c r="I388" s="389"/>
      <c r="J388" s="389"/>
      <c r="K388" s="389"/>
      <c r="L388" s="268"/>
      <c r="M388" s="268"/>
      <c r="N388" s="268"/>
      <c r="O388" s="310"/>
      <c r="P388" s="268"/>
      <c r="Q388" s="309"/>
      <c r="R388" s="268"/>
      <c r="S388" s="313"/>
      <c r="T388" s="313"/>
      <c r="U388" s="268"/>
      <c r="V388" s="268"/>
      <c r="W388" s="268"/>
      <c r="X388" s="268"/>
      <c r="Y388" s="268"/>
      <c r="Z388" s="268"/>
    </row>
    <row r="389" spans="1:26" ht="24.75" customHeight="1">
      <c r="A389" s="268"/>
      <c r="B389" s="268"/>
      <c r="C389" s="268"/>
      <c r="D389" s="268"/>
      <c r="E389" s="268"/>
      <c r="F389" s="268"/>
      <c r="G389" s="268"/>
      <c r="H389" s="268"/>
      <c r="I389" s="389"/>
      <c r="J389" s="389"/>
      <c r="K389" s="389"/>
      <c r="L389" s="268"/>
      <c r="M389" s="268"/>
      <c r="N389" s="268"/>
      <c r="O389" s="310"/>
      <c r="P389" s="268"/>
      <c r="Q389" s="309"/>
      <c r="R389" s="268"/>
      <c r="S389" s="313"/>
      <c r="T389" s="313"/>
      <c r="U389" s="268"/>
      <c r="V389" s="268"/>
      <c r="W389" s="268"/>
      <c r="X389" s="268"/>
      <c r="Y389" s="268"/>
      <c r="Z389" s="268"/>
    </row>
    <row r="390" spans="1:26" ht="24.75" customHeight="1">
      <c r="A390" s="268"/>
      <c r="B390" s="268"/>
      <c r="C390" s="268"/>
      <c r="D390" s="268"/>
      <c r="E390" s="268"/>
      <c r="F390" s="268"/>
      <c r="G390" s="268"/>
      <c r="H390" s="268"/>
      <c r="I390" s="389"/>
      <c r="J390" s="389"/>
      <c r="K390" s="389"/>
      <c r="L390" s="268"/>
      <c r="M390" s="268"/>
      <c r="N390" s="268"/>
      <c r="O390" s="310"/>
      <c r="P390" s="268"/>
      <c r="Q390" s="309"/>
      <c r="R390" s="268"/>
      <c r="S390" s="313"/>
      <c r="T390" s="313"/>
      <c r="U390" s="268"/>
      <c r="V390" s="268"/>
      <c r="W390" s="268"/>
      <c r="X390" s="268"/>
      <c r="Y390" s="268"/>
      <c r="Z390" s="268"/>
    </row>
    <row r="391" spans="1:26" ht="24.75" customHeight="1">
      <c r="A391" s="268"/>
      <c r="B391" s="268"/>
      <c r="C391" s="268"/>
      <c r="D391" s="268"/>
      <c r="E391" s="268"/>
      <c r="F391" s="268"/>
      <c r="G391" s="268"/>
      <c r="H391" s="268"/>
      <c r="I391" s="389"/>
      <c r="J391" s="389"/>
      <c r="K391" s="389"/>
      <c r="L391" s="268"/>
      <c r="M391" s="268"/>
      <c r="N391" s="268"/>
      <c r="O391" s="310"/>
      <c r="P391" s="268"/>
      <c r="Q391" s="309"/>
      <c r="R391" s="268"/>
      <c r="S391" s="313"/>
      <c r="T391" s="313"/>
      <c r="U391" s="268"/>
      <c r="V391" s="268"/>
      <c r="W391" s="268"/>
      <c r="X391" s="268"/>
      <c r="Y391" s="268"/>
      <c r="Z391" s="268"/>
    </row>
    <row r="392" spans="1:26" ht="24.75" customHeight="1">
      <c r="A392" s="268"/>
      <c r="B392" s="268"/>
      <c r="C392" s="268"/>
      <c r="D392" s="268"/>
      <c r="E392" s="268"/>
      <c r="F392" s="268"/>
      <c r="G392" s="268"/>
      <c r="H392" s="268"/>
      <c r="I392" s="389"/>
      <c r="J392" s="389"/>
      <c r="K392" s="389"/>
      <c r="L392" s="268"/>
      <c r="M392" s="268"/>
      <c r="N392" s="268"/>
      <c r="O392" s="310"/>
      <c r="P392" s="268"/>
      <c r="Q392" s="309"/>
      <c r="R392" s="268"/>
      <c r="S392" s="313"/>
      <c r="T392" s="313"/>
      <c r="U392" s="268"/>
      <c r="V392" s="268"/>
      <c r="W392" s="268"/>
      <c r="X392" s="268"/>
      <c r="Y392" s="268"/>
      <c r="Z392" s="268"/>
    </row>
    <row r="393" spans="1:26" ht="24.75" customHeight="1">
      <c r="A393" s="268"/>
      <c r="B393" s="268"/>
      <c r="C393" s="268"/>
      <c r="D393" s="268"/>
      <c r="E393" s="268"/>
      <c r="F393" s="268"/>
      <c r="G393" s="268"/>
      <c r="H393" s="268"/>
      <c r="I393" s="389"/>
      <c r="J393" s="389"/>
      <c r="K393" s="389"/>
      <c r="L393" s="268"/>
      <c r="M393" s="268"/>
      <c r="N393" s="268"/>
      <c r="O393" s="310"/>
      <c r="P393" s="268"/>
      <c r="Q393" s="309"/>
      <c r="R393" s="268"/>
      <c r="S393" s="313"/>
      <c r="T393" s="313"/>
      <c r="U393" s="268"/>
      <c r="V393" s="268"/>
      <c r="W393" s="268"/>
      <c r="X393" s="268"/>
      <c r="Y393" s="268"/>
      <c r="Z393" s="268"/>
    </row>
    <row r="394" spans="1:26" ht="24.75" customHeight="1">
      <c r="A394" s="268"/>
      <c r="B394" s="268"/>
      <c r="C394" s="268"/>
      <c r="D394" s="268"/>
      <c r="E394" s="268"/>
      <c r="F394" s="268"/>
      <c r="G394" s="268"/>
      <c r="H394" s="268"/>
      <c r="I394" s="389"/>
      <c r="J394" s="389"/>
      <c r="K394" s="389"/>
      <c r="L394" s="268"/>
      <c r="M394" s="268"/>
      <c r="N394" s="268"/>
      <c r="O394" s="310"/>
      <c r="P394" s="268"/>
      <c r="Q394" s="309"/>
      <c r="R394" s="268"/>
      <c r="S394" s="313"/>
      <c r="T394" s="313"/>
      <c r="U394" s="268"/>
      <c r="V394" s="268"/>
      <c r="W394" s="268"/>
      <c r="X394" s="268"/>
      <c r="Y394" s="268"/>
      <c r="Z394" s="268"/>
    </row>
    <row r="395" spans="1:26" ht="24.75" customHeight="1">
      <c r="A395" s="268"/>
      <c r="B395" s="268"/>
      <c r="C395" s="268"/>
      <c r="D395" s="268"/>
      <c r="E395" s="268"/>
      <c r="F395" s="268"/>
      <c r="G395" s="268"/>
      <c r="H395" s="268"/>
      <c r="I395" s="389"/>
      <c r="J395" s="389"/>
      <c r="K395" s="389"/>
      <c r="L395" s="268"/>
      <c r="M395" s="268"/>
      <c r="N395" s="268"/>
      <c r="O395" s="310"/>
      <c r="P395" s="268"/>
      <c r="Q395" s="309"/>
      <c r="R395" s="268"/>
      <c r="S395" s="313"/>
      <c r="T395" s="313"/>
      <c r="U395" s="268"/>
      <c r="V395" s="268"/>
      <c r="W395" s="268"/>
      <c r="X395" s="268"/>
      <c r="Y395" s="268"/>
      <c r="Z395" s="268"/>
    </row>
    <row r="396" spans="1:26" ht="24.75" customHeight="1">
      <c r="A396" s="268"/>
      <c r="B396" s="268"/>
      <c r="C396" s="268"/>
      <c r="D396" s="268"/>
      <c r="E396" s="268"/>
      <c r="F396" s="268"/>
      <c r="G396" s="268"/>
      <c r="H396" s="268"/>
      <c r="I396" s="389"/>
      <c r="J396" s="389"/>
      <c r="K396" s="389"/>
      <c r="L396" s="268"/>
      <c r="M396" s="268"/>
      <c r="N396" s="268"/>
      <c r="O396" s="310"/>
      <c r="P396" s="268"/>
      <c r="Q396" s="309"/>
      <c r="R396" s="268"/>
      <c r="S396" s="313"/>
      <c r="T396" s="313"/>
      <c r="U396" s="268"/>
      <c r="V396" s="268"/>
      <c r="W396" s="268"/>
      <c r="X396" s="268"/>
      <c r="Y396" s="268"/>
      <c r="Z396" s="268"/>
    </row>
    <row r="397" spans="1:26" ht="24.75" customHeight="1">
      <c r="A397" s="268"/>
      <c r="B397" s="268"/>
      <c r="C397" s="268"/>
      <c r="D397" s="268"/>
      <c r="E397" s="268"/>
      <c r="F397" s="268"/>
      <c r="G397" s="268"/>
      <c r="H397" s="268"/>
      <c r="I397" s="389"/>
      <c r="J397" s="389"/>
      <c r="K397" s="389"/>
      <c r="L397" s="268"/>
      <c r="M397" s="268"/>
      <c r="N397" s="268"/>
      <c r="O397" s="310"/>
      <c r="P397" s="268"/>
      <c r="Q397" s="309"/>
      <c r="R397" s="268"/>
      <c r="S397" s="313"/>
      <c r="T397" s="313"/>
      <c r="U397" s="268"/>
      <c r="V397" s="268"/>
      <c r="W397" s="268"/>
      <c r="X397" s="268"/>
      <c r="Y397" s="268"/>
      <c r="Z397" s="268"/>
    </row>
    <row r="398" spans="1:26" ht="24.75" customHeight="1">
      <c r="A398" s="268"/>
      <c r="B398" s="268"/>
      <c r="C398" s="268"/>
      <c r="D398" s="268"/>
      <c r="E398" s="268"/>
      <c r="F398" s="268"/>
      <c r="G398" s="268"/>
      <c r="H398" s="268"/>
      <c r="I398" s="389"/>
      <c r="J398" s="389"/>
      <c r="K398" s="389"/>
      <c r="L398" s="268"/>
      <c r="M398" s="268"/>
      <c r="N398" s="268"/>
      <c r="O398" s="310"/>
      <c r="P398" s="268"/>
      <c r="Q398" s="309"/>
      <c r="R398" s="268"/>
      <c r="S398" s="313"/>
      <c r="T398" s="313"/>
      <c r="U398" s="268"/>
      <c r="V398" s="268"/>
      <c r="W398" s="268"/>
      <c r="X398" s="268"/>
      <c r="Y398" s="268"/>
      <c r="Z398" s="268"/>
    </row>
    <row r="399" spans="1:26" ht="24.75" customHeight="1">
      <c r="A399" s="268"/>
      <c r="B399" s="268"/>
      <c r="C399" s="268"/>
      <c r="D399" s="268"/>
      <c r="E399" s="268"/>
      <c r="F399" s="268"/>
      <c r="G399" s="268"/>
      <c r="H399" s="268"/>
      <c r="I399" s="389"/>
      <c r="J399" s="389"/>
      <c r="K399" s="389"/>
      <c r="L399" s="268"/>
      <c r="M399" s="268"/>
      <c r="N399" s="268"/>
      <c r="O399" s="310"/>
      <c r="P399" s="268"/>
      <c r="Q399" s="309"/>
      <c r="R399" s="268"/>
      <c r="S399" s="313"/>
      <c r="T399" s="313"/>
      <c r="U399" s="268"/>
      <c r="V399" s="268"/>
      <c r="W399" s="268"/>
      <c r="X399" s="268"/>
      <c r="Y399" s="268"/>
      <c r="Z399" s="268"/>
    </row>
    <row r="400" spans="1:26" ht="24.75" customHeight="1">
      <c r="A400" s="268"/>
      <c r="B400" s="268"/>
      <c r="C400" s="268"/>
      <c r="D400" s="268"/>
      <c r="E400" s="268"/>
      <c r="F400" s="268"/>
      <c r="G400" s="268"/>
      <c r="H400" s="268"/>
      <c r="I400" s="389"/>
      <c r="J400" s="389"/>
      <c r="K400" s="389"/>
      <c r="L400" s="268"/>
      <c r="M400" s="268"/>
      <c r="N400" s="268"/>
      <c r="O400" s="310"/>
      <c r="P400" s="268"/>
      <c r="Q400" s="309"/>
      <c r="R400" s="268"/>
      <c r="S400" s="313"/>
      <c r="T400" s="313"/>
      <c r="U400" s="268"/>
      <c r="V400" s="268"/>
      <c r="W400" s="268"/>
      <c r="X400" s="268"/>
      <c r="Y400" s="268"/>
      <c r="Z400" s="268"/>
    </row>
    <row r="401" spans="1:26" ht="24.75" customHeight="1">
      <c r="A401" s="268"/>
      <c r="B401" s="268"/>
      <c r="C401" s="268"/>
      <c r="D401" s="268"/>
      <c r="E401" s="268"/>
      <c r="F401" s="268"/>
      <c r="G401" s="268"/>
      <c r="H401" s="268"/>
      <c r="I401" s="389"/>
      <c r="J401" s="389"/>
      <c r="K401" s="389"/>
      <c r="L401" s="268"/>
      <c r="M401" s="268"/>
      <c r="N401" s="268"/>
      <c r="O401" s="310"/>
      <c r="P401" s="268"/>
      <c r="Q401" s="309"/>
      <c r="R401" s="268"/>
      <c r="S401" s="313"/>
      <c r="T401" s="313"/>
      <c r="U401" s="268"/>
      <c r="V401" s="268"/>
      <c r="W401" s="268"/>
      <c r="X401" s="268"/>
      <c r="Y401" s="268"/>
      <c r="Z401" s="268"/>
    </row>
    <row r="402" spans="1:26" ht="24.75" customHeight="1">
      <c r="A402" s="268"/>
      <c r="B402" s="268"/>
      <c r="C402" s="268"/>
      <c r="D402" s="268"/>
      <c r="E402" s="268"/>
      <c r="F402" s="268"/>
      <c r="G402" s="268"/>
      <c r="H402" s="268"/>
      <c r="I402" s="389"/>
      <c r="J402" s="389"/>
      <c r="K402" s="389"/>
      <c r="L402" s="268"/>
      <c r="M402" s="268"/>
      <c r="N402" s="268"/>
      <c r="O402" s="310"/>
      <c r="P402" s="268"/>
      <c r="Q402" s="309"/>
      <c r="R402" s="268"/>
      <c r="S402" s="313"/>
      <c r="T402" s="313"/>
      <c r="U402" s="268"/>
      <c r="V402" s="268"/>
      <c r="W402" s="268"/>
      <c r="X402" s="268"/>
      <c r="Y402" s="268"/>
      <c r="Z402" s="268"/>
    </row>
    <row r="403" spans="1:26" ht="24.75" customHeight="1">
      <c r="A403" s="268"/>
      <c r="B403" s="268"/>
      <c r="C403" s="268"/>
      <c r="D403" s="268"/>
      <c r="E403" s="268"/>
      <c r="F403" s="268"/>
      <c r="G403" s="268"/>
      <c r="H403" s="268"/>
      <c r="I403" s="389"/>
      <c r="J403" s="389"/>
      <c r="K403" s="389"/>
      <c r="L403" s="268"/>
      <c r="M403" s="268"/>
      <c r="N403" s="268"/>
      <c r="O403" s="310"/>
      <c r="P403" s="268"/>
      <c r="Q403" s="309"/>
      <c r="R403" s="268"/>
      <c r="S403" s="313"/>
      <c r="T403" s="313"/>
      <c r="U403" s="268"/>
      <c r="V403" s="268"/>
      <c r="W403" s="268"/>
      <c r="X403" s="268"/>
      <c r="Y403" s="268"/>
      <c r="Z403" s="268"/>
    </row>
    <row r="404" spans="1:26" ht="24.75" customHeight="1">
      <c r="A404" s="268"/>
      <c r="B404" s="268"/>
      <c r="C404" s="268"/>
      <c r="D404" s="268"/>
      <c r="E404" s="268"/>
      <c r="F404" s="268"/>
      <c r="G404" s="268"/>
      <c r="H404" s="268"/>
      <c r="I404" s="389"/>
      <c r="J404" s="389"/>
      <c r="K404" s="389"/>
      <c r="L404" s="268"/>
      <c r="M404" s="268"/>
      <c r="N404" s="268"/>
      <c r="O404" s="310"/>
      <c r="P404" s="268"/>
      <c r="Q404" s="309"/>
      <c r="R404" s="268"/>
      <c r="S404" s="313"/>
      <c r="T404" s="313"/>
      <c r="U404" s="268"/>
      <c r="V404" s="268"/>
      <c r="W404" s="268"/>
      <c r="X404" s="268"/>
      <c r="Y404" s="268"/>
      <c r="Z404" s="268"/>
    </row>
    <row r="405" spans="1:26" ht="24.75" customHeight="1">
      <c r="A405" s="268"/>
      <c r="B405" s="268"/>
      <c r="C405" s="268"/>
      <c r="D405" s="268"/>
      <c r="E405" s="268"/>
      <c r="F405" s="268"/>
      <c r="G405" s="268"/>
      <c r="H405" s="268"/>
      <c r="I405" s="389"/>
      <c r="J405" s="389"/>
      <c r="K405" s="389"/>
      <c r="L405" s="268"/>
      <c r="M405" s="268"/>
      <c r="N405" s="268"/>
      <c r="O405" s="310"/>
      <c r="P405" s="268"/>
      <c r="Q405" s="309"/>
      <c r="R405" s="268"/>
      <c r="S405" s="313"/>
      <c r="T405" s="313"/>
      <c r="U405" s="268"/>
      <c r="V405" s="268"/>
      <c r="W405" s="268"/>
      <c r="X405" s="268"/>
      <c r="Y405" s="268"/>
      <c r="Z405" s="268"/>
    </row>
    <row r="406" spans="1:26" ht="24.75" customHeight="1">
      <c r="A406" s="268"/>
      <c r="B406" s="268"/>
      <c r="C406" s="268"/>
      <c r="D406" s="268"/>
      <c r="E406" s="268"/>
      <c r="F406" s="268"/>
      <c r="G406" s="268"/>
      <c r="H406" s="268"/>
      <c r="I406" s="389"/>
      <c r="J406" s="389"/>
      <c r="K406" s="389"/>
      <c r="L406" s="268"/>
      <c r="M406" s="268"/>
      <c r="N406" s="268"/>
      <c r="O406" s="310"/>
      <c r="P406" s="268"/>
      <c r="Q406" s="309"/>
      <c r="R406" s="268"/>
      <c r="S406" s="313"/>
      <c r="T406" s="313"/>
      <c r="U406" s="268"/>
      <c r="V406" s="268"/>
      <c r="W406" s="268"/>
      <c r="X406" s="268"/>
      <c r="Y406" s="268"/>
      <c r="Z406" s="268"/>
    </row>
    <row r="407" spans="1:26" ht="24.75" customHeight="1">
      <c r="A407" s="268"/>
      <c r="B407" s="268"/>
      <c r="C407" s="268"/>
      <c r="D407" s="268"/>
      <c r="E407" s="268"/>
      <c r="F407" s="268"/>
      <c r="G407" s="268"/>
      <c r="H407" s="268"/>
      <c r="I407" s="389"/>
      <c r="J407" s="389"/>
      <c r="K407" s="389"/>
      <c r="L407" s="268"/>
      <c r="M407" s="268"/>
      <c r="N407" s="268"/>
      <c r="O407" s="310"/>
      <c r="P407" s="268"/>
      <c r="Q407" s="309"/>
      <c r="R407" s="268"/>
      <c r="S407" s="313"/>
      <c r="T407" s="313"/>
      <c r="U407" s="268"/>
      <c r="V407" s="268"/>
      <c r="W407" s="268"/>
      <c r="X407" s="268"/>
      <c r="Y407" s="268"/>
      <c r="Z407" s="268"/>
    </row>
    <row r="408" spans="1:26" ht="24.75" customHeight="1">
      <c r="A408" s="268"/>
      <c r="B408" s="268"/>
      <c r="C408" s="268"/>
      <c r="D408" s="268"/>
      <c r="E408" s="268"/>
      <c r="F408" s="268"/>
      <c r="G408" s="268"/>
      <c r="H408" s="268"/>
      <c r="I408" s="389"/>
      <c r="J408" s="389"/>
      <c r="K408" s="389"/>
      <c r="L408" s="268"/>
      <c r="M408" s="268"/>
      <c r="N408" s="268"/>
      <c r="O408" s="310"/>
      <c r="P408" s="268"/>
      <c r="Q408" s="309"/>
      <c r="R408" s="268"/>
      <c r="S408" s="313"/>
      <c r="T408" s="313"/>
      <c r="U408" s="268"/>
      <c r="V408" s="268"/>
      <c r="W408" s="268"/>
      <c r="X408" s="268"/>
      <c r="Y408" s="268"/>
      <c r="Z408" s="268"/>
    </row>
    <row r="409" spans="1:26" ht="24.75" customHeight="1">
      <c r="A409" s="268"/>
      <c r="B409" s="268"/>
      <c r="C409" s="268"/>
      <c r="D409" s="268"/>
      <c r="E409" s="268"/>
      <c r="F409" s="268"/>
      <c r="G409" s="268"/>
      <c r="H409" s="268"/>
      <c r="I409" s="389"/>
      <c r="J409" s="389"/>
      <c r="K409" s="389"/>
      <c r="L409" s="268"/>
      <c r="M409" s="268"/>
      <c r="N409" s="268"/>
      <c r="O409" s="310"/>
      <c r="P409" s="268"/>
      <c r="Q409" s="309"/>
      <c r="R409" s="268"/>
      <c r="S409" s="313"/>
      <c r="T409" s="313"/>
      <c r="U409" s="268"/>
      <c r="V409" s="268"/>
      <c r="W409" s="268"/>
      <c r="X409" s="268"/>
      <c r="Y409" s="268"/>
      <c r="Z409" s="268"/>
    </row>
    <row r="410" spans="1:26" ht="24.75" customHeight="1">
      <c r="A410" s="268"/>
      <c r="B410" s="268"/>
      <c r="C410" s="268"/>
      <c r="D410" s="268"/>
      <c r="E410" s="268"/>
      <c r="F410" s="268"/>
      <c r="G410" s="268"/>
      <c r="H410" s="268"/>
      <c r="I410" s="389"/>
      <c r="J410" s="389"/>
      <c r="K410" s="389"/>
      <c r="L410" s="268"/>
      <c r="M410" s="268"/>
      <c r="N410" s="268"/>
      <c r="O410" s="310"/>
      <c r="P410" s="268"/>
      <c r="Q410" s="309"/>
      <c r="R410" s="268"/>
      <c r="S410" s="313"/>
      <c r="T410" s="313"/>
      <c r="U410" s="268"/>
      <c r="V410" s="268"/>
      <c r="W410" s="268"/>
      <c r="X410" s="268"/>
      <c r="Y410" s="268"/>
      <c r="Z410" s="268"/>
    </row>
    <row r="411" spans="1:26" ht="24.75" customHeight="1">
      <c r="A411" s="268"/>
      <c r="B411" s="268"/>
      <c r="C411" s="268"/>
      <c r="D411" s="268"/>
      <c r="E411" s="268"/>
      <c r="F411" s="268"/>
      <c r="G411" s="268"/>
      <c r="H411" s="268"/>
      <c r="I411" s="389"/>
      <c r="J411" s="389"/>
      <c r="K411" s="389"/>
      <c r="L411" s="268"/>
      <c r="M411" s="268"/>
      <c r="N411" s="268"/>
      <c r="O411" s="310"/>
      <c r="P411" s="268"/>
      <c r="Q411" s="309"/>
      <c r="R411" s="268"/>
      <c r="S411" s="313"/>
      <c r="T411" s="313"/>
      <c r="U411" s="268"/>
      <c r="V411" s="268"/>
      <c r="W411" s="268"/>
      <c r="X411" s="268"/>
      <c r="Y411" s="268"/>
      <c r="Z411" s="268"/>
    </row>
    <row r="412" spans="1:26" ht="24.75" customHeight="1">
      <c r="A412" s="268"/>
      <c r="B412" s="268"/>
      <c r="C412" s="268"/>
      <c r="D412" s="268"/>
      <c r="E412" s="268"/>
      <c r="F412" s="268"/>
      <c r="G412" s="268"/>
      <c r="H412" s="268"/>
      <c r="I412" s="389"/>
      <c r="J412" s="389"/>
      <c r="K412" s="389"/>
      <c r="L412" s="268"/>
      <c r="M412" s="268"/>
      <c r="N412" s="268"/>
      <c r="O412" s="310"/>
      <c r="P412" s="268"/>
      <c r="Q412" s="309"/>
      <c r="R412" s="268"/>
      <c r="S412" s="313"/>
      <c r="T412" s="313"/>
      <c r="U412" s="268"/>
      <c r="V412" s="268"/>
      <c r="W412" s="268"/>
      <c r="X412" s="268"/>
      <c r="Y412" s="268"/>
      <c r="Z412" s="268"/>
    </row>
    <row r="413" spans="1:26" ht="24.75" customHeight="1">
      <c r="A413" s="268"/>
      <c r="B413" s="268"/>
      <c r="C413" s="268"/>
      <c r="D413" s="268"/>
      <c r="E413" s="268"/>
      <c r="F413" s="268"/>
      <c r="G413" s="268"/>
      <c r="H413" s="268"/>
      <c r="I413" s="389"/>
      <c r="J413" s="389"/>
      <c r="K413" s="389"/>
      <c r="L413" s="268"/>
      <c r="M413" s="268"/>
      <c r="N413" s="268"/>
      <c r="O413" s="310"/>
      <c r="P413" s="268"/>
      <c r="Q413" s="309"/>
      <c r="R413" s="268"/>
      <c r="S413" s="313"/>
      <c r="T413" s="313"/>
      <c r="U413" s="268"/>
      <c r="V413" s="268"/>
      <c r="W413" s="268"/>
      <c r="X413" s="268"/>
      <c r="Y413" s="268"/>
      <c r="Z413" s="268"/>
    </row>
    <row r="414" spans="1:26" ht="24.75" customHeight="1">
      <c r="A414" s="268"/>
      <c r="B414" s="268"/>
      <c r="C414" s="268"/>
      <c r="D414" s="268"/>
      <c r="E414" s="268"/>
      <c r="F414" s="268"/>
      <c r="G414" s="268"/>
      <c r="H414" s="268"/>
      <c r="I414" s="389"/>
      <c r="J414" s="389"/>
      <c r="K414" s="389"/>
      <c r="L414" s="268"/>
      <c r="M414" s="268"/>
      <c r="N414" s="268"/>
      <c r="O414" s="310"/>
      <c r="P414" s="268"/>
      <c r="Q414" s="309"/>
      <c r="R414" s="268"/>
      <c r="S414" s="313"/>
      <c r="T414" s="313"/>
      <c r="U414" s="268"/>
      <c r="V414" s="268"/>
      <c r="W414" s="268"/>
      <c r="X414" s="268"/>
      <c r="Y414" s="268"/>
      <c r="Z414" s="268"/>
    </row>
    <row r="415" spans="1:26" ht="24.75" customHeight="1">
      <c r="A415" s="268"/>
      <c r="B415" s="268"/>
      <c r="C415" s="268"/>
      <c r="D415" s="268"/>
      <c r="E415" s="268"/>
      <c r="F415" s="268"/>
      <c r="G415" s="268"/>
      <c r="H415" s="268"/>
      <c r="I415" s="389"/>
      <c r="J415" s="389"/>
      <c r="K415" s="389"/>
      <c r="L415" s="268"/>
      <c r="M415" s="268"/>
      <c r="N415" s="268"/>
      <c r="O415" s="310"/>
      <c r="P415" s="268"/>
      <c r="Q415" s="309"/>
      <c r="R415" s="268"/>
      <c r="S415" s="313"/>
      <c r="T415" s="313"/>
      <c r="U415" s="268"/>
      <c r="V415" s="268"/>
      <c r="W415" s="268"/>
      <c r="X415" s="268"/>
      <c r="Y415" s="268"/>
      <c r="Z415" s="268"/>
    </row>
    <row r="416" spans="1:26" ht="24.75" customHeight="1">
      <c r="A416" s="268"/>
      <c r="B416" s="268"/>
      <c r="C416" s="268"/>
      <c r="D416" s="268"/>
      <c r="E416" s="268"/>
      <c r="F416" s="268"/>
      <c r="G416" s="268"/>
      <c r="H416" s="268"/>
      <c r="I416" s="389"/>
      <c r="J416" s="389"/>
      <c r="K416" s="389"/>
      <c r="L416" s="268"/>
      <c r="M416" s="268"/>
      <c r="N416" s="268"/>
      <c r="O416" s="310"/>
      <c r="P416" s="268"/>
      <c r="Q416" s="309"/>
      <c r="R416" s="268"/>
      <c r="S416" s="313"/>
      <c r="T416" s="313"/>
      <c r="U416" s="268"/>
      <c r="V416" s="268"/>
      <c r="W416" s="268"/>
      <c r="X416" s="268"/>
      <c r="Y416" s="268"/>
      <c r="Z416" s="268"/>
    </row>
    <row r="417" spans="1:26" ht="24.75" customHeight="1">
      <c r="A417" s="268"/>
      <c r="B417" s="268"/>
      <c r="C417" s="268"/>
      <c r="D417" s="268"/>
      <c r="E417" s="268"/>
      <c r="F417" s="268"/>
      <c r="G417" s="268"/>
      <c r="H417" s="268"/>
      <c r="I417" s="389"/>
      <c r="J417" s="389"/>
      <c r="K417" s="389"/>
      <c r="L417" s="268"/>
      <c r="M417" s="268"/>
      <c r="N417" s="268"/>
      <c r="O417" s="310"/>
      <c r="P417" s="268"/>
      <c r="Q417" s="309"/>
      <c r="R417" s="268"/>
      <c r="S417" s="313"/>
      <c r="T417" s="313"/>
      <c r="U417" s="268"/>
      <c r="V417" s="268"/>
      <c r="W417" s="268"/>
      <c r="X417" s="268"/>
      <c r="Y417" s="268"/>
      <c r="Z417" s="268"/>
    </row>
    <row r="418" spans="1:26" ht="24.75" customHeight="1">
      <c r="A418" s="268"/>
      <c r="B418" s="268"/>
      <c r="C418" s="268"/>
      <c r="D418" s="268"/>
      <c r="E418" s="268"/>
      <c r="F418" s="268"/>
      <c r="G418" s="268"/>
      <c r="H418" s="268"/>
      <c r="I418" s="389"/>
      <c r="J418" s="389"/>
      <c r="K418" s="389"/>
      <c r="L418" s="268"/>
      <c r="M418" s="268"/>
      <c r="N418" s="268"/>
      <c r="O418" s="310"/>
      <c r="P418" s="268"/>
      <c r="Q418" s="309"/>
      <c r="R418" s="268"/>
      <c r="S418" s="313"/>
      <c r="T418" s="313"/>
      <c r="U418" s="268"/>
      <c r="V418" s="268"/>
      <c r="W418" s="268"/>
      <c r="X418" s="268"/>
      <c r="Y418" s="268"/>
      <c r="Z418" s="268"/>
    </row>
    <row r="419" spans="1:26" ht="24.75" customHeight="1">
      <c r="A419" s="268"/>
      <c r="B419" s="268"/>
      <c r="C419" s="268"/>
      <c r="D419" s="268"/>
      <c r="E419" s="268"/>
      <c r="F419" s="268"/>
      <c r="G419" s="268"/>
      <c r="H419" s="268"/>
      <c r="I419" s="389"/>
      <c r="J419" s="389"/>
      <c r="K419" s="389"/>
      <c r="L419" s="268"/>
      <c r="M419" s="268"/>
      <c r="N419" s="268"/>
      <c r="O419" s="310"/>
      <c r="P419" s="268"/>
      <c r="Q419" s="309"/>
      <c r="R419" s="268"/>
      <c r="S419" s="313"/>
      <c r="T419" s="313"/>
      <c r="U419" s="268"/>
      <c r="V419" s="268"/>
      <c r="W419" s="268"/>
      <c r="X419" s="268"/>
      <c r="Y419" s="268"/>
      <c r="Z419" s="268"/>
    </row>
    <row r="420" spans="1:26" ht="24.75" customHeight="1">
      <c r="A420" s="268"/>
      <c r="B420" s="268"/>
      <c r="C420" s="268"/>
      <c r="D420" s="268"/>
      <c r="E420" s="268"/>
      <c r="F420" s="268"/>
      <c r="G420" s="268"/>
      <c r="H420" s="268"/>
      <c r="I420" s="389"/>
      <c r="J420" s="389"/>
      <c r="K420" s="389"/>
      <c r="L420" s="268"/>
      <c r="M420" s="268"/>
      <c r="N420" s="268"/>
      <c r="O420" s="310"/>
      <c r="P420" s="268"/>
      <c r="Q420" s="309"/>
      <c r="R420" s="268"/>
      <c r="S420" s="313"/>
      <c r="T420" s="313"/>
      <c r="U420" s="268"/>
      <c r="V420" s="268"/>
      <c r="W420" s="268"/>
      <c r="X420" s="268"/>
      <c r="Y420" s="268"/>
      <c r="Z420" s="268"/>
    </row>
    <row r="421" spans="1:26" ht="24.75" customHeight="1">
      <c r="A421" s="268"/>
      <c r="B421" s="268"/>
      <c r="C421" s="268"/>
      <c r="D421" s="268"/>
      <c r="E421" s="268"/>
      <c r="F421" s="268"/>
      <c r="G421" s="268"/>
      <c r="H421" s="268"/>
      <c r="I421" s="389"/>
      <c r="J421" s="389"/>
      <c r="K421" s="389"/>
      <c r="L421" s="268"/>
      <c r="M421" s="268"/>
      <c r="N421" s="268"/>
      <c r="O421" s="310"/>
      <c r="P421" s="268"/>
      <c r="Q421" s="309"/>
      <c r="R421" s="268"/>
      <c r="S421" s="313"/>
      <c r="T421" s="313"/>
      <c r="U421" s="268"/>
      <c r="V421" s="268"/>
      <c r="W421" s="268"/>
      <c r="X421" s="268"/>
      <c r="Y421" s="268"/>
      <c r="Z421" s="268"/>
    </row>
    <row r="422" spans="1:26" ht="24.75" customHeight="1">
      <c r="A422" s="268"/>
      <c r="B422" s="268"/>
      <c r="C422" s="268"/>
      <c r="D422" s="268"/>
      <c r="E422" s="268"/>
      <c r="F422" s="268"/>
      <c r="G422" s="268"/>
      <c r="H422" s="268"/>
      <c r="I422" s="389"/>
      <c r="J422" s="389"/>
      <c r="K422" s="389"/>
      <c r="L422" s="268"/>
      <c r="M422" s="268"/>
      <c r="N422" s="268"/>
      <c r="O422" s="310"/>
      <c r="P422" s="268"/>
      <c r="Q422" s="309"/>
      <c r="R422" s="268"/>
      <c r="S422" s="313"/>
      <c r="T422" s="313"/>
      <c r="U422" s="268"/>
      <c r="V422" s="268"/>
      <c r="W422" s="268"/>
      <c r="X422" s="268"/>
      <c r="Y422" s="268"/>
      <c r="Z422" s="268"/>
    </row>
    <row r="423" spans="1:26" ht="24.75" customHeight="1">
      <c r="A423" s="268"/>
      <c r="B423" s="268"/>
      <c r="C423" s="268"/>
      <c r="D423" s="268"/>
      <c r="E423" s="268"/>
      <c r="F423" s="268"/>
      <c r="G423" s="268"/>
      <c r="H423" s="268"/>
      <c r="I423" s="389"/>
      <c r="J423" s="389"/>
      <c r="K423" s="389"/>
      <c r="L423" s="268"/>
      <c r="M423" s="268"/>
      <c r="N423" s="268"/>
      <c r="O423" s="310"/>
      <c r="P423" s="268"/>
      <c r="Q423" s="309"/>
      <c r="R423" s="268"/>
      <c r="S423" s="313"/>
      <c r="T423" s="313"/>
      <c r="U423" s="268"/>
      <c r="V423" s="268"/>
      <c r="W423" s="268"/>
      <c r="X423" s="268"/>
      <c r="Y423" s="268"/>
      <c r="Z423" s="268"/>
    </row>
    <row r="424" spans="1:26" ht="24.75" customHeight="1">
      <c r="A424" s="268"/>
      <c r="B424" s="268"/>
      <c r="C424" s="268"/>
      <c r="D424" s="268"/>
      <c r="E424" s="268"/>
      <c r="F424" s="268"/>
      <c r="G424" s="268"/>
      <c r="H424" s="268"/>
      <c r="I424" s="389"/>
      <c r="J424" s="389"/>
      <c r="K424" s="389"/>
      <c r="L424" s="268"/>
      <c r="M424" s="268"/>
      <c r="N424" s="268"/>
      <c r="O424" s="310"/>
      <c r="P424" s="268"/>
      <c r="Q424" s="309"/>
      <c r="R424" s="268"/>
      <c r="S424" s="313"/>
      <c r="T424" s="313"/>
      <c r="U424" s="268"/>
      <c r="V424" s="268"/>
      <c r="W424" s="268"/>
      <c r="X424" s="268"/>
      <c r="Y424" s="268"/>
      <c r="Z424" s="268"/>
    </row>
    <row r="425" spans="1:26" ht="24.75" customHeight="1">
      <c r="A425" s="268"/>
      <c r="B425" s="268"/>
      <c r="C425" s="268"/>
      <c r="D425" s="268"/>
      <c r="E425" s="268"/>
      <c r="F425" s="268"/>
      <c r="G425" s="268"/>
      <c r="H425" s="268"/>
      <c r="I425" s="389"/>
      <c r="J425" s="389"/>
      <c r="K425" s="389"/>
      <c r="L425" s="268"/>
      <c r="M425" s="268"/>
      <c r="N425" s="268"/>
      <c r="O425" s="310"/>
      <c r="P425" s="268"/>
      <c r="Q425" s="309"/>
      <c r="R425" s="268"/>
      <c r="S425" s="313"/>
      <c r="T425" s="313"/>
      <c r="U425" s="268"/>
      <c r="V425" s="268"/>
      <c r="W425" s="268"/>
      <c r="X425" s="268"/>
      <c r="Y425" s="268"/>
      <c r="Z425" s="268"/>
    </row>
    <row r="426" spans="1:26" ht="24.75" customHeight="1">
      <c r="A426" s="268"/>
      <c r="B426" s="268"/>
      <c r="C426" s="268"/>
      <c r="D426" s="268"/>
      <c r="E426" s="268"/>
      <c r="F426" s="268"/>
      <c r="G426" s="268"/>
      <c r="H426" s="268"/>
      <c r="I426" s="389"/>
      <c r="J426" s="389"/>
      <c r="K426" s="389"/>
      <c r="L426" s="268"/>
      <c r="M426" s="268"/>
      <c r="N426" s="268"/>
      <c r="O426" s="310"/>
      <c r="P426" s="268"/>
      <c r="Q426" s="309"/>
      <c r="R426" s="268"/>
      <c r="S426" s="313"/>
      <c r="T426" s="313"/>
      <c r="U426" s="268"/>
      <c r="V426" s="268"/>
      <c r="W426" s="268"/>
      <c r="X426" s="268"/>
      <c r="Y426" s="268"/>
      <c r="Z426" s="268"/>
    </row>
    <row r="427" spans="1:26" ht="24.75" customHeight="1">
      <c r="A427" s="268"/>
      <c r="B427" s="268"/>
      <c r="C427" s="268"/>
      <c r="D427" s="268"/>
      <c r="E427" s="268"/>
      <c r="F427" s="268"/>
      <c r="G427" s="268"/>
      <c r="H427" s="268"/>
      <c r="I427" s="389"/>
      <c r="J427" s="389"/>
      <c r="K427" s="389"/>
      <c r="L427" s="268"/>
      <c r="M427" s="268"/>
      <c r="N427" s="268"/>
      <c r="O427" s="310"/>
      <c r="P427" s="268"/>
      <c r="Q427" s="309"/>
      <c r="R427" s="268"/>
      <c r="S427" s="313"/>
      <c r="T427" s="313"/>
      <c r="U427" s="268"/>
      <c r="V427" s="268"/>
      <c r="W427" s="268"/>
      <c r="X427" s="268"/>
      <c r="Y427" s="268"/>
      <c r="Z427" s="268"/>
    </row>
    <row r="428" spans="1:26" ht="24.75" customHeight="1">
      <c r="A428" s="268"/>
      <c r="B428" s="268"/>
      <c r="C428" s="268"/>
      <c r="D428" s="268"/>
      <c r="E428" s="268"/>
      <c r="F428" s="268"/>
      <c r="G428" s="268"/>
      <c r="H428" s="268"/>
      <c r="I428" s="389"/>
      <c r="J428" s="389"/>
      <c r="K428" s="389"/>
      <c r="L428" s="268"/>
      <c r="M428" s="268"/>
      <c r="N428" s="268"/>
      <c r="O428" s="310"/>
      <c r="P428" s="268"/>
      <c r="Q428" s="309"/>
      <c r="R428" s="268"/>
      <c r="S428" s="313"/>
      <c r="T428" s="313"/>
      <c r="U428" s="268"/>
      <c r="V428" s="268"/>
      <c r="W428" s="268"/>
      <c r="X428" s="268"/>
      <c r="Y428" s="268"/>
      <c r="Z428" s="268"/>
    </row>
    <row r="429" spans="1:26" ht="24.75" customHeight="1">
      <c r="A429" s="268"/>
      <c r="B429" s="268"/>
      <c r="C429" s="268"/>
      <c r="D429" s="268"/>
      <c r="E429" s="268"/>
      <c r="F429" s="268"/>
      <c r="G429" s="268"/>
      <c r="H429" s="268"/>
      <c r="I429" s="389"/>
      <c r="J429" s="389"/>
      <c r="K429" s="389"/>
      <c r="L429" s="268"/>
      <c r="M429" s="268"/>
      <c r="N429" s="268"/>
      <c r="O429" s="310"/>
      <c r="P429" s="268"/>
      <c r="Q429" s="309"/>
      <c r="R429" s="268"/>
      <c r="S429" s="313"/>
      <c r="T429" s="313"/>
      <c r="U429" s="268"/>
      <c r="V429" s="268"/>
      <c r="W429" s="268"/>
      <c r="X429" s="268"/>
      <c r="Y429" s="268"/>
      <c r="Z429" s="268"/>
    </row>
    <row r="430" spans="1:26" ht="24.75" customHeight="1">
      <c r="A430" s="268"/>
      <c r="B430" s="268"/>
      <c r="C430" s="268"/>
      <c r="D430" s="268"/>
      <c r="E430" s="268"/>
      <c r="F430" s="268"/>
      <c r="G430" s="268"/>
      <c r="H430" s="268"/>
      <c r="I430" s="389"/>
      <c r="J430" s="389"/>
      <c r="K430" s="389"/>
      <c r="L430" s="268"/>
      <c r="M430" s="268"/>
      <c r="N430" s="268"/>
      <c r="O430" s="310"/>
      <c r="P430" s="268"/>
      <c r="Q430" s="309"/>
      <c r="R430" s="268"/>
      <c r="S430" s="313"/>
      <c r="T430" s="313"/>
      <c r="U430" s="268"/>
      <c r="V430" s="268"/>
      <c r="W430" s="268"/>
      <c r="X430" s="268"/>
      <c r="Y430" s="268"/>
      <c r="Z430" s="268"/>
    </row>
    <row r="431" spans="1:26" ht="24.75" customHeight="1">
      <c r="A431" s="268"/>
      <c r="B431" s="268"/>
      <c r="C431" s="268"/>
      <c r="D431" s="268"/>
      <c r="E431" s="268"/>
      <c r="F431" s="268"/>
      <c r="G431" s="268"/>
      <c r="H431" s="268"/>
      <c r="I431" s="389"/>
      <c r="J431" s="389"/>
      <c r="K431" s="389"/>
      <c r="L431" s="268"/>
      <c r="M431" s="268"/>
      <c r="N431" s="268"/>
      <c r="O431" s="310"/>
      <c r="P431" s="268"/>
      <c r="Q431" s="309"/>
      <c r="R431" s="268"/>
      <c r="S431" s="313"/>
      <c r="T431" s="313"/>
      <c r="U431" s="268"/>
      <c r="V431" s="268"/>
      <c r="W431" s="268"/>
      <c r="X431" s="268"/>
      <c r="Y431" s="268"/>
      <c r="Z431" s="268"/>
    </row>
    <row r="432" spans="1:26" ht="24.75" customHeight="1">
      <c r="A432" s="268"/>
      <c r="B432" s="268"/>
      <c r="C432" s="268"/>
      <c r="D432" s="268"/>
      <c r="E432" s="268"/>
      <c r="F432" s="268"/>
      <c r="G432" s="268"/>
      <c r="H432" s="268"/>
      <c r="I432" s="389"/>
      <c r="J432" s="389"/>
      <c r="K432" s="389"/>
      <c r="L432" s="268"/>
      <c r="M432" s="268"/>
      <c r="N432" s="268"/>
      <c r="O432" s="310"/>
      <c r="P432" s="268"/>
      <c r="Q432" s="309"/>
      <c r="R432" s="268"/>
      <c r="S432" s="313"/>
      <c r="T432" s="313"/>
      <c r="U432" s="268"/>
      <c r="V432" s="268"/>
      <c r="W432" s="268"/>
      <c r="X432" s="268"/>
      <c r="Y432" s="268"/>
      <c r="Z432" s="268"/>
    </row>
    <row r="433" spans="1:26" ht="24.75" customHeight="1">
      <c r="A433" s="268"/>
      <c r="B433" s="268"/>
      <c r="C433" s="268"/>
      <c r="D433" s="268"/>
      <c r="E433" s="268"/>
      <c r="F433" s="268"/>
      <c r="G433" s="268"/>
      <c r="H433" s="268"/>
      <c r="I433" s="389"/>
      <c r="J433" s="389"/>
      <c r="K433" s="389"/>
      <c r="L433" s="268"/>
      <c r="M433" s="268"/>
      <c r="N433" s="268"/>
      <c r="O433" s="310"/>
      <c r="P433" s="268"/>
      <c r="Q433" s="309"/>
      <c r="R433" s="268"/>
      <c r="S433" s="313"/>
      <c r="T433" s="313"/>
      <c r="U433" s="268"/>
      <c r="V433" s="268"/>
      <c r="W433" s="268"/>
      <c r="X433" s="268"/>
      <c r="Y433" s="268"/>
      <c r="Z433" s="268"/>
    </row>
    <row r="434" spans="1:26" ht="24.75" customHeight="1">
      <c r="A434" s="268"/>
      <c r="B434" s="268"/>
      <c r="C434" s="268"/>
      <c r="D434" s="268"/>
      <c r="E434" s="268"/>
      <c r="F434" s="268"/>
      <c r="G434" s="268"/>
      <c r="H434" s="268"/>
      <c r="I434" s="389"/>
      <c r="J434" s="389"/>
      <c r="K434" s="389"/>
      <c r="L434" s="268"/>
      <c r="M434" s="268"/>
      <c r="N434" s="268"/>
      <c r="O434" s="310"/>
      <c r="P434" s="268"/>
      <c r="Q434" s="309"/>
      <c r="R434" s="268"/>
      <c r="S434" s="313"/>
      <c r="T434" s="313"/>
      <c r="U434" s="268"/>
      <c r="V434" s="268"/>
      <c r="W434" s="268"/>
      <c r="X434" s="268"/>
      <c r="Y434" s="268"/>
      <c r="Z434" s="268"/>
    </row>
    <row r="435" spans="1:26" ht="24.75" customHeight="1">
      <c r="A435" s="268"/>
      <c r="B435" s="268"/>
      <c r="C435" s="268"/>
      <c r="D435" s="268"/>
      <c r="E435" s="268"/>
      <c r="F435" s="268"/>
      <c r="G435" s="268"/>
      <c r="H435" s="268"/>
      <c r="I435" s="389"/>
      <c r="J435" s="389"/>
      <c r="K435" s="389"/>
      <c r="L435" s="268"/>
      <c r="M435" s="268"/>
      <c r="N435" s="268"/>
      <c r="O435" s="310"/>
      <c r="P435" s="268"/>
      <c r="Q435" s="309"/>
      <c r="R435" s="268"/>
      <c r="S435" s="313"/>
      <c r="T435" s="313"/>
      <c r="U435" s="268"/>
      <c r="V435" s="268"/>
      <c r="W435" s="268"/>
      <c r="X435" s="268"/>
      <c r="Y435" s="268"/>
      <c r="Z435" s="268"/>
    </row>
    <row r="436" spans="1:26" ht="24.75" customHeight="1">
      <c r="A436" s="268"/>
      <c r="B436" s="268"/>
      <c r="C436" s="268"/>
      <c r="D436" s="268"/>
      <c r="E436" s="268"/>
      <c r="F436" s="268"/>
      <c r="G436" s="268"/>
      <c r="H436" s="268"/>
      <c r="I436" s="389"/>
      <c r="J436" s="389"/>
      <c r="K436" s="389"/>
      <c r="L436" s="268"/>
      <c r="M436" s="268"/>
      <c r="N436" s="268"/>
      <c r="O436" s="310"/>
      <c r="P436" s="268"/>
      <c r="Q436" s="309"/>
      <c r="R436" s="268"/>
      <c r="S436" s="313"/>
      <c r="T436" s="313"/>
      <c r="U436" s="268"/>
      <c r="V436" s="268"/>
      <c r="W436" s="268"/>
      <c r="X436" s="268"/>
      <c r="Y436" s="268"/>
      <c r="Z436" s="268"/>
    </row>
    <row r="437" spans="1:26" ht="24.75" customHeight="1">
      <c r="A437" s="268"/>
      <c r="B437" s="268"/>
      <c r="C437" s="268"/>
      <c r="D437" s="268"/>
      <c r="E437" s="268"/>
      <c r="F437" s="268"/>
      <c r="G437" s="268"/>
      <c r="H437" s="268"/>
      <c r="I437" s="389"/>
      <c r="J437" s="389"/>
      <c r="K437" s="389"/>
      <c r="L437" s="268"/>
      <c r="M437" s="268"/>
      <c r="N437" s="268"/>
      <c r="O437" s="310"/>
      <c r="P437" s="268"/>
      <c r="Q437" s="309"/>
      <c r="R437" s="268"/>
      <c r="S437" s="313"/>
      <c r="T437" s="313"/>
      <c r="U437" s="268"/>
      <c r="V437" s="268"/>
      <c r="W437" s="268"/>
      <c r="X437" s="268"/>
      <c r="Y437" s="268"/>
      <c r="Z437" s="268"/>
    </row>
    <row r="438" spans="1:26" ht="24.75" customHeight="1">
      <c r="A438" s="268"/>
      <c r="B438" s="268"/>
      <c r="C438" s="268"/>
      <c r="D438" s="268"/>
      <c r="E438" s="268"/>
      <c r="F438" s="268"/>
      <c r="G438" s="268"/>
      <c r="H438" s="268"/>
      <c r="I438" s="389"/>
      <c r="J438" s="389"/>
      <c r="K438" s="389"/>
      <c r="L438" s="268"/>
      <c r="M438" s="268"/>
      <c r="N438" s="268"/>
      <c r="O438" s="310"/>
      <c r="P438" s="268"/>
      <c r="Q438" s="309"/>
      <c r="R438" s="268"/>
      <c r="S438" s="313"/>
      <c r="T438" s="313"/>
      <c r="U438" s="268"/>
      <c r="V438" s="268"/>
      <c r="W438" s="268"/>
      <c r="X438" s="268"/>
      <c r="Y438" s="268"/>
      <c r="Z438" s="268"/>
    </row>
    <row r="439" spans="1:26" ht="24.75" customHeight="1">
      <c r="A439" s="268"/>
      <c r="B439" s="268"/>
      <c r="C439" s="268"/>
      <c r="D439" s="268"/>
      <c r="E439" s="268"/>
      <c r="F439" s="268"/>
      <c r="G439" s="268"/>
      <c r="H439" s="268"/>
      <c r="I439" s="389"/>
      <c r="J439" s="389"/>
      <c r="K439" s="389"/>
      <c r="L439" s="268"/>
      <c r="M439" s="268"/>
      <c r="N439" s="268"/>
      <c r="O439" s="310"/>
      <c r="P439" s="268"/>
      <c r="Q439" s="309"/>
      <c r="R439" s="268"/>
      <c r="S439" s="313"/>
      <c r="T439" s="313"/>
      <c r="U439" s="268"/>
      <c r="V439" s="268"/>
      <c r="W439" s="268"/>
      <c r="X439" s="268"/>
      <c r="Y439" s="268"/>
      <c r="Z439" s="268"/>
    </row>
    <row r="440" spans="1:26" ht="24.75" customHeight="1">
      <c r="A440" s="268"/>
      <c r="B440" s="268"/>
      <c r="C440" s="268"/>
      <c r="D440" s="268"/>
      <c r="E440" s="268"/>
      <c r="F440" s="268"/>
      <c r="G440" s="268"/>
      <c r="H440" s="268"/>
      <c r="I440" s="389"/>
      <c r="J440" s="389"/>
      <c r="K440" s="389"/>
      <c r="L440" s="268"/>
      <c r="M440" s="268"/>
      <c r="N440" s="268"/>
      <c r="O440" s="310"/>
      <c r="P440" s="268"/>
      <c r="Q440" s="309"/>
      <c r="R440" s="268"/>
      <c r="S440" s="313"/>
      <c r="T440" s="313"/>
      <c r="U440" s="268"/>
      <c r="V440" s="268"/>
      <c r="W440" s="268"/>
      <c r="X440" s="268"/>
      <c r="Y440" s="268"/>
      <c r="Z440" s="268"/>
    </row>
    <row r="441" spans="1:26" ht="24.75" customHeight="1">
      <c r="A441" s="268"/>
      <c r="B441" s="268"/>
      <c r="C441" s="268"/>
      <c r="D441" s="268"/>
      <c r="E441" s="268"/>
      <c r="F441" s="268"/>
      <c r="G441" s="268"/>
      <c r="H441" s="268"/>
      <c r="I441" s="389"/>
      <c r="J441" s="389"/>
      <c r="K441" s="389"/>
      <c r="L441" s="268"/>
      <c r="M441" s="268"/>
      <c r="N441" s="268"/>
      <c r="O441" s="310"/>
      <c r="P441" s="268"/>
      <c r="Q441" s="309"/>
      <c r="R441" s="268"/>
      <c r="S441" s="313"/>
      <c r="T441" s="313"/>
      <c r="U441" s="268"/>
      <c r="V441" s="268"/>
      <c r="W441" s="268"/>
      <c r="X441" s="268"/>
      <c r="Y441" s="268"/>
      <c r="Z441" s="268"/>
    </row>
    <row r="442" spans="1:26" ht="24.75" customHeight="1">
      <c r="A442" s="268"/>
      <c r="B442" s="268"/>
      <c r="C442" s="268"/>
      <c r="D442" s="268"/>
      <c r="E442" s="268"/>
      <c r="F442" s="268"/>
      <c r="G442" s="268"/>
      <c r="H442" s="268"/>
      <c r="I442" s="389"/>
      <c r="J442" s="389"/>
      <c r="K442" s="389"/>
      <c r="L442" s="268"/>
      <c r="M442" s="268"/>
      <c r="N442" s="268"/>
      <c r="O442" s="310"/>
      <c r="P442" s="268"/>
      <c r="Q442" s="309"/>
      <c r="R442" s="268"/>
      <c r="S442" s="313"/>
      <c r="T442" s="313"/>
      <c r="U442" s="268"/>
      <c r="V442" s="268"/>
      <c r="W442" s="268"/>
      <c r="X442" s="268"/>
      <c r="Y442" s="268"/>
      <c r="Z442" s="268"/>
    </row>
    <row r="443" spans="1:26" ht="24.75" customHeight="1">
      <c r="A443" s="268"/>
      <c r="B443" s="268"/>
      <c r="C443" s="268"/>
      <c r="D443" s="268"/>
      <c r="E443" s="268"/>
      <c r="F443" s="268"/>
      <c r="G443" s="268"/>
      <c r="H443" s="268"/>
      <c r="I443" s="389"/>
      <c r="J443" s="389"/>
      <c r="K443" s="389"/>
      <c r="L443" s="268"/>
      <c r="M443" s="268"/>
      <c r="N443" s="268"/>
      <c r="O443" s="310"/>
      <c r="P443" s="268"/>
      <c r="Q443" s="309"/>
      <c r="R443" s="268"/>
      <c r="S443" s="313"/>
      <c r="T443" s="313"/>
      <c r="U443" s="268"/>
      <c r="V443" s="268"/>
      <c r="W443" s="268"/>
      <c r="X443" s="268"/>
      <c r="Y443" s="268"/>
      <c r="Z443" s="268"/>
    </row>
    <row r="444" spans="1:26" ht="24.75" customHeight="1">
      <c r="A444" s="268"/>
      <c r="B444" s="268"/>
      <c r="C444" s="268"/>
      <c r="D444" s="268"/>
      <c r="E444" s="268"/>
      <c r="F444" s="268"/>
      <c r="G444" s="268"/>
      <c r="H444" s="268"/>
      <c r="I444" s="389"/>
      <c r="J444" s="389"/>
      <c r="K444" s="389"/>
      <c r="L444" s="268"/>
      <c r="M444" s="268"/>
      <c r="N444" s="268"/>
      <c r="O444" s="310"/>
      <c r="P444" s="268"/>
      <c r="Q444" s="309"/>
      <c r="R444" s="268"/>
      <c r="S444" s="313"/>
      <c r="T444" s="313"/>
      <c r="U444" s="268"/>
      <c r="V444" s="268"/>
      <c r="W444" s="268"/>
      <c r="X444" s="268"/>
      <c r="Y444" s="268"/>
      <c r="Z444" s="268"/>
    </row>
    <row r="445" spans="1:26" ht="24.75" customHeight="1">
      <c r="A445" s="268"/>
      <c r="B445" s="268"/>
      <c r="C445" s="268"/>
      <c r="D445" s="268"/>
      <c r="E445" s="268"/>
      <c r="F445" s="268"/>
      <c r="G445" s="268"/>
      <c r="H445" s="268"/>
      <c r="I445" s="389"/>
      <c r="J445" s="389"/>
      <c r="K445" s="389"/>
      <c r="L445" s="268"/>
      <c r="M445" s="268"/>
      <c r="N445" s="268"/>
      <c r="O445" s="310"/>
      <c r="P445" s="268"/>
      <c r="Q445" s="309"/>
      <c r="R445" s="268"/>
      <c r="S445" s="313"/>
      <c r="T445" s="313"/>
      <c r="U445" s="268"/>
      <c r="V445" s="268"/>
      <c r="W445" s="268"/>
      <c r="X445" s="268"/>
      <c r="Y445" s="268"/>
      <c r="Z445" s="268"/>
    </row>
    <row r="446" spans="1:26" ht="24.75" customHeight="1">
      <c r="A446" s="268"/>
      <c r="B446" s="268"/>
      <c r="C446" s="268"/>
      <c r="D446" s="268"/>
      <c r="E446" s="268"/>
      <c r="F446" s="268"/>
      <c r="G446" s="268"/>
      <c r="H446" s="268"/>
      <c r="I446" s="389"/>
      <c r="J446" s="389"/>
      <c r="K446" s="389"/>
      <c r="L446" s="268"/>
      <c r="M446" s="268"/>
      <c r="N446" s="268"/>
      <c r="O446" s="310"/>
      <c r="P446" s="268"/>
      <c r="Q446" s="309"/>
      <c r="R446" s="268"/>
      <c r="S446" s="313"/>
      <c r="T446" s="313"/>
      <c r="U446" s="268"/>
      <c r="V446" s="268"/>
      <c r="W446" s="268"/>
      <c r="X446" s="268"/>
      <c r="Y446" s="268"/>
      <c r="Z446" s="268"/>
    </row>
    <row r="447" spans="1:26" ht="24.75" customHeight="1">
      <c r="A447" s="268"/>
      <c r="B447" s="268"/>
      <c r="C447" s="268"/>
      <c r="D447" s="268"/>
      <c r="E447" s="268"/>
      <c r="F447" s="268"/>
      <c r="G447" s="268"/>
      <c r="H447" s="268"/>
      <c r="I447" s="389"/>
      <c r="J447" s="389"/>
      <c r="K447" s="389"/>
      <c r="L447" s="268"/>
      <c r="M447" s="268"/>
      <c r="N447" s="268"/>
      <c r="O447" s="310"/>
      <c r="P447" s="268"/>
      <c r="Q447" s="309"/>
      <c r="R447" s="268"/>
      <c r="S447" s="313"/>
      <c r="T447" s="313"/>
      <c r="U447" s="268"/>
      <c r="V447" s="268"/>
      <c r="W447" s="268"/>
      <c r="X447" s="268"/>
      <c r="Y447" s="268"/>
      <c r="Z447" s="268"/>
    </row>
    <row r="448" spans="1:26" ht="24.75" customHeight="1">
      <c r="A448" s="268"/>
      <c r="B448" s="268"/>
      <c r="C448" s="268"/>
      <c r="D448" s="268"/>
      <c r="E448" s="268"/>
      <c r="F448" s="268"/>
      <c r="G448" s="268"/>
      <c r="H448" s="268"/>
      <c r="I448" s="389"/>
      <c r="J448" s="389"/>
      <c r="K448" s="389"/>
      <c r="L448" s="268"/>
      <c r="M448" s="268"/>
      <c r="N448" s="268"/>
      <c r="O448" s="310"/>
      <c r="P448" s="268"/>
      <c r="Q448" s="309"/>
      <c r="R448" s="268"/>
      <c r="S448" s="313"/>
      <c r="T448" s="313"/>
      <c r="U448" s="268"/>
      <c r="V448" s="268"/>
      <c r="W448" s="268"/>
      <c r="X448" s="268"/>
      <c r="Y448" s="268"/>
      <c r="Z448" s="268"/>
    </row>
    <row r="449" spans="1:26" ht="24.75" customHeight="1">
      <c r="A449" s="268"/>
      <c r="B449" s="268"/>
      <c r="C449" s="268"/>
      <c r="D449" s="268"/>
      <c r="E449" s="268"/>
      <c r="F449" s="268"/>
      <c r="G449" s="268"/>
      <c r="H449" s="268"/>
      <c r="I449" s="389"/>
      <c r="J449" s="389"/>
      <c r="K449" s="389"/>
      <c r="L449" s="268"/>
      <c r="M449" s="268"/>
      <c r="N449" s="268"/>
      <c r="O449" s="310"/>
      <c r="P449" s="268"/>
      <c r="Q449" s="309"/>
      <c r="R449" s="268"/>
      <c r="S449" s="313"/>
      <c r="T449" s="313"/>
      <c r="U449" s="268"/>
      <c r="V449" s="268"/>
      <c r="W449" s="268"/>
      <c r="X449" s="268"/>
      <c r="Y449" s="268"/>
      <c r="Z449" s="268"/>
    </row>
    <row r="450" spans="1:26" ht="24.75" customHeight="1">
      <c r="A450" s="268"/>
      <c r="B450" s="268"/>
      <c r="C450" s="268"/>
      <c r="D450" s="268"/>
      <c r="E450" s="268"/>
      <c r="F450" s="268"/>
      <c r="G450" s="268"/>
      <c r="H450" s="268"/>
      <c r="I450" s="389"/>
      <c r="J450" s="389"/>
      <c r="K450" s="389"/>
      <c r="L450" s="268"/>
      <c r="M450" s="268"/>
      <c r="N450" s="268"/>
      <c r="O450" s="310"/>
      <c r="P450" s="268"/>
      <c r="Q450" s="309"/>
      <c r="R450" s="268"/>
      <c r="S450" s="313"/>
      <c r="T450" s="313"/>
      <c r="U450" s="268"/>
      <c r="V450" s="268"/>
      <c r="W450" s="268"/>
      <c r="X450" s="268"/>
      <c r="Y450" s="268"/>
      <c r="Z450" s="268"/>
    </row>
    <row r="451" spans="1:26" ht="24.75" customHeight="1">
      <c r="A451" s="268"/>
      <c r="B451" s="268"/>
      <c r="C451" s="268"/>
      <c r="D451" s="268"/>
      <c r="E451" s="268"/>
      <c r="F451" s="268"/>
      <c r="G451" s="268"/>
      <c r="H451" s="268"/>
      <c r="I451" s="389"/>
      <c r="J451" s="389"/>
      <c r="K451" s="389"/>
      <c r="L451" s="268"/>
      <c r="M451" s="268"/>
      <c r="N451" s="268"/>
      <c r="O451" s="310"/>
      <c r="P451" s="268"/>
      <c r="Q451" s="309"/>
      <c r="R451" s="268"/>
      <c r="S451" s="313"/>
      <c r="T451" s="313"/>
      <c r="U451" s="268"/>
      <c r="V451" s="268"/>
      <c r="W451" s="268"/>
      <c r="X451" s="268"/>
      <c r="Y451" s="268"/>
      <c r="Z451" s="268"/>
    </row>
    <row r="452" spans="1:26" ht="24.75" customHeight="1">
      <c r="A452" s="268"/>
      <c r="B452" s="268"/>
      <c r="C452" s="268"/>
      <c r="D452" s="268"/>
      <c r="E452" s="268"/>
      <c r="F452" s="268"/>
      <c r="G452" s="268"/>
      <c r="H452" s="268"/>
      <c r="I452" s="389"/>
      <c r="J452" s="389"/>
      <c r="K452" s="389"/>
      <c r="L452" s="268"/>
      <c r="M452" s="268"/>
      <c r="N452" s="268"/>
      <c r="O452" s="310"/>
      <c r="P452" s="268"/>
      <c r="Q452" s="309"/>
      <c r="R452" s="268"/>
      <c r="S452" s="313"/>
      <c r="T452" s="313"/>
      <c r="U452" s="268"/>
      <c r="V452" s="268"/>
      <c r="W452" s="268"/>
      <c r="X452" s="268"/>
      <c r="Y452" s="268"/>
      <c r="Z452" s="268"/>
    </row>
    <row r="453" spans="1:26" ht="24.75" customHeight="1">
      <c r="A453" s="268"/>
      <c r="B453" s="268"/>
      <c r="C453" s="268"/>
      <c r="D453" s="268"/>
      <c r="E453" s="268"/>
      <c r="F453" s="268"/>
      <c r="G453" s="268"/>
      <c r="H453" s="268"/>
      <c r="I453" s="389"/>
      <c r="J453" s="389"/>
      <c r="K453" s="389"/>
      <c r="L453" s="268"/>
      <c r="M453" s="268"/>
      <c r="N453" s="268"/>
      <c r="O453" s="310"/>
      <c r="P453" s="268"/>
      <c r="Q453" s="309"/>
      <c r="R453" s="268"/>
      <c r="S453" s="313"/>
      <c r="T453" s="313"/>
      <c r="U453" s="268"/>
      <c r="V453" s="268"/>
      <c r="W453" s="268"/>
      <c r="X453" s="268"/>
      <c r="Y453" s="268"/>
      <c r="Z453" s="268"/>
    </row>
    <row r="454" spans="1:26" ht="24.75" customHeight="1">
      <c r="A454" s="268"/>
      <c r="B454" s="268"/>
      <c r="C454" s="268"/>
      <c r="D454" s="268"/>
      <c r="E454" s="268"/>
      <c r="F454" s="268"/>
      <c r="G454" s="268"/>
      <c r="H454" s="268"/>
      <c r="I454" s="389"/>
      <c r="J454" s="389"/>
      <c r="K454" s="389"/>
      <c r="L454" s="268"/>
      <c r="M454" s="268"/>
      <c r="N454" s="268"/>
      <c r="O454" s="310"/>
      <c r="P454" s="268"/>
      <c r="Q454" s="309"/>
      <c r="R454" s="268"/>
      <c r="S454" s="313"/>
      <c r="T454" s="313"/>
      <c r="U454" s="268"/>
      <c r="V454" s="268"/>
      <c r="W454" s="268"/>
      <c r="X454" s="268"/>
      <c r="Y454" s="268"/>
      <c r="Z454" s="268"/>
    </row>
    <row r="455" spans="1:26" ht="24.75" customHeight="1">
      <c r="A455" s="268"/>
      <c r="B455" s="268"/>
      <c r="C455" s="268"/>
      <c r="D455" s="268"/>
      <c r="E455" s="268"/>
      <c r="F455" s="268"/>
      <c r="G455" s="268"/>
      <c r="H455" s="268"/>
      <c r="I455" s="389"/>
      <c r="J455" s="389"/>
      <c r="K455" s="389"/>
      <c r="L455" s="268"/>
      <c r="M455" s="268"/>
      <c r="N455" s="268"/>
      <c r="O455" s="310"/>
      <c r="P455" s="268"/>
      <c r="Q455" s="309"/>
      <c r="R455" s="268"/>
      <c r="S455" s="313"/>
      <c r="T455" s="313"/>
      <c r="U455" s="268"/>
      <c r="V455" s="268"/>
      <c r="W455" s="268"/>
      <c r="X455" s="268"/>
      <c r="Y455" s="268"/>
      <c r="Z455" s="268"/>
    </row>
    <row r="456" spans="1:26" ht="24.75" customHeight="1">
      <c r="A456" s="268"/>
      <c r="B456" s="268"/>
      <c r="C456" s="268"/>
      <c r="D456" s="268"/>
      <c r="E456" s="268"/>
      <c r="F456" s="268"/>
      <c r="G456" s="268"/>
      <c r="H456" s="268"/>
      <c r="I456" s="389"/>
      <c r="J456" s="389"/>
      <c r="K456" s="389"/>
      <c r="L456" s="268"/>
      <c r="M456" s="268"/>
      <c r="N456" s="268"/>
      <c r="O456" s="310"/>
      <c r="P456" s="268"/>
      <c r="Q456" s="309"/>
      <c r="R456" s="268"/>
      <c r="S456" s="313"/>
      <c r="T456" s="313"/>
      <c r="U456" s="268"/>
      <c r="V456" s="268"/>
      <c r="W456" s="268"/>
      <c r="X456" s="268"/>
      <c r="Y456" s="268"/>
      <c r="Z456" s="268"/>
    </row>
    <row r="457" spans="1:26" ht="24.75" customHeight="1">
      <c r="A457" s="268"/>
      <c r="B457" s="268"/>
      <c r="C457" s="268"/>
      <c r="D457" s="268"/>
      <c r="E457" s="268"/>
      <c r="F457" s="268"/>
      <c r="G457" s="268"/>
      <c r="H457" s="268"/>
      <c r="I457" s="389"/>
      <c r="J457" s="389"/>
      <c r="K457" s="389"/>
      <c r="L457" s="268"/>
      <c r="M457" s="268"/>
      <c r="N457" s="268"/>
      <c r="O457" s="310"/>
      <c r="P457" s="268"/>
      <c r="Q457" s="309"/>
      <c r="R457" s="268"/>
      <c r="S457" s="313"/>
      <c r="T457" s="313"/>
      <c r="U457" s="268"/>
      <c r="V457" s="268"/>
      <c r="W457" s="268"/>
      <c r="X457" s="268"/>
      <c r="Y457" s="268"/>
      <c r="Z457" s="268"/>
    </row>
    <row r="458" spans="1:26" ht="24.75" customHeight="1">
      <c r="A458" s="268"/>
      <c r="B458" s="268"/>
      <c r="C458" s="268"/>
      <c r="D458" s="268"/>
      <c r="E458" s="268"/>
      <c r="F458" s="268"/>
      <c r="G458" s="268"/>
      <c r="H458" s="268"/>
      <c r="I458" s="389"/>
      <c r="J458" s="389"/>
      <c r="K458" s="389"/>
      <c r="L458" s="268"/>
      <c r="M458" s="268"/>
      <c r="N458" s="268"/>
      <c r="O458" s="310"/>
      <c r="P458" s="268"/>
      <c r="Q458" s="309"/>
      <c r="R458" s="268"/>
      <c r="S458" s="313"/>
      <c r="T458" s="313"/>
      <c r="U458" s="268"/>
      <c r="V458" s="268"/>
      <c r="W458" s="268"/>
      <c r="X458" s="268"/>
      <c r="Y458" s="268"/>
      <c r="Z458" s="268"/>
    </row>
    <row r="459" spans="1:26" ht="24.75" customHeight="1">
      <c r="A459" s="268"/>
      <c r="B459" s="268"/>
      <c r="C459" s="268"/>
      <c r="D459" s="268"/>
      <c r="E459" s="268"/>
      <c r="F459" s="268"/>
      <c r="G459" s="268"/>
      <c r="H459" s="268"/>
      <c r="I459" s="389"/>
      <c r="J459" s="389"/>
      <c r="K459" s="389"/>
      <c r="L459" s="268"/>
      <c r="M459" s="268"/>
      <c r="N459" s="268"/>
      <c r="O459" s="310"/>
      <c r="P459" s="268"/>
      <c r="Q459" s="309"/>
      <c r="R459" s="268"/>
      <c r="S459" s="313"/>
      <c r="T459" s="313"/>
      <c r="U459" s="268"/>
      <c r="V459" s="268"/>
      <c r="W459" s="268"/>
      <c r="X459" s="268"/>
      <c r="Y459" s="268"/>
      <c r="Z459" s="268"/>
    </row>
    <row r="460" spans="1:26" ht="24.75" customHeight="1">
      <c r="A460" s="268"/>
      <c r="B460" s="268"/>
      <c r="C460" s="268"/>
      <c r="D460" s="268"/>
      <c r="E460" s="268"/>
      <c r="F460" s="268"/>
      <c r="G460" s="268"/>
      <c r="H460" s="268"/>
      <c r="I460" s="389"/>
      <c r="J460" s="389"/>
      <c r="K460" s="389"/>
      <c r="L460" s="268"/>
      <c r="M460" s="268"/>
      <c r="N460" s="268"/>
      <c r="O460" s="310"/>
      <c r="P460" s="268"/>
      <c r="Q460" s="309"/>
      <c r="R460" s="268"/>
      <c r="S460" s="313"/>
      <c r="T460" s="313"/>
      <c r="U460" s="268"/>
      <c r="V460" s="268"/>
      <c r="W460" s="268"/>
      <c r="X460" s="268"/>
      <c r="Y460" s="268"/>
      <c r="Z460" s="268"/>
    </row>
    <row r="461" spans="1:26" ht="24.75" customHeight="1">
      <c r="A461" s="268"/>
      <c r="B461" s="268"/>
      <c r="C461" s="268"/>
      <c r="D461" s="268"/>
      <c r="E461" s="268"/>
      <c r="F461" s="268"/>
      <c r="G461" s="268"/>
      <c r="H461" s="268"/>
      <c r="I461" s="389"/>
      <c r="J461" s="389"/>
      <c r="K461" s="389"/>
      <c r="L461" s="268"/>
      <c r="M461" s="268"/>
      <c r="N461" s="268"/>
      <c r="O461" s="310"/>
      <c r="P461" s="268"/>
      <c r="Q461" s="309"/>
      <c r="R461" s="268"/>
      <c r="S461" s="313"/>
      <c r="T461" s="313"/>
      <c r="U461" s="268"/>
      <c r="V461" s="268"/>
      <c r="W461" s="268"/>
      <c r="X461" s="268"/>
      <c r="Y461" s="268"/>
      <c r="Z461" s="268"/>
    </row>
    <row r="462" spans="1:26" ht="24.75" customHeight="1">
      <c r="A462" s="268"/>
      <c r="B462" s="268"/>
      <c r="C462" s="268"/>
      <c r="D462" s="268"/>
      <c r="E462" s="268"/>
      <c r="F462" s="268"/>
      <c r="G462" s="268"/>
      <c r="H462" s="268"/>
      <c r="I462" s="389"/>
      <c r="J462" s="389"/>
      <c r="K462" s="389"/>
      <c r="L462" s="268"/>
      <c r="M462" s="268"/>
      <c r="N462" s="268"/>
      <c r="O462" s="310"/>
      <c r="P462" s="268"/>
      <c r="Q462" s="309"/>
      <c r="R462" s="268"/>
      <c r="S462" s="313"/>
      <c r="T462" s="313"/>
      <c r="U462" s="268"/>
      <c r="V462" s="268"/>
      <c r="W462" s="268"/>
      <c r="X462" s="268"/>
      <c r="Y462" s="268"/>
      <c r="Z462" s="268"/>
    </row>
    <row r="463" spans="1:26" ht="24.75" customHeight="1">
      <c r="A463" s="268"/>
      <c r="B463" s="268"/>
      <c r="C463" s="268"/>
      <c r="D463" s="268"/>
      <c r="E463" s="268"/>
      <c r="F463" s="268"/>
      <c r="G463" s="268"/>
      <c r="H463" s="268"/>
      <c r="I463" s="389"/>
      <c r="J463" s="389"/>
      <c r="K463" s="389"/>
      <c r="L463" s="268"/>
      <c r="M463" s="268"/>
      <c r="N463" s="268"/>
      <c r="O463" s="310"/>
      <c r="P463" s="268"/>
      <c r="Q463" s="309"/>
      <c r="R463" s="268"/>
      <c r="S463" s="313"/>
      <c r="T463" s="313"/>
      <c r="U463" s="268"/>
      <c r="V463" s="268"/>
      <c r="W463" s="268"/>
      <c r="X463" s="268"/>
      <c r="Y463" s="268"/>
      <c r="Z463" s="268"/>
    </row>
    <row r="464" spans="1:26" ht="24.75" customHeight="1">
      <c r="A464" s="268"/>
      <c r="B464" s="268"/>
      <c r="C464" s="268"/>
      <c r="D464" s="268"/>
      <c r="E464" s="268"/>
      <c r="F464" s="268"/>
      <c r="G464" s="268"/>
      <c r="H464" s="268"/>
      <c r="I464" s="389"/>
      <c r="J464" s="389"/>
      <c r="K464" s="389"/>
      <c r="L464" s="268"/>
      <c r="M464" s="268"/>
      <c r="N464" s="268"/>
      <c r="O464" s="310"/>
      <c r="P464" s="268"/>
      <c r="Q464" s="309"/>
      <c r="R464" s="268"/>
      <c r="S464" s="313"/>
      <c r="T464" s="313"/>
      <c r="U464" s="268"/>
      <c r="V464" s="268"/>
      <c r="W464" s="268"/>
      <c r="X464" s="268"/>
      <c r="Y464" s="268"/>
      <c r="Z464" s="268"/>
    </row>
    <row r="465" spans="1:26" ht="24.75" customHeight="1">
      <c r="A465" s="268"/>
      <c r="B465" s="268"/>
      <c r="C465" s="268"/>
      <c r="D465" s="268"/>
      <c r="E465" s="268"/>
      <c r="F465" s="268"/>
      <c r="G465" s="268"/>
      <c r="H465" s="268"/>
      <c r="I465" s="389"/>
      <c r="J465" s="389"/>
      <c r="K465" s="389"/>
      <c r="L465" s="268"/>
      <c r="M465" s="268"/>
      <c r="N465" s="268"/>
      <c r="O465" s="310"/>
      <c r="P465" s="268"/>
      <c r="Q465" s="309"/>
      <c r="R465" s="268"/>
      <c r="S465" s="313"/>
      <c r="T465" s="313"/>
      <c r="U465" s="268"/>
      <c r="V465" s="268"/>
      <c r="W465" s="268"/>
      <c r="X465" s="268"/>
      <c r="Y465" s="268"/>
      <c r="Z465" s="268"/>
    </row>
    <row r="466" spans="1:26" ht="24.75" customHeight="1">
      <c r="A466" s="268"/>
      <c r="B466" s="268"/>
      <c r="C466" s="268"/>
      <c r="D466" s="268"/>
      <c r="E466" s="268"/>
      <c r="F466" s="268"/>
      <c r="G466" s="268"/>
      <c r="H466" s="268"/>
      <c r="I466" s="389"/>
      <c r="J466" s="389"/>
      <c r="K466" s="389"/>
      <c r="L466" s="268"/>
      <c r="M466" s="268"/>
      <c r="N466" s="268"/>
      <c r="O466" s="310"/>
      <c r="P466" s="268"/>
      <c r="Q466" s="309"/>
      <c r="R466" s="268"/>
      <c r="S466" s="313"/>
      <c r="T466" s="313"/>
      <c r="U466" s="268"/>
      <c r="V466" s="268"/>
      <c r="W466" s="268"/>
      <c r="X466" s="268"/>
      <c r="Y466" s="268"/>
      <c r="Z466" s="268"/>
    </row>
    <row r="467" spans="1:26" ht="24.75" customHeight="1">
      <c r="A467" s="268"/>
      <c r="B467" s="268"/>
      <c r="C467" s="268"/>
      <c r="D467" s="268"/>
      <c r="E467" s="268"/>
      <c r="F467" s="268"/>
      <c r="G467" s="268"/>
      <c r="H467" s="268"/>
      <c r="I467" s="389"/>
      <c r="J467" s="389"/>
      <c r="K467" s="389"/>
      <c r="L467" s="268"/>
      <c r="M467" s="268"/>
      <c r="N467" s="268"/>
      <c r="O467" s="310"/>
      <c r="P467" s="268"/>
      <c r="Q467" s="309"/>
      <c r="R467" s="268"/>
      <c r="S467" s="313"/>
      <c r="T467" s="313"/>
      <c r="U467" s="268"/>
      <c r="V467" s="268"/>
      <c r="W467" s="268"/>
      <c r="X467" s="268"/>
      <c r="Y467" s="268"/>
      <c r="Z467" s="268"/>
    </row>
    <row r="468" spans="1:26" ht="24.75" customHeight="1">
      <c r="A468" s="268"/>
      <c r="B468" s="268"/>
      <c r="C468" s="268"/>
      <c r="D468" s="268"/>
      <c r="E468" s="268"/>
      <c r="F468" s="268"/>
      <c r="G468" s="268"/>
      <c r="H468" s="268"/>
      <c r="I468" s="389"/>
      <c r="J468" s="389"/>
      <c r="K468" s="389"/>
      <c r="L468" s="268"/>
      <c r="M468" s="268"/>
      <c r="N468" s="268"/>
      <c r="O468" s="310"/>
      <c r="P468" s="268"/>
      <c r="Q468" s="309"/>
      <c r="R468" s="268"/>
      <c r="S468" s="313"/>
      <c r="T468" s="313"/>
      <c r="U468" s="268"/>
      <c r="V468" s="268"/>
      <c r="W468" s="268"/>
      <c r="X468" s="268"/>
      <c r="Y468" s="268"/>
      <c r="Z468" s="268"/>
    </row>
    <row r="469" spans="1:26" ht="24.75" customHeight="1">
      <c r="A469" s="268"/>
      <c r="B469" s="268"/>
      <c r="C469" s="268"/>
      <c r="D469" s="268"/>
      <c r="E469" s="268"/>
      <c r="F469" s="268"/>
      <c r="G469" s="268"/>
      <c r="H469" s="268"/>
      <c r="I469" s="389"/>
      <c r="J469" s="389"/>
      <c r="K469" s="389"/>
      <c r="L469" s="268"/>
      <c r="M469" s="268"/>
      <c r="N469" s="268"/>
      <c r="O469" s="310"/>
      <c r="P469" s="268"/>
      <c r="Q469" s="309"/>
      <c r="R469" s="268"/>
      <c r="S469" s="313"/>
      <c r="T469" s="313"/>
      <c r="U469" s="268"/>
      <c r="V469" s="268"/>
      <c r="W469" s="268"/>
      <c r="X469" s="268"/>
      <c r="Y469" s="268"/>
      <c r="Z469" s="268"/>
    </row>
    <row r="470" spans="1:26" ht="24.75" customHeight="1">
      <c r="A470" s="268"/>
      <c r="B470" s="268"/>
      <c r="C470" s="268"/>
      <c r="D470" s="268"/>
      <c r="E470" s="268"/>
      <c r="F470" s="268"/>
      <c r="G470" s="268"/>
      <c r="H470" s="268"/>
      <c r="I470" s="389"/>
      <c r="J470" s="389"/>
      <c r="K470" s="389"/>
      <c r="L470" s="268"/>
      <c r="M470" s="268"/>
      <c r="N470" s="268"/>
      <c r="O470" s="310"/>
      <c r="P470" s="268"/>
      <c r="Q470" s="309"/>
      <c r="R470" s="268"/>
      <c r="S470" s="313"/>
      <c r="T470" s="313"/>
      <c r="U470" s="268"/>
      <c r="V470" s="268"/>
      <c r="W470" s="268"/>
      <c r="X470" s="268"/>
      <c r="Y470" s="268"/>
      <c r="Z470" s="268"/>
    </row>
    <row r="471" spans="1:26" ht="24.75" customHeight="1">
      <c r="A471" s="268"/>
      <c r="B471" s="268"/>
      <c r="C471" s="268"/>
      <c r="D471" s="268"/>
      <c r="E471" s="268"/>
      <c r="F471" s="268"/>
      <c r="G471" s="268"/>
      <c r="H471" s="268"/>
      <c r="I471" s="389"/>
      <c r="J471" s="389"/>
      <c r="K471" s="389"/>
      <c r="L471" s="268"/>
      <c r="M471" s="268"/>
      <c r="N471" s="268"/>
      <c r="O471" s="310"/>
      <c r="P471" s="268"/>
      <c r="Q471" s="309"/>
      <c r="R471" s="268"/>
      <c r="S471" s="313"/>
      <c r="T471" s="313"/>
      <c r="U471" s="268"/>
      <c r="V471" s="268"/>
      <c r="W471" s="268"/>
      <c r="X471" s="268"/>
      <c r="Y471" s="268"/>
      <c r="Z471" s="268"/>
    </row>
    <row r="472" spans="1:26" ht="24.75" customHeight="1">
      <c r="A472" s="268"/>
      <c r="B472" s="268"/>
      <c r="C472" s="268"/>
      <c r="D472" s="268"/>
      <c r="E472" s="268"/>
      <c r="F472" s="268"/>
      <c r="G472" s="268"/>
      <c r="H472" s="268"/>
      <c r="I472" s="389"/>
      <c r="J472" s="389"/>
      <c r="K472" s="389"/>
      <c r="L472" s="268"/>
      <c r="M472" s="268"/>
      <c r="N472" s="268"/>
      <c r="O472" s="310"/>
      <c r="P472" s="268"/>
      <c r="Q472" s="309"/>
      <c r="R472" s="268"/>
      <c r="S472" s="313"/>
      <c r="T472" s="313"/>
      <c r="U472" s="268"/>
      <c r="V472" s="268"/>
      <c r="W472" s="268"/>
      <c r="X472" s="268"/>
      <c r="Y472" s="268"/>
      <c r="Z472" s="268"/>
    </row>
    <row r="473" spans="1:26" ht="24.75" customHeight="1">
      <c r="A473" s="268"/>
      <c r="B473" s="268"/>
      <c r="C473" s="268"/>
      <c r="D473" s="268"/>
      <c r="E473" s="268"/>
      <c r="F473" s="268"/>
      <c r="G473" s="268"/>
      <c r="H473" s="268"/>
      <c r="I473" s="389"/>
      <c r="J473" s="389"/>
      <c r="K473" s="389"/>
      <c r="L473" s="268"/>
      <c r="M473" s="268"/>
      <c r="N473" s="268"/>
      <c r="O473" s="310"/>
      <c r="P473" s="268"/>
      <c r="Q473" s="309"/>
      <c r="R473" s="268"/>
      <c r="S473" s="313"/>
      <c r="T473" s="313"/>
      <c r="U473" s="268"/>
      <c r="V473" s="268"/>
      <c r="W473" s="268"/>
      <c r="X473" s="268"/>
      <c r="Y473" s="268"/>
      <c r="Z473" s="268"/>
    </row>
    <row r="474" spans="1:26" ht="24.75" customHeight="1">
      <c r="A474" s="268"/>
      <c r="B474" s="268"/>
      <c r="C474" s="268"/>
      <c r="D474" s="268"/>
      <c r="E474" s="268"/>
      <c r="F474" s="268"/>
      <c r="G474" s="268"/>
      <c r="H474" s="268"/>
      <c r="I474" s="389"/>
      <c r="J474" s="389"/>
      <c r="K474" s="389"/>
      <c r="L474" s="268"/>
      <c r="M474" s="268"/>
      <c r="N474" s="268"/>
      <c r="O474" s="310"/>
      <c r="P474" s="268"/>
      <c r="Q474" s="309"/>
      <c r="R474" s="268"/>
      <c r="S474" s="313"/>
      <c r="T474" s="313"/>
      <c r="U474" s="268"/>
      <c r="V474" s="268"/>
      <c r="W474" s="268"/>
      <c r="X474" s="268"/>
      <c r="Y474" s="268"/>
      <c r="Z474" s="268"/>
    </row>
    <row r="475" spans="1:26" ht="24.75" customHeight="1">
      <c r="A475" s="268"/>
      <c r="B475" s="268"/>
      <c r="C475" s="268"/>
      <c r="D475" s="268"/>
      <c r="E475" s="268"/>
      <c r="F475" s="268"/>
      <c r="G475" s="268"/>
      <c r="H475" s="268"/>
      <c r="I475" s="389"/>
      <c r="J475" s="389"/>
      <c r="K475" s="389"/>
      <c r="L475" s="268"/>
      <c r="M475" s="268"/>
      <c r="N475" s="268"/>
      <c r="O475" s="310"/>
      <c r="P475" s="268"/>
      <c r="Q475" s="309"/>
      <c r="R475" s="268"/>
      <c r="S475" s="313"/>
      <c r="T475" s="313"/>
      <c r="U475" s="268"/>
      <c r="V475" s="268"/>
      <c r="W475" s="268"/>
      <c r="X475" s="268"/>
      <c r="Y475" s="268"/>
      <c r="Z475" s="268"/>
    </row>
    <row r="476" spans="1:26" ht="24.75" customHeight="1">
      <c r="A476" s="268"/>
      <c r="B476" s="268"/>
      <c r="C476" s="268"/>
      <c r="D476" s="268"/>
      <c r="E476" s="268"/>
      <c r="F476" s="268"/>
      <c r="G476" s="268"/>
      <c r="H476" s="268"/>
      <c r="I476" s="389"/>
      <c r="J476" s="389"/>
      <c r="K476" s="389"/>
      <c r="L476" s="268"/>
      <c r="M476" s="268"/>
      <c r="N476" s="268"/>
      <c r="O476" s="310"/>
      <c r="P476" s="268"/>
      <c r="Q476" s="309"/>
      <c r="R476" s="268"/>
      <c r="S476" s="313"/>
      <c r="T476" s="313"/>
      <c r="U476" s="268"/>
      <c r="V476" s="268"/>
      <c r="W476" s="268"/>
      <c r="X476" s="268"/>
      <c r="Y476" s="268"/>
      <c r="Z476" s="268"/>
    </row>
    <row r="477" spans="1:26" ht="24.75" customHeight="1">
      <c r="A477" s="268"/>
      <c r="B477" s="268"/>
      <c r="C477" s="268"/>
      <c r="D477" s="268"/>
      <c r="E477" s="268"/>
      <c r="F477" s="268"/>
      <c r="G477" s="268"/>
      <c r="H477" s="268"/>
      <c r="I477" s="389"/>
      <c r="J477" s="389"/>
      <c r="K477" s="389"/>
      <c r="L477" s="268"/>
      <c r="M477" s="268"/>
      <c r="N477" s="268"/>
      <c r="O477" s="310"/>
      <c r="P477" s="268"/>
      <c r="Q477" s="309"/>
      <c r="R477" s="268"/>
      <c r="S477" s="313"/>
      <c r="T477" s="313"/>
      <c r="U477" s="268"/>
      <c r="V477" s="268"/>
      <c r="W477" s="268"/>
      <c r="X477" s="268"/>
      <c r="Y477" s="268"/>
      <c r="Z477" s="268"/>
    </row>
    <row r="478" spans="1:26" ht="24.75" customHeight="1">
      <c r="A478" s="268"/>
      <c r="B478" s="268"/>
      <c r="C478" s="268"/>
      <c r="D478" s="268"/>
      <c r="E478" s="268"/>
      <c r="F478" s="268"/>
      <c r="G478" s="268"/>
      <c r="H478" s="268"/>
      <c r="I478" s="389"/>
      <c r="J478" s="389"/>
      <c r="K478" s="389"/>
      <c r="L478" s="268"/>
      <c r="M478" s="268"/>
      <c r="N478" s="268"/>
      <c r="O478" s="310"/>
      <c r="P478" s="268"/>
      <c r="Q478" s="309"/>
      <c r="R478" s="268"/>
      <c r="S478" s="313"/>
      <c r="T478" s="313"/>
      <c r="U478" s="268"/>
      <c r="V478" s="268"/>
      <c r="W478" s="268"/>
      <c r="X478" s="268"/>
      <c r="Y478" s="268"/>
      <c r="Z478" s="268"/>
    </row>
    <row r="479" spans="1:26" ht="24.75" customHeight="1">
      <c r="A479" s="268"/>
      <c r="B479" s="268"/>
      <c r="C479" s="268"/>
      <c r="D479" s="268"/>
      <c r="E479" s="268"/>
      <c r="F479" s="268"/>
      <c r="G479" s="268"/>
      <c r="H479" s="268"/>
      <c r="I479" s="389"/>
      <c r="J479" s="389"/>
      <c r="K479" s="389"/>
      <c r="L479" s="268"/>
      <c r="M479" s="268"/>
      <c r="N479" s="268"/>
      <c r="O479" s="310"/>
      <c r="P479" s="268"/>
      <c r="Q479" s="309"/>
      <c r="R479" s="268"/>
      <c r="S479" s="313"/>
      <c r="T479" s="313"/>
      <c r="U479" s="268"/>
      <c r="V479" s="268"/>
      <c r="W479" s="268"/>
      <c r="X479" s="268"/>
      <c r="Y479" s="268"/>
      <c r="Z479" s="268"/>
    </row>
    <row r="480" spans="1:26" ht="24.75" customHeight="1">
      <c r="A480" s="268"/>
      <c r="B480" s="268"/>
      <c r="C480" s="268"/>
      <c r="D480" s="268"/>
      <c r="E480" s="268"/>
      <c r="F480" s="268"/>
      <c r="G480" s="268"/>
      <c r="H480" s="268"/>
      <c r="I480" s="389"/>
      <c r="J480" s="389"/>
      <c r="K480" s="389"/>
      <c r="L480" s="268"/>
      <c r="M480" s="268"/>
      <c r="N480" s="268"/>
      <c r="O480" s="310"/>
      <c r="P480" s="268"/>
      <c r="Q480" s="309"/>
      <c r="R480" s="268"/>
      <c r="S480" s="313"/>
      <c r="T480" s="313"/>
      <c r="U480" s="268"/>
      <c r="V480" s="268"/>
      <c r="W480" s="268"/>
      <c r="X480" s="268"/>
      <c r="Y480" s="268"/>
      <c r="Z480" s="268"/>
    </row>
    <row r="481" spans="1:26" ht="24.75" customHeight="1">
      <c r="A481" s="268"/>
      <c r="B481" s="268"/>
      <c r="C481" s="268"/>
      <c r="D481" s="268"/>
      <c r="E481" s="268"/>
      <c r="F481" s="268"/>
      <c r="G481" s="268"/>
      <c r="H481" s="268"/>
      <c r="I481" s="389"/>
      <c r="J481" s="389"/>
      <c r="K481" s="389"/>
      <c r="L481" s="268"/>
      <c r="M481" s="268"/>
      <c r="N481" s="268"/>
      <c r="O481" s="310"/>
      <c r="P481" s="268"/>
      <c r="Q481" s="309"/>
      <c r="R481" s="268"/>
      <c r="S481" s="313"/>
      <c r="T481" s="313"/>
      <c r="U481" s="268"/>
      <c r="V481" s="268"/>
      <c r="W481" s="268"/>
      <c r="X481" s="268"/>
      <c r="Y481" s="268"/>
      <c r="Z481" s="268"/>
    </row>
    <row r="482" spans="1:26" ht="24.75" customHeight="1">
      <c r="A482" s="268"/>
      <c r="B482" s="268"/>
      <c r="C482" s="268"/>
      <c r="D482" s="268"/>
      <c r="E482" s="268"/>
      <c r="F482" s="268"/>
      <c r="G482" s="268"/>
      <c r="H482" s="268"/>
      <c r="I482" s="389"/>
      <c r="J482" s="389"/>
      <c r="K482" s="389"/>
      <c r="L482" s="268"/>
      <c r="M482" s="268"/>
      <c r="N482" s="268"/>
      <c r="O482" s="310"/>
      <c r="P482" s="268"/>
      <c r="Q482" s="309"/>
      <c r="R482" s="268"/>
      <c r="S482" s="313"/>
      <c r="T482" s="313"/>
      <c r="U482" s="268"/>
      <c r="V482" s="268"/>
      <c r="W482" s="268"/>
      <c r="X482" s="268"/>
      <c r="Y482" s="268"/>
      <c r="Z482" s="268"/>
    </row>
    <row r="483" spans="1:26" ht="24.75" customHeight="1">
      <c r="A483" s="268"/>
      <c r="B483" s="268"/>
      <c r="C483" s="268"/>
      <c r="D483" s="268"/>
      <c r="E483" s="268"/>
      <c r="F483" s="268"/>
      <c r="G483" s="268"/>
      <c r="H483" s="268"/>
      <c r="I483" s="389"/>
      <c r="J483" s="389"/>
      <c r="K483" s="389"/>
      <c r="L483" s="268"/>
      <c r="M483" s="268"/>
      <c r="N483" s="268"/>
      <c r="O483" s="310"/>
      <c r="P483" s="268"/>
      <c r="Q483" s="309"/>
      <c r="R483" s="268"/>
      <c r="S483" s="313"/>
      <c r="T483" s="313"/>
      <c r="U483" s="268"/>
      <c r="V483" s="268"/>
      <c r="W483" s="268"/>
      <c r="X483" s="268"/>
      <c r="Y483" s="268"/>
      <c r="Z483" s="268"/>
    </row>
    <row r="484" spans="1:26" ht="24.75" customHeight="1">
      <c r="A484" s="268"/>
      <c r="B484" s="268"/>
      <c r="C484" s="268"/>
      <c r="D484" s="268"/>
      <c r="E484" s="268"/>
      <c r="F484" s="268"/>
      <c r="G484" s="268"/>
      <c r="H484" s="268"/>
      <c r="I484" s="389"/>
      <c r="J484" s="389"/>
      <c r="K484" s="389"/>
      <c r="L484" s="268"/>
      <c r="M484" s="268"/>
      <c r="N484" s="268"/>
      <c r="O484" s="310"/>
      <c r="P484" s="268"/>
      <c r="Q484" s="309"/>
      <c r="R484" s="268"/>
      <c r="S484" s="313"/>
      <c r="T484" s="313"/>
      <c r="U484" s="268"/>
      <c r="V484" s="268"/>
      <c r="W484" s="268"/>
      <c r="X484" s="268"/>
      <c r="Y484" s="268"/>
      <c r="Z484" s="268"/>
    </row>
    <row r="485" spans="1:26" ht="24.75" customHeight="1">
      <c r="A485" s="268"/>
      <c r="B485" s="268"/>
      <c r="C485" s="268"/>
      <c r="D485" s="268"/>
      <c r="E485" s="268"/>
      <c r="F485" s="268"/>
      <c r="G485" s="268"/>
      <c r="H485" s="268"/>
      <c r="I485" s="389"/>
      <c r="J485" s="389"/>
      <c r="K485" s="389"/>
      <c r="L485" s="268"/>
      <c r="M485" s="268"/>
      <c r="N485" s="268"/>
      <c r="O485" s="310"/>
      <c r="P485" s="268"/>
      <c r="Q485" s="309"/>
      <c r="R485" s="268"/>
      <c r="S485" s="313"/>
      <c r="T485" s="313"/>
      <c r="U485" s="268"/>
      <c r="V485" s="268"/>
      <c r="W485" s="268"/>
      <c r="X485" s="268"/>
      <c r="Y485" s="268"/>
      <c r="Z485" s="268"/>
    </row>
    <row r="486" spans="1:26" ht="24.75" customHeight="1">
      <c r="A486" s="268"/>
      <c r="B486" s="268"/>
      <c r="C486" s="268"/>
      <c r="D486" s="268"/>
      <c r="E486" s="268"/>
      <c r="F486" s="268"/>
      <c r="G486" s="268"/>
      <c r="H486" s="268"/>
      <c r="I486" s="389"/>
      <c r="J486" s="389"/>
      <c r="K486" s="389"/>
      <c r="L486" s="268"/>
      <c r="M486" s="268"/>
      <c r="N486" s="268"/>
      <c r="O486" s="310"/>
      <c r="P486" s="268"/>
      <c r="Q486" s="309"/>
      <c r="R486" s="268"/>
      <c r="S486" s="313"/>
      <c r="T486" s="313"/>
      <c r="U486" s="268"/>
      <c r="V486" s="268"/>
      <c r="W486" s="268"/>
      <c r="X486" s="268"/>
      <c r="Y486" s="268"/>
      <c r="Z486" s="268"/>
    </row>
    <row r="487" spans="1:26" ht="24.75" customHeight="1">
      <c r="A487" s="268"/>
      <c r="B487" s="268"/>
      <c r="C487" s="268"/>
      <c r="D487" s="268"/>
      <c r="E487" s="268"/>
      <c r="F487" s="268"/>
      <c r="G487" s="268"/>
      <c r="H487" s="268"/>
      <c r="I487" s="389"/>
      <c r="J487" s="389"/>
      <c r="K487" s="389"/>
      <c r="L487" s="268"/>
      <c r="M487" s="268"/>
      <c r="N487" s="268"/>
      <c r="O487" s="310"/>
      <c r="P487" s="268"/>
      <c r="Q487" s="309"/>
      <c r="R487" s="268"/>
      <c r="S487" s="313"/>
      <c r="T487" s="313"/>
      <c r="U487" s="268"/>
      <c r="V487" s="268"/>
      <c r="W487" s="268"/>
      <c r="X487" s="268"/>
      <c r="Y487" s="268"/>
      <c r="Z487" s="268"/>
    </row>
    <row r="488" spans="1:26" ht="24.75" customHeight="1">
      <c r="A488" s="268"/>
      <c r="B488" s="268"/>
      <c r="C488" s="268"/>
      <c r="D488" s="268"/>
      <c r="E488" s="268"/>
      <c r="F488" s="268"/>
      <c r="G488" s="268"/>
      <c r="H488" s="268"/>
      <c r="I488" s="389"/>
      <c r="J488" s="389"/>
      <c r="K488" s="389"/>
      <c r="L488" s="268"/>
      <c r="M488" s="268"/>
      <c r="N488" s="268"/>
      <c r="O488" s="310"/>
      <c r="P488" s="268"/>
      <c r="Q488" s="309"/>
      <c r="R488" s="268"/>
      <c r="S488" s="313"/>
      <c r="T488" s="313"/>
      <c r="U488" s="268"/>
      <c r="V488" s="268"/>
      <c r="W488" s="268"/>
      <c r="X488" s="268"/>
      <c r="Y488" s="268"/>
      <c r="Z488" s="268"/>
    </row>
    <row r="489" spans="1:26" ht="24.75" customHeight="1">
      <c r="A489" s="268"/>
      <c r="B489" s="268"/>
      <c r="C489" s="268"/>
      <c r="D489" s="268"/>
      <c r="E489" s="268"/>
      <c r="F489" s="268"/>
      <c r="G489" s="268"/>
      <c r="H489" s="268"/>
      <c r="I489" s="389"/>
      <c r="J489" s="389"/>
      <c r="K489" s="389"/>
      <c r="L489" s="268"/>
      <c r="M489" s="268"/>
      <c r="N489" s="268"/>
      <c r="O489" s="310"/>
      <c r="P489" s="268"/>
      <c r="Q489" s="309"/>
      <c r="R489" s="268"/>
      <c r="S489" s="313"/>
      <c r="T489" s="313"/>
      <c r="U489" s="268"/>
      <c r="V489" s="268"/>
      <c r="W489" s="268"/>
      <c r="X489" s="268"/>
      <c r="Y489" s="268"/>
      <c r="Z489" s="268"/>
    </row>
    <row r="490" spans="1:26" ht="24.75" customHeight="1">
      <c r="A490" s="268"/>
      <c r="B490" s="268"/>
      <c r="C490" s="268"/>
      <c r="D490" s="268"/>
      <c r="E490" s="268"/>
      <c r="F490" s="268"/>
      <c r="G490" s="268"/>
      <c r="H490" s="268"/>
      <c r="I490" s="389"/>
      <c r="J490" s="389"/>
      <c r="K490" s="389"/>
      <c r="L490" s="268"/>
      <c r="M490" s="268"/>
      <c r="N490" s="268"/>
      <c r="O490" s="310"/>
      <c r="P490" s="268"/>
      <c r="Q490" s="309"/>
      <c r="R490" s="268"/>
      <c r="S490" s="313"/>
      <c r="T490" s="313"/>
      <c r="U490" s="268"/>
      <c r="V490" s="268"/>
      <c r="W490" s="268"/>
      <c r="X490" s="268"/>
      <c r="Y490" s="268"/>
      <c r="Z490" s="268"/>
    </row>
    <row r="491" spans="1:26" ht="24.75" customHeight="1">
      <c r="A491" s="268"/>
      <c r="B491" s="268"/>
      <c r="C491" s="268"/>
      <c r="D491" s="268"/>
      <c r="E491" s="268"/>
      <c r="F491" s="268"/>
      <c r="G491" s="268"/>
      <c r="H491" s="268"/>
      <c r="I491" s="389"/>
      <c r="J491" s="389"/>
      <c r="K491" s="389"/>
      <c r="L491" s="268"/>
      <c r="M491" s="268"/>
      <c r="N491" s="268"/>
      <c r="O491" s="310"/>
      <c r="P491" s="268"/>
      <c r="Q491" s="309"/>
      <c r="R491" s="268"/>
      <c r="S491" s="313"/>
      <c r="T491" s="313"/>
      <c r="U491" s="268"/>
      <c r="V491" s="268"/>
      <c r="W491" s="268"/>
      <c r="X491" s="268"/>
      <c r="Y491" s="268"/>
      <c r="Z491" s="268"/>
    </row>
    <row r="492" spans="1:26" ht="24.75" customHeight="1">
      <c r="A492" s="268"/>
      <c r="B492" s="268"/>
      <c r="C492" s="268"/>
      <c r="D492" s="268"/>
      <c r="E492" s="268"/>
      <c r="F492" s="268"/>
      <c r="G492" s="268"/>
      <c r="H492" s="268"/>
      <c r="I492" s="389"/>
      <c r="J492" s="389"/>
      <c r="K492" s="389"/>
      <c r="L492" s="268"/>
      <c r="M492" s="268"/>
      <c r="N492" s="268"/>
      <c r="O492" s="310"/>
      <c r="P492" s="268"/>
      <c r="Q492" s="309"/>
      <c r="R492" s="268"/>
      <c r="S492" s="313"/>
      <c r="T492" s="313"/>
      <c r="U492" s="268"/>
      <c r="V492" s="268"/>
      <c r="W492" s="268"/>
      <c r="X492" s="268"/>
      <c r="Y492" s="268"/>
      <c r="Z492" s="268"/>
    </row>
    <row r="493" spans="1:26" ht="24.75" customHeight="1">
      <c r="A493" s="268"/>
      <c r="B493" s="268"/>
      <c r="C493" s="268"/>
      <c r="D493" s="268"/>
      <c r="E493" s="268"/>
      <c r="F493" s="268"/>
      <c r="G493" s="268"/>
      <c r="H493" s="268"/>
      <c r="I493" s="389"/>
      <c r="J493" s="389"/>
      <c r="K493" s="389"/>
      <c r="L493" s="268"/>
      <c r="M493" s="268"/>
      <c r="N493" s="268"/>
      <c r="O493" s="310"/>
      <c r="P493" s="268"/>
      <c r="Q493" s="309"/>
      <c r="R493" s="268"/>
      <c r="S493" s="313"/>
      <c r="T493" s="313"/>
      <c r="U493" s="268"/>
      <c r="V493" s="268"/>
      <c r="W493" s="268"/>
      <c r="X493" s="268"/>
      <c r="Y493" s="268"/>
      <c r="Z493" s="268"/>
    </row>
    <row r="494" spans="1:26" ht="24.75" customHeight="1">
      <c r="A494" s="268"/>
      <c r="B494" s="268"/>
      <c r="C494" s="268"/>
      <c r="D494" s="268"/>
      <c r="E494" s="268"/>
      <c r="F494" s="268"/>
      <c r="G494" s="268"/>
      <c r="H494" s="268"/>
      <c r="I494" s="389"/>
      <c r="J494" s="389"/>
      <c r="K494" s="389"/>
      <c r="L494" s="268"/>
      <c r="M494" s="268"/>
      <c r="N494" s="268"/>
      <c r="O494" s="310"/>
      <c r="P494" s="268"/>
      <c r="Q494" s="309"/>
      <c r="R494" s="268"/>
      <c r="S494" s="313"/>
      <c r="T494" s="313"/>
      <c r="U494" s="268"/>
      <c r="V494" s="268"/>
      <c r="W494" s="268"/>
      <c r="X494" s="268"/>
      <c r="Y494" s="268"/>
      <c r="Z494" s="268"/>
    </row>
    <row r="495" spans="1:26" ht="24.75" customHeight="1">
      <c r="A495" s="268"/>
      <c r="B495" s="268"/>
      <c r="C495" s="268"/>
      <c r="D495" s="268"/>
      <c r="E495" s="268"/>
      <c r="F495" s="268"/>
      <c r="G495" s="268"/>
      <c r="H495" s="268"/>
      <c r="I495" s="389"/>
      <c r="J495" s="389"/>
      <c r="K495" s="389"/>
      <c r="L495" s="268"/>
      <c r="M495" s="268"/>
      <c r="N495" s="268"/>
      <c r="O495" s="310"/>
      <c r="P495" s="268"/>
      <c r="Q495" s="309"/>
      <c r="R495" s="268"/>
      <c r="S495" s="313"/>
      <c r="T495" s="313"/>
      <c r="U495" s="268"/>
      <c r="V495" s="268"/>
      <c r="W495" s="268"/>
      <c r="X495" s="268"/>
      <c r="Y495" s="268"/>
      <c r="Z495" s="268"/>
    </row>
    <row r="496" spans="1:26" ht="24.75" customHeight="1">
      <c r="A496" s="268"/>
      <c r="B496" s="268"/>
      <c r="C496" s="268"/>
      <c r="D496" s="268"/>
      <c r="E496" s="268"/>
      <c r="F496" s="268"/>
      <c r="G496" s="268"/>
      <c r="H496" s="268"/>
      <c r="I496" s="389"/>
      <c r="J496" s="389"/>
      <c r="K496" s="389"/>
      <c r="L496" s="268"/>
      <c r="M496" s="268"/>
      <c r="N496" s="268"/>
      <c r="O496" s="310"/>
      <c r="P496" s="268"/>
      <c r="Q496" s="309"/>
      <c r="R496" s="268"/>
      <c r="S496" s="313"/>
      <c r="T496" s="313"/>
      <c r="U496" s="268"/>
      <c r="V496" s="268"/>
      <c r="W496" s="268"/>
      <c r="X496" s="268"/>
      <c r="Y496" s="268"/>
      <c r="Z496" s="268"/>
    </row>
    <row r="497" spans="1:26" ht="24.75" customHeight="1">
      <c r="A497" s="268"/>
      <c r="B497" s="268"/>
      <c r="C497" s="268"/>
      <c r="D497" s="268"/>
      <c r="E497" s="268"/>
      <c r="F497" s="268"/>
      <c r="G497" s="268"/>
      <c r="H497" s="268"/>
      <c r="I497" s="389"/>
      <c r="J497" s="389"/>
      <c r="K497" s="389"/>
      <c r="L497" s="268"/>
      <c r="M497" s="268"/>
      <c r="N497" s="268"/>
      <c r="O497" s="310"/>
      <c r="P497" s="268"/>
      <c r="Q497" s="309"/>
      <c r="R497" s="268"/>
      <c r="S497" s="313"/>
      <c r="T497" s="313"/>
      <c r="U497" s="268"/>
      <c r="V497" s="268"/>
      <c r="W497" s="268"/>
      <c r="X497" s="268"/>
      <c r="Y497" s="268"/>
      <c r="Z497" s="268"/>
    </row>
    <row r="498" spans="1:26" ht="24.75" customHeight="1">
      <c r="A498" s="268"/>
      <c r="B498" s="268"/>
      <c r="C498" s="268"/>
      <c r="D498" s="268"/>
      <c r="E498" s="268"/>
      <c r="F498" s="268"/>
      <c r="G498" s="268"/>
      <c r="H498" s="268"/>
      <c r="I498" s="389"/>
      <c r="J498" s="389"/>
      <c r="K498" s="389"/>
      <c r="L498" s="268"/>
      <c r="M498" s="268"/>
      <c r="N498" s="268"/>
      <c r="O498" s="310"/>
      <c r="P498" s="268"/>
      <c r="Q498" s="309"/>
      <c r="R498" s="268"/>
      <c r="S498" s="313"/>
      <c r="T498" s="313"/>
      <c r="U498" s="268"/>
      <c r="V498" s="268"/>
      <c r="W498" s="268"/>
      <c r="X498" s="268"/>
      <c r="Y498" s="268"/>
      <c r="Z498" s="268"/>
    </row>
    <row r="499" spans="1:26" ht="24.75" customHeight="1">
      <c r="A499" s="268"/>
      <c r="B499" s="268"/>
      <c r="C499" s="268"/>
      <c r="D499" s="268"/>
      <c r="E499" s="268"/>
      <c r="F499" s="268"/>
      <c r="G499" s="268"/>
      <c r="H499" s="268"/>
      <c r="I499" s="389"/>
      <c r="J499" s="389"/>
      <c r="K499" s="389"/>
      <c r="L499" s="268"/>
      <c r="M499" s="268"/>
      <c r="N499" s="268"/>
      <c r="O499" s="310"/>
      <c r="P499" s="268"/>
      <c r="Q499" s="309"/>
      <c r="R499" s="268"/>
      <c r="S499" s="313"/>
      <c r="T499" s="313"/>
      <c r="U499" s="268"/>
      <c r="V499" s="268"/>
      <c r="W499" s="268"/>
      <c r="X499" s="268"/>
      <c r="Y499" s="268"/>
      <c r="Z499" s="268"/>
    </row>
    <row r="500" spans="1:26" ht="24.75" customHeight="1">
      <c r="A500" s="268"/>
      <c r="B500" s="268"/>
      <c r="C500" s="268"/>
      <c r="D500" s="268"/>
      <c r="E500" s="268"/>
      <c r="F500" s="268"/>
      <c r="G500" s="268"/>
      <c r="H500" s="268"/>
      <c r="I500" s="389"/>
      <c r="J500" s="389"/>
      <c r="K500" s="389"/>
      <c r="L500" s="268"/>
      <c r="M500" s="268"/>
      <c r="N500" s="268"/>
      <c r="O500" s="310"/>
      <c r="P500" s="268"/>
      <c r="Q500" s="309"/>
      <c r="R500" s="268"/>
      <c r="S500" s="313"/>
      <c r="T500" s="313"/>
      <c r="U500" s="268"/>
      <c r="V500" s="268"/>
      <c r="W500" s="268"/>
      <c r="X500" s="268"/>
      <c r="Y500" s="268"/>
      <c r="Z500" s="268"/>
    </row>
    <row r="501" spans="1:26" ht="24.75" customHeight="1">
      <c r="A501" s="268"/>
      <c r="B501" s="268"/>
      <c r="C501" s="268"/>
      <c r="D501" s="268"/>
      <c r="E501" s="268"/>
      <c r="F501" s="268"/>
      <c r="G501" s="268"/>
      <c r="H501" s="268"/>
      <c r="I501" s="389"/>
      <c r="J501" s="389"/>
      <c r="K501" s="389"/>
      <c r="L501" s="268"/>
      <c r="M501" s="268"/>
      <c r="N501" s="268"/>
      <c r="O501" s="310"/>
      <c r="P501" s="268"/>
      <c r="Q501" s="309"/>
      <c r="R501" s="268"/>
      <c r="S501" s="313"/>
      <c r="T501" s="313"/>
      <c r="U501" s="268"/>
      <c r="V501" s="268"/>
      <c r="W501" s="268"/>
      <c r="X501" s="268"/>
      <c r="Y501" s="268"/>
      <c r="Z501" s="268"/>
    </row>
    <row r="502" spans="1:26" ht="24.75" customHeight="1">
      <c r="A502" s="268"/>
      <c r="B502" s="268"/>
      <c r="C502" s="268"/>
      <c r="D502" s="268"/>
      <c r="E502" s="268"/>
      <c r="F502" s="268"/>
      <c r="G502" s="268"/>
      <c r="H502" s="268"/>
      <c r="I502" s="389"/>
      <c r="J502" s="389"/>
      <c r="K502" s="389"/>
      <c r="L502" s="268"/>
      <c r="M502" s="268"/>
      <c r="N502" s="268"/>
      <c r="O502" s="310"/>
      <c r="P502" s="268"/>
      <c r="Q502" s="309"/>
      <c r="R502" s="268"/>
      <c r="S502" s="313"/>
      <c r="T502" s="313"/>
      <c r="U502" s="268"/>
      <c r="V502" s="268"/>
      <c r="W502" s="268"/>
      <c r="X502" s="268"/>
      <c r="Y502" s="268"/>
      <c r="Z502" s="268"/>
    </row>
    <row r="503" spans="1:26" ht="24.75" customHeight="1">
      <c r="A503" s="268"/>
      <c r="B503" s="268"/>
      <c r="C503" s="268"/>
      <c r="D503" s="268"/>
      <c r="E503" s="268"/>
      <c r="F503" s="268"/>
      <c r="G503" s="268"/>
      <c r="H503" s="268"/>
      <c r="I503" s="389"/>
      <c r="J503" s="389"/>
      <c r="K503" s="389"/>
      <c r="L503" s="268"/>
      <c r="M503" s="268"/>
      <c r="N503" s="268"/>
      <c r="O503" s="310"/>
      <c r="P503" s="268"/>
      <c r="Q503" s="309"/>
      <c r="R503" s="268"/>
      <c r="S503" s="313"/>
      <c r="T503" s="313"/>
      <c r="U503" s="268"/>
      <c r="V503" s="268"/>
      <c r="W503" s="268"/>
      <c r="X503" s="268"/>
      <c r="Y503" s="268"/>
      <c r="Z503" s="268"/>
    </row>
    <row r="504" spans="1:26" ht="24.75" customHeight="1">
      <c r="A504" s="268"/>
      <c r="B504" s="268"/>
      <c r="C504" s="268"/>
      <c r="D504" s="268"/>
      <c r="E504" s="268"/>
      <c r="F504" s="268"/>
      <c r="G504" s="268"/>
      <c r="H504" s="268"/>
      <c r="I504" s="389"/>
      <c r="J504" s="389"/>
      <c r="K504" s="389"/>
      <c r="L504" s="268"/>
      <c r="M504" s="268"/>
      <c r="N504" s="268"/>
      <c r="O504" s="310"/>
      <c r="P504" s="268"/>
      <c r="Q504" s="309"/>
      <c r="R504" s="268"/>
      <c r="S504" s="313"/>
      <c r="T504" s="313"/>
      <c r="U504" s="268"/>
      <c r="V504" s="268"/>
      <c r="W504" s="268"/>
      <c r="X504" s="268"/>
      <c r="Y504" s="268"/>
      <c r="Z504" s="268"/>
    </row>
    <row r="505" spans="1:26" ht="24.75" customHeight="1">
      <c r="A505" s="268"/>
      <c r="B505" s="268"/>
      <c r="C505" s="268"/>
      <c r="D505" s="268"/>
      <c r="E505" s="268"/>
      <c r="F505" s="268"/>
      <c r="G505" s="268"/>
      <c r="H505" s="268"/>
      <c r="I505" s="389"/>
      <c r="J505" s="389"/>
      <c r="K505" s="389"/>
      <c r="L505" s="268"/>
      <c r="M505" s="268"/>
      <c r="N505" s="268"/>
      <c r="O505" s="310"/>
      <c r="P505" s="268"/>
      <c r="Q505" s="309"/>
      <c r="R505" s="268"/>
      <c r="S505" s="313"/>
      <c r="T505" s="313"/>
      <c r="U505" s="268"/>
      <c r="V505" s="268"/>
      <c r="W505" s="268"/>
      <c r="X505" s="268"/>
      <c r="Y505" s="268"/>
      <c r="Z505" s="268"/>
    </row>
    <row r="506" spans="1:26" ht="24.75" customHeight="1">
      <c r="A506" s="268"/>
      <c r="B506" s="268"/>
      <c r="C506" s="268"/>
      <c r="D506" s="268"/>
      <c r="E506" s="268"/>
      <c r="F506" s="268"/>
      <c r="G506" s="268"/>
      <c r="H506" s="268"/>
      <c r="I506" s="389"/>
      <c r="J506" s="389"/>
      <c r="K506" s="389"/>
      <c r="L506" s="268"/>
      <c r="M506" s="268"/>
      <c r="N506" s="268"/>
      <c r="O506" s="310"/>
      <c r="P506" s="268"/>
      <c r="Q506" s="309"/>
      <c r="R506" s="268"/>
      <c r="S506" s="313"/>
      <c r="T506" s="313"/>
      <c r="U506" s="268"/>
      <c r="V506" s="268"/>
      <c r="W506" s="268"/>
      <c r="X506" s="268"/>
      <c r="Y506" s="268"/>
      <c r="Z506" s="268"/>
    </row>
    <row r="507" spans="1:26" ht="24.75" customHeight="1">
      <c r="A507" s="268"/>
      <c r="B507" s="268"/>
      <c r="C507" s="268"/>
      <c r="D507" s="268"/>
      <c r="E507" s="268"/>
      <c r="F507" s="268"/>
      <c r="G507" s="268"/>
      <c r="H507" s="268"/>
      <c r="I507" s="389"/>
      <c r="J507" s="389"/>
      <c r="K507" s="389"/>
      <c r="L507" s="268"/>
      <c r="M507" s="268"/>
      <c r="N507" s="268"/>
      <c r="O507" s="310"/>
      <c r="P507" s="268"/>
      <c r="Q507" s="309"/>
      <c r="R507" s="268"/>
      <c r="S507" s="313"/>
      <c r="T507" s="313"/>
      <c r="U507" s="268"/>
      <c r="V507" s="268"/>
      <c r="W507" s="268"/>
      <c r="X507" s="268"/>
      <c r="Y507" s="268"/>
      <c r="Z507" s="268"/>
    </row>
    <row r="508" spans="1:26" ht="24.75" customHeight="1">
      <c r="A508" s="268"/>
      <c r="B508" s="268"/>
      <c r="C508" s="268"/>
      <c r="D508" s="268"/>
      <c r="E508" s="268"/>
      <c r="F508" s="268"/>
      <c r="G508" s="268"/>
      <c r="H508" s="268"/>
      <c r="I508" s="389"/>
      <c r="J508" s="389"/>
      <c r="K508" s="389"/>
      <c r="L508" s="268"/>
      <c r="M508" s="268"/>
      <c r="N508" s="268"/>
      <c r="O508" s="310"/>
      <c r="P508" s="268"/>
      <c r="Q508" s="309"/>
      <c r="R508" s="268"/>
      <c r="S508" s="313"/>
      <c r="T508" s="313"/>
      <c r="U508" s="268"/>
      <c r="V508" s="268"/>
      <c r="W508" s="268"/>
      <c r="X508" s="268"/>
      <c r="Y508" s="268"/>
      <c r="Z508" s="268"/>
    </row>
    <row r="509" spans="1:26" ht="24.75" customHeight="1">
      <c r="A509" s="268"/>
      <c r="B509" s="268"/>
      <c r="C509" s="268"/>
      <c r="D509" s="268"/>
      <c r="E509" s="268"/>
      <c r="F509" s="268"/>
      <c r="G509" s="268"/>
      <c r="H509" s="268"/>
      <c r="I509" s="389"/>
      <c r="J509" s="389"/>
      <c r="K509" s="389"/>
      <c r="L509" s="268"/>
      <c r="M509" s="268"/>
      <c r="N509" s="268"/>
      <c r="O509" s="310"/>
      <c r="P509" s="268"/>
      <c r="Q509" s="309"/>
      <c r="R509" s="268"/>
      <c r="S509" s="313"/>
      <c r="T509" s="313"/>
      <c r="U509" s="268"/>
      <c r="V509" s="268"/>
      <c r="W509" s="268"/>
      <c r="X509" s="268"/>
      <c r="Y509" s="268"/>
      <c r="Z509" s="268"/>
    </row>
    <row r="510" spans="1:26" ht="24.75" customHeight="1">
      <c r="A510" s="268"/>
      <c r="B510" s="268"/>
      <c r="C510" s="268"/>
      <c r="D510" s="268"/>
      <c r="E510" s="268"/>
      <c r="F510" s="268"/>
      <c r="G510" s="268"/>
      <c r="H510" s="268"/>
      <c r="I510" s="389"/>
      <c r="J510" s="389"/>
      <c r="K510" s="389"/>
      <c r="L510" s="268"/>
      <c r="M510" s="268"/>
      <c r="N510" s="268"/>
      <c r="O510" s="310"/>
      <c r="P510" s="268"/>
      <c r="Q510" s="309"/>
      <c r="R510" s="268"/>
      <c r="S510" s="313"/>
      <c r="T510" s="313"/>
      <c r="U510" s="268"/>
      <c r="V510" s="268"/>
      <c r="W510" s="268"/>
      <c r="X510" s="268"/>
      <c r="Y510" s="268"/>
      <c r="Z510" s="268"/>
    </row>
    <row r="511" spans="1:26" ht="24.75" customHeight="1">
      <c r="A511" s="268"/>
      <c r="B511" s="268"/>
      <c r="C511" s="268"/>
      <c r="D511" s="268"/>
      <c r="E511" s="268"/>
      <c r="F511" s="268"/>
      <c r="G511" s="268"/>
      <c r="H511" s="268"/>
      <c r="I511" s="389"/>
      <c r="J511" s="389"/>
      <c r="K511" s="389"/>
      <c r="L511" s="268"/>
      <c r="M511" s="268"/>
      <c r="N511" s="268"/>
      <c r="O511" s="310"/>
      <c r="P511" s="268"/>
      <c r="Q511" s="309"/>
      <c r="R511" s="268"/>
      <c r="S511" s="313"/>
      <c r="T511" s="313"/>
      <c r="U511" s="268"/>
      <c r="V511" s="268"/>
      <c r="W511" s="268"/>
      <c r="X511" s="268"/>
      <c r="Y511" s="268"/>
      <c r="Z511" s="268"/>
    </row>
    <row r="512" spans="1:26" ht="24.75" customHeight="1">
      <c r="A512" s="268"/>
      <c r="B512" s="268"/>
      <c r="C512" s="268"/>
      <c r="D512" s="268"/>
      <c r="E512" s="268"/>
      <c r="F512" s="268"/>
      <c r="G512" s="268"/>
      <c r="H512" s="268"/>
      <c r="I512" s="389"/>
      <c r="J512" s="389"/>
      <c r="K512" s="389"/>
      <c r="L512" s="268"/>
      <c r="M512" s="268"/>
      <c r="N512" s="268"/>
      <c r="O512" s="310"/>
      <c r="P512" s="268"/>
      <c r="Q512" s="309"/>
      <c r="R512" s="268"/>
      <c r="S512" s="313"/>
      <c r="T512" s="313"/>
      <c r="U512" s="268"/>
      <c r="V512" s="268"/>
      <c r="W512" s="268"/>
      <c r="X512" s="268"/>
      <c r="Y512" s="268"/>
      <c r="Z512" s="268"/>
    </row>
    <row r="513" spans="1:26" ht="24.75" customHeight="1">
      <c r="A513" s="268"/>
      <c r="B513" s="268"/>
      <c r="C513" s="268"/>
      <c r="D513" s="268"/>
      <c r="E513" s="268"/>
      <c r="F513" s="268"/>
      <c r="G513" s="268"/>
      <c r="H513" s="268"/>
      <c r="I513" s="389"/>
      <c r="J513" s="389"/>
      <c r="K513" s="389"/>
      <c r="L513" s="268"/>
      <c r="M513" s="268"/>
      <c r="N513" s="268"/>
      <c r="O513" s="310"/>
      <c r="P513" s="268"/>
      <c r="Q513" s="309"/>
      <c r="R513" s="268"/>
      <c r="S513" s="313"/>
      <c r="T513" s="313"/>
      <c r="U513" s="268"/>
      <c r="V513" s="268"/>
      <c r="W513" s="268"/>
      <c r="X513" s="268"/>
      <c r="Y513" s="268"/>
      <c r="Z513" s="268"/>
    </row>
    <row r="514" spans="1:26" ht="24.75" customHeight="1">
      <c r="A514" s="268"/>
      <c r="B514" s="268"/>
      <c r="C514" s="268"/>
      <c r="D514" s="268"/>
      <c r="E514" s="268"/>
      <c r="F514" s="268"/>
      <c r="G514" s="268"/>
      <c r="H514" s="268"/>
      <c r="I514" s="389"/>
      <c r="J514" s="389"/>
      <c r="K514" s="389"/>
      <c r="L514" s="268"/>
      <c r="M514" s="268"/>
      <c r="N514" s="268"/>
      <c r="O514" s="310"/>
      <c r="P514" s="268"/>
      <c r="Q514" s="309"/>
      <c r="R514" s="268"/>
      <c r="S514" s="313"/>
      <c r="T514" s="313"/>
      <c r="U514" s="268"/>
      <c r="V514" s="268"/>
      <c r="W514" s="268"/>
      <c r="X514" s="268"/>
      <c r="Y514" s="268"/>
      <c r="Z514" s="268"/>
    </row>
    <row r="515" spans="1:26" ht="24.75" customHeight="1">
      <c r="A515" s="268"/>
      <c r="B515" s="268"/>
      <c r="C515" s="268"/>
      <c r="D515" s="268"/>
      <c r="E515" s="268"/>
      <c r="F515" s="268"/>
      <c r="G515" s="268"/>
      <c r="H515" s="268"/>
      <c r="I515" s="389"/>
      <c r="J515" s="389"/>
      <c r="K515" s="389"/>
      <c r="L515" s="268"/>
      <c r="M515" s="268"/>
      <c r="N515" s="268"/>
      <c r="O515" s="310"/>
      <c r="P515" s="268"/>
      <c r="Q515" s="309"/>
      <c r="R515" s="268"/>
      <c r="S515" s="313"/>
      <c r="T515" s="313"/>
      <c r="U515" s="268"/>
      <c r="V515" s="268"/>
      <c r="W515" s="268"/>
      <c r="X515" s="268"/>
      <c r="Y515" s="268"/>
      <c r="Z515" s="268"/>
    </row>
    <row r="516" spans="1:26" ht="24.75" customHeight="1">
      <c r="A516" s="268"/>
      <c r="B516" s="268"/>
      <c r="C516" s="268"/>
      <c r="D516" s="268"/>
      <c r="E516" s="268"/>
      <c r="F516" s="268"/>
      <c r="G516" s="268"/>
      <c r="H516" s="268"/>
      <c r="I516" s="389"/>
      <c r="J516" s="389"/>
      <c r="K516" s="389"/>
      <c r="L516" s="268"/>
      <c r="M516" s="268"/>
      <c r="N516" s="268"/>
      <c r="O516" s="310"/>
      <c r="P516" s="268"/>
      <c r="Q516" s="309"/>
      <c r="R516" s="268"/>
      <c r="S516" s="313"/>
      <c r="T516" s="313"/>
      <c r="U516" s="268"/>
      <c r="V516" s="268"/>
      <c r="W516" s="268"/>
      <c r="X516" s="268"/>
      <c r="Y516" s="268"/>
      <c r="Z516" s="268"/>
    </row>
    <row r="517" spans="1:26" ht="24.75" customHeight="1">
      <c r="A517" s="268"/>
      <c r="B517" s="268"/>
      <c r="C517" s="268"/>
      <c r="D517" s="268"/>
      <c r="E517" s="268"/>
      <c r="F517" s="268"/>
      <c r="G517" s="268"/>
      <c r="H517" s="268"/>
      <c r="I517" s="389"/>
      <c r="J517" s="389"/>
      <c r="K517" s="389"/>
      <c r="L517" s="268"/>
      <c r="M517" s="268"/>
      <c r="N517" s="268"/>
      <c r="O517" s="310"/>
      <c r="P517" s="268"/>
      <c r="Q517" s="309"/>
      <c r="R517" s="268"/>
      <c r="S517" s="313"/>
      <c r="T517" s="313"/>
      <c r="U517" s="268"/>
      <c r="V517" s="268"/>
      <c r="W517" s="268"/>
      <c r="X517" s="268"/>
      <c r="Y517" s="268"/>
      <c r="Z517" s="268"/>
    </row>
    <row r="518" spans="1:26" ht="24.75" customHeight="1">
      <c r="A518" s="268"/>
      <c r="B518" s="268"/>
      <c r="C518" s="268"/>
      <c r="D518" s="268"/>
      <c r="E518" s="268"/>
      <c r="F518" s="268"/>
      <c r="G518" s="268"/>
      <c r="H518" s="268"/>
      <c r="I518" s="389"/>
      <c r="J518" s="389"/>
      <c r="K518" s="389"/>
      <c r="L518" s="268"/>
      <c r="M518" s="268"/>
      <c r="N518" s="268"/>
      <c r="O518" s="310"/>
      <c r="P518" s="268"/>
      <c r="Q518" s="309"/>
      <c r="R518" s="268"/>
      <c r="S518" s="313"/>
      <c r="T518" s="313"/>
      <c r="U518" s="268"/>
      <c r="V518" s="268"/>
      <c r="W518" s="268"/>
      <c r="X518" s="268"/>
      <c r="Y518" s="268"/>
      <c r="Z518" s="268"/>
    </row>
    <row r="519" spans="1:26" ht="24.75" customHeight="1">
      <c r="A519" s="268"/>
      <c r="B519" s="268"/>
      <c r="C519" s="268"/>
      <c r="D519" s="268"/>
      <c r="E519" s="268"/>
      <c r="F519" s="268"/>
      <c r="G519" s="268"/>
      <c r="H519" s="268"/>
      <c r="I519" s="389"/>
      <c r="J519" s="389"/>
      <c r="K519" s="389"/>
      <c r="L519" s="268"/>
      <c r="M519" s="268"/>
      <c r="N519" s="268"/>
      <c r="O519" s="310"/>
      <c r="P519" s="268"/>
      <c r="Q519" s="309"/>
      <c r="R519" s="268"/>
      <c r="S519" s="313"/>
      <c r="T519" s="313"/>
      <c r="U519" s="268"/>
      <c r="V519" s="268"/>
      <c r="W519" s="268"/>
      <c r="X519" s="268"/>
      <c r="Y519" s="268"/>
      <c r="Z519" s="268"/>
    </row>
    <row r="520" spans="1:26" ht="24.75" customHeight="1">
      <c r="A520" s="268"/>
      <c r="B520" s="268"/>
      <c r="C520" s="268"/>
      <c r="D520" s="268"/>
      <c r="E520" s="268"/>
      <c r="F520" s="268"/>
      <c r="G520" s="268"/>
      <c r="H520" s="268"/>
      <c r="I520" s="389"/>
      <c r="J520" s="389"/>
      <c r="K520" s="389"/>
      <c r="L520" s="268"/>
      <c r="M520" s="268"/>
      <c r="N520" s="268"/>
      <c r="O520" s="310"/>
      <c r="P520" s="268"/>
      <c r="Q520" s="309"/>
      <c r="R520" s="268"/>
      <c r="S520" s="313"/>
      <c r="T520" s="313"/>
      <c r="U520" s="268"/>
      <c r="V520" s="268"/>
      <c r="W520" s="268"/>
      <c r="X520" s="268"/>
      <c r="Y520" s="268"/>
      <c r="Z520" s="268"/>
    </row>
    <row r="521" spans="1:26" ht="24.75" customHeight="1">
      <c r="A521" s="268"/>
      <c r="B521" s="268"/>
      <c r="C521" s="268"/>
      <c r="D521" s="268"/>
      <c r="E521" s="268"/>
      <c r="F521" s="268"/>
      <c r="G521" s="268"/>
      <c r="H521" s="268"/>
      <c r="I521" s="389"/>
      <c r="J521" s="389"/>
      <c r="K521" s="389"/>
      <c r="L521" s="268"/>
      <c r="M521" s="268"/>
      <c r="N521" s="268"/>
      <c r="O521" s="310"/>
      <c r="P521" s="268"/>
      <c r="Q521" s="309"/>
      <c r="R521" s="268"/>
      <c r="S521" s="313"/>
      <c r="T521" s="313"/>
      <c r="U521" s="268"/>
      <c r="V521" s="268"/>
      <c r="W521" s="268"/>
      <c r="X521" s="268"/>
      <c r="Y521" s="268"/>
      <c r="Z521" s="268"/>
    </row>
    <row r="522" spans="1:26" ht="24.75" customHeight="1">
      <c r="A522" s="268"/>
      <c r="B522" s="268"/>
      <c r="C522" s="268"/>
      <c r="D522" s="268"/>
      <c r="E522" s="268"/>
      <c r="F522" s="268"/>
      <c r="G522" s="268"/>
      <c r="H522" s="268"/>
      <c r="I522" s="389"/>
      <c r="J522" s="389"/>
      <c r="K522" s="389"/>
      <c r="L522" s="268"/>
      <c r="M522" s="268"/>
      <c r="N522" s="268"/>
      <c r="O522" s="310"/>
      <c r="P522" s="268"/>
      <c r="Q522" s="309"/>
      <c r="R522" s="268"/>
      <c r="S522" s="313"/>
      <c r="T522" s="313"/>
      <c r="U522" s="268"/>
      <c r="V522" s="268"/>
      <c r="W522" s="268"/>
      <c r="X522" s="268"/>
      <c r="Y522" s="268"/>
      <c r="Z522" s="268"/>
    </row>
    <row r="523" spans="1:26" ht="24.75" customHeight="1">
      <c r="A523" s="268"/>
      <c r="B523" s="268"/>
      <c r="C523" s="268"/>
      <c r="D523" s="268"/>
      <c r="E523" s="268"/>
      <c r="F523" s="268"/>
      <c r="G523" s="268"/>
      <c r="H523" s="268"/>
      <c r="I523" s="389"/>
      <c r="J523" s="389"/>
      <c r="K523" s="389"/>
      <c r="L523" s="268"/>
      <c r="M523" s="268"/>
      <c r="N523" s="268"/>
      <c r="O523" s="310"/>
      <c r="P523" s="268"/>
      <c r="Q523" s="309"/>
      <c r="R523" s="268"/>
      <c r="S523" s="313"/>
      <c r="T523" s="313"/>
      <c r="U523" s="268"/>
      <c r="V523" s="268"/>
      <c r="W523" s="268"/>
      <c r="X523" s="268"/>
      <c r="Y523" s="268"/>
      <c r="Z523" s="268"/>
    </row>
    <row r="524" spans="1:26" ht="24.75" customHeight="1">
      <c r="A524" s="268"/>
      <c r="B524" s="268"/>
      <c r="C524" s="268"/>
      <c r="D524" s="268"/>
      <c r="E524" s="268"/>
      <c r="F524" s="268"/>
      <c r="G524" s="268"/>
      <c r="H524" s="268"/>
      <c r="I524" s="389"/>
      <c r="J524" s="389"/>
      <c r="K524" s="389"/>
      <c r="L524" s="268"/>
      <c r="M524" s="268"/>
      <c r="N524" s="268"/>
      <c r="O524" s="310"/>
      <c r="P524" s="268"/>
      <c r="Q524" s="309"/>
      <c r="R524" s="268"/>
      <c r="S524" s="313"/>
      <c r="T524" s="313"/>
      <c r="U524" s="268"/>
      <c r="V524" s="268"/>
      <c r="W524" s="268"/>
      <c r="X524" s="268"/>
      <c r="Y524" s="268"/>
      <c r="Z524" s="268"/>
    </row>
    <row r="525" spans="1:26" ht="24.75" customHeight="1">
      <c r="A525" s="268"/>
      <c r="B525" s="268"/>
      <c r="C525" s="268"/>
      <c r="D525" s="268"/>
      <c r="E525" s="268"/>
      <c r="F525" s="268"/>
      <c r="G525" s="268"/>
      <c r="H525" s="268"/>
      <c r="I525" s="389"/>
      <c r="J525" s="389"/>
      <c r="K525" s="389"/>
      <c r="L525" s="268"/>
      <c r="M525" s="268"/>
      <c r="N525" s="268"/>
      <c r="O525" s="310"/>
      <c r="P525" s="268"/>
      <c r="Q525" s="309"/>
      <c r="R525" s="268"/>
      <c r="S525" s="313"/>
      <c r="T525" s="313"/>
      <c r="U525" s="268"/>
      <c r="V525" s="268"/>
      <c r="W525" s="268"/>
      <c r="X525" s="268"/>
      <c r="Y525" s="268"/>
      <c r="Z525" s="268"/>
    </row>
    <row r="526" spans="1:26" ht="24.75" customHeight="1">
      <c r="A526" s="268"/>
      <c r="B526" s="268"/>
      <c r="C526" s="268"/>
      <c r="D526" s="268"/>
      <c r="E526" s="268"/>
      <c r="F526" s="268"/>
      <c r="G526" s="268"/>
      <c r="H526" s="268"/>
      <c r="I526" s="389"/>
      <c r="J526" s="389"/>
      <c r="K526" s="389"/>
      <c r="L526" s="268"/>
      <c r="M526" s="268"/>
      <c r="N526" s="268"/>
      <c r="O526" s="310"/>
      <c r="P526" s="268"/>
      <c r="Q526" s="309"/>
      <c r="R526" s="268"/>
      <c r="S526" s="313"/>
      <c r="T526" s="313"/>
      <c r="U526" s="268"/>
      <c r="V526" s="268"/>
      <c r="W526" s="268"/>
      <c r="X526" s="268"/>
      <c r="Y526" s="268"/>
      <c r="Z526" s="268"/>
    </row>
    <row r="527" spans="1:26" ht="24.75" customHeight="1">
      <c r="A527" s="268"/>
      <c r="B527" s="268"/>
      <c r="C527" s="268"/>
      <c r="D527" s="268"/>
      <c r="E527" s="268"/>
      <c r="F527" s="268"/>
      <c r="G527" s="268"/>
      <c r="H527" s="268"/>
      <c r="I527" s="389"/>
      <c r="J527" s="389"/>
      <c r="K527" s="389"/>
      <c r="L527" s="268"/>
      <c r="M527" s="268"/>
      <c r="N527" s="268"/>
      <c r="O527" s="310"/>
      <c r="P527" s="268"/>
      <c r="Q527" s="309"/>
      <c r="R527" s="268"/>
      <c r="S527" s="313"/>
      <c r="T527" s="313"/>
      <c r="U527" s="268"/>
      <c r="V527" s="268"/>
      <c r="W527" s="268"/>
      <c r="X527" s="268"/>
      <c r="Y527" s="268"/>
      <c r="Z527" s="268"/>
    </row>
    <row r="528" spans="1:26" ht="24.75" customHeight="1">
      <c r="A528" s="268"/>
      <c r="B528" s="268"/>
      <c r="C528" s="268"/>
      <c r="D528" s="268"/>
      <c r="E528" s="268"/>
      <c r="F528" s="268"/>
      <c r="G528" s="268"/>
      <c r="H528" s="268"/>
      <c r="I528" s="389"/>
      <c r="J528" s="389"/>
      <c r="K528" s="389"/>
      <c r="L528" s="268"/>
      <c r="M528" s="268"/>
      <c r="N528" s="268"/>
      <c r="O528" s="310"/>
      <c r="P528" s="268"/>
      <c r="Q528" s="309"/>
      <c r="R528" s="268"/>
      <c r="S528" s="313"/>
      <c r="T528" s="313"/>
      <c r="U528" s="268"/>
      <c r="V528" s="268"/>
      <c r="W528" s="268"/>
      <c r="X528" s="268"/>
      <c r="Y528" s="268"/>
      <c r="Z528" s="268"/>
    </row>
    <row r="529" spans="1:26" ht="24.75" customHeight="1">
      <c r="A529" s="268"/>
      <c r="B529" s="268"/>
      <c r="C529" s="268"/>
      <c r="D529" s="268"/>
      <c r="E529" s="268"/>
      <c r="F529" s="268"/>
      <c r="G529" s="268"/>
      <c r="H529" s="268"/>
      <c r="I529" s="389"/>
      <c r="J529" s="389"/>
      <c r="K529" s="389"/>
      <c r="L529" s="268"/>
      <c r="M529" s="268"/>
      <c r="N529" s="268"/>
      <c r="O529" s="310"/>
      <c r="P529" s="268"/>
      <c r="Q529" s="309"/>
      <c r="R529" s="268"/>
      <c r="S529" s="313"/>
      <c r="T529" s="313"/>
      <c r="U529" s="268"/>
      <c r="V529" s="268"/>
      <c r="W529" s="268"/>
      <c r="X529" s="268"/>
      <c r="Y529" s="268"/>
      <c r="Z529" s="268"/>
    </row>
    <row r="530" spans="1:26" ht="24.75" customHeight="1">
      <c r="A530" s="268"/>
      <c r="B530" s="268"/>
      <c r="C530" s="268"/>
      <c r="D530" s="268"/>
      <c r="E530" s="268"/>
      <c r="F530" s="268"/>
      <c r="G530" s="268"/>
      <c r="H530" s="268"/>
      <c r="I530" s="389"/>
      <c r="J530" s="389"/>
      <c r="K530" s="389"/>
      <c r="L530" s="268"/>
      <c r="M530" s="268"/>
      <c r="N530" s="268"/>
      <c r="O530" s="310"/>
      <c r="P530" s="268"/>
      <c r="Q530" s="309"/>
      <c r="R530" s="268"/>
      <c r="S530" s="313"/>
      <c r="T530" s="313"/>
      <c r="U530" s="268"/>
      <c r="V530" s="268"/>
      <c r="W530" s="268"/>
      <c r="X530" s="268"/>
      <c r="Y530" s="268"/>
      <c r="Z530" s="268"/>
    </row>
    <row r="531" spans="1:26" ht="24.75" customHeight="1">
      <c r="A531" s="268"/>
      <c r="B531" s="268"/>
      <c r="C531" s="268"/>
      <c r="D531" s="268"/>
      <c r="E531" s="268"/>
      <c r="F531" s="268"/>
      <c r="G531" s="268"/>
      <c r="H531" s="268"/>
      <c r="I531" s="389"/>
      <c r="J531" s="389"/>
      <c r="K531" s="389"/>
      <c r="L531" s="268"/>
      <c r="M531" s="268"/>
      <c r="N531" s="268"/>
      <c r="O531" s="310"/>
      <c r="P531" s="268"/>
      <c r="Q531" s="309"/>
      <c r="R531" s="268"/>
      <c r="S531" s="313"/>
      <c r="T531" s="313"/>
      <c r="U531" s="268"/>
      <c r="V531" s="268"/>
      <c r="W531" s="268"/>
      <c r="X531" s="268"/>
      <c r="Y531" s="268"/>
      <c r="Z531" s="268"/>
    </row>
    <row r="532" spans="1:26" ht="24.75" customHeight="1">
      <c r="A532" s="268"/>
      <c r="B532" s="268"/>
      <c r="C532" s="268"/>
      <c r="D532" s="268"/>
      <c r="E532" s="268"/>
      <c r="F532" s="268"/>
      <c r="G532" s="268"/>
      <c r="H532" s="268"/>
      <c r="I532" s="389"/>
      <c r="J532" s="389"/>
      <c r="K532" s="389"/>
      <c r="L532" s="268"/>
      <c r="M532" s="268"/>
      <c r="N532" s="268"/>
      <c r="O532" s="310"/>
      <c r="P532" s="268"/>
      <c r="Q532" s="309"/>
      <c r="R532" s="268"/>
      <c r="S532" s="313"/>
      <c r="T532" s="313"/>
      <c r="U532" s="268"/>
      <c r="V532" s="268"/>
      <c r="W532" s="268"/>
      <c r="X532" s="268"/>
      <c r="Y532" s="268"/>
      <c r="Z532" s="268"/>
    </row>
    <row r="533" spans="1:26" ht="24.75" customHeight="1">
      <c r="A533" s="268"/>
      <c r="B533" s="268"/>
      <c r="C533" s="268"/>
      <c r="D533" s="268"/>
      <c r="E533" s="268"/>
      <c r="F533" s="268"/>
      <c r="G533" s="268"/>
      <c r="H533" s="268"/>
      <c r="I533" s="389"/>
      <c r="J533" s="389"/>
      <c r="K533" s="389"/>
      <c r="L533" s="268"/>
      <c r="M533" s="268"/>
      <c r="N533" s="268"/>
      <c r="O533" s="310"/>
      <c r="P533" s="268"/>
      <c r="Q533" s="309"/>
      <c r="R533" s="268"/>
      <c r="S533" s="313"/>
      <c r="T533" s="313"/>
      <c r="U533" s="268"/>
      <c r="V533" s="268"/>
      <c r="W533" s="268"/>
      <c r="X533" s="268"/>
      <c r="Y533" s="268"/>
      <c r="Z533" s="268"/>
    </row>
    <row r="534" spans="1:26" ht="24.75" customHeight="1">
      <c r="A534" s="268"/>
      <c r="B534" s="268"/>
      <c r="C534" s="268"/>
      <c r="D534" s="268"/>
      <c r="E534" s="268"/>
      <c r="F534" s="268"/>
      <c r="G534" s="268"/>
      <c r="H534" s="268"/>
      <c r="I534" s="389"/>
      <c r="J534" s="389"/>
      <c r="K534" s="389"/>
      <c r="L534" s="268"/>
      <c r="M534" s="268"/>
      <c r="N534" s="268"/>
      <c r="O534" s="310"/>
      <c r="P534" s="268"/>
      <c r="Q534" s="309"/>
      <c r="R534" s="268"/>
      <c r="S534" s="313"/>
      <c r="T534" s="313"/>
      <c r="U534" s="268"/>
      <c r="V534" s="268"/>
      <c r="W534" s="268"/>
      <c r="X534" s="268"/>
      <c r="Y534" s="268"/>
      <c r="Z534" s="268"/>
    </row>
    <row r="535" spans="1:26" ht="24.75" customHeight="1">
      <c r="A535" s="268"/>
      <c r="B535" s="268"/>
      <c r="C535" s="268"/>
      <c r="D535" s="268"/>
      <c r="E535" s="268"/>
      <c r="F535" s="268"/>
      <c r="G535" s="268"/>
      <c r="H535" s="268"/>
      <c r="I535" s="389"/>
      <c r="J535" s="389"/>
      <c r="K535" s="389"/>
      <c r="L535" s="268"/>
      <c r="M535" s="268"/>
      <c r="N535" s="268"/>
      <c r="O535" s="310"/>
      <c r="P535" s="268"/>
      <c r="Q535" s="309"/>
      <c r="R535" s="268"/>
      <c r="S535" s="313"/>
      <c r="T535" s="313"/>
      <c r="U535" s="268"/>
      <c r="V535" s="268"/>
      <c r="W535" s="268"/>
      <c r="X535" s="268"/>
      <c r="Y535" s="268"/>
      <c r="Z535" s="268"/>
    </row>
    <row r="536" spans="1:26" ht="24.75" customHeight="1">
      <c r="A536" s="268"/>
      <c r="B536" s="268"/>
      <c r="C536" s="268"/>
      <c r="D536" s="268"/>
      <c r="E536" s="268"/>
      <c r="F536" s="268"/>
      <c r="G536" s="268"/>
      <c r="H536" s="268"/>
      <c r="I536" s="389"/>
      <c r="J536" s="389"/>
      <c r="K536" s="389"/>
      <c r="L536" s="268"/>
      <c r="M536" s="268"/>
      <c r="N536" s="268"/>
      <c r="O536" s="310"/>
      <c r="P536" s="268"/>
      <c r="Q536" s="309"/>
      <c r="R536" s="268"/>
      <c r="S536" s="313"/>
      <c r="T536" s="313"/>
      <c r="U536" s="268"/>
      <c r="V536" s="268"/>
      <c r="W536" s="268"/>
      <c r="X536" s="268"/>
      <c r="Y536" s="268"/>
      <c r="Z536" s="268"/>
    </row>
    <row r="537" spans="1:26" ht="24.75" customHeight="1">
      <c r="A537" s="268"/>
      <c r="B537" s="268"/>
      <c r="C537" s="268"/>
      <c r="D537" s="268"/>
      <c r="E537" s="268"/>
      <c r="F537" s="268"/>
      <c r="G537" s="268"/>
      <c r="H537" s="268"/>
      <c r="I537" s="389"/>
      <c r="J537" s="389"/>
      <c r="K537" s="389"/>
      <c r="L537" s="268"/>
      <c r="M537" s="268"/>
      <c r="N537" s="268"/>
      <c r="O537" s="310"/>
      <c r="P537" s="268"/>
      <c r="Q537" s="309"/>
      <c r="R537" s="268"/>
      <c r="S537" s="313"/>
      <c r="T537" s="313"/>
      <c r="U537" s="268"/>
      <c r="V537" s="268"/>
      <c r="W537" s="268"/>
      <c r="X537" s="268"/>
      <c r="Y537" s="268"/>
      <c r="Z537" s="268"/>
    </row>
    <row r="538" spans="1:26" ht="24.75" customHeight="1">
      <c r="A538" s="268"/>
      <c r="B538" s="268"/>
      <c r="C538" s="268"/>
      <c r="D538" s="268"/>
      <c r="E538" s="268"/>
      <c r="F538" s="268"/>
      <c r="G538" s="268"/>
      <c r="H538" s="268"/>
      <c r="I538" s="389"/>
      <c r="J538" s="389"/>
      <c r="K538" s="389"/>
      <c r="L538" s="268"/>
      <c r="M538" s="268"/>
      <c r="N538" s="268"/>
      <c r="O538" s="310"/>
      <c r="P538" s="268"/>
      <c r="Q538" s="309"/>
      <c r="R538" s="268"/>
      <c r="S538" s="313"/>
      <c r="T538" s="313"/>
      <c r="U538" s="268"/>
      <c r="V538" s="268"/>
      <c r="W538" s="268"/>
      <c r="X538" s="268"/>
      <c r="Y538" s="268"/>
      <c r="Z538" s="268"/>
    </row>
    <row r="539" spans="1:26" ht="24.75" customHeight="1">
      <c r="A539" s="268"/>
      <c r="B539" s="268"/>
      <c r="C539" s="268"/>
      <c r="D539" s="268"/>
      <c r="E539" s="268"/>
      <c r="F539" s="268"/>
      <c r="G539" s="268"/>
      <c r="H539" s="268"/>
      <c r="I539" s="389"/>
      <c r="J539" s="389"/>
      <c r="K539" s="389"/>
      <c r="L539" s="268"/>
      <c r="M539" s="268"/>
      <c r="N539" s="268"/>
      <c r="O539" s="310"/>
      <c r="P539" s="268"/>
      <c r="Q539" s="309"/>
      <c r="R539" s="268"/>
      <c r="S539" s="313"/>
      <c r="T539" s="313"/>
      <c r="U539" s="268"/>
      <c r="V539" s="268"/>
      <c r="W539" s="268"/>
      <c r="X539" s="268"/>
      <c r="Y539" s="268"/>
      <c r="Z539" s="268"/>
    </row>
    <row r="540" spans="1:26" ht="24.75" customHeight="1">
      <c r="A540" s="268"/>
      <c r="B540" s="268"/>
      <c r="C540" s="268"/>
      <c r="D540" s="268"/>
      <c r="E540" s="268"/>
      <c r="F540" s="268"/>
      <c r="G540" s="268"/>
      <c r="H540" s="268"/>
      <c r="I540" s="389"/>
      <c r="J540" s="389"/>
      <c r="K540" s="389"/>
      <c r="L540" s="268"/>
      <c r="M540" s="268"/>
      <c r="N540" s="268"/>
      <c r="O540" s="310"/>
      <c r="P540" s="268"/>
      <c r="Q540" s="309"/>
      <c r="R540" s="268"/>
      <c r="S540" s="313"/>
      <c r="T540" s="313"/>
      <c r="U540" s="268"/>
      <c r="V540" s="268"/>
      <c r="W540" s="268"/>
      <c r="X540" s="268"/>
      <c r="Y540" s="268"/>
      <c r="Z540" s="268"/>
    </row>
    <row r="541" spans="1:26" ht="24.75" customHeight="1">
      <c r="A541" s="268"/>
      <c r="B541" s="268"/>
      <c r="C541" s="268"/>
      <c r="D541" s="268"/>
      <c r="E541" s="268"/>
      <c r="F541" s="268"/>
      <c r="G541" s="268"/>
      <c r="H541" s="268"/>
      <c r="I541" s="389"/>
      <c r="J541" s="389"/>
      <c r="K541" s="389"/>
      <c r="L541" s="268"/>
      <c r="M541" s="268"/>
      <c r="N541" s="268"/>
      <c r="O541" s="310"/>
      <c r="P541" s="268"/>
      <c r="Q541" s="309"/>
      <c r="R541" s="268"/>
      <c r="S541" s="313"/>
      <c r="T541" s="313"/>
      <c r="U541" s="268"/>
      <c r="V541" s="268"/>
      <c r="W541" s="268"/>
      <c r="X541" s="268"/>
      <c r="Y541" s="268"/>
      <c r="Z541" s="268"/>
    </row>
    <row r="542" spans="1:26" ht="24.75" customHeight="1">
      <c r="A542" s="268"/>
      <c r="B542" s="268"/>
      <c r="C542" s="268"/>
      <c r="D542" s="268"/>
      <c r="E542" s="268"/>
      <c r="F542" s="268"/>
      <c r="G542" s="268"/>
      <c r="H542" s="268"/>
      <c r="I542" s="389"/>
      <c r="J542" s="389"/>
      <c r="K542" s="389"/>
      <c r="L542" s="268"/>
      <c r="M542" s="268"/>
      <c r="N542" s="268"/>
      <c r="O542" s="310"/>
      <c r="P542" s="268"/>
      <c r="Q542" s="309"/>
      <c r="R542" s="268"/>
      <c r="S542" s="313"/>
      <c r="T542" s="313"/>
      <c r="U542" s="268"/>
      <c r="V542" s="268"/>
      <c r="W542" s="268"/>
      <c r="X542" s="268"/>
      <c r="Y542" s="268"/>
      <c r="Z542" s="268"/>
    </row>
    <row r="543" spans="1:26" ht="24.75" customHeight="1">
      <c r="A543" s="268"/>
      <c r="B543" s="268"/>
      <c r="C543" s="268"/>
      <c r="D543" s="268"/>
      <c r="E543" s="268"/>
      <c r="F543" s="268"/>
      <c r="G543" s="268"/>
      <c r="H543" s="268"/>
      <c r="I543" s="389"/>
      <c r="J543" s="389"/>
      <c r="K543" s="389"/>
      <c r="L543" s="268"/>
      <c r="M543" s="268"/>
      <c r="N543" s="268"/>
      <c r="O543" s="310"/>
      <c r="P543" s="268"/>
      <c r="Q543" s="309"/>
      <c r="R543" s="268"/>
      <c r="S543" s="313"/>
      <c r="T543" s="313"/>
      <c r="U543" s="268"/>
      <c r="V543" s="268"/>
      <c r="W543" s="268"/>
      <c r="X543" s="268"/>
      <c r="Y543" s="268"/>
      <c r="Z543" s="268"/>
    </row>
    <row r="544" spans="1:26" ht="24.75" customHeight="1">
      <c r="A544" s="268"/>
      <c r="B544" s="268"/>
      <c r="C544" s="268"/>
      <c r="D544" s="268"/>
      <c r="E544" s="268"/>
      <c r="F544" s="268"/>
      <c r="G544" s="268"/>
      <c r="H544" s="268"/>
      <c r="I544" s="389"/>
      <c r="J544" s="389"/>
      <c r="K544" s="389"/>
      <c r="L544" s="268"/>
      <c r="M544" s="268"/>
      <c r="N544" s="268"/>
      <c r="O544" s="310"/>
      <c r="P544" s="268"/>
      <c r="Q544" s="309"/>
      <c r="R544" s="268"/>
      <c r="S544" s="313"/>
      <c r="T544" s="313"/>
      <c r="U544" s="268"/>
      <c r="V544" s="268"/>
      <c r="W544" s="268"/>
      <c r="X544" s="268"/>
      <c r="Y544" s="268"/>
      <c r="Z544" s="268"/>
    </row>
    <row r="545" spans="1:26" ht="24.75" customHeight="1">
      <c r="A545" s="268"/>
      <c r="B545" s="268"/>
      <c r="C545" s="268"/>
      <c r="D545" s="268"/>
      <c r="E545" s="268"/>
      <c r="F545" s="268"/>
      <c r="G545" s="268"/>
      <c r="H545" s="268"/>
      <c r="I545" s="389"/>
      <c r="J545" s="389"/>
      <c r="K545" s="389"/>
      <c r="L545" s="268"/>
      <c r="M545" s="268"/>
      <c r="N545" s="268"/>
      <c r="O545" s="310"/>
      <c r="P545" s="268"/>
      <c r="Q545" s="309"/>
      <c r="R545" s="268"/>
      <c r="S545" s="313"/>
      <c r="T545" s="313"/>
      <c r="U545" s="268"/>
      <c r="V545" s="268"/>
      <c r="W545" s="268"/>
      <c r="X545" s="268"/>
      <c r="Y545" s="268"/>
      <c r="Z545" s="268"/>
    </row>
    <row r="546" spans="1:26" ht="24.75" customHeight="1">
      <c r="A546" s="268"/>
      <c r="B546" s="268"/>
      <c r="C546" s="268"/>
      <c r="D546" s="268"/>
      <c r="E546" s="268"/>
      <c r="F546" s="268"/>
      <c r="G546" s="268"/>
      <c r="H546" s="268"/>
      <c r="I546" s="389"/>
      <c r="J546" s="389"/>
      <c r="K546" s="389"/>
      <c r="L546" s="268"/>
      <c r="M546" s="268"/>
      <c r="N546" s="268"/>
      <c r="O546" s="310"/>
      <c r="P546" s="268"/>
      <c r="Q546" s="309"/>
      <c r="R546" s="268"/>
      <c r="S546" s="313"/>
      <c r="T546" s="313"/>
      <c r="U546" s="268"/>
      <c r="V546" s="268"/>
      <c r="W546" s="268"/>
      <c r="X546" s="268"/>
      <c r="Y546" s="268"/>
      <c r="Z546" s="268"/>
    </row>
    <row r="547" spans="1:26" ht="24.75" customHeight="1">
      <c r="A547" s="268"/>
      <c r="B547" s="268"/>
      <c r="C547" s="268"/>
      <c r="D547" s="268"/>
      <c r="E547" s="268"/>
      <c r="F547" s="268"/>
      <c r="G547" s="268"/>
      <c r="H547" s="268"/>
      <c r="I547" s="389"/>
      <c r="J547" s="389"/>
      <c r="K547" s="389"/>
      <c r="L547" s="268"/>
      <c r="M547" s="268"/>
      <c r="N547" s="268"/>
      <c r="O547" s="310"/>
      <c r="P547" s="268"/>
      <c r="Q547" s="309"/>
      <c r="R547" s="268"/>
      <c r="S547" s="313"/>
      <c r="T547" s="313"/>
      <c r="U547" s="268"/>
      <c r="V547" s="268"/>
      <c r="W547" s="268"/>
      <c r="X547" s="268"/>
      <c r="Y547" s="268"/>
      <c r="Z547" s="268"/>
    </row>
    <row r="548" spans="1:26" ht="24.75" customHeight="1">
      <c r="A548" s="268"/>
      <c r="B548" s="268"/>
      <c r="C548" s="268"/>
      <c r="D548" s="268"/>
      <c r="E548" s="268"/>
      <c r="F548" s="268"/>
      <c r="G548" s="268"/>
      <c r="H548" s="268"/>
      <c r="I548" s="389"/>
      <c r="J548" s="389"/>
      <c r="K548" s="389"/>
      <c r="L548" s="268"/>
      <c r="M548" s="268"/>
      <c r="N548" s="268"/>
      <c r="O548" s="310"/>
      <c r="P548" s="268"/>
      <c r="Q548" s="309"/>
      <c r="R548" s="268"/>
      <c r="S548" s="313"/>
      <c r="T548" s="313"/>
      <c r="U548" s="268"/>
      <c r="V548" s="268"/>
      <c r="W548" s="268"/>
      <c r="X548" s="268"/>
      <c r="Y548" s="268"/>
      <c r="Z548" s="268"/>
    </row>
    <row r="549" spans="1:26" ht="24.75" customHeight="1">
      <c r="A549" s="268"/>
      <c r="B549" s="268"/>
      <c r="C549" s="268"/>
      <c r="D549" s="268"/>
      <c r="E549" s="268"/>
      <c r="F549" s="268"/>
      <c r="G549" s="268"/>
      <c r="H549" s="268"/>
      <c r="I549" s="389"/>
      <c r="J549" s="389"/>
      <c r="K549" s="389"/>
      <c r="L549" s="268"/>
      <c r="M549" s="268"/>
      <c r="N549" s="268"/>
      <c r="O549" s="310"/>
      <c r="P549" s="268"/>
      <c r="Q549" s="309"/>
      <c r="R549" s="268"/>
      <c r="S549" s="313"/>
      <c r="T549" s="313"/>
      <c r="U549" s="268"/>
      <c r="V549" s="268"/>
      <c r="W549" s="268"/>
      <c r="X549" s="268"/>
      <c r="Y549" s="268"/>
      <c r="Z549" s="268"/>
    </row>
    <row r="550" spans="1:26" ht="24.75" customHeight="1">
      <c r="A550" s="268"/>
      <c r="B550" s="268"/>
      <c r="C550" s="268"/>
      <c r="D550" s="268"/>
      <c r="E550" s="268"/>
      <c r="F550" s="268"/>
      <c r="G550" s="268"/>
      <c r="H550" s="268"/>
      <c r="I550" s="389"/>
      <c r="J550" s="389"/>
      <c r="K550" s="389"/>
      <c r="L550" s="268"/>
      <c r="M550" s="268"/>
      <c r="N550" s="268"/>
      <c r="O550" s="310"/>
      <c r="P550" s="268"/>
      <c r="Q550" s="309"/>
      <c r="R550" s="268"/>
      <c r="S550" s="313"/>
      <c r="T550" s="313"/>
      <c r="U550" s="268"/>
      <c r="V550" s="268"/>
      <c r="W550" s="268"/>
      <c r="X550" s="268"/>
      <c r="Y550" s="268"/>
      <c r="Z550" s="268"/>
    </row>
    <row r="551" spans="1:26" ht="24.75" customHeight="1">
      <c r="A551" s="268"/>
      <c r="B551" s="268"/>
      <c r="C551" s="268"/>
      <c r="D551" s="268"/>
      <c r="E551" s="268"/>
      <c r="F551" s="268"/>
      <c r="G551" s="268"/>
      <c r="H551" s="268"/>
      <c r="I551" s="389"/>
      <c r="J551" s="389"/>
      <c r="K551" s="389"/>
      <c r="L551" s="268"/>
      <c r="M551" s="268"/>
      <c r="N551" s="268"/>
      <c r="O551" s="310"/>
      <c r="P551" s="268"/>
      <c r="Q551" s="309"/>
      <c r="R551" s="268"/>
      <c r="S551" s="313"/>
      <c r="T551" s="313"/>
      <c r="U551" s="268"/>
      <c r="V551" s="268"/>
      <c r="W551" s="268"/>
      <c r="X551" s="268"/>
      <c r="Y551" s="268"/>
      <c r="Z551" s="268"/>
    </row>
    <row r="552" spans="1:26" ht="24.75" customHeight="1">
      <c r="A552" s="268"/>
      <c r="B552" s="268"/>
      <c r="C552" s="268"/>
      <c r="D552" s="268"/>
      <c r="E552" s="268"/>
      <c r="F552" s="268"/>
      <c r="G552" s="268"/>
      <c r="H552" s="268"/>
      <c r="I552" s="389"/>
      <c r="J552" s="389"/>
      <c r="K552" s="389"/>
      <c r="L552" s="268"/>
      <c r="M552" s="268"/>
      <c r="N552" s="268"/>
      <c r="O552" s="310"/>
      <c r="P552" s="268"/>
      <c r="Q552" s="309"/>
      <c r="R552" s="268"/>
      <c r="S552" s="313"/>
      <c r="T552" s="313"/>
      <c r="U552" s="268"/>
      <c r="V552" s="268"/>
      <c r="W552" s="268"/>
      <c r="X552" s="268"/>
      <c r="Y552" s="268"/>
      <c r="Z552" s="268"/>
    </row>
    <row r="553" spans="1:26" ht="24.75" customHeight="1">
      <c r="A553" s="268"/>
      <c r="B553" s="268"/>
      <c r="C553" s="268"/>
      <c r="D553" s="268"/>
      <c r="E553" s="268"/>
      <c r="F553" s="268"/>
      <c r="G553" s="268"/>
      <c r="H553" s="268"/>
      <c r="I553" s="389"/>
      <c r="J553" s="389"/>
      <c r="K553" s="389"/>
      <c r="L553" s="268"/>
      <c r="M553" s="268"/>
      <c r="N553" s="268"/>
      <c r="O553" s="310"/>
      <c r="P553" s="268"/>
      <c r="Q553" s="309"/>
      <c r="R553" s="268"/>
      <c r="S553" s="313"/>
      <c r="T553" s="313"/>
      <c r="U553" s="268"/>
      <c r="V553" s="268"/>
      <c r="W553" s="268"/>
      <c r="X553" s="268"/>
      <c r="Y553" s="268"/>
      <c r="Z553" s="268"/>
    </row>
    <row r="554" spans="1:26" ht="24.75" customHeight="1">
      <c r="A554" s="268"/>
      <c r="B554" s="268"/>
      <c r="C554" s="268"/>
      <c r="D554" s="268"/>
      <c r="E554" s="268"/>
      <c r="F554" s="268"/>
      <c r="G554" s="268"/>
      <c r="H554" s="268"/>
      <c r="I554" s="389"/>
      <c r="J554" s="389"/>
      <c r="K554" s="389"/>
      <c r="L554" s="268"/>
      <c r="M554" s="268"/>
      <c r="N554" s="268"/>
      <c r="O554" s="310"/>
      <c r="P554" s="268"/>
      <c r="Q554" s="309"/>
      <c r="R554" s="268"/>
      <c r="S554" s="313"/>
      <c r="T554" s="313"/>
      <c r="U554" s="268"/>
      <c r="V554" s="268"/>
      <c r="W554" s="268"/>
      <c r="X554" s="268"/>
      <c r="Y554" s="268"/>
      <c r="Z554" s="268"/>
    </row>
    <row r="555" spans="1:26" ht="24.75" customHeight="1">
      <c r="A555" s="268"/>
      <c r="B555" s="268"/>
      <c r="C555" s="268"/>
      <c r="D555" s="268"/>
      <c r="E555" s="268"/>
      <c r="F555" s="268"/>
      <c r="G555" s="268"/>
      <c r="H555" s="268"/>
      <c r="I555" s="389"/>
      <c r="J555" s="389"/>
      <c r="K555" s="389"/>
      <c r="L555" s="268"/>
      <c r="M555" s="268"/>
      <c r="N555" s="268"/>
      <c r="O555" s="310"/>
      <c r="P555" s="268"/>
      <c r="Q555" s="309"/>
      <c r="R555" s="268"/>
      <c r="S555" s="313"/>
      <c r="T555" s="313"/>
      <c r="U555" s="268"/>
      <c r="V555" s="268"/>
      <c r="W555" s="268"/>
      <c r="X555" s="268"/>
      <c r="Y555" s="268"/>
      <c r="Z555" s="268"/>
    </row>
    <row r="556" spans="1:26" ht="24.75" customHeight="1">
      <c r="A556" s="268"/>
      <c r="B556" s="268"/>
      <c r="C556" s="268"/>
      <c r="D556" s="268"/>
      <c r="E556" s="268"/>
      <c r="F556" s="268"/>
      <c r="G556" s="268"/>
      <c r="H556" s="268"/>
      <c r="I556" s="389"/>
      <c r="J556" s="389"/>
      <c r="K556" s="389"/>
      <c r="L556" s="268"/>
      <c r="M556" s="268"/>
      <c r="N556" s="268"/>
      <c r="O556" s="310"/>
      <c r="P556" s="268"/>
      <c r="Q556" s="309"/>
      <c r="R556" s="268"/>
      <c r="S556" s="313"/>
      <c r="T556" s="313"/>
      <c r="U556" s="268"/>
      <c r="V556" s="268"/>
      <c r="W556" s="268"/>
      <c r="X556" s="268"/>
      <c r="Y556" s="268"/>
      <c r="Z556" s="268"/>
    </row>
    <row r="557" spans="1:26" ht="24.75" customHeight="1">
      <c r="A557" s="268"/>
      <c r="B557" s="268"/>
      <c r="C557" s="268"/>
      <c r="D557" s="268"/>
      <c r="E557" s="268"/>
      <c r="F557" s="268"/>
      <c r="G557" s="268"/>
      <c r="H557" s="268"/>
      <c r="I557" s="389"/>
      <c r="J557" s="389"/>
      <c r="K557" s="389"/>
      <c r="L557" s="268"/>
      <c r="M557" s="268"/>
      <c r="N557" s="268"/>
      <c r="O557" s="310"/>
      <c r="P557" s="268"/>
      <c r="Q557" s="309"/>
      <c r="R557" s="268"/>
      <c r="S557" s="313"/>
      <c r="T557" s="313"/>
      <c r="U557" s="268"/>
      <c r="V557" s="268"/>
      <c r="W557" s="268"/>
      <c r="X557" s="268"/>
      <c r="Y557" s="268"/>
      <c r="Z557" s="268"/>
    </row>
    <row r="558" spans="1:26" ht="24.75" customHeight="1">
      <c r="A558" s="268"/>
      <c r="B558" s="268"/>
      <c r="C558" s="268"/>
      <c r="D558" s="268"/>
      <c r="E558" s="268"/>
      <c r="F558" s="268"/>
      <c r="G558" s="268"/>
      <c r="H558" s="268"/>
      <c r="I558" s="389"/>
      <c r="J558" s="389"/>
      <c r="K558" s="389"/>
      <c r="L558" s="268"/>
      <c r="M558" s="268"/>
      <c r="N558" s="268"/>
      <c r="O558" s="310"/>
      <c r="P558" s="268"/>
      <c r="Q558" s="309"/>
      <c r="R558" s="268"/>
      <c r="S558" s="313"/>
      <c r="T558" s="313"/>
      <c r="U558" s="268"/>
      <c r="V558" s="268"/>
      <c r="W558" s="268"/>
      <c r="X558" s="268"/>
      <c r="Y558" s="268"/>
      <c r="Z558" s="268"/>
    </row>
    <row r="559" spans="1:26" ht="24.75" customHeight="1">
      <c r="A559" s="268"/>
      <c r="B559" s="268"/>
      <c r="C559" s="268"/>
      <c r="D559" s="268"/>
      <c r="E559" s="268"/>
      <c r="F559" s="268"/>
      <c r="G559" s="268"/>
      <c r="H559" s="268"/>
      <c r="I559" s="389"/>
      <c r="J559" s="389"/>
      <c r="K559" s="389"/>
      <c r="L559" s="268"/>
      <c r="M559" s="268"/>
      <c r="N559" s="268"/>
      <c r="O559" s="310"/>
      <c r="P559" s="268"/>
      <c r="Q559" s="309"/>
      <c r="R559" s="268"/>
      <c r="S559" s="313"/>
      <c r="T559" s="313"/>
      <c r="U559" s="268"/>
      <c r="V559" s="268"/>
      <c r="W559" s="268"/>
      <c r="X559" s="268"/>
      <c r="Y559" s="268"/>
      <c r="Z559" s="268"/>
    </row>
    <row r="560" spans="1:26" ht="24.75" customHeight="1">
      <c r="A560" s="268"/>
      <c r="B560" s="268"/>
      <c r="C560" s="268"/>
      <c r="D560" s="268"/>
      <c r="E560" s="268"/>
      <c r="F560" s="268"/>
      <c r="G560" s="268"/>
      <c r="H560" s="268"/>
      <c r="I560" s="389"/>
      <c r="J560" s="389"/>
      <c r="K560" s="389"/>
      <c r="L560" s="268"/>
      <c r="M560" s="268"/>
      <c r="N560" s="268"/>
      <c r="O560" s="310"/>
      <c r="P560" s="268"/>
      <c r="Q560" s="309"/>
      <c r="R560" s="268"/>
      <c r="S560" s="313"/>
      <c r="T560" s="313"/>
      <c r="U560" s="268"/>
      <c r="V560" s="268"/>
      <c r="W560" s="268"/>
      <c r="X560" s="268"/>
      <c r="Y560" s="268"/>
      <c r="Z560" s="268"/>
    </row>
    <row r="561" spans="1:26" ht="24.75" customHeight="1">
      <c r="A561" s="268"/>
      <c r="B561" s="268"/>
      <c r="C561" s="268"/>
      <c r="D561" s="268"/>
      <c r="E561" s="268"/>
      <c r="F561" s="268"/>
      <c r="G561" s="268"/>
      <c r="H561" s="268"/>
      <c r="I561" s="389"/>
      <c r="J561" s="389"/>
      <c r="K561" s="389"/>
      <c r="L561" s="268"/>
      <c r="M561" s="268"/>
      <c r="N561" s="268"/>
      <c r="O561" s="310"/>
      <c r="P561" s="268"/>
      <c r="Q561" s="309"/>
      <c r="R561" s="268"/>
      <c r="S561" s="313"/>
      <c r="T561" s="313"/>
      <c r="U561" s="268"/>
      <c r="V561" s="268"/>
      <c r="W561" s="268"/>
      <c r="X561" s="268"/>
      <c r="Y561" s="268"/>
      <c r="Z561" s="268"/>
    </row>
    <row r="562" spans="1:26" ht="24.75" customHeight="1">
      <c r="A562" s="268"/>
      <c r="B562" s="268"/>
      <c r="C562" s="268"/>
      <c r="D562" s="268"/>
      <c r="E562" s="268"/>
      <c r="F562" s="268"/>
      <c r="G562" s="268"/>
      <c r="H562" s="268"/>
      <c r="I562" s="389"/>
      <c r="J562" s="389"/>
      <c r="K562" s="389"/>
      <c r="L562" s="268"/>
      <c r="M562" s="268"/>
      <c r="N562" s="268"/>
      <c r="O562" s="310"/>
      <c r="P562" s="268"/>
      <c r="Q562" s="309"/>
      <c r="R562" s="268"/>
      <c r="S562" s="313"/>
      <c r="T562" s="313"/>
      <c r="U562" s="268"/>
      <c r="V562" s="268"/>
      <c r="W562" s="268"/>
      <c r="X562" s="268"/>
      <c r="Y562" s="268"/>
      <c r="Z562" s="268"/>
    </row>
    <row r="563" spans="1:26" ht="24.75" customHeight="1">
      <c r="A563" s="268"/>
      <c r="B563" s="268"/>
      <c r="C563" s="268"/>
      <c r="D563" s="268"/>
      <c r="E563" s="268"/>
      <c r="F563" s="268"/>
      <c r="G563" s="268"/>
      <c r="H563" s="268"/>
      <c r="I563" s="389"/>
      <c r="J563" s="389"/>
      <c r="K563" s="389"/>
      <c r="L563" s="268"/>
      <c r="M563" s="268"/>
      <c r="N563" s="268"/>
      <c r="O563" s="310"/>
      <c r="P563" s="268"/>
      <c r="Q563" s="309"/>
      <c r="R563" s="268"/>
      <c r="S563" s="313"/>
      <c r="T563" s="313"/>
      <c r="U563" s="268"/>
      <c r="V563" s="268"/>
      <c r="W563" s="268"/>
      <c r="X563" s="268"/>
      <c r="Y563" s="268"/>
      <c r="Z563" s="268"/>
    </row>
    <row r="564" spans="1:26" ht="24.75" customHeight="1">
      <c r="A564" s="268"/>
      <c r="B564" s="268"/>
      <c r="C564" s="268"/>
      <c r="D564" s="268"/>
      <c r="E564" s="268"/>
      <c r="F564" s="268"/>
      <c r="G564" s="268"/>
      <c r="H564" s="268"/>
      <c r="I564" s="389"/>
      <c r="J564" s="389"/>
      <c r="K564" s="389"/>
      <c r="L564" s="268"/>
      <c r="M564" s="268"/>
      <c r="N564" s="268"/>
      <c r="O564" s="310"/>
      <c r="P564" s="268"/>
      <c r="Q564" s="309"/>
      <c r="R564" s="268"/>
      <c r="S564" s="313"/>
      <c r="T564" s="313"/>
      <c r="U564" s="268"/>
      <c r="V564" s="268"/>
      <c r="W564" s="268"/>
      <c r="X564" s="268"/>
      <c r="Y564" s="268"/>
      <c r="Z564" s="268"/>
    </row>
    <row r="565" spans="1:26" ht="24.75" customHeight="1">
      <c r="A565" s="268"/>
      <c r="B565" s="268"/>
      <c r="C565" s="268"/>
      <c r="D565" s="268"/>
      <c r="E565" s="268"/>
      <c r="F565" s="268"/>
      <c r="G565" s="268"/>
      <c r="H565" s="268"/>
      <c r="I565" s="389"/>
      <c r="J565" s="389"/>
      <c r="K565" s="389"/>
      <c r="L565" s="268"/>
      <c r="M565" s="268"/>
      <c r="N565" s="268"/>
      <c r="O565" s="310"/>
      <c r="P565" s="268"/>
      <c r="Q565" s="309"/>
      <c r="R565" s="268"/>
      <c r="S565" s="313"/>
      <c r="T565" s="313"/>
      <c r="U565" s="268"/>
      <c r="V565" s="268"/>
      <c r="W565" s="268"/>
      <c r="X565" s="268"/>
      <c r="Y565" s="268"/>
      <c r="Z565" s="268"/>
    </row>
    <row r="566" spans="1:26" ht="24.75" customHeight="1">
      <c r="A566" s="268"/>
      <c r="B566" s="268"/>
      <c r="C566" s="268"/>
      <c r="D566" s="268"/>
      <c r="E566" s="268"/>
      <c r="F566" s="268"/>
      <c r="G566" s="268"/>
      <c r="H566" s="268"/>
      <c r="I566" s="389"/>
      <c r="J566" s="389"/>
      <c r="K566" s="389"/>
      <c r="L566" s="268"/>
      <c r="M566" s="268"/>
      <c r="N566" s="268"/>
      <c r="O566" s="310"/>
      <c r="P566" s="268"/>
      <c r="Q566" s="309"/>
      <c r="R566" s="268"/>
      <c r="S566" s="313"/>
      <c r="T566" s="313"/>
      <c r="U566" s="268"/>
      <c r="V566" s="268"/>
      <c r="W566" s="268"/>
      <c r="X566" s="268"/>
      <c r="Y566" s="268"/>
      <c r="Z566" s="268"/>
    </row>
    <row r="567" spans="1:26" ht="24.75" customHeight="1">
      <c r="A567" s="268"/>
      <c r="B567" s="268"/>
      <c r="C567" s="268"/>
      <c r="D567" s="268"/>
      <c r="E567" s="268"/>
      <c r="F567" s="268"/>
      <c r="G567" s="268"/>
      <c r="H567" s="268"/>
      <c r="I567" s="389"/>
      <c r="J567" s="389"/>
      <c r="K567" s="389"/>
      <c r="L567" s="268"/>
      <c r="M567" s="268"/>
      <c r="N567" s="268"/>
      <c r="O567" s="310"/>
      <c r="P567" s="268"/>
      <c r="Q567" s="309"/>
      <c r="R567" s="268"/>
      <c r="S567" s="313"/>
      <c r="T567" s="313"/>
      <c r="U567" s="268"/>
      <c r="V567" s="268"/>
      <c r="W567" s="268"/>
      <c r="X567" s="268"/>
      <c r="Y567" s="268"/>
      <c r="Z567" s="268"/>
    </row>
    <row r="568" spans="1:26" ht="24.75" customHeight="1">
      <c r="A568" s="268"/>
      <c r="B568" s="268"/>
      <c r="C568" s="268"/>
      <c r="D568" s="268"/>
      <c r="E568" s="268"/>
      <c r="F568" s="268"/>
      <c r="G568" s="268"/>
      <c r="H568" s="268"/>
      <c r="I568" s="389"/>
      <c r="J568" s="389"/>
      <c r="K568" s="389"/>
      <c r="L568" s="268"/>
      <c r="M568" s="268"/>
      <c r="N568" s="268"/>
      <c r="O568" s="310"/>
      <c r="P568" s="268"/>
      <c r="Q568" s="309"/>
      <c r="R568" s="268"/>
      <c r="S568" s="313"/>
      <c r="T568" s="313"/>
      <c r="U568" s="268"/>
      <c r="V568" s="268"/>
      <c r="W568" s="268"/>
      <c r="X568" s="268"/>
      <c r="Y568" s="268"/>
      <c r="Z568" s="268"/>
    </row>
    <row r="569" spans="1:26" ht="24.75" customHeight="1">
      <c r="A569" s="268"/>
      <c r="B569" s="268"/>
      <c r="C569" s="268"/>
      <c r="D569" s="268"/>
      <c r="E569" s="268"/>
      <c r="F569" s="268"/>
      <c r="G569" s="268"/>
      <c r="H569" s="268"/>
      <c r="I569" s="389"/>
      <c r="J569" s="389"/>
      <c r="K569" s="389"/>
      <c r="L569" s="268"/>
      <c r="M569" s="268"/>
      <c r="N569" s="268"/>
      <c r="O569" s="310"/>
      <c r="P569" s="268"/>
      <c r="Q569" s="309"/>
      <c r="R569" s="268"/>
      <c r="S569" s="313"/>
      <c r="T569" s="313"/>
      <c r="U569" s="268"/>
      <c r="V569" s="268"/>
      <c r="W569" s="268"/>
      <c r="X569" s="268"/>
      <c r="Y569" s="268"/>
      <c r="Z569" s="268"/>
    </row>
    <row r="570" spans="1:26" ht="24.75" customHeight="1">
      <c r="A570" s="268"/>
      <c r="B570" s="268"/>
      <c r="C570" s="268"/>
      <c r="D570" s="268"/>
      <c r="E570" s="268"/>
      <c r="F570" s="268"/>
      <c r="G570" s="268"/>
      <c r="H570" s="268"/>
      <c r="I570" s="389"/>
      <c r="J570" s="389"/>
      <c r="K570" s="389"/>
      <c r="L570" s="268"/>
      <c r="M570" s="268"/>
      <c r="N570" s="268"/>
      <c r="O570" s="310"/>
      <c r="P570" s="268"/>
      <c r="Q570" s="309"/>
      <c r="R570" s="268"/>
      <c r="S570" s="313"/>
      <c r="T570" s="313"/>
      <c r="U570" s="268"/>
      <c r="V570" s="268"/>
      <c r="W570" s="268"/>
      <c r="X570" s="268"/>
      <c r="Y570" s="268"/>
      <c r="Z570" s="268"/>
    </row>
    <row r="571" spans="1:26" ht="24.75" customHeight="1">
      <c r="A571" s="268"/>
      <c r="B571" s="268"/>
      <c r="C571" s="268"/>
      <c r="D571" s="268"/>
      <c r="E571" s="268"/>
      <c r="F571" s="268"/>
      <c r="G571" s="268"/>
      <c r="H571" s="268"/>
      <c r="I571" s="389"/>
      <c r="J571" s="389"/>
      <c r="K571" s="389"/>
      <c r="L571" s="268"/>
      <c r="M571" s="268"/>
      <c r="N571" s="268"/>
      <c r="O571" s="310"/>
      <c r="P571" s="268"/>
      <c r="Q571" s="309"/>
      <c r="R571" s="268"/>
      <c r="S571" s="313"/>
      <c r="T571" s="313"/>
      <c r="U571" s="268"/>
      <c r="V571" s="268"/>
      <c r="W571" s="268"/>
      <c r="X571" s="268"/>
      <c r="Y571" s="268"/>
      <c r="Z571" s="268"/>
    </row>
    <row r="572" spans="1:26" ht="24.75" customHeight="1">
      <c r="A572" s="268"/>
      <c r="B572" s="268"/>
      <c r="C572" s="268"/>
      <c r="D572" s="268"/>
      <c r="E572" s="268"/>
      <c r="F572" s="268"/>
      <c r="G572" s="268"/>
      <c r="H572" s="268"/>
      <c r="I572" s="389"/>
      <c r="J572" s="389"/>
      <c r="K572" s="389"/>
      <c r="L572" s="268"/>
      <c r="M572" s="268"/>
      <c r="N572" s="268"/>
      <c r="O572" s="310"/>
      <c r="P572" s="268"/>
      <c r="Q572" s="309"/>
      <c r="R572" s="268"/>
      <c r="S572" s="313"/>
      <c r="T572" s="313"/>
      <c r="U572" s="268"/>
      <c r="V572" s="268"/>
      <c r="W572" s="268"/>
      <c r="X572" s="268"/>
      <c r="Y572" s="268"/>
      <c r="Z572" s="268"/>
    </row>
    <row r="573" spans="1:26" ht="24.75" customHeight="1">
      <c r="A573" s="268"/>
      <c r="B573" s="268"/>
      <c r="C573" s="268"/>
      <c r="D573" s="268"/>
      <c r="E573" s="268"/>
      <c r="F573" s="268"/>
      <c r="G573" s="268"/>
      <c r="H573" s="268"/>
      <c r="I573" s="389"/>
      <c r="J573" s="389"/>
      <c r="K573" s="389"/>
      <c r="L573" s="268"/>
      <c r="M573" s="268"/>
      <c r="N573" s="268"/>
      <c r="O573" s="310"/>
      <c r="P573" s="268"/>
      <c r="Q573" s="309"/>
      <c r="R573" s="268"/>
      <c r="S573" s="313"/>
      <c r="T573" s="313"/>
      <c r="U573" s="268"/>
      <c r="V573" s="268"/>
      <c r="W573" s="268"/>
      <c r="X573" s="268"/>
      <c r="Y573" s="268"/>
      <c r="Z573" s="268"/>
    </row>
    <row r="574" spans="1:26" ht="24.75" customHeight="1">
      <c r="A574" s="268"/>
      <c r="B574" s="268"/>
      <c r="C574" s="268"/>
      <c r="D574" s="268"/>
      <c r="E574" s="268"/>
      <c r="F574" s="268"/>
      <c r="G574" s="268"/>
      <c r="H574" s="268"/>
      <c r="I574" s="389"/>
      <c r="J574" s="389"/>
      <c r="K574" s="389"/>
      <c r="L574" s="268"/>
      <c r="M574" s="268"/>
      <c r="N574" s="268"/>
      <c r="O574" s="310"/>
      <c r="P574" s="268"/>
      <c r="Q574" s="309"/>
      <c r="R574" s="268"/>
      <c r="S574" s="313"/>
      <c r="T574" s="313"/>
      <c r="U574" s="268"/>
      <c r="V574" s="268"/>
      <c r="W574" s="268"/>
      <c r="X574" s="268"/>
      <c r="Y574" s="268"/>
      <c r="Z574" s="268"/>
    </row>
    <row r="575" spans="1:26" ht="24.75" customHeight="1">
      <c r="A575" s="268"/>
      <c r="B575" s="268"/>
      <c r="C575" s="268"/>
      <c r="D575" s="268"/>
      <c r="E575" s="268"/>
      <c r="F575" s="268"/>
      <c r="G575" s="268"/>
      <c r="H575" s="268"/>
      <c r="I575" s="389"/>
      <c r="J575" s="389"/>
      <c r="K575" s="389"/>
      <c r="L575" s="268"/>
      <c r="M575" s="268"/>
      <c r="N575" s="268"/>
      <c r="O575" s="310"/>
      <c r="P575" s="268"/>
      <c r="Q575" s="309"/>
      <c r="R575" s="268"/>
      <c r="S575" s="313"/>
      <c r="T575" s="313"/>
      <c r="U575" s="268"/>
      <c r="V575" s="268"/>
      <c r="W575" s="268"/>
      <c r="X575" s="268"/>
      <c r="Y575" s="268"/>
      <c r="Z575" s="268"/>
    </row>
    <row r="576" spans="1:26" ht="24.75" customHeight="1">
      <c r="A576" s="268"/>
      <c r="B576" s="268"/>
      <c r="C576" s="268"/>
      <c r="D576" s="268"/>
      <c r="E576" s="268"/>
      <c r="F576" s="268"/>
      <c r="G576" s="268"/>
      <c r="H576" s="268"/>
      <c r="I576" s="389"/>
      <c r="J576" s="389"/>
      <c r="K576" s="389"/>
      <c r="L576" s="268"/>
      <c r="M576" s="268"/>
      <c r="N576" s="268"/>
      <c r="O576" s="310"/>
      <c r="P576" s="268"/>
      <c r="Q576" s="309"/>
      <c r="R576" s="268"/>
      <c r="S576" s="313"/>
      <c r="T576" s="313"/>
      <c r="U576" s="268"/>
      <c r="V576" s="268"/>
      <c r="W576" s="268"/>
      <c r="X576" s="268"/>
      <c r="Y576" s="268"/>
      <c r="Z576" s="268"/>
    </row>
    <row r="577" spans="1:26" ht="24.75" customHeight="1">
      <c r="A577" s="268"/>
      <c r="B577" s="268"/>
      <c r="C577" s="268"/>
      <c r="D577" s="268"/>
      <c r="E577" s="268"/>
      <c r="F577" s="268"/>
      <c r="G577" s="268"/>
      <c r="H577" s="268"/>
      <c r="I577" s="389"/>
      <c r="J577" s="389"/>
      <c r="K577" s="389"/>
      <c r="L577" s="268"/>
      <c r="M577" s="268"/>
      <c r="N577" s="268"/>
      <c r="O577" s="310"/>
      <c r="P577" s="268"/>
      <c r="Q577" s="309"/>
      <c r="R577" s="268"/>
      <c r="S577" s="313"/>
      <c r="T577" s="313"/>
      <c r="U577" s="268"/>
      <c r="V577" s="268"/>
      <c r="W577" s="268"/>
      <c r="X577" s="268"/>
      <c r="Y577" s="268"/>
      <c r="Z577" s="268"/>
    </row>
    <row r="578" spans="1:26" ht="24.75" customHeight="1">
      <c r="A578" s="268"/>
      <c r="B578" s="268"/>
      <c r="C578" s="268"/>
      <c r="D578" s="268"/>
      <c r="E578" s="268"/>
      <c r="F578" s="268"/>
      <c r="G578" s="268"/>
      <c r="H578" s="268"/>
      <c r="I578" s="389"/>
      <c r="J578" s="389"/>
      <c r="K578" s="389"/>
      <c r="L578" s="268"/>
      <c r="M578" s="268"/>
      <c r="N578" s="268"/>
      <c r="O578" s="310"/>
      <c r="P578" s="268"/>
      <c r="Q578" s="309"/>
      <c r="R578" s="268"/>
      <c r="S578" s="313"/>
      <c r="T578" s="313"/>
      <c r="U578" s="268"/>
      <c r="V578" s="268"/>
      <c r="W578" s="268"/>
      <c r="X578" s="268"/>
      <c r="Y578" s="268"/>
      <c r="Z578" s="268"/>
    </row>
    <row r="579" spans="1:26" ht="24.75" customHeight="1">
      <c r="A579" s="268"/>
      <c r="B579" s="268"/>
      <c r="C579" s="268"/>
      <c r="D579" s="268"/>
      <c r="E579" s="268"/>
      <c r="F579" s="268"/>
      <c r="G579" s="268"/>
      <c r="H579" s="268"/>
      <c r="I579" s="389"/>
      <c r="J579" s="389"/>
      <c r="K579" s="389"/>
      <c r="L579" s="268"/>
      <c r="M579" s="268"/>
      <c r="N579" s="268"/>
      <c r="O579" s="310"/>
      <c r="P579" s="268"/>
      <c r="Q579" s="309"/>
      <c r="R579" s="268"/>
      <c r="S579" s="313"/>
      <c r="T579" s="313"/>
      <c r="U579" s="268"/>
      <c r="V579" s="268"/>
      <c r="W579" s="268"/>
      <c r="X579" s="268"/>
      <c r="Y579" s="268"/>
      <c r="Z579" s="268"/>
    </row>
    <row r="580" spans="1:26" ht="24.75" customHeight="1">
      <c r="A580" s="268"/>
      <c r="B580" s="268"/>
      <c r="C580" s="268"/>
      <c r="D580" s="268"/>
      <c r="E580" s="268"/>
      <c r="F580" s="268"/>
      <c r="G580" s="268"/>
      <c r="H580" s="268"/>
      <c r="I580" s="389"/>
      <c r="J580" s="389"/>
      <c r="K580" s="389"/>
      <c r="L580" s="268"/>
      <c r="M580" s="268"/>
      <c r="N580" s="268"/>
      <c r="O580" s="310"/>
      <c r="P580" s="268"/>
      <c r="Q580" s="309"/>
      <c r="R580" s="268"/>
      <c r="S580" s="313"/>
      <c r="T580" s="313"/>
      <c r="U580" s="268"/>
      <c r="V580" s="268"/>
      <c r="W580" s="268"/>
      <c r="X580" s="268"/>
      <c r="Y580" s="268"/>
      <c r="Z580" s="268"/>
    </row>
    <row r="581" spans="1:26" ht="24.75" customHeight="1">
      <c r="A581" s="268"/>
      <c r="B581" s="268"/>
      <c r="C581" s="268"/>
      <c r="D581" s="268"/>
      <c r="E581" s="268"/>
      <c r="F581" s="268"/>
      <c r="G581" s="268"/>
      <c r="H581" s="268"/>
      <c r="I581" s="389"/>
      <c r="J581" s="389"/>
      <c r="K581" s="389"/>
      <c r="L581" s="268"/>
      <c r="M581" s="268"/>
      <c r="N581" s="268"/>
      <c r="O581" s="310"/>
      <c r="P581" s="268"/>
      <c r="Q581" s="309"/>
      <c r="R581" s="268"/>
      <c r="S581" s="313"/>
      <c r="T581" s="313"/>
      <c r="U581" s="268"/>
      <c r="V581" s="268"/>
      <c r="W581" s="268"/>
      <c r="X581" s="268"/>
      <c r="Y581" s="268"/>
      <c r="Z581" s="268"/>
    </row>
    <row r="582" spans="1:26" ht="24.75" customHeight="1">
      <c r="A582" s="268"/>
      <c r="B582" s="268"/>
      <c r="C582" s="268"/>
      <c r="D582" s="268"/>
      <c r="E582" s="268"/>
      <c r="F582" s="268"/>
      <c r="G582" s="268"/>
      <c r="H582" s="268"/>
      <c r="I582" s="389"/>
      <c r="J582" s="389"/>
      <c r="K582" s="389"/>
      <c r="L582" s="268"/>
      <c r="M582" s="268"/>
      <c r="N582" s="268"/>
      <c r="O582" s="310"/>
      <c r="P582" s="268"/>
      <c r="Q582" s="309"/>
      <c r="R582" s="268"/>
      <c r="S582" s="313"/>
      <c r="T582" s="313"/>
      <c r="U582" s="268"/>
      <c r="V582" s="268"/>
      <c r="W582" s="268"/>
      <c r="X582" s="268"/>
      <c r="Y582" s="268"/>
      <c r="Z582" s="268"/>
    </row>
    <row r="583" spans="1:26" ht="24.75" customHeight="1">
      <c r="A583" s="268"/>
      <c r="B583" s="268"/>
      <c r="C583" s="268"/>
      <c r="D583" s="268"/>
      <c r="E583" s="268"/>
      <c r="F583" s="268"/>
      <c r="G583" s="268"/>
      <c r="H583" s="268"/>
      <c r="I583" s="389"/>
      <c r="J583" s="389"/>
      <c r="K583" s="389"/>
      <c r="L583" s="268"/>
      <c r="M583" s="268"/>
      <c r="N583" s="268"/>
      <c r="O583" s="310"/>
      <c r="P583" s="268"/>
      <c r="Q583" s="309"/>
      <c r="R583" s="268"/>
      <c r="S583" s="313"/>
      <c r="T583" s="313"/>
      <c r="U583" s="268"/>
      <c r="V583" s="268"/>
      <c r="W583" s="268"/>
      <c r="X583" s="268"/>
      <c r="Y583" s="268"/>
      <c r="Z583" s="268"/>
    </row>
    <row r="584" spans="1:26" ht="24.75" customHeight="1">
      <c r="A584" s="268"/>
      <c r="B584" s="268"/>
      <c r="C584" s="268"/>
      <c r="D584" s="268"/>
      <c r="E584" s="268"/>
      <c r="F584" s="268"/>
      <c r="G584" s="268"/>
      <c r="H584" s="268"/>
      <c r="I584" s="389"/>
      <c r="J584" s="389"/>
      <c r="K584" s="389"/>
      <c r="L584" s="268"/>
      <c r="M584" s="268"/>
      <c r="N584" s="268"/>
      <c r="O584" s="310"/>
      <c r="P584" s="268"/>
      <c r="Q584" s="309"/>
      <c r="R584" s="268"/>
      <c r="S584" s="313"/>
      <c r="T584" s="313"/>
      <c r="U584" s="268"/>
      <c r="V584" s="268"/>
      <c r="W584" s="268"/>
      <c r="X584" s="268"/>
      <c r="Y584" s="268"/>
      <c r="Z584" s="268"/>
    </row>
    <row r="585" spans="1:26" ht="24.75" customHeight="1">
      <c r="A585" s="268"/>
      <c r="B585" s="268"/>
      <c r="C585" s="268"/>
      <c r="D585" s="268"/>
      <c r="E585" s="268"/>
      <c r="F585" s="268"/>
      <c r="G585" s="268"/>
      <c r="H585" s="268"/>
      <c r="I585" s="389"/>
      <c r="J585" s="389"/>
      <c r="K585" s="389"/>
      <c r="L585" s="268"/>
      <c r="M585" s="268"/>
      <c r="N585" s="268"/>
      <c r="O585" s="310"/>
      <c r="P585" s="268"/>
      <c r="Q585" s="309"/>
      <c r="R585" s="268"/>
      <c r="S585" s="313"/>
      <c r="T585" s="313"/>
      <c r="U585" s="268"/>
      <c r="V585" s="268"/>
      <c r="W585" s="268"/>
      <c r="X585" s="268"/>
      <c r="Y585" s="268"/>
      <c r="Z585" s="268"/>
    </row>
    <row r="586" spans="1:26" ht="24.75" customHeight="1">
      <c r="A586" s="268"/>
      <c r="B586" s="268"/>
      <c r="C586" s="268"/>
      <c r="D586" s="268"/>
      <c r="E586" s="268"/>
      <c r="F586" s="268"/>
      <c r="G586" s="268"/>
      <c r="H586" s="268"/>
      <c r="I586" s="389"/>
      <c r="J586" s="389"/>
      <c r="K586" s="389"/>
      <c r="L586" s="268"/>
      <c r="M586" s="268"/>
      <c r="N586" s="268"/>
      <c r="O586" s="310"/>
      <c r="P586" s="268"/>
      <c r="Q586" s="309"/>
      <c r="R586" s="268"/>
      <c r="S586" s="313"/>
      <c r="T586" s="313"/>
      <c r="U586" s="268"/>
      <c r="V586" s="268"/>
      <c r="W586" s="268"/>
      <c r="X586" s="268"/>
      <c r="Y586" s="268"/>
      <c r="Z586" s="268"/>
    </row>
    <row r="587" spans="1:26" ht="24.75" customHeight="1">
      <c r="A587" s="268"/>
      <c r="B587" s="268"/>
      <c r="C587" s="268"/>
      <c r="D587" s="268"/>
      <c r="E587" s="268"/>
      <c r="F587" s="268"/>
      <c r="G587" s="268"/>
      <c r="H587" s="268"/>
      <c r="I587" s="389"/>
      <c r="J587" s="389"/>
      <c r="K587" s="389"/>
      <c r="L587" s="268"/>
      <c r="M587" s="268"/>
      <c r="N587" s="268"/>
      <c r="O587" s="310"/>
      <c r="P587" s="268"/>
      <c r="Q587" s="309"/>
      <c r="R587" s="268"/>
      <c r="S587" s="313"/>
      <c r="T587" s="313"/>
      <c r="U587" s="268"/>
      <c r="V587" s="268"/>
      <c r="W587" s="268"/>
      <c r="X587" s="268"/>
      <c r="Y587" s="268"/>
      <c r="Z587" s="268"/>
    </row>
    <row r="588" spans="1:26" ht="24.75" customHeight="1">
      <c r="A588" s="268"/>
      <c r="B588" s="268"/>
      <c r="C588" s="268"/>
      <c r="D588" s="268"/>
      <c r="E588" s="268"/>
      <c r="F588" s="268"/>
      <c r="G588" s="268"/>
      <c r="H588" s="268"/>
      <c r="I588" s="389"/>
      <c r="J588" s="389"/>
      <c r="K588" s="389"/>
      <c r="L588" s="268"/>
      <c r="M588" s="268"/>
      <c r="N588" s="268"/>
      <c r="O588" s="310"/>
      <c r="P588" s="268"/>
      <c r="Q588" s="309"/>
      <c r="R588" s="268"/>
      <c r="S588" s="313"/>
      <c r="T588" s="313"/>
      <c r="U588" s="268"/>
      <c r="V588" s="268"/>
      <c r="W588" s="268"/>
      <c r="X588" s="268"/>
      <c r="Y588" s="268"/>
      <c r="Z588" s="268"/>
    </row>
    <row r="589" spans="1:26" ht="24.75" customHeight="1">
      <c r="A589" s="268"/>
      <c r="B589" s="268"/>
      <c r="C589" s="268"/>
      <c r="D589" s="268"/>
      <c r="E589" s="268"/>
      <c r="F589" s="268"/>
      <c r="G589" s="268"/>
      <c r="H589" s="268"/>
      <c r="I589" s="389"/>
      <c r="J589" s="389"/>
      <c r="K589" s="389"/>
      <c r="L589" s="268"/>
      <c r="M589" s="268"/>
      <c r="N589" s="268"/>
      <c r="O589" s="310"/>
      <c r="P589" s="268"/>
      <c r="Q589" s="309"/>
      <c r="R589" s="268"/>
      <c r="S589" s="313"/>
      <c r="T589" s="313"/>
      <c r="U589" s="268"/>
      <c r="V589" s="268"/>
      <c r="W589" s="268"/>
      <c r="X589" s="268"/>
      <c r="Y589" s="268"/>
      <c r="Z589" s="268"/>
    </row>
    <row r="590" spans="1:26" ht="24.75" customHeight="1">
      <c r="A590" s="268"/>
      <c r="B590" s="268"/>
      <c r="C590" s="268"/>
      <c r="D590" s="268"/>
      <c r="E590" s="268"/>
      <c r="F590" s="268"/>
      <c r="G590" s="268"/>
      <c r="H590" s="268"/>
      <c r="I590" s="389"/>
      <c r="J590" s="389"/>
      <c r="K590" s="389"/>
      <c r="L590" s="268"/>
      <c r="M590" s="268"/>
      <c r="N590" s="268"/>
      <c r="O590" s="310"/>
      <c r="P590" s="268"/>
      <c r="Q590" s="309"/>
      <c r="R590" s="268"/>
      <c r="S590" s="313"/>
      <c r="T590" s="313"/>
      <c r="U590" s="268"/>
      <c r="V590" s="268"/>
      <c r="W590" s="268"/>
      <c r="X590" s="268"/>
      <c r="Y590" s="268"/>
      <c r="Z590" s="268"/>
    </row>
    <row r="591" spans="1:26" ht="24.75" customHeight="1">
      <c r="A591" s="268"/>
      <c r="B591" s="268"/>
      <c r="C591" s="268"/>
      <c r="D591" s="268"/>
      <c r="E591" s="268"/>
      <c r="F591" s="268"/>
      <c r="G591" s="268"/>
      <c r="H591" s="268"/>
      <c r="I591" s="389"/>
      <c r="J591" s="389"/>
      <c r="K591" s="389"/>
      <c r="L591" s="268"/>
      <c r="M591" s="268"/>
      <c r="N591" s="268"/>
      <c r="O591" s="310"/>
      <c r="P591" s="268"/>
      <c r="Q591" s="309"/>
      <c r="R591" s="268"/>
      <c r="S591" s="313"/>
      <c r="T591" s="313"/>
      <c r="U591" s="268"/>
      <c r="V591" s="268"/>
      <c r="W591" s="268"/>
      <c r="X591" s="268"/>
      <c r="Y591" s="268"/>
      <c r="Z591" s="268"/>
    </row>
    <row r="592" spans="1:26" ht="24.75" customHeight="1">
      <c r="A592" s="268"/>
      <c r="B592" s="268"/>
      <c r="C592" s="268"/>
      <c r="D592" s="268"/>
      <c r="E592" s="268"/>
      <c r="F592" s="268"/>
      <c r="G592" s="268"/>
      <c r="H592" s="268"/>
      <c r="I592" s="389"/>
      <c r="J592" s="389"/>
      <c r="K592" s="389"/>
      <c r="L592" s="268"/>
      <c r="M592" s="268"/>
      <c r="N592" s="268"/>
      <c r="O592" s="310"/>
      <c r="P592" s="268"/>
      <c r="Q592" s="309"/>
      <c r="R592" s="268"/>
      <c r="S592" s="313"/>
      <c r="T592" s="313"/>
      <c r="U592" s="268"/>
      <c r="V592" s="268"/>
      <c r="W592" s="268"/>
      <c r="X592" s="268"/>
      <c r="Y592" s="268"/>
      <c r="Z592" s="268"/>
    </row>
    <row r="593" spans="1:26" ht="24.75" customHeight="1">
      <c r="A593" s="268"/>
      <c r="B593" s="268"/>
      <c r="C593" s="268"/>
      <c r="D593" s="268"/>
      <c r="E593" s="268"/>
      <c r="F593" s="268"/>
      <c r="G593" s="268"/>
      <c r="H593" s="268"/>
      <c r="I593" s="389"/>
      <c r="J593" s="389"/>
      <c r="K593" s="389"/>
      <c r="L593" s="268"/>
      <c r="M593" s="268"/>
      <c r="N593" s="268"/>
      <c r="O593" s="310"/>
      <c r="P593" s="268"/>
      <c r="Q593" s="309"/>
      <c r="R593" s="268"/>
      <c r="S593" s="313"/>
      <c r="T593" s="313"/>
      <c r="U593" s="268"/>
      <c r="V593" s="268"/>
      <c r="W593" s="268"/>
      <c r="X593" s="268"/>
      <c r="Y593" s="268"/>
      <c r="Z593" s="268"/>
    </row>
    <row r="594" spans="1:26" ht="24.75" customHeight="1">
      <c r="A594" s="268"/>
      <c r="B594" s="268"/>
      <c r="C594" s="268"/>
      <c r="D594" s="268"/>
      <c r="E594" s="268"/>
      <c r="F594" s="268"/>
      <c r="G594" s="268"/>
      <c r="H594" s="268"/>
      <c r="I594" s="389"/>
      <c r="J594" s="389"/>
      <c r="K594" s="389"/>
      <c r="L594" s="268"/>
      <c r="M594" s="268"/>
      <c r="N594" s="268"/>
      <c r="O594" s="310"/>
      <c r="P594" s="268"/>
      <c r="Q594" s="309"/>
      <c r="R594" s="268"/>
      <c r="S594" s="313"/>
      <c r="T594" s="313"/>
      <c r="U594" s="268"/>
      <c r="V594" s="268"/>
      <c r="W594" s="268"/>
      <c r="X594" s="268"/>
      <c r="Y594" s="268"/>
      <c r="Z594" s="268"/>
    </row>
    <row r="595" spans="1:26" ht="24.75" customHeight="1">
      <c r="A595" s="268"/>
      <c r="B595" s="268"/>
      <c r="C595" s="268"/>
      <c r="D595" s="268"/>
      <c r="E595" s="268"/>
      <c r="F595" s="268"/>
      <c r="G595" s="268"/>
      <c r="H595" s="268"/>
      <c r="I595" s="389"/>
      <c r="J595" s="389"/>
      <c r="K595" s="389"/>
      <c r="L595" s="268"/>
      <c r="M595" s="268"/>
      <c r="N595" s="268"/>
      <c r="O595" s="310"/>
      <c r="P595" s="268"/>
      <c r="Q595" s="309"/>
      <c r="R595" s="268"/>
      <c r="S595" s="313"/>
      <c r="T595" s="313"/>
      <c r="U595" s="268"/>
      <c r="V595" s="268"/>
      <c r="W595" s="268"/>
      <c r="X595" s="268"/>
      <c r="Y595" s="268"/>
      <c r="Z595" s="268"/>
    </row>
    <row r="596" spans="1:26" ht="24.75" customHeight="1">
      <c r="A596" s="268"/>
      <c r="B596" s="268"/>
      <c r="C596" s="268"/>
      <c r="D596" s="268"/>
      <c r="E596" s="268"/>
      <c r="F596" s="268"/>
      <c r="G596" s="268"/>
      <c r="H596" s="268"/>
      <c r="I596" s="389"/>
      <c r="J596" s="389"/>
      <c r="K596" s="389"/>
      <c r="L596" s="268"/>
      <c r="M596" s="268"/>
      <c r="N596" s="268"/>
      <c r="O596" s="310"/>
      <c r="P596" s="268"/>
      <c r="Q596" s="309"/>
      <c r="R596" s="268"/>
      <c r="S596" s="313"/>
      <c r="T596" s="313"/>
      <c r="U596" s="268"/>
      <c r="V596" s="268"/>
      <c r="W596" s="268"/>
      <c r="X596" s="268"/>
      <c r="Y596" s="268"/>
      <c r="Z596" s="268"/>
    </row>
    <row r="597" spans="1:26" ht="24.75" customHeight="1">
      <c r="A597" s="268"/>
      <c r="B597" s="268"/>
      <c r="C597" s="268"/>
      <c r="D597" s="268"/>
      <c r="E597" s="268"/>
      <c r="F597" s="268"/>
      <c r="G597" s="268"/>
      <c r="H597" s="268"/>
      <c r="I597" s="389"/>
      <c r="J597" s="389"/>
      <c r="K597" s="389"/>
      <c r="L597" s="268"/>
      <c r="M597" s="268"/>
      <c r="N597" s="268"/>
      <c r="O597" s="310"/>
      <c r="P597" s="268"/>
      <c r="Q597" s="309"/>
      <c r="R597" s="268"/>
      <c r="S597" s="313"/>
      <c r="T597" s="313"/>
      <c r="U597" s="268"/>
      <c r="V597" s="268"/>
      <c r="W597" s="268"/>
      <c r="X597" s="268"/>
      <c r="Y597" s="268"/>
      <c r="Z597" s="268"/>
    </row>
    <row r="598" spans="1:26" ht="24.75" customHeight="1">
      <c r="A598" s="268"/>
      <c r="B598" s="268"/>
      <c r="C598" s="268"/>
      <c r="D598" s="268"/>
      <c r="E598" s="268"/>
      <c r="F598" s="268"/>
      <c r="G598" s="268"/>
      <c r="H598" s="268"/>
      <c r="I598" s="389"/>
      <c r="J598" s="389"/>
      <c r="K598" s="389"/>
      <c r="L598" s="268"/>
      <c r="M598" s="268"/>
      <c r="N598" s="268"/>
      <c r="O598" s="310"/>
      <c r="P598" s="268"/>
      <c r="Q598" s="309"/>
      <c r="R598" s="268"/>
      <c r="S598" s="313"/>
      <c r="T598" s="313"/>
      <c r="U598" s="268"/>
      <c r="V598" s="268"/>
      <c r="W598" s="268"/>
      <c r="X598" s="268"/>
      <c r="Y598" s="268"/>
      <c r="Z598" s="268"/>
    </row>
    <row r="599" spans="1:26" ht="24.75" customHeight="1">
      <c r="A599" s="268"/>
      <c r="B599" s="268"/>
      <c r="C599" s="268"/>
      <c r="D599" s="268"/>
      <c r="E599" s="268"/>
      <c r="F599" s="268"/>
      <c r="G599" s="268"/>
      <c r="H599" s="268"/>
      <c r="I599" s="389"/>
      <c r="J599" s="389"/>
      <c r="K599" s="389"/>
      <c r="L599" s="268"/>
      <c r="M599" s="268"/>
      <c r="N599" s="268"/>
      <c r="O599" s="310"/>
      <c r="P599" s="268"/>
      <c r="Q599" s="309"/>
      <c r="R599" s="268"/>
      <c r="S599" s="313"/>
      <c r="T599" s="313"/>
      <c r="U599" s="268"/>
      <c r="V599" s="268"/>
      <c r="W599" s="268"/>
      <c r="X599" s="268"/>
      <c r="Y599" s="268"/>
      <c r="Z599" s="268"/>
    </row>
    <row r="600" spans="1:26" ht="24.75" customHeight="1">
      <c r="A600" s="268"/>
      <c r="B600" s="268"/>
      <c r="C600" s="268"/>
      <c r="D600" s="268"/>
      <c r="E600" s="268"/>
      <c r="F600" s="268"/>
      <c r="G600" s="268"/>
      <c r="H600" s="268"/>
      <c r="I600" s="389"/>
      <c r="J600" s="389"/>
      <c r="K600" s="389"/>
      <c r="L600" s="268"/>
      <c r="M600" s="268"/>
      <c r="N600" s="268"/>
      <c r="O600" s="310"/>
      <c r="P600" s="268"/>
      <c r="Q600" s="309"/>
      <c r="R600" s="268"/>
      <c r="S600" s="313"/>
      <c r="T600" s="313"/>
      <c r="U600" s="268"/>
      <c r="V600" s="268"/>
      <c r="W600" s="268"/>
      <c r="X600" s="268"/>
      <c r="Y600" s="268"/>
      <c r="Z600" s="268"/>
    </row>
    <row r="601" spans="1:26" ht="24.75" customHeight="1">
      <c r="A601" s="268"/>
      <c r="B601" s="268"/>
      <c r="C601" s="268"/>
      <c r="D601" s="268"/>
      <c r="E601" s="268"/>
      <c r="F601" s="268"/>
      <c r="G601" s="268"/>
      <c r="H601" s="268"/>
      <c r="I601" s="389"/>
      <c r="J601" s="389"/>
      <c r="K601" s="389"/>
      <c r="L601" s="268"/>
      <c r="M601" s="268"/>
      <c r="N601" s="268"/>
      <c r="O601" s="310"/>
      <c r="P601" s="268"/>
      <c r="Q601" s="309"/>
      <c r="R601" s="268"/>
      <c r="S601" s="313"/>
      <c r="T601" s="313"/>
      <c r="U601" s="268"/>
      <c r="V601" s="268"/>
      <c r="W601" s="268"/>
      <c r="X601" s="268"/>
      <c r="Y601" s="268"/>
      <c r="Z601" s="268"/>
    </row>
    <row r="602" spans="1:26" ht="24.75" customHeight="1">
      <c r="A602" s="268"/>
      <c r="B602" s="268"/>
      <c r="C602" s="268"/>
      <c r="D602" s="268"/>
      <c r="E602" s="268"/>
      <c r="F602" s="268"/>
      <c r="G602" s="268"/>
      <c r="H602" s="268"/>
      <c r="I602" s="389"/>
      <c r="J602" s="389"/>
      <c r="K602" s="389"/>
      <c r="L602" s="268"/>
      <c r="M602" s="268"/>
      <c r="N602" s="268"/>
      <c r="O602" s="310"/>
      <c r="P602" s="268"/>
      <c r="Q602" s="309"/>
      <c r="R602" s="268"/>
      <c r="S602" s="313"/>
      <c r="T602" s="313"/>
      <c r="U602" s="268"/>
      <c r="V602" s="268"/>
      <c r="W602" s="268"/>
      <c r="X602" s="268"/>
      <c r="Y602" s="268"/>
      <c r="Z602" s="268"/>
    </row>
    <row r="603" spans="1:26" ht="24.75" customHeight="1">
      <c r="A603" s="268"/>
      <c r="B603" s="268"/>
      <c r="C603" s="268"/>
      <c r="D603" s="268"/>
      <c r="E603" s="268"/>
      <c r="F603" s="268"/>
      <c r="G603" s="268"/>
      <c r="H603" s="268"/>
      <c r="I603" s="389"/>
      <c r="J603" s="389"/>
      <c r="K603" s="389"/>
      <c r="L603" s="268"/>
      <c r="M603" s="268"/>
      <c r="N603" s="268"/>
      <c r="O603" s="310"/>
      <c r="P603" s="268"/>
      <c r="Q603" s="309"/>
      <c r="R603" s="268"/>
      <c r="S603" s="313"/>
      <c r="T603" s="313"/>
      <c r="U603" s="268"/>
      <c r="V603" s="268"/>
      <c r="W603" s="268"/>
      <c r="X603" s="268"/>
      <c r="Y603" s="268"/>
      <c r="Z603" s="268"/>
    </row>
    <row r="604" spans="1:26" ht="24.75" customHeight="1">
      <c r="A604" s="268"/>
      <c r="B604" s="268"/>
      <c r="C604" s="268"/>
      <c r="D604" s="268"/>
      <c r="E604" s="268"/>
      <c r="F604" s="268"/>
      <c r="G604" s="268"/>
      <c r="H604" s="268"/>
      <c r="I604" s="389"/>
      <c r="J604" s="389"/>
      <c r="K604" s="389"/>
      <c r="L604" s="268"/>
      <c r="M604" s="268"/>
      <c r="N604" s="268"/>
      <c r="O604" s="310"/>
      <c r="P604" s="268"/>
      <c r="Q604" s="309"/>
      <c r="R604" s="268"/>
      <c r="S604" s="313"/>
      <c r="T604" s="313"/>
      <c r="U604" s="268"/>
      <c r="V604" s="268"/>
      <c r="W604" s="268"/>
      <c r="X604" s="268"/>
      <c r="Y604" s="268"/>
      <c r="Z604" s="268"/>
    </row>
    <row r="605" spans="1:26" ht="24.75" customHeight="1">
      <c r="A605" s="268"/>
      <c r="B605" s="268"/>
      <c r="C605" s="268"/>
      <c r="D605" s="268"/>
      <c r="E605" s="268"/>
      <c r="F605" s="268"/>
      <c r="G605" s="268"/>
      <c r="H605" s="268"/>
      <c r="I605" s="389"/>
      <c r="J605" s="389"/>
      <c r="K605" s="389"/>
      <c r="L605" s="268"/>
      <c r="M605" s="268"/>
      <c r="N605" s="268"/>
      <c r="O605" s="310"/>
      <c r="P605" s="268"/>
      <c r="Q605" s="309"/>
      <c r="R605" s="268"/>
      <c r="S605" s="313"/>
      <c r="T605" s="313"/>
      <c r="U605" s="268"/>
      <c r="V605" s="268"/>
      <c r="W605" s="268"/>
      <c r="X605" s="268"/>
      <c r="Y605" s="268"/>
      <c r="Z605" s="268"/>
    </row>
    <row r="606" spans="1:26" ht="24.75" customHeight="1">
      <c r="A606" s="268"/>
      <c r="B606" s="268"/>
      <c r="C606" s="268"/>
      <c r="D606" s="268"/>
      <c r="E606" s="268"/>
      <c r="F606" s="268"/>
      <c r="G606" s="268"/>
      <c r="H606" s="268"/>
      <c r="I606" s="389"/>
      <c r="J606" s="389"/>
      <c r="K606" s="389"/>
      <c r="L606" s="268"/>
      <c r="M606" s="268"/>
      <c r="N606" s="268"/>
      <c r="O606" s="310"/>
      <c r="P606" s="268"/>
      <c r="Q606" s="309"/>
      <c r="R606" s="268"/>
      <c r="S606" s="313"/>
      <c r="T606" s="313"/>
      <c r="U606" s="268"/>
      <c r="V606" s="268"/>
      <c r="W606" s="268"/>
      <c r="X606" s="268"/>
      <c r="Y606" s="268"/>
      <c r="Z606" s="268"/>
    </row>
    <row r="607" spans="1:26" ht="24.75" customHeight="1">
      <c r="A607" s="268"/>
      <c r="B607" s="268"/>
      <c r="C607" s="268"/>
      <c r="D607" s="268"/>
      <c r="E607" s="268"/>
      <c r="F607" s="268"/>
      <c r="G607" s="268"/>
      <c r="H607" s="268"/>
      <c r="I607" s="389"/>
      <c r="J607" s="389"/>
      <c r="K607" s="389"/>
      <c r="L607" s="268"/>
      <c r="M607" s="268"/>
      <c r="N607" s="268"/>
      <c r="O607" s="310"/>
      <c r="P607" s="268"/>
      <c r="Q607" s="309"/>
      <c r="R607" s="268"/>
      <c r="S607" s="313"/>
      <c r="T607" s="313"/>
      <c r="U607" s="268"/>
      <c r="V607" s="268"/>
      <c r="W607" s="268"/>
      <c r="X607" s="268"/>
      <c r="Y607" s="268"/>
      <c r="Z607" s="268"/>
    </row>
    <row r="608" spans="1:26" ht="24.75" customHeight="1">
      <c r="A608" s="268"/>
      <c r="B608" s="268"/>
      <c r="C608" s="268"/>
      <c r="D608" s="268"/>
      <c r="E608" s="268"/>
      <c r="F608" s="268"/>
      <c r="G608" s="268"/>
      <c r="H608" s="268"/>
      <c r="I608" s="389"/>
      <c r="J608" s="389"/>
      <c r="K608" s="389"/>
      <c r="L608" s="268"/>
      <c r="M608" s="268"/>
      <c r="N608" s="268"/>
      <c r="O608" s="310"/>
      <c r="P608" s="268"/>
      <c r="Q608" s="309"/>
      <c r="R608" s="268"/>
      <c r="S608" s="313"/>
      <c r="T608" s="313"/>
      <c r="U608" s="268"/>
      <c r="V608" s="268"/>
      <c r="W608" s="268"/>
      <c r="X608" s="268"/>
      <c r="Y608" s="268"/>
      <c r="Z608" s="268"/>
    </row>
    <row r="609" spans="1:26" ht="24.75" customHeight="1">
      <c r="A609" s="268"/>
      <c r="B609" s="268"/>
      <c r="C609" s="268"/>
      <c r="D609" s="268"/>
      <c r="E609" s="268"/>
      <c r="F609" s="268"/>
      <c r="G609" s="268"/>
      <c r="H609" s="268"/>
      <c r="I609" s="389"/>
      <c r="J609" s="389"/>
      <c r="K609" s="389"/>
      <c r="L609" s="268"/>
      <c r="M609" s="268"/>
      <c r="N609" s="268"/>
      <c r="O609" s="310"/>
      <c r="P609" s="268"/>
      <c r="Q609" s="309"/>
      <c r="R609" s="268"/>
      <c r="S609" s="313"/>
      <c r="T609" s="313"/>
      <c r="U609" s="268"/>
      <c r="V609" s="268"/>
      <c r="W609" s="268"/>
      <c r="X609" s="268"/>
      <c r="Y609" s="268"/>
      <c r="Z609" s="268"/>
    </row>
    <row r="610" spans="1:26" ht="24.75" customHeight="1">
      <c r="A610" s="268"/>
      <c r="B610" s="268"/>
      <c r="C610" s="268"/>
      <c r="D610" s="268"/>
      <c r="E610" s="268"/>
      <c r="F610" s="268"/>
      <c r="G610" s="268"/>
      <c r="H610" s="268"/>
      <c r="I610" s="389"/>
      <c r="J610" s="389"/>
      <c r="K610" s="389"/>
      <c r="L610" s="268"/>
      <c r="M610" s="268"/>
      <c r="N610" s="268"/>
      <c r="O610" s="310"/>
      <c r="P610" s="268"/>
      <c r="Q610" s="309"/>
      <c r="R610" s="268"/>
      <c r="S610" s="313"/>
      <c r="T610" s="313"/>
      <c r="U610" s="268"/>
      <c r="V610" s="268"/>
      <c r="W610" s="268"/>
      <c r="X610" s="268"/>
      <c r="Y610" s="268"/>
      <c r="Z610" s="268"/>
    </row>
    <row r="611" spans="1:26" ht="24.75" customHeight="1">
      <c r="A611" s="268"/>
      <c r="B611" s="268"/>
      <c r="C611" s="268"/>
      <c r="D611" s="268"/>
      <c r="E611" s="268"/>
      <c r="F611" s="268"/>
      <c r="G611" s="268"/>
      <c r="H611" s="268"/>
      <c r="I611" s="389"/>
      <c r="J611" s="389"/>
      <c r="K611" s="389"/>
      <c r="L611" s="268"/>
      <c r="M611" s="268"/>
      <c r="N611" s="268"/>
      <c r="O611" s="310"/>
      <c r="P611" s="268"/>
      <c r="Q611" s="309"/>
      <c r="R611" s="268"/>
      <c r="S611" s="313"/>
      <c r="T611" s="313"/>
      <c r="U611" s="268"/>
      <c r="V611" s="268"/>
      <c r="W611" s="268"/>
      <c r="X611" s="268"/>
      <c r="Y611" s="268"/>
      <c r="Z611" s="268"/>
    </row>
    <row r="612" spans="1:26" ht="24.75" customHeight="1">
      <c r="A612" s="268"/>
      <c r="B612" s="268"/>
      <c r="C612" s="268"/>
      <c r="D612" s="268"/>
      <c r="E612" s="268"/>
      <c r="F612" s="268"/>
      <c r="G612" s="268"/>
      <c r="H612" s="268"/>
      <c r="I612" s="389"/>
      <c r="J612" s="389"/>
      <c r="K612" s="389"/>
      <c r="L612" s="268"/>
      <c r="M612" s="268"/>
      <c r="N612" s="268"/>
      <c r="O612" s="310"/>
      <c r="P612" s="268"/>
      <c r="Q612" s="309"/>
      <c r="R612" s="268"/>
      <c r="S612" s="313"/>
      <c r="T612" s="313"/>
      <c r="U612" s="268"/>
      <c r="V612" s="268"/>
      <c r="W612" s="268"/>
      <c r="X612" s="268"/>
      <c r="Y612" s="268"/>
      <c r="Z612" s="268"/>
    </row>
    <row r="613" spans="1:26" ht="24.75" customHeight="1">
      <c r="A613" s="268"/>
      <c r="B613" s="268"/>
      <c r="C613" s="268"/>
      <c r="D613" s="268"/>
      <c r="E613" s="268"/>
      <c r="F613" s="268"/>
      <c r="G613" s="268"/>
      <c r="H613" s="268"/>
      <c r="I613" s="389"/>
      <c r="J613" s="389"/>
      <c r="K613" s="389"/>
      <c r="L613" s="268"/>
      <c r="M613" s="268"/>
      <c r="N613" s="268"/>
      <c r="O613" s="310"/>
      <c r="P613" s="268"/>
      <c r="Q613" s="309"/>
      <c r="R613" s="268"/>
      <c r="S613" s="313"/>
      <c r="T613" s="313"/>
      <c r="U613" s="268"/>
      <c r="V613" s="268"/>
      <c r="W613" s="268"/>
      <c r="X613" s="268"/>
      <c r="Y613" s="268"/>
      <c r="Z613" s="268"/>
    </row>
    <row r="614" spans="1:26" ht="24.75" customHeight="1">
      <c r="A614" s="268"/>
      <c r="B614" s="268"/>
      <c r="C614" s="268"/>
      <c r="D614" s="268"/>
      <c r="E614" s="268"/>
      <c r="F614" s="268"/>
      <c r="G614" s="268"/>
      <c r="H614" s="268"/>
      <c r="I614" s="389"/>
      <c r="J614" s="389"/>
      <c r="K614" s="389"/>
      <c r="L614" s="268"/>
      <c r="M614" s="268"/>
      <c r="N614" s="268"/>
      <c r="O614" s="310"/>
      <c r="P614" s="268"/>
      <c r="Q614" s="309"/>
      <c r="R614" s="268"/>
      <c r="S614" s="313"/>
      <c r="T614" s="313"/>
      <c r="U614" s="268"/>
      <c r="V614" s="268"/>
      <c r="W614" s="268"/>
      <c r="X614" s="268"/>
      <c r="Y614" s="268"/>
      <c r="Z614" s="268"/>
    </row>
    <row r="615" spans="1:26" ht="24.75" customHeight="1">
      <c r="A615" s="268"/>
      <c r="B615" s="268"/>
      <c r="C615" s="268"/>
      <c r="D615" s="268"/>
      <c r="E615" s="268"/>
      <c r="F615" s="268"/>
      <c r="G615" s="268"/>
      <c r="H615" s="268"/>
      <c r="I615" s="389"/>
      <c r="J615" s="389"/>
      <c r="K615" s="389"/>
      <c r="L615" s="268"/>
      <c r="M615" s="268"/>
      <c r="N615" s="268"/>
      <c r="O615" s="310"/>
      <c r="P615" s="268"/>
      <c r="Q615" s="309"/>
      <c r="R615" s="268"/>
      <c r="S615" s="313"/>
      <c r="T615" s="313"/>
      <c r="U615" s="268"/>
      <c r="V615" s="268"/>
      <c r="W615" s="268"/>
      <c r="X615" s="268"/>
      <c r="Y615" s="268"/>
      <c r="Z615" s="268"/>
    </row>
    <row r="616" spans="1:26" ht="24.75" customHeight="1">
      <c r="A616" s="268"/>
      <c r="B616" s="268"/>
      <c r="C616" s="268"/>
      <c r="D616" s="268"/>
      <c r="E616" s="268"/>
      <c r="F616" s="268"/>
      <c r="G616" s="268"/>
      <c r="H616" s="268"/>
      <c r="I616" s="389"/>
      <c r="J616" s="389"/>
      <c r="K616" s="389"/>
      <c r="L616" s="268"/>
      <c r="M616" s="268"/>
      <c r="N616" s="268"/>
      <c r="O616" s="310"/>
      <c r="P616" s="268"/>
      <c r="Q616" s="309"/>
      <c r="R616" s="268"/>
      <c r="S616" s="313"/>
      <c r="T616" s="313"/>
      <c r="U616" s="268"/>
      <c r="V616" s="268"/>
      <c r="W616" s="268"/>
      <c r="X616" s="268"/>
      <c r="Y616" s="268"/>
      <c r="Z616" s="268"/>
    </row>
    <row r="617" spans="1:26" ht="24.75" customHeight="1">
      <c r="A617" s="268"/>
      <c r="B617" s="268"/>
      <c r="C617" s="268"/>
      <c r="D617" s="268"/>
      <c r="E617" s="268"/>
      <c r="F617" s="268"/>
      <c r="G617" s="268"/>
      <c r="H617" s="268"/>
      <c r="I617" s="389"/>
      <c r="J617" s="389"/>
      <c r="K617" s="389"/>
      <c r="L617" s="268"/>
      <c r="M617" s="268"/>
      <c r="N617" s="268"/>
      <c r="O617" s="310"/>
      <c r="P617" s="268"/>
      <c r="Q617" s="309"/>
      <c r="R617" s="268"/>
      <c r="S617" s="313"/>
      <c r="T617" s="313"/>
      <c r="U617" s="268"/>
      <c r="V617" s="268"/>
      <c r="W617" s="268"/>
      <c r="X617" s="268"/>
      <c r="Y617" s="268"/>
      <c r="Z617" s="268"/>
    </row>
    <row r="618" spans="1:26" ht="24.75" customHeight="1">
      <c r="A618" s="268"/>
      <c r="B618" s="268"/>
      <c r="C618" s="268"/>
      <c r="D618" s="268"/>
      <c r="E618" s="268"/>
      <c r="F618" s="268"/>
      <c r="G618" s="268"/>
      <c r="H618" s="268"/>
      <c r="I618" s="389"/>
      <c r="J618" s="389"/>
      <c r="K618" s="389"/>
      <c r="L618" s="268"/>
      <c r="M618" s="268"/>
      <c r="N618" s="268"/>
      <c r="O618" s="310"/>
      <c r="P618" s="268"/>
      <c r="Q618" s="309"/>
      <c r="R618" s="268"/>
      <c r="S618" s="313"/>
      <c r="T618" s="313"/>
      <c r="U618" s="268"/>
      <c r="V618" s="268"/>
      <c r="W618" s="268"/>
      <c r="X618" s="268"/>
      <c r="Y618" s="268"/>
      <c r="Z618" s="268"/>
    </row>
    <row r="619" spans="1:26" ht="24.75" customHeight="1">
      <c r="A619" s="268"/>
      <c r="B619" s="268"/>
      <c r="C619" s="268"/>
      <c r="D619" s="268"/>
      <c r="E619" s="268"/>
      <c r="F619" s="268"/>
      <c r="G619" s="268"/>
      <c r="H619" s="268"/>
      <c r="I619" s="389"/>
      <c r="J619" s="389"/>
      <c r="K619" s="389"/>
      <c r="L619" s="268"/>
      <c r="M619" s="268"/>
      <c r="N619" s="268"/>
      <c r="O619" s="310"/>
      <c r="P619" s="268"/>
      <c r="Q619" s="309"/>
      <c r="R619" s="268"/>
      <c r="S619" s="313"/>
      <c r="T619" s="313"/>
      <c r="U619" s="268"/>
      <c r="V619" s="268"/>
      <c r="W619" s="268"/>
      <c r="X619" s="268"/>
      <c r="Y619" s="268"/>
      <c r="Z619" s="268"/>
    </row>
    <row r="620" spans="1:26" ht="24.75" customHeight="1">
      <c r="A620" s="268"/>
      <c r="B620" s="268"/>
      <c r="C620" s="268"/>
      <c r="D620" s="268"/>
      <c r="E620" s="268"/>
      <c r="F620" s="268"/>
      <c r="G620" s="268"/>
      <c r="H620" s="268"/>
      <c r="I620" s="389"/>
      <c r="J620" s="389"/>
      <c r="K620" s="389"/>
      <c r="L620" s="268"/>
      <c r="M620" s="268"/>
      <c r="N620" s="268"/>
      <c r="O620" s="310"/>
      <c r="P620" s="268"/>
      <c r="Q620" s="309"/>
      <c r="R620" s="268"/>
      <c r="S620" s="313"/>
      <c r="T620" s="313"/>
      <c r="U620" s="268"/>
      <c r="V620" s="268"/>
      <c r="W620" s="268"/>
      <c r="X620" s="268"/>
      <c r="Y620" s="268"/>
      <c r="Z620" s="268"/>
    </row>
    <row r="621" spans="1:26" ht="24.75" customHeight="1">
      <c r="A621" s="268"/>
      <c r="B621" s="268"/>
      <c r="C621" s="268"/>
      <c r="D621" s="268"/>
      <c r="E621" s="268"/>
      <c r="F621" s="268"/>
      <c r="G621" s="268"/>
      <c r="H621" s="268"/>
      <c r="I621" s="389"/>
      <c r="J621" s="389"/>
      <c r="K621" s="389"/>
      <c r="L621" s="268"/>
      <c r="M621" s="268"/>
      <c r="N621" s="268"/>
      <c r="O621" s="310"/>
      <c r="P621" s="268"/>
      <c r="Q621" s="309"/>
      <c r="R621" s="268"/>
      <c r="S621" s="313"/>
      <c r="T621" s="313"/>
      <c r="U621" s="268"/>
      <c r="V621" s="268"/>
      <c r="W621" s="268"/>
      <c r="X621" s="268"/>
      <c r="Y621" s="268"/>
      <c r="Z621" s="268"/>
    </row>
    <row r="622" spans="1:26" ht="24.75" customHeight="1">
      <c r="A622" s="268"/>
      <c r="B622" s="268"/>
      <c r="C622" s="268"/>
      <c r="D622" s="268"/>
      <c r="E622" s="268"/>
      <c r="F622" s="268"/>
      <c r="G622" s="268"/>
      <c r="H622" s="268"/>
      <c r="I622" s="389"/>
      <c r="J622" s="389"/>
      <c r="K622" s="389"/>
      <c r="L622" s="268"/>
      <c r="M622" s="268"/>
      <c r="N622" s="268"/>
      <c r="O622" s="310"/>
      <c r="P622" s="268"/>
      <c r="Q622" s="309"/>
      <c r="R622" s="268"/>
      <c r="S622" s="313"/>
      <c r="T622" s="313"/>
      <c r="U622" s="268"/>
      <c r="V622" s="268"/>
      <c r="W622" s="268"/>
      <c r="X622" s="268"/>
      <c r="Y622" s="268"/>
      <c r="Z622" s="268"/>
    </row>
    <row r="623" spans="1:26" ht="24.75" customHeight="1">
      <c r="A623" s="268"/>
      <c r="B623" s="268"/>
      <c r="C623" s="268"/>
      <c r="D623" s="268"/>
      <c r="E623" s="268"/>
      <c r="F623" s="268"/>
      <c r="G623" s="268"/>
      <c r="H623" s="268"/>
      <c r="I623" s="389"/>
      <c r="J623" s="389"/>
      <c r="K623" s="389"/>
      <c r="L623" s="268"/>
      <c r="M623" s="268"/>
      <c r="N623" s="268"/>
      <c r="O623" s="310"/>
      <c r="P623" s="268"/>
      <c r="Q623" s="309"/>
      <c r="R623" s="268"/>
      <c r="S623" s="313"/>
      <c r="T623" s="313"/>
      <c r="U623" s="268"/>
      <c r="V623" s="268"/>
      <c r="W623" s="268"/>
      <c r="X623" s="268"/>
      <c r="Y623" s="268"/>
      <c r="Z623" s="268"/>
    </row>
    <row r="624" spans="1:26" ht="24.75" customHeight="1">
      <c r="A624" s="268"/>
      <c r="B624" s="268"/>
      <c r="C624" s="268"/>
      <c r="D624" s="268"/>
      <c r="E624" s="268"/>
      <c r="F624" s="268"/>
      <c r="G624" s="268"/>
      <c r="H624" s="268"/>
      <c r="I624" s="389"/>
      <c r="J624" s="389"/>
      <c r="K624" s="389"/>
      <c r="L624" s="268"/>
      <c r="M624" s="268"/>
      <c r="N624" s="268"/>
      <c r="O624" s="310"/>
      <c r="P624" s="268"/>
      <c r="Q624" s="309"/>
      <c r="R624" s="268"/>
      <c r="S624" s="313"/>
      <c r="T624" s="313"/>
      <c r="U624" s="268"/>
      <c r="V624" s="268"/>
      <c r="W624" s="268"/>
      <c r="X624" s="268"/>
      <c r="Y624" s="268"/>
      <c r="Z624" s="268"/>
    </row>
    <row r="625" spans="1:26" ht="24.75" customHeight="1">
      <c r="A625" s="268"/>
      <c r="B625" s="268"/>
      <c r="C625" s="268"/>
      <c r="D625" s="268"/>
      <c r="E625" s="268"/>
      <c r="F625" s="268"/>
      <c r="G625" s="268"/>
      <c r="H625" s="268"/>
      <c r="I625" s="389"/>
      <c r="J625" s="389"/>
      <c r="K625" s="389"/>
      <c r="L625" s="268"/>
      <c r="M625" s="268"/>
      <c r="N625" s="268"/>
      <c r="O625" s="310"/>
      <c r="P625" s="268"/>
      <c r="Q625" s="309"/>
      <c r="R625" s="268"/>
      <c r="S625" s="313"/>
      <c r="T625" s="313"/>
      <c r="U625" s="268"/>
      <c r="V625" s="268"/>
      <c r="W625" s="268"/>
      <c r="X625" s="268"/>
      <c r="Y625" s="268"/>
      <c r="Z625" s="268"/>
    </row>
    <row r="626" spans="1:26" ht="24.75" customHeight="1">
      <c r="A626" s="268"/>
      <c r="B626" s="268"/>
      <c r="C626" s="268"/>
      <c r="D626" s="268"/>
      <c r="E626" s="268"/>
      <c r="F626" s="268"/>
      <c r="G626" s="268"/>
      <c r="H626" s="268"/>
      <c r="I626" s="389"/>
      <c r="J626" s="389"/>
      <c r="K626" s="389"/>
      <c r="L626" s="268"/>
      <c r="M626" s="268"/>
      <c r="N626" s="268"/>
      <c r="O626" s="310"/>
      <c r="P626" s="268"/>
      <c r="Q626" s="309"/>
      <c r="R626" s="268"/>
      <c r="S626" s="313"/>
      <c r="T626" s="313"/>
      <c r="U626" s="268"/>
      <c r="V626" s="268"/>
      <c r="W626" s="268"/>
      <c r="X626" s="268"/>
      <c r="Y626" s="268"/>
      <c r="Z626" s="268"/>
    </row>
    <row r="627" spans="1:26" ht="24.75" customHeight="1">
      <c r="A627" s="268"/>
      <c r="B627" s="268"/>
      <c r="C627" s="268"/>
      <c r="D627" s="268"/>
      <c r="E627" s="268"/>
      <c r="F627" s="268"/>
      <c r="G627" s="268"/>
      <c r="H627" s="268"/>
      <c r="I627" s="389"/>
      <c r="J627" s="389"/>
      <c r="K627" s="389"/>
      <c r="L627" s="268"/>
      <c r="M627" s="268"/>
      <c r="N627" s="268"/>
      <c r="O627" s="310"/>
      <c r="P627" s="268"/>
      <c r="Q627" s="309"/>
      <c r="R627" s="268"/>
      <c r="S627" s="313"/>
      <c r="T627" s="313"/>
      <c r="U627" s="268"/>
      <c r="V627" s="268"/>
      <c r="W627" s="268"/>
      <c r="X627" s="268"/>
      <c r="Y627" s="268"/>
      <c r="Z627" s="268"/>
    </row>
    <row r="628" spans="1:26" ht="24.75" customHeight="1">
      <c r="A628" s="268"/>
      <c r="B628" s="268"/>
      <c r="C628" s="268"/>
      <c r="D628" s="268"/>
      <c r="E628" s="268"/>
      <c r="F628" s="268"/>
      <c r="G628" s="268"/>
      <c r="H628" s="268"/>
      <c r="I628" s="389"/>
      <c r="J628" s="389"/>
      <c r="K628" s="389"/>
      <c r="L628" s="268"/>
      <c r="M628" s="268"/>
      <c r="N628" s="268"/>
      <c r="O628" s="310"/>
      <c r="P628" s="268"/>
      <c r="Q628" s="309"/>
      <c r="R628" s="268"/>
      <c r="S628" s="313"/>
      <c r="T628" s="313"/>
      <c r="U628" s="268"/>
      <c r="V628" s="268"/>
      <c r="W628" s="268"/>
      <c r="X628" s="268"/>
      <c r="Y628" s="268"/>
      <c r="Z628" s="268"/>
    </row>
    <row r="629" spans="1:26" ht="24.75" customHeight="1">
      <c r="A629" s="268"/>
      <c r="B629" s="268"/>
      <c r="C629" s="268"/>
      <c r="D629" s="268"/>
      <c r="E629" s="268"/>
      <c r="F629" s="268"/>
      <c r="G629" s="268"/>
      <c r="H629" s="268"/>
      <c r="I629" s="389"/>
      <c r="J629" s="389"/>
      <c r="K629" s="389"/>
      <c r="L629" s="268"/>
      <c r="M629" s="268"/>
      <c r="N629" s="268"/>
      <c r="O629" s="310"/>
      <c r="P629" s="268"/>
      <c r="Q629" s="309"/>
      <c r="R629" s="268"/>
      <c r="S629" s="313"/>
      <c r="T629" s="313"/>
      <c r="U629" s="268"/>
      <c r="V629" s="268"/>
      <c r="W629" s="268"/>
      <c r="X629" s="268"/>
      <c r="Y629" s="268"/>
      <c r="Z629" s="268"/>
    </row>
    <row r="630" spans="1:26" ht="24.75" customHeight="1">
      <c r="A630" s="268"/>
      <c r="B630" s="268"/>
      <c r="C630" s="268"/>
      <c r="D630" s="268"/>
      <c r="E630" s="268"/>
      <c r="F630" s="268"/>
      <c r="G630" s="268"/>
      <c r="H630" s="268"/>
      <c r="I630" s="389"/>
      <c r="J630" s="389"/>
      <c r="K630" s="389"/>
      <c r="L630" s="268"/>
      <c r="M630" s="268"/>
      <c r="N630" s="268"/>
      <c r="O630" s="310"/>
      <c r="P630" s="268"/>
      <c r="Q630" s="309"/>
      <c r="R630" s="268"/>
      <c r="S630" s="313"/>
      <c r="T630" s="313"/>
      <c r="U630" s="268"/>
      <c r="V630" s="268"/>
      <c r="W630" s="268"/>
      <c r="X630" s="268"/>
      <c r="Y630" s="268"/>
      <c r="Z630" s="268"/>
    </row>
    <row r="631" spans="1:26" ht="24.75" customHeight="1">
      <c r="A631" s="268"/>
      <c r="B631" s="268"/>
      <c r="C631" s="268"/>
      <c r="D631" s="268"/>
      <c r="E631" s="268"/>
      <c r="F631" s="268"/>
      <c r="G631" s="268"/>
      <c r="H631" s="268"/>
      <c r="I631" s="389"/>
      <c r="J631" s="389"/>
      <c r="K631" s="389"/>
      <c r="L631" s="268"/>
      <c r="M631" s="268"/>
      <c r="N631" s="268"/>
      <c r="O631" s="310"/>
      <c r="P631" s="268"/>
      <c r="Q631" s="309"/>
      <c r="R631" s="268"/>
      <c r="S631" s="313"/>
      <c r="T631" s="313"/>
      <c r="U631" s="268"/>
      <c r="V631" s="268"/>
      <c r="W631" s="268"/>
      <c r="X631" s="268"/>
      <c r="Y631" s="268"/>
      <c r="Z631" s="268"/>
    </row>
    <row r="632" spans="1:26" ht="24.75" customHeight="1">
      <c r="A632" s="268"/>
      <c r="B632" s="268"/>
      <c r="C632" s="268"/>
      <c r="D632" s="268"/>
      <c r="E632" s="268"/>
      <c r="F632" s="268"/>
      <c r="G632" s="268"/>
      <c r="H632" s="268"/>
      <c r="I632" s="389"/>
      <c r="J632" s="389"/>
      <c r="K632" s="389"/>
      <c r="L632" s="268"/>
      <c r="M632" s="268"/>
      <c r="N632" s="268"/>
      <c r="O632" s="310"/>
      <c r="P632" s="268"/>
      <c r="Q632" s="309"/>
      <c r="R632" s="268"/>
      <c r="S632" s="313"/>
      <c r="T632" s="313"/>
      <c r="U632" s="268"/>
      <c r="V632" s="268"/>
      <c r="W632" s="268"/>
      <c r="X632" s="268"/>
      <c r="Y632" s="268"/>
      <c r="Z632" s="268"/>
    </row>
    <row r="633" spans="1:26" ht="24.75" customHeight="1">
      <c r="A633" s="268"/>
      <c r="B633" s="268"/>
      <c r="C633" s="268"/>
      <c r="D633" s="268"/>
      <c r="E633" s="268"/>
      <c r="F633" s="268"/>
      <c r="G633" s="268"/>
      <c r="H633" s="268"/>
      <c r="I633" s="389"/>
      <c r="J633" s="389"/>
      <c r="K633" s="389"/>
      <c r="L633" s="268"/>
      <c r="M633" s="268"/>
      <c r="N633" s="268"/>
      <c r="O633" s="310"/>
      <c r="P633" s="268"/>
      <c r="Q633" s="309"/>
      <c r="R633" s="268"/>
      <c r="S633" s="313"/>
      <c r="T633" s="313"/>
      <c r="U633" s="268"/>
      <c r="V633" s="268"/>
      <c r="W633" s="268"/>
      <c r="X633" s="268"/>
      <c r="Y633" s="268"/>
      <c r="Z633" s="268"/>
    </row>
    <row r="634" spans="1:26" ht="24.75" customHeight="1">
      <c r="A634" s="268"/>
      <c r="B634" s="268"/>
      <c r="C634" s="268"/>
      <c r="D634" s="268"/>
      <c r="E634" s="268"/>
      <c r="F634" s="268"/>
      <c r="G634" s="268"/>
      <c r="H634" s="268"/>
      <c r="I634" s="389"/>
      <c r="J634" s="389"/>
      <c r="K634" s="389"/>
      <c r="L634" s="268"/>
      <c r="M634" s="268"/>
      <c r="N634" s="268"/>
      <c r="O634" s="310"/>
      <c r="P634" s="268"/>
      <c r="Q634" s="309"/>
      <c r="R634" s="268"/>
      <c r="S634" s="313"/>
      <c r="T634" s="313"/>
      <c r="U634" s="268"/>
      <c r="V634" s="268"/>
      <c r="W634" s="268"/>
      <c r="X634" s="268"/>
      <c r="Y634" s="268"/>
      <c r="Z634" s="268"/>
    </row>
    <row r="635" spans="1:26" ht="24.75" customHeight="1">
      <c r="A635" s="268"/>
      <c r="B635" s="268"/>
      <c r="C635" s="268"/>
      <c r="D635" s="268"/>
      <c r="E635" s="268"/>
      <c r="F635" s="268"/>
      <c r="G635" s="268"/>
      <c r="H635" s="268"/>
      <c r="I635" s="389"/>
      <c r="J635" s="389"/>
      <c r="K635" s="389"/>
      <c r="L635" s="268"/>
      <c r="M635" s="268"/>
      <c r="N635" s="268"/>
      <c r="O635" s="310"/>
      <c r="P635" s="268"/>
      <c r="Q635" s="309"/>
      <c r="R635" s="268"/>
      <c r="S635" s="313"/>
      <c r="T635" s="313"/>
      <c r="U635" s="268"/>
      <c r="V635" s="268"/>
      <c r="W635" s="268"/>
      <c r="X635" s="268"/>
      <c r="Y635" s="268"/>
      <c r="Z635" s="268"/>
    </row>
    <row r="636" spans="1:26" ht="24.75" customHeight="1">
      <c r="A636" s="268"/>
      <c r="B636" s="268"/>
      <c r="C636" s="268"/>
      <c r="D636" s="268"/>
      <c r="E636" s="268"/>
      <c r="F636" s="268"/>
      <c r="G636" s="268"/>
      <c r="H636" s="268"/>
      <c r="I636" s="389"/>
      <c r="J636" s="389"/>
      <c r="K636" s="389"/>
      <c r="L636" s="268"/>
      <c r="M636" s="268"/>
      <c r="N636" s="268"/>
      <c r="O636" s="310"/>
      <c r="P636" s="268"/>
      <c r="Q636" s="309"/>
      <c r="R636" s="268"/>
      <c r="S636" s="313"/>
      <c r="T636" s="313"/>
      <c r="U636" s="268"/>
      <c r="V636" s="268"/>
      <c r="W636" s="268"/>
      <c r="X636" s="268"/>
      <c r="Y636" s="268"/>
      <c r="Z636" s="268"/>
    </row>
    <row r="637" spans="1:26" ht="24.75" customHeight="1">
      <c r="A637" s="268"/>
      <c r="B637" s="268"/>
      <c r="C637" s="268"/>
      <c r="D637" s="268"/>
      <c r="E637" s="268"/>
      <c r="F637" s="268"/>
      <c r="G637" s="268"/>
      <c r="H637" s="268"/>
      <c r="I637" s="389"/>
      <c r="J637" s="389"/>
      <c r="K637" s="389"/>
      <c r="L637" s="268"/>
      <c r="M637" s="268"/>
      <c r="N637" s="268"/>
      <c r="O637" s="310"/>
      <c r="P637" s="268"/>
      <c r="Q637" s="309"/>
      <c r="R637" s="268"/>
      <c r="S637" s="313"/>
      <c r="T637" s="313"/>
      <c r="U637" s="268"/>
      <c r="V637" s="268"/>
      <c r="W637" s="268"/>
      <c r="X637" s="268"/>
      <c r="Y637" s="268"/>
      <c r="Z637" s="268"/>
    </row>
    <row r="638" spans="1:26" ht="24.75" customHeight="1">
      <c r="A638" s="268"/>
      <c r="B638" s="268"/>
      <c r="C638" s="268"/>
      <c r="D638" s="268"/>
      <c r="E638" s="268"/>
      <c r="F638" s="268"/>
      <c r="G638" s="268"/>
      <c r="H638" s="268"/>
      <c r="I638" s="389"/>
      <c r="J638" s="389"/>
      <c r="K638" s="389"/>
      <c r="L638" s="268"/>
      <c r="M638" s="268"/>
      <c r="N638" s="268"/>
      <c r="O638" s="310"/>
      <c r="P638" s="268"/>
      <c r="Q638" s="309"/>
      <c r="R638" s="268"/>
      <c r="S638" s="313"/>
      <c r="T638" s="313"/>
      <c r="U638" s="268"/>
      <c r="V638" s="268"/>
      <c r="W638" s="268"/>
      <c r="X638" s="268"/>
      <c r="Y638" s="268"/>
      <c r="Z638" s="268"/>
    </row>
    <row r="639" spans="1:26" ht="24.75" customHeight="1">
      <c r="A639" s="268"/>
      <c r="B639" s="268"/>
      <c r="C639" s="268"/>
      <c r="D639" s="268"/>
      <c r="E639" s="268"/>
      <c r="F639" s="268"/>
      <c r="G639" s="268"/>
      <c r="H639" s="268"/>
      <c r="I639" s="389"/>
      <c r="J639" s="389"/>
      <c r="K639" s="389"/>
      <c r="L639" s="268"/>
      <c r="M639" s="268"/>
      <c r="N639" s="268"/>
      <c r="O639" s="310"/>
      <c r="P639" s="268"/>
      <c r="Q639" s="309"/>
      <c r="R639" s="268"/>
      <c r="S639" s="313"/>
      <c r="T639" s="313"/>
      <c r="U639" s="268"/>
      <c r="V639" s="268"/>
      <c r="W639" s="268"/>
      <c r="X639" s="268"/>
      <c r="Y639" s="268"/>
      <c r="Z639" s="268"/>
    </row>
    <row r="640" spans="1:26" ht="24.75" customHeight="1">
      <c r="A640" s="268"/>
      <c r="B640" s="268"/>
      <c r="C640" s="268"/>
      <c r="D640" s="268"/>
      <c r="E640" s="268"/>
      <c r="F640" s="268"/>
      <c r="G640" s="268"/>
      <c r="H640" s="268"/>
      <c r="I640" s="389"/>
      <c r="J640" s="389"/>
      <c r="K640" s="389"/>
      <c r="L640" s="268"/>
      <c r="M640" s="268"/>
      <c r="N640" s="268"/>
      <c r="O640" s="310"/>
      <c r="P640" s="268"/>
      <c r="Q640" s="309"/>
      <c r="R640" s="268"/>
      <c r="S640" s="313"/>
      <c r="T640" s="313"/>
      <c r="U640" s="268"/>
      <c r="V640" s="268"/>
      <c r="W640" s="268"/>
      <c r="X640" s="268"/>
      <c r="Y640" s="268"/>
      <c r="Z640" s="268"/>
    </row>
    <row r="641" spans="1:26" ht="24.75" customHeight="1">
      <c r="A641" s="268"/>
      <c r="B641" s="268"/>
      <c r="C641" s="268"/>
      <c r="D641" s="268"/>
      <c r="E641" s="268"/>
      <c r="F641" s="268"/>
      <c r="G641" s="268"/>
      <c r="H641" s="268"/>
      <c r="I641" s="389"/>
      <c r="J641" s="389"/>
      <c r="K641" s="389"/>
      <c r="L641" s="268"/>
      <c r="M641" s="268"/>
      <c r="N641" s="268"/>
      <c r="O641" s="310"/>
      <c r="P641" s="268"/>
      <c r="Q641" s="309"/>
      <c r="R641" s="268"/>
      <c r="S641" s="313"/>
      <c r="T641" s="313"/>
      <c r="U641" s="268"/>
      <c r="V641" s="268"/>
      <c r="W641" s="268"/>
      <c r="X641" s="268"/>
      <c r="Y641" s="268"/>
      <c r="Z641" s="268"/>
    </row>
    <row r="642" spans="1:26" ht="24.75" customHeight="1">
      <c r="A642" s="268"/>
      <c r="B642" s="268"/>
      <c r="C642" s="268"/>
      <c r="D642" s="268"/>
      <c r="E642" s="268"/>
      <c r="F642" s="268"/>
      <c r="G642" s="268"/>
      <c r="H642" s="268"/>
      <c r="I642" s="389"/>
      <c r="J642" s="389"/>
      <c r="K642" s="389"/>
      <c r="L642" s="268"/>
      <c r="M642" s="268"/>
      <c r="N642" s="268"/>
      <c r="O642" s="310"/>
      <c r="P642" s="268"/>
      <c r="Q642" s="309"/>
      <c r="R642" s="268"/>
      <c r="S642" s="313"/>
      <c r="T642" s="313"/>
      <c r="U642" s="268"/>
      <c r="V642" s="268"/>
      <c r="W642" s="268"/>
      <c r="X642" s="268"/>
      <c r="Y642" s="268"/>
      <c r="Z642" s="268"/>
    </row>
    <row r="643" spans="1:26" ht="24.75" customHeight="1">
      <c r="A643" s="268"/>
      <c r="B643" s="268"/>
      <c r="C643" s="268"/>
      <c r="D643" s="268"/>
      <c r="E643" s="268"/>
      <c r="F643" s="268"/>
      <c r="G643" s="268"/>
      <c r="H643" s="268"/>
      <c r="I643" s="389"/>
      <c r="J643" s="389"/>
      <c r="K643" s="389"/>
      <c r="L643" s="268"/>
      <c r="M643" s="268"/>
      <c r="N643" s="268"/>
      <c r="O643" s="310"/>
      <c r="P643" s="268"/>
      <c r="Q643" s="309"/>
      <c r="R643" s="268"/>
      <c r="S643" s="313"/>
      <c r="T643" s="313"/>
      <c r="U643" s="268"/>
      <c r="V643" s="268"/>
      <c r="W643" s="268"/>
      <c r="X643" s="268"/>
      <c r="Y643" s="268"/>
      <c r="Z643" s="268"/>
    </row>
    <row r="644" spans="1:26" ht="24.75" customHeight="1">
      <c r="A644" s="268"/>
      <c r="B644" s="268"/>
      <c r="C644" s="268"/>
      <c r="D644" s="268"/>
      <c r="E644" s="268"/>
      <c r="F644" s="268"/>
      <c r="G644" s="268"/>
      <c r="H644" s="268"/>
      <c r="I644" s="389"/>
      <c r="J644" s="389"/>
      <c r="K644" s="389"/>
      <c r="L644" s="268"/>
      <c r="M644" s="268"/>
      <c r="N644" s="268"/>
      <c r="O644" s="310"/>
      <c r="P644" s="268"/>
      <c r="Q644" s="309"/>
      <c r="R644" s="268"/>
      <c r="S644" s="313"/>
      <c r="T644" s="313"/>
      <c r="U644" s="268"/>
      <c r="V644" s="268"/>
      <c r="W644" s="268"/>
      <c r="X644" s="268"/>
      <c r="Y644" s="268"/>
      <c r="Z644" s="268"/>
    </row>
    <row r="645" spans="1:26" ht="24.75" customHeight="1">
      <c r="A645" s="268"/>
      <c r="B645" s="268"/>
      <c r="C645" s="268"/>
      <c r="D645" s="268"/>
      <c r="E645" s="268"/>
      <c r="F645" s="268"/>
      <c r="G645" s="268"/>
      <c r="H645" s="268"/>
      <c r="I645" s="389"/>
      <c r="J645" s="389"/>
      <c r="K645" s="389"/>
      <c r="L645" s="268"/>
      <c r="M645" s="268"/>
      <c r="N645" s="268"/>
      <c r="O645" s="310"/>
      <c r="P645" s="268"/>
      <c r="Q645" s="309"/>
      <c r="R645" s="268"/>
      <c r="S645" s="313"/>
      <c r="T645" s="313"/>
      <c r="U645" s="268"/>
      <c r="V645" s="268"/>
      <c r="W645" s="268"/>
      <c r="X645" s="268"/>
      <c r="Y645" s="268"/>
      <c r="Z645" s="268"/>
    </row>
    <row r="646" spans="1:26" ht="24.75" customHeight="1">
      <c r="A646" s="268"/>
      <c r="B646" s="268"/>
      <c r="C646" s="268"/>
      <c r="D646" s="268"/>
      <c r="E646" s="268"/>
      <c r="F646" s="268"/>
      <c r="G646" s="268"/>
      <c r="H646" s="268"/>
      <c r="I646" s="389"/>
      <c r="J646" s="389"/>
      <c r="K646" s="389"/>
      <c r="L646" s="268"/>
      <c r="M646" s="268"/>
      <c r="N646" s="268"/>
      <c r="O646" s="310"/>
      <c r="P646" s="268"/>
      <c r="Q646" s="309"/>
      <c r="R646" s="268"/>
      <c r="S646" s="313"/>
      <c r="T646" s="313"/>
      <c r="U646" s="268"/>
      <c r="V646" s="268"/>
      <c r="W646" s="268"/>
      <c r="X646" s="268"/>
      <c r="Y646" s="268"/>
      <c r="Z646" s="268"/>
    </row>
    <row r="647" spans="1:26" ht="24.75" customHeight="1">
      <c r="A647" s="268"/>
      <c r="B647" s="268"/>
      <c r="C647" s="268"/>
      <c r="D647" s="268"/>
      <c r="E647" s="268"/>
      <c r="F647" s="268"/>
      <c r="G647" s="268"/>
      <c r="H647" s="268"/>
      <c r="I647" s="389"/>
      <c r="J647" s="389"/>
      <c r="K647" s="389"/>
      <c r="L647" s="268"/>
      <c r="M647" s="268"/>
      <c r="N647" s="268"/>
      <c r="O647" s="310"/>
      <c r="P647" s="268"/>
      <c r="Q647" s="309"/>
      <c r="R647" s="268"/>
      <c r="S647" s="313"/>
      <c r="T647" s="313"/>
      <c r="U647" s="268"/>
      <c r="V647" s="268"/>
      <c r="W647" s="268"/>
      <c r="X647" s="268"/>
      <c r="Y647" s="268"/>
      <c r="Z647" s="268"/>
    </row>
    <row r="648" spans="1:26" ht="24.75" customHeight="1">
      <c r="A648" s="268"/>
      <c r="B648" s="268"/>
      <c r="C648" s="268"/>
      <c r="D648" s="268"/>
      <c r="E648" s="268"/>
      <c r="F648" s="268"/>
      <c r="G648" s="268"/>
      <c r="H648" s="268"/>
      <c r="I648" s="389"/>
      <c r="J648" s="389"/>
      <c r="K648" s="389"/>
      <c r="L648" s="268"/>
      <c r="M648" s="268"/>
      <c r="N648" s="268"/>
      <c r="O648" s="310"/>
      <c r="P648" s="268"/>
      <c r="Q648" s="309"/>
      <c r="R648" s="268"/>
      <c r="S648" s="313"/>
      <c r="T648" s="313"/>
      <c r="U648" s="268"/>
      <c r="V648" s="268"/>
      <c r="W648" s="268"/>
      <c r="X648" s="268"/>
      <c r="Y648" s="268"/>
      <c r="Z648" s="268"/>
    </row>
    <row r="649" spans="1:26" ht="24.75" customHeight="1">
      <c r="A649" s="268"/>
      <c r="B649" s="268"/>
      <c r="C649" s="268"/>
      <c r="D649" s="268"/>
      <c r="E649" s="268"/>
      <c r="F649" s="268"/>
      <c r="G649" s="268"/>
      <c r="H649" s="268"/>
      <c r="I649" s="389"/>
      <c r="J649" s="389"/>
      <c r="K649" s="389"/>
      <c r="L649" s="268"/>
      <c r="M649" s="268"/>
      <c r="N649" s="268"/>
      <c r="O649" s="310"/>
      <c r="P649" s="268"/>
      <c r="Q649" s="309"/>
      <c r="R649" s="268"/>
      <c r="S649" s="313"/>
      <c r="T649" s="313"/>
      <c r="U649" s="268"/>
      <c r="V649" s="268"/>
      <c r="W649" s="268"/>
      <c r="X649" s="268"/>
      <c r="Y649" s="268"/>
      <c r="Z649" s="268"/>
    </row>
    <row r="650" spans="1:26" ht="24.75" customHeight="1">
      <c r="A650" s="268"/>
      <c r="B650" s="268"/>
      <c r="C650" s="268"/>
      <c r="D650" s="268"/>
      <c r="E650" s="268"/>
      <c r="F650" s="268"/>
      <c r="G650" s="268"/>
      <c r="H650" s="268"/>
      <c r="I650" s="389"/>
      <c r="J650" s="389"/>
      <c r="K650" s="389"/>
      <c r="L650" s="268"/>
      <c r="M650" s="268"/>
      <c r="N650" s="268"/>
      <c r="O650" s="310"/>
      <c r="P650" s="268"/>
      <c r="Q650" s="309"/>
      <c r="R650" s="268"/>
      <c r="S650" s="313"/>
      <c r="T650" s="313"/>
      <c r="U650" s="268"/>
      <c r="V650" s="268"/>
      <c r="W650" s="268"/>
      <c r="X650" s="268"/>
      <c r="Y650" s="268"/>
      <c r="Z650" s="268"/>
    </row>
    <row r="651" spans="1:26" ht="24.75" customHeight="1">
      <c r="A651" s="268"/>
      <c r="B651" s="268"/>
      <c r="C651" s="268"/>
      <c r="D651" s="268"/>
      <c r="E651" s="268"/>
      <c r="F651" s="268"/>
      <c r="G651" s="268"/>
      <c r="H651" s="268"/>
      <c r="I651" s="389"/>
      <c r="J651" s="389"/>
      <c r="K651" s="389"/>
      <c r="L651" s="268"/>
      <c r="M651" s="268"/>
      <c r="N651" s="268"/>
      <c r="O651" s="310"/>
      <c r="P651" s="268"/>
      <c r="Q651" s="309"/>
      <c r="R651" s="268"/>
      <c r="S651" s="313"/>
      <c r="T651" s="313"/>
      <c r="U651" s="268"/>
      <c r="V651" s="268"/>
      <c r="W651" s="268"/>
      <c r="X651" s="268"/>
      <c r="Y651" s="268"/>
      <c r="Z651" s="268"/>
    </row>
    <row r="652" spans="1:26" ht="24.75" customHeight="1">
      <c r="A652" s="268"/>
      <c r="B652" s="268"/>
      <c r="C652" s="268"/>
      <c r="D652" s="268"/>
      <c r="E652" s="268"/>
      <c r="F652" s="268"/>
      <c r="G652" s="268"/>
      <c r="H652" s="268"/>
      <c r="I652" s="389"/>
      <c r="J652" s="389"/>
      <c r="K652" s="389"/>
      <c r="L652" s="268"/>
      <c r="M652" s="268"/>
      <c r="N652" s="268"/>
      <c r="O652" s="310"/>
      <c r="P652" s="268"/>
      <c r="Q652" s="309"/>
      <c r="R652" s="268"/>
      <c r="S652" s="313"/>
      <c r="T652" s="313"/>
      <c r="U652" s="268"/>
      <c r="V652" s="268"/>
      <c r="W652" s="268"/>
      <c r="X652" s="268"/>
      <c r="Y652" s="268"/>
      <c r="Z652" s="268"/>
    </row>
    <row r="653" spans="1:26" ht="24.75" customHeight="1">
      <c r="A653" s="268"/>
      <c r="B653" s="268"/>
      <c r="C653" s="268"/>
      <c r="D653" s="268"/>
      <c r="E653" s="268"/>
      <c r="F653" s="268"/>
      <c r="G653" s="268"/>
      <c r="H653" s="268"/>
      <c r="I653" s="389"/>
      <c r="J653" s="389"/>
      <c r="K653" s="389"/>
      <c r="L653" s="268"/>
      <c r="M653" s="268"/>
      <c r="N653" s="268"/>
      <c r="O653" s="310"/>
      <c r="P653" s="268"/>
      <c r="Q653" s="309"/>
      <c r="R653" s="268"/>
      <c r="S653" s="313"/>
      <c r="T653" s="313"/>
      <c r="U653" s="268"/>
      <c r="V653" s="268"/>
      <c r="W653" s="268"/>
      <c r="X653" s="268"/>
      <c r="Y653" s="268"/>
      <c r="Z653" s="268"/>
    </row>
    <row r="654" spans="1:26" ht="24.75" customHeight="1">
      <c r="A654" s="268"/>
      <c r="B654" s="268"/>
      <c r="C654" s="268"/>
      <c r="D654" s="268"/>
      <c r="E654" s="268"/>
      <c r="F654" s="268"/>
      <c r="G654" s="268"/>
      <c r="H654" s="268"/>
      <c r="I654" s="389"/>
      <c r="J654" s="389"/>
      <c r="K654" s="389"/>
      <c r="L654" s="268"/>
      <c r="M654" s="268"/>
      <c r="N654" s="268"/>
      <c r="O654" s="310"/>
      <c r="P654" s="268"/>
      <c r="Q654" s="309"/>
      <c r="R654" s="268"/>
      <c r="S654" s="313"/>
      <c r="T654" s="313"/>
      <c r="U654" s="268"/>
      <c r="V654" s="268"/>
      <c r="W654" s="268"/>
      <c r="X654" s="268"/>
      <c r="Y654" s="268"/>
      <c r="Z654" s="268"/>
    </row>
    <row r="655" spans="1:26" ht="24.75" customHeight="1">
      <c r="A655" s="268"/>
      <c r="B655" s="268"/>
      <c r="C655" s="268"/>
      <c r="D655" s="268"/>
      <c r="E655" s="268"/>
      <c r="F655" s="268"/>
      <c r="G655" s="268"/>
      <c r="H655" s="268"/>
      <c r="I655" s="389"/>
      <c r="J655" s="389"/>
      <c r="K655" s="389"/>
      <c r="L655" s="268"/>
      <c r="M655" s="268"/>
      <c r="N655" s="268"/>
      <c r="O655" s="310"/>
      <c r="P655" s="268"/>
      <c r="Q655" s="309"/>
      <c r="R655" s="268"/>
      <c r="S655" s="313"/>
      <c r="T655" s="313"/>
      <c r="U655" s="268"/>
      <c r="V655" s="268"/>
      <c r="W655" s="268"/>
      <c r="X655" s="268"/>
      <c r="Y655" s="268"/>
      <c r="Z655" s="268"/>
    </row>
    <row r="656" spans="1:26" ht="24.75" customHeight="1">
      <c r="A656" s="268"/>
      <c r="B656" s="268"/>
      <c r="C656" s="268"/>
      <c r="D656" s="268"/>
      <c r="E656" s="268"/>
      <c r="F656" s="268"/>
      <c r="G656" s="268"/>
      <c r="H656" s="268"/>
      <c r="I656" s="389"/>
      <c r="J656" s="389"/>
      <c r="K656" s="389"/>
      <c r="L656" s="268"/>
      <c r="M656" s="268"/>
      <c r="N656" s="268"/>
      <c r="O656" s="310"/>
      <c r="P656" s="268"/>
      <c r="Q656" s="309"/>
      <c r="R656" s="268"/>
      <c r="S656" s="313"/>
      <c r="T656" s="313"/>
      <c r="U656" s="268"/>
      <c r="V656" s="268"/>
      <c r="W656" s="268"/>
      <c r="X656" s="268"/>
      <c r="Y656" s="268"/>
      <c r="Z656" s="268"/>
    </row>
    <row r="657" spans="1:26" ht="24.75" customHeight="1">
      <c r="A657" s="268"/>
      <c r="B657" s="268"/>
      <c r="C657" s="268"/>
      <c r="D657" s="268"/>
      <c r="E657" s="268"/>
      <c r="F657" s="268"/>
      <c r="G657" s="268"/>
      <c r="H657" s="268"/>
      <c r="I657" s="389"/>
      <c r="J657" s="389"/>
      <c r="K657" s="389"/>
      <c r="L657" s="268"/>
      <c r="M657" s="268"/>
      <c r="N657" s="268"/>
      <c r="O657" s="310"/>
      <c r="P657" s="268"/>
      <c r="Q657" s="309"/>
      <c r="R657" s="268"/>
      <c r="S657" s="313"/>
      <c r="T657" s="313"/>
      <c r="U657" s="268"/>
      <c r="V657" s="268"/>
      <c r="W657" s="268"/>
      <c r="X657" s="268"/>
      <c r="Y657" s="268"/>
      <c r="Z657" s="268"/>
    </row>
    <row r="658" spans="1:26" ht="24.75" customHeight="1">
      <c r="A658" s="268"/>
      <c r="B658" s="268"/>
      <c r="C658" s="268"/>
      <c r="D658" s="268"/>
      <c r="E658" s="268"/>
      <c r="F658" s="268"/>
      <c r="G658" s="268"/>
      <c r="H658" s="268"/>
      <c r="I658" s="389"/>
      <c r="J658" s="389"/>
      <c r="K658" s="389"/>
      <c r="L658" s="268"/>
      <c r="M658" s="268"/>
      <c r="N658" s="268"/>
      <c r="O658" s="310"/>
      <c r="P658" s="268"/>
      <c r="Q658" s="309"/>
      <c r="R658" s="268"/>
      <c r="S658" s="313"/>
      <c r="T658" s="313"/>
      <c r="U658" s="268"/>
      <c r="V658" s="268"/>
      <c r="W658" s="268"/>
      <c r="X658" s="268"/>
      <c r="Y658" s="268"/>
      <c r="Z658" s="268"/>
    </row>
    <row r="659" spans="1:26" ht="24.75" customHeight="1">
      <c r="A659" s="268"/>
      <c r="B659" s="268"/>
      <c r="C659" s="268"/>
      <c r="D659" s="268"/>
      <c r="E659" s="268"/>
      <c r="F659" s="268"/>
      <c r="G659" s="268"/>
      <c r="H659" s="268"/>
      <c r="I659" s="389"/>
      <c r="J659" s="389"/>
      <c r="K659" s="389"/>
      <c r="L659" s="268"/>
      <c r="M659" s="268"/>
      <c r="N659" s="268"/>
      <c r="O659" s="310"/>
      <c r="P659" s="268"/>
      <c r="Q659" s="309"/>
      <c r="R659" s="268"/>
      <c r="S659" s="313"/>
      <c r="T659" s="313"/>
      <c r="U659" s="268"/>
      <c r="V659" s="268"/>
      <c r="W659" s="268"/>
      <c r="X659" s="268"/>
      <c r="Y659" s="268"/>
      <c r="Z659" s="268"/>
    </row>
    <row r="660" spans="1:26" ht="24.75" customHeight="1">
      <c r="A660" s="268"/>
      <c r="B660" s="268"/>
      <c r="C660" s="268"/>
      <c r="D660" s="268"/>
      <c r="E660" s="268"/>
      <c r="F660" s="268"/>
      <c r="G660" s="268"/>
      <c r="H660" s="268"/>
      <c r="I660" s="389"/>
      <c r="J660" s="389"/>
      <c r="K660" s="389"/>
      <c r="L660" s="268"/>
      <c r="M660" s="268"/>
      <c r="N660" s="268"/>
      <c r="O660" s="310"/>
      <c r="P660" s="268"/>
      <c r="Q660" s="309"/>
      <c r="R660" s="268"/>
      <c r="S660" s="313"/>
      <c r="T660" s="313"/>
      <c r="U660" s="268"/>
      <c r="V660" s="268"/>
      <c r="W660" s="268"/>
      <c r="X660" s="268"/>
      <c r="Y660" s="268"/>
      <c r="Z660" s="268"/>
    </row>
    <row r="661" spans="1:26" ht="24.75" customHeight="1">
      <c r="A661" s="268"/>
      <c r="B661" s="268"/>
      <c r="C661" s="268"/>
      <c r="D661" s="268"/>
      <c r="E661" s="268"/>
      <c r="F661" s="268"/>
      <c r="G661" s="268"/>
      <c r="H661" s="268"/>
      <c r="I661" s="389"/>
      <c r="J661" s="389"/>
      <c r="K661" s="389"/>
      <c r="L661" s="268"/>
      <c r="M661" s="268"/>
      <c r="N661" s="268"/>
      <c r="O661" s="310"/>
      <c r="P661" s="268"/>
      <c r="Q661" s="309"/>
      <c r="R661" s="268"/>
      <c r="S661" s="313"/>
      <c r="T661" s="313"/>
      <c r="U661" s="268"/>
      <c r="V661" s="268"/>
      <c r="W661" s="268"/>
      <c r="X661" s="268"/>
      <c r="Y661" s="268"/>
      <c r="Z661" s="268"/>
    </row>
    <row r="662" spans="1:26" ht="24.75" customHeight="1">
      <c r="A662" s="268"/>
      <c r="B662" s="268"/>
      <c r="C662" s="268"/>
      <c r="D662" s="268"/>
      <c r="E662" s="268"/>
      <c r="F662" s="268"/>
      <c r="G662" s="268"/>
      <c r="H662" s="268"/>
      <c r="I662" s="389"/>
      <c r="J662" s="389"/>
      <c r="K662" s="389"/>
      <c r="L662" s="268"/>
      <c r="M662" s="268"/>
      <c r="N662" s="268"/>
      <c r="O662" s="310"/>
      <c r="P662" s="268"/>
      <c r="Q662" s="309"/>
      <c r="R662" s="268"/>
      <c r="S662" s="313"/>
      <c r="T662" s="313"/>
      <c r="U662" s="268"/>
      <c r="V662" s="268"/>
      <c r="W662" s="268"/>
      <c r="X662" s="268"/>
      <c r="Y662" s="268"/>
      <c r="Z662" s="268"/>
    </row>
    <row r="663" spans="1:26" ht="24.75" customHeight="1">
      <c r="A663" s="268"/>
      <c r="B663" s="268"/>
      <c r="C663" s="268"/>
      <c r="D663" s="268"/>
      <c r="E663" s="268"/>
      <c r="F663" s="268"/>
      <c r="G663" s="268"/>
      <c r="H663" s="268"/>
      <c r="I663" s="389"/>
      <c r="J663" s="389"/>
      <c r="K663" s="389"/>
      <c r="L663" s="268"/>
      <c r="M663" s="268"/>
      <c r="N663" s="268"/>
      <c r="O663" s="310"/>
      <c r="P663" s="268"/>
      <c r="Q663" s="309"/>
      <c r="R663" s="268"/>
      <c r="S663" s="313"/>
      <c r="T663" s="313"/>
      <c r="U663" s="268"/>
      <c r="V663" s="268"/>
      <c r="W663" s="268"/>
      <c r="X663" s="268"/>
      <c r="Y663" s="268"/>
      <c r="Z663" s="268"/>
    </row>
    <row r="664" spans="1:26" ht="24.75" customHeight="1">
      <c r="A664" s="268"/>
      <c r="B664" s="268"/>
      <c r="C664" s="268"/>
      <c r="D664" s="268"/>
      <c r="E664" s="268"/>
      <c r="F664" s="268"/>
      <c r="G664" s="268"/>
      <c r="H664" s="268"/>
      <c r="I664" s="389"/>
      <c r="J664" s="389"/>
      <c r="K664" s="389"/>
      <c r="L664" s="268"/>
      <c r="M664" s="268"/>
      <c r="N664" s="268"/>
      <c r="O664" s="310"/>
      <c r="P664" s="268"/>
      <c r="Q664" s="309"/>
      <c r="R664" s="268"/>
      <c r="S664" s="313"/>
      <c r="T664" s="313"/>
      <c r="U664" s="268"/>
      <c r="V664" s="268"/>
      <c r="W664" s="268"/>
      <c r="X664" s="268"/>
      <c r="Y664" s="268"/>
      <c r="Z664" s="268"/>
    </row>
    <row r="665" spans="1:26" ht="24.75" customHeight="1">
      <c r="A665" s="268"/>
      <c r="B665" s="268"/>
      <c r="C665" s="268"/>
      <c r="D665" s="268"/>
      <c r="E665" s="268"/>
      <c r="F665" s="268"/>
      <c r="G665" s="268"/>
      <c r="H665" s="268"/>
      <c r="I665" s="389"/>
      <c r="J665" s="389"/>
      <c r="K665" s="389"/>
      <c r="L665" s="268"/>
      <c r="M665" s="268"/>
      <c r="N665" s="268"/>
      <c r="O665" s="310"/>
      <c r="P665" s="268"/>
      <c r="Q665" s="309"/>
      <c r="R665" s="268"/>
      <c r="S665" s="313"/>
      <c r="T665" s="313"/>
      <c r="U665" s="268"/>
      <c r="V665" s="268"/>
      <c r="W665" s="268"/>
      <c r="X665" s="268"/>
      <c r="Y665" s="268"/>
      <c r="Z665" s="268"/>
    </row>
    <row r="666" spans="1:26" ht="24.75" customHeight="1">
      <c r="A666" s="268"/>
      <c r="B666" s="268"/>
      <c r="C666" s="268"/>
      <c r="D666" s="268"/>
      <c r="E666" s="268"/>
      <c r="F666" s="268"/>
      <c r="G666" s="268"/>
      <c r="H666" s="268"/>
      <c r="I666" s="389"/>
      <c r="J666" s="389"/>
      <c r="K666" s="389"/>
      <c r="L666" s="268"/>
      <c r="M666" s="268"/>
      <c r="N666" s="268"/>
      <c r="O666" s="310"/>
      <c r="P666" s="268"/>
      <c r="Q666" s="309"/>
      <c r="R666" s="268"/>
      <c r="S666" s="313"/>
      <c r="T666" s="313"/>
      <c r="U666" s="268"/>
      <c r="V666" s="268"/>
      <c r="W666" s="268"/>
      <c r="X666" s="268"/>
      <c r="Y666" s="268"/>
      <c r="Z666" s="268"/>
    </row>
    <row r="667" spans="1:26" ht="24.75" customHeight="1">
      <c r="A667" s="268"/>
      <c r="B667" s="268"/>
      <c r="C667" s="268"/>
      <c r="D667" s="268"/>
      <c r="E667" s="268"/>
      <c r="F667" s="268"/>
      <c r="G667" s="268"/>
      <c r="H667" s="268"/>
      <c r="I667" s="389"/>
      <c r="J667" s="389"/>
      <c r="K667" s="389"/>
      <c r="L667" s="268"/>
      <c r="M667" s="268"/>
      <c r="N667" s="268"/>
      <c r="O667" s="310"/>
      <c r="P667" s="268"/>
      <c r="Q667" s="309"/>
      <c r="R667" s="268"/>
      <c r="S667" s="313"/>
      <c r="T667" s="313"/>
      <c r="U667" s="268"/>
      <c r="V667" s="268"/>
      <c r="W667" s="268"/>
      <c r="X667" s="268"/>
      <c r="Y667" s="268"/>
      <c r="Z667" s="268"/>
    </row>
    <row r="668" spans="1:26" ht="24.75" customHeight="1">
      <c r="A668" s="268"/>
      <c r="B668" s="268"/>
      <c r="C668" s="268"/>
      <c r="D668" s="268"/>
      <c r="E668" s="268"/>
      <c r="F668" s="268"/>
      <c r="G668" s="268"/>
      <c r="H668" s="268"/>
      <c r="I668" s="389"/>
      <c r="J668" s="389"/>
      <c r="K668" s="389"/>
      <c r="L668" s="268"/>
      <c r="M668" s="268"/>
      <c r="N668" s="268"/>
      <c r="O668" s="310"/>
      <c r="P668" s="268"/>
      <c r="Q668" s="309"/>
      <c r="R668" s="268"/>
      <c r="S668" s="313"/>
      <c r="T668" s="313"/>
      <c r="U668" s="268"/>
      <c r="V668" s="268"/>
      <c r="W668" s="268"/>
      <c r="X668" s="268"/>
      <c r="Y668" s="268"/>
      <c r="Z668" s="268"/>
    </row>
    <row r="669" spans="1:26" ht="24.75" customHeight="1">
      <c r="A669" s="268"/>
      <c r="B669" s="268"/>
      <c r="C669" s="268"/>
      <c r="D669" s="268"/>
      <c r="E669" s="268"/>
      <c r="F669" s="268"/>
      <c r="G669" s="268"/>
      <c r="H669" s="268"/>
      <c r="I669" s="389"/>
      <c r="J669" s="389"/>
      <c r="K669" s="389"/>
      <c r="L669" s="268"/>
      <c r="M669" s="268"/>
      <c r="N669" s="268"/>
      <c r="O669" s="310"/>
      <c r="P669" s="268"/>
      <c r="Q669" s="309"/>
      <c r="R669" s="268"/>
      <c r="S669" s="313"/>
      <c r="T669" s="313"/>
      <c r="U669" s="268"/>
      <c r="V669" s="268"/>
      <c r="W669" s="268"/>
      <c r="X669" s="268"/>
      <c r="Y669" s="268"/>
      <c r="Z669" s="268"/>
    </row>
    <row r="670" spans="1:26" ht="24.75" customHeight="1">
      <c r="A670" s="268"/>
      <c r="B670" s="268"/>
      <c r="C670" s="268"/>
      <c r="D670" s="268"/>
      <c r="E670" s="268"/>
      <c r="F670" s="268"/>
      <c r="G670" s="268"/>
      <c r="H670" s="268"/>
      <c r="I670" s="389"/>
      <c r="J670" s="389"/>
      <c r="K670" s="389"/>
      <c r="L670" s="268"/>
      <c r="M670" s="268"/>
      <c r="N670" s="268"/>
      <c r="O670" s="310"/>
      <c r="P670" s="268"/>
      <c r="Q670" s="309"/>
      <c r="R670" s="268"/>
      <c r="S670" s="313"/>
      <c r="T670" s="313"/>
      <c r="U670" s="268"/>
      <c r="V670" s="268"/>
      <c r="W670" s="268"/>
      <c r="X670" s="268"/>
      <c r="Y670" s="268"/>
      <c r="Z670" s="268"/>
    </row>
    <row r="671" spans="1:26" ht="24.75" customHeight="1">
      <c r="A671" s="268"/>
      <c r="B671" s="268"/>
      <c r="C671" s="268"/>
      <c r="D671" s="268"/>
      <c r="E671" s="268"/>
      <c r="F671" s="268"/>
      <c r="G671" s="268"/>
      <c r="H671" s="268"/>
      <c r="I671" s="389"/>
      <c r="J671" s="389"/>
      <c r="K671" s="389"/>
      <c r="L671" s="268"/>
      <c r="M671" s="268"/>
      <c r="N671" s="268"/>
      <c r="O671" s="310"/>
      <c r="P671" s="268"/>
      <c r="Q671" s="309"/>
      <c r="R671" s="268"/>
      <c r="S671" s="313"/>
      <c r="T671" s="313"/>
      <c r="U671" s="268"/>
      <c r="V671" s="268"/>
      <c r="W671" s="268"/>
      <c r="X671" s="268"/>
      <c r="Y671" s="268"/>
      <c r="Z671" s="268"/>
    </row>
    <row r="672" spans="1:26" ht="24.75" customHeight="1">
      <c r="A672" s="268"/>
      <c r="B672" s="268"/>
      <c r="C672" s="268"/>
      <c r="D672" s="268"/>
      <c r="E672" s="268"/>
      <c r="F672" s="268"/>
      <c r="G672" s="268"/>
      <c r="H672" s="268"/>
      <c r="I672" s="389"/>
      <c r="J672" s="389"/>
      <c r="K672" s="389"/>
      <c r="L672" s="268"/>
      <c r="M672" s="268"/>
      <c r="N672" s="268"/>
      <c r="O672" s="310"/>
      <c r="P672" s="268"/>
      <c r="Q672" s="309"/>
      <c r="R672" s="268"/>
      <c r="S672" s="313"/>
      <c r="T672" s="313"/>
      <c r="U672" s="268"/>
      <c r="V672" s="268"/>
      <c r="W672" s="268"/>
      <c r="X672" s="268"/>
      <c r="Y672" s="268"/>
      <c r="Z672" s="268"/>
    </row>
    <row r="673" spans="1:26" ht="24.75" customHeight="1">
      <c r="A673" s="268"/>
      <c r="B673" s="268"/>
      <c r="C673" s="268"/>
      <c r="D673" s="268"/>
      <c r="E673" s="268"/>
      <c r="F673" s="268"/>
      <c r="G673" s="268"/>
      <c r="H673" s="268"/>
      <c r="I673" s="389"/>
      <c r="J673" s="389"/>
      <c r="K673" s="389"/>
      <c r="L673" s="268"/>
      <c r="M673" s="268"/>
      <c r="N673" s="268"/>
      <c r="O673" s="310"/>
      <c r="P673" s="268"/>
      <c r="Q673" s="309"/>
      <c r="R673" s="268"/>
      <c r="S673" s="313"/>
      <c r="T673" s="313"/>
      <c r="U673" s="268"/>
      <c r="V673" s="268"/>
      <c r="W673" s="268"/>
      <c r="X673" s="268"/>
      <c r="Y673" s="268"/>
      <c r="Z673" s="268"/>
    </row>
    <row r="674" spans="1:26" ht="24.75" customHeight="1">
      <c r="A674" s="268"/>
      <c r="B674" s="268"/>
      <c r="C674" s="268"/>
      <c r="D674" s="268"/>
      <c r="E674" s="268"/>
      <c r="F674" s="268"/>
      <c r="G674" s="268"/>
      <c r="H674" s="268"/>
      <c r="I674" s="389"/>
      <c r="J674" s="389"/>
      <c r="K674" s="389"/>
      <c r="L674" s="268"/>
      <c r="M674" s="268"/>
      <c r="N674" s="268"/>
      <c r="O674" s="310"/>
      <c r="P674" s="268"/>
      <c r="Q674" s="309"/>
      <c r="R674" s="268"/>
      <c r="S674" s="313"/>
      <c r="T674" s="313"/>
      <c r="U674" s="268"/>
      <c r="V674" s="268"/>
      <c r="W674" s="268"/>
      <c r="X674" s="268"/>
      <c r="Y674" s="268"/>
      <c r="Z674" s="268"/>
    </row>
    <row r="675" spans="1:26" ht="24.75" customHeight="1">
      <c r="A675" s="268"/>
      <c r="B675" s="268"/>
      <c r="C675" s="268"/>
      <c r="D675" s="268"/>
      <c r="E675" s="268"/>
      <c r="F675" s="268"/>
      <c r="G675" s="268"/>
      <c r="H675" s="268"/>
      <c r="I675" s="389"/>
      <c r="J675" s="389"/>
      <c r="K675" s="389"/>
      <c r="L675" s="268"/>
      <c r="M675" s="268"/>
      <c r="N675" s="268"/>
      <c r="O675" s="310"/>
      <c r="P675" s="268"/>
      <c r="Q675" s="309"/>
      <c r="R675" s="268"/>
      <c r="S675" s="313"/>
      <c r="T675" s="313"/>
      <c r="U675" s="268"/>
      <c r="V675" s="268"/>
      <c r="W675" s="268"/>
      <c r="X675" s="268"/>
      <c r="Y675" s="268"/>
      <c r="Z675" s="268"/>
    </row>
    <row r="676" spans="1:26" ht="24.75" customHeight="1">
      <c r="A676" s="268"/>
      <c r="B676" s="268"/>
      <c r="C676" s="268"/>
      <c r="D676" s="268"/>
      <c r="E676" s="268"/>
      <c r="F676" s="268"/>
      <c r="G676" s="268"/>
      <c r="H676" s="268"/>
      <c r="I676" s="389"/>
      <c r="J676" s="389"/>
      <c r="K676" s="389"/>
      <c r="L676" s="268"/>
      <c r="M676" s="268"/>
      <c r="N676" s="268"/>
      <c r="O676" s="310"/>
      <c r="P676" s="268"/>
      <c r="Q676" s="309"/>
      <c r="R676" s="268"/>
      <c r="S676" s="313"/>
      <c r="T676" s="313"/>
      <c r="U676" s="268"/>
      <c r="V676" s="268"/>
      <c r="W676" s="268"/>
      <c r="X676" s="268"/>
      <c r="Y676" s="268"/>
      <c r="Z676" s="268"/>
    </row>
    <row r="677" spans="1:26" ht="24.75" customHeight="1">
      <c r="A677" s="268"/>
      <c r="B677" s="268"/>
      <c r="C677" s="268"/>
      <c r="D677" s="268"/>
      <c r="E677" s="268"/>
      <c r="F677" s="268"/>
      <c r="G677" s="268"/>
      <c r="H677" s="268"/>
      <c r="I677" s="389"/>
      <c r="J677" s="389"/>
      <c r="K677" s="389"/>
      <c r="L677" s="268"/>
      <c r="M677" s="268"/>
      <c r="N677" s="268"/>
      <c r="O677" s="310"/>
      <c r="P677" s="268"/>
      <c r="Q677" s="309"/>
      <c r="R677" s="268"/>
      <c r="S677" s="313"/>
      <c r="T677" s="313"/>
      <c r="U677" s="268"/>
      <c r="V677" s="268"/>
      <c r="W677" s="268"/>
      <c r="X677" s="268"/>
      <c r="Y677" s="268"/>
      <c r="Z677" s="268"/>
    </row>
    <row r="678" spans="1:26" ht="24.75" customHeight="1">
      <c r="A678" s="268"/>
      <c r="B678" s="268"/>
      <c r="C678" s="268"/>
      <c r="D678" s="268"/>
      <c r="E678" s="268"/>
      <c r="F678" s="268"/>
      <c r="G678" s="268"/>
      <c r="H678" s="268"/>
      <c r="I678" s="389"/>
      <c r="J678" s="389"/>
      <c r="K678" s="389"/>
      <c r="L678" s="268"/>
      <c r="M678" s="268"/>
      <c r="N678" s="268"/>
      <c r="O678" s="310"/>
      <c r="P678" s="268"/>
      <c r="Q678" s="309"/>
      <c r="R678" s="268"/>
      <c r="S678" s="313"/>
      <c r="T678" s="313"/>
      <c r="U678" s="268"/>
      <c r="V678" s="268"/>
      <c r="W678" s="268"/>
      <c r="X678" s="268"/>
      <c r="Y678" s="268"/>
      <c r="Z678" s="268"/>
    </row>
    <row r="679" spans="1:26" ht="24.75" customHeight="1">
      <c r="A679" s="268"/>
      <c r="B679" s="268"/>
      <c r="C679" s="268"/>
      <c r="D679" s="268"/>
      <c r="E679" s="268"/>
      <c r="F679" s="268"/>
      <c r="G679" s="268"/>
      <c r="H679" s="268"/>
      <c r="I679" s="389"/>
      <c r="J679" s="389"/>
      <c r="K679" s="389"/>
      <c r="L679" s="268"/>
      <c r="M679" s="268"/>
      <c r="N679" s="268"/>
      <c r="O679" s="310"/>
      <c r="P679" s="268"/>
      <c r="Q679" s="309"/>
      <c r="R679" s="268"/>
      <c r="S679" s="313"/>
      <c r="T679" s="313"/>
      <c r="U679" s="268"/>
      <c r="V679" s="268"/>
      <c r="W679" s="268"/>
      <c r="X679" s="268"/>
      <c r="Y679" s="268"/>
      <c r="Z679" s="268"/>
    </row>
    <row r="680" spans="1:26" ht="24.75" customHeight="1">
      <c r="A680" s="268"/>
      <c r="B680" s="268"/>
      <c r="C680" s="268"/>
      <c r="D680" s="268"/>
      <c r="E680" s="268"/>
      <c r="F680" s="268"/>
      <c r="G680" s="268"/>
      <c r="H680" s="268"/>
      <c r="I680" s="389"/>
      <c r="J680" s="389"/>
      <c r="K680" s="389"/>
      <c r="L680" s="268"/>
      <c r="M680" s="268"/>
      <c r="N680" s="268"/>
      <c r="O680" s="310"/>
      <c r="P680" s="268"/>
      <c r="Q680" s="309"/>
      <c r="R680" s="268"/>
      <c r="S680" s="313"/>
      <c r="T680" s="313"/>
      <c r="U680" s="268"/>
      <c r="V680" s="268"/>
      <c r="W680" s="268"/>
      <c r="X680" s="268"/>
      <c r="Y680" s="268"/>
      <c r="Z680" s="268"/>
    </row>
    <row r="681" spans="1:26" ht="24.75" customHeight="1">
      <c r="A681" s="268"/>
      <c r="B681" s="268"/>
      <c r="C681" s="268"/>
      <c r="D681" s="268"/>
      <c r="E681" s="268"/>
      <c r="F681" s="268"/>
      <c r="G681" s="268"/>
      <c r="H681" s="268"/>
      <c r="I681" s="389"/>
      <c r="J681" s="389"/>
      <c r="K681" s="389"/>
      <c r="L681" s="268"/>
      <c r="M681" s="268"/>
      <c r="N681" s="268"/>
      <c r="O681" s="310"/>
      <c r="P681" s="268"/>
      <c r="Q681" s="309"/>
      <c r="R681" s="268"/>
      <c r="S681" s="313"/>
      <c r="T681" s="313"/>
      <c r="U681" s="268"/>
      <c r="V681" s="268"/>
      <c r="W681" s="268"/>
      <c r="X681" s="268"/>
      <c r="Y681" s="268"/>
      <c r="Z681" s="268"/>
    </row>
    <row r="682" spans="1:26" ht="24.75" customHeight="1">
      <c r="A682" s="268"/>
      <c r="B682" s="268"/>
      <c r="C682" s="268"/>
      <c r="D682" s="268"/>
      <c r="E682" s="268"/>
      <c r="F682" s="268"/>
      <c r="G682" s="268"/>
      <c r="H682" s="268"/>
      <c r="I682" s="389"/>
      <c r="J682" s="389"/>
      <c r="K682" s="389"/>
      <c r="L682" s="268"/>
      <c r="M682" s="268"/>
      <c r="N682" s="268"/>
      <c r="O682" s="310"/>
      <c r="P682" s="268"/>
      <c r="Q682" s="309"/>
      <c r="R682" s="268"/>
      <c r="S682" s="313"/>
      <c r="T682" s="313"/>
      <c r="U682" s="268"/>
      <c r="V682" s="268"/>
      <c r="W682" s="268"/>
      <c r="X682" s="268"/>
      <c r="Y682" s="268"/>
      <c r="Z682" s="268"/>
    </row>
    <row r="683" spans="1:26" ht="24.75" customHeight="1">
      <c r="A683" s="268"/>
      <c r="B683" s="268"/>
      <c r="C683" s="268"/>
      <c r="D683" s="268"/>
      <c r="E683" s="268"/>
      <c r="F683" s="268"/>
      <c r="G683" s="268"/>
      <c r="H683" s="268"/>
      <c r="I683" s="389"/>
      <c r="J683" s="389"/>
      <c r="K683" s="389"/>
      <c r="L683" s="268"/>
      <c r="M683" s="268"/>
      <c r="N683" s="268"/>
      <c r="O683" s="310"/>
      <c r="P683" s="268"/>
      <c r="Q683" s="309"/>
      <c r="R683" s="268"/>
      <c r="S683" s="313"/>
      <c r="T683" s="313"/>
      <c r="U683" s="268"/>
      <c r="V683" s="268"/>
      <c r="W683" s="268"/>
      <c r="X683" s="268"/>
      <c r="Y683" s="268"/>
      <c r="Z683" s="268"/>
    </row>
    <row r="684" spans="1:26" ht="24.75" customHeight="1">
      <c r="A684" s="268"/>
      <c r="B684" s="268"/>
      <c r="C684" s="268"/>
      <c r="D684" s="268"/>
      <c r="E684" s="268"/>
      <c r="F684" s="268"/>
      <c r="G684" s="268"/>
      <c r="H684" s="268"/>
      <c r="I684" s="389"/>
      <c r="J684" s="389"/>
      <c r="K684" s="389"/>
      <c r="L684" s="268"/>
      <c r="M684" s="268"/>
      <c r="N684" s="268"/>
      <c r="O684" s="310"/>
      <c r="P684" s="268"/>
      <c r="Q684" s="309"/>
      <c r="R684" s="268"/>
      <c r="S684" s="313"/>
      <c r="T684" s="313"/>
      <c r="U684" s="268"/>
      <c r="V684" s="268"/>
      <c r="W684" s="268"/>
      <c r="X684" s="268"/>
      <c r="Y684" s="268"/>
      <c r="Z684" s="268"/>
    </row>
    <row r="685" spans="1:26" ht="24.75" customHeight="1">
      <c r="A685" s="268"/>
      <c r="B685" s="268"/>
      <c r="C685" s="268"/>
      <c r="D685" s="268"/>
      <c r="E685" s="268"/>
      <c r="F685" s="268"/>
      <c r="G685" s="268"/>
      <c r="H685" s="268"/>
      <c r="I685" s="389"/>
      <c r="J685" s="389"/>
      <c r="K685" s="389"/>
      <c r="L685" s="268"/>
      <c r="M685" s="268"/>
      <c r="N685" s="268"/>
      <c r="O685" s="310"/>
      <c r="P685" s="268"/>
      <c r="Q685" s="309"/>
      <c r="R685" s="268"/>
      <c r="S685" s="313"/>
      <c r="T685" s="313"/>
      <c r="U685" s="268"/>
      <c r="V685" s="268"/>
      <c r="W685" s="268"/>
      <c r="X685" s="268"/>
      <c r="Y685" s="268"/>
      <c r="Z685" s="268"/>
    </row>
    <row r="686" spans="1:26" ht="24.75" customHeight="1">
      <c r="A686" s="268"/>
      <c r="B686" s="268"/>
      <c r="C686" s="268"/>
      <c r="D686" s="268"/>
      <c r="E686" s="268"/>
      <c r="F686" s="268"/>
      <c r="G686" s="268"/>
      <c r="H686" s="268"/>
      <c r="I686" s="389"/>
      <c r="J686" s="389"/>
      <c r="K686" s="389"/>
      <c r="L686" s="268"/>
      <c r="M686" s="268"/>
      <c r="N686" s="268"/>
      <c r="O686" s="310"/>
      <c r="P686" s="268"/>
      <c r="Q686" s="309"/>
      <c r="R686" s="268"/>
      <c r="S686" s="313"/>
      <c r="T686" s="313"/>
      <c r="U686" s="268"/>
      <c r="V686" s="268"/>
      <c r="W686" s="268"/>
      <c r="X686" s="268"/>
      <c r="Y686" s="268"/>
      <c r="Z686" s="268"/>
    </row>
    <row r="687" spans="1:26" ht="24.75" customHeight="1">
      <c r="A687" s="268"/>
      <c r="B687" s="268"/>
      <c r="C687" s="268"/>
      <c r="D687" s="268"/>
      <c r="E687" s="268"/>
      <c r="F687" s="268"/>
      <c r="G687" s="268"/>
      <c r="H687" s="268"/>
      <c r="I687" s="389"/>
      <c r="J687" s="389"/>
      <c r="K687" s="389"/>
      <c r="L687" s="268"/>
      <c r="M687" s="268"/>
      <c r="N687" s="268"/>
      <c r="O687" s="310"/>
      <c r="P687" s="268"/>
      <c r="Q687" s="309"/>
      <c r="R687" s="268"/>
      <c r="S687" s="313"/>
      <c r="T687" s="313"/>
      <c r="U687" s="268"/>
      <c r="V687" s="268"/>
      <c r="W687" s="268"/>
      <c r="X687" s="268"/>
      <c r="Y687" s="268"/>
      <c r="Z687" s="268"/>
    </row>
    <row r="688" spans="1:26" ht="24.75" customHeight="1">
      <c r="A688" s="268"/>
      <c r="B688" s="268"/>
      <c r="C688" s="268"/>
      <c r="D688" s="268"/>
      <c r="E688" s="268"/>
      <c r="F688" s="268"/>
      <c r="G688" s="268"/>
      <c r="H688" s="268"/>
      <c r="I688" s="389"/>
      <c r="J688" s="389"/>
      <c r="K688" s="389"/>
      <c r="L688" s="268"/>
      <c r="M688" s="268"/>
      <c r="N688" s="268"/>
      <c r="O688" s="310"/>
      <c r="P688" s="268"/>
      <c r="Q688" s="309"/>
      <c r="R688" s="268"/>
      <c r="S688" s="313"/>
      <c r="T688" s="313"/>
      <c r="U688" s="268"/>
      <c r="V688" s="268"/>
      <c r="W688" s="268"/>
      <c r="X688" s="268"/>
      <c r="Y688" s="268"/>
      <c r="Z688" s="268"/>
    </row>
    <row r="689" spans="1:26" ht="24.75" customHeight="1">
      <c r="A689" s="268"/>
      <c r="B689" s="268"/>
      <c r="C689" s="268"/>
      <c r="D689" s="268"/>
      <c r="E689" s="268"/>
      <c r="F689" s="268"/>
      <c r="G689" s="268"/>
      <c r="H689" s="268"/>
      <c r="I689" s="389"/>
      <c r="J689" s="389"/>
      <c r="K689" s="389"/>
      <c r="L689" s="268"/>
      <c r="M689" s="268"/>
      <c r="N689" s="268"/>
      <c r="O689" s="310"/>
      <c r="P689" s="268"/>
      <c r="Q689" s="309"/>
      <c r="R689" s="268"/>
      <c r="S689" s="313"/>
      <c r="T689" s="313"/>
      <c r="U689" s="268"/>
      <c r="V689" s="268"/>
      <c r="W689" s="268"/>
      <c r="X689" s="268"/>
      <c r="Y689" s="268"/>
      <c r="Z689" s="268"/>
    </row>
    <row r="690" spans="1:26" ht="24.75" customHeight="1">
      <c r="A690" s="268"/>
      <c r="B690" s="268"/>
      <c r="C690" s="268"/>
      <c r="D690" s="268"/>
      <c r="E690" s="268"/>
      <c r="F690" s="268"/>
      <c r="G690" s="268"/>
      <c r="H690" s="268"/>
      <c r="I690" s="389"/>
      <c r="J690" s="389"/>
      <c r="K690" s="389"/>
      <c r="L690" s="268"/>
      <c r="M690" s="268"/>
      <c r="N690" s="268"/>
      <c r="O690" s="310"/>
      <c r="P690" s="268"/>
      <c r="Q690" s="309"/>
      <c r="R690" s="268"/>
      <c r="S690" s="313"/>
      <c r="T690" s="313"/>
      <c r="U690" s="268"/>
      <c r="V690" s="268"/>
      <c r="W690" s="268"/>
      <c r="X690" s="268"/>
      <c r="Y690" s="268"/>
      <c r="Z690" s="268"/>
    </row>
    <row r="691" spans="1:26" ht="24.75" customHeight="1">
      <c r="A691" s="268"/>
      <c r="B691" s="268"/>
      <c r="C691" s="268"/>
      <c r="D691" s="268"/>
      <c r="E691" s="268"/>
      <c r="F691" s="268"/>
      <c r="G691" s="268"/>
      <c r="H691" s="268"/>
      <c r="I691" s="389"/>
      <c r="J691" s="389"/>
      <c r="K691" s="389"/>
      <c r="L691" s="268"/>
      <c r="M691" s="268"/>
      <c r="N691" s="268"/>
      <c r="O691" s="310"/>
      <c r="P691" s="268"/>
      <c r="Q691" s="309"/>
      <c r="R691" s="268"/>
      <c r="S691" s="313"/>
      <c r="T691" s="313"/>
      <c r="U691" s="268"/>
      <c r="V691" s="268"/>
      <c r="W691" s="268"/>
      <c r="X691" s="268"/>
      <c r="Y691" s="268"/>
      <c r="Z691" s="268"/>
    </row>
    <row r="692" spans="1:26" ht="24.75" customHeight="1">
      <c r="A692" s="268"/>
      <c r="B692" s="268"/>
      <c r="C692" s="268"/>
      <c r="D692" s="268"/>
      <c r="E692" s="268"/>
      <c r="F692" s="268"/>
      <c r="G692" s="268"/>
      <c r="H692" s="268"/>
      <c r="I692" s="389"/>
      <c r="J692" s="389"/>
      <c r="K692" s="389"/>
      <c r="L692" s="268"/>
      <c r="M692" s="268"/>
      <c r="N692" s="268"/>
      <c r="O692" s="310"/>
      <c r="P692" s="268"/>
      <c r="Q692" s="309"/>
      <c r="R692" s="268"/>
      <c r="S692" s="313"/>
      <c r="T692" s="313"/>
      <c r="U692" s="268"/>
      <c r="V692" s="268"/>
      <c r="W692" s="268"/>
      <c r="X692" s="268"/>
      <c r="Y692" s="268"/>
      <c r="Z692" s="268"/>
    </row>
    <row r="693" spans="1:26" ht="24.75" customHeight="1">
      <c r="A693" s="268"/>
      <c r="B693" s="268"/>
      <c r="C693" s="268"/>
      <c r="D693" s="268"/>
      <c r="E693" s="268"/>
      <c r="F693" s="268"/>
      <c r="G693" s="268"/>
      <c r="H693" s="268"/>
      <c r="I693" s="389"/>
      <c r="J693" s="389"/>
      <c r="K693" s="389"/>
      <c r="L693" s="268"/>
      <c r="M693" s="268"/>
      <c r="N693" s="268"/>
      <c r="O693" s="310"/>
      <c r="P693" s="268"/>
      <c r="Q693" s="309"/>
      <c r="R693" s="268"/>
      <c r="S693" s="313"/>
      <c r="T693" s="313"/>
      <c r="U693" s="268"/>
      <c r="V693" s="268"/>
      <c r="W693" s="268"/>
      <c r="X693" s="268"/>
      <c r="Y693" s="268"/>
      <c r="Z693" s="268"/>
    </row>
    <row r="694" spans="1:26" ht="24.75" customHeight="1">
      <c r="A694" s="268"/>
      <c r="B694" s="268"/>
      <c r="C694" s="268"/>
      <c r="D694" s="268"/>
      <c r="E694" s="268"/>
      <c r="F694" s="268"/>
      <c r="G694" s="268"/>
      <c r="H694" s="268"/>
      <c r="I694" s="389"/>
      <c r="J694" s="389"/>
      <c r="K694" s="389"/>
      <c r="L694" s="268"/>
      <c r="M694" s="268"/>
      <c r="N694" s="268"/>
      <c r="O694" s="310"/>
      <c r="P694" s="268"/>
      <c r="Q694" s="309"/>
      <c r="R694" s="268"/>
      <c r="S694" s="313"/>
      <c r="T694" s="313"/>
      <c r="U694" s="268"/>
      <c r="V694" s="268"/>
      <c r="W694" s="268"/>
      <c r="X694" s="268"/>
      <c r="Y694" s="268"/>
      <c r="Z694" s="268"/>
    </row>
    <row r="695" spans="1:26" ht="24.75" customHeight="1">
      <c r="A695" s="268"/>
      <c r="B695" s="268"/>
      <c r="C695" s="268"/>
      <c r="D695" s="268"/>
      <c r="E695" s="268"/>
      <c r="F695" s="268"/>
      <c r="G695" s="268"/>
      <c r="H695" s="268"/>
      <c r="I695" s="389"/>
      <c r="J695" s="389"/>
      <c r="K695" s="389"/>
      <c r="L695" s="268"/>
      <c r="M695" s="268"/>
      <c r="N695" s="268"/>
      <c r="O695" s="310"/>
      <c r="P695" s="268"/>
      <c r="Q695" s="309"/>
      <c r="R695" s="268"/>
      <c r="S695" s="313"/>
      <c r="T695" s="313"/>
      <c r="U695" s="268"/>
      <c r="V695" s="268"/>
      <c r="W695" s="268"/>
      <c r="X695" s="268"/>
      <c r="Y695" s="268"/>
      <c r="Z695" s="268"/>
    </row>
    <row r="696" spans="1:26" ht="24.75" customHeight="1">
      <c r="A696" s="268"/>
      <c r="B696" s="268"/>
      <c r="C696" s="268"/>
      <c r="D696" s="268"/>
      <c r="E696" s="268"/>
      <c r="F696" s="268"/>
      <c r="G696" s="268"/>
      <c r="H696" s="268"/>
      <c r="I696" s="389"/>
      <c r="J696" s="389"/>
      <c r="K696" s="389"/>
      <c r="L696" s="268"/>
      <c r="M696" s="268"/>
      <c r="N696" s="268"/>
      <c r="O696" s="310"/>
      <c r="P696" s="268"/>
      <c r="Q696" s="309"/>
      <c r="R696" s="268"/>
      <c r="S696" s="313"/>
      <c r="T696" s="313"/>
      <c r="U696" s="268"/>
      <c r="V696" s="268"/>
      <c r="W696" s="268"/>
      <c r="X696" s="268"/>
      <c r="Y696" s="268"/>
      <c r="Z696" s="268"/>
    </row>
    <row r="697" spans="1:26" ht="24.75" customHeight="1">
      <c r="A697" s="268"/>
      <c r="B697" s="268"/>
      <c r="C697" s="268"/>
      <c r="D697" s="268"/>
      <c r="E697" s="268"/>
      <c r="F697" s="268"/>
      <c r="G697" s="268"/>
      <c r="H697" s="268"/>
      <c r="I697" s="389"/>
      <c r="J697" s="389"/>
      <c r="K697" s="389"/>
      <c r="L697" s="268"/>
      <c r="M697" s="268"/>
      <c r="N697" s="268"/>
      <c r="O697" s="310"/>
      <c r="P697" s="268"/>
      <c r="Q697" s="309"/>
      <c r="R697" s="268"/>
      <c r="S697" s="313"/>
      <c r="T697" s="313"/>
      <c r="U697" s="268"/>
      <c r="V697" s="268"/>
      <c r="W697" s="268"/>
      <c r="X697" s="268"/>
      <c r="Y697" s="268"/>
      <c r="Z697" s="268"/>
    </row>
    <row r="698" spans="1:26" ht="24.75" customHeight="1">
      <c r="A698" s="268"/>
      <c r="B698" s="268"/>
      <c r="C698" s="268"/>
      <c r="D698" s="268"/>
      <c r="E698" s="268"/>
      <c r="F698" s="268"/>
      <c r="G698" s="268"/>
      <c r="H698" s="268"/>
      <c r="I698" s="389"/>
      <c r="J698" s="389"/>
      <c r="K698" s="389"/>
      <c r="L698" s="268"/>
      <c r="M698" s="268"/>
      <c r="N698" s="268"/>
      <c r="O698" s="310"/>
      <c r="P698" s="268"/>
      <c r="Q698" s="309"/>
      <c r="R698" s="268"/>
      <c r="S698" s="313"/>
      <c r="T698" s="313"/>
      <c r="U698" s="268"/>
      <c r="V698" s="268"/>
      <c r="W698" s="268"/>
      <c r="X698" s="268"/>
      <c r="Y698" s="268"/>
      <c r="Z698" s="268"/>
    </row>
    <row r="699" spans="1:26" ht="24.75" customHeight="1">
      <c r="A699" s="268"/>
      <c r="B699" s="268"/>
      <c r="C699" s="268"/>
      <c r="D699" s="268"/>
      <c r="E699" s="268"/>
      <c r="F699" s="268"/>
      <c r="G699" s="268"/>
      <c r="H699" s="268"/>
      <c r="I699" s="389"/>
      <c r="J699" s="389"/>
      <c r="K699" s="389"/>
      <c r="L699" s="268"/>
      <c r="M699" s="268"/>
      <c r="N699" s="268"/>
      <c r="O699" s="310"/>
      <c r="P699" s="268"/>
      <c r="Q699" s="309"/>
      <c r="R699" s="268"/>
      <c r="S699" s="313"/>
      <c r="T699" s="313"/>
      <c r="U699" s="268"/>
      <c r="V699" s="268"/>
      <c r="W699" s="268"/>
      <c r="X699" s="268"/>
      <c r="Y699" s="268"/>
      <c r="Z699" s="268"/>
    </row>
    <row r="700" spans="1:26" ht="24.75" customHeight="1">
      <c r="A700" s="268"/>
      <c r="B700" s="268"/>
      <c r="C700" s="268"/>
      <c r="D700" s="268"/>
      <c r="E700" s="268"/>
      <c r="F700" s="268"/>
      <c r="G700" s="268"/>
      <c r="H700" s="268"/>
      <c r="I700" s="389"/>
      <c r="J700" s="389"/>
      <c r="K700" s="389"/>
      <c r="L700" s="268"/>
      <c r="M700" s="268"/>
      <c r="N700" s="268"/>
      <c r="O700" s="310"/>
      <c r="P700" s="268"/>
      <c r="Q700" s="309"/>
      <c r="R700" s="268"/>
      <c r="S700" s="313"/>
      <c r="T700" s="313"/>
      <c r="U700" s="268"/>
      <c r="V700" s="268"/>
      <c r="W700" s="268"/>
      <c r="X700" s="268"/>
      <c r="Y700" s="268"/>
      <c r="Z700" s="268"/>
    </row>
    <row r="701" spans="1:26" ht="24.75" customHeight="1">
      <c r="A701" s="268"/>
      <c r="B701" s="268"/>
      <c r="C701" s="268"/>
      <c r="D701" s="268"/>
      <c r="E701" s="268"/>
      <c r="F701" s="268"/>
      <c r="G701" s="268"/>
      <c r="H701" s="268"/>
      <c r="I701" s="389"/>
      <c r="J701" s="389"/>
      <c r="K701" s="389"/>
      <c r="L701" s="268"/>
      <c r="M701" s="268"/>
      <c r="N701" s="268"/>
      <c r="O701" s="310"/>
      <c r="P701" s="268"/>
      <c r="Q701" s="309"/>
      <c r="R701" s="268"/>
      <c r="S701" s="313"/>
      <c r="T701" s="313"/>
      <c r="U701" s="268"/>
      <c r="V701" s="268"/>
      <c r="W701" s="268"/>
      <c r="X701" s="268"/>
      <c r="Y701" s="268"/>
      <c r="Z701" s="268"/>
    </row>
    <row r="702" spans="1:26" ht="24.75" customHeight="1">
      <c r="A702" s="268"/>
      <c r="B702" s="268"/>
      <c r="C702" s="268"/>
      <c r="D702" s="268"/>
      <c r="E702" s="268"/>
      <c r="F702" s="268"/>
      <c r="G702" s="268"/>
      <c r="H702" s="268"/>
      <c r="I702" s="389"/>
      <c r="J702" s="389"/>
      <c r="K702" s="389"/>
      <c r="L702" s="268"/>
      <c r="M702" s="268"/>
      <c r="N702" s="268"/>
      <c r="O702" s="310"/>
      <c r="P702" s="268"/>
      <c r="Q702" s="309"/>
      <c r="R702" s="268"/>
      <c r="S702" s="313"/>
      <c r="T702" s="313"/>
      <c r="U702" s="268"/>
      <c r="V702" s="268"/>
      <c r="W702" s="268"/>
      <c r="X702" s="268"/>
      <c r="Y702" s="268"/>
      <c r="Z702" s="268"/>
    </row>
    <row r="703" spans="1:26" ht="24.75" customHeight="1">
      <c r="A703" s="268"/>
      <c r="B703" s="268"/>
      <c r="C703" s="268"/>
      <c r="D703" s="268"/>
      <c r="E703" s="268"/>
      <c r="F703" s="268"/>
      <c r="G703" s="268"/>
      <c r="H703" s="268"/>
      <c r="I703" s="389"/>
      <c r="J703" s="389"/>
      <c r="K703" s="389"/>
      <c r="L703" s="268"/>
      <c r="M703" s="268"/>
      <c r="N703" s="268"/>
      <c r="O703" s="310"/>
      <c r="P703" s="268"/>
      <c r="Q703" s="309"/>
      <c r="R703" s="268"/>
      <c r="S703" s="313"/>
      <c r="T703" s="313"/>
      <c r="U703" s="268"/>
      <c r="V703" s="268"/>
      <c r="W703" s="268"/>
      <c r="X703" s="268"/>
      <c r="Y703" s="268"/>
      <c r="Z703" s="268"/>
    </row>
    <row r="704" spans="1:26" ht="24.75" customHeight="1">
      <c r="A704" s="268"/>
      <c r="B704" s="268"/>
      <c r="C704" s="268"/>
      <c r="D704" s="268"/>
      <c r="E704" s="268"/>
      <c r="F704" s="268"/>
      <c r="G704" s="268"/>
      <c r="H704" s="268"/>
      <c r="I704" s="389"/>
      <c r="J704" s="389"/>
      <c r="K704" s="389"/>
      <c r="L704" s="268"/>
      <c r="M704" s="268"/>
      <c r="N704" s="268"/>
      <c r="O704" s="310"/>
      <c r="P704" s="268"/>
      <c r="Q704" s="309"/>
      <c r="R704" s="268"/>
      <c r="S704" s="313"/>
      <c r="T704" s="313"/>
      <c r="U704" s="268"/>
      <c r="V704" s="268"/>
      <c r="W704" s="268"/>
      <c r="X704" s="268"/>
      <c r="Y704" s="268"/>
      <c r="Z704" s="268"/>
    </row>
    <row r="705" spans="1:26" ht="24.75" customHeight="1">
      <c r="A705" s="268"/>
      <c r="B705" s="268"/>
      <c r="C705" s="268"/>
      <c r="D705" s="268"/>
      <c r="E705" s="268"/>
      <c r="F705" s="268"/>
      <c r="G705" s="268"/>
      <c r="H705" s="268"/>
      <c r="I705" s="389"/>
      <c r="J705" s="389"/>
      <c r="K705" s="389"/>
      <c r="L705" s="268"/>
      <c r="M705" s="268"/>
      <c r="N705" s="268"/>
      <c r="O705" s="310"/>
      <c r="P705" s="268"/>
      <c r="Q705" s="309"/>
      <c r="R705" s="268"/>
      <c r="S705" s="313"/>
      <c r="T705" s="313"/>
      <c r="U705" s="268"/>
      <c r="V705" s="268"/>
      <c r="W705" s="268"/>
      <c r="X705" s="268"/>
      <c r="Y705" s="268"/>
      <c r="Z705" s="268"/>
    </row>
    <row r="706" spans="1:26" ht="24.75" customHeight="1">
      <c r="A706" s="268"/>
      <c r="B706" s="268"/>
      <c r="C706" s="268"/>
      <c r="D706" s="268"/>
      <c r="E706" s="268"/>
      <c r="F706" s="268"/>
      <c r="G706" s="268"/>
      <c r="H706" s="268"/>
      <c r="I706" s="389"/>
      <c r="J706" s="389"/>
      <c r="K706" s="389"/>
      <c r="L706" s="268"/>
      <c r="M706" s="268"/>
      <c r="N706" s="268"/>
      <c r="O706" s="310"/>
      <c r="P706" s="268"/>
      <c r="Q706" s="309"/>
      <c r="R706" s="268"/>
      <c r="S706" s="313"/>
      <c r="T706" s="313"/>
      <c r="U706" s="268"/>
      <c r="V706" s="268"/>
      <c r="W706" s="268"/>
      <c r="X706" s="268"/>
      <c r="Y706" s="268"/>
      <c r="Z706" s="268"/>
    </row>
    <row r="707" spans="1:26" ht="24.75" customHeight="1">
      <c r="A707" s="268"/>
      <c r="B707" s="268"/>
      <c r="C707" s="268"/>
      <c r="D707" s="268"/>
      <c r="E707" s="268"/>
      <c r="F707" s="268"/>
      <c r="G707" s="268"/>
      <c r="H707" s="268"/>
      <c r="I707" s="389"/>
      <c r="J707" s="389"/>
      <c r="K707" s="389"/>
      <c r="L707" s="268"/>
      <c r="M707" s="268"/>
      <c r="N707" s="268"/>
      <c r="O707" s="310"/>
      <c r="P707" s="268"/>
      <c r="Q707" s="309"/>
      <c r="R707" s="268"/>
      <c r="S707" s="313"/>
      <c r="T707" s="313"/>
      <c r="U707" s="268"/>
      <c r="V707" s="268"/>
      <c r="W707" s="268"/>
      <c r="X707" s="268"/>
      <c r="Y707" s="268"/>
      <c r="Z707" s="268"/>
    </row>
    <row r="708" spans="1:26" ht="24.75" customHeight="1">
      <c r="A708" s="268"/>
      <c r="B708" s="268"/>
      <c r="C708" s="268"/>
      <c r="D708" s="268"/>
      <c r="E708" s="268"/>
      <c r="F708" s="268"/>
      <c r="G708" s="268"/>
      <c r="H708" s="268"/>
      <c r="I708" s="389"/>
      <c r="J708" s="389"/>
      <c r="K708" s="389"/>
      <c r="L708" s="268"/>
      <c r="M708" s="268"/>
      <c r="N708" s="268"/>
      <c r="O708" s="310"/>
      <c r="P708" s="268"/>
      <c r="Q708" s="309"/>
      <c r="R708" s="268"/>
      <c r="S708" s="313"/>
      <c r="T708" s="313"/>
      <c r="U708" s="268"/>
      <c r="V708" s="268"/>
      <c r="W708" s="268"/>
      <c r="X708" s="268"/>
      <c r="Y708" s="268"/>
      <c r="Z708" s="268"/>
    </row>
    <row r="709" spans="1:26" ht="24.75" customHeight="1">
      <c r="A709" s="268"/>
      <c r="B709" s="268"/>
      <c r="C709" s="268"/>
      <c r="D709" s="268"/>
      <c r="E709" s="268"/>
      <c r="F709" s="268"/>
      <c r="G709" s="268"/>
      <c r="H709" s="268"/>
      <c r="I709" s="389"/>
      <c r="J709" s="389"/>
      <c r="K709" s="389"/>
      <c r="L709" s="268"/>
      <c r="M709" s="268"/>
      <c r="N709" s="268"/>
      <c r="O709" s="310"/>
      <c r="P709" s="268"/>
      <c r="Q709" s="309"/>
      <c r="R709" s="268"/>
      <c r="S709" s="313"/>
      <c r="T709" s="313"/>
      <c r="U709" s="268"/>
      <c r="V709" s="268"/>
      <c r="W709" s="268"/>
      <c r="X709" s="268"/>
      <c r="Y709" s="268"/>
      <c r="Z709" s="268"/>
    </row>
    <row r="710" spans="1:26" ht="24.75" customHeight="1">
      <c r="A710" s="268"/>
      <c r="B710" s="268"/>
      <c r="C710" s="268"/>
      <c r="D710" s="268"/>
      <c r="E710" s="268"/>
      <c r="F710" s="268"/>
      <c r="G710" s="268"/>
      <c r="H710" s="268"/>
      <c r="I710" s="389"/>
      <c r="J710" s="389"/>
      <c r="K710" s="389"/>
      <c r="L710" s="268"/>
      <c r="M710" s="268"/>
      <c r="N710" s="268"/>
      <c r="O710" s="310"/>
      <c r="P710" s="268"/>
      <c r="Q710" s="309"/>
      <c r="R710" s="268"/>
      <c r="S710" s="313"/>
      <c r="T710" s="313"/>
      <c r="U710" s="268"/>
      <c r="V710" s="268"/>
      <c r="W710" s="268"/>
      <c r="X710" s="268"/>
      <c r="Y710" s="268"/>
      <c r="Z710" s="268"/>
    </row>
    <row r="711" spans="1:26" ht="24.75" customHeight="1">
      <c r="A711" s="268"/>
      <c r="B711" s="268"/>
      <c r="C711" s="268"/>
      <c r="D711" s="268"/>
      <c r="E711" s="268"/>
      <c r="F711" s="268"/>
      <c r="G711" s="268"/>
      <c r="H711" s="268"/>
      <c r="I711" s="389"/>
      <c r="J711" s="389"/>
      <c r="K711" s="389"/>
      <c r="L711" s="268"/>
      <c r="M711" s="268"/>
      <c r="N711" s="268"/>
      <c r="O711" s="310"/>
      <c r="P711" s="268"/>
      <c r="Q711" s="309"/>
      <c r="R711" s="268"/>
      <c r="S711" s="313"/>
      <c r="T711" s="313"/>
      <c r="U711" s="268"/>
      <c r="V711" s="268"/>
      <c r="W711" s="268"/>
      <c r="X711" s="268"/>
      <c r="Y711" s="268"/>
      <c r="Z711" s="268"/>
    </row>
    <row r="712" spans="1:26" ht="24.75" customHeight="1">
      <c r="A712" s="268"/>
      <c r="B712" s="268"/>
      <c r="C712" s="268"/>
      <c r="D712" s="268"/>
      <c r="E712" s="268"/>
      <c r="F712" s="268"/>
      <c r="G712" s="268"/>
      <c r="H712" s="268"/>
      <c r="I712" s="389"/>
      <c r="J712" s="389"/>
      <c r="K712" s="389"/>
      <c r="L712" s="268"/>
      <c r="M712" s="268"/>
      <c r="N712" s="268"/>
      <c r="O712" s="310"/>
      <c r="P712" s="268"/>
      <c r="Q712" s="309"/>
      <c r="R712" s="268"/>
      <c r="S712" s="313"/>
      <c r="T712" s="313"/>
      <c r="U712" s="268"/>
      <c r="V712" s="268"/>
      <c r="W712" s="268"/>
      <c r="X712" s="268"/>
      <c r="Y712" s="268"/>
      <c r="Z712" s="268"/>
    </row>
    <row r="713" spans="1:26" ht="24.75" customHeight="1">
      <c r="A713" s="268"/>
      <c r="B713" s="268"/>
      <c r="C713" s="268"/>
      <c r="D713" s="268"/>
      <c r="E713" s="268"/>
      <c r="F713" s="268"/>
      <c r="G713" s="268"/>
      <c r="H713" s="268"/>
      <c r="I713" s="389"/>
      <c r="J713" s="389"/>
      <c r="K713" s="389"/>
      <c r="L713" s="268"/>
      <c r="M713" s="268"/>
      <c r="N713" s="268"/>
      <c r="O713" s="310"/>
      <c r="P713" s="268"/>
      <c r="Q713" s="309"/>
      <c r="R713" s="268"/>
      <c r="S713" s="313"/>
      <c r="T713" s="313"/>
      <c r="U713" s="268"/>
      <c r="V713" s="268"/>
      <c r="W713" s="268"/>
      <c r="X713" s="268"/>
      <c r="Y713" s="268"/>
      <c r="Z713" s="268"/>
    </row>
    <row r="714" spans="1:26" ht="24.75" customHeight="1">
      <c r="A714" s="268"/>
      <c r="B714" s="268"/>
      <c r="C714" s="268"/>
      <c r="D714" s="268"/>
      <c r="E714" s="268"/>
      <c r="F714" s="268"/>
      <c r="G714" s="268"/>
      <c r="H714" s="268"/>
      <c r="I714" s="389"/>
      <c r="J714" s="389"/>
      <c r="K714" s="389"/>
      <c r="L714" s="268"/>
      <c r="M714" s="268"/>
      <c r="N714" s="268"/>
      <c r="O714" s="310"/>
      <c r="P714" s="268"/>
      <c r="Q714" s="309"/>
      <c r="R714" s="268"/>
      <c r="S714" s="313"/>
      <c r="T714" s="313"/>
      <c r="U714" s="268"/>
      <c r="V714" s="268"/>
      <c r="W714" s="268"/>
      <c r="X714" s="268"/>
      <c r="Y714" s="268"/>
      <c r="Z714" s="268"/>
    </row>
    <row r="715" spans="1:26" ht="24.75" customHeight="1">
      <c r="A715" s="268"/>
      <c r="B715" s="268"/>
      <c r="C715" s="268"/>
      <c r="D715" s="268"/>
      <c r="E715" s="268"/>
      <c r="F715" s="268"/>
      <c r="G715" s="268"/>
      <c r="H715" s="268"/>
      <c r="I715" s="389"/>
      <c r="J715" s="389"/>
      <c r="K715" s="389"/>
      <c r="L715" s="268"/>
      <c r="M715" s="268"/>
      <c r="N715" s="268"/>
      <c r="O715" s="310"/>
      <c r="P715" s="268"/>
      <c r="Q715" s="309"/>
      <c r="R715" s="268"/>
      <c r="S715" s="313"/>
      <c r="T715" s="313"/>
      <c r="U715" s="268"/>
      <c r="V715" s="268"/>
      <c r="W715" s="268"/>
      <c r="X715" s="268"/>
      <c r="Y715" s="268"/>
      <c r="Z715" s="268"/>
    </row>
    <row r="716" spans="1:26" ht="24.75" customHeight="1">
      <c r="A716" s="268"/>
      <c r="B716" s="268"/>
      <c r="C716" s="268"/>
      <c r="D716" s="268"/>
      <c r="E716" s="268"/>
      <c r="F716" s="268"/>
      <c r="G716" s="268"/>
      <c r="H716" s="268"/>
      <c r="I716" s="389"/>
      <c r="J716" s="389"/>
      <c r="K716" s="389"/>
      <c r="L716" s="268"/>
      <c r="M716" s="268"/>
      <c r="N716" s="268"/>
      <c r="O716" s="310"/>
      <c r="P716" s="268"/>
      <c r="Q716" s="309"/>
      <c r="R716" s="268"/>
      <c r="S716" s="313"/>
      <c r="T716" s="313"/>
      <c r="U716" s="268"/>
      <c r="V716" s="268"/>
      <c r="W716" s="268"/>
      <c r="X716" s="268"/>
      <c r="Y716" s="268"/>
      <c r="Z716" s="268"/>
    </row>
    <row r="717" spans="1:26" ht="24.75" customHeight="1">
      <c r="A717" s="268"/>
      <c r="B717" s="268"/>
      <c r="C717" s="268"/>
      <c r="D717" s="268"/>
      <c r="E717" s="268"/>
      <c r="F717" s="268"/>
      <c r="G717" s="268"/>
      <c r="H717" s="268"/>
      <c r="I717" s="389"/>
      <c r="J717" s="389"/>
      <c r="K717" s="389"/>
      <c r="L717" s="268"/>
      <c r="M717" s="268"/>
      <c r="N717" s="268"/>
      <c r="O717" s="310"/>
      <c r="P717" s="268"/>
      <c r="Q717" s="309"/>
      <c r="R717" s="268"/>
      <c r="S717" s="313"/>
      <c r="T717" s="313"/>
      <c r="U717" s="268"/>
      <c r="V717" s="268"/>
      <c r="W717" s="268"/>
      <c r="X717" s="268"/>
      <c r="Y717" s="268"/>
      <c r="Z717" s="268"/>
    </row>
    <row r="718" spans="1:26" ht="24.75" customHeight="1">
      <c r="A718" s="268"/>
      <c r="B718" s="268"/>
      <c r="C718" s="268"/>
      <c r="D718" s="268"/>
      <c r="E718" s="268"/>
      <c r="F718" s="268"/>
      <c r="G718" s="268"/>
      <c r="H718" s="268"/>
      <c r="I718" s="389"/>
      <c r="J718" s="389"/>
      <c r="K718" s="389"/>
      <c r="L718" s="268"/>
      <c r="M718" s="268"/>
      <c r="N718" s="268"/>
      <c r="O718" s="310"/>
      <c r="P718" s="268"/>
      <c r="Q718" s="309"/>
      <c r="R718" s="268"/>
      <c r="S718" s="313"/>
      <c r="T718" s="313"/>
      <c r="U718" s="268"/>
      <c r="V718" s="268"/>
      <c r="W718" s="268"/>
      <c r="X718" s="268"/>
      <c r="Y718" s="268"/>
      <c r="Z718" s="268"/>
    </row>
    <row r="719" spans="1:26" ht="24.75" customHeight="1">
      <c r="A719" s="268"/>
      <c r="B719" s="268"/>
      <c r="C719" s="268"/>
      <c r="D719" s="268"/>
      <c r="E719" s="268"/>
      <c r="F719" s="268"/>
      <c r="G719" s="268"/>
      <c r="H719" s="268"/>
      <c r="I719" s="389"/>
      <c r="J719" s="389"/>
      <c r="K719" s="389"/>
      <c r="L719" s="268"/>
      <c r="M719" s="268"/>
      <c r="N719" s="268"/>
      <c r="O719" s="310"/>
      <c r="P719" s="268"/>
      <c r="Q719" s="309"/>
      <c r="R719" s="268"/>
      <c r="S719" s="313"/>
      <c r="T719" s="313"/>
      <c r="U719" s="268"/>
      <c r="V719" s="268"/>
      <c r="W719" s="268"/>
      <c r="X719" s="268"/>
      <c r="Y719" s="268"/>
      <c r="Z719" s="268"/>
    </row>
    <row r="720" spans="1:26" ht="24.75" customHeight="1">
      <c r="A720" s="268"/>
      <c r="B720" s="268"/>
      <c r="C720" s="268"/>
      <c r="D720" s="268"/>
      <c r="E720" s="268"/>
      <c r="F720" s="268"/>
      <c r="G720" s="268"/>
      <c r="H720" s="268"/>
      <c r="I720" s="389"/>
      <c r="J720" s="389"/>
      <c r="K720" s="389"/>
      <c r="L720" s="268"/>
      <c r="M720" s="268"/>
      <c r="N720" s="268"/>
      <c r="O720" s="310"/>
      <c r="P720" s="268"/>
      <c r="Q720" s="309"/>
      <c r="R720" s="268"/>
      <c r="S720" s="313"/>
      <c r="T720" s="313"/>
      <c r="U720" s="268"/>
      <c r="V720" s="268"/>
      <c r="W720" s="268"/>
      <c r="X720" s="268"/>
      <c r="Y720" s="268"/>
      <c r="Z720" s="268"/>
    </row>
    <row r="721" spans="1:26" ht="24.75" customHeight="1">
      <c r="A721" s="268"/>
      <c r="B721" s="268"/>
      <c r="C721" s="268"/>
      <c r="D721" s="268"/>
      <c r="E721" s="268"/>
      <c r="F721" s="268"/>
      <c r="G721" s="268"/>
      <c r="H721" s="268"/>
      <c r="I721" s="389"/>
      <c r="J721" s="389"/>
      <c r="K721" s="389"/>
      <c r="L721" s="268"/>
      <c r="M721" s="268"/>
      <c r="N721" s="268"/>
      <c r="O721" s="310"/>
      <c r="P721" s="268"/>
      <c r="Q721" s="309"/>
      <c r="R721" s="268"/>
      <c r="S721" s="313"/>
      <c r="T721" s="313"/>
      <c r="U721" s="268"/>
      <c r="V721" s="268"/>
      <c r="W721" s="268"/>
      <c r="X721" s="268"/>
      <c r="Y721" s="268"/>
      <c r="Z721" s="268"/>
    </row>
    <row r="722" spans="1:26" ht="24.75" customHeight="1">
      <c r="A722" s="268"/>
      <c r="B722" s="268"/>
      <c r="C722" s="268"/>
      <c r="D722" s="268"/>
      <c r="E722" s="268"/>
      <c r="F722" s="268"/>
      <c r="G722" s="268"/>
      <c r="H722" s="268"/>
      <c r="I722" s="389"/>
      <c r="J722" s="389"/>
      <c r="K722" s="389"/>
      <c r="L722" s="268"/>
      <c r="M722" s="268"/>
      <c r="N722" s="268"/>
      <c r="O722" s="310"/>
      <c r="P722" s="268"/>
      <c r="Q722" s="309"/>
      <c r="R722" s="268"/>
      <c r="S722" s="313"/>
      <c r="T722" s="313"/>
      <c r="U722" s="268"/>
      <c r="V722" s="268"/>
      <c r="W722" s="268"/>
      <c r="X722" s="268"/>
      <c r="Y722" s="268"/>
      <c r="Z722" s="268"/>
    </row>
    <row r="723" spans="1:26" ht="24.75" customHeight="1">
      <c r="A723" s="268"/>
      <c r="B723" s="268"/>
      <c r="C723" s="268"/>
      <c r="D723" s="268"/>
      <c r="E723" s="268"/>
      <c r="F723" s="268"/>
      <c r="G723" s="268"/>
      <c r="H723" s="268"/>
      <c r="I723" s="389"/>
      <c r="J723" s="389"/>
      <c r="K723" s="389"/>
      <c r="L723" s="268"/>
      <c r="M723" s="268"/>
      <c r="N723" s="268"/>
      <c r="O723" s="310"/>
      <c r="P723" s="268"/>
      <c r="Q723" s="309"/>
      <c r="R723" s="268"/>
      <c r="S723" s="313"/>
      <c r="T723" s="313"/>
      <c r="U723" s="268"/>
      <c r="V723" s="268"/>
      <c r="W723" s="268"/>
      <c r="X723" s="268"/>
      <c r="Y723" s="268"/>
      <c r="Z723" s="268"/>
    </row>
    <row r="724" spans="1:26" ht="24.75" customHeight="1">
      <c r="A724" s="268"/>
      <c r="B724" s="268"/>
      <c r="C724" s="268"/>
      <c r="D724" s="268"/>
      <c r="E724" s="268"/>
      <c r="F724" s="268"/>
      <c r="G724" s="268"/>
      <c r="H724" s="268"/>
      <c r="I724" s="389"/>
      <c r="J724" s="389"/>
      <c r="K724" s="389"/>
      <c r="L724" s="268"/>
      <c r="M724" s="268"/>
      <c r="N724" s="268"/>
      <c r="O724" s="310"/>
      <c r="P724" s="268"/>
      <c r="Q724" s="309"/>
      <c r="R724" s="268"/>
      <c r="S724" s="313"/>
      <c r="T724" s="313"/>
      <c r="U724" s="268"/>
      <c r="V724" s="268"/>
      <c r="W724" s="268"/>
      <c r="X724" s="268"/>
      <c r="Y724" s="268"/>
      <c r="Z724" s="268"/>
    </row>
    <row r="725" spans="1:26" ht="24.75" customHeight="1">
      <c r="A725" s="268"/>
      <c r="B725" s="268"/>
      <c r="C725" s="268"/>
      <c r="D725" s="268"/>
      <c r="E725" s="268"/>
      <c r="F725" s="268"/>
      <c r="G725" s="268"/>
      <c r="H725" s="268"/>
      <c r="I725" s="389"/>
      <c r="J725" s="389"/>
      <c r="K725" s="389"/>
      <c r="L725" s="268"/>
      <c r="M725" s="268"/>
      <c r="N725" s="268"/>
      <c r="O725" s="310"/>
      <c r="P725" s="268"/>
      <c r="Q725" s="309"/>
      <c r="R725" s="268"/>
      <c r="S725" s="313"/>
      <c r="T725" s="313"/>
      <c r="U725" s="268"/>
      <c r="V725" s="268"/>
      <c r="W725" s="268"/>
      <c r="X725" s="268"/>
      <c r="Y725" s="268"/>
      <c r="Z725" s="268"/>
    </row>
    <row r="726" spans="1:26" ht="24.75" customHeight="1">
      <c r="A726" s="268"/>
      <c r="B726" s="268"/>
      <c r="C726" s="268"/>
      <c r="D726" s="268"/>
      <c r="E726" s="268"/>
      <c r="F726" s="268"/>
      <c r="G726" s="268"/>
      <c r="H726" s="268"/>
      <c r="I726" s="389"/>
      <c r="J726" s="389"/>
      <c r="K726" s="389"/>
      <c r="L726" s="268"/>
      <c r="M726" s="268"/>
      <c r="N726" s="268"/>
      <c r="O726" s="310"/>
      <c r="P726" s="268"/>
      <c r="Q726" s="309"/>
      <c r="R726" s="268"/>
      <c r="S726" s="313"/>
      <c r="T726" s="313"/>
      <c r="U726" s="268"/>
      <c r="V726" s="268"/>
      <c r="W726" s="268"/>
      <c r="X726" s="268"/>
      <c r="Y726" s="268"/>
      <c r="Z726" s="268"/>
    </row>
    <row r="727" spans="1:26" ht="24.75" customHeight="1">
      <c r="A727" s="268"/>
      <c r="B727" s="268"/>
      <c r="C727" s="268"/>
      <c r="D727" s="268"/>
      <c r="E727" s="268"/>
      <c r="F727" s="268"/>
      <c r="G727" s="268"/>
      <c r="H727" s="268"/>
      <c r="I727" s="389"/>
      <c r="J727" s="389"/>
      <c r="K727" s="389"/>
      <c r="L727" s="268"/>
      <c r="M727" s="268"/>
      <c r="N727" s="268"/>
      <c r="O727" s="310"/>
      <c r="P727" s="268"/>
      <c r="Q727" s="309"/>
      <c r="R727" s="268"/>
      <c r="S727" s="313"/>
      <c r="T727" s="313"/>
      <c r="U727" s="268"/>
      <c r="V727" s="268"/>
      <c r="W727" s="268"/>
      <c r="X727" s="268"/>
      <c r="Y727" s="268"/>
      <c r="Z727" s="268"/>
    </row>
    <row r="728" spans="1:26" ht="24.75" customHeight="1">
      <c r="A728" s="268"/>
      <c r="B728" s="268"/>
      <c r="C728" s="268"/>
      <c r="D728" s="268"/>
      <c r="E728" s="268"/>
      <c r="F728" s="268"/>
      <c r="G728" s="268"/>
      <c r="H728" s="268"/>
      <c r="I728" s="389"/>
      <c r="J728" s="389"/>
      <c r="K728" s="389"/>
      <c r="L728" s="268"/>
      <c r="M728" s="268"/>
      <c r="N728" s="268"/>
      <c r="O728" s="310"/>
      <c r="P728" s="268"/>
      <c r="Q728" s="309"/>
      <c r="R728" s="268"/>
      <c r="S728" s="313"/>
      <c r="T728" s="313"/>
      <c r="U728" s="268"/>
      <c r="V728" s="268"/>
      <c r="W728" s="268"/>
      <c r="X728" s="268"/>
      <c r="Y728" s="268"/>
      <c r="Z728" s="268"/>
    </row>
    <row r="729" spans="1:26" ht="24.75" customHeight="1">
      <c r="A729" s="268"/>
      <c r="B729" s="268"/>
      <c r="C729" s="268"/>
      <c r="D729" s="268"/>
      <c r="E729" s="268"/>
      <c r="F729" s="268"/>
      <c r="G729" s="268"/>
      <c r="H729" s="268"/>
      <c r="I729" s="389"/>
      <c r="J729" s="389"/>
      <c r="K729" s="389"/>
      <c r="L729" s="268"/>
      <c r="M729" s="268"/>
      <c r="N729" s="268"/>
      <c r="O729" s="310"/>
      <c r="P729" s="268"/>
      <c r="Q729" s="309"/>
      <c r="R729" s="268"/>
      <c r="S729" s="313"/>
      <c r="T729" s="313"/>
      <c r="U729" s="268"/>
      <c r="V729" s="268"/>
      <c r="W729" s="268"/>
      <c r="X729" s="268"/>
      <c r="Y729" s="268"/>
      <c r="Z729" s="268"/>
    </row>
    <row r="730" spans="1:26" ht="24.75" customHeight="1">
      <c r="A730" s="268"/>
      <c r="B730" s="268"/>
      <c r="C730" s="268"/>
      <c r="D730" s="268"/>
      <c r="E730" s="268"/>
      <c r="F730" s="268"/>
      <c r="G730" s="268"/>
      <c r="H730" s="268"/>
      <c r="I730" s="389"/>
      <c r="J730" s="389"/>
      <c r="K730" s="389"/>
      <c r="L730" s="268"/>
      <c r="M730" s="268"/>
      <c r="N730" s="268"/>
      <c r="O730" s="310"/>
      <c r="P730" s="268"/>
      <c r="Q730" s="309"/>
      <c r="R730" s="268"/>
      <c r="S730" s="313"/>
      <c r="T730" s="313"/>
      <c r="U730" s="268"/>
      <c r="V730" s="268"/>
      <c r="W730" s="268"/>
      <c r="X730" s="268"/>
      <c r="Y730" s="268"/>
      <c r="Z730" s="268"/>
    </row>
    <row r="731" spans="1:26" ht="24.75" customHeight="1">
      <c r="A731" s="268"/>
      <c r="B731" s="268"/>
      <c r="C731" s="268"/>
      <c r="D731" s="268"/>
      <c r="E731" s="268"/>
      <c r="F731" s="268"/>
      <c r="G731" s="268"/>
      <c r="H731" s="268"/>
      <c r="I731" s="389"/>
      <c r="J731" s="389"/>
      <c r="K731" s="389"/>
      <c r="L731" s="268"/>
      <c r="M731" s="268"/>
      <c r="N731" s="268"/>
      <c r="O731" s="310"/>
      <c r="P731" s="268"/>
      <c r="Q731" s="309"/>
      <c r="R731" s="268"/>
      <c r="S731" s="313"/>
      <c r="T731" s="313"/>
      <c r="U731" s="268"/>
      <c r="V731" s="268"/>
      <c r="W731" s="268"/>
      <c r="X731" s="268"/>
      <c r="Y731" s="268"/>
      <c r="Z731" s="268"/>
    </row>
    <row r="732" spans="1:26" ht="24.75" customHeight="1">
      <c r="A732" s="268"/>
      <c r="B732" s="268"/>
      <c r="C732" s="268"/>
      <c r="D732" s="268"/>
      <c r="E732" s="268"/>
      <c r="F732" s="268"/>
      <c r="G732" s="268"/>
      <c r="H732" s="268"/>
      <c r="I732" s="389"/>
      <c r="J732" s="389"/>
      <c r="K732" s="389"/>
      <c r="L732" s="268"/>
      <c r="M732" s="268"/>
      <c r="N732" s="268"/>
      <c r="O732" s="310"/>
      <c r="P732" s="268"/>
      <c r="Q732" s="309"/>
      <c r="R732" s="268"/>
      <c r="S732" s="313"/>
      <c r="T732" s="313"/>
      <c r="U732" s="268"/>
      <c r="V732" s="268"/>
      <c r="W732" s="268"/>
      <c r="X732" s="268"/>
      <c r="Y732" s="268"/>
      <c r="Z732" s="268"/>
    </row>
    <row r="733" spans="1:26" ht="24.75" customHeight="1">
      <c r="A733" s="268"/>
      <c r="B733" s="268"/>
      <c r="C733" s="268"/>
      <c r="D733" s="268"/>
      <c r="E733" s="268"/>
      <c r="F733" s="268"/>
      <c r="G733" s="268"/>
      <c r="H733" s="268"/>
      <c r="I733" s="389"/>
      <c r="J733" s="389"/>
      <c r="K733" s="389"/>
      <c r="L733" s="268"/>
      <c r="M733" s="268"/>
      <c r="N733" s="268"/>
      <c r="O733" s="310"/>
      <c r="P733" s="268"/>
      <c r="Q733" s="309"/>
      <c r="R733" s="268"/>
      <c r="S733" s="313"/>
      <c r="T733" s="313"/>
      <c r="U733" s="268"/>
      <c r="V733" s="268"/>
      <c r="W733" s="268"/>
      <c r="X733" s="268"/>
      <c r="Y733" s="268"/>
      <c r="Z733" s="268"/>
    </row>
    <row r="734" spans="1:26" ht="24.75" customHeight="1">
      <c r="A734" s="268"/>
      <c r="B734" s="268"/>
      <c r="C734" s="268"/>
      <c r="D734" s="268"/>
      <c r="E734" s="268"/>
      <c r="F734" s="268"/>
      <c r="G734" s="268"/>
      <c r="H734" s="268"/>
      <c r="I734" s="389"/>
      <c r="J734" s="389"/>
      <c r="K734" s="389"/>
      <c r="L734" s="268"/>
      <c r="M734" s="268"/>
      <c r="N734" s="268"/>
      <c r="O734" s="310"/>
      <c r="P734" s="268"/>
      <c r="Q734" s="309"/>
      <c r="R734" s="268"/>
      <c r="S734" s="313"/>
      <c r="T734" s="313"/>
      <c r="U734" s="268"/>
      <c r="V734" s="268"/>
      <c r="W734" s="268"/>
      <c r="X734" s="268"/>
      <c r="Y734" s="268"/>
      <c r="Z734" s="268"/>
    </row>
    <row r="735" spans="1:26" ht="24.75" customHeight="1">
      <c r="A735" s="268"/>
      <c r="B735" s="268"/>
      <c r="C735" s="268"/>
      <c r="D735" s="268"/>
      <c r="E735" s="268"/>
      <c r="F735" s="268"/>
      <c r="G735" s="268"/>
      <c r="H735" s="268"/>
      <c r="I735" s="389"/>
      <c r="J735" s="389"/>
      <c r="K735" s="389"/>
      <c r="L735" s="268"/>
      <c r="M735" s="268"/>
      <c r="N735" s="268"/>
      <c r="O735" s="310"/>
      <c r="P735" s="268"/>
      <c r="Q735" s="309"/>
      <c r="R735" s="268"/>
      <c r="S735" s="313"/>
      <c r="T735" s="313"/>
      <c r="U735" s="268"/>
      <c r="V735" s="268"/>
      <c r="W735" s="268"/>
      <c r="X735" s="268"/>
      <c r="Y735" s="268"/>
      <c r="Z735" s="268"/>
    </row>
    <row r="736" spans="1:26" ht="24.75" customHeight="1">
      <c r="A736" s="268"/>
      <c r="B736" s="268"/>
      <c r="C736" s="268"/>
      <c r="D736" s="268"/>
      <c r="E736" s="268"/>
      <c r="F736" s="268"/>
      <c r="G736" s="268"/>
      <c r="H736" s="268"/>
      <c r="I736" s="389"/>
      <c r="J736" s="389"/>
      <c r="K736" s="389"/>
      <c r="L736" s="268"/>
      <c r="M736" s="268"/>
      <c r="N736" s="268"/>
      <c r="O736" s="310"/>
      <c r="P736" s="268"/>
      <c r="Q736" s="309"/>
      <c r="R736" s="268"/>
      <c r="S736" s="313"/>
      <c r="T736" s="313"/>
      <c r="U736" s="268"/>
      <c r="V736" s="268"/>
      <c r="W736" s="268"/>
      <c r="X736" s="268"/>
      <c r="Y736" s="268"/>
      <c r="Z736" s="268"/>
    </row>
    <row r="737" spans="1:26" ht="24.75" customHeight="1">
      <c r="A737" s="268"/>
      <c r="B737" s="268"/>
      <c r="C737" s="268"/>
      <c r="D737" s="268"/>
      <c r="E737" s="268"/>
      <c r="F737" s="268"/>
      <c r="G737" s="268"/>
      <c r="H737" s="268"/>
      <c r="I737" s="389"/>
      <c r="J737" s="389"/>
      <c r="K737" s="389"/>
      <c r="L737" s="268"/>
      <c r="M737" s="268"/>
      <c r="N737" s="268"/>
      <c r="O737" s="310"/>
      <c r="P737" s="268"/>
      <c r="Q737" s="309"/>
      <c r="R737" s="268"/>
      <c r="S737" s="313"/>
      <c r="T737" s="313"/>
      <c r="U737" s="268"/>
      <c r="V737" s="268"/>
      <c r="W737" s="268"/>
      <c r="X737" s="268"/>
      <c r="Y737" s="268"/>
      <c r="Z737" s="268"/>
    </row>
    <row r="738" spans="1:26" ht="24.75" customHeight="1">
      <c r="A738" s="268"/>
      <c r="B738" s="268"/>
      <c r="C738" s="268"/>
      <c r="D738" s="268"/>
      <c r="E738" s="268"/>
      <c r="F738" s="268"/>
      <c r="G738" s="268"/>
      <c r="H738" s="268"/>
      <c r="I738" s="389"/>
      <c r="J738" s="389"/>
      <c r="K738" s="389"/>
      <c r="L738" s="268"/>
      <c r="M738" s="268"/>
      <c r="N738" s="268"/>
      <c r="O738" s="310"/>
      <c r="P738" s="268"/>
      <c r="Q738" s="309"/>
      <c r="R738" s="268"/>
      <c r="S738" s="313"/>
      <c r="T738" s="313"/>
      <c r="U738" s="268"/>
      <c r="V738" s="268"/>
      <c r="W738" s="268"/>
      <c r="X738" s="268"/>
      <c r="Y738" s="268"/>
      <c r="Z738" s="268"/>
    </row>
    <row r="739" spans="1:26" ht="24.75" customHeight="1">
      <c r="A739" s="268"/>
      <c r="B739" s="268"/>
      <c r="C739" s="268"/>
      <c r="D739" s="268"/>
      <c r="E739" s="268"/>
      <c r="F739" s="268"/>
      <c r="G739" s="268"/>
      <c r="H739" s="268"/>
      <c r="I739" s="389"/>
      <c r="J739" s="389"/>
      <c r="K739" s="389"/>
      <c r="L739" s="268"/>
      <c r="M739" s="268"/>
      <c r="N739" s="268"/>
      <c r="O739" s="310"/>
      <c r="P739" s="268"/>
      <c r="Q739" s="309"/>
      <c r="R739" s="268"/>
      <c r="S739" s="313"/>
      <c r="T739" s="313"/>
      <c r="U739" s="268"/>
      <c r="V739" s="268"/>
      <c r="W739" s="268"/>
      <c r="X739" s="268"/>
      <c r="Y739" s="268"/>
      <c r="Z739" s="268"/>
    </row>
    <row r="740" spans="1:26" ht="24.75" customHeight="1">
      <c r="A740" s="268"/>
      <c r="B740" s="268"/>
      <c r="C740" s="268"/>
      <c r="D740" s="268"/>
      <c r="E740" s="268"/>
      <c r="F740" s="268"/>
      <c r="G740" s="268"/>
      <c r="H740" s="268"/>
      <c r="I740" s="389"/>
      <c r="J740" s="389"/>
      <c r="K740" s="389"/>
      <c r="L740" s="268"/>
      <c r="M740" s="268"/>
      <c r="N740" s="268"/>
      <c r="O740" s="310"/>
      <c r="P740" s="268"/>
      <c r="Q740" s="309"/>
      <c r="R740" s="268"/>
      <c r="S740" s="313"/>
      <c r="T740" s="313"/>
      <c r="U740" s="268"/>
      <c r="V740" s="268"/>
      <c r="W740" s="268"/>
      <c r="X740" s="268"/>
      <c r="Y740" s="268"/>
      <c r="Z740" s="268"/>
    </row>
    <row r="741" spans="1:26" ht="24.75" customHeight="1">
      <c r="A741" s="268"/>
      <c r="B741" s="268"/>
      <c r="C741" s="268"/>
      <c r="D741" s="268"/>
      <c r="E741" s="268"/>
      <c r="F741" s="268"/>
      <c r="G741" s="268"/>
      <c r="H741" s="268"/>
      <c r="I741" s="389"/>
      <c r="J741" s="389"/>
      <c r="K741" s="389"/>
      <c r="L741" s="268"/>
      <c r="M741" s="268"/>
      <c r="N741" s="268"/>
      <c r="O741" s="310"/>
      <c r="P741" s="268"/>
      <c r="Q741" s="309"/>
      <c r="R741" s="268"/>
      <c r="S741" s="313"/>
      <c r="T741" s="313"/>
      <c r="U741" s="268"/>
      <c r="V741" s="268"/>
      <c r="W741" s="268"/>
      <c r="X741" s="268"/>
      <c r="Y741" s="268"/>
      <c r="Z741" s="268"/>
    </row>
    <row r="742" spans="1:26" ht="24.75" customHeight="1">
      <c r="A742" s="268"/>
      <c r="B742" s="268"/>
      <c r="C742" s="268"/>
      <c r="D742" s="268"/>
      <c r="E742" s="268"/>
      <c r="F742" s="268"/>
      <c r="G742" s="268"/>
      <c r="H742" s="268"/>
      <c r="I742" s="389"/>
      <c r="J742" s="389"/>
      <c r="K742" s="389"/>
      <c r="L742" s="268"/>
      <c r="M742" s="268"/>
      <c r="N742" s="268"/>
      <c r="O742" s="310"/>
      <c r="P742" s="268"/>
      <c r="Q742" s="309"/>
      <c r="R742" s="268"/>
      <c r="S742" s="313"/>
      <c r="T742" s="313"/>
      <c r="U742" s="268"/>
      <c r="V742" s="268"/>
      <c r="W742" s="268"/>
      <c r="X742" s="268"/>
      <c r="Y742" s="268"/>
      <c r="Z742" s="268"/>
    </row>
    <row r="743" spans="1:26" ht="24.75" customHeight="1">
      <c r="A743" s="268"/>
      <c r="B743" s="268"/>
      <c r="C743" s="268"/>
      <c r="D743" s="268"/>
      <c r="E743" s="268"/>
      <c r="F743" s="268"/>
      <c r="G743" s="268"/>
      <c r="H743" s="268"/>
      <c r="I743" s="389"/>
      <c r="J743" s="389"/>
      <c r="K743" s="389"/>
      <c r="L743" s="268"/>
      <c r="M743" s="268"/>
      <c r="N743" s="268"/>
      <c r="O743" s="310"/>
      <c r="P743" s="268"/>
      <c r="Q743" s="309"/>
      <c r="R743" s="268"/>
      <c r="S743" s="313"/>
      <c r="T743" s="313"/>
      <c r="U743" s="268"/>
      <c r="V743" s="268"/>
      <c r="W743" s="268"/>
      <c r="X743" s="268"/>
      <c r="Y743" s="268"/>
      <c r="Z743" s="268"/>
    </row>
    <row r="744" spans="1:26" ht="24.75" customHeight="1">
      <c r="A744" s="268"/>
      <c r="B744" s="268"/>
      <c r="C744" s="268"/>
      <c r="D744" s="268"/>
      <c r="E744" s="268"/>
      <c r="F744" s="268"/>
      <c r="G744" s="268"/>
      <c r="H744" s="268"/>
      <c r="I744" s="389"/>
      <c r="J744" s="389"/>
      <c r="K744" s="389"/>
      <c r="L744" s="268"/>
      <c r="M744" s="268"/>
      <c r="N744" s="268"/>
      <c r="O744" s="310"/>
      <c r="P744" s="268"/>
      <c r="Q744" s="309"/>
      <c r="R744" s="268"/>
      <c r="S744" s="313"/>
      <c r="T744" s="313"/>
      <c r="U744" s="268"/>
      <c r="V744" s="268"/>
      <c r="W744" s="268"/>
      <c r="X744" s="268"/>
      <c r="Y744" s="268"/>
      <c r="Z744" s="268"/>
    </row>
    <row r="745" spans="1:26" ht="24.75" customHeight="1">
      <c r="A745" s="268"/>
      <c r="B745" s="268"/>
      <c r="C745" s="268"/>
      <c r="D745" s="268"/>
      <c r="E745" s="268"/>
      <c r="F745" s="268"/>
      <c r="G745" s="268"/>
      <c r="H745" s="268"/>
      <c r="I745" s="389"/>
      <c r="J745" s="389"/>
      <c r="K745" s="389"/>
      <c r="L745" s="268"/>
      <c r="M745" s="268"/>
      <c r="N745" s="268"/>
      <c r="O745" s="310"/>
      <c r="P745" s="268"/>
      <c r="Q745" s="309"/>
      <c r="R745" s="268"/>
      <c r="S745" s="313"/>
      <c r="T745" s="313"/>
      <c r="U745" s="268"/>
      <c r="V745" s="268"/>
      <c r="W745" s="268"/>
      <c r="X745" s="268"/>
      <c r="Y745" s="268"/>
      <c r="Z745" s="268"/>
    </row>
    <row r="746" spans="1:26" ht="24.75" customHeight="1">
      <c r="A746" s="268"/>
      <c r="B746" s="268"/>
      <c r="C746" s="268"/>
      <c r="D746" s="268"/>
      <c r="E746" s="268"/>
      <c r="F746" s="268"/>
      <c r="G746" s="268"/>
      <c r="H746" s="268"/>
      <c r="I746" s="389"/>
      <c r="J746" s="389"/>
      <c r="K746" s="389"/>
      <c r="L746" s="268"/>
      <c r="M746" s="268"/>
      <c r="N746" s="268"/>
      <c r="O746" s="310"/>
      <c r="P746" s="268"/>
      <c r="Q746" s="309"/>
      <c r="R746" s="268"/>
      <c r="S746" s="313"/>
      <c r="T746" s="313"/>
      <c r="U746" s="268"/>
      <c r="V746" s="268"/>
      <c r="W746" s="268"/>
      <c r="X746" s="268"/>
      <c r="Y746" s="268"/>
      <c r="Z746" s="268"/>
    </row>
    <row r="747" spans="1:26" ht="24.75" customHeight="1">
      <c r="A747" s="268"/>
      <c r="B747" s="268"/>
      <c r="C747" s="268"/>
      <c r="D747" s="268"/>
      <c r="E747" s="268"/>
      <c r="F747" s="268"/>
      <c r="G747" s="268"/>
      <c r="H747" s="268"/>
      <c r="I747" s="389"/>
      <c r="J747" s="389"/>
      <c r="K747" s="389"/>
      <c r="L747" s="268"/>
      <c r="M747" s="268"/>
      <c r="N747" s="268"/>
      <c r="O747" s="310"/>
      <c r="P747" s="268"/>
      <c r="Q747" s="309"/>
      <c r="R747" s="268"/>
      <c r="S747" s="313"/>
      <c r="T747" s="313"/>
      <c r="U747" s="268"/>
      <c r="V747" s="268"/>
      <c r="W747" s="268"/>
      <c r="X747" s="268"/>
      <c r="Y747" s="268"/>
      <c r="Z747" s="268"/>
    </row>
    <row r="748" spans="1:26" ht="24.75" customHeight="1">
      <c r="A748" s="268"/>
      <c r="B748" s="268"/>
      <c r="C748" s="268"/>
      <c r="D748" s="268"/>
      <c r="E748" s="268"/>
      <c r="F748" s="268"/>
      <c r="G748" s="268"/>
      <c r="H748" s="268"/>
      <c r="I748" s="389"/>
      <c r="J748" s="389"/>
      <c r="K748" s="389"/>
      <c r="L748" s="268"/>
      <c r="M748" s="268"/>
      <c r="N748" s="268"/>
      <c r="O748" s="310"/>
      <c r="P748" s="268"/>
      <c r="Q748" s="309"/>
      <c r="R748" s="268"/>
      <c r="S748" s="313"/>
      <c r="T748" s="313"/>
      <c r="U748" s="268"/>
      <c r="V748" s="268"/>
      <c r="W748" s="268"/>
      <c r="X748" s="268"/>
      <c r="Y748" s="268"/>
      <c r="Z748" s="268"/>
    </row>
    <row r="749" spans="1:26" ht="24.75" customHeight="1">
      <c r="A749" s="268"/>
      <c r="B749" s="268"/>
      <c r="C749" s="268"/>
      <c r="D749" s="268"/>
      <c r="E749" s="268"/>
      <c r="F749" s="268"/>
      <c r="G749" s="268"/>
      <c r="H749" s="268"/>
      <c r="I749" s="389"/>
      <c r="J749" s="389"/>
      <c r="K749" s="389"/>
      <c r="L749" s="268"/>
      <c r="M749" s="268"/>
      <c r="N749" s="268"/>
      <c r="O749" s="310"/>
      <c r="P749" s="268"/>
      <c r="Q749" s="309"/>
      <c r="R749" s="268"/>
      <c r="S749" s="313"/>
      <c r="T749" s="313"/>
      <c r="U749" s="268"/>
      <c r="V749" s="268"/>
      <c r="W749" s="268"/>
      <c r="X749" s="268"/>
      <c r="Y749" s="268"/>
      <c r="Z749" s="268"/>
    </row>
    <row r="750" spans="1:26" ht="24.75" customHeight="1">
      <c r="A750" s="268"/>
      <c r="B750" s="268"/>
      <c r="C750" s="268"/>
      <c r="D750" s="268"/>
      <c r="E750" s="268"/>
      <c r="F750" s="268"/>
      <c r="G750" s="268"/>
      <c r="H750" s="268"/>
      <c r="I750" s="389"/>
      <c r="J750" s="389"/>
      <c r="K750" s="389"/>
      <c r="L750" s="268"/>
      <c r="M750" s="268"/>
      <c r="N750" s="268"/>
      <c r="O750" s="310"/>
      <c r="P750" s="268"/>
      <c r="Q750" s="309"/>
      <c r="R750" s="268"/>
      <c r="S750" s="313"/>
      <c r="T750" s="313"/>
      <c r="U750" s="268"/>
      <c r="V750" s="268"/>
      <c r="W750" s="268"/>
      <c r="X750" s="268"/>
      <c r="Y750" s="268"/>
      <c r="Z750" s="268"/>
    </row>
    <row r="751" spans="1:26" ht="24.75" customHeight="1">
      <c r="A751" s="268"/>
      <c r="B751" s="268"/>
      <c r="C751" s="268"/>
      <c r="D751" s="268"/>
      <c r="E751" s="268"/>
      <c r="F751" s="268"/>
      <c r="G751" s="268"/>
      <c r="H751" s="268"/>
      <c r="I751" s="389"/>
      <c r="J751" s="389"/>
      <c r="K751" s="389"/>
      <c r="L751" s="268"/>
      <c r="M751" s="268"/>
      <c r="N751" s="268"/>
      <c r="O751" s="310"/>
      <c r="P751" s="268"/>
      <c r="Q751" s="309"/>
      <c r="R751" s="268"/>
      <c r="S751" s="313"/>
      <c r="T751" s="313"/>
      <c r="U751" s="268"/>
      <c r="V751" s="268"/>
      <c r="W751" s="268"/>
      <c r="X751" s="268"/>
      <c r="Y751" s="268"/>
      <c r="Z751" s="268"/>
    </row>
    <row r="752" spans="1:26" ht="24.75" customHeight="1">
      <c r="A752" s="268"/>
      <c r="B752" s="268"/>
      <c r="C752" s="268"/>
      <c r="D752" s="268"/>
      <c r="E752" s="268"/>
      <c r="F752" s="268"/>
      <c r="G752" s="268"/>
      <c r="H752" s="268"/>
      <c r="I752" s="389"/>
      <c r="J752" s="389"/>
      <c r="K752" s="389"/>
      <c r="L752" s="268"/>
      <c r="M752" s="268"/>
      <c r="N752" s="268"/>
      <c r="O752" s="310"/>
      <c r="P752" s="268"/>
      <c r="Q752" s="309"/>
      <c r="R752" s="268"/>
      <c r="S752" s="313"/>
      <c r="T752" s="313"/>
      <c r="U752" s="268"/>
      <c r="V752" s="268"/>
      <c r="W752" s="268"/>
      <c r="X752" s="268"/>
      <c r="Y752" s="268"/>
      <c r="Z752" s="268"/>
    </row>
    <row r="753" spans="1:26" ht="24.75" customHeight="1">
      <c r="A753" s="268"/>
      <c r="B753" s="268"/>
      <c r="C753" s="268"/>
      <c r="D753" s="268"/>
      <c r="E753" s="268"/>
      <c r="F753" s="268"/>
      <c r="G753" s="268"/>
      <c r="H753" s="268"/>
      <c r="I753" s="389"/>
      <c r="J753" s="389"/>
      <c r="K753" s="389"/>
      <c r="L753" s="268"/>
      <c r="M753" s="268"/>
      <c r="N753" s="268"/>
      <c r="O753" s="310"/>
      <c r="P753" s="268"/>
      <c r="Q753" s="309"/>
      <c r="R753" s="268"/>
      <c r="S753" s="313"/>
      <c r="T753" s="313"/>
      <c r="U753" s="268"/>
      <c r="V753" s="268"/>
      <c r="W753" s="268"/>
      <c r="X753" s="268"/>
      <c r="Y753" s="268"/>
      <c r="Z753" s="268"/>
    </row>
    <row r="754" spans="1:26" ht="24.75" customHeight="1">
      <c r="A754" s="268"/>
      <c r="B754" s="268"/>
      <c r="C754" s="268"/>
      <c r="D754" s="268"/>
      <c r="E754" s="268"/>
      <c r="F754" s="268"/>
      <c r="G754" s="268"/>
      <c r="H754" s="268"/>
      <c r="I754" s="389"/>
      <c r="J754" s="389"/>
      <c r="K754" s="389"/>
      <c r="L754" s="268"/>
      <c r="M754" s="268"/>
      <c r="N754" s="268"/>
      <c r="O754" s="310"/>
      <c r="P754" s="268"/>
      <c r="Q754" s="309"/>
      <c r="R754" s="268"/>
      <c r="S754" s="313"/>
      <c r="T754" s="313"/>
      <c r="U754" s="268"/>
      <c r="V754" s="268"/>
      <c r="W754" s="268"/>
      <c r="X754" s="268"/>
      <c r="Y754" s="268"/>
      <c r="Z754" s="268"/>
    </row>
    <row r="755" spans="1:26" ht="24.75" customHeight="1">
      <c r="A755" s="268"/>
      <c r="B755" s="268"/>
      <c r="C755" s="268"/>
      <c r="D755" s="268"/>
      <c r="E755" s="268"/>
      <c r="F755" s="268"/>
      <c r="G755" s="268"/>
      <c r="H755" s="268"/>
      <c r="I755" s="389"/>
      <c r="J755" s="389"/>
      <c r="K755" s="389"/>
      <c r="L755" s="268"/>
      <c r="M755" s="268"/>
      <c r="N755" s="268"/>
      <c r="O755" s="310"/>
      <c r="P755" s="268"/>
      <c r="Q755" s="309"/>
      <c r="R755" s="268"/>
      <c r="S755" s="313"/>
      <c r="T755" s="313"/>
      <c r="U755" s="268"/>
      <c r="V755" s="268"/>
      <c r="W755" s="268"/>
      <c r="X755" s="268"/>
      <c r="Y755" s="268"/>
      <c r="Z755" s="268"/>
    </row>
    <row r="756" spans="1:26" ht="24.75" customHeight="1">
      <c r="A756" s="268"/>
      <c r="B756" s="268"/>
      <c r="C756" s="268"/>
      <c r="D756" s="268"/>
      <c r="E756" s="268"/>
      <c r="F756" s="268"/>
      <c r="G756" s="268"/>
      <c r="H756" s="268"/>
      <c r="I756" s="389"/>
      <c r="J756" s="389"/>
      <c r="K756" s="389"/>
      <c r="L756" s="268"/>
      <c r="M756" s="268"/>
      <c r="N756" s="268"/>
      <c r="O756" s="310"/>
      <c r="P756" s="268"/>
      <c r="Q756" s="309"/>
      <c r="R756" s="268"/>
      <c r="S756" s="313"/>
      <c r="T756" s="313"/>
      <c r="U756" s="268"/>
      <c r="V756" s="268"/>
      <c r="W756" s="268"/>
      <c r="X756" s="268"/>
      <c r="Y756" s="268"/>
      <c r="Z756" s="268"/>
    </row>
    <row r="757" spans="1:26" ht="24.75" customHeight="1">
      <c r="A757" s="268"/>
      <c r="B757" s="268"/>
      <c r="C757" s="268"/>
      <c r="D757" s="268"/>
      <c r="E757" s="268"/>
      <c r="F757" s="268"/>
      <c r="G757" s="268"/>
      <c r="H757" s="268"/>
      <c r="I757" s="389"/>
      <c r="J757" s="389"/>
      <c r="K757" s="389"/>
      <c r="L757" s="268"/>
      <c r="M757" s="268"/>
      <c r="N757" s="268"/>
      <c r="O757" s="310"/>
      <c r="P757" s="268"/>
      <c r="Q757" s="309"/>
      <c r="R757" s="268"/>
      <c r="S757" s="313"/>
      <c r="T757" s="313"/>
      <c r="U757" s="268"/>
      <c r="V757" s="268"/>
      <c r="W757" s="268"/>
      <c r="X757" s="268"/>
      <c r="Y757" s="268"/>
      <c r="Z757" s="268"/>
    </row>
    <row r="758" spans="1:26" ht="24.75" customHeight="1">
      <c r="A758" s="268"/>
      <c r="B758" s="268"/>
      <c r="C758" s="268"/>
      <c r="D758" s="268"/>
      <c r="E758" s="268"/>
      <c r="F758" s="268"/>
      <c r="G758" s="268"/>
      <c r="H758" s="268"/>
      <c r="I758" s="389"/>
      <c r="J758" s="389"/>
      <c r="K758" s="389"/>
      <c r="L758" s="268"/>
      <c r="M758" s="268"/>
      <c r="N758" s="268"/>
      <c r="O758" s="310"/>
      <c r="P758" s="268"/>
      <c r="Q758" s="309"/>
      <c r="R758" s="268"/>
      <c r="S758" s="313"/>
      <c r="T758" s="313"/>
      <c r="U758" s="268"/>
      <c r="V758" s="268"/>
      <c r="W758" s="268"/>
      <c r="X758" s="268"/>
      <c r="Y758" s="268"/>
      <c r="Z758" s="268"/>
    </row>
    <row r="759" spans="1:26" ht="24.75" customHeight="1">
      <c r="A759" s="268"/>
      <c r="B759" s="268"/>
      <c r="C759" s="268"/>
      <c r="D759" s="268"/>
      <c r="E759" s="268"/>
      <c r="F759" s="268"/>
      <c r="G759" s="268"/>
      <c r="H759" s="268"/>
      <c r="I759" s="389"/>
      <c r="J759" s="389"/>
      <c r="K759" s="389"/>
      <c r="L759" s="268"/>
      <c r="M759" s="268"/>
      <c r="N759" s="268"/>
      <c r="O759" s="310"/>
      <c r="P759" s="268"/>
      <c r="Q759" s="309"/>
      <c r="R759" s="268"/>
      <c r="S759" s="313"/>
      <c r="T759" s="313"/>
      <c r="U759" s="268"/>
      <c r="V759" s="268"/>
      <c r="W759" s="268"/>
      <c r="X759" s="268"/>
      <c r="Y759" s="268"/>
      <c r="Z759" s="268"/>
    </row>
    <row r="760" spans="1:26" ht="24.75" customHeight="1">
      <c r="A760" s="268"/>
      <c r="B760" s="268"/>
      <c r="C760" s="268"/>
      <c r="D760" s="268"/>
      <c r="E760" s="268"/>
      <c r="F760" s="268"/>
      <c r="G760" s="268"/>
      <c r="H760" s="268"/>
      <c r="I760" s="389"/>
      <c r="J760" s="389"/>
      <c r="K760" s="389"/>
      <c r="L760" s="268"/>
      <c r="M760" s="268"/>
      <c r="N760" s="268"/>
      <c r="O760" s="310"/>
      <c r="P760" s="268"/>
      <c r="Q760" s="309"/>
      <c r="R760" s="268"/>
      <c r="S760" s="313"/>
      <c r="T760" s="313"/>
      <c r="U760" s="268"/>
      <c r="V760" s="268"/>
      <c r="W760" s="268"/>
      <c r="X760" s="268"/>
      <c r="Y760" s="268"/>
      <c r="Z760" s="268"/>
    </row>
    <row r="761" spans="1:26" ht="24.75" customHeight="1">
      <c r="A761" s="268"/>
      <c r="B761" s="268"/>
      <c r="C761" s="268"/>
      <c r="D761" s="268"/>
      <c r="E761" s="268"/>
      <c r="F761" s="268"/>
      <c r="G761" s="268"/>
      <c r="H761" s="268"/>
      <c r="I761" s="389"/>
      <c r="J761" s="389"/>
      <c r="K761" s="389"/>
      <c r="L761" s="268"/>
      <c r="M761" s="268"/>
      <c r="N761" s="268"/>
      <c r="O761" s="310"/>
      <c r="P761" s="268"/>
      <c r="Q761" s="309"/>
      <c r="R761" s="268"/>
      <c r="S761" s="313"/>
      <c r="T761" s="313"/>
      <c r="U761" s="268"/>
      <c r="V761" s="268"/>
      <c r="W761" s="268"/>
      <c r="X761" s="268"/>
      <c r="Y761" s="268"/>
      <c r="Z761" s="268"/>
    </row>
    <row r="762" spans="1:26" ht="24.75" customHeight="1">
      <c r="A762" s="268"/>
      <c r="B762" s="268"/>
      <c r="C762" s="268"/>
      <c r="D762" s="268"/>
      <c r="E762" s="268"/>
      <c r="F762" s="268"/>
      <c r="G762" s="268"/>
      <c r="H762" s="268"/>
      <c r="I762" s="389"/>
      <c r="J762" s="389"/>
      <c r="K762" s="389"/>
      <c r="L762" s="268"/>
      <c r="M762" s="268"/>
      <c r="N762" s="268"/>
      <c r="O762" s="310"/>
      <c r="P762" s="268"/>
      <c r="Q762" s="309"/>
      <c r="R762" s="268"/>
      <c r="S762" s="313"/>
      <c r="T762" s="313"/>
      <c r="U762" s="268"/>
      <c r="V762" s="268"/>
      <c r="W762" s="268"/>
      <c r="X762" s="268"/>
      <c r="Y762" s="268"/>
      <c r="Z762" s="268"/>
    </row>
    <row r="763" spans="1:26" ht="24.75" customHeight="1">
      <c r="A763" s="268"/>
      <c r="B763" s="268"/>
      <c r="C763" s="268"/>
      <c r="D763" s="268"/>
      <c r="E763" s="268"/>
      <c r="F763" s="268"/>
      <c r="G763" s="268"/>
      <c r="H763" s="268"/>
      <c r="I763" s="389"/>
      <c r="J763" s="389"/>
      <c r="K763" s="389"/>
      <c r="L763" s="268"/>
      <c r="M763" s="268"/>
      <c r="N763" s="268"/>
      <c r="O763" s="310"/>
      <c r="P763" s="268"/>
      <c r="Q763" s="309"/>
      <c r="R763" s="268"/>
      <c r="S763" s="313"/>
      <c r="T763" s="313"/>
      <c r="U763" s="268"/>
      <c r="V763" s="268"/>
      <c r="W763" s="268"/>
      <c r="X763" s="268"/>
      <c r="Y763" s="268"/>
      <c r="Z763" s="268"/>
    </row>
    <row r="764" spans="1:26" ht="24.75" customHeight="1">
      <c r="A764" s="268"/>
      <c r="B764" s="268"/>
      <c r="C764" s="268"/>
      <c r="D764" s="268"/>
      <c r="E764" s="268"/>
      <c r="F764" s="268"/>
      <c r="G764" s="268"/>
      <c r="H764" s="268"/>
      <c r="I764" s="389"/>
      <c r="J764" s="389"/>
      <c r="K764" s="389"/>
      <c r="L764" s="268"/>
      <c r="M764" s="268"/>
      <c r="N764" s="268"/>
      <c r="O764" s="310"/>
      <c r="P764" s="268"/>
      <c r="Q764" s="309"/>
      <c r="R764" s="268"/>
      <c r="S764" s="313"/>
      <c r="T764" s="313"/>
      <c r="U764" s="268"/>
      <c r="V764" s="268"/>
      <c r="W764" s="268"/>
      <c r="X764" s="268"/>
      <c r="Y764" s="268"/>
      <c r="Z764" s="268"/>
    </row>
    <row r="765" spans="1:26" ht="24.75" customHeight="1">
      <c r="A765" s="268"/>
      <c r="B765" s="268"/>
      <c r="C765" s="268"/>
      <c r="D765" s="268"/>
      <c r="E765" s="268"/>
      <c r="F765" s="268"/>
      <c r="G765" s="268"/>
      <c r="H765" s="268"/>
      <c r="I765" s="389"/>
      <c r="J765" s="389"/>
      <c r="K765" s="389"/>
      <c r="L765" s="268"/>
      <c r="M765" s="268"/>
      <c r="N765" s="268"/>
      <c r="O765" s="310"/>
      <c r="P765" s="268"/>
      <c r="Q765" s="309"/>
      <c r="R765" s="268"/>
      <c r="S765" s="313"/>
      <c r="T765" s="313"/>
      <c r="U765" s="268"/>
      <c r="V765" s="268"/>
      <c r="W765" s="268"/>
      <c r="X765" s="268"/>
      <c r="Y765" s="268"/>
      <c r="Z765" s="268"/>
    </row>
    <row r="766" spans="1:26" ht="24.75" customHeight="1">
      <c r="A766" s="268"/>
      <c r="B766" s="268"/>
      <c r="C766" s="268"/>
      <c r="D766" s="268"/>
      <c r="E766" s="268"/>
      <c r="F766" s="268"/>
      <c r="G766" s="268"/>
      <c r="H766" s="268"/>
      <c r="I766" s="389"/>
      <c r="J766" s="389"/>
      <c r="K766" s="389"/>
      <c r="L766" s="268"/>
      <c r="M766" s="268"/>
      <c r="N766" s="268"/>
      <c r="O766" s="310"/>
      <c r="P766" s="268"/>
      <c r="Q766" s="309"/>
      <c r="R766" s="268"/>
      <c r="S766" s="313"/>
      <c r="T766" s="313"/>
      <c r="U766" s="268"/>
      <c r="V766" s="268"/>
      <c r="W766" s="268"/>
      <c r="X766" s="268"/>
      <c r="Y766" s="268"/>
      <c r="Z766" s="268"/>
    </row>
    <row r="767" spans="1:26" ht="24.75" customHeight="1">
      <c r="A767" s="268"/>
      <c r="B767" s="268"/>
      <c r="C767" s="268"/>
      <c r="D767" s="268"/>
      <c r="E767" s="268"/>
      <c r="F767" s="268"/>
      <c r="G767" s="268"/>
      <c r="H767" s="268"/>
      <c r="I767" s="389"/>
      <c r="J767" s="389"/>
      <c r="K767" s="389"/>
      <c r="L767" s="268"/>
      <c r="M767" s="268"/>
      <c r="N767" s="268"/>
      <c r="O767" s="310"/>
      <c r="P767" s="268"/>
      <c r="Q767" s="309"/>
      <c r="R767" s="268"/>
      <c r="S767" s="313"/>
      <c r="T767" s="313"/>
      <c r="U767" s="268"/>
      <c r="V767" s="268"/>
      <c r="W767" s="268"/>
      <c r="X767" s="268"/>
      <c r="Y767" s="268"/>
      <c r="Z767" s="268"/>
    </row>
    <row r="768" spans="1:26" ht="24.75" customHeight="1">
      <c r="A768" s="268"/>
      <c r="B768" s="268"/>
      <c r="C768" s="268"/>
      <c r="D768" s="268"/>
      <c r="E768" s="268"/>
      <c r="F768" s="268"/>
      <c r="G768" s="268"/>
      <c r="H768" s="268"/>
      <c r="I768" s="389"/>
      <c r="J768" s="389"/>
      <c r="K768" s="389"/>
      <c r="L768" s="268"/>
      <c r="M768" s="268"/>
      <c r="N768" s="268"/>
      <c r="O768" s="310"/>
      <c r="P768" s="268"/>
      <c r="Q768" s="309"/>
      <c r="R768" s="268"/>
      <c r="S768" s="313"/>
      <c r="T768" s="313"/>
      <c r="U768" s="268"/>
      <c r="V768" s="268"/>
      <c r="W768" s="268"/>
      <c r="X768" s="268"/>
      <c r="Y768" s="268"/>
      <c r="Z768" s="268"/>
    </row>
    <row r="769" spans="1:26" ht="24.75" customHeight="1">
      <c r="A769" s="268"/>
      <c r="B769" s="268"/>
      <c r="C769" s="268"/>
      <c r="D769" s="268"/>
      <c r="E769" s="268"/>
      <c r="F769" s="268"/>
      <c r="G769" s="268"/>
      <c r="H769" s="268"/>
      <c r="I769" s="389"/>
      <c r="J769" s="389"/>
      <c r="K769" s="389"/>
      <c r="L769" s="268"/>
      <c r="M769" s="268"/>
      <c r="N769" s="268"/>
      <c r="O769" s="310"/>
      <c r="P769" s="268"/>
      <c r="Q769" s="309"/>
      <c r="R769" s="268"/>
      <c r="S769" s="313"/>
      <c r="T769" s="313"/>
      <c r="U769" s="268"/>
      <c r="V769" s="268"/>
      <c r="W769" s="268"/>
      <c r="X769" s="268"/>
      <c r="Y769" s="268"/>
      <c r="Z769" s="268"/>
    </row>
    <row r="770" spans="1:26" ht="24.75" customHeight="1">
      <c r="A770" s="268"/>
      <c r="B770" s="268"/>
      <c r="C770" s="268"/>
      <c r="D770" s="268"/>
      <c r="E770" s="268"/>
      <c r="F770" s="268"/>
      <c r="G770" s="268"/>
      <c r="H770" s="268"/>
      <c r="I770" s="389"/>
      <c r="J770" s="389"/>
      <c r="K770" s="389"/>
      <c r="L770" s="268"/>
      <c r="M770" s="268"/>
      <c r="N770" s="268"/>
      <c r="O770" s="310"/>
      <c r="P770" s="268"/>
      <c r="Q770" s="309"/>
      <c r="R770" s="268"/>
      <c r="S770" s="313"/>
      <c r="T770" s="313"/>
      <c r="U770" s="268"/>
      <c r="V770" s="268"/>
      <c r="W770" s="268"/>
      <c r="X770" s="268"/>
      <c r="Y770" s="268"/>
      <c r="Z770" s="268"/>
    </row>
    <row r="771" spans="1:26" ht="24.75" customHeight="1">
      <c r="A771" s="268"/>
      <c r="B771" s="268"/>
      <c r="C771" s="268"/>
      <c r="D771" s="268"/>
      <c r="E771" s="268"/>
      <c r="F771" s="268"/>
      <c r="G771" s="268"/>
      <c r="H771" s="268"/>
      <c r="I771" s="389"/>
      <c r="J771" s="389"/>
      <c r="K771" s="389"/>
      <c r="L771" s="268"/>
      <c r="M771" s="268"/>
      <c r="N771" s="268"/>
      <c r="O771" s="310"/>
      <c r="P771" s="268"/>
      <c r="Q771" s="309"/>
      <c r="R771" s="268"/>
      <c r="S771" s="313"/>
      <c r="T771" s="313"/>
      <c r="U771" s="268"/>
      <c r="V771" s="268"/>
      <c r="W771" s="268"/>
      <c r="X771" s="268"/>
      <c r="Y771" s="268"/>
      <c r="Z771" s="268"/>
    </row>
    <row r="772" spans="1:26" ht="24.75" customHeight="1">
      <c r="A772" s="268"/>
      <c r="B772" s="268"/>
      <c r="C772" s="268"/>
      <c r="D772" s="268"/>
      <c r="E772" s="268"/>
      <c r="F772" s="268"/>
      <c r="G772" s="268"/>
      <c r="H772" s="268"/>
      <c r="I772" s="389"/>
      <c r="J772" s="389"/>
      <c r="K772" s="389"/>
      <c r="L772" s="268"/>
      <c r="M772" s="268"/>
      <c r="N772" s="268"/>
      <c r="O772" s="310"/>
      <c r="P772" s="268"/>
      <c r="Q772" s="309"/>
      <c r="R772" s="268"/>
      <c r="S772" s="313"/>
      <c r="T772" s="313"/>
      <c r="U772" s="268"/>
      <c r="V772" s="268"/>
      <c r="W772" s="268"/>
      <c r="X772" s="268"/>
      <c r="Y772" s="268"/>
      <c r="Z772" s="268"/>
    </row>
    <row r="773" spans="1:26" ht="24.75" customHeight="1">
      <c r="A773" s="268"/>
      <c r="B773" s="268"/>
      <c r="C773" s="268"/>
      <c r="D773" s="268"/>
      <c r="E773" s="268"/>
      <c r="F773" s="268"/>
      <c r="G773" s="268"/>
      <c r="H773" s="268"/>
      <c r="I773" s="389"/>
      <c r="J773" s="389"/>
      <c r="K773" s="389"/>
      <c r="L773" s="268"/>
      <c r="M773" s="268"/>
      <c r="N773" s="268"/>
      <c r="O773" s="310"/>
      <c r="P773" s="268"/>
      <c r="Q773" s="309"/>
      <c r="R773" s="268"/>
      <c r="S773" s="313"/>
      <c r="T773" s="313"/>
      <c r="U773" s="268"/>
      <c r="V773" s="268"/>
      <c r="W773" s="268"/>
      <c r="X773" s="268"/>
      <c r="Y773" s="268"/>
      <c r="Z773" s="268"/>
    </row>
    <row r="774" spans="1:26" ht="24.75" customHeight="1">
      <c r="A774" s="268"/>
      <c r="B774" s="268"/>
      <c r="C774" s="268"/>
      <c r="D774" s="268"/>
      <c r="E774" s="268"/>
      <c r="F774" s="268"/>
      <c r="G774" s="268"/>
      <c r="H774" s="268"/>
      <c r="I774" s="389"/>
      <c r="J774" s="389"/>
      <c r="K774" s="389"/>
      <c r="L774" s="268"/>
      <c r="M774" s="268"/>
      <c r="N774" s="268"/>
      <c r="O774" s="310"/>
      <c r="P774" s="268"/>
      <c r="Q774" s="309"/>
      <c r="R774" s="268"/>
      <c r="S774" s="313"/>
      <c r="T774" s="313"/>
      <c r="U774" s="268"/>
      <c r="V774" s="268"/>
      <c r="W774" s="268"/>
      <c r="X774" s="268"/>
      <c r="Y774" s="268"/>
      <c r="Z774" s="268"/>
    </row>
    <row r="775" spans="1:26" ht="24.75" customHeight="1">
      <c r="A775" s="268"/>
      <c r="B775" s="268"/>
      <c r="C775" s="268"/>
      <c r="D775" s="268"/>
      <c r="E775" s="268"/>
      <c r="F775" s="268"/>
      <c r="G775" s="268"/>
      <c r="H775" s="268"/>
      <c r="I775" s="389"/>
      <c r="J775" s="389"/>
      <c r="K775" s="389"/>
      <c r="L775" s="268"/>
      <c r="M775" s="268"/>
      <c r="N775" s="268"/>
      <c r="O775" s="310"/>
      <c r="P775" s="268"/>
      <c r="Q775" s="309"/>
      <c r="R775" s="268"/>
      <c r="S775" s="313"/>
      <c r="T775" s="313"/>
      <c r="U775" s="268"/>
      <c r="V775" s="268"/>
      <c r="W775" s="268"/>
      <c r="X775" s="268"/>
      <c r="Y775" s="268"/>
      <c r="Z775" s="268"/>
    </row>
    <row r="776" spans="1:26" ht="24.75" customHeight="1">
      <c r="A776" s="268"/>
      <c r="B776" s="268"/>
      <c r="C776" s="268"/>
      <c r="D776" s="268"/>
      <c r="E776" s="268"/>
      <c r="F776" s="268"/>
      <c r="G776" s="268"/>
      <c r="H776" s="268"/>
      <c r="I776" s="389"/>
      <c r="J776" s="389"/>
      <c r="K776" s="389"/>
      <c r="L776" s="268"/>
      <c r="M776" s="268"/>
      <c r="N776" s="268"/>
      <c r="O776" s="310"/>
      <c r="P776" s="268"/>
      <c r="Q776" s="309"/>
      <c r="R776" s="268"/>
      <c r="S776" s="313"/>
      <c r="T776" s="313"/>
      <c r="U776" s="268"/>
      <c r="V776" s="268"/>
      <c r="W776" s="268"/>
      <c r="X776" s="268"/>
      <c r="Y776" s="268"/>
      <c r="Z776" s="268"/>
    </row>
    <row r="777" spans="1:26" ht="24.75" customHeight="1">
      <c r="A777" s="268"/>
      <c r="B777" s="268"/>
      <c r="C777" s="268"/>
      <c r="D777" s="268"/>
      <c r="E777" s="268"/>
      <c r="F777" s="268"/>
      <c r="G777" s="268"/>
      <c r="H777" s="268"/>
      <c r="I777" s="389"/>
      <c r="J777" s="389"/>
      <c r="K777" s="389"/>
      <c r="L777" s="268"/>
      <c r="M777" s="268"/>
      <c r="N777" s="268"/>
      <c r="O777" s="310"/>
      <c r="P777" s="268"/>
      <c r="Q777" s="309"/>
      <c r="R777" s="268"/>
      <c r="S777" s="313"/>
      <c r="T777" s="313"/>
      <c r="U777" s="268"/>
      <c r="V777" s="268"/>
      <c r="W777" s="268"/>
      <c r="X777" s="268"/>
      <c r="Y777" s="268"/>
      <c r="Z777" s="268"/>
    </row>
    <row r="778" spans="1:26" ht="24.75" customHeight="1">
      <c r="A778" s="268"/>
      <c r="B778" s="268"/>
      <c r="C778" s="268"/>
      <c r="D778" s="268"/>
      <c r="E778" s="268"/>
      <c r="F778" s="268"/>
      <c r="G778" s="268"/>
      <c r="H778" s="268"/>
      <c r="I778" s="389"/>
      <c r="J778" s="389"/>
      <c r="K778" s="389"/>
      <c r="L778" s="268"/>
      <c r="M778" s="268"/>
      <c r="N778" s="268"/>
      <c r="O778" s="310"/>
      <c r="P778" s="268"/>
      <c r="Q778" s="309"/>
      <c r="R778" s="268"/>
      <c r="S778" s="313"/>
      <c r="T778" s="313"/>
      <c r="U778" s="268"/>
      <c r="V778" s="268"/>
      <c r="W778" s="268"/>
      <c r="X778" s="268"/>
      <c r="Y778" s="268"/>
      <c r="Z778" s="268"/>
    </row>
    <row r="779" spans="1:26" ht="24.75" customHeight="1">
      <c r="A779" s="268"/>
      <c r="B779" s="268"/>
      <c r="C779" s="268"/>
      <c r="D779" s="268"/>
      <c r="E779" s="268"/>
      <c r="F779" s="268"/>
      <c r="G779" s="268"/>
      <c r="H779" s="268"/>
      <c r="I779" s="389"/>
      <c r="J779" s="389"/>
      <c r="K779" s="389"/>
      <c r="L779" s="268"/>
      <c r="M779" s="268"/>
      <c r="N779" s="268"/>
      <c r="O779" s="310"/>
      <c r="P779" s="268"/>
      <c r="Q779" s="309"/>
      <c r="R779" s="268"/>
      <c r="S779" s="313"/>
      <c r="T779" s="313"/>
      <c r="U779" s="268"/>
      <c r="V779" s="268"/>
      <c r="W779" s="268"/>
      <c r="X779" s="268"/>
      <c r="Y779" s="268"/>
      <c r="Z779" s="268"/>
    </row>
    <row r="780" spans="1:26" ht="24.75" customHeight="1">
      <c r="A780" s="268"/>
      <c r="B780" s="268"/>
      <c r="C780" s="268"/>
      <c r="D780" s="268"/>
      <c r="E780" s="268"/>
      <c r="F780" s="268"/>
      <c r="G780" s="268"/>
      <c r="H780" s="268"/>
      <c r="I780" s="389"/>
      <c r="J780" s="389"/>
      <c r="K780" s="389"/>
      <c r="L780" s="268"/>
      <c r="M780" s="268"/>
      <c r="N780" s="268"/>
      <c r="O780" s="310"/>
      <c r="P780" s="268"/>
      <c r="Q780" s="309"/>
      <c r="R780" s="268"/>
      <c r="S780" s="313"/>
      <c r="T780" s="313"/>
      <c r="U780" s="268"/>
      <c r="V780" s="268"/>
      <c r="W780" s="268"/>
      <c r="X780" s="268"/>
      <c r="Y780" s="268"/>
      <c r="Z780" s="268"/>
    </row>
    <row r="781" spans="1:26" ht="24.75" customHeight="1">
      <c r="A781" s="268"/>
      <c r="B781" s="268"/>
      <c r="C781" s="268"/>
      <c r="D781" s="268"/>
      <c r="E781" s="268"/>
      <c r="F781" s="268"/>
      <c r="G781" s="268"/>
      <c r="H781" s="268"/>
      <c r="I781" s="389"/>
      <c r="J781" s="389"/>
      <c r="K781" s="389"/>
      <c r="L781" s="268"/>
      <c r="M781" s="268"/>
      <c r="N781" s="268"/>
      <c r="O781" s="310"/>
      <c r="P781" s="268"/>
      <c r="Q781" s="309"/>
      <c r="R781" s="268"/>
      <c r="S781" s="313"/>
      <c r="T781" s="313"/>
      <c r="U781" s="268"/>
      <c r="V781" s="268"/>
      <c r="W781" s="268"/>
      <c r="X781" s="268"/>
      <c r="Y781" s="268"/>
      <c r="Z781" s="268"/>
    </row>
    <row r="782" spans="1:26" ht="24.75" customHeight="1">
      <c r="A782" s="268"/>
      <c r="B782" s="268"/>
      <c r="C782" s="268"/>
      <c r="D782" s="268"/>
      <c r="E782" s="268"/>
      <c r="F782" s="268"/>
      <c r="G782" s="268"/>
      <c r="H782" s="268"/>
      <c r="I782" s="389"/>
      <c r="J782" s="389"/>
      <c r="K782" s="389"/>
      <c r="L782" s="268"/>
      <c r="M782" s="268"/>
      <c r="N782" s="268"/>
      <c r="O782" s="310"/>
      <c r="P782" s="268"/>
      <c r="Q782" s="309"/>
      <c r="R782" s="268"/>
      <c r="S782" s="313"/>
      <c r="T782" s="313"/>
      <c r="U782" s="268"/>
      <c r="V782" s="268"/>
      <c r="W782" s="268"/>
      <c r="X782" s="268"/>
      <c r="Y782" s="268"/>
      <c r="Z782" s="268"/>
    </row>
    <row r="783" spans="1:26" ht="24.75" customHeight="1">
      <c r="A783" s="268"/>
      <c r="B783" s="268"/>
      <c r="C783" s="268"/>
      <c r="D783" s="268"/>
      <c r="E783" s="268"/>
      <c r="F783" s="268"/>
      <c r="G783" s="268"/>
      <c r="H783" s="268"/>
      <c r="I783" s="389"/>
      <c r="J783" s="389"/>
      <c r="K783" s="389"/>
      <c r="L783" s="268"/>
      <c r="M783" s="268"/>
      <c r="N783" s="268"/>
      <c r="O783" s="310"/>
      <c r="P783" s="268"/>
      <c r="Q783" s="309"/>
      <c r="R783" s="268"/>
      <c r="S783" s="313"/>
      <c r="T783" s="313"/>
      <c r="U783" s="268"/>
      <c r="V783" s="268"/>
      <c r="W783" s="268"/>
      <c r="X783" s="268"/>
      <c r="Y783" s="268"/>
      <c r="Z783" s="268"/>
    </row>
    <row r="784" spans="1:26" ht="24.75" customHeight="1">
      <c r="A784" s="268"/>
      <c r="B784" s="268"/>
      <c r="C784" s="268"/>
      <c r="D784" s="268"/>
      <c r="E784" s="268"/>
      <c r="F784" s="268"/>
      <c r="G784" s="268"/>
      <c r="H784" s="268"/>
      <c r="I784" s="389"/>
      <c r="J784" s="389"/>
      <c r="K784" s="389"/>
      <c r="L784" s="268"/>
      <c r="M784" s="268"/>
      <c r="N784" s="268"/>
      <c r="O784" s="310"/>
      <c r="P784" s="268"/>
      <c r="Q784" s="309"/>
      <c r="R784" s="268"/>
      <c r="S784" s="313"/>
      <c r="T784" s="313"/>
      <c r="U784" s="268"/>
      <c r="V784" s="268"/>
      <c r="W784" s="268"/>
      <c r="X784" s="268"/>
      <c r="Y784" s="268"/>
      <c r="Z784" s="268"/>
    </row>
    <row r="785" spans="1:26" ht="24.75" customHeight="1">
      <c r="A785" s="268"/>
      <c r="B785" s="268"/>
      <c r="C785" s="268"/>
      <c r="D785" s="268"/>
      <c r="E785" s="268"/>
      <c r="F785" s="268"/>
      <c r="G785" s="268"/>
      <c r="H785" s="268"/>
      <c r="I785" s="389"/>
      <c r="J785" s="389"/>
      <c r="K785" s="389"/>
      <c r="L785" s="268"/>
      <c r="M785" s="268"/>
      <c r="N785" s="268"/>
      <c r="O785" s="310"/>
      <c r="P785" s="268"/>
      <c r="Q785" s="309"/>
      <c r="R785" s="268"/>
      <c r="S785" s="313"/>
      <c r="T785" s="313"/>
      <c r="U785" s="268"/>
      <c r="V785" s="268"/>
      <c r="W785" s="268"/>
      <c r="X785" s="268"/>
      <c r="Y785" s="268"/>
      <c r="Z785" s="268"/>
    </row>
    <row r="786" spans="1:26" ht="24.75" customHeight="1">
      <c r="A786" s="268"/>
      <c r="B786" s="268"/>
      <c r="C786" s="268"/>
      <c r="D786" s="268"/>
      <c r="E786" s="268"/>
      <c r="F786" s="268"/>
      <c r="G786" s="268"/>
      <c r="H786" s="268"/>
      <c r="I786" s="389"/>
      <c r="J786" s="389"/>
      <c r="K786" s="389"/>
      <c r="L786" s="268"/>
      <c r="M786" s="268"/>
      <c r="N786" s="268"/>
      <c r="O786" s="310"/>
      <c r="P786" s="268"/>
      <c r="Q786" s="309"/>
      <c r="R786" s="268"/>
      <c r="S786" s="313"/>
      <c r="T786" s="313"/>
      <c r="U786" s="268"/>
      <c r="V786" s="268"/>
      <c r="W786" s="268"/>
      <c r="X786" s="268"/>
      <c r="Y786" s="268"/>
      <c r="Z786" s="268"/>
    </row>
    <row r="787" spans="1:26" ht="24.75" customHeight="1">
      <c r="A787" s="268"/>
      <c r="B787" s="268"/>
      <c r="C787" s="268"/>
      <c r="D787" s="268"/>
      <c r="E787" s="268"/>
      <c r="F787" s="268"/>
      <c r="G787" s="268"/>
      <c r="H787" s="268"/>
      <c r="I787" s="389"/>
      <c r="J787" s="389"/>
      <c r="K787" s="389"/>
      <c r="L787" s="268"/>
      <c r="M787" s="268"/>
      <c r="N787" s="268"/>
      <c r="O787" s="310"/>
      <c r="P787" s="268"/>
      <c r="Q787" s="309"/>
      <c r="R787" s="268"/>
      <c r="S787" s="313"/>
      <c r="T787" s="313"/>
      <c r="U787" s="268"/>
      <c r="V787" s="268"/>
      <c r="W787" s="268"/>
      <c r="X787" s="268"/>
      <c r="Y787" s="268"/>
      <c r="Z787" s="268"/>
    </row>
    <row r="788" spans="1:26" ht="24.75" customHeight="1">
      <c r="A788" s="268"/>
      <c r="B788" s="268"/>
      <c r="C788" s="268"/>
      <c r="D788" s="268"/>
      <c r="E788" s="268"/>
      <c r="F788" s="268"/>
      <c r="G788" s="268"/>
      <c r="H788" s="268"/>
      <c r="I788" s="389"/>
      <c r="J788" s="389"/>
      <c r="K788" s="389"/>
      <c r="L788" s="268"/>
      <c r="M788" s="268"/>
      <c r="N788" s="268"/>
      <c r="O788" s="310"/>
      <c r="P788" s="268"/>
      <c r="Q788" s="309"/>
      <c r="R788" s="268"/>
      <c r="S788" s="313"/>
      <c r="T788" s="313"/>
      <c r="U788" s="268"/>
      <c r="V788" s="268"/>
      <c r="W788" s="268"/>
      <c r="X788" s="268"/>
      <c r="Y788" s="268"/>
      <c r="Z788" s="268"/>
    </row>
    <row r="789" spans="1:26" ht="24.75" customHeight="1">
      <c r="A789" s="268"/>
      <c r="B789" s="268"/>
      <c r="C789" s="268"/>
      <c r="D789" s="268"/>
      <c r="E789" s="268"/>
      <c r="F789" s="268"/>
      <c r="G789" s="268"/>
      <c r="H789" s="268"/>
      <c r="I789" s="389"/>
      <c r="J789" s="389"/>
      <c r="K789" s="389"/>
      <c r="L789" s="268"/>
      <c r="M789" s="268"/>
      <c r="N789" s="268"/>
      <c r="O789" s="310"/>
      <c r="P789" s="268"/>
      <c r="Q789" s="309"/>
      <c r="R789" s="268"/>
      <c r="S789" s="313"/>
      <c r="T789" s="313"/>
      <c r="U789" s="268"/>
      <c r="V789" s="268"/>
      <c r="W789" s="268"/>
      <c r="X789" s="268"/>
      <c r="Y789" s="268"/>
      <c r="Z789" s="268"/>
    </row>
    <row r="790" spans="1:26" ht="24.75" customHeight="1">
      <c r="A790" s="268"/>
      <c r="B790" s="268"/>
      <c r="C790" s="268"/>
      <c r="D790" s="268"/>
      <c r="E790" s="268"/>
      <c r="F790" s="268"/>
      <c r="G790" s="268"/>
      <c r="H790" s="268"/>
      <c r="I790" s="389"/>
      <c r="J790" s="389"/>
      <c r="K790" s="389"/>
      <c r="L790" s="268"/>
      <c r="M790" s="268"/>
      <c r="N790" s="268"/>
      <c r="O790" s="310"/>
      <c r="P790" s="268"/>
      <c r="Q790" s="309"/>
      <c r="R790" s="268"/>
      <c r="S790" s="313"/>
      <c r="T790" s="313"/>
      <c r="U790" s="268"/>
      <c r="V790" s="268"/>
      <c r="W790" s="268"/>
      <c r="X790" s="268"/>
      <c r="Y790" s="268"/>
      <c r="Z790" s="268"/>
    </row>
    <row r="791" spans="1:26" ht="24.75" customHeight="1">
      <c r="A791" s="268"/>
      <c r="B791" s="268"/>
      <c r="C791" s="268"/>
      <c r="D791" s="268"/>
      <c r="E791" s="268"/>
      <c r="F791" s="268"/>
      <c r="G791" s="268"/>
      <c r="H791" s="268"/>
      <c r="I791" s="389"/>
      <c r="J791" s="389"/>
      <c r="K791" s="389"/>
      <c r="L791" s="268"/>
      <c r="M791" s="268"/>
      <c r="N791" s="268"/>
      <c r="O791" s="310"/>
      <c r="P791" s="268"/>
      <c r="Q791" s="309"/>
      <c r="R791" s="268"/>
      <c r="S791" s="313"/>
      <c r="T791" s="313"/>
      <c r="U791" s="268"/>
      <c r="V791" s="268"/>
      <c r="W791" s="268"/>
      <c r="X791" s="268"/>
      <c r="Y791" s="268"/>
      <c r="Z791" s="268"/>
    </row>
    <row r="792" spans="1:26" ht="24.75" customHeight="1">
      <c r="A792" s="268"/>
      <c r="B792" s="268"/>
      <c r="C792" s="268"/>
      <c r="D792" s="268"/>
      <c r="E792" s="268"/>
      <c r="F792" s="268"/>
      <c r="G792" s="268"/>
      <c r="H792" s="268"/>
      <c r="I792" s="389"/>
      <c r="J792" s="389"/>
      <c r="K792" s="389"/>
      <c r="L792" s="268"/>
      <c r="M792" s="268"/>
      <c r="N792" s="268"/>
      <c r="O792" s="310"/>
      <c r="P792" s="268"/>
      <c r="Q792" s="309"/>
      <c r="R792" s="268"/>
      <c r="S792" s="313"/>
      <c r="T792" s="313"/>
      <c r="U792" s="268"/>
      <c r="V792" s="268"/>
      <c r="W792" s="268"/>
      <c r="X792" s="268"/>
      <c r="Y792" s="268"/>
      <c r="Z792" s="268"/>
    </row>
    <row r="793" spans="1:26" ht="24.75" customHeight="1">
      <c r="A793" s="268"/>
      <c r="B793" s="268"/>
      <c r="C793" s="268"/>
      <c r="D793" s="268"/>
      <c r="E793" s="268"/>
      <c r="F793" s="268"/>
      <c r="G793" s="268"/>
      <c r="H793" s="268"/>
      <c r="I793" s="389"/>
      <c r="J793" s="389"/>
      <c r="K793" s="389"/>
      <c r="L793" s="268"/>
      <c r="M793" s="268"/>
      <c r="N793" s="268"/>
      <c r="O793" s="310"/>
      <c r="P793" s="268"/>
      <c r="Q793" s="309"/>
      <c r="R793" s="268"/>
      <c r="S793" s="313"/>
      <c r="T793" s="313"/>
      <c r="U793" s="268"/>
      <c r="V793" s="268"/>
      <c r="W793" s="268"/>
      <c r="X793" s="268"/>
      <c r="Y793" s="268"/>
      <c r="Z793" s="268"/>
    </row>
    <row r="794" spans="1:26" ht="24.75" customHeight="1">
      <c r="A794" s="268"/>
      <c r="B794" s="268"/>
      <c r="C794" s="268"/>
      <c r="D794" s="268"/>
      <c r="E794" s="268"/>
      <c r="F794" s="268"/>
      <c r="G794" s="268"/>
      <c r="H794" s="268"/>
      <c r="I794" s="389"/>
      <c r="J794" s="389"/>
      <c r="K794" s="389"/>
      <c r="L794" s="268"/>
      <c r="M794" s="268"/>
      <c r="N794" s="268"/>
      <c r="O794" s="310"/>
      <c r="P794" s="268"/>
      <c r="Q794" s="309"/>
      <c r="R794" s="268"/>
      <c r="S794" s="313"/>
      <c r="T794" s="313"/>
      <c r="U794" s="268"/>
      <c r="V794" s="268"/>
      <c r="W794" s="268"/>
      <c r="X794" s="268"/>
      <c r="Y794" s="268"/>
      <c r="Z794" s="268"/>
    </row>
    <row r="795" spans="1:26" ht="24.75" customHeight="1">
      <c r="A795" s="268"/>
      <c r="B795" s="268"/>
      <c r="C795" s="268"/>
      <c r="D795" s="268"/>
      <c r="E795" s="268"/>
      <c r="F795" s="268"/>
      <c r="G795" s="268"/>
      <c r="H795" s="268"/>
      <c r="I795" s="389"/>
      <c r="J795" s="389"/>
      <c r="K795" s="389"/>
      <c r="L795" s="268"/>
      <c r="M795" s="268"/>
      <c r="N795" s="268"/>
      <c r="O795" s="310"/>
      <c r="P795" s="268"/>
      <c r="Q795" s="309"/>
      <c r="R795" s="268"/>
      <c r="S795" s="313"/>
      <c r="T795" s="313"/>
      <c r="U795" s="268"/>
      <c r="V795" s="268"/>
      <c r="W795" s="268"/>
      <c r="X795" s="268"/>
      <c r="Y795" s="268"/>
      <c r="Z795" s="268"/>
    </row>
    <row r="796" spans="1:26" ht="24.75" customHeight="1">
      <c r="A796" s="268"/>
      <c r="B796" s="268"/>
      <c r="C796" s="268"/>
      <c r="D796" s="268"/>
      <c r="E796" s="268"/>
      <c r="F796" s="268"/>
      <c r="G796" s="268"/>
      <c r="H796" s="268"/>
      <c r="I796" s="389"/>
      <c r="J796" s="389"/>
      <c r="K796" s="389"/>
      <c r="L796" s="268"/>
      <c r="M796" s="268"/>
      <c r="N796" s="268"/>
      <c r="O796" s="310"/>
      <c r="P796" s="268"/>
      <c r="Q796" s="309"/>
      <c r="R796" s="268"/>
      <c r="S796" s="313"/>
      <c r="T796" s="313"/>
      <c r="U796" s="268"/>
      <c r="V796" s="268"/>
      <c r="W796" s="268"/>
      <c r="X796" s="268"/>
      <c r="Y796" s="268"/>
      <c r="Z796" s="268"/>
    </row>
    <row r="797" spans="1:26" ht="24.75" customHeight="1">
      <c r="A797" s="268"/>
      <c r="B797" s="268"/>
      <c r="C797" s="268"/>
      <c r="D797" s="268"/>
      <c r="E797" s="268"/>
      <c r="F797" s="268"/>
      <c r="G797" s="268"/>
      <c r="H797" s="268"/>
      <c r="I797" s="389"/>
      <c r="J797" s="389"/>
      <c r="K797" s="389"/>
      <c r="L797" s="268"/>
      <c r="M797" s="268"/>
      <c r="N797" s="268"/>
      <c r="O797" s="310"/>
      <c r="P797" s="268"/>
      <c r="Q797" s="309"/>
      <c r="R797" s="268"/>
      <c r="S797" s="313"/>
      <c r="T797" s="313"/>
      <c r="U797" s="268"/>
      <c r="V797" s="268"/>
      <c r="W797" s="268"/>
      <c r="X797" s="268"/>
      <c r="Y797" s="268"/>
      <c r="Z797" s="268"/>
    </row>
    <row r="798" spans="1:26" ht="24.75" customHeight="1">
      <c r="A798" s="268"/>
      <c r="B798" s="268"/>
      <c r="C798" s="268"/>
      <c r="D798" s="268"/>
      <c r="E798" s="268"/>
      <c r="F798" s="268"/>
      <c r="G798" s="268"/>
      <c r="H798" s="268"/>
      <c r="I798" s="389"/>
      <c r="J798" s="389"/>
      <c r="K798" s="389"/>
      <c r="L798" s="268"/>
      <c r="M798" s="268"/>
      <c r="N798" s="268"/>
      <c r="O798" s="310"/>
      <c r="P798" s="268"/>
      <c r="Q798" s="309"/>
      <c r="R798" s="268"/>
      <c r="S798" s="313"/>
      <c r="T798" s="313"/>
      <c r="U798" s="268"/>
      <c r="V798" s="268"/>
      <c r="W798" s="268"/>
      <c r="X798" s="268"/>
      <c r="Y798" s="268"/>
      <c r="Z798" s="268"/>
    </row>
    <row r="799" spans="1:26" ht="24.75" customHeight="1">
      <c r="A799" s="268"/>
      <c r="B799" s="268"/>
      <c r="C799" s="268"/>
      <c r="D799" s="268"/>
      <c r="E799" s="268"/>
      <c r="F799" s="268"/>
      <c r="G799" s="268"/>
      <c r="H799" s="268"/>
      <c r="I799" s="389"/>
      <c r="J799" s="389"/>
      <c r="K799" s="389"/>
      <c r="L799" s="268"/>
      <c r="M799" s="268"/>
      <c r="N799" s="268"/>
      <c r="O799" s="310"/>
      <c r="P799" s="268"/>
      <c r="Q799" s="309"/>
      <c r="R799" s="268"/>
      <c r="S799" s="313"/>
      <c r="T799" s="313"/>
      <c r="U799" s="268"/>
      <c r="V799" s="268"/>
      <c r="W799" s="268"/>
      <c r="X799" s="268"/>
      <c r="Y799" s="268"/>
      <c r="Z799" s="268"/>
    </row>
    <row r="800" spans="1:26" ht="24.75" customHeight="1">
      <c r="A800" s="268"/>
      <c r="B800" s="268"/>
      <c r="C800" s="268"/>
      <c r="D800" s="268"/>
      <c r="E800" s="268"/>
      <c r="F800" s="268"/>
      <c r="G800" s="268"/>
      <c r="H800" s="268"/>
      <c r="I800" s="389"/>
      <c r="J800" s="389"/>
      <c r="K800" s="389"/>
      <c r="L800" s="268"/>
      <c r="M800" s="268"/>
      <c r="N800" s="268"/>
      <c r="O800" s="310"/>
      <c r="P800" s="268"/>
      <c r="Q800" s="309"/>
      <c r="R800" s="268"/>
      <c r="S800" s="313"/>
      <c r="T800" s="313"/>
      <c r="U800" s="268"/>
      <c r="V800" s="268"/>
      <c r="W800" s="268"/>
      <c r="X800" s="268"/>
      <c r="Y800" s="268"/>
      <c r="Z800" s="268"/>
    </row>
    <row r="801" spans="1:26" ht="24.75" customHeight="1">
      <c r="A801" s="268"/>
      <c r="B801" s="268"/>
      <c r="C801" s="268"/>
      <c r="D801" s="268"/>
      <c r="E801" s="268"/>
      <c r="F801" s="268"/>
      <c r="G801" s="268"/>
      <c r="H801" s="268"/>
      <c r="I801" s="389"/>
      <c r="J801" s="389"/>
      <c r="K801" s="389"/>
      <c r="L801" s="268"/>
      <c r="M801" s="268"/>
      <c r="N801" s="268"/>
      <c r="O801" s="310"/>
      <c r="P801" s="268"/>
      <c r="Q801" s="309"/>
      <c r="R801" s="268"/>
      <c r="S801" s="313"/>
      <c r="T801" s="313"/>
      <c r="U801" s="268"/>
      <c r="V801" s="268"/>
      <c r="W801" s="268"/>
      <c r="X801" s="268"/>
      <c r="Y801" s="268"/>
      <c r="Z801" s="268"/>
    </row>
    <row r="802" spans="1:26" ht="24.75" customHeight="1">
      <c r="A802" s="268"/>
      <c r="B802" s="268"/>
      <c r="C802" s="268"/>
      <c r="D802" s="268"/>
      <c r="E802" s="268"/>
      <c r="F802" s="268"/>
      <c r="G802" s="268"/>
      <c r="H802" s="268"/>
      <c r="I802" s="389"/>
      <c r="J802" s="389"/>
      <c r="K802" s="389"/>
      <c r="L802" s="268"/>
      <c r="M802" s="268"/>
      <c r="N802" s="268"/>
      <c r="O802" s="310"/>
      <c r="P802" s="268"/>
      <c r="Q802" s="309"/>
      <c r="R802" s="268"/>
      <c r="S802" s="313"/>
      <c r="T802" s="313"/>
      <c r="U802" s="268"/>
      <c r="V802" s="268"/>
      <c r="W802" s="268"/>
      <c r="X802" s="268"/>
      <c r="Y802" s="268"/>
      <c r="Z802" s="268"/>
    </row>
    <row r="803" spans="1:26" ht="24.75" customHeight="1">
      <c r="A803" s="268"/>
      <c r="B803" s="268"/>
      <c r="C803" s="268"/>
      <c r="D803" s="268"/>
      <c r="E803" s="268"/>
      <c r="F803" s="268"/>
      <c r="G803" s="268"/>
      <c r="H803" s="268"/>
      <c r="I803" s="389"/>
      <c r="J803" s="389"/>
      <c r="K803" s="389"/>
      <c r="L803" s="268"/>
      <c r="M803" s="268"/>
      <c r="N803" s="268"/>
      <c r="O803" s="310"/>
      <c r="P803" s="268"/>
      <c r="Q803" s="309"/>
      <c r="R803" s="268"/>
      <c r="S803" s="313"/>
      <c r="T803" s="313"/>
      <c r="U803" s="268"/>
      <c r="V803" s="268"/>
      <c r="W803" s="268"/>
      <c r="X803" s="268"/>
      <c r="Y803" s="268"/>
      <c r="Z803" s="268"/>
    </row>
    <row r="804" spans="1:26" ht="24.75" customHeight="1">
      <c r="A804" s="268"/>
      <c r="B804" s="268"/>
      <c r="C804" s="268"/>
      <c r="D804" s="268"/>
      <c r="E804" s="268"/>
      <c r="F804" s="268"/>
      <c r="G804" s="268"/>
      <c r="H804" s="268"/>
      <c r="I804" s="389"/>
      <c r="J804" s="389"/>
      <c r="K804" s="389"/>
      <c r="L804" s="268"/>
      <c r="M804" s="268"/>
      <c r="N804" s="268"/>
      <c r="O804" s="310"/>
      <c r="P804" s="268"/>
      <c r="Q804" s="309"/>
      <c r="R804" s="268"/>
      <c r="S804" s="313"/>
      <c r="T804" s="313"/>
      <c r="U804" s="268"/>
      <c r="V804" s="268"/>
      <c r="W804" s="268"/>
      <c r="X804" s="268"/>
      <c r="Y804" s="268"/>
      <c r="Z804" s="268"/>
    </row>
    <row r="805" spans="1:26" ht="24.75" customHeight="1">
      <c r="A805" s="268"/>
      <c r="B805" s="268"/>
      <c r="C805" s="268"/>
      <c r="D805" s="268"/>
      <c r="E805" s="268"/>
      <c r="F805" s="268"/>
      <c r="G805" s="268"/>
      <c r="H805" s="268"/>
      <c r="I805" s="389"/>
      <c r="J805" s="389"/>
      <c r="K805" s="389"/>
      <c r="L805" s="268"/>
      <c r="M805" s="268"/>
      <c r="N805" s="268"/>
      <c r="O805" s="310"/>
      <c r="P805" s="268"/>
      <c r="Q805" s="309"/>
      <c r="R805" s="268"/>
      <c r="S805" s="313"/>
      <c r="T805" s="313"/>
      <c r="U805" s="268"/>
      <c r="V805" s="268"/>
      <c r="W805" s="268"/>
      <c r="X805" s="268"/>
      <c r="Y805" s="268"/>
      <c r="Z805" s="268"/>
    </row>
    <row r="806" spans="1:26" ht="24.75" customHeight="1">
      <c r="A806" s="268"/>
      <c r="B806" s="268"/>
      <c r="C806" s="268"/>
      <c r="D806" s="268"/>
      <c r="E806" s="268"/>
      <c r="F806" s="268"/>
      <c r="G806" s="268"/>
      <c r="H806" s="268"/>
      <c r="I806" s="389"/>
      <c r="J806" s="389"/>
      <c r="K806" s="389"/>
      <c r="L806" s="268"/>
      <c r="M806" s="268"/>
      <c r="N806" s="268"/>
      <c r="O806" s="310"/>
      <c r="P806" s="268"/>
      <c r="Q806" s="309"/>
      <c r="R806" s="268"/>
      <c r="S806" s="313"/>
      <c r="T806" s="313"/>
      <c r="U806" s="268"/>
      <c r="V806" s="268"/>
      <c r="W806" s="268"/>
      <c r="X806" s="268"/>
      <c r="Y806" s="268"/>
      <c r="Z806" s="268"/>
    </row>
    <row r="807" spans="1:26" ht="24.75" customHeight="1">
      <c r="A807" s="268"/>
      <c r="B807" s="268"/>
      <c r="C807" s="268"/>
      <c r="D807" s="268"/>
      <c r="E807" s="268"/>
      <c r="F807" s="268"/>
      <c r="G807" s="268"/>
      <c r="H807" s="268"/>
      <c r="I807" s="389"/>
      <c r="J807" s="389"/>
      <c r="K807" s="389"/>
      <c r="L807" s="268"/>
      <c r="M807" s="268"/>
      <c r="N807" s="268"/>
      <c r="O807" s="310"/>
      <c r="P807" s="268"/>
      <c r="Q807" s="309"/>
      <c r="R807" s="268"/>
      <c r="S807" s="313"/>
      <c r="T807" s="313"/>
      <c r="U807" s="268"/>
      <c r="V807" s="268"/>
      <c r="W807" s="268"/>
      <c r="X807" s="268"/>
      <c r="Y807" s="268"/>
      <c r="Z807" s="268"/>
    </row>
    <row r="808" spans="1:26" ht="24.75" customHeight="1">
      <c r="A808" s="268"/>
      <c r="B808" s="268"/>
      <c r="C808" s="268"/>
      <c r="D808" s="268"/>
      <c r="E808" s="268"/>
      <c r="F808" s="268"/>
      <c r="G808" s="268"/>
      <c r="H808" s="268"/>
      <c r="I808" s="389"/>
      <c r="J808" s="389"/>
      <c r="K808" s="389"/>
      <c r="L808" s="268"/>
      <c r="M808" s="268"/>
      <c r="N808" s="268"/>
      <c r="O808" s="310"/>
      <c r="P808" s="268"/>
      <c r="Q808" s="309"/>
      <c r="R808" s="268"/>
      <c r="S808" s="313"/>
      <c r="T808" s="313"/>
      <c r="U808" s="268"/>
      <c r="V808" s="268"/>
      <c r="W808" s="268"/>
      <c r="X808" s="268"/>
      <c r="Y808" s="268"/>
      <c r="Z808" s="268"/>
    </row>
    <row r="809" spans="1:26" ht="24.75" customHeight="1">
      <c r="A809" s="268"/>
      <c r="B809" s="268"/>
      <c r="C809" s="268"/>
      <c r="D809" s="268"/>
      <c r="E809" s="268"/>
      <c r="F809" s="268"/>
      <c r="G809" s="268"/>
      <c r="H809" s="268"/>
      <c r="I809" s="389"/>
      <c r="J809" s="389"/>
      <c r="K809" s="389"/>
      <c r="L809" s="268"/>
      <c r="M809" s="268"/>
      <c r="N809" s="268"/>
      <c r="O809" s="310"/>
      <c r="P809" s="268"/>
      <c r="Q809" s="309"/>
      <c r="R809" s="268"/>
      <c r="S809" s="313"/>
      <c r="T809" s="313"/>
      <c r="U809" s="268"/>
      <c r="V809" s="268"/>
      <c r="W809" s="268"/>
      <c r="X809" s="268"/>
      <c r="Y809" s="268"/>
      <c r="Z809" s="268"/>
    </row>
    <row r="810" spans="1:26" ht="24.75" customHeight="1">
      <c r="A810" s="268"/>
      <c r="B810" s="268"/>
      <c r="C810" s="268"/>
      <c r="D810" s="268"/>
      <c r="E810" s="268"/>
      <c r="F810" s="268"/>
      <c r="G810" s="268"/>
      <c r="H810" s="268"/>
      <c r="I810" s="389"/>
      <c r="J810" s="389"/>
      <c r="K810" s="389"/>
      <c r="L810" s="268"/>
      <c r="M810" s="268"/>
      <c r="N810" s="268"/>
      <c r="O810" s="310"/>
      <c r="P810" s="268"/>
      <c r="Q810" s="309"/>
      <c r="R810" s="268"/>
      <c r="S810" s="313"/>
      <c r="T810" s="313"/>
      <c r="U810" s="268"/>
      <c r="V810" s="268"/>
      <c r="W810" s="268"/>
      <c r="X810" s="268"/>
      <c r="Y810" s="268"/>
      <c r="Z810" s="268"/>
    </row>
    <row r="811" spans="1:26" ht="24.75" customHeight="1">
      <c r="A811" s="268"/>
      <c r="B811" s="268"/>
      <c r="C811" s="268"/>
      <c r="D811" s="268"/>
      <c r="E811" s="268"/>
      <c r="F811" s="268"/>
      <c r="G811" s="268"/>
      <c r="H811" s="268"/>
      <c r="I811" s="389"/>
      <c r="J811" s="389"/>
      <c r="K811" s="389"/>
      <c r="L811" s="268"/>
      <c r="M811" s="268"/>
      <c r="N811" s="268"/>
      <c r="O811" s="310"/>
      <c r="P811" s="268"/>
      <c r="Q811" s="309"/>
      <c r="R811" s="268"/>
      <c r="S811" s="313"/>
      <c r="T811" s="313"/>
      <c r="U811" s="268"/>
      <c r="V811" s="268"/>
      <c r="W811" s="268"/>
      <c r="X811" s="268"/>
      <c r="Y811" s="268"/>
      <c r="Z811" s="268"/>
    </row>
    <row r="812" spans="1:26" ht="24.75" customHeight="1">
      <c r="A812" s="268"/>
      <c r="B812" s="268"/>
      <c r="C812" s="268"/>
      <c r="D812" s="268"/>
      <c r="E812" s="268"/>
      <c r="F812" s="268"/>
      <c r="G812" s="268"/>
      <c r="H812" s="268"/>
      <c r="I812" s="389"/>
      <c r="J812" s="389"/>
      <c r="K812" s="389"/>
      <c r="L812" s="268"/>
      <c r="M812" s="268"/>
      <c r="N812" s="268"/>
      <c r="O812" s="310"/>
      <c r="P812" s="268"/>
      <c r="Q812" s="309"/>
      <c r="R812" s="268"/>
      <c r="S812" s="313"/>
      <c r="T812" s="313"/>
      <c r="U812" s="268"/>
      <c r="V812" s="268"/>
      <c r="W812" s="268"/>
      <c r="X812" s="268"/>
      <c r="Y812" s="268"/>
      <c r="Z812" s="268"/>
    </row>
    <row r="813" spans="1:26" ht="24.75" customHeight="1">
      <c r="A813" s="268"/>
      <c r="B813" s="268"/>
      <c r="C813" s="268"/>
      <c r="D813" s="268"/>
      <c r="E813" s="268"/>
      <c r="F813" s="268"/>
      <c r="G813" s="268"/>
      <c r="H813" s="268"/>
      <c r="I813" s="389"/>
      <c r="J813" s="389"/>
      <c r="K813" s="389"/>
      <c r="L813" s="268"/>
      <c r="M813" s="268"/>
      <c r="N813" s="268"/>
      <c r="O813" s="310"/>
      <c r="P813" s="268"/>
      <c r="Q813" s="309"/>
      <c r="R813" s="268"/>
      <c r="S813" s="313"/>
      <c r="T813" s="313"/>
      <c r="U813" s="268"/>
      <c r="V813" s="268"/>
      <c r="W813" s="268"/>
      <c r="X813" s="268"/>
      <c r="Y813" s="268"/>
      <c r="Z813" s="268"/>
    </row>
    <row r="814" spans="1:26" ht="24.75" customHeight="1">
      <c r="A814" s="268"/>
      <c r="B814" s="268"/>
      <c r="C814" s="268"/>
      <c r="D814" s="268"/>
      <c r="E814" s="268"/>
      <c r="F814" s="268"/>
      <c r="G814" s="268"/>
      <c r="H814" s="268"/>
      <c r="I814" s="389"/>
      <c r="J814" s="389"/>
      <c r="K814" s="389"/>
      <c r="L814" s="268"/>
      <c r="M814" s="268"/>
      <c r="N814" s="268"/>
      <c r="O814" s="310"/>
      <c r="P814" s="268"/>
      <c r="Q814" s="309"/>
      <c r="R814" s="268"/>
      <c r="S814" s="313"/>
      <c r="T814" s="313"/>
      <c r="U814" s="268"/>
      <c r="V814" s="268"/>
      <c r="W814" s="268"/>
      <c r="X814" s="268"/>
      <c r="Y814" s="268"/>
      <c r="Z814" s="268"/>
    </row>
    <row r="815" spans="1:26" ht="24.75" customHeight="1">
      <c r="A815" s="268"/>
      <c r="B815" s="268"/>
      <c r="C815" s="268"/>
      <c r="D815" s="268"/>
      <c r="E815" s="268"/>
      <c r="F815" s="268"/>
      <c r="G815" s="268"/>
      <c r="H815" s="268"/>
      <c r="I815" s="389"/>
      <c r="J815" s="389"/>
      <c r="K815" s="389"/>
      <c r="L815" s="268"/>
      <c r="M815" s="268"/>
      <c r="N815" s="268"/>
      <c r="O815" s="310"/>
      <c r="P815" s="268"/>
      <c r="Q815" s="309"/>
      <c r="R815" s="268"/>
      <c r="S815" s="313"/>
      <c r="T815" s="313"/>
      <c r="U815" s="268"/>
      <c r="V815" s="268"/>
      <c r="W815" s="268"/>
      <c r="X815" s="268"/>
      <c r="Y815" s="268"/>
      <c r="Z815" s="268"/>
    </row>
    <row r="816" spans="1:26" ht="24.75" customHeight="1">
      <c r="A816" s="268"/>
      <c r="B816" s="268"/>
      <c r="C816" s="268"/>
      <c r="D816" s="268"/>
      <c r="E816" s="268"/>
      <c r="F816" s="268"/>
      <c r="G816" s="268"/>
      <c r="H816" s="268"/>
      <c r="I816" s="389"/>
      <c r="J816" s="389"/>
      <c r="K816" s="389"/>
      <c r="L816" s="268"/>
      <c r="M816" s="268"/>
      <c r="N816" s="268"/>
      <c r="O816" s="310"/>
      <c r="P816" s="268"/>
      <c r="Q816" s="309"/>
      <c r="R816" s="268"/>
      <c r="S816" s="313"/>
      <c r="T816" s="313"/>
      <c r="U816" s="268"/>
      <c r="V816" s="268"/>
      <c r="W816" s="268"/>
      <c r="X816" s="268"/>
      <c r="Y816" s="268"/>
      <c r="Z816" s="268"/>
    </row>
    <row r="817" spans="1:26" ht="24.75" customHeight="1">
      <c r="A817" s="268"/>
      <c r="B817" s="268"/>
      <c r="C817" s="268"/>
      <c r="D817" s="268"/>
      <c r="E817" s="268"/>
      <c r="F817" s="268"/>
      <c r="G817" s="268"/>
      <c r="H817" s="268"/>
      <c r="I817" s="389"/>
      <c r="J817" s="389"/>
      <c r="K817" s="389"/>
      <c r="L817" s="268"/>
      <c r="M817" s="268"/>
      <c r="N817" s="268"/>
      <c r="O817" s="310"/>
      <c r="P817" s="268"/>
      <c r="Q817" s="309"/>
      <c r="R817" s="268"/>
      <c r="S817" s="313"/>
      <c r="T817" s="313"/>
      <c r="U817" s="268"/>
      <c r="V817" s="268"/>
      <c r="W817" s="268"/>
      <c r="X817" s="268"/>
      <c r="Y817" s="268"/>
      <c r="Z817" s="268"/>
    </row>
    <row r="818" spans="1:26" ht="24.75" customHeight="1">
      <c r="A818" s="268"/>
      <c r="B818" s="268"/>
      <c r="C818" s="268"/>
      <c r="D818" s="268"/>
      <c r="E818" s="268"/>
      <c r="F818" s="268"/>
      <c r="G818" s="268"/>
      <c r="H818" s="268"/>
      <c r="I818" s="389"/>
      <c r="J818" s="389"/>
      <c r="K818" s="389"/>
      <c r="L818" s="268"/>
      <c r="M818" s="268"/>
      <c r="N818" s="268"/>
      <c r="O818" s="310"/>
      <c r="P818" s="268"/>
      <c r="Q818" s="309"/>
      <c r="R818" s="268"/>
      <c r="S818" s="313"/>
      <c r="T818" s="313"/>
      <c r="U818" s="268"/>
      <c r="V818" s="268"/>
      <c r="W818" s="268"/>
      <c r="X818" s="268"/>
      <c r="Y818" s="268"/>
      <c r="Z818" s="268"/>
    </row>
    <row r="819" spans="1:26" ht="24.75" customHeight="1">
      <c r="A819" s="268"/>
      <c r="B819" s="268"/>
      <c r="C819" s="268"/>
      <c r="D819" s="268"/>
      <c r="E819" s="268"/>
      <c r="F819" s="268"/>
      <c r="G819" s="268"/>
      <c r="H819" s="268"/>
      <c r="I819" s="389"/>
      <c r="J819" s="389"/>
      <c r="K819" s="389"/>
      <c r="L819" s="268"/>
      <c r="M819" s="268"/>
      <c r="N819" s="268"/>
      <c r="O819" s="310"/>
      <c r="P819" s="268"/>
      <c r="Q819" s="309"/>
      <c r="R819" s="268"/>
      <c r="S819" s="313"/>
      <c r="T819" s="313"/>
      <c r="U819" s="268"/>
      <c r="V819" s="268"/>
      <c r="W819" s="268"/>
      <c r="X819" s="268"/>
      <c r="Y819" s="268"/>
      <c r="Z819" s="268"/>
    </row>
    <row r="820" spans="1:26" ht="24.75" customHeight="1">
      <c r="A820" s="268"/>
      <c r="B820" s="268"/>
      <c r="C820" s="268"/>
      <c r="D820" s="268"/>
      <c r="E820" s="268"/>
      <c r="F820" s="268"/>
      <c r="G820" s="268"/>
      <c r="H820" s="268"/>
      <c r="I820" s="389"/>
      <c r="J820" s="389"/>
      <c r="K820" s="389"/>
      <c r="L820" s="268"/>
      <c r="M820" s="268"/>
      <c r="N820" s="268"/>
      <c r="O820" s="310"/>
      <c r="P820" s="268"/>
      <c r="Q820" s="309"/>
      <c r="R820" s="268"/>
      <c r="S820" s="313"/>
      <c r="T820" s="313"/>
      <c r="U820" s="268"/>
      <c r="V820" s="268"/>
      <c r="W820" s="268"/>
      <c r="X820" s="268"/>
      <c r="Y820" s="268"/>
      <c r="Z820" s="268"/>
    </row>
    <row r="821" spans="1:26" ht="24.75" customHeight="1">
      <c r="A821" s="268"/>
      <c r="B821" s="268"/>
      <c r="C821" s="268"/>
      <c r="D821" s="268"/>
      <c r="E821" s="268"/>
      <c r="F821" s="268"/>
      <c r="G821" s="268"/>
      <c r="H821" s="268"/>
      <c r="I821" s="389"/>
      <c r="J821" s="389"/>
      <c r="K821" s="389"/>
      <c r="L821" s="268"/>
      <c r="M821" s="268"/>
      <c r="N821" s="268"/>
      <c r="O821" s="310"/>
      <c r="P821" s="268"/>
      <c r="Q821" s="309"/>
      <c r="R821" s="268"/>
      <c r="S821" s="313"/>
      <c r="T821" s="313"/>
      <c r="U821" s="268"/>
      <c r="V821" s="268"/>
      <c r="W821" s="268"/>
      <c r="X821" s="268"/>
      <c r="Y821" s="268"/>
      <c r="Z821" s="268"/>
    </row>
    <row r="822" spans="1:26" ht="24.75" customHeight="1">
      <c r="A822" s="268"/>
      <c r="B822" s="268"/>
      <c r="C822" s="268"/>
      <c r="D822" s="268"/>
      <c r="E822" s="268"/>
      <c r="F822" s="268"/>
      <c r="G822" s="268"/>
      <c r="H822" s="268"/>
      <c r="I822" s="389"/>
      <c r="J822" s="389"/>
      <c r="K822" s="389"/>
      <c r="L822" s="268"/>
      <c r="M822" s="268"/>
      <c r="N822" s="268"/>
      <c r="O822" s="310"/>
      <c r="P822" s="268"/>
      <c r="Q822" s="309"/>
      <c r="R822" s="268"/>
      <c r="S822" s="313"/>
      <c r="T822" s="313"/>
      <c r="U822" s="268"/>
      <c r="V822" s="268"/>
      <c r="W822" s="268"/>
      <c r="X822" s="268"/>
      <c r="Y822" s="268"/>
      <c r="Z822" s="268"/>
    </row>
    <row r="823" spans="1:26" ht="24.75" customHeight="1">
      <c r="A823" s="268"/>
      <c r="B823" s="268"/>
      <c r="C823" s="268"/>
      <c r="D823" s="268"/>
      <c r="E823" s="268"/>
      <c r="F823" s="268"/>
      <c r="G823" s="268"/>
      <c r="H823" s="268"/>
      <c r="I823" s="389"/>
      <c r="J823" s="389"/>
      <c r="K823" s="389"/>
      <c r="L823" s="268"/>
      <c r="M823" s="268"/>
      <c r="N823" s="268"/>
      <c r="O823" s="310"/>
      <c r="P823" s="268"/>
      <c r="Q823" s="309"/>
      <c r="R823" s="268"/>
      <c r="S823" s="313"/>
      <c r="T823" s="313"/>
      <c r="U823" s="268"/>
      <c r="V823" s="268"/>
      <c r="W823" s="268"/>
      <c r="X823" s="268"/>
      <c r="Y823" s="268"/>
      <c r="Z823" s="268"/>
    </row>
    <row r="824" spans="1:26" ht="24.75" customHeight="1">
      <c r="A824" s="268"/>
      <c r="B824" s="268"/>
      <c r="C824" s="268"/>
      <c r="D824" s="268"/>
      <c r="E824" s="268"/>
      <c r="F824" s="268"/>
      <c r="G824" s="268"/>
      <c r="H824" s="268"/>
      <c r="I824" s="389"/>
      <c r="J824" s="389"/>
      <c r="K824" s="389"/>
      <c r="L824" s="268"/>
      <c r="M824" s="268"/>
      <c r="N824" s="268"/>
      <c r="O824" s="310"/>
      <c r="P824" s="268"/>
      <c r="Q824" s="309"/>
      <c r="R824" s="268"/>
      <c r="S824" s="313"/>
      <c r="T824" s="313"/>
      <c r="U824" s="268"/>
      <c r="V824" s="268"/>
      <c r="W824" s="268"/>
      <c r="X824" s="268"/>
      <c r="Y824" s="268"/>
      <c r="Z824" s="268"/>
    </row>
    <row r="825" spans="1:26" ht="24.75" customHeight="1">
      <c r="A825" s="268"/>
      <c r="B825" s="268"/>
      <c r="C825" s="268"/>
      <c r="D825" s="268"/>
      <c r="E825" s="268"/>
      <c r="F825" s="268"/>
      <c r="G825" s="268"/>
      <c r="H825" s="268"/>
      <c r="I825" s="389"/>
      <c r="J825" s="389"/>
      <c r="K825" s="389"/>
      <c r="L825" s="268"/>
      <c r="M825" s="268"/>
      <c r="N825" s="268"/>
      <c r="O825" s="310"/>
      <c r="P825" s="268"/>
      <c r="Q825" s="309"/>
      <c r="R825" s="268"/>
      <c r="S825" s="313"/>
      <c r="T825" s="313"/>
      <c r="U825" s="268"/>
      <c r="V825" s="268"/>
      <c r="W825" s="268"/>
      <c r="X825" s="268"/>
      <c r="Y825" s="268"/>
      <c r="Z825" s="268"/>
    </row>
    <row r="826" spans="1:26" ht="24.75" customHeight="1">
      <c r="A826" s="268"/>
      <c r="B826" s="268"/>
      <c r="C826" s="268"/>
      <c r="D826" s="268"/>
      <c r="E826" s="268"/>
      <c r="F826" s="268"/>
      <c r="G826" s="268"/>
      <c r="H826" s="268"/>
      <c r="I826" s="389"/>
      <c r="J826" s="389"/>
      <c r="K826" s="389"/>
      <c r="L826" s="268"/>
      <c r="M826" s="268"/>
      <c r="N826" s="268"/>
      <c r="O826" s="310"/>
      <c r="P826" s="268"/>
      <c r="Q826" s="309"/>
      <c r="R826" s="268"/>
      <c r="S826" s="313"/>
      <c r="T826" s="313"/>
      <c r="U826" s="268"/>
      <c r="V826" s="268"/>
      <c r="W826" s="268"/>
      <c r="X826" s="268"/>
      <c r="Y826" s="268"/>
      <c r="Z826" s="268"/>
    </row>
    <row r="827" spans="1:26" ht="24.75" customHeight="1">
      <c r="A827" s="268"/>
      <c r="B827" s="268"/>
      <c r="C827" s="268"/>
      <c r="D827" s="268"/>
      <c r="E827" s="268"/>
      <c r="F827" s="268"/>
      <c r="G827" s="268"/>
      <c r="H827" s="268"/>
      <c r="I827" s="389"/>
      <c r="J827" s="389"/>
      <c r="K827" s="389"/>
      <c r="L827" s="268"/>
      <c r="M827" s="268"/>
      <c r="N827" s="268"/>
      <c r="O827" s="310"/>
      <c r="P827" s="268"/>
      <c r="Q827" s="309"/>
      <c r="R827" s="268"/>
      <c r="S827" s="313"/>
      <c r="T827" s="313"/>
      <c r="U827" s="268"/>
      <c r="V827" s="268"/>
      <c r="W827" s="268"/>
      <c r="X827" s="268"/>
      <c r="Y827" s="268"/>
      <c r="Z827" s="268"/>
    </row>
    <row r="828" spans="1:26" ht="24.75" customHeight="1">
      <c r="A828" s="268"/>
      <c r="B828" s="268"/>
      <c r="C828" s="268"/>
      <c r="D828" s="268"/>
      <c r="E828" s="268"/>
      <c r="F828" s="268"/>
      <c r="G828" s="268"/>
      <c r="H828" s="268"/>
      <c r="I828" s="389"/>
      <c r="J828" s="389"/>
      <c r="K828" s="389"/>
      <c r="L828" s="268"/>
      <c r="M828" s="268"/>
      <c r="N828" s="268"/>
      <c r="O828" s="310"/>
      <c r="P828" s="268"/>
      <c r="Q828" s="309"/>
      <c r="R828" s="268"/>
      <c r="S828" s="313"/>
      <c r="T828" s="313"/>
      <c r="U828" s="268"/>
      <c r="V828" s="268"/>
      <c r="W828" s="268"/>
      <c r="X828" s="268"/>
      <c r="Y828" s="268"/>
      <c r="Z828" s="268"/>
    </row>
    <row r="829" spans="1:26" ht="24.75" customHeight="1">
      <c r="A829" s="268"/>
      <c r="B829" s="268"/>
      <c r="C829" s="268"/>
      <c r="D829" s="268"/>
      <c r="E829" s="268"/>
      <c r="F829" s="268"/>
      <c r="G829" s="268"/>
      <c r="H829" s="268"/>
      <c r="I829" s="389"/>
      <c r="J829" s="389"/>
      <c r="K829" s="389"/>
      <c r="L829" s="268"/>
      <c r="M829" s="268"/>
      <c r="N829" s="268"/>
      <c r="O829" s="310"/>
      <c r="P829" s="268"/>
      <c r="Q829" s="309"/>
      <c r="R829" s="268"/>
      <c r="S829" s="313"/>
      <c r="T829" s="313"/>
      <c r="U829" s="268"/>
      <c r="V829" s="268"/>
      <c r="W829" s="268"/>
      <c r="X829" s="268"/>
      <c r="Y829" s="268"/>
      <c r="Z829" s="268"/>
    </row>
    <row r="830" spans="1:26" ht="24.75" customHeight="1">
      <c r="A830" s="268"/>
      <c r="B830" s="268"/>
      <c r="C830" s="268"/>
      <c r="D830" s="268"/>
      <c r="E830" s="268"/>
      <c r="F830" s="268"/>
      <c r="G830" s="268"/>
      <c r="H830" s="268"/>
      <c r="I830" s="389"/>
      <c r="J830" s="389"/>
      <c r="K830" s="389"/>
      <c r="L830" s="268"/>
      <c r="M830" s="268"/>
      <c r="N830" s="268"/>
      <c r="O830" s="310"/>
      <c r="P830" s="268"/>
      <c r="Q830" s="309"/>
      <c r="R830" s="268"/>
      <c r="S830" s="313"/>
      <c r="T830" s="313"/>
      <c r="U830" s="268"/>
      <c r="V830" s="268"/>
      <c r="W830" s="268"/>
      <c r="X830" s="268"/>
      <c r="Y830" s="268"/>
      <c r="Z830" s="268"/>
    </row>
    <row r="831" spans="1:26" ht="24.75" customHeight="1">
      <c r="A831" s="268"/>
      <c r="B831" s="268"/>
      <c r="C831" s="268"/>
      <c r="D831" s="268"/>
      <c r="E831" s="268"/>
      <c r="F831" s="268"/>
      <c r="G831" s="268"/>
      <c r="H831" s="268"/>
      <c r="I831" s="389"/>
      <c r="J831" s="389"/>
      <c r="K831" s="389"/>
      <c r="L831" s="268"/>
      <c r="M831" s="268"/>
      <c r="N831" s="268"/>
      <c r="O831" s="310"/>
      <c r="P831" s="268"/>
      <c r="Q831" s="309"/>
      <c r="R831" s="268"/>
      <c r="S831" s="313"/>
      <c r="T831" s="313"/>
      <c r="U831" s="268"/>
      <c r="V831" s="268"/>
      <c r="W831" s="268"/>
      <c r="X831" s="268"/>
      <c r="Y831" s="268"/>
      <c r="Z831" s="268"/>
    </row>
    <row r="832" spans="1:26" ht="24.75" customHeight="1">
      <c r="A832" s="268"/>
      <c r="B832" s="268"/>
      <c r="C832" s="268"/>
      <c r="D832" s="268"/>
      <c r="E832" s="268"/>
      <c r="F832" s="268"/>
      <c r="G832" s="268"/>
      <c r="H832" s="268"/>
      <c r="I832" s="389"/>
      <c r="J832" s="389"/>
      <c r="K832" s="389"/>
      <c r="L832" s="268"/>
      <c r="M832" s="268"/>
      <c r="N832" s="268"/>
      <c r="O832" s="310"/>
      <c r="P832" s="268"/>
      <c r="Q832" s="309"/>
      <c r="R832" s="268"/>
      <c r="S832" s="313"/>
      <c r="T832" s="313"/>
      <c r="U832" s="268"/>
      <c r="V832" s="268"/>
      <c r="W832" s="268"/>
      <c r="X832" s="268"/>
      <c r="Y832" s="268"/>
      <c r="Z832" s="268"/>
    </row>
    <row r="833" spans="1:26" ht="24.75" customHeight="1">
      <c r="A833" s="268"/>
      <c r="B833" s="268"/>
      <c r="C833" s="268"/>
      <c r="D833" s="268"/>
      <c r="E833" s="268"/>
      <c r="F833" s="268"/>
      <c r="G833" s="268"/>
      <c r="H833" s="268"/>
      <c r="I833" s="389"/>
      <c r="J833" s="389"/>
      <c r="K833" s="389"/>
      <c r="L833" s="268"/>
      <c r="M833" s="268"/>
      <c r="N833" s="268"/>
      <c r="O833" s="310"/>
      <c r="P833" s="268"/>
      <c r="Q833" s="309"/>
      <c r="R833" s="268"/>
      <c r="S833" s="313"/>
      <c r="T833" s="313"/>
      <c r="U833" s="268"/>
      <c r="V833" s="268"/>
      <c r="W833" s="268"/>
      <c r="X833" s="268"/>
      <c r="Y833" s="268"/>
      <c r="Z833" s="268"/>
    </row>
    <row r="834" spans="1:26" ht="24.75" customHeight="1">
      <c r="A834" s="268"/>
      <c r="B834" s="268"/>
      <c r="C834" s="268"/>
      <c r="D834" s="268"/>
      <c r="E834" s="268"/>
      <c r="F834" s="268"/>
      <c r="G834" s="268"/>
      <c r="H834" s="268"/>
      <c r="I834" s="389"/>
      <c r="J834" s="389"/>
      <c r="K834" s="389"/>
      <c r="L834" s="268"/>
      <c r="M834" s="268"/>
      <c r="N834" s="268"/>
      <c r="O834" s="310"/>
      <c r="P834" s="268"/>
      <c r="Q834" s="309"/>
      <c r="R834" s="268"/>
      <c r="S834" s="313"/>
      <c r="T834" s="313"/>
      <c r="U834" s="268"/>
      <c r="V834" s="268"/>
      <c r="W834" s="268"/>
      <c r="X834" s="268"/>
      <c r="Y834" s="268"/>
      <c r="Z834" s="268"/>
    </row>
    <row r="835" spans="1:26" ht="24.75" customHeight="1">
      <c r="A835" s="268"/>
      <c r="B835" s="268"/>
      <c r="C835" s="268"/>
      <c r="D835" s="268"/>
      <c r="E835" s="268"/>
      <c r="F835" s="268"/>
      <c r="G835" s="268"/>
      <c r="H835" s="268"/>
      <c r="I835" s="389"/>
      <c r="J835" s="389"/>
      <c r="K835" s="389"/>
      <c r="L835" s="268"/>
      <c r="M835" s="268"/>
      <c r="N835" s="268"/>
      <c r="O835" s="310"/>
      <c r="P835" s="268"/>
      <c r="Q835" s="309"/>
      <c r="R835" s="268"/>
      <c r="S835" s="313"/>
      <c r="T835" s="313"/>
      <c r="U835" s="268"/>
      <c r="V835" s="268"/>
      <c r="W835" s="268"/>
      <c r="X835" s="268"/>
      <c r="Y835" s="268"/>
      <c r="Z835" s="268"/>
    </row>
    <row r="836" spans="1:26" ht="24.75" customHeight="1">
      <c r="A836" s="268"/>
      <c r="B836" s="268"/>
      <c r="C836" s="268"/>
      <c r="D836" s="268"/>
      <c r="E836" s="268"/>
      <c r="F836" s="268"/>
      <c r="G836" s="268"/>
      <c r="H836" s="268"/>
      <c r="I836" s="389"/>
      <c r="J836" s="389"/>
      <c r="K836" s="389"/>
      <c r="L836" s="268"/>
      <c r="M836" s="268"/>
      <c r="N836" s="268"/>
      <c r="O836" s="310"/>
      <c r="P836" s="268"/>
      <c r="Q836" s="309"/>
      <c r="R836" s="268"/>
      <c r="S836" s="313"/>
      <c r="T836" s="313"/>
      <c r="U836" s="268"/>
      <c r="V836" s="268"/>
      <c r="W836" s="268"/>
      <c r="X836" s="268"/>
      <c r="Y836" s="268"/>
      <c r="Z836" s="268"/>
    </row>
    <row r="837" spans="1:26" ht="24.75" customHeight="1">
      <c r="A837" s="268"/>
      <c r="B837" s="268"/>
      <c r="C837" s="268"/>
      <c r="D837" s="268"/>
      <c r="E837" s="268"/>
      <c r="F837" s="268"/>
      <c r="G837" s="268"/>
      <c r="H837" s="268"/>
      <c r="I837" s="389"/>
      <c r="J837" s="389"/>
      <c r="K837" s="389"/>
      <c r="L837" s="268"/>
      <c r="M837" s="268"/>
      <c r="N837" s="268"/>
      <c r="O837" s="310"/>
      <c r="P837" s="268"/>
      <c r="Q837" s="309"/>
      <c r="R837" s="268"/>
      <c r="S837" s="313"/>
      <c r="T837" s="313"/>
      <c r="U837" s="268"/>
      <c r="V837" s="268"/>
      <c r="W837" s="268"/>
      <c r="X837" s="268"/>
      <c r="Y837" s="268"/>
      <c r="Z837" s="268"/>
    </row>
    <row r="838" spans="1:26" ht="24.75" customHeight="1">
      <c r="A838" s="268"/>
      <c r="B838" s="268"/>
      <c r="C838" s="268"/>
      <c r="D838" s="268"/>
      <c r="E838" s="268"/>
      <c r="F838" s="268"/>
      <c r="G838" s="268"/>
      <c r="H838" s="268"/>
      <c r="I838" s="389"/>
      <c r="J838" s="389"/>
      <c r="K838" s="389"/>
      <c r="L838" s="268"/>
      <c r="M838" s="268"/>
      <c r="N838" s="268"/>
      <c r="O838" s="310"/>
      <c r="P838" s="268"/>
      <c r="Q838" s="309"/>
      <c r="R838" s="268"/>
      <c r="S838" s="313"/>
      <c r="T838" s="313"/>
      <c r="U838" s="268"/>
      <c r="V838" s="268"/>
      <c r="W838" s="268"/>
      <c r="X838" s="268"/>
      <c r="Y838" s="268"/>
      <c r="Z838" s="268"/>
    </row>
    <row r="839" spans="1:26" ht="24.75" customHeight="1">
      <c r="A839" s="268"/>
      <c r="B839" s="268"/>
      <c r="C839" s="268"/>
      <c r="D839" s="268"/>
      <c r="E839" s="268"/>
      <c r="F839" s="268"/>
      <c r="G839" s="268"/>
      <c r="H839" s="268"/>
      <c r="I839" s="389"/>
      <c r="J839" s="389"/>
      <c r="K839" s="389"/>
      <c r="L839" s="268"/>
      <c r="M839" s="268"/>
      <c r="N839" s="268"/>
      <c r="O839" s="310"/>
      <c r="P839" s="268"/>
      <c r="Q839" s="309"/>
      <c r="R839" s="268"/>
      <c r="S839" s="313"/>
      <c r="T839" s="313"/>
      <c r="U839" s="268"/>
      <c r="V839" s="268"/>
      <c r="W839" s="268"/>
      <c r="X839" s="268"/>
      <c r="Y839" s="268"/>
      <c r="Z839" s="268"/>
    </row>
    <row r="840" spans="1:26" ht="24.75" customHeight="1">
      <c r="A840" s="268"/>
      <c r="B840" s="268"/>
      <c r="C840" s="268"/>
      <c r="D840" s="268"/>
      <c r="E840" s="268"/>
      <c r="F840" s="268"/>
      <c r="G840" s="268"/>
      <c r="H840" s="268"/>
      <c r="I840" s="389"/>
      <c r="J840" s="389"/>
      <c r="K840" s="389"/>
      <c r="L840" s="268"/>
      <c r="M840" s="268"/>
      <c r="N840" s="268"/>
      <c r="O840" s="310"/>
      <c r="P840" s="268"/>
      <c r="Q840" s="309"/>
      <c r="R840" s="268"/>
      <c r="S840" s="313"/>
      <c r="T840" s="313"/>
      <c r="U840" s="268"/>
      <c r="V840" s="268"/>
      <c r="W840" s="268"/>
      <c r="X840" s="268"/>
      <c r="Y840" s="268"/>
      <c r="Z840" s="268"/>
    </row>
    <row r="841" spans="1:26" ht="24.75" customHeight="1">
      <c r="A841" s="268"/>
      <c r="B841" s="268"/>
      <c r="C841" s="268"/>
      <c r="D841" s="268"/>
      <c r="E841" s="268"/>
      <c r="F841" s="268"/>
      <c r="G841" s="268"/>
      <c r="H841" s="268"/>
      <c r="I841" s="389"/>
      <c r="J841" s="389"/>
      <c r="K841" s="389"/>
      <c r="L841" s="268"/>
      <c r="M841" s="268"/>
      <c r="N841" s="268"/>
      <c r="O841" s="310"/>
      <c r="P841" s="268"/>
      <c r="Q841" s="309"/>
      <c r="R841" s="268"/>
      <c r="S841" s="313"/>
      <c r="T841" s="313"/>
      <c r="U841" s="268"/>
      <c r="V841" s="268"/>
      <c r="W841" s="268"/>
      <c r="X841" s="268"/>
      <c r="Y841" s="268"/>
      <c r="Z841" s="268"/>
    </row>
    <row r="842" spans="1:26" ht="24.75" customHeight="1">
      <c r="A842" s="268"/>
      <c r="B842" s="268"/>
      <c r="C842" s="268"/>
      <c r="D842" s="268"/>
      <c r="E842" s="268"/>
      <c r="F842" s="268"/>
      <c r="G842" s="268"/>
      <c r="H842" s="268"/>
      <c r="I842" s="389"/>
      <c r="J842" s="389"/>
      <c r="K842" s="389"/>
      <c r="L842" s="268"/>
      <c r="M842" s="268"/>
      <c r="N842" s="268"/>
      <c r="O842" s="310"/>
      <c r="P842" s="268"/>
      <c r="Q842" s="309"/>
      <c r="R842" s="268"/>
      <c r="S842" s="313"/>
      <c r="T842" s="313"/>
      <c r="U842" s="268"/>
      <c r="V842" s="268"/>
      <c r="W842" s="268"/>
      <c r="X842" s="268"/>
      <c r="Y842" s="268"/>
      <c r="Z842" s="268"/>
    </row>
    <row r="843" spans="1:26" ht="24.75" customHeight="1">
      <c r="A843" s="268"/>
      <c r="B843" s="268"/>
      <c r="C843" s="268"/>
      <c r="D843" s="268"/>
      <c r="E843" s="268"/>
      <c r="F843" s="268"/>
      <c r="G843" s="268"/>
      <c r="H843" s="268"/>
      <c r="I843" s="389"/>
      <c r="J843" s="389"/>
      <c r="K843" s="389"/>
      <c r="L843" s="268"/>
      <c r="M843" s="268"/>
      <c r="N843" s="268"/>
      <c r="O843" s="310"/>
      <c r="P843" s="268"/>
      <c r="Q843" s="309"/>
      <c r="R843" s="268"/>
      <c r="S843" s="313"/>
      <c r="T843" s="313"/>
      <c r="U843" s="268"/>
      <c r="V843" s="268"/>
      <c r="W843" s="268"/>
      <c r="X843" s="268"/>
      <c r="Y843" s="268"/>
      <c r="Z843" s="268"/>
    </row>
    <row r="844" spans="1:26" ht="24.75" customHeight="1">
      <c r="A844" s="268"/>
      <c r="B844" s="268"/>
      <c r="C844" s="268"/>
      <c r="D844" s="268"/>
      <c r="E844" s="268"/>
      <c r="F844" s="268"/>
      <c r="G844" s="268"/>
      <c r="H844" s="268"/>
      <c r="I844" s="389"/>
      <c r="J844" s="389"/>
      <c r="K844" s="389"/>
      <c r="L844" s="268"/>
      <c r="M844" s="268"/>
      <c r="N844" s="268"/>
      <c r="O844" s="310"/>
      <c r="P844" s="268"/>
      <c r="Q844" s="309"/>
      <c r="R844" s="268"/>
      <c r="S844" s="313"/>
      <c r="T844" s="313"/>
      <c r="U844" s="268"/>
      <c r="V844" s="268"/>
      <c r="W844" s="268"/>
      <c r="X844" s="268"/>
      <c r="Y844" s="268"/>
      <c r="Z844" s="268"/>
    </row>
    <row r="845" spans="1:26" ht="24.75" customHeight="1">
      <c r="A845" s="268"/>
      <c r="B845" s="268"/>
      <c r="C845" s="268"/>
      <c r="D845" s="268"/>
      <c r="E845" s="268"/>
      <c r="F845" s="268"/>
      <c r="G845" s="268"/>
      <c r="H845" s="268"/>
      <c r="I845" s="389"/>
      <c r="J845" s="389"/>
      <c r="K845" s="389"/>
      <c r="L845" s="268"/>
      <c r="M845" s="268"/>
      <c r="N845" s="268"/>
      <c r="O845" s="310"/>
      <c r="P845" s="268"/>
      <c r="Q845" s="309"/>
      <c r="R845" s="268"/>
      <c r="S845" s="313"/>
      <c r="T845" s="313"/>
      <c r="U845" s="268"/>
      <c r="V845" s="268"/>
      <c r="W845" s="268"/>
      <c r="X845" s="268"/>
      <c r="Y845" s="268"/>
      <c r="Z845" s="268"/>
    </row>
    <row r="846" spans="1:26" ht="24.75" customHeight="1">
      <c r="A846" s="268"/>
      <c r="B846" s="268"/>
      <c r="C846" s="268"/>
      <c r="D846" s="268"/>
      <c r="E846" s="268"/>
      <c r="F846" s="268"/>
      <c r="G846" s="268"/>
      <c r="H846" s="268"/>
      <c r="I846" s="389"/>
      <c r="J846" s="389"/>
      <c r="K846" s="389"/>
      <c r="L846" s="268"/>
      <c r="M846" s="268"/>
      <c r="N846" s="268"/>
      <c r="O846" s="310"/>
      <c r="P846" s="268"/>
      <c r="Q846" s="309"/>
      <c r="R846" s="268"/>
      <c r="S846" s="313"/>
      <c r="T846" s="313"/>
      <c r="U846" s="268"/>
      <c r="V846" s="268"/>
      <c r="W846" s="268"/>
      <c r="X846" s="268"/>
      <c r="Y846" s="268"/>
      <c r="Z846" s="268"/>
    </row>
    <row r="847" spans="1:26" ht="24.75" customHeight="1">
      <c r="A847" s="268"/>
      <c r="B847" s="268"/>
      <c r="C847" s="268"/>
      <c r="D847" s="268"/>
      <c r="E847" s="268"/>
      <c r="F847" s="268"/>
      <c r="G847" s="268"/>
      <c r="H847" s="268"/>
      <c r="I847" s="389"/>
      <c r="J847" s="389"/>
      <c r="K847" s="389"/>
      <c r="L847" s="268"/>
      <c r="M847" s="268"/>
      <c r="N847" s="268"/>
      <c r="O847" s="310"/>
      <c r="P847" s="268"/>
      <c r="Q847" s="309"/>
      <c r="R847" s="268"/>
      <c r="S847" s="313"/>
      <c r="T847" s="313"/>
      <c r="U847" s="268"/>
      <c r="V847" s="268"/>
      <c r="W847" s="268"/>
      <c r="X847" s="268"/>
      <c r="Y847" s="268"/>
      <c r="Z847" s="268"/>
    </row>
    <row r="848" spans="1:26" ht="24.75" customHeight="1">
      <c r="A848" s="268"/>
      <c r="B848" s="268"/>
      <c r="C848" s="268"/>
      <c r="D848" s="268"/>
      <c r="E848" s="268"/>
      <c r="F848" s="268"/>
      <c r="G848" s="268"/>
      <c r="H848" s="268"/>
      <c r="I848" s="389"/>
      <c r="J848" s="389"/>
      <c r="K848" s="389"/>
      <c r="L848" s="268"/>
      <c r="M848" s="268"/>
      <c r="N848" s="268"/>
      <c r="O848" s="310"/>
      <c r="P848" s="268"/>
      <c r="Q848" s="309"/>
      <c r="R848" s="268"/>
      <c r="S848" s="313"/>
      <c r="T848" s="313"/>
      <c r="U848" s="268"/>
      <c r="V848" s="268"/>
      <c r="W848" s="268"/>
      <c r="X848" s="268"/>
      <c r="Y848" s="268"/>
      <c r="Z848" s="268"/>
    </row>
    <row r="849" spans="1:26" ht="24.75" customHeight="1">
      <c r="A849" s="268"/>
      <c r="B849" s="268"/>
      <c r="C849" s="268"/>
      <c r="D849" s="268"/>
      <c r="E849" s="268"/>
      <c r="F849" s="268"/>
      <c r="G849" s="268"/>
      <c r="H849" s="268"/>
      <c r="I849" s="389"/>
      <c r="J849" s="389"/>
      <c r="K849" s="389"/>
      <c r="L849" s="268"/>
      <c r="M849" s="268"/>
      <c r="N849" s="268"/>
      <c r="O849" s="310"/>
      <c r="P849" s="268"/>
      <c r="Q849" s="309"/>
      <c r="R849" s="268"/>
      <c r="S849" s="313"/>
      <c r="T849" s="313"/>
      <c r="U849" s="268"/>
      <c r="V849" s="268"/>
      <c r="W849" s="268"/>
      <c r="X849" s="268"/>
      <c r="Y849" s="268"/>
      <c r="Z849" s="268"/>
    </row>
    <row r="850" spans="1:26" ht="24.75" customHeight="1">
      <c r="A850" s="268"/>
      <c r="B850" s="268"/>
      <c r="C850" s="268"/>
      <c r="D850" s="268"/>
      <c r="E850" s="268"/>
      <c r="F850" s="268"/>
      <c r="G850" s="268"/>
      <c r="H850" s="268"/>
      <c r="I850" s="389"/>
      <c r="J850" s="389"/>
      <c r="K850" s="389"/>
      <c r="L850" s="268"/>
      <c r="M850" s="268"/>
      <c r="N850" s="268"/>
      <c r="O850" s="310"/>
      <c r="P850" s="268"/>
      <c r="Q850" s="309"/>
      <c r="R850" s="268"/>
      <c r="S850" s="313"/>
      <c r="T850" s="313"/>
      <c r="U850" s="268"/>
      <c r="V850" s="268"/>
      <c r="W850" s="268"/>
      <c r="X850" s="268"/>
      <c r="Y850" s="268"/>
      <c r="Z850" s="268"/>
    </row>
    <row r="851" spans="1:26" ht="24.75" customHeight="1">
      <c r="A851" s="268"/>
      <c r="B851" s="268"/>
      <c r="C851" s="268"/>
      <c r="D851" s="268"/>
      <c r="E851" s="268"/>
      <c r="F851" s="268"/>
      <c r="G851" s="268"/>
      <c r="H851" s="268"/>
      <c r="I851" s="389"/>
      <c r="J851" s="389"/>
      <c r="K851" s="389"/>
      <c r="L851" s="268"/>
      <c r="M851" s="268"/>
      <c r="N851" s="268"/>
      <c r="O851" s="310"/>
      <c r="P851" s="268"/>
      <c r="Q851" s="309"/>
      <c r="R851" s="268"/>
      <c r="S851" s="313"/>
      <c r="T851" s="313"/>
      <c r="U851" s="268"/>
      <c r="V851" s="268"/>
      <c r="W851" s="268"/>
      <c r="X851" s="268"/>
      <c r="Y851" s="268"/>
      <c r="Z851" s="268"/>
    </row>
    <row r="852" spans="1:26" ht="24.75" customHeight="1">
      <c r="A852" s="268"/>
      <c r="B852" s="268"/>
      <c r="C852" s="268"/>
      <c r="D852" s="268"/>
      <c r="E852" s="268"/>
      <c r="F852" s="268"/>
      <c r="G852" s="268"/>
      <c r="H852" s="268"/>
      <c r="I852" s="389"/>
      <c r="J852" s="389"/>
      <c r="K852" s="389"/>
      <c r="L852" s="268"/>
      <c r="M852" s="268"/>
      <c r="N852" s="268"/>
      <c r="O852" s="310"/>
      <c r="P852" s="268"/>
      <c r="Q852" s="309"/>
      <c r="R852" s="268"/>
      <c r="S852" s="313"/>
      <c r="T852" s="313"/>
      <c r="U852" s="268"/>
      <c r="V852" s="268"/>
      <c r="W852" s="268"/>
      <c r="X852" s="268"/>
      <c r="Y852" s="268"/>
      <c r="Z852" s="268"/>
    </row>
    <row r="853" spans="1:26" ht="24.75" customHeight="1">
      <c r="A853" s="268"/>
      <c r="B853" s="268"/>
      <c r="C853" s="268"/>
      <c r="D853" s="268"/>
      <c r="E853" s="268"/>
      <c r="F853" s="268"/>
      <c r="G853" s="268"/>
      <c r="H853" s="268"/>
      <c r="I853" s="389"/>
      <c r="J853" s="389"/>
      <c r="K853" s="389"/>
      <c r="L853" s="268"/>
      <c r="M853" s="268"/>
      <c r="N853" s="268"/>
      <c r="O853" s="310"/>
      <c r="P853" s="268"/>
      <c r="Q853" s="309"/>
      <c r="R853" s="268"/>
      <c r="S853" s="313"/>
      <c r="T853" s="313"/>
      <c r="U853" s="268"/>
      <c r="V853" s="268"/>
      <c r="W853" s="268"/>
      <c r="X853" s="268"/>
      <c r="Y853" s="268"/>
      <c r="Z853" s="268"/>
    </row>
    <row r="854" spans="1:26" ht="24.75" customHeight="1">
      <c r="A854" s="268"/>
      <c r="B854" s="268"/>
      <c r="C854" s="268"/>
      <c r="D854" s="268"/>
      <c r="E854" s="268"/>
      <c r="F854" s="268"/>
      <c r="G854" s="268"/>
      <c r="H854" s="268"/>
      <c r="I854" s="389"/>
      <c r="J854" s="389"/>
      <c r="K854" s="389"/>
      <c r="L854" s="268"/>
      <c r="M854" s="268"/>
      <c r="N854" s="268"/>
      <c r="O854" s="310"/>
      <c r="P854" s="268"/>
      <c r="Q854" s="309"/>
      <c r="R854" s="268"/>
      <c r="S854" s="313"/>
      <c r="T854" s="313"/>
      <c r="U854" s="268"/>
      <c r="V854" s="268"/>
      <c r="W854" s="268"/>
      <c r="X854" s="268"/>
      <c r="Y854" s="268"/>
      <c r="Z854" s="268"/>
    </row>
    <row r="855" spans="1:26" ht="24.75" customHeight="1">
      <c r="A855" s="268"/>
      <c r="B855" s="268"/>
      <c r="C855" s="268"/>
      <c r="D855" s="268"/>
      <c r="E855" s="268"/>
      <c r="F855" s="268"/>
      <c r="G855" s="268"/>
      <c r="H855" s="268"/>
      <c r="I855" s="389"/>
      <c r="J855" s="389"/>
      <c r="K855" s="389"/>
      <c r="L855" s="268"/>
      <c r="M855" s="268"/>
      <c r="N855" s="268"/>
      <c r="O855" s="310"/>
      <c r="P855" s="268"/>
      <c r="Q855" s="309"/>
      <c r="R855" s="268"/>
      <c r="S855" s="313"/>
      <c r="T855" s="313"/>
      <c r="U855" s="268"/>
      <c r="V855" s="268"/>
      <c r="W855" s="268"/>
      <c r="X855" s="268"/>
      <c r="Y855" s="268"/>
      <c r="Z855" s="268"/>
    </row>
    <row r="856" spans="1:26" ht="24.75" customHeight="1">
      <c r="A856" s="268"/>
      <c r="B856" s="268"/>
      <c r="C856" s="268"/>
      <c r="D856" s="268"/>
      <c r="E856" s="268"/>
      <c r="F856" s="268"/>
      <c r="G856" s="268"/>
      <c r="H856" s="268"/>
      <c r="I856" s="389"/>
      <c r="J856" s="389"/>
      <c r="K856" s="389"/>
      <c r="L856" s="268"/>
      <c r="M856" s="268"/>
      <c r="N856" s="268"/>
      <c r="O856" s="310"/>
      <c r="P856" s="268"/>
      <c r="Q856" s="309"/>
      <c r="R856" s="268"/>
      <c r="S856" s="313"/>
      <c r="T856" s="313"/>
      <c r="U856" s="268"/>
      <c r="V856" s="268"/>
      <c r="W856" s="268"/>
      <c r="X856" s="268"/>
      <c r="Y856" s="268"/>
      <c r="Z856" s="268"/>
    </row>
    <row r="857" spans="1:26" ht="24.75" customHeight="1">
      <c r="A857" s="268"/>
      <c r="B857" s="268"/>
      <c r="C857" s="268"/>
      <c r="D857" s="268"/>
      <c r="E857" s="268"/>
      <c r="F857" s="268"/>
      <c r="G857" s="268"/>
      <c r="H857" s="268"/>
      <c r="I857" s="389"/>
      <c r="J857" s="389"/>
      <c r="K857" s="389"/>
      <c r="L857" s="268"/>
      <c r="M857" s="268"/>
      <c r="N857" s="268"/>
      <c r="O857" s="310"/>
      <c r="P857" s="268"/>
      <c r="Q857" s="309"/>
      <c r="R857" s="268"/>
      <c r="S857" s="313"/>
      <c r="T857" s="313"/>
      <c r="U857" s="268"/>
      <c r="V857" s="268"/>
      <c r="W857" s="268"/>
      <c r="X857" s="268"/>
      <c r="Y857" s="268"/>
      <c r="Z857" s="268"/>
    </row>
    <row r="858" spans="1:26" ht="24.75" customHeight="1">
      <c r="A858" s="268"/>
      <c r="B858" s="268"/>
      <c r="C858" s="268"/>
      <c r="D858" s="268"/>
      <c r="E858" s="268"/>
      <c r="F858" s="268"/>
      <c r="G858" s="268"/>
      <c r="H858" s="268"/>
      <c r="I858" s="389"/>
      <c r="J858" s="389"/>
      <c r="K858" s="389"/>
      <c r="L858" s="268"/>
      <c r="M858" s="268"/>
      <c r="N858" s="268"/>
      <c r="O858" s="310"/>
      <c r="P858" s="268"/>
      <c r="Q858" s="309"/>
      <c r="R858" s="268"/>
      <c r="S858" s="313"/>
      <c r="T858" s="313"/>
      <c r="U858" s="268"/>
      <c r="V858" s="268"/>
      <c r="W858" s="268"/>
      <c r="X858" s="268"/>
      <c r="Y858" s="268"/>
      <c r="Z858" s="268"/>
    </row>
    <row r="859" spans="1:26" ht="24.75" customHeight="1">
      <c r="A859" s="268"/>
      <c r="B859" s="268"/>
      <c r="C859" s="268"/>
      <c r="D859" s="268"/>
      <c r="E859" s="268"/>
      <c r="F859" s="268"/>
      <c r="G859" s="268"/>
      <c r="H859" s="268"/>
      <c r="I859" s="389"/>
      <c r="J859" s="389"/>
      <c r="K859" s="389"/>
      <c r="L859" s="268"/>
      <c r="M859" s="268"/>
      <c r="N859" s="268"/>
      <c r="O859" s="310"/>
      <c r="P859" s="268"/>
      <c r="Q859" s="309"/>
      <c r="R859" s="268"/>
      <c r="S859" s="313"/>
      <c r="T859" s="313"/>
      <c r="U859" s="268"/>
      <c r="V859" s="268"/>
      <c r="W859" s="268"/>
      <c r="X859" s="268"/>
      <c r="Y859" s="268"/>
      <c r="Z859" s="268"/>
    </row>
    <row r="860" spans="1:26" ht="24.75" customHeight="1">
      <c r="A860" s="268"/>
      <c r="B860" s="268"/>
      <c r="C860" s="268"/>
      <c r="D860" s="268"/>
      <c r="E860" s="268"/>
      <c r="F860" s="268"/>
      <c r="G860" s="268"/>
      <c r="H860" s="268"/>
      <c r="I860" s="389"/>
      <c r="J860" s="389"/>
      <c r="K860" s="389"/>
      <c r="L860" s="268"/>
      <c r="M860" s="268"/>
      <c r="N860" s="268"/>
      <c r="O860" s="310"/>
      <c r="P860" s="268"/>
      <c r="Q860" s="309"/>
      <c r="R860" s="268"/>
      <c r="S860" s="313"/>
      <c r="T860" s="313"/>
      <c r="U860" s="268"/>
      <c r="V860" s="268"/>
      <c r="W860" s="268"/>
      <c r="X860" s="268"/>
      <c r="Y860" s="268"/>
      <c r="Z860" s="268"/>
    </row>
    <row r="861" spans="1:26" ht="24.75" customHeight="1">
      <c r="A861" s="268"/>
      <c r="B861" s="268"/>
      <c r="C861" s="268"/>
      <c r="D861" s="268"/>
      <c r="E861" s="268"/>
      <c r="F861" s="268"/>
      <c r="G861" s="268"/>
      <c r="H861" s="268"/>
      <c r="I861" s="389"/>
      <c r="J861" s="389"/>
      <c r="K861" s="389"/>
      <c r="L861" s="268"/>
      <c r="M861" s="268"/>
      <c r="N861" s="268"/>
      <c r="O861" s="310"/>
      <c r="P861" s="268"/>
      <c r="Q861" s="309"/>
      <c r="R861" s="268"/>
      <c r="S861" s="313"/>
      <c r="T861" s="313"/>
      <c r="U861" s="268"/>
      <c r="V861" s="268"/>
      <c r="W861" s="268"/>
      <c r="X861" s="268"/>
      <c r="Y861" s="268"/>
      <c r="Z861" s="268"/>
    </row>
    <row r="862" spans="1:26" ht="24.75" customHeight="1">
      <c r="A862" s="268"/>
      <c r="B862" s="268"/>
      <c r="C862" s="268"/>
      <c r="D862" s="268"/>
      <c r="E862" s="268"/>
      <c r="F862" s="268"/>
      <c r="G862" s="268"/>
      <c r="H862" s="268"/>
      <c r="I862" s="389"/>
      <c r="J862" s="389"/>
      <c r="K862" s="389"/>
      <c r="L862" s="268"/>
      <c r="M862" s="268"/>
      <c r="N862" s="268"/>
      <c r="O862" s="310"/>
      <c r="P862" s="268"/>
      <c r="Q862" s="309"/>
      <c r="R862" s="268"/>
      <c r="S862" s="313"/>
      <c r="T862" s="313"/>
      <c r="U862" s="268"/>
      <c r="V862" s="268"/>
      <c r="W862" s="268"/>
      <c r="X862" s="268"/>
      <c r="Y862" s="268"/>
      <c r="Z862" s="268"/>
    </row>
    <row r="863" spans="1:26" ht="24.75" customHeight="1">
      <c r="A863" s="268"/>
      <c r="B863" s="268"/>
      <c r="C863" s="268"/>
      <c r="D863" s="268"/>
      <c r="E863" s="268"/>
      <c r="F863" s="268"/>
      <c r="G863" s="268"/>
      <c r="H863" s="268"/>
      <c r="I863" s="389"/>
      <c r="J863" s="389"/>
      <c r="K863" s="389"/>
      <c r="L863" s="268"/>
      <c r="M863" s="268"/>
      <c r="N863" s="268"/>
      <c r="O863" s="310"/>
      <c r="P863" s="268"/>
      <c r="Q863" s="309"/>
      <c r="R863" s="268"/>
      <c r="S863" s="313"/>
      <c r="T863" s="313"/>
      <c r="U863" s="268"/>
      <c r="V863" s="268"/>
      <c r="W863" s="268"/>
      <c r="X863" s="268"/>
      <c r="Y863" s="268"/>
      <c r="Z863" s="268"/>
    </row>
    <row r="864" spans="1:26" ht="24.75" customHeight="1">
      <c r="A864" s="268"/>
      <c r="B864" s="268"/>
      <c r="C864" s="268"/>
      <c r="D864" s="268"/>
      <c r="E864" s="268"/>
      <c r="F864" s="268"/>
      <c r="G864" s="268"/>
      <c r="H864" s="268"/>
      <c r="I864" s="389"/>
      <c r="J864" s="389"/>
      <c r="K864" s="389"/>
      <c r="L864" s="268"/>
      <c r="M864" s="268"/>
      <c r="N864" s="268"/>
      <c r="O864" s="310"/>
      <c r="P864" s="268"/>
      <c r="Q864" s="309"/>
      <c r="R864" s="268"/>
      <c r="S864" s="313"/>
      <c r="T864" s="313"/>
      <c r="U864" s="268"/>
      <c r="V864" s="268"/>
      <c r="W864" s="268"/>
      <c r="X864" s="268"/>
      <c r="Y864" s="268"/>
      <c r="Z864" s="268"/>
    </row>
    <row r="865" spans="1:26" ht="24.75" customHeight="1">
      <c r="A865" s="268"/>
      <c r="B865" s="268"/>
      <c r="C865" s="268"/>
      <c r="D865" s="268"/>
      <c r="E865" s="268"/>
      <c r="F865" s="268"/>
      <c r="G865" s="268"/>
      <c r="H865" s="268"/>
      <c r="I865" s="389"/>
      <c r="J865" s="389"/>
      <c r="K865" s="389"/>
      <c r="L865" s="268"/>
      <c r="M865" s="268"/>
      <c r="N865" s="268"/>
      <c r="O865" s="310"/>
      <c r="P865" s="268"/>
      <c r="Q865" s="309"/>
      <c r="R865" s="268"/>
      <c r="S865" s="313"/>
      <c r="T865" s="313"/>
      <c r="U865" s="268"/>
      <c r="V865" s="268"/>
      <c r="W865" s="268"/>
      <c r="X865" s="268"/>
      <c r="Y865" s="268"/>
      <c r="Z865" s="268"/>
    </row>
    <row r="866" spans="1:26" ht="24.75" customHeight="1">
      <c r="A866" s="268"/>
      <c r="B866" s="268"/>
      <c r="C866" s="268"/>
      <c r="D866" s="268"/>
      <c r="E866" s="268"/>
      <c r="F866" s="268"/>
      <c r="G866" s="268"/>
      <c r="H866" s="268"/>
      <c r="I866" s="389"/>
      <c r="J866" s="389"/>
      <c r="K866" s="389"/>
      <c r="L866" s="268"/>
      <c r="M866" s="268"/>
      <c r="N866" s="268"/>
      <c r="O866" s="310"/>
      <c r="P866" s="268"/>
      <c r="Q866" s="309"/>
      <c r="R866" s="268"/>
      <c r="S866" s="313"/>
      <c r="T866" s="313"/>
      <c r="U866" s="268"/>
      <c r="V866" s="268"/>
      <c r="W866" s="268"/>
      <c r="X866" s="268"/>
      <c r="Y866" s="268"/>
      <c r="Z866" s="268"/>
    </row>
    <row r="867" spans="1:26" ht="24.75" customHeight="1">
      <c r="A867" s="268"/>
      <c r="B867" s="268"/>
      <c r="C867" s="268"/>
      <c r="D867" s="268"/>
      <c r="E867" s="268"/>
      <c r="F867" s="268"/>
      <c r="G867" s="268"/>
      <c r="H867" s="268"/>
      <c r="I867" s="389"/>
      <c r="J867" s="389"/>
      <c r="K867" s="389"/>
      <c r="L867" s="268"/>
      <c r="M867" s="268"/>
      <c r="N867" s="268"/>
      <c r="O867" s="310"/>
      <c r="P867" s="268"/>
      <c r="Q867" s="309"/>
      <c r="R867" s="268"/>
      <c r="S867" s="313"/>
      <c r="T867" s="313"/>
      <c r="U867" s="268"/>
      <c r="V867" s="268"/>
      <c r="W867" s="268"/>
      <c r="X867" s="268"/>
      <c r="Y867" s="268"/>
      <c r="Z867" s="268"/>
    </row>
    <row r="868" spans="1:26" ht="24.75" customHeight="1">
      <c r="A868" s="268"/>
      <c r="B868" s="268"/>
      <c r="C868" s="268"/>
      <c r="D868" s="268"/>
      <c r="E868" s="268"/>
      <c r="F868" s="268"/>
      <c r="G868" s="268"/>
      <c r="H868" s="268"/>
      <c r="I868" s="389"/>
      <c r="J868" s="389"/>
      <c r="K868" s="389"/>
      <c r="L868" s="268"/>
      <c r="M868" s="268"/>
      <c r="N868" s="268"/>
      <c r="O868" s="310"/>
      <c r="P868" s="268"/>
      <c r="Q868" s="309"/>
      <c r="R868" s="268"/>
      <c r="S868" s="313"/>
      <c r="T868" s="313"/>
      <c r="U868" s="268"/>
      <c r="V868" s="268"/>
      <c r="W868" s="268"/>
      <c r="X868" s="268"/>
      <c r="Y868" s="268"/>
      <c r="Z868" s="268"/>
    </row>
    <row r="869" spans="1:26" ht="24.75" customHeight="1">
      <c r="A869" s="268"/>
      <c r="B869" s="268"/>
      <c r="C869" s="268"/>
      <c r="D869" s="268"/>
      <c r="E869" s="268"/>
      <c r="F869" s="268"/>
      <c r="G869" s="268"/>
      <c r="H869" s="268"/>
      <c r="I869" s="389"/>
      <c r="J869" s="389"/>
      <c r="K869" s="389"/>
      <c r="L869" s="268"/>
      <c r="M869" s="268"/>
      <c r="N869" s="268"/>
      <c r="O869" s="310"/>
      <c r="P869" s="268"/>
      <c r="Q869" s="309"/>
      <c r="R869" s="268"/>
      <c r="S869" s="313"/>
      <c r="T869" s="313"/>
      <c r="U869" s="268"/>
      <c r="V869" s="268"/>
      <c r="W869" s="268"/>
      <c r="X869" s="268"/>
      <c r="Y869" s="268"/>
      <c r="Z869" s="268"/>
    </row>
    <row r="870" spans="1:26" ht="24.75" customHeight="1">
      <c r="A870" s="268"/>
      <c r="B870" s="268"/>
      <c r="C870" s="268"/>
      <c r="D870" s="268"/>
      <c r="E870" s="268"/>
      <c r="F870" s="268"/>
      <c r="G870" s="268"/>
      <c r="H870" s="268"/>
      <c r="I870" s="389"/>
      <c r="J870" s="389"/>
      <c r="K870" s="389"/>
      <c r="L870" s="268"/>
      <c r="M870" s="268"/>
      <c r="N870" s="268"/>
      <c r="O870" s="310"/>
      <c r="P870" s="268"/>
      <c r="Q870" s="309"/>
      <c r="R870" s="268"/>
      <c r="S870" s="313"/>
      <c r="T870" s="313"/>
      <c r="U870" s="268"/>
      <c r="V870" s="268"/>
      <c r="W870" s="268"/>
      <c r="X870" s="268"/>
      <c r="Y870" s="268"/>
      <c r="Z870" s="268"/>
    </row>
    <row r="871" spans="1:26" ht="24.75" customHeight="1">
      <c r="A871" s="268"/>
      <c r="B871" s="268"/>
      <c r="C871" s="268"/>
      <c r="D871" s="268"/>
      <c r="E871" s="268"/>
      <c r="F871" s="268"/>
      <c r="G871" s="268"/>
      <c r="H871" s="268"/>
      <c r="I871" s="389"/>
      <c r="J871" s="389"/>
      <c r="K871" s="389"/>
      <c r="L871" s="268"/>
      <c r="M871" s="268"/>
      <c r="N871" s="268"/>
      <c r="O871" s="310"/>
      <c r="P871" s="268"/>
      <c r="Q871" s="309"/>
      <c r="R871" s="268"/>
      <c r="S871" s="313"/>
      <c r="T871" s="313"/>
      <c r="U871" s="268"/>
      <c r="V871" s="268"/>
      <c r="W871" s="268"/>
      <c r="X871" s="268"/>
      <c r="Y871" s="268"/>
      <c r="Z871" s="268"/>
    </row>
    <row r="872" spans="1:26" ht="24.75" customHeight="1">
      <c r="A872" s="268"/>
      <c r="B872" s="268"/>
      <c r="C872" s="268"/>
      <c r="D872" s="268"/>
      <c r="E872" s="268"/>
      <c r="F872" s="268"/>
      <c r="G872" s="268"/>
      <c r="H872" s="268"/>
      <c r="I872" s="389"/>
      <c r="J872" s="389"/>
      <c r="K872" s="389"/>
      <c r="L872" s="268"/>
      <c r="M872" s="268"/>
      <c r="N872" s="268"/>
      <c r="O872" s="310"/>
      <c r="P872" s="268"/>
      <c r="Q872" s="309"/>
      <c r="R872" s="268"/>
      <c r="S872" s="313"/>
      <c r="T872" s="313"/>
      <c r="U872" s="268"/>
      <c r="V872" s="268"/>
      <c r="W872" s="268"/>
      <c r="X872" s="268"/>
      <c r="Y872" s="268"/>
      <c r="Z872" s="268"/>
    </row>
    <row r="873" spans="1:26" ht="24.75" customHeight="1">
      <c r="A873" s="268"/>
      <c r="B873" s="268"/>
      <c r="C873" s="268"/>
      <c r="D873" s="268"/>
      <c r="E873" s="268"/>
      <c r="F873" s="268"/>
      <c r="G873" s="268"/>
      <c r="H873" s="268"/>
      <c r="I873" s="389"/>
      <c r="J873" s="389"/>
      <c r="K873" s="389"/>
      <c r="L873" s="268"/>
      <c r="M873" s="268"/>
      <c r="N873" s="268"/>
      <c r="O873" s="310"/>
      <c r="P873" s="268"/>
      <c r="Q873" s="309"/>
      <c r="R873" s="268"/>
      <c r="S873" s="313"/>
      <c r="T873" s="313"/>
      <c r="U873" s="268"/>
      <c r="V873" s="268"/>
      <c r="W873" s="268"/>
      <c r="X873" s="268"/>
      <c r="Y873" s="268"/>
      <c r="Z873" s="268"/>
    </row>
    <row r="874" spans="1:26" ht="24.75" customHeight="1">
      <c r="A874" s="268"/>
      <c r="B874" s="268"/>
      <c r="C874" s="268"/>
      <c r="D874" s="268"/>
      <c r="E874" s="268"/>
      <c r="F874" s="268"/>
      <c r="G874" s="268"/>
      <c r="H874" s="268"/>
      <c r="I874" s="389"/>
      <c r="J874" s="389"/>
      <c r="K874" s="389"/>
      <c r="L874" s="268"/>
      <c r="M874" s="268"/>
      <c r="N874" s="268"/>
      <c r="O874" s="310"/>
      <c r="P874" s="268"/>
      <c r="Q874" s="309"/>
      <c r="R874" s="268"/>
      <c r="S874" s="313"/>
      <c r="T874" s="313"/>
      <c r="U874" s="268"/>
      <c r="V874" s="268"/>
      <c r="W874" s="268"/>
      <c r="X874" s="268"/>
      <c r="Y874" s="268"/>
      <c r="Z874" s="268"/>
    </row>
    <row r="875" spans="1:26" ht="24.75" customHeight="1">
      <c r="A875" s="268"/>
      <c r="B875" s="268"/>
      <c r="C875" s="268"/>
      <c r="D875" s="268"/>
      <c r="E875" s="268"/>
      <c r="F875" s="268"/>
      <c r="G875" s="268"/>
      <c r="H875" s="268"/>
      <c r="I875" s="389"/>
      <c r="J875" s="389"/>
      <c r="K875" s="389"/>
      <c r="L875" s="268"/>
      <c r="M875" s="268"/>
      <c r="N875" s="268"/>
      <c r="O875" s="310"/>
      <c r="P875" s="268"/>
      <c r="Q875" s="309"/>
      <c r="R875" s="268"/>
      <c r="S875" s="313"/>
      <c r="T875" s="313"/>
      <c r="U875" s="268"/>
      <c r="V875" s="268"/>
      <c r="W875" s="268"/>
      <c r="X875" s="268"/>
      <c r="Y875" s="268"/>
      <c r="Z875" s="268"/>
    </row>
    <row r="876" spans="1:26" ht="24.75" customHeight="1">
      <c r="A876" s="268"/>
      <c r="B876" s="268"/>
      <c r="C876" s="268"/>
      <c r="D876" s="268"/>
      <c r="E876" s="268"/>
      <c r="F876" s="268"/>
      <c r="G876" s="268"/>
      <c r="H876" s="268"/>
      <c r="I876" s="389"/>
      <c r="J876" s="389"/>
      <c r="K876" s="389"/>
      <c r="L876" s="268"/>
      <c r="M876" s="268"/>
      <c r="N876" s="268"/>
      <c r="O876" s="310"/>
      <c r="P876" s="268"/>
      <c r="Q876" s="309"/>
      <c r="R876" s="268"/>
      <c r="S876" s="313"/>
      <c r="T876" s="313"/>
      <c r="U876" s="268"/>
      <c r="V876" s="268"/>
      <c r="W876" s="268"/>
      <c r="X876" s="268"/>
      <c r="Y876" s="268"/>
      <c r="Z876" s="268"/>
    </row>
    <row r="877" spans="1:26" ht="24.75" customHeight="1">
      <c r="A877" s="268"/>
      <c r="B877" s="268"/>
      <c r="C877" s="268"/>
      <c r="D877" s="268"/>
      <c r="E877" s="268"/>
      <c r="F877" s="268"/>
      <c r="G877" s="268"/>
      <c r="H877" s="268"/>
      <c r="I877" s="389"/>
      <c r="J877" s="389"/>
      <c r="K877" s="389"/>
      <c r="L877" s="268"/>
      <c r="M877" s="268"/>
      <c r="N877" s="268"/>
      <c r="O877" s="310"/>
      <c r="P877" s="268"/>
      <c r="Q877" s="309"/>
      <c r="R877" s="268"/>
      <c r="S877" s="313"/>
      <c r="T877" s="313"/>
      <c r="U877" s="268"/>
      <c r="V877" s="268"/>
      <c r="W877" s="268"/>
      <c r="X877" s="268"/>
      <c r="Y877" s="268"/>
      <c r="Z877" s="268"/>
    </row>
    <row r="878" spans="1:26" ht="24.75" customHeight="1">
      <c r="A878" s="268"/>
      <c r="B878" s="268"/>
      <c r="C878" s="268"/>
      <c r="D878" s="268"/>
      <c r="E878" s="268"/>
      <c r="F878" s="268"/>
      <c r="G878" s="268"/>
      <c r="H878" s="268"/>
      <c r="I878" s="389"/>
      <c r="J878" s="389"/>
      <c r="K878" s="389"/>
      <c r="L878" s="268"/>
      <c r="M878" s="268"/>
      <c r="N878" s="268"/>
      <c r="O878" s="310"/>
      <c r="P878" s="268"/>
      <c r="Q878" s="309"/>
      <c r="R878" s="268"/>
      <c r="S878" s="313"/>
      <c r="T878" s="313"/>
      <c r="U878" s="268"/>
      <c r="V878" s="268"/>
      <c r="W878" s="268"/>
      <c r="X878" s="268"/>
      <c r="Y878" s="268"/>
      <c r="Z878" s="268"/>
    </row>
    <row r="879" spans="1:26" ht="24.75" customHeight="1">
      <c r="A879" s="268"/>
      <c r="B879" s="268"/>
      <c r="C879" s="268"/>
      <c r="D879" s="268"/>
      <c r="E879" s="268"/>
      <c r="F879" s="268"/>
      <c r="G879" s="268"/>
      <c r="H879" s="268"/>
      <c r="I879" s="389"/>
      <c r="J879" s="389"/>
      <c r="K879" s="389"/>
      <c r="L879" s="268"/>
      <c r="M879" s="268"/>
      <c r="N879" s="268"/>
      <c r="O879" s="310"/>
      <c r="P879" s="268"/>
      <c r="Q879" s="309"/>
      <c r="R879" s="268"/>
      <c r="S879" s="313"/>
      <c r="T879" s="313"/>
      <c r="U879" s="268"/>
      <c r="V879" s="268"/>
      <c r="W879" s="268"/>
      <c r="X879" s="268"/>
      <c r="Y879" s="268"/>
      <c r="Z879" s="268"/>
    </row>
    <row r="880" spans="1:26" ht="24.75" customHeight="1">
      <c r="A880" s="268"/>
      <c r="B880" s="268"/>
      <c r="C880" s="268"/>
      <c r="D880" s="268"/>
      <c r="E880" s="268"/>
      <c r="F880" s="268"/>
      <c r="G880" s="268"/>
      <c r="H880" s="268"/>
      <c r="I880" s="389"/>
      <c r="J880" s="389"/>
      <c r="K880" s="389"/>
      <c r="L880" s="268"/>
      <c r="M880" s="268"/>
      <c r="N880" s="268"/>
      <c r="O880" s="310"/>
      <c r="P880" s="268"/>
      <c r="Q880" s="309"/>
      <c r="R880" s="268"/>
      <c r="S880" s="313"/>
      <c r="T880" s="313"/>
      <c r="U880" s="268"/>
      <c r="V880" s="268"/>
      <c r="W880" s="268"/>
      <c r="X880" s="268"/>
      <c r="Y880" s="268"/>
      <c r="Z880" s="268"/>
    </row>
    <row r="881" spans="1:26" ht="24.75" customHeight="1">
      <c r="A881" s="268"/>
      <c r="B881" s="268"/>
      <c r="C881" s="268"/>
      <c r="D881" s="268"/>
      <c r="E881" s="268"/>
      <c r="F881" s="268"/>
      <c r="G881" s="268"/>
      <c r="H881" s="268"/>
      <c r="I881" s="389"/>
      <c r="J881" s="389"/>
      <c r="K881" s="389"/>
      <c r="L881" s="268"/>
      <c r="M881" s="268"/>
      <c r="N881" s="268"/>
      <c r="O881" s="310"/>
      <c r="P881" s="268"/>
      <c r="Q881" s="309"/>
      <c r="R881" s="268"/>
      <c r="S881" s="313"/>
      <c r="T881" s="313"/>
      <c r="U881" s="268"/>
      <c r="V881" s="268"/>
      <c r="W881" s="268"/>
      <c r="X881" s="268"/>
      <c r="Y881" s="268"/>
      <c r="Z881" s="268"/>
    </row>
    <row r="882" spans="1:26" ht="24.75" customHeight="1">
      <c r="A882" s="268"/>
      <c r="B882" s="268"/>
      <c r="C882" s="268"/>
      <c r="D882" s="268"/>
      <c r="E882" s="268"/>
      <c r="F882" s="268"/>
      <c r="G882" s="268"/>
      <c r="H882" s="268"/>
      <c r="I882" s="389"/>
      <c r="J882" s="389"/>
      <c r="K882" s="389"/>
      <c r="L882" s="268"/>
      <c r="M882" s="268"/>
      <c r="N882" s="268"/>
      <c r="O882" s="310"/>
      <c r="P882" s="268"/>
      <c r="Q882" s="309"/>
      <c r="R882" s="268"/>
      <c r="S882" s="313"/>
      <c r="T882" s="313"/>
      <c r="U882" s="268"/>
      <c r="V882" s="268"/>
      <c r="W882" s="268"/>
      <c r="X882" s="268"/>
      <c r="Y882" s="268"/>
      <c r="Z882" s="268"/>
    </row>
    <row r="883" spans="1:26" ht="24.75" customHeight="1">
      <c r="A883" s="268"/>
      <c r="B883" s="268"/>
      <c r="C883" s="268"/>
      <c r="D883" s="268"/>
      <c r="E883" s="268"/>
      <c r="F883" s="268"/>
      <c r="G883" s="268"/>
      <c r="H883" s="268"/>
      <c r="I883" s="389"/>
      <c r="J883" s="389"/>
      <c r="K883" s="389"/>
      <c r="L883" s="268"/>
      <c r="M883" s="268"/>
      <c r="N883" s="268"/>
      <c r="O883" s="310"/>
      <c r="P883" s="268"/>
      <c r="Q883" s="309"/>
      <c r="R883" s="268"/>
      <c r="S883" s="313"/>
      <c r="T883" s="313"/>
      <c r="U883" s="268"/>
      <c r="V883" s="268"/>
      <c r="W883" s="268"/>
      <c r="X883" s="268"/>
      <c r="Y883" s="268"/>
      <c r="Z883" s="268"/>
    </row>
    <row r="884" spans="1:26" ht="24.75" customHeight="1">
      <c r="A884" s="268"/>
      <c r="B884" s="268"/>
      <c r="C884" s="268"/>
      <c r="D884" s="268"/>
      <c r="E884" s="268"/>
      <c r="F884" s="268"/>
      <c r="G884" s="268"/>
      <c r="H884" s="268"/>
      <c r="I884" s="389"/>
      <c r="J884" s="389"/>
      <c r="K884" s="389"/>
      <c r="L884" s="268"/>
      <c r="M884" s="268"/>
      <c r="N884" s="268"/>
      <c r="O884" s="310"/>
      <c r="P884" s="268"/>
      <c r="Q884" s="309"/>
      <c r="R884" s="268"/>
      <c r="S884" s="313"/>
      <c r="T884" s="313"/>
      <c r="U884" s="268"/>
      <c r="V884" s="268"/>
      <c r="W884" s="268"/>
      <c r="X884" s="268"/>
      <c r="Y884" s="268"/>
      <c r="Z884" s="268"/>
    </row>
    <row r="885" spans="1:26" ht="24.75" customHeight="1">
      <c r="A885" s="268"/>
      <c r="B885" s="268"/>
      <c r="C885" s="268"/>
      <c r="D885" s="268"/>
      <c r="E885" s="268"/>
      <c r="F885" s="268"/>
      <c r="G885" s="268"/>
      <c r="H885" s="268"/>
      <c r="I885" s="389"/>
      <c r="J885" s="389"/>
      <c r="K885" s="389"/>
      <c r="L885" s="268"/>
      <c r="M885" s="268"/>
      <c r="N885" s="268"/>
      <c r="O885" s="310"/>
      <c r="P885" s="268"/>
      <c r="Q885" s="309"/>
      <c r="R885" s="268"/>
      <c r="S885" s="313"/>
      <c r="T885" s="313"/>
      <c r="U885" s="268"/>
      <c r="V885" s="268"/>
      <c r="W885" s="268"/>
      <c r="X885" s="268"/>
      <c r="Y885" s="268"/>
      <c r="Z885" s="268"/>
    </row>
    <row r="886" spans="1:26" ht="24.75" customHeight="1">
      <c r="A886" s="268"/>
      <c r="B886" s="268"/>
      <c r="C886" s="268"/>
      <c r="D886" s="268"/>
      <c r="E886" s="268"/>
      <c r="F886" s="268"/>
      <c r="G886" s="268"/>
      <c r="H886" s="268"/>
      <c r="I886" s="389"/>
      <c r="J886" s="389"/>
      <c r="K886" s="389"/>
      <c r="L886" s="268"/>
      <c r="M886" s="268"/>
      <c r="N886" s="268"/>
      <c r="O886" s="310"/>
      <c r="P886" s="268"/>
      <c r="Q886" s="309"/>
      <c r="R886" s="268"/>
      <c r="S886" s="313"/>
      <c r="T886" s="313"/>
      <c r="U886" s="268"/>
      <c r="V886" s="268"/>
      <c r="W886" s="268"/>
      <c r="X886" s="268"/>
      <c r="Y886" s="268"/>
      <c r="Z886" s="268"/>
    </row>
    <row r="887" spans="1:26" ht="24.75" customHeight="1">
      <c r="A887" s="268"/>
      <c r="B887" s="268"/>
      <c r="C887" s="268"/>
      <c r="D887" s="268"/>
      <c r="E887" s="268"/>
      <c r="F887" s="268"/>
      <c r="G887" s="268"/>
      <c r="H887" s="268"/>
      <c r="I887" s="389"/>
      <c r="J887" s="389"/>
      <c r="K887" s="389"/>
      <c r="L887" s="268"/>
      <c r="M887" s="268"/>
      <c r="N887" s="268"/>
      <c r="O887" s="310"/>
      <c r="P887" s="268"/>
      <c r="Q887" s="309"/>
      <c r="R887" s="268"/>
      <c r="S887" s="313"/>
      <c r="T887" s="313"/>
      <c r="U887" s="268"/>
      <c r="V887" s="268"/>
      <c r="W887" s="268"/>
      <c r="X887" s="268"/>
      <c r="Y887" s="268"/>
      <c r="Z887" s="268"/>
    </row>
    <row r="888" spans="1:26" ht="24.75" customHeight="1">
      <c r="A888" s="268"/>
      <c r="B888" s="268"/>
      <c r="C888" s="268"/>
      <c r="D888" s="268"/>
      <c r="E888" s="268"/>
      <c r="F888" s="268"/>
      <c r="G888" s="268"/>
      <c r="H888" s="268"/>
      <c r="I888" s="389"/>
      <c r="J888" s="389"/>
      <c r="K888" s="389"/>
      <c r="L888" s="268"/>
      <c r="M888" s="268"/>
      <c r="N888" s="268"/>
      <c r="O888" s="310"/>
      <c r="P888" s="268"/>
      <c r="Q888" s="309"/>
      <c r="R888" s="268"/>
      <c r="S888" s="313"/>
      <c r="T888" s="313"/>
      <c r="U888" s="268"/>
      <c r="V888" s="268"/>
      <c r="W888" s="268"/>
      <c r="X888" s="268"/>
      <c r="Y888" s="268"/>
      <c r="Z888" s="268"/>
    </row>
    <row r="889" spans="1:26" ht="24.75" customHeight="1">
      <c r="A889" s="268"/>
      <c r="B889" s="268"/>
      <c r="C889" s="268"/>
      <c r="D889" s="268"/>
      <c r="E889" s="268"/>
      <c r="F889" s="268"/>
      <c r="G889" s="268"/>
      <c r="H889" s="268"/>
      <c r="I889" s="389"/>
      <c r="J889" s="389"/>
      <c r="K889" s="389"/>
      <c r="L889" s="268"/>
      <c r="M889" s="268"/>
      <c r="N889" s="268"/>
      <c r="O889" s="310"/>
      <c r="P889" s="268"/>
      <c r="Q889" s="309"/>
      <c r="R889" s="268"/>
      <c r="S889" s="313"/>
      <c r="T889" s="313"/>
      <c r="U889" s="268"/>
      <c r="V889" s="268"/>
      <c r="W889" s="268"/>
      <c r="X889" s="268"/>
      <c r="Y889" s="268"/>
      <c r="Z889" s="268"/>
    </row>
    <row r="890" spans="1:26" ht="24.75" customHeight="1">
      <c r="A890" s="268"/>
      <c r="B890" s="268"/>
      <c r="C890" s="268"/>
      <c r="D890" s="268"/>
      <c r="E890" s="268"/>
      <c r="F890" s="268"/>
      <c r="G890" s="268"/>
      <c r="H890" s="268"/>
      <c r="I890" s="389"/>
      <c r="J890" s="389"/>
      <c r="K890" s="389"/>
      <c r="L890" s="268"/>
      <c r="M890" s="268"/>
      <c r="N890" s="268"/>
      <c r="O890" s="310"/>
      <c r="P890" s="268"/>
      <c r="Q890" s="309"/>
      <c r="R890" s="268"/>
      <c r="S890" s="313"/>
      <c r="T890" s="313"/>
      <c r="U890" s="268"/>
      <c r="V890" s="268"/>
      <c r="W890" s="268"/>
      <c r="X890" s="268"/>
      <c r="Y890" s="268"/>
      <c r="Z890" s="268"/>
    </row>
    <row r="891" spans="1:26" ht="24.75" customHeight="1">
      <c r="A891" s="268"/>
      <c r="B891" s="268"/>
      <c r="C891" s="268"/>
      <c r="D891" s="268"/>
      <c r="E891" s="268"/>
      <c r="F891" s="268"/>
      <c r="G891" s="268"/>
      <c r="H891" s="268"/>
      <c r="I891" s="389"/>
      <c r="J891" s="389"/>
      <c r="K891" s="389"/>
      <c r="L891" s="268"/>
      <c r="M891" s="268"/>
      <c r="N891" s="268"/>
      <c r="O891" s="310"/>
      <c r="P891" s="268"/>
      <c r="Q891" s="309"/>
      <c r="R891" s="268"/>
      <c r="S891" s="313"/>
      <c r="T891" s="313"/>
      <c r="U891" s="268"/>
      <c r="V891" s="268"/>
      <c r="W891" s="268"/>
      <c r="X891" s="268"/>
      <c r="Y891" s="268"/>
      <c r="Z891" s="268"/>
    </row>
    <row r="892" spans="1:26" ht="24.75" customHeight="1">
      <c r="A892" s="268"/>
      <c r="B892" s="268"/>
      <c r="C892" s="268"/>
      <c r="D892" s="268"/>
      <c r="E892" s="268"/>
      <c r="F892" s="268"/>
      <c r="G892" s="268"/>
      <c r="H892" s="268"/>
      <c r="I892" s="389"/>
      <c r="J892" s="389"/>
      <c r="K892" s="389"/>
      <c r="L892" s="268"/>
      <c r="M892" s="268"/>
      <c r="N892" s="268"/>
      <c r="O892" s="310"/>
      <c r="P892" s="268"/>
      <c r="Q892" s="309"/>
      <c r="R892" s="268"/>
      <c r="S892" s="313"/>
      <c r="T892" s="313"/>
      <c r="U892" s="268"/>
      <c r="V892" s="268"/>
      <c r="W892" s="268"/>
      <c r="X892" s="268"/>
      <c r="Y892" s="268"/>
      <c r="Z892" s="268"/>
    </row>
    <row r="893" spans="1:26" ht="24.75" customHeight="1">
      <c r="A893" s="268"/>
      <c r="B893" s="268"/>
      <c r="C893" s="268"/>
      <c r="D893" s="268"/>
      <c r="E893" s="268"/>
      <c r="F893" s="268"/>
      <c r="G893" s="268"/>
      <c r="H893" s="268"/>
      <c r="I893" s="389"/>
      <c r="J893" s="389"/>
      <c r="K893" s="389"/>
      <c r="L893" s="268"/>
      <c r="M893" s="268"/>
      <c r="N893" s="268"/>
      <c r="O893" s="310"/>
      <c r="P893" s="268"/>
      <c r="Q893" s="309"/>
      <c r="R893" s="268"/>
      <c r="S893" s="313"/>
      <c r="T893" s="313"/>
      <c r="U893" s="268"/>
      <c r="V893" s="268"/>
      <c r="W893" s="268"/>
      <c r="X893" s="268"/>
      <c r="Y893" s="268"/>
      <c r="Z893" s="268"/>
    </row>
    <row r="894" spans="1:26" ht="24.75" customHeight="1">
      <c r="A894" s="268"/>
      <c r="B894" s="268"/>
      <c r="C894" s="268"/>
      <c r="D894" s="268"/>
      <c r="E894" s="268"/>
      <c r="F894" s="268"/>
      <c r="G894" s="268"/>
      <c r="H894" s="268"/>
      <c r="I894" s="389"/>
      <c r="J894" s="389"/>
      <c r="K894" s="389"/>
      <c r="L894" s="268"/>
      <c r="M894" s="268"/>
      <c r="N894" s="268"/>
      <c r="O894" s="310"/>
      <c r="P894" s="268"/>
      <c r="Q894" s="309"/>
      <c r="R894" s="268"/>
      <c r="S894" s="313"/>
      <c r="T894" s="313"/>
      <c r="U894" s="268"/>
      <c r="V894" s="268"/>
      <c r="W894" s="268"/>
      <c r="X894" s="268"/>
      <c r="Y894" s="268"/>
      <c r="Z894" s="268"/>
    </row>
    <row r="895" spans="1:26" ht="24.75" customHeight="1">
      <c r="A895" s="268"/>
      <c r="B895" s="268"/>
      <c r="C895" s="268"/>
      <c r="D895" s="268"/>
      <c r="E895" s="268"/>
      <c r="F895" s="268"/>
      <c r="G895" s="268"/>
      <c r="H895" s="268"/>
      <c r="I895" s="389"/>
      <c r="J895" s="389"/>
      <c r="K895" s="389"/>
      <c r="L895" s="268"/>
      <c r="M895" s="268"/>
      <c r="N895" s="268"/>
      <c r="O895" s="310"/>
      <c r="P895" s="268"/>
      <c r="Q895" s="309"/>
      <c r="R895" s="268"/>
      <c r="S895" s="313"/>
      <c r="T895" s="313"/>
      <c r="U895" s="268"/>
      <c r="V895" s="268"/>
      <c r="W895" s="268"/>
      <c r="X895" s="268"/>
      <c r="Y895" s="268"/>
      <c r="Z895" s="268"/>
    </row>
    <row r="896" spans="1:26" ht="24.75" customHeight="1">
      <c r="A896" s="268"/>
      <c r="B896" s="268"/>
      <c r="C896" s="268"/>
      <c r="D896" s="268"/>
      <c r="E896" s="268"/>
      <c r="F896" s="268"/>
      <c r="G896" s="268"/>
      <c r="H896" s="268"/>
      <c r="I896" s="389"/>
      <c r="J896" s="389"/>
      <c r="K896" s="389"/>
      <c r="L896" s="268"/>
      <c r="M896" s="268"/>
      <c r="N896" s="268"/>
      <c r="O896" s="310"/>
      <c r="P896" s="268"/>
      <c r="Q896" s="309"/>
      <c r="R896" s="268"/>
      <c r="S896" s="313"/>
      <c r="T896" s="313"/>
      <c r="U896" s="268"/>
      <c r="V896" s="268"/>
      <c r="W896" s="268"/>
      <c r="X896" s="268"/>
      <c r="Y896" s="268"/>
      <c r="Z896" s="268"/>
    </row>
    <row r="897" spans="1:26" ht="24.75" customHeight="1">
      <c r="A897" s="268"/>
      <c r="B897" s="268"/>
      <c r="C897" s="268"/>
      <c r="D897" s="268"/>
      <c r="E897" s="268"/>
      <c r="F897" s="268"/>
      <c r="G897" s="268"/>
      <c r="H897" s="268"/>
      <c r="I897" s="389"/>
      <c r="J897" s="389"/>
      <c r="K897" s="389"/>
      <c r="L897" s="268"/>
      <c r="M897" s="268"/>
      <c r="N897" s="268"/>
      <c r="O897" s="310"/>
      <c r="P897" s="268"/>
      <c r="Q897" s="309"/>
      <c r="R897" s="268"/>
      <c r="S897" s="313"/>
      <c r="T897" s="313"/>
      <c r="U897" s="268"/>
      <c r="V897" s="268"/>
      <c r="W897" s="268"/>
      <c r="X897" s="268"/>
      <c r="Y897" s="268"/>
      <c r="Z897" s="268"/>
    </row>
    <row r="898" spans="1:26" ht="24.75" customHeight="1">
      <c r="A898" s="268"/>
      <c r="B898" s="268"/>
      <c r="C898" s="268"/>
      <c r="D898" s="268"/>
      <c r="E898" s="268"/>
      <c r="F898" s="268"/>
      <c r="G898" s="268"/>
      <c r="H898" s="268"/>
      <c r="I898" s="389"/>
      <c r="J898" s="389"/>
      <c r="K898" s="389"/>
      <c r="L898" s="268"/>
      <c r="M898" s="268"/>
      <c r="N898" s="268"/>
      <c r="O898" s="310"/>
      <c r="P898" s="268"/>
      <c r="Q898" s="309"/>
      <c r="R898" s="268"/>
      <c r="S898" s="313"/>
      <c r="T898" s="313"/>
      <c r="U898" s="268"/>
      <c r="V898" s="268"/>
      <c r="W898" s="268"/>
      <c r="X898" s="268"/>
      <c r="Y898" s="268"/>
      <c r="Z898" s="268"/>
    </row>
    <row r="899" spans="1:26" ht="24.75" customHeight="1">
      <c r="A899" s="268"/>
      <c r="B899" s="268"/>
      <c r="C899" s="268"/>
      <c r="D899" s="268"/>
      <c r="E899" s="268"/>
      <c r="F899" s="268"/>
      <c r="G899" s="268"/>
      <c r="H899" s="268"/>
      <c r="I899" s="389"/>
      <c r="J899" s="389"/>
      <c r="K899" s="389"/>
      <c r="L899" s="268"/>
      <c r="M899" s="268"/>
      <c r="N899" s="268"/>
      <c r="O899" s="310"/>
      <c r="P899" s="268"/>
      <c r="Q899" s="309"/>
      <c r="R899" s="268"/>
      <c r="S899" s="313"/>
      <c r="T899" s="313"/>
      <c r="U899" s="268"/>
      <c r="V899" s="268"/>
      <c r="W899" s="268"/>
      <c r="X899" s="268"/>
      <c r="Y899" s="268"/>
      <c r="Z899" s="268"/>
    </row>
    <row r="900" spans="1:26" ht="24.75" customHeight="1">
      <c r="A900" s="268"/>
      <c r="B900" s="268"/>
      <c r="C900" s="268"/>
      <c r="D900" s="268"/>
      <c r="E900" s="268"/>
      <c r="F900" s="268"/>
      <c r="G900" s="268"/>
      <c r="H900" s="268"/>
      <c r="I900" s="389"/>
      <c r="J900" s="389"/>
      <c r="K900" s="389"/>
      <c r="L900" s="268"/>
      <c r="M900" s="268"/>
      <c r="N900" s="268"/>
      <c r="O900" s="310"/>
      <c r="P900" s="268"/>
      <c r="Q900" s="309"/>
      <c r="R900" s="268"/>
      <c r="S900" s="313"/>
      <c r="T900" s="313"/>
      <c r="U900" s="268"/>
      <c r="V900" s="268"/>
      <c r="W900" s="268"/>
      <c r="X900" s="268"/>
      <c r="Y900" s="268"/>
      <c r="Z900" s="268"/>
    </row>
    <row r="901" spans="1:26" ht="24.75" customHeight="1">
      <c r="A901" s="268"/>
      <c r="B901" s="268"/>
      <c r="C901" s="268"/>
      <c r="D901" s="268"/>
      <c r="E901" s="268"/>
      <c r="F901" s="268"/>
      <c r="G901" s="268"/>
      <c r="H901" s="268"/>
      <c r="I901" s="389"/>
      <c r="J901" s="389"/>
      <c r="K901" s="389"/>
      <c r="L901" s="268"/>
      <c r="M901" s="268"/>
      <c r="N901" s="268"/>
      <c r="O901" s="310"/>
      <c r="P901" s="268"/>
      <c r="Q901" s="309"/>
      <c r="R901" s="268"/>
      <c r="S901" s="313"/>
      <c r="T901" s="313"/>
      <c r="U901" s="268"/>
      <c r="V901" s="268"/>
      <c r="W901" s="268"/>
      <c r="X901" s="268"/>
      <c r="Y901" s="268"/>
      <c r="Z901" s="268"/>
    </row>
    <row r="902" spans="1:26" ht="24.75" customHeight="1">
      <c r="A902" s="268"/>
      <c r="B902" s="268"/>
      <c r="C902" s="268"/>
      <c r="D902" s="268"/>
      <c r="E902" s="268"/>
      <c r="F902" s="268"/>
      <c r="G902" s="268"/>
      <c r="H902" s="268"/>
      <c r="I902" s="389"/>
      <c r="J902" s="389"/>
      <c r="K902" s="389"/>
      <c r="L902" s="268"/>
      <c r="M902" s="268"/>
      <c r="N902" s="268"/>
      <c r="O902" s="310"/>
      <c r="P902" s="268"/>
      <c r="Q902" s="309"/>
      <c r="R902" s="268"/>
      <c r="S902" s="313"/>
      <c r="T902" s="313"/>
      <c r="U902" s="268"/>
      <c r="V902" s="268"/>
      <c r="W902" s="268"/>
      <c r="X902" s="268"/>
      <c r="Y902" s="268"/>
      <c r="Z902" s="268"/>
    </row>
    <row r="903" spans="1:26" ht="24.75" customHeight="1">
      <c r="A903" s="268"/>
      <c r="B903" s="268"/>
      <c r="C903" s="268"/>
      <c r="D903" s="268"/>
      <c r="E903" s="268"/>
      <c r="F903" s="268"/>
      <c r="G903" s="268"/>
      <c r="H903" s="268"/>
      <c r="I903" s="389"/>
      <c r="J903" s="389"/>
      <c r="K903" s="389"/>
      <c r="L903" s="268"/>
      <c r="M903" s="268"/>
      <c r="N903" s="268"/>
      <c r="O903" s="310"/>
      <c r="P903" s="268"/>
      <c r="Q903" s="309"/>
      <c r="R903" s="268"/>
      <c r="S903" s="313"/>
      <c r="T903" s="313"/>
      <c r="U903" s="268"/>
      <c r="V903" s="268"/>
      <c r="W903" s="268"/>
      <c r="X903" s="268"/>
      <c r="Y903" s="268"/>
      <c r="Z903" s="268"/>
    </row>
    <row r="904" spans="1:26" ht="24.75" customHeight="1">
      <c r="A904" s="268"/>
      <c r="B904" s="268"/>
      <c r="C904" s="268"/>
      <c r="D904" s="268"/>
      <c r="E904" s="268"/>
      <c r="F904" s="268"/>
      <c r="G904" s="268"/>
      <c r="H904" s="268"/>
      <c r="I904" s="389"/>
      <c r="J904" s="389"/>
      <c r="K904" s="389"/>
      <c r="L904" s="268"/>
      <c r="M904" s="268"/>
      <c r="N904" s="268"/>
      <c r="O904" s="310"/>
      <c r="P904" s="268"/>
      <c r="Q904" s="309"/>
      <c r="R904" s="268"/>
      <c r="S904" s="313"/>
      <c r="T904" s="313"/>
      <c r="U904" s="268"/>
      <c r="V904" s="268"/>
      <c r="W904" s="268"/>
      <c r="X904" s="268"/>
      <c r="Y904" s="268"/>
      <c r="Z904" s="268"/>
    </row>
    <row r="905" spans="1:26" ht="24.75" customHeight="1">
      <c r="A905" s="268"/>
      <c r="B905" s="268"/>
      <c r="C905" s="268"/>
      <c r="D905" s="268"/>
      <c r="E905" s="268"/>
      <c r="F905" s="268"/>
      <c r="G905" s="268"/>
      <c r="H905" s="268"/>
      <c r="I905" s="389"/>
      <c r="J905" s="389"/>
      <c r="K905" s="389"/>
      <c r="L905" s="268"/>
      <c r="M905" s="268"/>
      <c r="N905" s="268"/>
      <c r="O905" s="310"/>
      <c r="P905" s="268"/>
      <c r="Q905" s="309"/>
      <c r="R905" s="268"/>
      <c r="S905" s="313"/>
      <c r="T905" s="313"/>
      <c r="U905" s="268"/>
      <c r="V905" s="268"/>
      <c r="W905" s="268"/>
      <c r="X905" s="268"/>
      <c r="Y905" s="268"/>
      <c r="Z905" s="268"/>
    </row>
    <row r="906" spans="1:26" ht="24.75" customHeight="1">
      <c r="A906" s="268"/>
      <c r="B906" s="268"/>
      <c r="C906" s="268"/>
      <c r="D906" s="268"/>
      <c r="E906" s="268"/>
      <c r="F906" s="268"/>
      <c r="G906" s="268"/>
      <c r="H906" s="268"/>
      <c r="I906" s="389"/>
      <c r="J906" s="389"/>
      <c r="K906" s="389"/>
      <c r="L906" s="268"/>
      <c r="M906" s="268"/>
      <c r="N906" s="268"/>
      <c r="O906" s="310"/>
      <c r="P906" s="268"/>
      <c r="Q906" s="309"/>
      <c r="R906" s="268"/>
      <c r="S906" s="313"/>
      <c r="T906" s="313"/>
      <c r="U906" s="268"/>
      <c r="V906" s="268"/>
      <c r="W906" s="268"/>
      <c r="X906" s="268"/>
      <c r="Y906" s="268"/>
      <c r="Z906" s="268"/>
    </row>
    <row r="907" spans="1:26" ht="24.75" customHeight="1">
      <c r="A907" s="268"/>
      <c r="B907" s="268"/>
      <c r="C907" s="268"/>
      <c r="D907" s="268"/>
      <c r="E907" s="268"/>
      <c r="F907" s="268"/>
      <c r="G907" s="268"/>
      <c r="H907" s="268"/>
      <c r="I907" s="389"/>
      <c r="J907" s="389"/>
      <c r="K907" s="389"/>
      <c r="L907" s="268"/>
      <c r="M907" s="268"/>
      <c r="N907" s="268"/>
      <c r="O907" s="310"/>
      <c r="P907" s="268"/>
      <c r="Q907" s="309"/>
      <c r="R907" s="268"/>
      <c r="S907" s="313"/>
      <c r="T907" s="313"/>
      <c r="U907" s="268"/>
      <c r="V907" s="268"/>
      <c r="W907" s="268"/>
      <c r="X907" s="268"/>
      <c r="Y907" s="268"/>
      <c r="Z907" s="268"/>
    </row>
    <row r="908" spans="1:26" ht="24.75" customHeight="1">
      <c r="A908" s="268"/>
      <c r="B908" s="268"/>
      <c r="C908" s="268"/>
      <c r="D908" s="268"/>
      <c r="E908" s="268"/>
      <c r="F908" s="268"/>
      <c r="G908" s="268"/>
      <c r="H908" s="268"/>
      <c r="I908" s="389"/>
      <c r="J908" s="389"/>
      <c r="K908" s="389"/>
      <c r="L908" s="268"/>
      <c r="M908" s="268"/>
      <c r="N908" s="268"/>
      <c r="O908" s="310"/>
      <c r="P908" s="268"/>
      <c r="Q908" s="309"/>
      <c r="R908" s="268"/>
      <c r="S908" s="313"/>
      <c r="T908" s="313"/>
      <c r="U908" s="268"/>
      <c r="V908" s="268"/>
      <c r="W908" s="268"/>
      <c r="X908" s="268"/>
      <c r="Y908" s="268"/>
      <c r="Z908" s="268"/>
    </row>
    <row r="909" spans="1:26" ht="24.75" customHeight="1">
      <c r="A909" s="268"/>
      <c r="B909" s="268"/>
      <c r="C909" s="268"/>
      <c r="D909" s="268"/>
      <c r="E909" s="268"/>
      <c r="F909" s="268"/>
      <c r="G909" s="268"/>
      <c r="H909" s="268"/>
      <c r="I909" s="389"/>
      <c r="J909" s="389"/>
      <c r="K909" s="389"/>
      <c r="L909" s="268"/>
      <c r="M909" s="268"/>
      <c r="N909" s="268"/>
      <c r="O909" s="310"/>
      <c r="P909" s="268"/>
      <c r="Q909" s="309"/>
      <c r="R909" s="268"/>
      <c r="S909" s="313"/>
      <c r="T909" s="313"/>
      <c r="U909" s="268"/>
      <c r="V909" s="268"/>
      <c r="W909" s="268"/>
      <c r="X909" s="268"/>
      <c r="Y909" s="268"/>
      <c r="Z909" s="268"/>
    </row>
    <row r="910" spans="1:26" ht="24.75" customHeight="1">
      <c r="A910" s="268"/>
      <c r="B910" s="268"/>
      <c r="C910" s="268"/>
      <c r="D910" s="268"/>
      <c r="E910" s="268"/>
      <c r="F910" s="268"/>
      <c r="G910" s="268"/>
      <c r="H910" s="268"/>
      <c r="I910" s="389"/>
      <c r="J910" s="389"/>
      <c r="K910" s="389"/>
      <c r="L910" s="268"/>
      <c r="M910" s="268"/>
      <c r="N910" s="268"/>
      <c r="O910" s="310"/>
      <c r="P910" s="268"/>
      <c r="Q910" s="309"/>
      <c r="R910" s="268"/>
      <c r="S910" s="313"/>
      <c r="T910" s="313"/>
      <c r="U910" s="268"/>
      <c r="V910" s="268"/>
      <c r="W910" s="268"/>
      <c r="X910" s="268"/>
      <c r="Y910" s="268"/>
      <c r="Z910" s="268"/>
    </row>
    <row r="911" spans="1:26" ht="24.75" customHeight="1">
      <c r="A911" s="268"/>
      <c r="B911" s="268"/>
      <c r="C911" s="268"/>
      <c r="D911" s="268"/>
      <c r="E911" s="268"/>
      <c r="F911" s="268"/>
      <c r="G911" s="268"/>
      <c r="H911" s="268"/>
      <c r="I911" s="389"/>
      <c r="J911" s="389"/>
      <c r="K911" s="389"/>
      <c r="L911" s="268"/>
      <c r="M911" s="268"/>
      <c r="N911" s="268"/>
      <c r="O911" s="310"/>
      <c r="P911" s="268"/>
      <c r="Q911" s="309"/>
      <c r="R911" s="268"/>
      <c r="S911" s="313"/>
      <c r="T911" s="313"/>
      <c r="U911" s="268"/>
      <c r="V911" s="268"/>
      <c r="W911" s="268"/>
      <c r="X911" s="268"/>
      <c r="Y911" s="268"/>
      <c r="Z911" s="268"/>
    </row>
    <row r="912" spans="1:26" ht="24.75" customHeight="1">
      <c r="A912" s="268"/>
      <c r="B912" s="268"/>
      <c r="C912" s="268"/>
      <c r="D912" s="268"/>
      <c r="E912" s="268"/>
      <c r="F912" s="268"/>
      <c r="G912" s="268"/>
      <c r="H912" s="268"/>
      <c r="I912" s="389"/>
      <c r="J912" s="389"/>
      <c r="K912" s="389"/>
      <c r="L912" s="268"/>
      <c r="M912" s="268"/>
      <c r="N912" s="268"/>
      <c r="O912" s="310"/>
      <c r="P912" s="268"/>
      <c r="Q912" s="309"/>
      <c r="R912" s="268"/>
      <c r="S912" s="313"/>
      <c r="T912" s="313"/>
      <c r="U912" s="268"/>
      <c r="V912" s="268"/>
      <c r="W912" s="268"/>
      <c r="X912" s="268"/>
      <c r="Y912" s="268"/>
      <c r="Z912" s="268"/>
    </row>
    <row r="913" spans="1:26" ht="24.75" customHeight="1">
      <c r="A913" s="268"/>
      <c r="B913" s="268"/>
      <c r="C913" s="268"/>
      <c r="D913" s="268"/>
      <c r="E913" s="268"/>
      <c r="F913" s="268"/>
      <c r="G913" s="268"/>
      <c r="H913" s="268"/>
      <c r="I913" s="389"/>
      <c r="J913" s="389"/>
      <c r="K913" s="389"/>
      <c r="L913" s="268"/>
      <c r="M913" s="268"/>
      <c r="N913" s="268"/>
      <c r="O913" s="310"/>
      <c r="P913" s="268"/>
      <c r="Q913" s="309"/>
      <c r="R913" s="268"/>
      <c r="S913" s="313"/>
      <c r="T913" s="313"/>
      <c r="U913" s="268"/>
      <c r="V913" s="268"/>
      <c r="W913" s="268"/>
      <c r="X913" s="268"/>
      <c r="Y913" s="268"/>
      <c r="Z913" s="268"/>
    </row>
    <row r="914" spans="1:26" ht="24.75" customHeight="1">
      <c r="A914" s="268"/>
      <c r="B914" s="268"/>
      <c r="C914" s="268"/>
      <c r="D914" s="268"/>
      <c r="E914" s="268"/>
      <c r="F914" s="268"/>
      <c r="G914" s="268"/>
      <c r="H914" s="268"/>
      <c r="I914" s="389"/>
      <c r="J914" s="389"/>
      <c r="K914" s="389"/>
      <c r="L914" s="268"/>
      <c r="M914" s="268"/>
      <c r="N914" s="268"/>
      <c r="O914" s="310"/>
      <c r="P914" s="268"/>
      <c r="Q914" s="309"/>
      <c r="R914" s="268"/>
      <c r="S914" s="313"/>
      <c r="T914" s="313"/>
      <c r="U914" s="268"/>
      <c r="V914" s="268"/>
      <c r="W914" s="268"/>
      <c r="X914" s="268"/>
      <c r="Y914" s="268"/>
      <c r="Z914" s="268"/>
    </row>
    <row r="915" spans="1:26" ht="24.75" customHeight="1">
      <c r="A915" s="268"/>
      <c r="B915" s="268"/>
      <c r="C915" s="268"/>
      <c r="D915" s="268"/>
      <c r="E915" s="268"/>
      <c r="F915" s="268"/>
      <c r="G915" s="268"/>
      <c r="H915" s="268"/>
      <c r="I915" s="389"/>
      <c r="J915" s="389"/>
      <c r="K915" s="389"/>
      <c r="L915" s="268"/>
      <c r="M915" s="268"/>
      <c r="N915" s="268"/>
      <c r="O915" s="310"/>
      <c r="P915" s="268"/>
      <c r="Q915" s="309"/>
      <c r="R915" s="268"/>
      <c r="S915" s="313"/>
      <c r="T915" s="313"/>
      <c r="U915" s="268"/>
      <c r="V915" s="268"/>
      <c r="W915" s="268"/>
      <c r="X915" s="268"/>
      <c r="Y915" s="268"/>
      <c r="Z915" s="268"/>
    </row>
    <row r="916" spans="1:26" ht="24.75" customHeight="1">
      <c r="A916" s="268"/>
      <c r="B916" s="268"/>
      <c r="C916" s="268"/>
      <c r="D916" s="268"/>
      <c r="E916" s="268"/>
      <c r="F916" s="268"/>
      <c r="G916" s="268"/>
      <c r="H916" s="268"/>
      <c r="I916" s="389"/>
      <c r="J916" s="389"/>
      <c r="K916" s="389"/>
      <c r="L916" s="268"/>
      <c r="M916" s="268"/>
      <c r="N916" s="268"/>
      <c r="O916" s="310"/>
      <c r="P916" s="268"/>
      <c r="Q916" s="309"/>
      <c r="R916" s="268"/>
      <c r="S916" s="313"/>
      <c r="T916" s="313"/>
      <c r="U916" s="268"/>
      <c r="V916" s="268"/>
      <c r="W916" s="268"/>
      <c r="X916" s="268"/>
      <c r="Y916" s="268"/>
      <c r="Z916" s="268"/>
    </row>
    <row r="917" spans="1:26" ht="24.75" customHeight="1">
      <c r="A917" s="268"/>
      <c r="B917" s="268"/>
      <c r="C917" s="268"/>
      <c r="D917" s="268"/>
      <c r="E917" s="268"/>
      <c r="F917" s="268"/>
      <c r="G917" s="268"/>
      <c r="H917" s="268"/>
      <c r="I917" s="389"/>
      <c r="J917" s="389"/>
      <c r="K917" s="389"/>
      <c r="L917" s="268"/>
      <c r="M917" s="268"/>
      <c r="N917" s="268"/>
      <c r="O917" s="310"/>
      <c r="P917" s="268"/>
      <c r="Q917" s="309"/>
      <c r="R917" s="268"/>
      <c r="S917" s="313"/>
      <c r="T917" s="313"/>
      <c r="U917" s="268"/>
      <c r="V917" s="268"/>
      <c r="W917" s="268"/>
      <c r="X917" s="268"/>
      <c r="Y917" s="268"/>
      <c r="Z917" s="268"/>
    </row>
    <row r="918" spans="1:26" ht="24.75" customHeight="1">
      <c r="A918" s="268"/>
      <c r="B918" s="268"/>
      <c r="C918" s="268"/>
      <c r="D918" s="268"/>
      <c r="E918" s="268"/>
      <c r="F918" s="268"/>
      <c r="G918" s="268"/>
      <c r="H918" s="268"/>
      <c r="I918" s="389"/>
      <c r="J918" s="389"/>
      <c r="K918" s="389"/>
      <c r="L918" s="268"/>
      <c r="M918" s="268"/>
      <c r="N918" s="268"/>
      <c r="O918" s="310"/>
      <c r="P918" s="268"/>
      <c r="Q918" s="309"/>
      <c r="R918" s="268"/>
      <c r="S918" s="313"/>
      <c r="T918" s="313"/>
      <c r="U918" s="268"/>
      <c r="V918" s="268"/>
      <c r="W918" s="268"/>
      <c r="X918" s="268"/>
      <c r="Y918" s="268"/>
      <c r="Z918" s="268"/>
    </row>
    <row r="919" spans="1:26" ht="24.75" customHeight="1">
      <c r="A919" s="268"/>
      <c r="B919" s="268"/>
      <c r="C919" s="268"/>
      <c r="D919" s="268"/>
      <c r="E919" s="268"/>
      <c r="F919" s="268"/>
      <c r="G919" s="268"/>
      <c r="H919" s="268"/>
      <c r="I919" s="389"/>
      <c r="J919" s="389"/>
      <c r="K919" s="389"/>
      <c r="L919" s="268"/>
      <c r="M919" s="268"/>
      <c r="N919" s="268"/>
      <c r="O919" s="310"/>
      <c r="P919" s="268"/>
      <c r="Q919" s="309"/>
      <c r="R919" s="268"/>
      <c r="S919" s="313"/>
      <c r="T919" s="313"/>
      <c r="U919" s="268"/>
      <c r="V919" s="268"/>
      <c r="W919" s="268"/>
      <c r="X919" s="268"/>
      <c r="Y919" s="268"/>
      <c r="Z919" s="268"/>
    </row>
    <row r="920" spans="1:26" ht="24.75" customHeight="1">
      <c r="A920" s="268"/>
      <c r="B920" s="268"/>
      <c r="C920" s="268"/>
      <c r="D920" s="268"/>
      <c r="E920" s="268"/>
      <c r="F920" s="268"/>
      <c r="G920" s="268"/>
      <c r="H920" s="268"/>
      <c r="I920" s="389"/>
      <c r="J920" s="389"/>
      <c r="K920" s="389"/>
      <c r="L920" s="268"/>
      <c r="M920" s="268"/>
      <c r="N920" s="268"/>
      <c r="O920" s="310"/>
      <c r="P920" s="268"/>
      <c r="Q920" s="309"/>
      <c r="R920" s="268"/>
      <c r="S920" s="313"/>
      <c r="T920" s="313"/>
      <c r="U920" s="268"/>
      <c r="V920" s="268"/>
      <c r="W920" s="268"/>
      <c r="X920" s="268"/>
      <c r="Y920" s="268"/>
      <c r="Z920" s="268"/>
    </row>
    <row r="921" spans="1:26" ht="24.75" customHeight="1">
      <c r="A921" s="268"/>
      <c r="B921" s="268"/>
      <c r="C921" s="268"/>
      <c r="D921" s="268"/>
      <c r="E921" s="268"/>
      <c r="F921" s="268"/>
      <c r="G921" s="268"/>
      <c r="H921" s="268"/>
      <c r="I921" s="389"/>
      <c r="J921" s="389"/>
      <c r="K921" s="389"/>
      <c r="L921" s="268"/>
      <c r="M921" s="268"/>
      <c r="N921" s="268"/>
      <c r="O921" s="310"/>
      <c r="P921" s="268"/>
      <c r="Q921" s="309"/>
      <c r="R921" s="268"/>
      <c r="S921" s="313"/>
      <c r="T921" s="313"/>
      <c r="U921" s="268"/>
      <c r="V921" s="268"/>
      <c r="W921" s="268"/>
      <c r="X921" s="268"/>
      <c r="Y921" s="268"/>
      <c r="Z921" s="268"/>
    </row>
    <row r="922" spans="1:26" ht="24.75" customHeight="1">
      <c r="A922" s="268"/>
      <c r="B922" s="268"/>
      <c r="C922" s="268"/>
      <c r="D922" s="268"/>
      <c r="E922" s="268"/>
      <c r="F922" s="268"/>
      <c r="G922" s="268"/>
      <c r="H922" s="268"/>
      <c r="I922" s="389"/>
      <c r="J922" s="389"/>
      <c r="K922" s="389"/>
      <c r="L922" s="268"/>
      <c r="M922" s="268"/>
      <c r="N922" s="268"/>
      <c r="O922" s="310"/>
      <c r="P922" s="268"/>
      <c r="Q922" s="309"/>
      <c r="R922" s="268"/>
      <c r="S922" s="313"/>
      <c r="T922" s="313"/>
      <c r="U922" s="268"/>
      <c r="V922" s="268"/>
      <c r="W922" s="268"/>
      <c r="X922" s="268"/>
      <c r="Y922" s="268"/>
      <c r="Z922" s="268"/>
    </row>
    <row r="923" spans="1:26" ht="24.75" customHeight="1">
      <c r="A923" s="268"/>
      <c r="B923" s="268"/>
      <c r="C923" s="268"/>
      <c r="D923" s="268"/>
      <c r="E923" s="268"/>
      <c r="F923" s="268"/>
      <c r="G923" s="268"/>
      <c r="H923" s="268"/>
      <c r="I923" s="389"/>
      <c r="J923" s="389"/>
      <c r="K923" s="389"/>
      <c r="L923" s="268"/>
      <c r="M923" s="268"/>
      <c r="N923" s="268"/>
      <c r="O923" s="310"/>
      <c r="P923" s="268"/>
      <c r="Q923" s="309"/>
      <c r="R923" s="268"/>
      <c r="S923" s="313"/>
      <c r="T923" s="313"/>
      <c r="U923" s="268"/>
      <c r="V923" s="268"/>
      <c r="W923" s="268"/>
      <c r="X923" s="268"/>
      <c r="Y923" s="268"/>
      <c r="Z923" s="268"/>
    </row>
    <row r="924" spans="1:26" ht="24.75" customHeight="1">
      <c r="A924" s="268"/>
      <c r="B924" s="268"/>
      <c r="C924" s="268"/>
      <c r="D924" s="268"/>
      <c r="E924" s="268"/>
      <c r="F924" s="268"/>
      <c r="G924" s="268"/>
      <c r="H924" s="268"/>
      <c r="I924" s="389"/>
      <c r="J924" s="389"/>
      <c r="K924" s="389"/>
      <c r="L924" s="268"/>
      <c r="M924" s="268"/>
      <c r="N924" s="268"/>
      <c r="O924" s="310"/>
      <c r="P924" s="268"/>
      <c r="Q924" s="309"/>
      <c r="R924" s="268"/>
      <c r="S924" s="313"/>
      <c r="T924" s="313"/>
      <c r="U924" s="268"/>
      <c r="V924" s="268"/>
      <c r="W924" s="268"/>
      <c r="X924" s="268"/>
      <c r="Y924" s="268"/>
      <c r="Z924" s="268"/>
    </row>
    <row r="925" spans="1:26" ht="24.75" customHeight="1">
      <c r="A925" s="268"/>
      <c r="B925" s="268"/>
      <c r="C925" s="268"/>
      <c r="D925" s="268"/>
      <c r="E925" s="268"/>
      <c r="F925" s="268"/>
      <c r="G925" s="268"/>
      <c r="H925" s="268"/>
      <c r="I925" s="389"/>
      <c r="J925" s="389"/>
      <c r="K925" s="389"/>
      <c r="L925" s="268"/>
      <c r="M925" s="268"/>
      <c r="N925" s="268"/>
      <c r="O925" s="310"/>
      <c r="P925" s="268"/>
      <c r="Q925" s="309"/>
      <c r="R925" s="268"/>
      <c r="S925" s="313"/>
      <c r="T925" s="313"/>
      <c r="U925" s="268"/>
      <c r="V925" s="268"/>
      <c r="W925" s="268"/>
      <c r="X925" s="268"/>
      <c r="Y925" s="268"/>
      <c r="Z925" s="268"/>
    </row>
    <row r="926" spans="1:26" ht="24.75" customHeight="1">
      <c r="A926" s="268"/>
      <c r="B926" s="268"/>
      <c r="C926" s="268"/>
      <c r="D926" s="268"/>
      <c r="E926" s="268"/>
      <c r="F926" s="268"/>
      <c r="G926" s="268"/>
      <c r="H926" s="268"/>
      <c r="I926" s="389"/>
      <c r="J926" s="389"/>
      <c r="K926" s="389"/>
      <c r="L926" s="268"/>
      <c r="M926" s="268"/>
      <c r="N926" s="268"/>
      <c r="O926" s="310"/>
      <c r="P926" s="268"/>
      <c r="Q926" s="309"/>
      <c r="R926" s="268"/>
      <c r="S926" s="313"/>
      <c r="T926" s="313"/>
      <c r="U926" s="268"/>
      <c r="V926" s="268"/>
      <c r="W926" s="268"/>
      <c r="X926" s="268"/>
      <c r="Y926" s="268"/>
      <c r="Z926" s="268"/>
    </row>
    <row r="927" spans="1:26" ht="24.75" customHeight="1">
      <c r="A927" s="268"/>
      <c r="B927" s="268"/>
      <c r="C927" s="268"/>
      <c r="D927" s="268"/>
      <c r="E927" s="268"/>
      <c r="F927" s="268"/>
      <c r="G927" s="268"/>
      <c r="H927" s="268"/>
      <c r="I927" s="389"/>
      <c r="J927" s="389"/>
      <c r="K927" s="389"/>
      <c r="L927" s="268"/>
      <c r="M927" s="268"/>
      <c r="N927" s="268"/>
      <c r="O927" s="310"/>
      <c r="P927" s="268"/>
      <c r="Q927" s="309"/>
      <c r="R927" s="268"/>
      <c r="S927" s="313"/>
      <c r="T927" s="313"/>
      <c r="U927" s="268"/>
      <c r="V927" s="268"/>
      <c r="W927" s="268"/>
      <c r="X927" s="268"/>
      <c r="Y927" s="268"/>
      <c r="Z927" s="268"/>
    </row>
    <row r="928" spans="1:26" ht="24.75" customHeight="1">
      <c r="A928" s="268"/>
      <c r="B928" s="268"/>
      <c r="C928" s="268"/>
      <c r="D928" s="268"/>
      <c r="E928" s="268"/>
      <c r="F928" s="268"/>
      <c r="G928" s="268"/>
      <c r="H928" s="268"/>
      <c r="I928" s="389"/>
      <c r="J928" s="389"/>
      <c r="K928" s="389"/>
      <c r="L928" s="268"/>
      <c r="M928" s="268"/>
      <c r="N928" s="268"/>
      <c r="O928" s="310"/>
      <c r="P928" s="268"/>
      <c r="Q928" s="309"/>
      <c r="R928" s="268"/>
      <c r="S928" s="313"/>
      <c r="T928" s="313"/>
      <c r="U928" s="268"/>
      <c r="V928" s="268"/>
      <c r="W928" s="268"/>
      <c r="X928" s="268"/>
      <c r="Y928" s="268"/>
      <c r="Z928" s="268"/>
    </row>
    <row r="929" spans="1:26" ht="24.75" customHeight="1">
      <c r="A929" s="268"/>
      <c r="B929" s="268"/>
      <c r="C929" s="268"/>
      <c r="D929" s="268"/>
      <c r="E929" s="268"/>
      <c r="F929" s="268"/>
      <c r="G929" s="268"/>
      <c r="H929" s="268"/>
      <c r="I929" s="389"/>
      <c r="J929" s="389"/>
      <c r="K929" s="389"/>
      <c r="L929" s="268"/>
      <c r="M929" s="268"/>
      <c r="N929" s="268"/>
      <c r="O929" s="310"/>
      <c r="P929" s="268"/>
      <c r="Q929" s="309"/>
      <c r="R929" s="268"/>
      <c r="S929" s="313"/>
      <c r="T929" s="313"/>
      <c r="U929" s="268"/>
      <c r="V929" s="268"/>
      <c r="W929" s="268"/>
      <c r="X929" s="268"/>
      <c r="Y929" s="268"/>
      <c r="Z929" s="268"/>
    </row>
    <row r="930" spans="1:26" ht="24.75" customHeight="1">
      <c r="A930" s="268"/>
      <c r="B930" s="268"/>
      <c r="C930" s="268"/>
      <c r="D930" s="268"/>
      <c r="E930" s="268"/>
      <c r="F930" s="268"/>
      <c r="G930" s="268"/>
      <c r="H930" s="268"/>
      <c r="I930" s="389"/>
      <c r="J930" s="389"/>
      <c r="K930" s="389"/>
      <c r="L930" s="268"/>
      <c r="M930" s="268"/>
      <c r="N930" s="268"/>
      <c r="O930" s="310"/>
      <c r="P930" s="268"/>
      <c r="Q930" s="309"/>
      <c r="R930" s="268"/>
      <c r="S930" s="313"/>
      <c r="T930" s="313"/>
      <c r="U930" s="268"/>
      <c r="V930" s="268"/>
      <c r="W930" s="268"/>
      <c r="X930" s="268"/>
      <c r="Y930" s="268"/>
      <c r="Z930" s="268"/>
    </row>
    <row r="931" spans="1:26" ht="24.75" customHeight="1">
      <c r="A931" s="268"/>
      <c r="B931" s="268"/>
      <c r="C931" s="268"/>
      <c r="D931" s="268"/>
      <c r="E931" s="268"/>
      <c r="F931" s="268"/>
      <c r="G931" s="268"/>
      <c r="H931" s="268"/>
      <c r="I931" s="389"/>
      <c r="J931" s="389"/>
      <c r="K931" s="389"/>
      <c r="L931" s="268"/>
      <c r="M931" s="268"/>
      <c r="N931" s="268"/>
      <c r="O931" s="310"/>
      <c r="P931" s="268"/>
      <c r="Q931" s="309"/>
      <c r="R931" s="268"/>
      <c r="S931" s="313"/>
      <c r="T931" s="313"/>
      <c r="U931" s="268"/>
      <c r="V931" s="268"/>
      <c r="W931" s="268"/>
      <c r="X931" s="268"/>
      <c r="Y931" s="268"/>
      <c r="Z931" s="268"/>
    </row>
    <row r="932" spans="1:26" ht="24.75" customHeight="1">
      <c r="A932" s="268"/>
      <c r="B932" s="268"/>
      <c r="C932" s="268"/>
      <c r="D932" s="268"/>
      <c r="E932" s="268"/>
      <c r="F932" s="268"/>
      <c r="G932" s="268"/>
      <c r="H932" s="268"/>
      <c r="I932" s="389"/>
      <c r="J932" s="389"/>
      <c r="K932" s="389"/>
      <c r="L932" s="268"/>
      <c r="M932" s="268"/>
      <c r="N932" s="268"/>
      <c r="O932" s="310"/>
      <c r="P932" s="268"/>
      <c r="Q932" s="309"/>
      <c r="R932" s="268"/>
      <c r="S932" s="313"/>
      <c r="T932" s="313"/>
      <c r="U932" s="268"/>
      <c r="V932" s="268"/>
      <c r="W932" s="268"/>
      <c r="X932" s="268"/>
      <c r="Y932" s="268"/>
      <c r="Z932" s="268"/>
    </row>
    <row r="933" spans="1:26" ht="24.75" customHeight="1">
      <c r="A933" s="268"/>
      <c r="B933" s="268"/>
      <c r="C933" s="268"/>
      <c r="D933" s="268"/>
      <c r="E933" s="268"/>
      <c r="F933" s="268"/>
      <c r="G933" s="268"/>
      <c r="H933" s="268"/>
      <c r="I933" s="389"/>
      <c r="J933" s="389"/>
      <c r="K933" s="389"/>
      <c r="L933" s="268"/>
      <c r="M933" s="268"/>
      <c r="N933" s="268"/>
      <c r="O933" s="310"/>
      <c r="P933" s="268"/>
      <c r="Q933" s="309"/>
      <c r="R933" s="268"/>
      <c r="S933" s="313"/>
      <c r="T933" s="313"/>
      <c r="U933" s="268"/>
      <c r="V933" s="268"/>
      <c r="W933" s="268"/>
      <c r="X933" s="268"/>
      <c r="Y933" s="268"/>
      <c r="Z933" s="268"/>
    </row>
    <row r="934" spans="1:26" ht="24.75" customHeight="1">
      <c r="A934" s="268"/>
      <c r="B934" s="268"/>
      <c r="C934" s="268"/>
      <c r="D934" s="268"/>
      <c r="E934" s="268"/>
      <c r="F934" s="268"/>
      <c r="G934" s="268"/>
      <c r="H934" s="268"/>
      <c r="I934" s="389"/>
      <c r="J934" s="389"/>
      <c r="K934" s="389"/>
      <c r="L934" s="268"/>
      <c r="M934" s="268"/>
      <c r="N934" s="268"/>
      <c r="O934" s="310"/>
      <c r="P934" s="268"/>
      <c r="Q934" s="309"/>
      <c r="R934" s="268"/>
      <c r="S934" s="313"/>
      <c r="T934" s="313"/>
      <c r="U934" s="268"/>
      <c r="V934" s="268"/>
      <c r="W934" s="268"/>
      <c r="X934" s="268"/>
      <c r="Y934" s="268"/>
      <c r="Z934" s="268"/>
    </row>
    <row r="935" spans="1:26" ht="24.75" customHeight="1">
      <c r="A935" s="268"/>
      <c r="B935" s="268"/>
      <c r="C935" s="268"/>
      <c r="D935" s="268"/>
      <c r="E935" s="268"/>
      <c r="F935" s="268"/>
      <c r="G935" s="268"/>
      <c r="H935" s="268"/>
      <c r="I935" s="389"/>
      <c r="J935" s="389"/>
      <c r="K935" s="389"/>
      <c r="L935" s="268"/>
      <c r="M935" s="268"/>
      <c r="N935" s="268"/>
      <c r="O935" s="310"/>
      <c r="P935" s="268"/>
      <c r="Q935" s="309"/>
      <c r="R935" s="268"/>
      <c r="S935" s="313"/>
      <c r="T935" s="313"/>
      <c r="U935" s="268"/>
      <c r="V935" s="268"/>
      <c r="W935" s="268"/>
      <c r="X935" s="268"/>
      <c r="Y935" s="268"/>
      <c r="Z935" s="268"/>
    </row>
    <row r="936" spans="1:26" ht="24.75" customHeight="1">
      <c r="A936" s="268"/>
      <c r="B936" s="268"/>
      <c r="C936" s="268"/>
      <c r="D936" s="268"/>
      <c r="E936" s="268"/>
      <c r="F936" s="268"/>
      <c r="G936" s="268"/>
      <c r="H936" s="268"/>
      <c r="I936" s="389"/>
      <c r="J936" s="389"/>
      <c r="K936" s="389"/>
      <c r="L936" s="268"/>
      <c r="M936" s="268"/>
      <c r="N936" s="268"/>
      <c r="O936" s="310"/>
      <c r="P936" s="268"/>
      <c r="Q936" s="309"/>
      <c r="R936" s="268"/>
      <c r="S936" s="313"/>
      <c r="T936" s="313"/>
      <c r="U936" s="268"/>
      <c r="V936" s="268"/>
      <c r="W936" s="268"/>
      <c r="X936" s="268"/>
      <c r="Y936" s="268"/>
      <c r="Z936" s="268"/>
    </row>
    <row r="937" spans="1:26" ht="24.75" customHeight="1">
      <c r="A937" s="268"/>
      <c r="B937" s="268"/>
      <c r="C937" s="268"/>
      <c r="D937" s="268"/>
      <c r="E937" s="268"/>
      <c r="F937" s="268"/>
      <c r="G937" s="268"/>
      <c r="H937" s="268"/>
      <c r="I937" s="389"/>
      <c r="J937" s="389"/>
      <c r="K937" s="389"/>
      <c r="L937" s="268"/>
      <c r="M937" s="268"/>
      <c r="N937" s="268"/>
      <c r="O937" s="310"/>
      <c r="P937" s="268"/>
      <c r="Q937" s="309"/>
      <c r="R937" s="268"/>
      <c r="S937" s="313"/>
      <c r="T937" s="313"/>
      <c r="U937" s="268"/>
      <c r="V937" s="268"/>
      <c r="W937" s="268"/>
      <c r="X937" s="268"/>
      <c r="Y937" s="268"/>
      <c r="Z937" s="268"/>
    </row>
    <row r="938" spans="1:26" ht="24.75" customHeight="1">
      <c r="A938" s="268"/>
      <c r="B938" s="268"/>
      <c r="C938" s="268"/>
      <c r="D938" s="268"/>
      <c r="E938" s="268"/>
      <c r="F938" s="268"/>
      <c r="G938" s="268"/>
      <c r="H938" s="268"/>
      <c r="I938" s="389"/>
      <c r="J938" s="389"/>
      <c r="K938" s="389"/>
      <c r="L938" s="268"/>
      <c r="M938" s="268"/>
      <c r="N938" s="268"/>
      <c r="O938" s="310"/>
      <c r="P938" s="268"/>
      <c r="Q938" s="309"/>
      <c r="R938" s="268"/>
      <c r="S938" s="313"/>
      <c r="T938" s="313"/>
      <c r="U938" s="268"/>
      <c r="V938" s="268"/>
      <c r="W938" s="268"/>
      <c r="X938" s="268"/>
      <c r="Y938" s="268"/>
      <c r="Z938" s="268"/>
    </row>
    <row r="939" spans="1:26" ht="24.75" customHeight="1">
      <c r="A939" s="268"/>
      <c r="B939" s="268"/>
      <c r="C939" s="268"/>
      <c r="D939" s="268"/>
      <c r="E939" s="268"/>
      <c r="F939" s="268"/>
      <c r="G939" s="268"/>
      <c r="H939" s="268"/>
      <c r="I939" s="389"/>
      <c r="J939" s="389"/>
      <c r="K939" s="389"/>
      <c r="L939" s="268"/>
      <c r="M939" s="268"/>
      <c r="N939" s="268"/>
      <c r="O939" s="310"/>
      <c r="P939" s="268"/>
      <c r="Q939" s="309"/>
      <c r="R939" s="268"/>
      <c r="S939" s="313"/>
      <c r="T939" s="313"/>
      <c r="U939" s="268"/>
      <c r="V939" s="268"/>
      <c r="W939" s="268"/>
      <c r="X939" s="268"/>
      <c r="Y939" s="268"/>
      <c r="Z939" s="268"/>
    </row>
    <row r="940" spans="1:26" ht="24.75" customHeight="1">
      <c r="A940" s="268"/>
      <c r="B940" s="268"/>
      <c r="C940" s="268"/>
      <c r="D940" s="268"/>
      <c r="E940" s="268"/>
      <c r="F940" s="268"/>
      <c r="G940" s="268"/>
      <c r="H940" s="268"/>
      <c r="I940" s="389"/>
      <c r="J940" s="389"/>
      <c r="K940" s="389"/>
      <c r="L940" s="268"/>
      <c r="M940" s="268"/>
      <c r="N940" s="268"/>
      <c r="O940" s="310"/>
      <c r="P940" s="268"/>
      <c r="Q940" s="309"/>
      <c r="R940" s="268"/>
      <c r="S940" s="313"/>
      <c r="T940" s="313"/>
      <c r="U940" s="268"/>
      <c r="V940" s="268"/>
      <c r="W940" s="268"/>
      <c r="X940" s="268"/>
      <c r="Y940" s="268"/>
      <c r="Z940" s="268"/>
    </row>
    <row r="941" spans="1:26" ht="24.75" customHeight="1">
      <c r="A941" s="268"/>
      <c r="B941" s="268"/>
      <c r="C941" s="268"/>
      <c r="D941" s="268"/>
      <c r="E941" s="268"/>
      <c r="F941" s="268"/>
      <c r="G941" s="268"/>
      <c r="H941" s="268"/>
      <c r="I941" s="389"/>
      <c r="J941" s="389"/>
      <c r="K941" s="389"/>
      <c r="L941" s="268"/>
      <c r="M941" s="268"/>
      <c r="N941" s="268"/>
      <c r="O941" s="310"/>
      <c r="P941" s="268"/>
      <c r="Q941" s="309"/>
      <c r="R941" s="268"/>
      <c r="S941" s="313"/>
      <c r="T941" s="313"/>
      <c r="U941" s="268"/>
      <c r="V941" s="268"/>
      <c r="W941" s="268"/>
      <c r="X941" s="268"/>
      <c r="Y941" s="268"/>
      <c r="Z941" s="268"/>
    </row>
    <row r="942" spans="1:26" ht="24.75" customHeight="1">
      <c r="A942" s="268"/>
      <c r="B942" s="268"/>
      <c r="C942" s="268"/>
      <c r="D942" s="268"/>
      <c r="E942" s="268"/>
      <c r="F942" s="268"/>
      <c r="G942" s="268"/>
      <c r="H942" s="268"/>
      <c r="I942" s="389"/>
      <c r="J942" s="389"/>
      <c r="K942" s="389"/>
      <c r="L942" s="268"/>
      <c r="M942" s="268"/>
      <c r="N942" s="268"/>
      <c r="O942" s="310"/>
      <c r="P942" s="268"/>
      <c r="Q942" s="309"/>
      <c r="R942" s="268"/>
      <c r="S942" s="313"/>
      <c r="T942" s="313"/>
      <c r="U942" s="268"/>
      <c r="V942" s="268"/>
      <c r="W942" s="268"/>
      <c r="X942" s="268"/>
      <c r="Y942" s="268"/>
      <c r="Z942" s="268"/>
    </row>
    <row r="943" spans="1:26" ht="24.75" customHeight="1">
      <c r="A943" s="268"/>
      <c r="B943" s="268"/>
      <c r="C943" s="268"/>
      <c r="D943" s="268"/>
      <c r="E943" s="268"/>
      <c r="F943" s="268"/>
      <c r="G943" s="268"/>
      <c r="H943" s="268"/>
      <c r="I943" s="389"/>
      <c r="J943" s="389"/>
      <c r="K943" s="389"/>
      <c r="L943" s="268"/>
      <c r="M943" s="268"/>
      <c r="N943" s="268"/>
      <c r="O943" s="310"/>
      <c r="P943" s="268"/>
      <c r="Q943" s="309"/>
      <c r="R943" s="268"/>
      <c r="S943" s="313"/>
      <c r="T943" s="313"/>
      <c r="U943" s="268"/>
      <c r="V943" s="268"/>
      <c r="W943" s="268"/>
      <c r="X943" s="268"/>
      <c r="Y943" s="268"/>
      <c r="Z943" s="268"/>
    </row>
    <row r="944" spans="1:26" ht="24.75" customHeight="1">
      <c r="A944" s="268"/>
      <c r="B944" s="268"/>
      <c r="C944" s="268"/>
      <c r="D944" s="268"/>
      <c r="E944" s="268"/>
      <c r="F944" s="268"/>
      <c r="G944" s="268"/>
      <c r="H944" s="268"/>
      <c r="I944" s="389"/>
      <c r="J944" s="389"/>
      <c r="K944" s="389"/>
      <c r="L944" s="268"/>
      <c r="M944" s="268"/>
      <c r="N944" s="268"/>
      <c r="O944" s="310"/>
      <c r="P944" s="268"/>
      <c r="Q944" s="309"/>
      <c r="R944" s="268"/>
      <c r="S944" s="313"/>
      <c r="T944" s="313"/>
      <c r="U944" s="268"/>
      <c r="V944" s="268"/>
      <c r="W944" s="268"/>
      <c r="X944" s="268"/>
      <c r="Y944" s="268"/>
      <c r="Z944" s="268"/>
    </row>
    <row r="945" spans="1:26" ht="24.75" customHeight="1">
      <c r="A945" s="268"/>
      <c r="B945" s="268"/>
      <c r="C945" s="268"/>
      <c r="D945" s="268"/>
      <c r="E945" s="268"/>
      <c r="F945" s="268"/>
      <c r="G945" s="268"/>
      <c r="H945" s="268"/>
      <c r="I945" s="389"/>
      <c r="J945" s="389"/>
      <c r="K945" s="389"/>
      <c r="L945" s="268"/>
      <c r="M945" s="268"/>
      <c r="N945" s="268"/>
      <c r="O945" s="310"/>
      <c r="P945" s="268"/>
      <c r="Q945" s="309"/>
      <c r="R945" s="268"/>
      <c r="S945" s="313"/>
      <c r="T945" s="313"/>
      <c r="U945" s="268"/>
      <c r="V945" s="268"/>
      <c r="W945" s="268"/>
      <c r="X945" s="268"/>
      <c r="Y945" s="268"/>
      <c r="Z945" s="268"/>
    </row>
    <row r="946" spans="1:26" ht="24.75" customHeight="1">
      <c r="A946" s="268"/>
      <c r="B946" s="268"/>
      <c r="C946" s="268"/>
      <c r="D946" s="268"/>
      <c r="E946" s="268"/>
      <c r="F946" s="268"/>
      <c r="G946" s="268"/>
      <c r="H946" s="268"/>
      <c r="I946" s="389"/>
      <c r="J946" s="389"/>
      <c r="K946" s="389"/>
      <c r="L946" s="268"/>
      <c r="M946" s="268"/>
      <c r="N946" s="268"/>
      <c r="O946" s="310"/>
      <c r="P946" s="268"/>
      <c r="Q946" s="309"/>
      <c r="R946" s="268"/>
      <c r="S946" s="313"/>
      <c r="T946" s="313"/>
      <c r="U946" s="268"/>
      <c r="V946" s="268"/>
      <c r="W946" s="268"/>
      <c r="X946" s="268"/>
      <c r="Y946" s="268"/>
      <c r="Z946" s="268"/>
    </row>
    <row r="947" spans="1:26" ht="24.75" customHeight="1">
      <c r="A947" s="268"/>
      <c r="B947" s="268"/>
      <c r="C947" s="268"/>
      <c r="D947" s="268"/>
      <c r="E947" s="268"/>
      <c r="F947" s="268"/>
      <c r="G947" s="268"/>
      <c r="H947" s="268"/>
      <c r="I947" s="389"/>
      <c r="J947" s="389"/>
      <c r="K947" s="389"/>
      <c r="L947" s="268"/>
      <c r="M947" s="268"/>
      <c r="N947" s="268"/>
      <c r="O947" s="310"/>
      <c r="P947" s="268"/>
      <c r="Q947" s="309"/>
      <c r="R947" s="268"/>
      <c r="S947" s="313"/>
      <c r="T947" s="313"/>
      <c r="U947" s="268"/>
      <c r="V947" s="268"/>
      <c r="W947" s="268"/>
      <c r="X947" s="268"/>
      <c r="Y947" s="268"/>
      <c r="Z947" s="268"/>
    </row>
    <row r="948" spans="1:26" ht="24.75" customHeight="1">
      <c r="A948" s="268"/>
      <c r="B948" s="268"/>
      <c r="C948" s="268"/>
      <c r="D948" s="268"/>
      <c r="E948" s="268"/>
      <c r="F948" s="268"/>
      <c r="G948" s="268"/>
      <c r="H948" s="268"/>
      <c r="I948" s="389"/>
      <c r="J948" s="389"/>
      <c r="K948" s="389"/>
      <c r="L948" s="268"/>
      <c r="M948" s="268"/>
      <c r="N948" s="268"/>
      <c r="O948" s="310"/>
      <c r="P948" s="268"/>
      <c r="Q948" s="309"/>
      <c r="R948" s="268"/>
      <c r="S948" s="313"/>
      <c r="T948" s="313"/>
      <c r="U948" s="268"/>
      <c r="V948" s="268"/>
      <c r="W948" s="268"/>
      <c r="X948" s="268"/>
      <c r="Y948" s="268"/>
      <c r="Z948" s="268"/>
    </row>
    <row r="949" spans="1:26" ht="24.75" customHeight="1">
      <c r="A949" s="268"/>
      <c r="B949" s="268"/>
      <c r="C949" s="268"/>
      <c r="D949" s="268"/>
      <c r="E949" s="268"/>
      <c r="F949" s="268"/>
      <c r="G949" s="268"/>
      <c r="H949" s="268"/>
      <c r="I949" s="389"/>
      <c r="J949" s="389"/>
      <c r="K949" s="389"/>
      <c r="L949" s="268"/>
      <c r="M949" s="268"/>
      <c r="N949" s="268"/>
      <c r="O949" s="310"/>
      <c r="P949" s="268"/>
      <c r="Q949" s="309"/>
      <c r="R949" s="268"/>
      <c r="S949" s="313"/>
      <c r="T949" s="313"/>
      <c r="U949" s="268"/>
      <c r="V949" s="268"/>
      <c r="W949" s="268"/>
      <c r="X949" s="268"/>
      <c r="Y949" s="268"/>
      <c r="Z949" s="268"/>
    </row>
    <row r="950" spans="1:26" ht="24.75" customHeight="1">
      <c r="A950" s="268"/>
      <c r="B950" s="268"/>
      <c r="C950" s="268"/>
      <c r="D950" s="268"/>
      <c r="E950" s="268"/>
      <c r="F950" s="268"/>
      <c r="G950" s="268"/>
      <c r="H950" s="268"/>
      <c r="I950" s="389"/>
      <c r="J950" s="389"/>
      <c r="K950" s="389"/>
      <c r="L950" s="268"/>
      <c r="M950" s="268"/>
      <c r="N950" s="268"/>
      <c r="O950" s="310"/>
      <c r="P950" s="268"/>
      <c r="Q950" s="309"/>
      <c r="R950" s="268"/>
      <c r="S950" s="313"/>
      <c r="T950" s="313"/>
      <c r="U950" s="268"/>
      <c r="V950" s="268"/>
      <c r="W950" s="268"/>
      <c r="X950" s="268"/>
      <c r="Y950" s="268"/>
      <c r="Z950" s="268"/>
    </row>
    <row r="951" spans="1:26" ht="24.75" customHeight="1">
      <c r="A951" s="268"/>
      <c r="B951" s="268"/>
      <c r="C951" s="268"/>
      <c r="D951" s="268"/>
      <c r="E951" s="268"/>
      <c r="F951" s="268"/>
      <c r="G951" s="268"/>
      <c r="H951" s="268"/>
      <c r="I951" s="389"/>
      <c r="J951" s="389"/>
      <c r="K951" s="389"/>
      <c r="L951" s="268"/>
      <c r="M951" s="268"/>
      <c r="N951" s="268"/>
      <c r="O951" s="310"/>
      <c r="P951" s="268"/>
      <c r="Q951" s="309"/>
      <c r="R951" s="268"/>
      <c r="S951" s="313"/>
      <c r="T951" s="313"/>
      <c r="U951" s="268"/>
      <c r="V951" s="268"/>
      <c r="W951" s="268"/>
      <c r="X951" s="268"/>
      <c r="Y951" s="268"/>
      <c r="Z951" s="268"/>
    </row>
    <row r="952" spans="1:26" ht="24.75" customHeight="1">
      <c r="A952" s="268"/>
      <c r="B952" s="268"/>
      <c r="C952" s="268"/>
      <c r="D952" s="268"/>
      <c r="E952" s="268"/>
      <c r="F952" s="268"/>
      <c r="G952" s="268"/>
      <c r="H952" s="268"/>
      <c r="I952" s="389"/>
      <c r="J952" s="389"/>
      <c r="K952" s="389"/>
      <c r="L952" s="268"/>
      <c r="M952" s="268"/>
      <c r="N952" s="268"/>
      <c r="O952" s="310"/>
      <c r="P952" s="268"/>
      <c r="Q952" s="309"/>
      <c r="R952" s="268"/>
      <c r="S952" s="313"/>
      <c r="T952" s="313"/>
      <c r="U952" s="268"/>
      <c r="V952" s="268"/>
      <c r="W952" s="268"/>
      <c r="X952" s="268"/>
      <c r="Y952" s="268"/>
      <c r="Z952" s="268"/>
    </row>
    <row r="953" spans="1:26" ht="24.75" customHeight="1">
      <c r="A953" s="268"/>
      <c r="B953" s="268"/>
      <c r="C953" s="268"/>
      <c r="D953" s="268"/>
      <c r="E953" s="268"/>
      <c r="F953" s="268"/>
      <c r="G953" s="268"/>
      <c r="H953" s="268"/>
      <c r="I953" s="389"/>
      <c r="J953" s="389"/>
      <c r="K953" s="389"/>
      <c r="L953" s="268"/>
      <c r="M953" s="268"/>
      <c r="N953" s="268"/>
      <c r="O953" s="310"/>
      <c r="P953" s="268"/>
      <c r="Q953" s="309"/>
      <c r="R953" s="268"/>
      <c r="S953" s="313"/>
      <c r="T953" s="313"/>
      <c r="U953" s="268"/>
      <c r="V953" s="268"/>
      <c r="W953" s="268"/>
      <c r="X953" s="268"/>
      <c r="Y953" s="268"/>
      <c r="Z953" s="268"/>
    </row>
    <row r="954" spans="1:26" ht="24.75" customHeight="1">
      <c r="A954" s="268"/>
      <c r="B954" s="268"/>
      <c r="C954" s="268"/>
      <c r="D954" s="268"/>
      <c r="E954" s="268"/>
      <c r="F954" s="268"/>
      <c r="G954" s="268"/>
      <c r="H954" s="268"/>
      <c r="I954" s="389"/>
      <c r="J954" s="389"/>
      <c r="K954" s="389"/>
      <c r="L954" s="268"/>
      <c r="M954" s="268"/>
      <c r="N954" s="268"/>
      <c r="O954" s="310"/>
      <c r="P954" s="268"/>
      <c r="Q954" s="309"/>
      <c r="R954" s="268"/>
      <c r="S954" s="313"/>
      <c r="T954" s="313"/>
      <c r="U954" s="268"/>
      <c r="V954" s="268"/>
      <c r="W954" s="268"/>
      <c r="X954" s="268"/>
      <c r="Y954" s="268"/>
      <c r="Z954" s="268"/>
    </row>
    <row r="955" spans="1:26" ht="24.75" customHeight="1">
      <c r="A955" s="268"/>
      <c r="B955" s="268"/>
      <c r="C955" s="268"/>
      <c r="D955" s="268"/>
      <c r="E955" s="268"/>
      <c r="F955" s="268"/>
      <c r="G955" s="268"/>
      <c r="H955" s="268"/>
      <c r="I955" s="389"/>
      <c r="J955" s="389"/>
      <c r="K955" s="389"/>
      <c r="L955" s="268"/>
      <c r="M955" s="268"/>
      <c r="N955" s="268"/>
      <c r="O955" s="310"/>
      <c r="P955" s="268"/>
      <c r="Q955" s="309"/>
      <c r="R955" s="268"/>
      <c r="S955" s="313"/>
      <c r="T955" s="313"/>
      <c r="U955" s="268"/>
      <c r="V955" s="268"/>
      <c r="W955" s="268"/>
      <c r="X955" s="268"/>
      <c r="Y955" s="268"/>
      <c r="Z955" s="268"/>
    </row>
    <row r="956" spans="1:26" ht="24.75" customHeight="1">
      <c r="A956" s="268"/>
      <c r="B956" s="268"/>
      <c r="C956" s="268"/>
      <c r="D956" s="268"/>
      <c r="E956" s="268"/>
      <c r="F956" s="268"/>
      <c r="G956" s="268"/>
      <c r="H956" s="268"/>
      <c r="I956" s="389"/>
      <c r="J956" s="389"/>
      <c r="K956" s="389"/>
      <c r="L956" s="268"/>
      <c r="M956" s="268"/>
      <c r="N956" s="268"/>
      <c r="O956" s="310"/>
      <c r="P956" s="268"/>
      <c r="Q956" s="309"/>
      <c r="R956" s="268"/>
      <c r="S956" s="313"/>
      <c r="T956" s="313"/>
      <c r="U956" s="268"/>
      <c r="V956" s="268"/>
      <c r="W956" s="268"/>
      <c r="X956" s="268"/>
      <c r="Y956" s="268"/>
      <c r="Z956" s="268"/>
    </row>
    <row r="957" spans="1:26" ht="24.75" customHeight="1">
      <c r="A957" s="268"/>
      <c r="B957" s="268"/>
      <c r="C957" s="268"/>
      <c r="D957" s="268"/>
      <c r="E957" s="268"/>
      <c r="F957" s="268"/>
      <c r="G957" s="268"/>
      <c r="H957" s="268"/>
      <c r="I957" s="389"/>
      <c r="J957" s="389"/>
      <c r="K957" s="389"/>
      <c r="L957" s="268"/>
      <c r="M957" s="268"/>
      <c r="N957" s="268"/>
      <c r="O957" s="310"/>
      <c r="P957" s="268"/>
      <c r="Q957" s="309"/>
      <c r="R957" s="268"/>
      <c r="S957" s="313"/>
      <c r="T957" s="313"/>
      <c r="U957" s="268"/>
      <c r="V957" s="268"/>
      <c r="W957" s="268"/>
      <c r="X957" s="268"/>
      <c r="Y957" s="268"/>
      <c r="Z957" s="268"/>
    </row>
    <row r="958" spans="1:26" ht="24.75" customHeight="1">
      <c r="A958" s="268"/>
      <c r="B958" s="268"/>
      <c r="C958" s="268"/>
      <c r="D958" s="268"/>
      <c r="E958" s="268"/>
      <c r="F958" s="268"/>
      <c r="G958" s="268"/>
      <c r="H958" s="268"/>
      <c r="I958" s="389"/>
      <c r="J958" s="389"/>
      <c r="K958" s="389"/>
      <c r="L958" s="268"/>
      <c r="M958" s="268"/>
      <c r="N958" s="268"/>
      <c r="O958" s="310"/>
      <c r="P958" s="268"/>
      <c r="Q958" s="309"/>
      <c r="R958" s="268"/>
      <c r="S958" s="313"/>
      <c r="T958" s="313"/>
      <c r="U958" s="268"/>
      <c r="V958" s="268"/>
      <c r="W958" s="268"/>
      <c r="X958" s="268"/>
      <c r="Y958" s="268"/>
      <c r="Z958" s="268"/>
    </row>
    <row r="959" spans="1:26" ht="24.75" customHeight="1">
      <c r="A959" s="268"/>
      <c r="B959" s="268"/>
      <c r="C959" s="268"/>
      <c r="D959" s="268"/>
      <c r="E959" s="268"/>
      <c r="F959" s="268"/>
      <c r="G959" s="268"/>
      <c r="H959" s="268"/>
      <c r="I959" s="389"/>
      <c r="J959" s="389"/>
      <c r="K959" s="389"/>
      <c r="L959" s="268"/>
      <c r="M959" s="268"/>
      <c r="N959" s="268"/>
      <c r="O959" s="310"/>
      <c r="P959" s="268"/>
      <c r="Q959" s="309"/>
      <c r="R959" s="268"/>
      <c r="S959" s="313"/>
      <c r="T959" s="313"/>
      <c r="U959" s="268"/>
      <c r="V959" s="268"/>
      <c r="W959" s="268"/>
      <c r="X959" s="268"/>
      <c r="Y959" s="268"/>
      <c r="Z959" s="268"/>
    </row>
    <row r="960" spans="1:26" ht="24.75" customHeight="1">
      <c r="A960" s="268"/>
      <c r="B960" s="268"/>
      <c r="C960" s="268"/>
      <c r="D960" s="268"/>
      <c r="E960" s="268"/>
      <c r="F960" s="268"/>
      <c r="G960" s="268"/>
      <c r="H960" s="268"/>
      <c r="I960" s="389"/>
      <c r="J960" s="389"/>
      <c r="K960" s="389"/>
      <c r="L960" s="268"/>
      <c r="M960" s="268"/>
      <c r="N960" s="268"/>
      <c r="O960" s="310"/>
      <c r="P960" s="268"/>
      <c r="Q960" s="309"/>
      <c r="R960" s="268"/>
      <c r="S960" s="313"/>
      <c r="T960" s="313"/>
      <c r="U960" s="268"/>
      <c r="V960" s="268"/>
      <c r="W960" s="268"/>
      <c r="X960" s="268"/>
      <c r="Y960" s="268"/>
      <c r="Z960" s="268"/>
    </row>
    <row r="961" spans="1:26" ht="24.75" customHeight="1">
      <c r="A961" s="268"/>
      <c r="B961" s="268"/>
      <c r="C961" s="268"/>
      <c r="D961" s="268"/>
      <c r="E961" s="268"/>
      <c r="F961" s="268"/>
      <c r="G961" s="268"/>
      <c r="H961" s="268"/>
      <c r="I961" s="389"/>
      <c r="J961" s="389"/>
      <c r="K961" s="389"/>
      <c r="L961" s="268"/>
      <c r="M961" s="268"/>
      <c r="N961" s="268"/>
      <c r="O961" s="310"/>
      <c r="P961" s="268"/>
      <c r="Q961" s="309"/>
      <c r="R961" s="268"/>
      <c r="S961" s="313"/>
      <c r="T961" s="313"/>
      <c r="U961" s="268"/>
      <c r="V961" s="268"/>
      <c r="W961" s="268"/>
      <c r="X961" s="268"/>
      <c r="Y961" s="268"/>
      <c r="Z961" s="268"/>
    </row>
    <row r="962" spans="1:26" ht="24.75" customHeight="1">
      <c r="A962" s="268"/>
      <c r="B962" s="268"/>
      <c r="C962" s="268"/>
      <c r="D962" s="268"/>
      <c r="E962" s="268"/>
      <c r="F962" s="268"/>
      <c r="G962" s="268"/>
      <c r="H962" s="268"/>
      <c r="I962" s="389"/>
      <c r="J962" s="389"/>
      <c r="K962" s="389"/>
      <c r="L962" s="268"/>
      <c r="M962" s="268"/>
      <c r="N962" s="268"/>
      <c r="O962" s="310"/>
      <c r="P962" s="268"/>
      <c r="Q962" s="309"/>
      <c r="R962" s="268"/>
      <c r="S962" s="313"/>
      <c r="T962" s="313"/>
      <c r="U962" s="268"/>
      <c r="V962" s="268"/>
      <c r="W962" s="268"/>
      <c r="X962" s="268"/>
      <c r="Y962" s="268"/>
      <c r="Z962" s="268"/>
    </row>
    <row r="963" spans="1:26" ht="24.75" customHeight="1">
      <c r="A963" s="268"/>
      <c r="B963" s="268"/>
      <c r="C963" s="268"/>
      <c r="D963" s="268"/>
      <c r="E963" s="268"/>
      <c r="F963" s="268"/>
      <c r="G963" s="268"/>
      <c r="H963" s="268"/>
      <c r="I963" s="389"/>
      <c r="J963" s="389"/>
      <c r="K963" s="389"/>
      <c r="L963" s="268"/>
      <c r="M963" s="268"/>
      <c r="N963" s="268"/>
      <c r="O963" s="310"/>
      <c r="P963" s="268"/>
      <c r="Q963" s="309"/>
      <c r="R963" s="268"/>
      <c r="S963" s="313"/>
      <c r="T963" s="313"/>
      <c r="U963" s="268"/>
      <c r="V963" s="268"/>
      <c r="W963" s="268"/>
      <c r="X963" s="268"/>
      <c r="Y963" s="268"/>
      <c r="Z963" s="268"/>
    </row>
    <row r="964" spans="1:26" ht="24.75" customHeight="1">
      <c r="A964" s="268"/>
      <c r="B964" s="268"/>
      <c r="C964" s="268"/>
      <c r="D964" s="268"/>
      <c r="E964" s="268"/>
      <c r="F964" s="268"/>
      <c r="G964" s="268"/>
      <c r="H964" s="268"/>
      <c r="I964" s="389"/>
      <c r="J964" s="389"/>
      <c r="K964" s="389"/>
      <c r="L964" s="268"/>
      <c r="M964" s="268"/>
      <c r="N964" s="268"/>
      <c r="O964" s="310"/>
      <c r="P964" s="268"/>
      <c r="Q964" s="309"/>
      <c r="R964" s="268"/>
      <c r="S964" s="313"/>
      <c r="T964" s="313"/>
      <c r="U964" s="268"/>
      <c r="V964" s="268"/>
      <c r="W964" s="268"/>
      <c r="X964" s="268"/>
      <c r="Y964" s="268"/>
      <c r="Z964" s="268"/>
    </row>
    <row r="965" spans="1:26" ht="24.75" customHeight="1">
      <c r="A965" s="268"/>
      <c r="B965" s="268"/>
      <c r="C965" s="268"/>
      <c r="D965" s="268"/>
      <c r="E965" s="268"/>
      <c r="F965" s="268"/>
      <c r="G965" s="268"/>
      <c r="H965" s="268"/>
      <c r="I965" s="389"/>
      <c r="J965" s="389"/>
      <c r="K965" s="389"/>
      <c r="L965" s="268"/>
      <c r="M965" s="268"/>
      <c r="N965" s="268"/>
      <c r="O965" s="310"/>
      <c r="P965" s="268"/>
      <c r="Q965" s="309"/>
      <c r="R965" s="268"/>
      <c r="S965" s="313"/>
      <c r="T965" s="313"/>
      <c r="U965" s="268"/>
      <c r="V965" s="268"/>
      <c r="W965" s="268"/>
      <c r="X965" s="268"/>
      <c r="Y965" s="268"/>
      <c r="Z965" s="268"/>
    </row>
    <row r="966" spans="1:26" ht="24.75" customHeight="1">
      <c r="A966" s="268"/>
      <c r="B966" s="268"/>
      <c r="C966" s="268"/>
      <c r="D966" s="268"/>
      <c r="E966" s="268"/>
      <c r="F966" s="268"/>
      <c r="G966" s="268"/>
      <c r="H966" s="268"/>
      <c r="I966" s="389"/>
      <c r="J966" s="389"/>
      <c r="K966" s="389"/>
      <c r="L966" s="268"/>
      <c r="M966" s="268"/>
      <c r="N966" s="268"/>
      <c r="O966" s="310"/>
      <c r="P966" s="268"/>
      <c r="Q966" s="309"/>
      <c r="R966" s="268"/>
      <c r="S966" s="313"/>
      <c r="T966" s="313"/>
      <c r="U966" s="268"/>
      <c r="V966" s="268"/>
      <c r="W966" s="268"/>
      <c r="X966" s="268"/>
      <c r="Y966" s="268"/>
      <c r="Z966" s="268"/>
    </row>
    <row r="967" spans="1:26" ht="24.75" customHeight="1">
      <c r="A967" s="268"/>
      <c r="B967" s="268"/>
      <c r="C967" s="268"/>
      <c r="D967" s="268"/>
      <c r="E967" s="268"/>
      <c r="F967" s="268"/>
      <c r="G967" s="268"/>
      <c r="H967" s="268"/>
      <c r="I967" s="389"/>
      <c r="J967" s="389"/>
      <c r="K967" s="389"/>
      <c r="L967" s="268"/>
      <c r="M967" s="268"/>
      <c r="N967" s="268"/>
      <c r="O967" s="310"/>
      <c r="P967" s="268"/>
      <c r="Q967" s="309"/>
      <c r="R967" s="268"/>
      <c r="S967" s="313"/>
      <c r="T967" s="313"/>
      <c r="U967" s="268"/>
      <c r="V967" s="268"/>
      <c r="W967" s="268"/>
      <c r="X967" s="268"/>
      <c r="Y967" s="268"/>
      <c r="Z967" s="268"/>
    </row>
    <row r="968" spans="1:26" ht="24.75" customHeight="1">
      <c r="A968" s="268"/>
      <c r="B968" s="268"/>
      <c r="C968" s="268"/>
      <c r="D968" s="268"/>
      <c r="E968" s="268"/>
      <c r="F968" s="268"/>
      <c r="G968" s="268"/>
      <c r="H968" s="268"/>
      <c r="I968" s="389"/>
      <c r="J968" s="389"/>
      <c r="K968" s="389"/>
      <c r="L968" s="268"/>
      <c r="M968" s="268"/>
      <c r="N968" s="268"/>
      <c r="O968" s="310"/>
      <c r="P968" s="268"/>
      <c r="Q968" s="309"/>
      <c r="R968" s="268"/>
      <c r="S968" s="313"/>
      <c r="T968" s="313"/>
      <c r="U968" s="268"/>
      <c r="V968" s="268"/>
      <c r="W968" s="268"/>
      <c r="X968" s="268"/>
      <c r="Y968" s="268"/>
      <c r="Z968" s="268"/>
    </row>
    <row r="969" spans="1:26" ht="24.75" customHeight="1">
      <c r="A969" s="268"/>
      <c r="B969" s="268"/>
      <c r="C969" s="268"/>
      <c r="D969" s="268"/>
      <c r="E969" s="268"/>
      <c r="F969" s="268"/>
      <c r="G969" s="268"/>
      <c r="H969" s="268"/>
      <c r="I969" s="389"/>
      <c r="J969" s="389"/>
      <c r="K969" s="389"/>
      <c r="L969" s="268"/>
      <c r="M969" s="268"/>
      <c r="N969" s="268"/>
      <c r="O969" s="310"/>
      <c r="P969" s="268"/>
      <c r="Q969" s="309"/>
      <c r="R969" s="268"/>
      <c r="S969" s="313"/>
      <c r="T969" s="313"/>
      <c r="U969" s="268"/>
      <c r="V969" s="268"/>
      <c r="W969" s="268"/>
      <c r="X969" s="268"/>
      <c r="Y969" s="268"/>
      <c r="Z969" s="268"/>
    </row>
    <row r="970" spans="1:26" ht="24.75" customHeight="1">
      <c r="A970" s="268"/>
      <c r="B970" s="268"/>
      <c r="C970" s="268"/>
      <c r="D970" s="268"/>
      <c r="E970" s="268"/>
      <c r="F970" s="268"/>
      <c r="G970" s="268"/>
      <c r="H970" s="268"/>
      <c r="I970" s="389"/>
      <c r="J970" s="389"/>
      <c r="K970" s="389"/>
      <c r="L970" s="268"/>
      <c r="M970" s="268"/>
      <c r="N970" s="268"/>
      <c r="O970" s="310"/>
      <c r="P970" s="268"/>
      <c r="Q970" s="309"/>
      <c r="R970" s="268"/>
      <c r="S970" s="313"/>
      <c r="T970" s="313"/>
      <c r="U970" s="268"/>
      <c r="V970" s="268"/>
      <c r="W970" s="268"/>
      <c r="X970" s="268"/>
      <c r="Y970" s="268"/>
      <c r="Z970" s="268"/>
    </row>
    <row r="971" spans="1:26" ht="24.75" customHeight="1">
      <c r="A971" s="268"/>
      <c r="B971" s="268"/>
      <c r="C971" s="268"/>
      <c r="D971" s="268"/>
      <c r="E971" s="268"/>
      <c r="F971" s="268"/>
      <c r="G971" s="268"/>
      <c r="H971" s="268"/>
      <c r="I971" s="389"/>
      <c r="J971" s="389"/>
      <c r="K971" s="389"/>
      <c r="L971" s="268"/>
      <c r="M971" s="268"/>
      <c r="N971" s="268"/>
      <c r="O971" s="310"/>
      <c r="P971" s="268"/>
      <c r="Q971" s="309"/>
      <c r="R971" s="268"/>
      <c r="S971" s="313"/>
      <c r="T971" s="313"/>
      <c r="U971" s="268"/>
      <c r="V971" s="268"/>
      <c r="W971" s="268"/>
      <c r="X971" s="268"/>
      <c r="Y971" s="268"/>
      <c r="Z971" s="268"/>
    </row>
    <row r="972" spans="1:26" ht="24.75" customHeight="1">
      <c r="A972" s="268"/>
      <c r="B972" s="268"/>
      <c r="C972" s="268"/>
      <c r="D972" s="268"/>
      <c r="E972" s="268"/>
      <c r="F972" s="268"/>
      <c r="G972" s="268"/>
      <c r="H972" s="268"/>
      <c r="I972" s="389"/>
      <c r="J972" s="389"/>
      <c r="K972" s="389"/>
      <c r="L972" s="268"/>
      <c r="M972" s="268"/>
      <c r="N972" s="268"/>
      <c r="O972" s="310"/>
      <c r="P972" s="268"/>
      <c r="Q972" s="309"/>
      <c r="R972" s="268"/>
      <c r="S972" s="313"/>
      <c r="T972" s="313"/>
      <c r="U972" s="268"/>
      <c r="V972" s="268"/>
      <c r="W972" s="268"/>
      <c r="X972" s="268"/>
      <c r="Y972" s="268"/>
      <c r="Z972" s="268"/>
    </row>
    <row r="973" spans="1:26" ht="24.75" customHeight="1">
      <c r="A973" s="268"/>
      <c r="B973" s="268"/>
      <c r="C973" s="268"/>
      <c r="D973" s="268"/>
      <c r="E973" s="268"/>
      <c r="F973" s="268"/>
      <c r="G973" s="268"/>
      <c r="H973" s="268"/>
      <c r="I973" s="389"/>
      <c r="J973" s="389"/>
      <c r="K973" s="389"/>
      <c r="L973" s="268"/>
      <c r="M973" s="268"/>
      <c r="N973" s="268"/>
      <c r="O973" s="310"/>
      <c r="P973" s="268"/>
      <c r="Q973" s="309"/>
      <c r="R973" s="268"/>
      <c r="S973" s="313"/>
      <c r="T973" s="313"/>
      <c r="U973" s="268"/>
      <c r="V973" s="268"/>
      <c r="W973" s="268"/>
      <c r="X973" s="268"/>
      <c r="Y973" s="268"/>
      <c r="Z973" s="268"/>
    </row>
    <row r="974" spans="1:26" ht="24.75" customHeight="1">
      <c r="A974" s="268"/>
      <c r="B974" s="268"/>
      <c r="C974" s="268"/>
      <c r="D974" s="268"/>
      <c r="E974" s="268"/>
      <c r="F974" s="268"/>
      <c r="G974" s="268"/>
      <c r="H974" s="268"/>
      <c r="I974" s="389"/>
      <c r="J974" s="389"/>
      <c r="K974" s="389"/>
      <c r="L974" s="268"/>
      <c r="M974" s="268"/>
      <c r="N974" s="268"/>
      <c r="O974" s="310"/>
      <c r="P974" s="268"/>
      <c r="Q974" s="309"/>
      <c r="R974" s="268"/>
      <c r="S974" s="313"/>
      <c r="T974" s="313"/>
      <c r="U974" s="268"/>
      <c r="V974" s="268"/>
      <c r="W974" s="268"/>
      <c r="X974" s="268"/>
      <c r="Y974" s="268"/>
      <c r="Z974" s="268"/>
    </row>
    <row r="975" spans="1:26" ht="24.75" customHeight="1">
      <c r="A975" s="268"/>
      <c r="B975" s="268"/>
      <c r="C975" s="268"/>
      <c r="D975" s="268"/>
      <c r="E975" s="268"/>
      <c r="F975" s="268"/>
      <c r="G975" s="268"/>
      <c r="H975" s="268"/>
      <c r="I975" s="389"/>
      <c r="J975" s="389"/>
      <c r="K975" s="389"/>
      <c r="L975" s="268"/>
      <c r="M975" s="268"/>
      <c r="N975" s="268"/>
      <c r="O975" s="310"/>
      <c r="P975" s="268"/>
      <c r="Q975" s="309"/>
      <c r="R975" s="268"/>
      <c r="S975" s="313"/>
      <c r="T975" s="313"/>
      <c r="U975" s="268"/>
      <c r="V975" s="268"/>
      <c r="W975" s="268"/>
      <c r="X975" s="268"/>
      <c r="Y975" s="268"/>
      <c r="Z975" s="268"/>
    </row>
    <row r="976" spans="1:26" ht="24.75" customHeight="1">
      <c r="A976" s="268"/>
      <c r="B976" s="268"/>
      <c r="C976" s="268"/>
      <c r="D976" s="268"/>
      <c r="E976" s="268"/>
      <c r="F976" s="268"/>
      <c r="G976" s="268"/>
      <c r="H976" s="268"/>
      <c r="I976" s="389"/>
      <c r="J976" s="389"/>
      <c r="K976" s="389"/>
      <c r="L976" s="268"/>
      <c r="M976" s="268"/>
      <c r="N976" s="268"/>
      <c r="O976" s="310"/>
      <c r="P976" s="268"/>
      <c r="Q976" s="309"/>
      <c r="R976" s="268"/>
      <c r="S976" s="313"/>
      <c r="T976" s="313"/>
      <c r="U976" s="268"/>
      <c r="V976" s="268"/>
      <c r="W976" s="268"/>
      <c r="X976" s="268"/>
      <c r="Y976" s="268"/>
      <c r="Z976" s="268"/>
    </row>
    <row r="977" spans="1:26" ht="24.75" customHeight="1">
      <c r="A977" s="268"/>
      <c r="B977" s="268"/>
      <c r="C977" s="268"/>
      <c r="D977" s="268"/>
      <c r="E977" s="268"/>
      <c r="F977" s="268"/>
      <c r="G977" s="268"/>
      <c r="H977" s="268"/>
      <c r="I977" s="389"/>
      <c r="J977" s="389"/>
      <c r="K977" s="389"/>
      <c r="L977" s="268"/>
      <c r="M977" s="268"/>
      <c r="N977" s="268"/>
      <c r="O977" s="310"/>
      <c r="P977" s="268"/>
      <c r="Q977" s="309"/>
      <c r="R977" s="268"/>
      <c r="S977" s="313"/>
      <c r="T977" s="313"/>
      <c r="U977" s="268"/>
      <c r="V977" s="268"/>
      <c r="W977" s="268"/>
      <c r="X977" s="268"/>
      <c r="Y977" s="268"/>
      <c r="Z977" s="268"/>
    </row>
    <row r="978" spans="1:26" ht="24.75" customHeight="1">
      <c r="A978" s="268"/>
      <c r="B978" s="268"/>
      <c r="C978" s="268"/>
      <c r="D978" s="268"/>
      <c r="E978" s="268"/>
      <c r="F978" s="268"/>
      <c r="G978" s="268"/>
      <c r="H978" s="268"/>
      <c r="I978" s="389"/>
      <c r="J978" s="389"/>
      <c r="K978" s="389"/>
      <c r="L978" s="268"/>
      <c r="M978" s="268"/>
      <c r="N978" s="268"/>
      <c r="O978" s="310"/>
      <c r="P978" s="268"/>
      <c r="Q978" s="309"/>
      <c r="R978" s="268"/>
      <c r="S978" s="313"/>
      <c r="T978" s="313"/>
      <c r="U978" s="268"/>
      <c r="V978" s="268"/>
      <c r="W978" s="268"/>
      <c r="X978" s="268"/>
      <c r="Y978" s="268"/>
      <c r="Z978" s="268"/>
    </row>
    <row r="979" spans="1:26" ht="24.75" customHeight="1">
      <c r="A979" s="268"/>
      <c r="B979" s="268"/>
      <c r="C979" s="268"/>
      <c r="D979" s="268"/>
      <c r="E979" s="268"/>
      <c r="F979" s="268"/>
      <c r="G979" s="268"/>
      <c r="H979" s="268"/>
      <c r="I979" s="389"/>
      <c r="J979" s="389"/>
      <c r="K979" s="389"/>
      <c r="L979" s="268"/>
      <c r="M979" s="268"/>
      <c r="N979" s="268"/>
      <c r="O979" s="310"/>
      <c r="P979" s="268"/>
      <c r="Q979" s="309"/>
      <c r="R979" s="268"/>
      <c r="S979" s="313"/>
      <c r="T979" s="313"/>
      <c r="U979" s="268"/>
      <c r="V979" s="268"/>
      <c r="W979" s="268"/>
      <c r="X979" s="268"/>
      <c r="Y979" s="268"/>
      <c r="Z979" s="268"/>
    </row>
    <row r="980" spans="1:26" ht="24.75" customHeight="1">
      <c r="A980" s="268"/>
      <c r="B980" s="268"/>
      <c r="C980" s="268"/>
      <c r="D980" s="268"/>
      <c r="E980" s="268"/>
      <c r="F980" s="268"/>
      <c r="G980" s="268"/>
      <c r="H980" s="268"/>
      <c r="I980" s="389"/>
      <c r="J980" s="389"/>
      <c r="K980" s="389"/>
      <c r="L980" s="268"/>
      <c r="M980" s="268"/>
      <c r="N980" s="268"/>
      <c r="O980" s="310"/>
      <c r="P980" s="268"/>
      <c r="Q980" s="309"/>
      <c r="R980" s="268"/>
      <c r="S980" s="313"/>
      <c r="T980" s="313"/>
      <c r="U980" s="268"/>
      <c r="V980" s="268"/>
      <c r="W980" s="268"/>
      <c r="X980" s="268"/>
      <c r="Y980" s="268"/>
      <c r="Z980" s="268"/>
    </row>
    <row r="981" spans="1:26" ht="24.75" customHeight="1">
      <c r="A981" s="268"/>
      <c r="B981" s="268"/>
      <c r="C981" s="268"/>
      <c r="D981" s="268"/>
      <c r="E981" s="268"/>
      <c r="F981" s="268"/>
      <c r="G981" s="268"/>
      <c r="H981" s="268"/>
      <c r="I981" s="389"/>
      <c r="J981" s="389"/>
      <c r="K981" s="389"/>
      <c r="L981" s="268"/>
      <c r="M981" s="268"/>
      <c r="N981" s="268"/>
      <c r="O981" s="310"/>
      <c r="P981" s="268"/>
      <c r="Q981" s="309"/>
      <c r="R981" s="268"/>
      <c r="S981" s="313"/>
      <c r="T981" s="313"/>
      <c r="U981" s="268"/>
      <c r="V981" s="268"/>
      <c r="W981" s="268"/>
      <c r="X981" s="268"/>
      <c r="Y981" s="268"/>
      <c r="Z981" s="268"/>
    </row>
    <row r="982" spans="1:26" ht="24.75" customHeight="1">
      <c r="A982" s="268"/>
      <c r="B982" s="268"/>
      <c r="C982" s="268"/>
      <c r="D982" s="268"/>
      <c r="E982" s="268"/>
      <c r="F982" s="268"/>
      <c r="G982" s="268"/>
      <c r="H982" s="268"/>
      <c r="I982" s="389"/>
      <c r="J982" s="389"/>
      <c r="K982" s="389"/>
      <c r="L982" s="268"/>
      <c r="M982" s="268"/>
      <c r="N982" s="268"/>
      <c r="O982" s="310"/>
      <c r="P982" s="268"/>
      <c r="Q982" s="309"/>
      <c r="R982" s="268"/>
      <c r="S982" s="313"/>
      <c r="T982" s="313"/>
      <c r="U982" s="268"/>
      <c r="V982" s="268"/>
      <c r="W982" s="268"/>
      <c r="X982" s="268"/>
      <c r="Y982" s="268"/>
      <c r="Z982" s="268"/>
    </row>
    <row r="983" spans="1:26" ht="24.75" customHeight="1">
      <c r="A983" s="268"/>
      <c r="B983" s="268"/>
      <c r="C983" s="268"/>
      <c r="D983" s="268"/>
      <c r="E983" s="268"/>
      <c r="F983" s="268"/>
      <c r="G983" s="268"/>
      <c r="H983" s="268"/>
      <c r="I983" s="389"/>
      <c r="J983" s="389"/>
      <c r="K983" s="389"/>
      <c r="L983" s="268"/>
      <c r="M983" s="268"/>
      <c r="N983" s="268"/>
      <c r="O983" s="310"/>
      <c r="P983" s="268"/>
      <c r="Q983" s="309"/>
      <c r="R983" s="268"/>
      <c r="S983" s="313"/>
      <c r="T983" s="313"/>
      <c r="U983" s="268"/>
      <c r="V983" s="268"/>
      <c r="W983" s="268"/>
      <c r="X983" s="268"/>
      <c r="Y983" s="268"/>
      <c r="Z983" s="268"/>
    </row>
    <row r="984" spans="1:26" ht="24.75" customHeight="1">
      <c r="A984" s="268"/>
      <c r="B984" s="268"/>
      <c r="C984" s="268"/>
      <c r="D984" s="268"/>
      <c r="E984" s="268"/>
      <c r="F984" s="268"/>
      <c r="G984" s="268"/>
      <c r="H984" s="268"/>
      <c r="I984" s="389"/>
      <c r="J984" s="389"/>
      <c r="K984" s="389"/>
      <c r="L984" s="268"/>
      <c r="M984" s="268"/>
      <c r="N984" s="268"/>
      <c r="O984" s="310"/>
      <c r="P984" s="268"/>
      <c r="Q984" s="309"/>
      <c r="R984" s="268"/>
      <c r="S984" s="313"/>
      <c r="T984" s="313"/>
      <c r="U984" s="268"/>
      <c r="V984" s="268"/>
      <c r="W984" s="268"/>
      <c r="X984" s="268"/>
      <c r="Y984" s="268"/>
      <c r="Z984" s="268"/>
    </row>
    <row r="985" spans="1:26" ht="24.75" customHeight="1">
      <c r="A985" s="268"/>
      <c r="B985" s="268"/>
      <c r="C985" s="268"/>
      <c r="D985" s="268"/>
      <c r="E985" s="268"/>
      <c r="F985" s="268"/>
      <c r="G985" s="268"/>
      <c r="H985" s="268"/>
      <c r="I985" s="389"/>
      <c r="J985" s="389"/>
      <c r="K985" s="389"/>
      <c r="L985" s="268"/>
      <c r="M985" s="268"/>
      <c r="N985" s="268"/>
      <c r="O985" s="310"/>
      <c r="P985" s="268"/>
      <c r="Q985" s="309"/>
      <c r="R985" s="268"/>
      <c r="S985" s="313"/>
      <c r="T985" s="313"/>
      <c r="U985" s="268"/>
      <c r="V985" s="268"/>
      <c r="W985" s="268"/>
      <c r="X985" s="268"/>
      <c r="Y985" s="268"/>
      <c r="Z985" s="268"/>
    </row>
    <row r="986" spans="1:26" ht="24.75" customHeight="1">
      <c r="A986" s="268"/>
      <c r="B986" s="268"/>
      <c r="C986" s="268"/>
      <c r="D986" s="268"/>
      <c r="E986" s="268"/>
      <c r="F986" s="268"/>
      <c r="G986" s="268"/>
      <c r="H986" s="268"/>
      <c r="I986" s="389"/>
      <c r="J986" s="389"/>
      <c r="K986" s="389"/>
      <c r="L986" s="268"/>
      <c r="M986" s="268"/>
      <c r="N986" s="268"/>
      <c r="O986" s="310"/>
      <c r="P986" s="268"/>
      <c r="Q986" s="309"/>
      <c r="R986" s="268"/>
      <c r="S986" s="313"/>
      <c r="T986" s="313"/>
      <c r="U986" s="268"/>
      <c r="V986" s="268"/>
      <c r="W986" s="268"/>
      <c r="X986" s="268"/>
      <c r="Y986" s="268"/>
      <c r="Z986" s="268"/>
    </row>
    <row r="987" spans="1:26" ht="24.75" customHeight="1">
      <c r="A987" s="268"/>
      <c r="B987" s="268"/>
      <c r="C987" s="268"/>
      <c r="D987" s="268"/>
      <c r="E987" s="268"/>
      <c r="F987" s="268"/>
      <c r="G987" s="268"/>
      <c r="H987" s="268"/>
      <c r="I987" s="389"/>
      <c r="J987" s="389"/>
      <c r="K987" s="389"/>
      <c r="L987" s="268"/>
      <c r="M987" s="268"/>
      <c r="N987" s="268"/>
      <c r="O987" s="310"/>
      <c r="P987" s="268"/>
      <c r="Q987" s="309"/>
      <c r="R987" s="268"/>
      <c r="S987" s="313"/>
      <c r="T987" s="313"/>
      <c r="U987" s="268"/>
      <c r="V987" s="268"/>
      <c r="W987" s="268"/>
      <c r="X987" s="268"/>
      <c r="Y987" s="268"/>
      <c r="Z987" s="268"/>
    </row>
    <row r="988" spans="1:26" ht="24.75" customHeight="1">
      <c r="A988" s="268"/>
      <c r="B988" s="268"/>
      <c r="C988" s="268"/>
      <c r="D988" s="268"/>
      <c r="E988" s="268"/>
      <c r="F988" s="268"/>
      <c r="G988" s="268"/>
      <c r="H988" s="268"/>
      <c r="I988" s="389"/>
      <c r="J988" s="389"/>
      <c r="K988" s="389"/>
      <c r="L988" s="268"/>
      <c r="M988" s="268"/>
      <c r="N988" s="268"/>
      <c r="O988" s="310"/>
      <c r="P988" s="268"/>
      <c r="Q988" s="309"/>
      <c r="R988" s="268"/>
      <c r="S988" s="313"/>
      <c r="T988" s="313"/>
      <c r="U988" s="268"/>
      <c r="V988" s="268"/>
      <c r="W988" s="268"/>
      <c r="X988" s="268"/>
      <c r="Y988" s="268"/>
      <c r="Z988" s="268"/>
    </row>
    <row r="989" spans="1:26" ht="24.75" customHeight="1">
      <c r="A989" s="268"/>
      <c r="B989" s="268"/>
      <c r="C989" s="268"/>
      <c r="D989" s="268"/>
      <c r="E989" s="268"/>
      <c r="F989" s="268"/>
      <c r="G989" s="268"/>
      <c r="H989" s="268"/>
      <c r="I989" s="389"/>
      <c r="J989" s="389"/>
      <c r="K989" s="389"/>
      <c r="L989" s="268"/>
      <c r="M989" s="268"/>
      <c r="N989" s="268"/>
      <c r="O989" s="310"/>
      <c r="P989" s="268"/>
      <c r="Q989" s="309"/>
      <c r="R989" s="268"/>
      <c r="S989" s="313"/>
      <c r="T989" s="313"/>
      <c r="U989" s="268"/>
      <c r="V989" s="268"/>
      <c r="W989" s="268"/>
      <c r="X989" s="268"/>
      <c r="Y989" s="268"/>
      <c r="Z989" s="268"/>
    </row>
    <row r="990" spans="1:26" ht="24.75" customHeight="1">
      <c r="A990" s="268"/>
      <c r="B990" s="268"/>
      <c r="C990" s="268"/>
      <c r="D990" s="268"/>
      <c r="E990" s="268"/>
      <c r="F990" s="268"/>
      <c r="G990" s="268"/>
      <c r="H990" s="268"/>
      <c r="I990" s="389"/>
      <c r="J990" s="389"/>
      <c r="K990" s="389"/>
      <c r="L990" s="268"/>
      <c r="M990" s="268"/>
      <c r="N990" s="268"/>
      <c r="O990" s="310"/>
      <c r="P990" s="268"/>
      <c r="Q990" s="309"/>
      <c r="R990" s="268"/>
      <c r="S990" s="313"/>
      <c r="T990" s="313"/>
      <c r="U990" s="268"/>
      <c r="V990" s="268"/>
      <c r="W990" s="268"/>
      <c r="X990" s="268"/>
      <c r="Y990" s="268"/>
      <c r="Z990" s="268"/>
    </row>
    <row r="991" spans="1:26" ht="24.75" customHeight="1">
      <c r="A991" s="268"/>
      <c r="B991" s="268"/>
      <c r="C991" s="268"/>
      <c r="D991" s="268"/>
      <c r="E991" s="268"/>
      <c r="F991" s="268"/>
      <c r="G991" s="268"/>
      <c r="H991" s="268"/>
      <c r="I991" s="389"/>
      <c r="J991" s="389"/>
      <c r="K991" s="389"/>
      <c r="L991" s="268"/>
      <c r="M991" s="268"/>
      <c r="N991" s="268"/>
      <c r="O991" s="310"/>
      <c r="P991" s="268"/>
      <c r="Q991" s="309"/>
      <c r="R991" s="268"/>
      <c r="S991" s="313"/>
      <c r="T991" s="313"/>
      <c r="U991" s="268"/>
      <c r="V991" s="268"/>
      <c r="W991" s="268"/>
      <c r="X991" s="268"/>
      <c r="Y991" s="268"/>
      <c r="Z991" s="268"/>
    </row>
    <row r="992" spans="1:26" ht="24.75" customHeight="1">
      <c r="A992" s="268"/>
      <c r="B992" s="268"/>
      <c r="C992" s="268"/>
      <c r="D992" s="268"/>
      <c r="E992" s="268"/>
      <c r="F992" s="268"/>
      <c r="G992" s="268"/>
      <c r="H992" s="268"/>
      <c r="I992" s="389"/>
      <c r="J992" s="389"/>
      <c r="K992" s="389"/>
      <c r="L992" s="268"/>
      <c r="M992" s="268"/>
      <c r="N992" s="268"/>
      <c r="O992" s="310"/>
      <c r="P992" s="268"/>
      <c r="Q992" s="309"/>
      <c r="R992" s="268"/>
      <c r="S992" s="313"/>
      <c r="T992" s="313"/>
      <c r="U992" s="268"/>
      <c r="V992" s="268"/>
      <c r="W992" s="268"/>
      <c r="X992" s="268"/>
      <c r="Y992" s="268"/>
      <c r="Z992" s="268"/>
    </row>
    <row r="993" spans="1:26" ht="24.75" customHeight="1">
      <c r="A993" s="268"/>
      <c r="B993" s="268"/>
      <c r="C993" s="268"/>
      <c r="D993" s="268"/>
      <c r="E993" s="268"/>
      <c r="F993" s="268"/>
      <c r="G993" s="268"/>
      <c r="H993" s="268"/>
      <c r="I993" s="389"/>
      <c r="J993" s="389"/>
      <c r="K993" s="389"/>
      <c r="L993" s="268"/>
      <c r="M993" s="268"/>
      <c r="N993" s="268"/>
      <c r="O993" s="310"/>
      <c r="P993" s="268"/>
      <c r="Q993" s="309"/>
      <c r="R993" s="268"/>
      <c r="S993" s="313"/>
      <c r="T993" s="313"/>
      <c r="U993" s="268"/>
      <c r="V993" s="268"/>
      <c r="W993" s="268"/>
      <c r="X993" s="268"/>
      <c r="Y993" s="268"/>
      <c r="Z993" s="268"/>
    </row>
    <row r="994" spans="1:26" ht="24.75" customHeight="1">
      <c r="A994" s="268"/>
      <c r="B994" s="268"/>
      <c r="C994" s="268"/>
      <c r="D994" s="268"/>
      <c r="E994" s="268"/>
      <c r="F994" s="268"/>
      <c r="G994" s="268"/>
      <c r="H994" s="268"/>
      <c r="I994" s="389"/>
      <c r="J994" s="389"/>
      <c r="K994" s="389"/>
      <c r="L994" s="268"/>
      <c r="M994" s="268"/>
      <c r="N994" s="268"/>
      <c r="O994" s="310"/>
      <c r="P994" s="268"/>
      <c r="Q994" s="309"/>
      <c r="R994" s="268"/>
      <c r="S994" s="313"/>
      <c r="T994" s="313"/>
      <c r="U994" s="268"/>
      <c r="V994" s="268"/>
      <c r="W994" s="268"/>
      <c r="X994" s="268"/>
      <c r="Y994" s="268"/>
      <c r="Z994" s="268"/>
    </row>
    <row r="995" spans="1:26" ht="24.75" customHeight="1">
      <c r="A995" s="268"/>
      <c r="B995" s="268"/>
      <c r="C995" s="268"/>
      <c r="D995" s="268"/>
      <c r="E995" s="268"/>
      <c r="F995" s="268"/>
      <c r="G995" s="268"/>
      <c r="H995" s="268"/>
      <c r="I995" s="389"/>
      <c r="J995" s="389"/>
      <c r="K995" s="389"/>
      <c r="L995" s="268"/>
      <c r="M995" s="268"/>
      <c r="N995" s="268"/>
      <c r="O995" s="310"/>
      <c r="P995" s="268"/>
      <c r="Q995" s="309"/>
      <c r="R995" s="268"/>
      <c r="S995" s="313"/>
      <c r="T995" s="313"/>
      <c r="U995" s="268"/>
      <c r="V995" s="268"/>
      <c r="W995" s="268"/>
      <c r="X995" s="268"/>
      <c r="Y995" s="268"/>
      <c r="Z995" s="268"/>
    </row>
    <row r="996" spans="1:26" ht="24.75" customHeight="1">
      <c r="A996" s="268"/>
      <c r="B996" s="268"/>
      <c r="C996" s="268"/>
      <c r="D996" s="268"/>
      <c r="E996" s="268"/>
      <c r="F996" s="268"/>
      <c r="G996" s="268"/>
      <c r="H996" s="268"/>
      <c r="I996" s="389"/>
      <c r="J996" s="389"/>
      <c r="K996" s="389"/>
      <c r="L996" s="268"/>
      <c r="M996" s="268"/>
      <c r="N996" s="268"/>
      <c r="O996" s="310"/>
      <c r="P996" s="268"/>
      <c r="Q996" s="309"/>
      <c r="R996" s="268"/>
      <c r="S996" s="313"/>
      <c r="T996" s="313"/>
      <c r="U996" s="268"/>
      <c r="V996" s="268"/>
      <c r="W996" s="268"/>
      <c r="X996" s="268"/>
      <c r="Y996" s="268"/>
      <c r="Z996" s="268"/>
    </row>
    <row r="997" spans="1:26" ht="24.75" customHeight="1">
      <c r="A997" s="268"/>
      <c r="B997" s="268"/>
      <c r="C997" s="268"/>
      <c r="D997" s="268"/>
      <c r="E997" s="268"/>
      <c r="F997" s="268"/>
      <c r="G997" s="268"/>
      <c r="H997" s="268"/>
      <c r="I997" s="389"/>
      <c r="J997" s="389"/>
      <c r="K997" s="389"/>
      <c r="L997" s="268"/>
      <c r="M997" s="268"/>
      <c r="N997" s="268"/>
      <c r="O997" s="310"/>
      <c r="P997" s="268"/>
      <c r="Q997" s="309"/>
      <c r="R997" s="268"/>
      <c r="S997" s="313"/>
      <c r="T997" s="313"/>
      <c r="U997" s="268"/>
      <c r="V997" s="268"/>
      <c r="W997" s="268"/>
      <c r="X997" s="268"/>
      <c r="Y997" s="268"/>
      <c r="Z997" s="268"/>
    </row>
    <row r="998" spans="1:26" ht="24.75" customHeight="1">
      <c r="A998" s="268"/>
      <c r="B998" s="268"/>
      <c r="C998" s="268"/>
      <c r="D998" s="268"/>
      <c r="E998" s="268"/>
      <c r="F998" s="268"/>
      <c r="G998" s="268"/>
      <c r="H998" s="268"/>
      <c r="I998" s="389"/>
      <c r="J998" s="389"/>
      <c r="K998" s="389"/>
      <c r="L998" s="268"/>
      <c r="M998" s="268"/>
      <c r="N998" s="268"/>
      <c r="O998" s="310"/>
      <c r="P998" s="268"/>
      <c r="Q998" s="309"/>
      <c r="R998" s="268"/>
      <c r="S998" s="313"/>
      <c r="T998" s="313"/>
      <c r="U998" s="268"/>
      <c r="V998" s="268"/>
      <c r="W998" s="268"/>
      <c r="X998" s="268"/>
      <c r="Y998" s="268"/>
      <c r="Z998" s="268"/>
    </row>
    <row r="999" spans="1:26" ht="24.75" customHeight="1">
      <c r="A999" s="268"/>
      <c r="B999" s="268"/>
      <c r="C999" s="268"/>
      <c r="D999" s="268"/>
      <c r="E999" s="268"/>
      <c r="F999" s="268"/>
      <c r="G999" s="268"/>
      <c r="H999" s="268"/>
      <c r="I999" s="389"/>
      <c r="J999" s="389"/>
      <c r="K999" s="389"/>
      <c r="L999" s="268"/>
      <c r="M999" s="268"/>
      <c r="N999" s="268"/>
      <c r="O999" s="310"/>
      <c r="P999" s="268"/>
      <c r="Q999" s="309"/>
      <c r="R999" s="268"/>
      <c r="S999" s="313"/>
      <c r="T999" s="313"/>
      <c r="U999" s="268"/>
      <c r="V999" s="268"/>
      <c r="W999" s="268"/>
      <c r="X999" s="268"/>
      <c r="Y999" s="268"/>
      <c r="Z999" s="268"/>
    </row>
    <row r="1000" spans="1:26" ht="24.75" customHeight="1">
      <c r="A1000" s="268"/>
      <c r="B1000" s="268"/>
      <c r="C1000" s="268"/>
      <c r="D1000" s="268"/>
      <c r="E1000" s="268"/>
      <c r="F1000" s="268"/>
      <c r="G1000" s="268"/>
      <c r="H1000" s="268"/>
      <c r="I1000" s="389"/>
      <c r="J1000" s="389"/>
      <c r="K1000" s="389"/>
      <c r="L1000" s="268"/>
      <c r="M1000" s="268"/>
      <c r="N1000" s="268"/>
      <c r="O1000" s="310"/>
      <c r="P1000" s="268"/>
      <c r="Q1000" s="309"/>
      <c r="R1000" s="268"/>
      <c r="S1000" s="313"/>
      <c r="T1000" s="313"/>
      <c r="U1000" s="268"/>
      <c r="V1000" s="268"/>
      <c r="W1000" s="268"/>
      <c r="X1000" s="268"/>
      <c r="Y1000" s="268"/>
      <c r="Z1000" s="268"/>
    </row>
  </sheetData>
  <mergeCells count="2">
    <mergeCell ref="S1:T1"/>
    <mergeCell ref="B1:Q1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/>
  </sheetViews>
  <sheetFormatPr baseColWidth="10" defaultColWidth="11.28515625" defaultRowHeight="15" customHeight="1" x14ac:dyDescent="0"/>
  <cols>
    <col min="1" max="1" width="6.5703125" customWidth="1"/>
    <col min="2" max="2" width="8.85546875" customWidth="1"/>
    <col min="3" max="4" width="10.85546875" customWidth="1"/>
    <col min="5" max="5" width="15.140625" customWidth="1"/>
    <col min="6" max="6" width="19.140625" customWidth="1"/>
    <col min="7" max="11" width="17.85546875" customWidth="1"/>
    <col min="12" max="12" width="14.5703125" customWidth="1"/>
    <col min="13" max="13" width="15.7109375" customWidth="1"/>
    <col min="14" max="14" width="24.5703125" hidden="1" customWidth="1"/>
    <col min="15" max="15" width="15.7109375" customWidth="1"/>
    <col min="16" max="16" width="29.28515625" customWidth="1"/>
    <col min="17" max="17" width="21.28515625" customWidth="1"/>
    <col min="18" max="18" width="7" customWidth="1"/>
    <col min="19" max="19" width="18.85546875" customWidth="1"/>
    <col min="20" max="20" width="5.140625" customWidth="1"/>
    <col min="21" max="26" width="7" customWidth="1"/>
  </cols>
  <sheetData>
    <row r="1" spans="1:26" ht="24.75" customHeight="1">
      <c r="A1" s="268"/>
      <c r="B1" s="447" t="s">
        <v>5331</v>
      </c>
      <c r="C1" s="429"/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268"/>
      <c r="S1" s="438" t="s">
        <v>4780</v>
      </c>
      <c r="T1" s="439"/>
      <c r="U1" s="268"/>
      <c r="V1" s="268"/>
      <c r="W1" s="268"/>
      <c r="X1" s="268"/>
      <c r="Y1" s="268"/>
      <c r="Z1" s="268"/>
    </row>
    <row r="2" spans="1:26" ht="46.5" customHeight="1">
      <c r="A2" s="374" t="s">
        <v>7</v>
      </c>
      <c r="B2" s="232" t="s">
        <v>11</v>
      </c>
      <c r="C2" s="299" t="s">
        <v>13</v>
      </c>
      <c r="D2" s="299" t="s">
        <v>4573</v>
      </c>
      <c r="E2" s="300" t="s">
        <v>4574</v>
      </c>
      <c r="F2" s="301" t="s">
        <v>19</v>
      </c>
      <c r="G2" s="301" t="s">
        <v>4782</v>
      </c>
      <c r="H2" s="301" t="s">
        <v>4576</v>
      </c>
      <c r="I2" s="302" t="s">
        <v>1</v>
      </c>
      <c r="J2" s="299" t="s">
        <v>24</v>
      </c>
      <c r="K2" s="376" t="s">
        <v>34</v>
      </c>
      <c r="L2" s="232" t="s">
        <v>4783</v>
      </c>
      <c r="M2" s="232" t="s">
        <v>4784</v>
      </c>
      <c r="N2" s="232" t="s">
        <v>4784</v>
      </c>
      <c r="O2" s="237" t="s">
        <v>4577</v>
      </c>
      <c r="P2" s="232" t="s">
        <v>4578</v>
      </c>
      <c r="Q2" s="232" t="s">
        <v>44</v>
      </c>
      <c r="R2" s="378"/>
      <c r="S2" s="266" t="s">
        <v>4579</v>
      </c>
      <c r="T2" s="266" t="s">
        <v>4580</v>
      </c>
      <c r="U2" s="268"/>
      <c r="V2" s="268"/>
      <c r="W2" s="268"/>
      <c r="X2" s="268"/>
      <c r="Y2" s="268"/>
      <c r="Z2" s="268"/>
    </row>
    <row r="3" spans="1:26" ht="24.75" customHeight="1">
      <c r="A3" s="313"/>
      <c r="B3" s="268"/>
      <c r="C3" s="268"/>
      <c r="D3" s="268"/>
      <c r="E3" s="380"/>
      <c r="F3" s="268"/>
      <c r="G3" s="268"/>
      <c r="H3" s="268"/>
      <c r="I3" s="268"/>
      <c r="J3" s="268"/>
      <c r="K3" s="268"/>
      <c r="L3" s="268"/>
      <c r="M3" s="268"/>
      <c r="N3" s="310"/>
      <c r="O3" s="268"/>
      <c r="P3" s="309"/>
      <c r="Q3" s="381"/>
      <c r="R3" s="268"/>
      <c r="S3" s="351" t="s">
        <v>4585</v>
      </c>
      <c r="T3" s="266">
        <v>0</v>
      </c>
      <c r="U3" s="268"/>
      <c r="V3" s="268"/>
      <c r="W3" s="268"/>
      <c r="X3" s="268"/>
      <c r="Y3" s="268"/>
      <c r="Z3" s="268"/>
    </row>
    <row r="4" spans="1:26" ht="24.75" customHeight="1">
      <c r="A4" s="268"/>
      <c r="B4" s="268"/>
      <c r="C4" s="268"/>
      <c r="D4" s="268"/>
      <c r="E4" s="380"/>
      <c r="F4" s="268"/>
      <c r="G4" s="268"/>
      <c r="H4" s="268"/>
      <c r="I4" s="268"/>
      <c r="J4" s="268"/>
      <c r="K4" s="268"/>
      <c r="L4" s="268"/>
      <c r="M4" s="268"/>
      <c r="N4" s="310"/>
      <c r="O4" s="268"/>
      <c r="P4" s="309"/>
      <c r="Q4" s="381"/>
      <c r="R4" s="268"/>
      <c r="S4" s="331" t="s">
        <v>2863</v>
      </c>
      <c r="T4" s="266">
        <v>0</v>
      </c>
      <c r="U4" s="268"/>
      <c r="V4" s="268"/>
      <c r="W4" s="268"/>
      <c r="X4" s="268"/>
      <c r="Y4" s="268"/>
      <c r="Z4" s="268"/>
    </row>
    <row r="5" spans="1:26" ht="24.75" customHeight="1">
      <c r="A5" s="268"/>
      <c r="B5" s="268"/>
      <c r="C5" s="268"/>
      <c r="D5" s="268"/>
      <c r="E5" s="268"/>
      <c r="F5" s="268"/>
      <c r="G5" s="268"/>
      <c r="H5" s="268"/>
      <c r="I5" s="268"/>
      <c r="J5" s="268"/>
      <c r="K5" s="268"/>
      <c r="L5" s="268"/>
      <c r="M5" s="268"/>
      <c r="N5" s="310"/>
      <c r="O5" s="268"/>
      <c r="P5" s="309"/>
      <c r="Q5" s="381"/>
      <c r="R5" s="268"/>
      <c r="S5" s="352" t="s">
        <v>5300</v>
      </c>
      <c r="T5" s="266">
        <v>0</v>
      </c>
      <c r="U5" s="268"/>
      <c r="V5" s="268"/>
      <c r="W5" s="268"/>
      <c r="X5" s="268"/>
      <c r="Y5" s="268"/>
      <c r="Z5" s="268"/>
    </row>
    <row r="6" spans="1:26" ht="24.75" customHeight="1">
      <c r="A6" s="268"/>
      <c r="B6" s="268"/>
      <c r="C6" s="268"/>
      <c r="D6" s="268"/>
      <c r="E6" s="268"/>
      <c r="F6" s="268"/>
      <c r="G6" s="268"/>
      <c r="H6" s="268"/>
      <c r="I6" s="268"/>
      <c r="J6" s="268"/>
      <c r="K6" s="268"/>
      <c r="L6" s="268"/>
      <c r="M6" s="268"/>
      <c r="N6" s="310"/>
      <c r="O6" s="268"/>
      <c r="P6" s="309"/>
      <c r="Q6" s="381"/>
      <c r="R6" s="268"/>
      <c r="S6" s="353" t="s">
        <v>5301</v>
      </c>
      <c r="T6" s="266">
        <v>0</v>
      </c>
      <c r="U6" s="268"/>
      <c r="V6" s="268"/>
      <c r="W6" s="268"/>
      <c r="X6" s="268"/>
      <c r="Y6" s="268"/>
      <c r="Z6" s="268"/>
    </row>
    <row r="7" spans="1:26" ht="24.75" customHeight="1">
      <c r="A7" s="268"/>
      <c r="B7" s="268"/>
      <c r="C7" s="268"/>
      <c r="D7" s="268"/>
      <c r="E7" s="268"/>
      <c r="F7" s="268"/>
      <c r="G7" s="268"/>
      <c r="H7" s="268"/>
      <c r="I7" s="268"/>
      <c r="J7" s="268"/>
      <c r="K7" s="268"/>
      <c r="L7" s="268"/>
      <c r="M7" s="268"/>
      <c r="N7" s="268"/>
      <c r="O7" s="268"/>
      <c r="P7" s="268"/>
      <c r="Q7" s="268"/>
      <c r="R7" s="268"/>
      <c r="S7" s="354" t="s">
        <v>5302</v>
      </c>
      <c r="T7" s="266">
        <v>0</v>
      </c>
      <c r="U7" s="268"/>
      <c r="V7" s="268"/>
      <c r="W7" s="268"/>
      <c r="X7" s="268"/>
      <c r="Y7" s="268"/>
      <c r="Z7" s="268"/>
    </row>
    <row r="8" spans="1:26" ht="24.75" customHeight="1">
      <c r="A8" s="268"/>
      <c r="B8" s="268"/>
      <c r="C8" s="268"/>
      <c r="D8" s="268"/>
      <c r="E8" s="268"/>
      <c r="F8" s="268"/>
      <c r="G8" s="268"/>
      <c r="H8" s="268"/>
      <c r="I8" s="268"/>
      <c r="J8" s="268"/>
      <c r="K8" s="268"/>
      <c r="L8" s="268"/>
      <c r="M8" s="268"/>
      <c r="N8" s="268"/>
      <c r="O8" s="268"/>
      <c r="P8" s="268"/>
      <c r="Q8" s="268"/>
      <c r="R8" s="268"/>
      <c r="S8" s="355" t="s">
        <v>5303</v>
      </c>
      <c r="T8" s="266">
        <v>0</v>
      </c>
      <c r="U8" s="268"/>
      <c r="V8" s="268"/>
      <c r="W8" s="268"/>
      <c r="X8" s="268"/>
      <c r="Y8" s="268"/>
      <c r="Z8" s="268"/>
    </row>
    <row r="9" spans="1:26" ht="24.75" customHeight="1">
      <c r="A9" s="268"/>
      <c r="B9" s="268"/>
      <c r="C9" s="268"/>
      <c r="D9" s="268"/>
      <c r="E9" s="268"/>
      <c r="F9" s="268"/>
      <c r="G9" s="268"/>
      <c r="H9" s="268"/>
      <c r="I9" s="268"/>
      <c r="J9" s="268"/>
      <c r="K9" s="268"/>
      <c r="L9" s="268"/>
      <c r="M9" s="268"/>
      <c r="N9" s="310"/>
      <c r="O9" s="268"/>
      <c r="P9" s="309"/>
      <c r="Q9" s="381"/>
      <c r="R9" s="268"/>
      <c r="S9" s="356" t="s">
        <v>5304</v>
      </c>
      <c r="T9" s="266">
        <v>0</v>
      </c>
      <c r="U9" s="268"/>
      <c r="V9" s="268"/>
      <c r="W9" s="268"/>
      <c r="X9" s="268"/>
      <c r="Y9" s="268"/>
      <c r="Z9" s="268"/>
    </row>
    <row r="10" spans="1:26" ht="24.75" customHeight="1">
      <c r="A10" s="268"/>
      <c r="B10" s="268"/>
      <c r="C10" s="268"/>
      <c r="D10" s="268"/>
      <c r="E10" s="268"/>
      <c r="F10" s="268"/>
      <c r="G10" s="268"/>
      <c r="H10" s="268"/>
      <c r="I10" s="268"/>
      <c r="J10" s="268"/>
      <c r="K10" s="268"/>
      <c r="L10" s="268"/>
      <c r="M10" s="268"/>
      <c r="N10" s="310"/>
      <c r="O10" s="268"/>
      <c r="P10" s="309"/>
      <c r="Q10" s="381"/>
      <c r="R10" s="268"/>
      <c r="S10" s="358" t="s">
        <v>5305</v>
      </c>
      <c r="T10" s="266">
        <v>0</v>
      </c>
      <c r="U10" s="268"/>
      <c r="V10" s="268"/>
      <c r="W10" s="268"/>
      <c r="X10" s="268"/>
      <c r="Y10" s="268"/>
      <c r="Z10" s="268"/>
    </row>
    <row r="11" spans="1:26" ht="24.75" customHeight="1">
      <c r="A11" s="268"/>
      <c r="B11" s="268"/>
      <c r="C11" s="268"/>
      <c r="D11" s="268"/>
      <c r="E11" s="268"/>
      <c r="F11" s="268"/>
      <c r="G11" s="268"/>
      <c r="H11" s="268"/>
      <c r="I11" s="268"/>
      <c r="J11" s="268"/>
      <c r="K11" s="268"/>
      <c r="L11" s="268"/>
      <c r="M11" s="268"/>
      <c r="N11" s="310"/>
      <c r="O11" s="268"/>
      <c r="P11" s="309"/>
      <c r="Q11" s="381"/>
      <c r="R11" s="268"/>
      <c r="S11" s="360" t="s">
        <v>5306</v>
      </c>
      <c r="T11" s="266">
        <v>0</v>
      </c>
      <c r="U11" s="268"/>
      <c r="V11" s="268"/>
      <c r="W11" s="268"/>
      <c r="X11" s="268"/>
      <c r="Y11" s="268"/>
      <c r="Z11" s="268"/>
    </row>
    <row r="12" spans="1:26" ht="24.75" customHeight="1">
      <c r="A12" s="268"/>
      <c r="B12" s="268"/>
      <c r="C12" s="268"/>
      <c r="D12" s="268"/>
      <c r="E12" s="268"/>
      <c r="F12" s="268"/>
      <c r="G12" s="268"/>
      <c r="H12" s="268"/>
      <c r="I12" s="268"/>
      <c r="J12" s="268"/>
      <c r="K12" s="268"/>
      <c r="L12" s="268"/>
      <c r="M12" s="268"/>
      <c r="N12" s="310"/>
      <c r="O12" s="268"/>
      <c r="P12" s="309"/>
      <c r="Q12" s="381"/>
      <c r="R12" s="268"/>
      <c r="S12" s="362" t="s">
        <v>5307</v>
      </c>
      <c r="T12" s="266">
        <v>0</v>
      </c>
      <c r="U12" s="268"/>
      <c r="V12" s="268"/>
      <c r="W12" s="268"/>
      <c r="X12" s="268"/>
      <c r="Y12" s="268"/>
      <c r="Z12" s="268"/>
    </row>
    <row r="13" spans="1:26" ht="24.75" customHeight="1">
      <c r="A13" s="268"/>
      <c r="B13" s="268"/>
      <c r="C13" s="268"/>
      <c r="D13" s="268"/>
      <c r="E13" s="268"/>
      <c r="F13" s="268"/>
      <c r="G13" s="268"/>
      <c r="H13" s="268"/>
      <c r="I13" s="268"/>
      <c r="J13" s="268"/>
      <c r="K13" s="268"/>
      <c r="L13" s="268"/>
      <c r="M13" s="268"/>
      <c r="N13" s="310"/>
      <c r="O13" s="268"/>
      <c r="P13" s="309"/>
      <c r="Q13" s="381"/>
      <c r="R13" s="268"/>
      <c r="S13" s="363" t="s">
        <v>5308</v>
      </c>
      <c r="T13" s="266">
        <v>0</v>
      </c>
      <c r="U13" s="268"/>
      <c r="V13" s="268"/>
      <c r="W13" s="268"/>
      <c r="X13" s="268"/>
      <c r="Y13" s="268"/>
      <c r="Z13" s="268"/>
    </row>
    <row r="14" spans="1:26" ht="24.75" customHeight="1">
      <c r="A14" s="268"/>
      <c r="B14" s="268"/>
      <c r="C14" s="268"/>
      <c r="D14" s="268"/>
      <c r="E14" s="268"/>
      <c r="F14" s="268"/>
      <c r="G14" s="268"/>
      <c r="H14" s="268"/>
      <c r="I14" s="268"/>
      <c r="J14" s="268"/>
      <c r="K14" s="310"/>
      <c r="L14" s="268"/>
      <c r="M14" s="268"/>
      <c r="N14" s="268"/>
      <c r="O14" s="268"/>
      <c r="P14" s="268"/>
      <c r="Q14" s="268"/>
      <c r="R14" s="268"/>
      <c r="S14" s="364" t="s">
        <v>4811</v>
      </c>
      <c r="T14" s="266">
        <v>0</v>
      </c>
      <c r="U14" s="268"/>
      <c r="V14" s="268"/>
      <c r="W14" s="268"/>
      <c r="X14" s="268"/>
      <c r="Y14" s="268"/>
      <c r="Z14" s="268"/>
    </row>
    <row r="15" spans="1:26" ht="24.75" customHeight="1">
      <c r="A15" s="263"/>
      <c r="B15" s="268"/>
      <c r="C15" s="268"/>
      <c r="D15" s="268"/>
      <c r="E15" s="380"/>
      <c r="F15" s="268"/>
      <c r="G15" s="268"/>
      <c r="H15" s="268"/>
      <c r="I15" s="268"/>
      <c r="J15" s="268"/>
      <c r="K15" s="268"/>
      <c r="L15" s="268"/>
      <c r="M15" s="268"/>
      <c r="N15" s="310"/>
      <c r="O15" s="268"/>
      <c r="P15" s="309"/>
      <c r="Q15" s="381"/>
      <c r="R15" s="268"/>
      <c r="S15" s="365" t="s">
        <v>4815</v>
      </c>
      <c r="T15" s="266">
        <v>0</v>
      </c>
      <c r="U15" s="268"/>
      <c r="V15" s="268"/>
      <c r="W15" s="268"/>
      <c r="X15" s="268"/>
      <c r="Y15" s="268"/>
      <c r="Z15" s="268"/>
    </row>
    <row r="16" spans="1:26" ht="24.75" customHeight="1">
      <c r="A16" s="268"/>
      <c r="B16" s="268"/>
      <c r="C16" s="268"/>
      <c r="D16" s="268"/>
      <c r="E16" s="380"/>
      <c r="F16" s="306" t="s">
        <v>5348</v>
      </c>
      <c r="G16" s="382" t="s">
        <v>5304</v>
      </c>
      <c r="H16" s="268"/>
      <c r="I16" s="268"/>
      <c r="J16" s="268"/>
      <c r="K16" s="383" t="s">
        <v>4795</v>
      </c>
      <c r="L16" s="268"/>
      <c r="M16" s="230">
        <v>6</v>
      </c>
      <c r="N16" s="383" t="s">
        <v>4795</v>
      </c>
      <c r="O16" s="268"/>
      <c r="P16" s="268"/>
      <c r="Q16" s="268"/>
      <c r="R16" s="268"/>
      <c r="S16" s="368" t="s">
        <v>4821</v>
      </c>
      <c r="T16" s="266">
        <v>0</v>
      </c>
      <c r="U16" s="268"/>
      <c r="V16" s="268"/>
      <c r="W16" s="268"/>
      <c r="X16" s="268"/>
      <c r="Y16" s="268"/>
      <c r="Z16" s="268"/>
    </row>
    <row r="17" spans="1:26" ht="24.75" customHeight="1">
      <c r="A17" s="268"/>
      <c r="B17" s="268"/>
      <c r="C17" s="268"/>
      <c r="D17" s="268"/>
      <c r="E17" s="380"/>
      <c r="F17" s="306" t="s">
        <v>5355</v>
      </c>
      <c r="G17" s="382" t="s">
        <v>5304</v>
      </c>
      <c r="H17" s="268"/>
      <c r="I17" s="268"/>
      <c r="J17" s="268"/>
      <c r="K17" s="383" t="s">
        <v>4795</v>
      </c>
      <c r="L17" s="268"/>
      <c r="M17" s="230">
        <v>3</v>
      </c>
      <c r="N17" s="383" t="s">
        <v>4795</v>
      </c>
      <c r="O17" s="268"/>
      <c r="P17" s="268"/>
      <c r="Q17" s="268"/>
      <c r="R17" s="268"/>
      <c r="S17" s="315" t="s">
        <v>4826</v>
      </c>
      <c r="T17" s="266">
        <v>0</v>
      </c>
      <c r="U17" s="268"/>
      <c r="V17" s="268"/>
      <c r="W17" s="268"/>
      <c r="X17" s="268"/>
      <c r="Y17" s="268"/>
      <c r="Z17" s="268"/>
    </row>
    <row r="18" spans="1:26" ht="24.75" customHeight="1">
      <c r="A18" s="268"/>
      <c r="B18" s="268"/>
      <c r="C18" s="268"/>
      <c r="D18" s="268"/>
      <c r="E18" s="380"/>
      <c r="F18" s="306" t="s">
        <v>5357</v>
      </c>
      <c r="G18" s="382" t="s">
        <v>5304</v>
      </c>
      <c r="H18" s="268"/>
      <c r="I18" s="268"/>
      <c r="J18" s="268"/>
      <c r="K18" s="383" t="s">
        <v>4795</v>
      </c>
      <c r="L18" s="268"/>
      <c r="M18" s="230">
        <v>3</v>
      </c>
      <c r="N18" s="383" t="s">
        <v>4795</v>
      </c>
      <c r="O18" s="268"/>
      <c r="P18" s="268"/>
      <c r="Q18" s="268"/>
      <c r="R18" s="268"/>
      <c r="S18" s="317" t="s">
        <v>4833</v>
      </c>
      <c r="T18" s="266">
        <v>0</v>
      </c>
      <c r="U18" s="268"/>
      <c r="V18" s="268"/>
      <c r="W18" s="268"/>
      <c r="X18" s="268"/>
      <c r="Y18" s="268"/>
      <c r="Z18" s="268"/>
    </row>
    <row r="19" spans="1:26" ht="24.75" customHeight="1">
      <c r="A19" s="268"/>
      <c r="B19" s="268"/>
      <c r="C19" s="268"/>
      <c r="D19" s="268"/>
      <c r="E19" s="268"/>
      <c r="F19" s="289" t="s">
        <v>5359</v>
      </c>
      <c r="G19" s="382" t="s">
        <v>5304</v>
      </c>
      <c r="H19" s="268"/>
      <c r="I19" s="268"/>
      <c r="J19" s="268"/>
      <c r="K19" s="383" t="s">
        <v>4795</v>
      </c>
      <c r="L19" s="268"/>
      <c r="M19" s="230">
        <v>3</v>
      </c>
      <c r="N19" s="383" t="s">
        <v>4795</v>
      </c>
      <c r="O19" s="268"/>
      <c r="P19" s="268"/>
      <c r="Q19" s="268"/>
      <c r="R19" s="268"/>
      <c r="S19" s="318" t="s">
        <v>4840</v>
      </c>
      <c r="T19" s="319" t="s">
        <v>4795</v>
      </c>
      <c r="U19" s="268"/>
      <c r="V19" s="268"/>
      <c r="W19" s="268"/>
      <c r="X19" s="268"/>
      <c r="Y19" s="268"/>
      <c r="Z19" s="268"/>
    </row>
    <row r="20" spans="1:26" ht="24.75" customHeight="1">
      <c r="A20" s="268"/>
      <c r="B20" s="268"/>
      <c r="C20" s="268"/>
      <c r="D20" s="268"/>
      <c r="E20" s="268"/>
      <c r="F20" s="289" t="s">
        <v>5361</v>
      </c>
      <c r="G20" s="382" t="s">
        <v>5304</v>
      </c>
      <c r="H20" s="268"/>
      <c r="I20" s="268"/>
      <c r="J20" s="268"/>
      <c r="K20" s="383" t="s">
        <v>4795</v>
      </c>
      <c r="L20" s="268"/>
      <c r="M20" s="230">
        <v>3</v>
      </c>
      <c r="N20" s="383" t="s">
        <v>4795</v>
      </c>
      <c r="O20" s="268"/>
      <c r="P20" s="268"/>
      <c r="Q20" s="268"/>
      <c r="R20" s="268"/>
      <c r="S20" s="318" t="s">
        <v>5196</v>
      </c>
      <c r="T20" s="319" t="s">
        <v>4795</v>
      </c>
      <c r="U20" s="268"/>
      <c r="V20" s="268"/>
      <c r="W20" s="268"/>
      <c r="X20" s="268"/>
      <c r="Y20" s="268"/>
      <c r="Z20" s="268"/>
    </row>
    <row r="21" spans="1:26" ht="24.75" customHeight="1">
      <c r="A21" s="268"/>
      <c r="B21" s="268"/>
      <c r="C21" s="268"/>
      <c r="D21" s="268"/>
      <c r="E21" s="268"/>
      <c r="F21" s="238" t="s">
        <v>5363</v>
      </c>
      <c r="G21" s="382" t="s">
        <v>5304</v>
      </c>
      <c r="H21" s="268"/>
      <c r="I21" s="268"/>
      <c r="J21" s="268"/>
      <c r="K21" s="383" t="s">
        <v>4795</v>
      </c>
      <c r="L21" s="268"/>
      <c r="M21" s="230">
        <v>3</v>
      </c>
      <c r="N21" s="383" t="s">
        <v>4795</v>
      </c>
      <c r="O21" s="268"/>
      <c r="P21" s="268"/>
      <c r="Q21" s="268"/>
      <c r="R21" s="268"/>
      <c r="S21" s="336" t="s">
        <v>4878</v>
      </c>
      <c r="T21" s="266">
        <v>0</v>
      </c>
      <c r="U21" s="268"/>
      <c r="V21" s="268"/>
      <c r="W21" s="268"/>
      <c r="X21" s="268"/>
      <c r="Y21" s="268"/>
      <c r="Z21" s="268"/>
    </row>
    <row r="22" spans="1:26" ht="24.75" customHeight="1">
      <c r="A22" s="268"/>
      <c r="B22" s="268"/>
      <c r="C22" s="268"/>
      <c r="D22" s="268"/>
      <c r="E22" s="268"/>
      <c r="F22" s="238" t="s">
        <v>5365</v>
      </c>
      <c r="G22" s="382" t="s">
        <v>5304</v>
      </c>
      <c r="H22" s="268"/>
      <c r="I22" s="268"/>
      <c r="J22" s="268"/>
      <c r="K22" s="383" t="s">
        <v>4795</v>
      </c>
      <c r="L22" s="268"/>
      <c r="M22" s="230">
        <v>3</v>
      </c>
      <c r="N22" s="383" t="s">
        <v>4795</v>
      </c>
      <c r="O22" s="268"/>
      <c r="P22" s="268"/>
      <c r="Q22" s="268"/>
      <c r="R22" s="268"/>
      <c r="S22" s="336" t="s">
        <v>5346</v>
      </c>
      <c r="T22" s="266">
        <v>0</v>
      </c>
      <c r="U22" s="268"/>
      <c r="V22" s="268"/>
      <c r="W22" s="268"/>
      <c r="X22" s="268"/>
      <c r="Y22" s="268"/>
      <c r="Z22" s="268"/>
    </row>
    <row r="23" spans="1:26" ht="24.75" customHeight="1">
      <c r="A23" s="268"/>
      <c r="B23" s="268"/>
      <c r="C23" s="268"/>
      <c r="D23" s="268"/>
      <c r="E23" s="268"/>
      <c r="F23" s="384" t="s">
        <v>5367</v>
      </c>
      <c r="G23" s="382" t="s">
        <v>5304</v>
      </c>
      <c r="H23" s="268"/>
      <c r="I23" s="268"/>
      <c r="J23" s="268"/>
      <c r="K23" s="383" t="s">
        <v>4795</v>
      </c>
      <c r="L23" s="268"/>
      <c r="M23" s="230">
        <v>3</v>
      </c>
      <c r="N23" s="383" t="s">
        <v>4795</v>
      </c>
      <c r="O23" s="268"/>
      <c r="P23" s="309"/>
      <c r="Q23" s="381"/>
      <c r="R23" s="268"/>
      <c r="S23" s="268"/>
      <c r="T23" s="268"/>
      <c r="U23" s="268"/>
      <c r="V23" s="268"/>
      <c r="W23" s="268"/>
      <c r="X23" s="268"/>
      <c r="Y23" s="268"/>
      <c r="Z23" s="268"/>
    </row>
    <row r="24" spans="1:26" ht="24.75" customHeight="1">
      <c r="A24" s="268"/>
      <c r="B24" s="268"/>
      <c r="C24" s="268"/>
      <c r="D24" s="268"/>
      <c r="E24" s="268"/>
      <c r="F24" s="268"/>
      <c r="G24" s="268"/>
      <c r="H24" s="268"/>
      <c r="I24" s="268"/>
      <c r="J24" s="268"/>
      <c r="K24" s="310"/>
      <c r="L24" s="268"/>
      <c r="M24" s="268"/>
      <c r="N24" s="268"/>
      <c r="O24" s="268"/>
      <c r="P24" s="268"/>
      <c r="Q24" s="268"/>
      <c r="R24" s="268"/>
      <c r="S24" s="268"/>
      <c r="T24" s="268"/>
      <c r="U24" s="268"/>
      <c r="V24" s="268"/>
      <c r="W24" s="268"/>
      <c r="X24" s="268"/>
      <c r="Y24" s="268"/>
      <c r="Z24" s="268"/>
    </row>
    <row r="25" spans="1:26" ht="24.75" customHeight="1">
      <c r="A25" s="268"/>
      <c r="B25" s="268"/>
      <c r="C25" s="268"/>
      <c r="D25" s="268"/>
      <c r="E25" s="268"/>
      <c r="F25" s="268"/>
      <c r="G25" s="268"/>
      <c r="H25" s="268"/>
      <c r="I25" s="268"/>
      <c r="J25" s="268"/>
      <c r="K25" s="310"/>
      <c r="L25" s="268"/>
      <c r="M25" s="268"/>
      <c r="N25" s="268"/>
      <c r="O25" s="268"/>
      <c r="P25" s="268"/>
      <c r="Q25" s="268"/>
      <c r="R25" s="268"/>
      <c r="S25" s="268"/>
      <c r="T25" s="313"/>
      <c r="U25" s="268"/>
      <c r="V25" s="268"/>
      <c r="W25" s="268"/>
      <c r="X25" s="268"/>
      <c r="Y25" s="268"/>
      <c r="Z25" s="268"/>
    </row>
    <row r="26" spans="1:26" ht="24.75" customHeight="1">
      <c r="A26" s="268"/>
      <c r="B26" s="268"/>
      <c r="C26" s="268"/>
      <c r="D26" s="268"/>
      <c r="E26" s="268"/>
      <c r="F26" s="268"/>
      <c r="G26" s="268"/>
      <c r="H26" s="268"/>
      <c r="I26" s="268"/>
      <c r="J26" s="268"/>
      <c r="K26" s="310"/>
      <c r="L26" s="268"/>
      <c r="M26" s="268"/>
      <c r="N26" s="268"/>
      <c r="O26" s="268"/>
      <c r="P26" s="268"/>
      <c r="Q26" s="268"/>
      <c r="R26" s="268"/>
      <c r="S26" s="313"/>
      <c r="T26" s="313"/>
      <c r="U26" s="268"/>
      <c r="V26" s="268"/>
      <c r="W26" s="268"/>
      <c r="X26" s="268"/>
      <c r="Y26" s="268"/>
      <c r="Z26" s="268"/>
    </row>
    <row r="27" spans="1:26" ht="24.75" customHeight="1">
      <c r="A27" s="268"/>
      <c r="B27" s="268"/>
      <c r="C27" s="268"/>
      <c r="D27" s="268"/>
      <c r="E27" s="268"/>
      <c r="F27" s="268"/>
      <c r="G27" s="268"/>
      <c r="H27" s="268"/>
      <c r="I27" s="268"/>
      <c r="J27" s="268"/>
      <c r="K27" s="310"/>
      <c r="L27" s="268"/>
      <c r="M27" s="268"/>
      <c r="N27" s="268"/>
      <c r="O27" s="268"/>
      <c r="P27" s="268"/>
      <c r="Q27" s="268"/>
      <c r="R27" s="268"/>
      <c r="S27" s="313"/>
      <c r="T27" s="313"/>
      <c r="U27" s="268"/>
      <c r="V27" s="268"/>
      <c r="W27" s="268"/>
      <c r="X27" s="268"/>
      <c r="Y27" s="268"/>
      <c r="Z27" s="268"/>
    </row>
    <row r="28" spans="1:26" ht="24.75" customHeight="1">
      <c r="A28" s="268"/>
      <c r="B28" s="268"/>
      <c r="C28" s="268"/>
      <c r="D28" s="268"/>
      <c r="E28" s="268"/>
      <c r="F28" s="268"/>
      <c r="G28" s="268"/>
      <c r="H28" s="268"/>
      <c r="I28" s="268"/>
      <c r="J28" s="268"/>
      <c r="K28" s="310"/>
      <c r="L28" s="268"/>
      <c r="M28" s="268"/>
      <c r="N28" s="268"/>
      <c r="O28" s="268"/>
      <c r="P28" s="268"/>
      <c r="Q28" s="268"/>
      <c r="R28" s="268"/>
      <c r="S28" s="268"/>
      <c r="T28" s="313"/>
      <c r="U28" s="268"/>
      <c r="V28" s="268"/>
      <c r="W28" s="268"/>
      <c r="X28" s="268"/>
      <c r="Y28" s="268"/>
      <c r="Z28" s="268"/>
    </row>
    <row r="29" spans="1:26" ht="24.75" customHeight="1">
      <c r="A29" s="268"/>
      <c r="B29" s="268"/>
      <c r="C29" s="268"/>
      <c r="D29" s="268"/>
      <c r="E29" s="268"/>
      <c r="F29" s="268"/>
      <c r="G29" s="268"/>
      <c r="H29" s="268"/>
      <c r="I29" s="268"/>
      <c r="J29" s="268"/>
      <c r="K29" s="310"/>
      <c r="L29" s="268"/>
      <c r="M29" s="268"/>
      <c r="N29" s="268"/>
      <c r="O29" s="268"/>
      <c r="P29" s="268"/>
      <c r="Q29" s="268"/>
      <c r="R29" s="268"/>
      <c r="S29" s="313"/>
      <c r="T29" s="313"/>
      <c r="U29" s="268"/>
      <c r="V29" s="268"/>
      <c r="W29" s="268"/>
      <c r="X29" s="268"/>
      <c r="Y29" s="268"/>
      <c r="Z29" s="268"/>
    </row>
    <row r="30" spans="1:26" ht="24.75" customHeight="1">
      <c r="A30" s="268"/>
      <c r="B30" s="268"/>
      <c r="C30" s="268"/>
      <c r="D30" s="268"/>
      <c r="E30" s="268"/>
      <c r="F30" s="268"/>
      <c r="G30" s="268"/>
      <c r="H30" s="268"/>
      <c r="I30" s="268"/>
      <c r="J30" s="268"/>
      <c r="K30" s="310"/>
      <c r="L30" s="268"/>
      <c r="M30" s="268"/>
      <c r="N30" s="268"/>
      <c r="O30" s="268"/>
      <c r="P30" s="268"/>
      <c r="Q30" s="268"/>
      <c r="R30" s="268"/>
      <c r="S30" s="313"/>
      <c r="T30" s="313"/>
      <c r="U30" s="268"/>
      <c r="V30" s="268"/>
      <c r="W30" s="268"/>
      <c r="X30" s="268"/>
      <c r="Y30" s="268"/>
      <c r="Z30" s="268"/>
    </row>
    <row r="31" spans="1:26" ht="24.75" customHeight="1">
      <c r="A31" s="268"/>
      <c r="B31" s="268"/>
      <c r="C31" s="268"/>
      <c r="D31" s="268"/>
      <c r="E31" s="268"/>
      <c r="F31" s="268"/>
      <c r="G31" s="268"/>
      <c r="H31" s="268"/>
      <c r="I31" s="268"/>
      <c r="J31" s="268"/>
      <c r="K31" s="310"/>
      <c r="L31" s="268"/>
      <c r="M31" s="268"/>
      <c r="N31" s="268"/>
      <c r="O31" s="268"/>
      <c r="P31" s="268"/>
      <c r="Q31" s="268"/>
      <c r="R31" s="268"/>
      <c r="S31" s="313"/>
      <c r="T31" s="313"/>
      <c r="U31" s="268"/>
      <c r="V31" s="268"/>
      <c r="W31" s="268"/>
      <c r="X31" s="268"/>
      <c r="Y31" s="268"/>
      <c r="Z31" s="268"/>
    </row>
    <row r="32" spans="1:26" ht="24.75" customHeight="1">
      <c r="A32" s="268"/>
      <c r="B32" s="268"/>
      <c r="C32" s="268"/>
      <c r="D32" s="268"/>
      <c r="E32" s="268"/>
      <c r="F32" s="268"/>
      <c r="G32" s="268"/>
      <c r="H32" s="268"/>
      <c r="I32" s="268"/>
      <c r="J32" s="268"/>
      <c r="K32" s="310"/>
      <c r="L32" s="268"/>
      <c r="M32" s="268"/>
      <c r="N32" s="268"/>
      <c r="O32" s="268"/>
      <c r="P32" s="268"/>
      <c r="Q32" s="268"/>
      <c r="R32" s="268"/>
      <c r="S32" s="313"/>
      <c r="T32" s="313"/>
      <c r="U32" s="268"/>
      <c r="V32" s="268"/>
      <c r="W32" s="268"/>
      <c r="X32" s="268"/>
      <c r="Y32" s="268"/>
      <c r="Z32" s="268"/>
    </row>
    <row r="33" spans="1:26" ht="24.75" customHeight="1">
      <c r="A33" s="268"/>
      <c r="B33" s="268"/>
      <c r="C33" s="268"/>
      <c r="D33" s="268"/>
      <c r="E33" s="268"/>
      <c r="F33" s="268"/>
      <c r="G33" s="268"/>
      <c r="H33" s="268"/>
      <c r="I33" s="268"/>
      <c r="J33" s="268"/>
      <c r="K33" s="310"/>
      <c r="L33" s="268"/>
      <c r="M33" s="268"/>
      <c r="N33" s="268"/>
      <c r="O33" s="268"/>
      <c r="P33" s="268"/>
      <c r="Q33" s="268"/>
      <c r="R33" s="268"/>
      <c r="S33" s="313"/>
      <c r="T33" s="313"/>
      <c r="U33" s="268"/>
      <c r="V33" s="268"/>
      <c r="W33" s="268"/>
      <c r="X33" s="268"/>
      <c r="Y33" s="268"/>
      <c r="Z33" s="268"/>
    </row>
    <row r="34" spans="1:26" ht="24.75" customHeight="1">
      <c r="A34" s="268"/>
      <c r="B34" s="268"/>
      <c r="C34" s="268"/>
      <c r="D34" s="268"/>
      <c r="E34" s="268"/>
      <c r="F34" s="268"/>
      <c r="G34" s="268"/>
      <c r="H34" s="268"/>
      <c r="I34" s="268"/>
      <c r="J34" s="268"/>
      <c r="K34" s="310"/>
      <c r="L34" s="268"/>
      <c r="M34" s="268"/>
      <c r="N34" s="268"/>
      <c r="O34" s="268"/>
      <c r="P34" s="268"/>
      <c r="Q34" s="268"/>
      <c r="R34" s="268"/>
      <c r="S34" s="313"/>
      <c r="T34" s="313"/>
      <c r="U34" s="268"/>
      <c r="V34" s="268"/>
      <c r="W34" s="268"/>
      <c r="X34" s="268"/>
      <c r="Y34" s="268"/>
      <c r="Z34" s="268"/>
    </row>
    <row r="35" spans="1:26" ht="24.75" customHeight="1">
      <c r="A35" s="268"/>
      <c r="B35" s="268"/>
      <c r="C35" s="268"/>
      <c r="D35" s="268"/>
      <c r="E35" s="268"/>
      <c r="F35" s="268"/>
      <c r="G35" s="268"/>
      <c r="H35" s="268"/>
      <c r="I35" s="268"/>
      <c r="J35" s="268"/>
      <c r="K35" s="310"/>
      <c r="L35" s="268"/>
      <c r="M35" s="268"/>
      <c r="N35" s="268"/>
      <c r="O35" s="268"/>
      <c r="P35" s="268"/>
      <c r="Q35" s="268"/>
      <c r="R35" s="268"/>
      <c r="S35" s="313"/>
      <c r="T35" s="313"/>
      <c r="U35" s="268"/>
      <c r="V35" s="268"/>
      <c r="W35" s="268"/>
      <c r="X35" s="268"/>
      <c r="Y35" s="268"/>
      <c r="Z35" s="268"/>
    </row>
    <row r="36" spans="1:26" ht="24.75" customHeight="1">
      <c r="A36" s="268"/>
      <c r="B36" s="268"/>
      <c r="C36" s="268"/>
      <c r="D36" s="268"/>
      <c r="E36" s="268"/>
      <c r="F36" s="268"/>
      <c r="G36" s="268"/>
      <c r="H36" s="268"/>
      <c r="I36" s="268"/>
      <c r="J36" s="268"/>
      <c r="K36" s="310"/>
      <c r="L36" s="268"/>
      <c r="M36" s="268"/>
      <c r="N36" s="268"/>
      <c r="O36" s="268"/>
      <c r="P36" s="268"/>
      <c r="Q36" s="268"/>
      <c r="R36" s="268"/>
      <c r="S36" s="313"/>
      <c r="T36" s="313"/>
      <c r="U36" s="268"/>
      <c r="V36" s="268"/>
      <c r="W36" s="268"/>
      <c r="X36" s="268"/>
      <c r="Y36" s="268"/>
      <c r="Z36" s="268"/>
    </row>
    <row r="37" spans="1:26" ht="24.75" customHeight="1">
      <c r="A37" s="268"/>
      <c r="B37" s="268"/>
      <c r="C37" s="268"/>
      <c r="D37" s="268"/>
      <c r="E37" s="268"/>
      <c r="F37" s="268"/>
      <c r="G37" s="268"/>
      <c r="H37" s="268"/>
      <c r="I37" s="268"/>
      <c r="J37" s="268"/>
      <c r="K37" s="310"/>
      <c r="L37" s="268"/>
      <c r="M37" s="268"/>
      <c r="N37" s="268"/>
      <c r="O37" s="268"/>
      <c r="P37" s="268"/>
      <c r="Q37" s="268"/>
      <c r="R37" s="268"/>
      <c r="S37" s="313"/>
      <c r="T37" s="313"/>
      <c r="U37" s="268"/>
      <c r="V37" s="268"/>
      <c r="W37" s="268"/>
      <c r="X37" s="268"/>
      <c r="Y37" s="268"/>
      <c r="Z37" s="268"/>
    </row>
    <row r="38" spans="1:26" ht="24.75" customHeight="1">
      <c r="A38" s="268"/>
      <c r="B38" s="268"/>
      <c r="C38" s="268"/>
      <c r="D38" s="268"/>
      <c r="E38" s="268"/>
      <c r="F38" s="268"/>
      <c r="G38" s="268"/>
      <c r="H38" s="268"/>
      <c r="I38" s="268"/>
      <c r="J38" s="268"/>
      <c r="K38" s="310"/>
      <c r="L38" s="268"/>
      <c r="M38" s="268"/>
      <c r="N38" s="268"/>
      <c r="O38" s="268"/>
      <c r="P38" s="268"/>
      <c r="Q38" s="268"/>
      <c r="R38" s="268"/>
      <c r="S38" s="313"/>
      <c r="T38" s="313"/>
      <c r="U38" s="268"/>
      <c r="V38" s="268"/>
      <c r="W38" s="268"/>
      <c r="X38" s="268"/>
      <c r="Y38" s="268"/>
      <c r="Z38" s="268"/>
    </row>
    <row r="39" spans="1:26" ht="24.75" customHeight="1">
      <c r="A39" s="268"/>
      <c r="B39" s="268"/>
      <c r="C39" s="268"/>
      <c r="D39" s="268"/>
      <c r="E39" s="268"/>
      <c r="F39" s="268"/>
      <c r="G39" s="268"/>
      <c r="H39" s="268"/>
      <c r="I39" s="268"/>
      <c r="J39" s="268"/>
      <c r="K39" s="310"/>
      <c r="L39" s="268"/>
      <c r="M39" s="268"/>
      <c r="N39" s="268"/>
      <c r="O39" s="268"/>
      <c r="P39" s="268"/>
      <c r="Q39" s="268"/>
      <c r="R39" s="268"/>
      <c r="S39" s="313"/>
      <c r="T39" s="313"/>
      <c r="U39" s="268"/>
      <c r="V39" s="268"/>
      <c r="W39" s="268"/>
      <c r="X39" s="268"/>
      <c r="Y39" s="268"/>
      <c r="Z39" s="268"/>
    </row>
    <row r="40" spans="1:26" ht="24.75" customHeight="1">
      <c r="A40" s="268"/>
      <c r="B40" s="268"/>
      <c r="C40" s="268"/>
      <c r="D40" s="268"/>
      <c r="E40" s="268"/>
      <c r="F40" s="268"/>
      <c r="G40" s="268"/>
      <c r="H40" s="268"/>
      <c r="I40" s="268"/>
      <c r="J40" s="268"/>
      <c r="K40" s="310"/>
      <c r="L40" s="268"/>
      <c r="M40" s="268"/>
      <c r="N40" s="268"/>
      <c r="O40" s="268"/>
      <c r="P40" s="268"/>
      <c r="Q40" s="268"/>
      <c r="R40" s="268"/>
      <c r="S40" s="268"/>
      <c r="T40" s="268"/>
      <c r="U40" s="268"/>
      <c r="V40" s="268"/>
      <c r="W40" s="268"/>
      <c r="X40" s="268"/>
      <c r="Y40" s="268"/>
      <c r="Z40" s="268"/>
    </row>
    <row r="41" spans="1:26" ht="24.75" customHeight="1">
      <c r="A41" s="268"/>
      <c r="B41" s="268"/>
      <c r="C41" s="268"/>
      <c r="D41" s="268"/>
      <c r="E41" s="268"/>
      <c r="F41" s="268"/>
      <c r="G41" s="268"/>
      <c r="H41" s="268"/>
      <c r="I41" s="268"/>
      <c r="J41" s="268"/>
      <c r="K41" s="310"/>
      <c r="L41" s="268"/>
      <c r="M41" s="268"/>
      <c r="N41" s="268"/>
      <c r="O41" s="268"/>
      <c r="P41" s="268"/>
      <c r="Q41" s="268"/>
      <c r="R41" s="268"/>
      <c r="S41" s="268"/>
      <c r="T41" s="268"/>
      <c r="U41" s="268"/>
      <c r="V41" s="268"/>
      <c r="W41" s="268"/>
      <c r="X41" s="268"/>
      <c r="Y41" s="268"/>
      <c r="Z41" s="268"/>
    </row>
    <row r="42" spans="1:26" ht="24.75" customHeight="1">
      <c r="A42" s="268"/>
      <c r="B42" s="268"/>
      <c r="C42" s="268"/>
      <c r="D42" s="268"/>
      <c r="E42" s="268"/>
      <c r="F42" s="268"/>
      <c r="G42" s="268"/>
      <c r="H42" s="268"/>
      <c r="I42" s="268"/>
      <c r="J42" s="268"/>
      <c r="K42" s="310"/>
      <c r="L42" s="268"/>
      <c r="M42" s="268"/>
      <c r="N42" s="268"/>
      <c r="O42" s="268"/>
      <c r="P42" s="268"/>
      <c r="Q42" s="268"/>
      <c r="R42" s="268"/>
      <c r="S42" s="268"/>
      <c r="T42" s="268"/>
      <c r="U42" s="268"/>
      <c r="V42" s="268"/>
      <c r="W42" s="268"/>
      <c r="X42" s="268"/>
      <c r="Y42" s="268"/>
      <c r="Z42" s="268"/>
    </row>
    <row r="43" spans="1:26" ht="24.75" customHeight="1">
      <c r="A43" s="268"/>
      <c r="B43" s="268"/>
      <c r="C43" s="268"/>
      <c r="D43" s="268"/>
      <c r="E43" s="268"/>
      <c r="F43" s="268"/>
      <c r="G43" s="268"/>
      <c r="H43" s="268"/>
      <c r="I43" s="268"/>
      <c r="J43" s="268"/>
      <c r="K43" s="310"/>
      <c r="L43" s="268"/>
      <c r="M43" s="268"/>
      <c r="N43" s="268"/>
      <c r="O43" s="268"/>
      <c r="P43" s="268"/>
      <c r="Q43" s="268"/>
      <c r="R43" s="385"/>
      <c r="S43" s="313"/>
      <c r="T43" s="313"/>
      <c r="U43" s="268"/>
      <c r="V43" s="268"/>
      <c r="W43" s="268"/>
      <c r="X43" s="268"/>
      <c r="Y43" s="268"/>
      <c r="Z43" s="268"/>
    </row>
    <row r="44" spans="1:26" ht="24.75" customHeight="1">
      <c r="A44" s="268"/>
      <c r="B44" s="268"/>
      <c r="C44" s="268"/>
      <c r="D44" s="268"/>
      <c r="E44" s="268"/>
      <c r="F44" s="268"/>
      <c r="G44" s="268"/>
      <c r="H44" s="268"/>
      <c r="I44" s="268"/>
      <c r="J44" s="268"/>
      <c r="K44" s="310"/>
      <c r="L44" s="268"/>
      <c r="M44" s="268"/>
      <c r="N44" s="268"/>
      <c r="O44" s="268"/>
      <c r="P44" s="268"/>
      <c r="Q44" s="268"/>
      <c r="R44" s="385"/>
      <c r="S44" s="268"/>
      <c r="T44" s="268"/>
      <c r="U44" s="268"/>
      <c r="V44" s="268"/>
      <c r="W44" s="268"/>
      <c r="X44" s="268"/>
      <c r="Y44" s="268"/>
      <c r="Z44" s="268"/>
    </row>
    <row r="45" spans="1:26" ht="24.75" customHeight="1">
      <c r="A45" s="268"/>
      <c r="B45" s="268"/>
      <c r="C45" s="268"/>
      <c r="D45" s="268"/>
      <c r="E45" s="268"/>
      <c r="F45" s="268"/>
      <c r="G45" s="268"/>
      <c r="H45" s="268"/>
      <c r="I45" s="268"/>
      <c r="J45" s="268"/>
      <c r="K45" s="310"/>
      <c r="L45" s="268"/>
      <c r="M45" s="268"/>
      <c r="N45" s="268"/>
      <c r="O45" s="268"/>
      <c r="P45" s="268"/>
      <c r="Q45" s="268"/>
      <c r="R45" s="268"/>
      <c r="S45" s="268"/>
      <c r="T45" s="268"/>
      <c r="U45" s="268"/>
      <c r="V45" s="268"/>
      <c r="W45" s="268"/>
      <c r="X45" s="268"/>
      <c r="Y45" s="268"/>
      <c r="Z45" s="268"/>
    </row>
    <row r="46" spans="1:26" ht="24.75" customHeight="1">
      <c r="A46" s="268"/>
      <c r="B46" s="268"/>
      <c r="C46" s="268"/>
      <c r="D46" s="268"/>
      <c r="E46" s="268"/>
      <c r="F46" s="268"/>
      <c r="G46" s="268"/>
      <c r="H46" s="268"/>
      <c r="I46" s="268"/>
      <c r="J46" s="268"/>
      <c r="K46" s="310"/>
      <c r="L46" s="268"/>
      <c r="M46" s="268"/>
      <c r="N46" s="268"/>
      <c r="O46" s="268"/>
      <c r="P46" s="268"/>
      <c r="Q46" s="268"/>
      <c r="R46" s="268"/>
      <c r="S46" s="268"/>
      <c r="T46" s="268"/>
      <c r="U46" s="268"/>
      <c r="V46" s="268"/>
      <c r="W46" s="268"/>
      <c r="X46" s="268"/>
      <c r="Y46" s="268"/>
      <c r="Z46" s="268"/>
    </row>
    <row r="47" spans="1:26" ht="24.75" customHeight="1">
      <c r="A47" s="268"/>
      <c r="B47" s="268"/>
      <c r="C47" s="268"/>
      <c r="D47" s="268"/>
      <c r="E47" s="268"/>
      <c r="F47" s="268"/>
      <c r="G47" s="268"/>
      <c r="H47" s="268"/>
      <c r="I47" s="268"/>
      <c r="J47" s="268"/>
      <c r="K47" s="310"/>
      <c r="L47" s="268"/>
      <c r="M47" s="268"/>
      <c r="N47" s="268"/>
      <c r="O47" s="268"/>
      <c r="P47" s="268"/>
      <c r="Q47" s="268"/>
      <c r="R47" s="268"/>
      <c r="S47" s="268"/>
      <c r="T47" s="268"/>
      <c r="U47" s="268"/>
      <c r="V47" s="268"/>
      <c r="W47" s="268"/>
      <c r="X47" s="268"/>
      <c r="Y47" s="268"/>
      <c r="Z47" s="268"/>
    </row>
    <row r="48" spans="1:26" ht="24.75" customHeight="1">
      <c r="A48" s="268"/>
      <c r="B48" s="268"/>
      <c r="C48" s="268"/>
      <c r="D48" s="268"/>
      <c r="E48" s="268"/>
      <c r="F48" s="268"/>
      <c r="G48" s="268"/>
      <c r="H48" s="268"/>
      <c r="I48" s="268"/>
      <c r="J48" s="268"/>
      <c r="K48" s="310"/>
      <c r="L48" s="268"/>
      <c r="M48" s="268"/>
      <c r="N48" s="268"/>
      <c r="O48" s="268"/>
      <c r="P48" s="268"/>
      <c r="Q48" s="268"/>
      <c r="R48" s="268"/>
      <c r="S48" s="268"/>
      <c r="T48" s="268"/>
      <c r="U48" s="268"/>
      <c r="V48" s="268"/>
      <c r="W48" s="268"/>
      <c r="X48" s="268"/>
      <c r="Y48" s="268"/>
      <c r="Z48" s="268"/>
    </row>
    <row r="49" spans="1:26" ht="24.75" customHeight="1">
      <c r="A49" s="268"/>
      <c r="B49" s="268"/>
      <c r="C49" s="268"/>
      <c r="D49" s="268"/>
      <c r="E49" s="268"/>
      <c r="F49" s="268"/>
      <c r="G49" s="268"/>
      <c r="H49" s="268"/>
      <c r="I49" s="268"/>
      <c r="J49" s="268"/>
      <c r="K49" s="310"/>
      <c r="L49" s="268"/>
      <c r="M49" s="268"/>
      <c r="N49" s="268"/>
      <c r="O49" s="268"/>
      <c r="P49" s="268"/>
      <c r="Q49" s="268"/>
      <c r="R49" s="268"/>
      <c r="S49" s="268"/>
      <c r="T49" s="268"/>
      <c r="U49" s="268"/>
      <c r="V49" s="268"/>
      <c r="W49" s="268"/>
      <c r="X49" s="268"/>
      <c r="Y49" s="268"/>
      <c r="Z49" s="268"/>
    </row>
    <row r="50" spans="1:26" ht="24.75" customHeight="1">
      <c r="A50" s="268"/>
      <c r="B50" s="268"/>
      <c r="C50" s="268"/>
      <c r="D50" s="268"/>
      <c r="E50" s="268"/>
      <c r="F50" s="268"/>
      <c r="G50" s="268"/>
      <c r="H50" s="268"/>
      <c r="I50" s="268"/>
      <c r="J50" s="268"/>
      <c r="K50" s="310"/>
      <c r="L50" s="268"/>
      <c r="M50" s="268"/>
      <c r="N50" s="268"/>
      <c r="O50" s="268"/>
      <c r="P50" s="268"/>
      <c r="Q50" s="268"/>
      <c r="R50" s="268"/>
      <c r="S50" s="313"/>
      <c r="T50" s="313"/>
      <c r="U50" s="268"/>
      <c r="V50" s="268"/>
      <c r="W50" s="268"/>
      <c r="X50" s="268"/>
      <c r="Y50" s="268"/>
      <c r="Z50" s="268"/>
    </row>
    <row r="51" spans="1:26" ht="24.75" customHeight="1">
      <c r="A51" s="268"/>
      <c r="B51" s="268"/>
      <c r="C51" s="268"/>
      <c r="D51" s="268"/>
      <c r="E51" s="268"/>
      <c r="F51" s="268"/>
      <c r="G51" s="268"/>
      <c r="H51" s="268"/>
      <c r="I51" s="268"/>
      <c r="J51" s="268"/>
      <c r="K51" s="310"/>
      <c r="L51" s="268"/>
      <c r="M51" s="268"/>
      <c r="N51" s="268"/>
      <c r="O51" s="268"/>
      <c r="P51" s="268"/>
      <c r="Q51" s="268"/>
      <c r="R51" s="268"/>
      <c r="S51" s="268"/>
      <c r="T51" s="268"/>
      <c r="U51" s="268"/>
      <c r="V51" s="268"/>
      <c r="W51" s="268"/>
      <c r="X51" s="268"/>
      <c r="Y51" s="268"/>
      <c r="Z51" s="268"/>
    </row>
    <row r="52" spans="1:26" ht="24.75" customHeight="1">
      <c r="A52" s="268"/>
      <c r="B52" s="268"/>
      <c r="C52" s="268"/>
      <c r="D52" s="268"/>
      <c r="E52" s="268"/>
      <c r="F52" s="268"/>
      <c r="G52" s="268"/>
      <c r="H52" s="268"/>
      <c r="I52" s="268"/>
      <c r="J52" s="268"/>
      <c r="K52" s="310"/>
      <c r="L52" s="268"/>
      <c r="M52" s="268"/>
      <c r="N52" s="268"/>
      <c r="O52" s="268"/>
      <c r="P52" s="268"/>
      <c r="Q52" s="268"/>
      <c r="R52" s="268"/>
      <c r="S52" s="268"/>
      <c r="T52" s="268"/>
      <c r="U52" s="268"/>
      <c r="V52" s="268"/>
      <c r="W52" s="268"/>
      <c r="X52" s="268"/>
      <c r="Y52" s="268"/>
      <c r="Z52" s="268"/>
    </row>
    <row r="53" spans="1:26" ht="24.75" customHeight="1">
      <c r="A53" s="268"/>
      <c r="B53" s="268"/>
      <c r="C53" s="268"/>
      <c r="D53" s="268"/>
      <c r="E53" s="268"/>
      <c r="F53" s="268"/>
      <c r="G53" s="268"/>
      <c r="H53" s="268"/>
      <c r="I53" s="268"/>
      <c r="J53" s="268"/>
      <c r="K53" s="310"/>
      <c r="L53" s="268"/>
      <c r="M53" s="268"/>
      <c r="N53" s="268"/>
      <c r="O53" s="268"/>
      <c r="P53" s="268"/>
      <c r="Q53" s="268"/>
      <c r="R53" s="268"/>
      <c r="S53" s="268"/>
      <c r="T53" s="268"/>
      <c r="U53" s="268"/>
      <c r="V53" s="268"/>
      <c r="W53" s="268"/>
      <c r="X53" s="268"/>
      <c r="Y53" s="268"/>
      <c r="Z53" s="268"/>
    </row>
    <row r="54" spans="1:26" ht="24.75" customHeight="1">
      <c r="A54" s="268"/>
      <c r="B54" s="268"/>
      <c r="C54" s="268"/>
      <c r="D54" s="268"/>
      <c r="E54" s="268"/>
      <c r="F54" s="268"/>
      <c r="G54" s="268"/>
      <c r="H54" s="268"/>
      <c r="I54" s="268"/>
      <c r="J54" s="268"/>
      <c r="K54" s="310"/>
      <c r="L54" s="268"/>
      <c r="M54" s="268"/>
      <c r="N54" s="268"/>
      <c r="O54" s="268"/>
      <c r="P54" s="268"/>
      <c r="Q54" s="268"/>
      <c r="R54" s="268"/>
      <c r="S54" s="313"/>
      <c r="T54" s="313"/>
      <c r="U54" s="268"/>
      <c r="V54" s="268"/>
      <c r="W54" s="268"/>
      <c r="X54" s="268"/>
      <c r="Y54" s="268"/>
      <c r="Z54" s="268"/>
    </row>
    <row r="55" spans="1:26" ht="24.75" customHeight="1">
      <c r="A55" s="268"/>
      <c r="B55" s="268"/>
      <c r="C55" s="268"/>
      <c r="D55" s="268"/>
      <c r="E55" s="268"/>
      <c r="F55" s="268"/>
      <c r="G55" s="268"/>
      <c r="H55" s="268"/>
      <c r="I55" s="268"/>
      <c r="J55" s="268"/>
      <c r="K55" s="310"/>
      <c r="L55" s="268"/>
      <c r="M55" s="268"/>
      <c r="N55" s="268"/>
      <c r="O55" s="268"/>
      <c r="P55" s="268"/>
      <c r="Q55" s="268"/>
      <c r="R55" s="268"/>
      <c r="S55" s="268"/>
      <c r="T55" s="268"/>
      <c r="U55" s="268"/>
      <c r="V55" s="268"/>
      <c r="W55" s="268"/>
      <c r="X55" s="268"/>
      <c r="Y55" s="268"/>
      <c r="Z55" s="268"/>
    </row>
    <row r="56" spans="1:26" ht="24.75" customHeight="1">
      <c r="A56" s="268"/>
      <c r="B56" s="268"/>
      <c r="C56" s="268"/>
      <c r="D56" s="268"/>
      <c r="E56" s="268"/>
      <c r="F56" s="268"/>
      <c r="G56" s="268"/>
      <c r="H56" s="268"/>
      <c r="I56" s="268"/>
      <c r="J56" s="268"/>
      <c r="K56" s="310"/>
      <c r="L56" s="268"/>
      <c r="M56" s="268"/>
      <c r="N56" s="268"/>
      <c r="O56" s="268"/>
      <c r="P56" s="268"/>
      <c r="Q56" s="268"/>
      <c r="R56" s="268"/>
      <c r="S56" s="385"/>
      <c r="T56" s="385"/>
      <c r="U56" s="385"/>
      <c r="V56" s="385"/>
      <c r="W56" s="385"/>
      <c r="X56" s="385"/>
      <c r="Y56" s="385"/>
      <c r="Z56" s="385"/>
    </row>
    <row r="57" spans="1:26" ht="24.75" customHeight="1">
      <c r="A57" s="268"/>
      <c r="B57" s="268"/>
      <c r="C57" s="268"/>
      <c r="D57" s="268"/>
      <c r="E57" s="268"/>
      <c r="F57" s="268"/>
      <c r="G57" s="268"/>
      <c r="H57" s="268"/>
      <c r="I57" s="268"/>
      <c r="J57" s="268"/>
      <c r="K57" s="310"/>
      <c r="L57" s="268"/>
      <c r="M57" s="268"/>
      <c r="N57" s="268"/>
      <c r="O57" s="268"/>
      <c r="P57" s="268"/>
      <c r="Q57" s="268"/>
      <c r="R57" s="268"/>
      <c r="S57" s="313"/>
      <c r="T57" s="313"/>
      <c r="U57" s="268"/>
      <c r="V57" s="268"/>
      <c r="W57" s="268"/>
      <c r="X57" s="268"/>
      <c r="Y57" s="268"/>
      <c r="Z57" s="268"/>
    </row>
    <row r="58" spans="1:26" ht="24.75" customHeight="1">
      <c r="A58" s="268"/>
      <c r="B58" s="268"/>
      <c r="C58" s="268"/>
      <c r="D58" s="268"/>
      <c r="E58" s="268"/>
      <c r="F58" s="268"/>
      <c r="G58" s="268"/>
      <c r="H58" s="268"/>
      <c r="I58" s="268"/>
      <c r="J58" s="268"/>
      <c r="K58" s="310"/>
      <c r="L58" s="268"/>
      <c r="M58" s="268"/>
      <c r="N58" s="268"/>
      <c r="O58" s="268"/>
      <c r="P58" s="268"/>
      <c r="Q58" s="268"/>
      <c r="R58" s="268"/>
      <c r="S58" s="313"/>
      <c r="T58" s="313"/>
      <c r="U58" s="268"/>
      <c r="V58" s="268"/>
      <c r="W58" s="268"/>
      <c r="X58" s="268"/>
      <c r="Y58" s="268"/>
      <c r="Z58" s="268"/>
    </row>
    <row r="59" spans="1:26" ht="24.75" customHeight="1">
      <c r="A59" s="268"/>
      <c r="B59" s="268"/>
      <c r="C59" s="268"/>
      <c r="D59" s="268"/>
      <c r="E59" s="268"/>
      <c r="F59" s="268"/>
      <c r="G59" s="268"/>
      <c r="H59" s="268"/>
      <c r="I59" s="268"/>
      <c r="J59" s="268"/>
      <c r="K59" s="310"/>
      <c r="L59" s="268"/>
      <c r="M59" s="268"/>
      <c r="N59" s="268"/>
      <c r="O59" s="268"/>
      <c r="P59" s="268"/>
      <c r="Q59" s="268"/>
      <c r="R59" s="268"/>
      <c r="S59" s="268"/>
      <c r="T59" s="268"/>
      <c r="U59" s="268"/>
      <c r="V59" s="268"/>
      <c r="W59" s="268"/>
      <c r="X59" s="268"/>
      <c r="Y59" s="268"/>
      <c r="Z59" s="268"/>
    </row>
    <row r="60" spans="1:26" ht="24.75" customHeight="1">
      <c r="A60" s="268"/>
      <c r="B60" s="268"/>
      <c r="C60" s="268"/>
      <c r="D60" s="268"/>
      <c r="E60" s="268"/>
      <c r="F60" s="268"/>
      <c r="G60" s="268"/>
      <c r="H60" s="268"/>
      <c r="I60" s="268"/>
      <c r="J60" s="268"/>
      <c r="K60" s="310"/>
      <c r="L60" s="268"/>
      <c r="M60" s="268"/>
      <c r="N60" s="268"/>
      <c r="O60" s="268"/>
      <c r="P60" s="268"/>
      <c r="Q60" s="268"/>
      <c r="R60" s="268"/>
      <c r="S60" s="268"/>
      <c r="T60" s="268"/>
      <c r="U60" s="268"/>
      <c r="V60" s="268"/>
      <c r="W60" s="268"/>
      <c r="X60" s="268"/>
      <c r="Y60" s="268"/>
      <c r="Z60" s="268"/>
    </row>
    <row r="61" spans="1:26" ht="24.75" customHeight="1">
      <c r="A61" s="268"/>
      <c r="B61" s="268"/>
      <c r="C61" s="268"/>
      <c r="D61" s="268"/>
      <c r="E61" s="268"/>
      <c r="F61" s="268"/>
      <c r="G61" s="268"/>
      <c r="H61" s="268"/>
      <c r="I61" s="268"/>
      <c r="J61" s="268"/>
      <c r="K61" s="310"/>
      <c r="L61" s="268"/>
      <c r="M61" s="268"/>
      <c r="N61" s="268"/>
      <c r="O61" s="268"/>
      <c r="P61" s="268"/>
      <c r="Q61" s="268"/>
      <c r="R61" s="268"/>
      <c r="S61" s="268"/>
      <c r="T61" s="268"/>
      <c r="U61" s="268"/>
      <c r="V61" s="268"/>
      <c r="W61" s="268"/>
      <c r="X61" s="268"/>
      <c r="Y61" s="268"/>
      <c r="Z61" s="268"/>
    </row>
    <row r="62" spans="1:26" ht="24.75" customHeight="1">
      <c r="A62" s="268"/>
      <c r="B62" s="268"/>
      <c r="C62" s="268"/>
      <c r="D62" s="268"/>
      <c r="E62" s="268"/>
      <c r="F62" s="268"/>
      <c r="G62" s="268"/>
      <c r="H62" s="268"/>
      <c r="I62" s="268"/>
      <c r="J62" s="268"/>
      <c r="K62" s="310"/>
      <c r="L62" s="268"/>
      <c r="M62" s="268"/>
      <c r="N62" s="268"/>
      <c r="O62" s="268"/>
      <c r="P62" s="268"/>
      <c r="Q62" s="268"/>
      <c r="R62" s="268"/>
      <c r="S62" s="268"/>
      <c r="T62" s="268"/>
      <c r="U62" s="268"/>
      <c r="V62" s="268"/>
      <c r="W62" s="268"/>
      <c r="X62" s="268"/>
      <c r="Y62" s="268"/>
      <c r="Z62" s="268"/>
    </row>
    <row r="63" spans="1:26" ht="24.75" customHeight="1">
      <c r="A63" s="268"/>
      <c r="B63" s="268"/>
      <c r="C63" s="268"/>
      <c r="D63" s="268"/>
      <c r="E63" s="268"/>
      <c r="F63" s="268"/>
      <c r="G63" s="268"/>
      <c r="H63" s="268"/>
      <c r="I63" s="268"/>
      <c r="J63" s="268"/>
      <c r="K63" s="310"/>
      <c r="L63" s="268"/>
      <c r="M63" s="268"/>
      <c r="N63" s="268"/>
      <c r="O63" s="268"/>
      <c r="P63" s="268"/>
      <c r="Q63" s="268"/>
      <c r="R63" s="268"/>
      <c r="S63" s="268"/>
      <c r="T63" s="268"/>
      <c r="U63" s="268"/>
      <c r="V63" s="268"/>
      <c r="W63" s="268"/>
      <c r="X63" s="268"/>
      <c r="Y63" s="268"/>
      <c r="Z63" s="268"/>
    </row>
    <row r="64" spans="1:26" ht="24.75" customHeight="1">
      <c r="A64" s="268"/>
      <c r="B64" s="268"/>
      <c r="C64" s="268"/>
      <c r="D64" s="268"/>
      <c r="E64" s="268"/>
      <c r="F64" s="268"/>
      <c r="G64" s="268"/>
      <c r="H64" s="268"/>
      <c r="I64" s="268"/>
      <c r="J64" s="268"/>
      <c r="K64" s="310"/>
      <c r="L64" s="268"/>
      <c r="M64" s="268"/>
      <c r="N64" s="268"/>
      <c r="O64" s="268"/>
      <c r="P64" s="268"/>
      <c r="Q64" s="268"/>
      <c r="R64" s="268"/>
      <c r="S64" s="268"/>
      <c r="T64" s="268"/>
      <c r="U64" s="268"/>
      <c r="V64" s="268"/>
      <c r="W64" s="268"/>
      <c r="X64" s="268"/>
      <c r="Y64" s="268"/>
      <c r="Z64" s="268"/>
    </row>
    <row r="65" spans="1:26" ht="24.75" customHeight="1">
      <c r="A65" s="268"/>
      <c r="B65" s="268"/>
      <c r="C65" s="268"/>
      <c r="D65" s="268"/>
      <c r="E65" s="268"/>
      <c r="F65" s="268"/>
      <c r="G65" s="268"/>
      <c r="H65" s="268"/>
      <c r="I65" s="268"/>
      <c r="J65" s="268"/>
      <c r="K65" s="310"/>
      <c r="L65" s="268"/>
      <c r="M65" s="268"/>
      <c r="N65" s="268"/>
      <c r="O65" s="268"/>
      <c r="P65" s="268"/>
      <c r="Q65" s="268"/>
      <c r="R65" s="268"/>
      <c r="S65" s="268"/>
      <c r="T65" s="268"/>
      <c r="U65" s="268"/>
      <c r="V65" s="268"/>
      <c r="W65" s="268"/>
      <c r="X65" s="268"/>
      <c r="Y65" s="268"/>
      <c r="Z65" s="268"/>
    </row>
    <row r="66" spans="1:26" ht="24.75" customHeight="1">
      <c r="A66" s="268"/>
      <c r="B66" s="268"/>
      <c r="C66" s="268"/>
      <c r="D66" s="268"/>
      <c r="E66" s="268"/>
      <c r="F66" s="268"/>
      <c r="G66" s="268"/>
      <c r="H66" s="268"/>
      <c r="I66" s="268"/>
      <c r="J66" s="268"/>
      <c r="K66" s="310"/>
      <c r="L66" s="268"/>
      <c r="M66" s="268"/>
      <c r="N66" s="268"/>
      <c r="O66" s="268"/>
      <c r="P66" s="268"/>
      <c r="Q66" s="268"/>
      <c r="R66" s="268"/>
      <c r="S66" s="268"/>
      <c r="T66" s="268"/>
      <c r="U66" s="268"/>
      <c r="V66" s="268"/>
      <c r="W66" s="268"/>
      <c r="X66" s="268"/>
      <c r="Y66" s="268"/>
      <c r="Z66" s="268"/>
    </row>
    <row r="67" spans="1:26" ht="24.75" customHeight="1">
      <c r="A67" s="268"/>
      <c r="B67" s="268"/>
      <c r="C67" s="268"/>
      <c r="D67" s="268"/>
      <c r="E67" s="268"/>
      <c r="F67" s="268"/>
      <c r="G67" s="268"/>
      <c r="H67" s="268"/>
      <c r="I67" s="268"/>
      <c r="J67" s="268"/>
      <c r="K67" s="310"/>
      <c r="L67" s="268"/>
      <c r="M67" s="268"/>
      <c r="N67" s="268"/>
      <c r="O67" s="268"/>
      <c r="P67" s="268"/>
      <c r="Q67" s="268"/>
      <c r="R67" s="268"/>
      <c r="S67" s="268"/>
      <c r="T67" s="268"/>
      <c r="U67" s="268"/>
      <c r="V67" s="268"/>
      <c r="W67" s="268"/>
      <c r="X67" s="268"/>
      <c r="Y67" s="268"/>
      <c r="Z67" s="268"/>
    </row>
    <row r="68" spans="1:26" ht="24.75" customHeight="1">
      <c r="A68" s="268"/>
      <c r="B68" s="268"/>
      <c r="C68" s="268"/>
      <c r="D68" s="268"/>
      <c r="E68" s="268"/>
      <c r="F68" s="268"/>
      <c r="G68" s="268"/>
      <c r="H68" s="268"/>
      <c r="I68" s="268"/>
      <c r="J68" s="268"/>
      <c r="K68" s="310"/>
      <c r="L68" s="268"/>
      <c r="M68" s="268"/>
      <c r="N68" s="268"/>
      <c r="O68" s="268"/>
      <c r="P68" s="268"/>
      <c r="Q68" s="268"/>
      <c r="R68" s="268"/>
      <c r="S68" s="268"/>
      <c r="T68" s="268"/>
      <c r="U68" s="268"/>
      <c r="V68" s="268"/>
      <c r="W68" s="268"/>
      <c r="X68" s="268"/>
      <c r="Y68" s="268"/>
      <c r="Z68" s="268"/>
    </row>
    <row r="69" spans="1:26" ht="24.75" customHeight="1">
      <c r="A69" s="268"/>
      <c r="B69" s="268"/>
      <c r="C69" s="268"/>
      <c r="D69" s="268"/>
      <c r="E69" s="268"/>
      <c r="F69" s="268"/>
      <c r="G69" s="268"/>
      <c r="H69" s="268"/>
      <c r="I69" s="268"/>
      <c r="J69" s="268"/>
      <c r="K69" s="310"/>
      <c r="L69" s="268"/>
      <c r="M69" s="268"/>
      <c r="N69" s="268"/>
      <c r="O69" s="268"/>
      <c r="P69" s="268"/>
      <c r="Q69" s="268"/>
      <c r="R69" s="268"/>
      <c r="S69" s="313"/>
      <c r="T69" s="313"/>
      <c r="U69" s="268"/>
      <c r="V69" s="268"/>
      <c r="W69" s="268"/>
      <c r="X69" s="268"/>
      <c r="Y69" s="268"/>
      <c r="Z69" s="268"/>
    </row>
    <row r="70" spans="1:26" ht="24.75" customHeight="1">
      <c r="A70" s="268"/>
      <c r="B70" s="268"/>
      <c r="C70" s="268"/>
      <c r="D70" s="268"/>
      <c r="E70" s="268"/>
      <c r="F70" s="268"/>
      <c r="G70" s="268"/>
      <c r="H70" s="268"/>
      <c r="I70" s="268"/>
      <c r="J70" s="268"/>
      <c r="K70" s="310"/>
      <c r="L70" s="268"/>
      <c r="M70" s="268"/>
      <c r="N70" s="268"/>
      <c r="O70" s="268"/>
      <c r="P70" s="268"/>
      <c r="Q70" s="268"/>
      <c r="R70" s="268"/>
      <c r="S70" s="268"/>
      <c r="T70" s="268"/>
      <c r="U70" s="268"/>
      <c r="V70" s="268"/>
      <c r="W70" s="268"/>
      <c r="X70" s="268"/>
      <c r="Y70" s="268"/>
      <c r="Z70" s="268"/>
    </row>
    <row r="71" spans="1:26" ht="24.75" customHeight="1">
      <c r="A71" s="268"/>
      <c r="B71" s="268"/>
      <c r="C71" s="268"/>
      <c r="D71" s="268"/>
      <c r="E71" s="268"/>
      <c r="F71" s="268"/>
      <c r="G71" s="268"/>
      <c r="H71" s="268"/>
      <c r="I71" s="268"/>
      <c r="J71" s="268"/>
      <c r="K71" s="310"/>
      <c r="L71" s="268"/>
      <c r="M71" s="268"/>
      <c r="N71" s="268"/>
      <c r="O71" s="268"/>
      <c r="P71" s="268"/>
      <c r="Q71" s="268"/>
      <c r="R71" s="268"/>
      <c r="S71" s="268"/>
      <c r="T71" s="268"/>
      <c r="U71" s="268"/>
      <c r="V71" s="268"/>
      <c r="W71" s="268"/>
      <c r="X71" s="268"/>
      <c r="Y71" s="268"/>
      <c r="Z71" s="268"/>
    </row>
    <row r="72" spans="1:26" ht="24.75" customHeight="1">
      <c r="A72" s="268"/>
      <c r="B72" s="268"/>
      <c r="C72" s="268"/>
      <c r="D72" s="268"/>
      <c r="E72" s="268"/>
      <c r="F72" s="268"/>
      <c r="G72" s="268"/>
      <c r="H72" s="268"/>
      <c r="I72" s="268"/>
      <c r="J72" s="268"/>
      <c r="K72" s="310"/>
      <c r="L72" s="268"/>
      <c r="M72" s="268"/>
      <c r="N72" s="268"/>
      <c r="O72" s="268"/>
      <c r="P72" s="268"/>
      <c r="Q72" s="268"/>
      <c r="R72" s="268"/>
      <c r="S72" s="268"/>
      <c r="T72" s="268"/>
      <c r="U72" s="268"/>
      <c r="V72" s="268"/>
      <c r="W72" s="268"/>
      <c r="X72" s="268"/>
      <c r="Y72" s="268"/>
      <c r="Z72" s="268"/>
    </row>
    <row r="73" spans="1:26" ht="24.75" customHeight="1">
      <c r="A73" s="268"/>
      <c r="B73" s="268"/>
      <c r="C73" s="268"/>
      <c r="D73" s="268"/>
      <c r="E73" s="268"/>
      <c r="F73" s="268"/>
      <c r="G73" s="268"/>
      <c r="H73" s="268"/>
      <c r="I73" s="268"/>
      <c r="J73" s="268"/>
      <c r="K73" s="310"/>
      <c r="L73" s="268"/>
      <c r="M73" s="268"/>
      <c r="N73" s="268"/>
      <c r="O73" s="268"/>
      <c r="P73" s="268"/>
      <c r="Q73" s="268"/>
      <c r="R73" s="268"/>
      <c r="S73" s="268"/>
      <c r="T73" s="268"/>
      <c r="U73" s="268"/>
      <c r="V73" s="268"/>
      <c r="W73" s="268"/>
      <c r="X73" s="268"/>
      <c r="Y73" s="268"/>
      <c r="Z73" s="268"/>
    </row>
    <row r="74" spans="1:26" ht="24.75" customHeight="1">
      <c r="A74" s="268"/>
      <c r="B74" s="268"/>
      <c r="C74" s="268"/>
      <c r="D74" s="268"/>
      <c r="E74" s="268"/>
      <c r="F74" s="268"/>
      <c r="G74" s="268"/>
      <c r="H74" s="268"/>
      <c r="I74" s="268"/>
      <c r="J74" s="268"/>
      <c r="K74" s="310"/>
      <c r="L74" s="268"/>
      <c r="M74" s="268"/>
      <c r="N74" s="268"/>
      <c r="O74" s="268"/>
      <c r="P74" s="268"/>
      <c r="Q74" s="268"/>
      <c r="R74" s="268"/>
      <c r="S74" s="268"/>
      <c r="T74" s="268"/>
      <c r="U74" s="268"/>
      <c r="V74" s="268"/>
      <c r="W74" s="268"/>
      <c r="X74" s="268"/>
      <c r="Y74" s="268"/>
      <c r="Z74" s="268"/>
    </row>
    <row r="75" spans="1:26" ht="24.75" customHeight="1">
      <c r="A75" s="268"/>
      <c r="B75" s="268"/>
      <c r="C75" s="268"/>
      <c r="D75" s="268"/>
      <c r="E75" s="268"/>
      <c r="F75" s="268"/>
      <c r="G75" s="268"/>
      <c r="H75" s="268"/>
      <c r="I75" s="268"/>
      <c r="J75" s="268"/>
      <c r="K75" s="310"/>
      <c r="L75" s="268"/>
      <c r="M75" s="268"/>
      <c r="N75" s="268"/>
      <c r="O75" s="268"/>
      <c r="P75" s="268"/>
      <c r="Q75" s="268"/>
      <c r="R75" s="268"/>
      <c r="S75" s="268"/>
      <c r="T75" s="268"/>
      <c r="U75" s="268"/>
      <c r="V75" s="268"/>
      <c r="W75" s="268"/>
      <c r="X75" s="268"/>
      <c r="Y75" s="268"/>
      <c r="Z75" s="268"/>
    </row>
    <row r="76" spans="1:26" ht="24.75" customHeight="1">
      <c r="A76" s="268"/>
      <c r="B76" s="268"/>
      <c r="C76" s="268"/>
      <c r="D76" s="268"/>
      <c r="E76" s="268"/>
      <c r="F76" s="268"/>
      <c r="G76" s="268"/>
      <c r="H76" s="268"/>
      <c r="I76" s="268"/>
      <c r="J76" s="268"/>
      <c r="K76" s="310"/>
      <c r="L76" s="268"/>
      <c r="M76" s="268"/>
      <c r="N76" s="268"/>
      <c r="O76" s="268"/>
      <c r="P76" s="268"/>
      <c r="Q76" s="268"/>
      <c r="R76" s="268"/>
      <c r="S76" s="313"/>
      <c r="T76" s="313"/>
      <c r="U76" s="268"/>
      <c r="V76" s="268"/>
      <c r="W76" s="268"/>
      <c r="X76" s="268"/>
      <c r="Y76" s="268"/>
      <c r="Z76" s="268"/>
    </row>
    <row r="77" spans="1:26" ht="24.75" customHeight="1">
      <c r="A77" s="268"/>
      <c r="B77" s="268"/>
      <c r="C77" s="268"/>
      <c r="D77" s="268"/>
      <c r="E77" s="268"/>
      <c r="F77" s="268"/>
      <c r="G77" s="268"/>
      <c r="H77" s="268"/>
      <c r="I77" s="268"/>
      <c r="J77" s="268"/>
      <c r="K77" s="310"/>
      <c r="L77" s="268"/>
      <c r="M77" s="268"/>
      <c r="N77" s="268"/>
      <c r="O77" s="268"/>
      <c r="P77" s="268"/>
      <c r="Q77" s="268"/>
      <c r="R77" s="268"/>
      <c r="S77" s="385"/>
      <c r="T77" s="385"/>
      <c r="U77" s="385"/>
      <c r="V77" s="385"/>
      <c r="W77" s="385"/>
      <c r="X77" s="385"/>
      <c r="Y77" s="385"/>
      <c r="Z77" s="385"/>
    </row>
    <row r="78" spans="1:26" ht="24.75" customHeight="1">
      <c r="A78" s="268"/>
      <c r="B78" s="268"/>
      <c r="C78" s="268"/>
      <c r="D78" s="268"/>
      <c r="E78" s="268"/>
      <c r="F78" s="268"/>
      <c r="G78" s="268"/>
      <c r="H78" s="268"/>
      <c r="I78" s="268"/>
      <c r="J78" s="268"/>
      <c r="K78" s="310"/>
      <c r="L78" s="268"/>
      <c r="M78" s="268"/>
      <c r="N78" s="268"/>
      <c r="O78" s="268"/>
      <c r="P78" s="268"/>
      <c r="Q78" s="268"/>
      <c r="R78" s="268"/>
      <c r="S78" s="313"/>
      <c r="T78" s="313"/>
      <c r="U78" s="268"/>
      <c r="V78" s="268"/>
      <c r="W78" s="268"/>
      <c r="X78" s="268"/>
      <c r="Y78" s="268"/>
      <c r="Z78" s="268"/>
    </row>
    <row r="79" spans="1:26" ht="24.75" customHeight="1">
      <c r="A79" s="268"/>
      <c r="B79" s="268"/>
      <c r="C79" s="268"/>
      <c r="D79" s="268"/>
      <c r="E79" s="268"/>
      <c r="F79" s="268"/>
      <c r="G79" s="268"/>
      <c r="H79" s="268"/>
      <c r="I79" s="268"/>
      <c r="J79" s="268"/>
      <c r="K79" s="310"/>
      <c r="L79" s="268"/>
      <c r="M79" s="268"/>
      <c r="N79" s="268"/>
      <c r="O79" s="268"/>
      <c r="P79" s="268"/>
      <c r="Q79" s="268"/>
      <c r="R79" s="268"/>
      <c r="S79" s="268"/>
      <c r="T79" s="268"/>
      <c r="U79" s="268"/>
      <c r="V79" s="268"/>
      <c r="W79" s="268"/>
      <c r="X79" s="268"/>
      <c r="Y79" s="268"/>
      <c r="Z79" s="268"/>
    </row>
    <row r="80" spans="1:26" ht="24.75" customHeight="1">
      <c r="A80" s="268"/>
      <c r="B80" s="268"/>
      <c r="C80" s="268"/>
      <c r="D80" s="268"/>
      <c r="E80" s="268"/>
      <c r="F80" s="268"/>
      <c r="G80" s="268"/>
      <c r="H80" s="268"/>
      <c r="I80" s="268"/>
      <c r="J80" s="268"/>
      <c r="K80" s="310"/>
      <c r="L80" s="268"/>
      <c r="M80" s="268"/>
      <c r="N80" s="268"/>
      <c r="O80" s="268"/>
      <c r="P80" s="268"/>
      <c r="Q80" s="268"/>
      <c r="R80" s="268"/>
      <c r="S80" s="313"/>
      <c r="T80" s="313"/>
      <c r="U80" s="268"/>
      <c r="V80" s="268"/>
      <c r="W80" s="268"/>
      <c r="X80" s="268"/>
      <c r="Y80" s="268"/>
      <c r="Z80" s="268"/>
    </row>
    <row r="81" spans="1:26" ht="24.75" customHeight="1">
      <c r="A81" s="268"/>
      <c r="B81" s="268"/>
      <c r="C81" s="268"/>
      <c r="D81" s="268"/>
      <c r="E81" s="268"/>
      <c r="F81" s="268"/>
      <c r="G81" s="268"/>
      <c r="H81" s="268"/>
      <c r="I81" s="268"/>
      <c r="J81" s="268"/>
      <c r="K81" s="310"/>
      <c r="L81" s="268"/>
      <c r="M81" s="268"/>
      <c r="N81" s="268"/>
      <c r="O81" s="268"/>
      <c r="P81" s="268"/>
      <c r="Q81" s="268"/>
      <c r="R81" s="268"/>
      <c r="S81" s="268"/>
      <c r="T81" s="268"/>
      <c r="U81" s="268"/>
      <c r="V81" s="268"/>
      <c r="W81" s="268"/>
      <c r="X81" s="268"/>
      <c r="Y81" s="268"/>
      <c r="Z81" s="268"/>
    </row>
    <row r="82" spans="1:26" ht="24.75" customHeight="1">
      <c r="A82" s="268"/>
      <c r="B82" s="268"/>
      <c r="C82" s="268"/>
      <c r="D82" s="268"/>
      <c r="E82" s="268"/>
      <c r="F82" s="268"/>
      <c r="G82" s="268"/>
      <c r="H82" s="268"/>
      <c r="I82" s="268"/>
      <c r="J82" s="268"/>
      <c r="K82" s="310"/>
      <c r="L82" s="268"/>
      <c r="M82" s="268"/>
      <c r="N82" s="268"/>
      <c r="O82" s="268"/>
      <c r="P82" s="268"/>
      <c r="Q82" s="268"/>
      <c r="R82" s="268"/>
      <c r="S82" s="313"/>
      <c r="T82" s="313"/>
      <c r="U82" s="268"/>
      <c r="V82" s="268"/>
      <c r="W82" s="268"/>
      <c r="X82" s="268"/>
      <c r="Y82" s="268"/>
      <c r="Z82" s="268"/>
    </row>
    <row r="83" spans="1:26" ht="24.75" customHeight="1">
      <c r="A83" s="268"/>
      <c r="B83" s="268"/>
      <c r="C83" s="268"/>
      <c r="D83" s="268"/>
      <c r="E83" s="268"/>
      <c r="F83" s="268"/>
      <c r="G83" s="268"/>
      <c r="H83" s="268"/>
      <c r="I83" s="268"/>
      <c r="J83" s="268"/>
      <c r="K83" s="310"/>
      <c r="L83" s="268"/>
      <c r="M83" s="268"/>
      <c r="N83" s="268"/>
      <c r="O83" s="268"/>
      <c r="P83" s="268"/>
      <c r="Q83" s="268"/>
      <c r="R83" s="268"/>
      <c r="S83" s="268"/>
      <c r="T83" s="268"/>
      <c r="U83" s="268"/>
      <c r="V83" s="268"/>
      <c r="W83" s="268"/>
      <c r="X83" s="268"/>
      <c r="Y83" s="268"/>
      <c r="Z83" s="268"/>
    </row>
    <row r="84" spans="1:26" ht="24.75" customHeight="1">
      <c r="A84" s="268"/>
      <c r="B84" s="268"/>
      <c r="C84" s="268"/>
      <c r="D84" s="268"/>
      <c r="E84" s="268"/>
      <c r="F84" s="268"/>
      <c r="G84" s="268"/>
      <c r="H84" s="268"/>
      <c r="I84" s="268"/>
      <c r="J84" s="268"/>
      <c r="K84" s="310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</row>
    <row r="85" spans="1:26" ht="24.75" customHeight="1">
      <c r="A85" s="268"/>
      <c r="B85" s="268"/>
      <c r="C85" s="268"/>
      <c r="D85" s="268"/>
      <c r="E85" s="268"/>
      <c r="F85" s="268"/>
      <c r="G85" s="268"/>
      <c r="H85" s="268"/>
      <c r="I85" s="268"/>
      <c r="J85" s="268"/>
      <c r="K85" s="310"/>
      <c r="L85" s="268"/>
      <c r="M85" s="268"/>
      <c r="N85" s="268"/>
      <c r="O85" s="268"/>
      <c r="P85" s="268"/>
      <c r="Q85" s="268"/>
      <c r="R85" s="385"/>
      <c r="S85" s="385"/>
      <c r="T85" s="385"/>
      <c r="U85" s="385"/>
      <c r="V85" s="385"/>
      <c r="W85" s="385"/>
      <c r="X85" s="385"/>
      <c r="Y85" s="385"/>
      <c r="Z85" s="385"/>
    </row>
    <row r="86" spans="1:26" ht="24.75" customHeight="1">
      <c r="A86" s="268"/>
      <c r="B86" s="268"/>
      <c r="C86" s="268"/>
      <c r="D86" s="268"/>
      <c r="E86" s="268"/>
      <c r="F86" s="268"/>
      <c r="G86" s="268"/>
      <c r="H86" s="268"/>
      <c r="I86" s="268"/>
      <c r="J86" s="268"/>
      <c r="K86" s="310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</row>
    <row r="87" spans="1:26" ht="24.75" customHeight="1">
      <c r="A87" s="268"/>
      <c r="B87" s="268"/>
      <c r="C87" s="268"/>
      <c r="D87" s="268"/>
      <c r="E87" s="268"/>
      <c r="F87" s="268"/>
      <c r="G87" s="268"/>
      <c r="H87" s="268"/>
      <c r="I87" s="268"/>
      <c r="J87" s="268"/>
      <c r="K87" s="310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</row>
    <row r="88" spans="1:26" ht="24.75" customHeight="1">
      <c r="A88" s="268"/>
      <c r="B88" s="268"/>
      <c r="C88" s="268"/>
      <c r="D88" s="268"/>
      <c r="E88" s="268"/>
      <c r="F88" s="268"/>
      <c r="G88" s="268"/>
      <c r="H88" s="268"/>
      <c r="I88" s="268"/>
      <c r="J88" s="268"/>
      <c r="K88" s="310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</row>
    <row r="89" spans="1:26" ht="24.75" customHeight="1">
      <c r="A89" s="268"/>
      <c r="B89" s="268"/>
      <c r="C89" s="268"/>
      <c r="D89" s="268"/>
      <c r="E89" s="268"/>
      <c r="F89" s="268"/>
      <c r="G89" s="268"/>
      <c r="H89" s="268"/>
      <c r="I89" s="268"/>
      <c r="J89" s="268"/>
      <c r="K89" s="310"/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</row>
    <row r="90" spans="1:26" ht="24.75" customHeight="1">
      <c r="A90" s="268"/>
      <c r="B90" s="268"/>
      <c r="C90" s="268"/>
      <c r="D90" s="268"/>
      <c r="E90" s="268"/>
      <c r="F90" s="268"/>
      <c r="G90" s="268"/>
      <c r="H90" s="268"/>
      <c r="I90" s="268"/>
      <c r="J90" s="268"/>
      <c r="K90" s="310"/>
      <c r="L90" s="268"/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</row>
    <row r="91" spans="1:26" ht="24.75" customHeight="1">
      <c r="A91" s="268"/>
      <c r="B91" s="268"/>
      <c r="C91" s="268"/>
      <c r="D91" s="268"/>
      <c r="E91" s="268"/>
      <c r="F91" s="268"/>
      <c r="G91" s="268"/>
      <c r="H91" s="268"/>
      <c r="I91" s="268"/>
      <c r="J91" s="268"/>
      <c r="K91" s="310"/>
      <c r="L91" s="268"/>
      <c r="M91" s="268"/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</row>
    <row r="92" spans="1:26" ht="24.75" customHeight="1">
      <c r="A92" s="268"/>
      <c r="B92" s="268"/>
      <c r="C92" s="268"/>
      <c r="D92" s="268"/>
      <c r="E92" s="268"/>
      <c r="F92" s="268"/>
      <c r="G92" s="268"/>
      <c r="H92" s="268"/>
      <c r="I92" s="268"/>
      <c r="J92" s="268"/>
      <c r="K92" s="310"/>
      <c r="L92" s="268"/>
      <c r="M92" s="268"/>
      <c r="N92" s="268"/>
      <c r="O92" s="268"/>
      <c r="P92" s="268"/>
      <c r="Q92" s="268"/>
      <c r="R92" s="268"/>
      <c r="S92" s="313"/>
      <c r="T92" s="313"/>
      <c r="U92" s="268"/>
      <c r="V92" s="268"/>
      <c r="W92" s="268"/>
      <c r="X92" s="268"/>
      <c r="Y92" s="268"/>
      <c r="Z92" s="268"/>
    </row>
    <row r="93" spans="1:26" ht="24.75" customHeight="1">
      <c r="A93" s="268"/>
      <c r="B93" s="268"/>
      <c r="C93" s="268"/>
      <c r="D93" s="268"/>
      <c r="E93" s="268"/>
      <c r="F93" s="268"/>
      <c r="G93" s="268"/>
      <c r="H93" s="268"/>
      <c r="I93" s="268"/>
      <c r="J93" s="268"/>
      <c r="K93" s="310"/>
      <c r="L93" s="268"/>
      <c r="M93" s="268"/>
      <c r="N93" s="268"/>
      <c r="O93" s="268"/>
      <c r="P93" s="268"/>
      <c r="Q93" s="268"/>
      <c r="R93" s="268"/>
      <c r="S93" s="268"/>
      <c r="T93" s="268"/>
      <c r="U93" s="268"/>
      <c r="V93" s="268"/>
      <c r="W93" s="268"/>
      <c r="X93" s="268"/>
      <c r="Y93" s="268"/>
      <c r="Z93" s="268"/>
    </row>
    <row r="94" spans="1:26" ht="24.75" customHeight="1">
      <c r="A94" s="268"/>
      <c r="B94" s="268"/>
      <c r="C94" s="268"/>
      <c r="D94" s="268"/>
      <c r="E94" s="268"/>
      <c r="F94" s="268"/>
      <c r="G94" s="268"/>
      <c r="H94" s="268"/>
      <c r="I94" s="268"/>
      <c r="J94" s="268"/>
      <c r="K94" s="310"/>
      <c r="L94" s="268"/>
      <c r="M94" s="268"/>
      <c r="N94" s="268"/>
      <c r="O94" s="268"/>
      <c r="P94" s="268"/>
      <c r="Q94" s="268"/>
      <c r="R94" s="268"/>
      <c r="S94" s="268"/>
      <c r="T94" s="268"/>
      <c r="U94" s="268"/>
      <c r="V94" s="268"/>
      <c r="W94" s="268"/>
      <c r="X94" s="268"/>
      <c r="Y94" s="268"/>
      <c r="Z94" s="268"/>
    </row>
    <row r="95" spans="1:26" ht="24.75" customHeight="1">
      <c r="A95" s="268"/>
      <c r="B95" s="268"/>
      <c r="C95" s="268"/>
      <c r="D95" s="268"/>
      <c r="E95" s="268"/>
      <c r="F95" s="268"/>
      <c r="G95" s="268"/>
      <c r="H95" s="268"/>
      <c r="I95" s="268"/>
      <c r="J95" s="268"/>
      <c r="K95" s="310"/>
      <c r="L95" s="268"/>
      <c r="M95" s="268"/>
      <c r="N95" s="268"/>
      <c r="O95" s="268"/>
      <c r="P95" s="268"/>
      <c r="Q95" s="268"/>
      <c r="R95" s="268"/>
      <c r="S95" s="268"/>
      <c r="T95" s="268"/>
      <c r="U95" s="268"/>
      <c r="V95" s="268"/>
      <c r="W95" s="268"/>
      <c r="X95" s="268"/>
      <c r="Y95" s="268"/>
      <c r="Z95" s="268"/>
    </row>
    <row r="96" spans="1:26" ht="24.75" customHeight="1">
      <c r="A96" s="268"/>
      <c r="B96" s="268"/>
      <c r="C96" s="268"/>
      <c r="D96" s="268"/>
      <c r="E96" s="268"/>
      <c r="F96" s="268"/>
      <c r="G96" s="268"/>
      <c r="H96" s="268"/>
      <c r="I96" s="268"/>
      <c r="J96" s="268"/>
      <c r="K96" s="310"/>
      <c r="L96" s="268"/>
      <c r="M96" s="268"/>
      <c r="N96" s="268"/>
      <c r="O96" s="268"/>
      <c r="P96" s="268"/>
      <c r="Q96" s="268"/>
      <c r="R96" s="268"/>
      <c r="S96" s="268"/>
      <c r="T96" s="268"/>
      <c r="U96" s="268"/>
      <c r="V96" s="268"/>
      <c r="W96" s="268"/>
      <c r="X96" s="268"/>
      <c r="Y96" s="268"/>
      <c r="Z96" s="268"/>
    </row>
    <row r="97" spans="1:26" ht="24.75" customHeight="1">
      <c r="A97" s="268"/>
      <c r="B97" s="268"/>
      <c r="C97" s="268"/>
      <c r="D97" s="268"/>
      <c r="E97" s="268"/>
      <c r="F97" s="268"/>
      <c r="G97" s="268"/>
      <c r="H97" s="268"/>
      <c r="I97" s="268"/>
      <c r="J97" s="268"/>
      <c r="K97" s="310"/>
      <c r="L97" s="268"/>
      <c r="M97" s="268"/>
      <c r="N97" s="268"/>
      <c r="O97" s="268"/>
      <c r="P97" s="268"/>
      <c r="Q97" s="268"/>
      <c r="R97" s="268"/>
      <c r="S97" s="268"/>
      <c r="T97" s="268"/>
      <c r="U97" s="268"/>
      <c r="V97" s="268"/>
      <c r="W97" s="268"/>
      <c r="X97" s="268"/>
      <c r="Y97" s="268"/>
      <c r="Z97" s="268"/>
    </row>
    <row r="98" spans="1:26" ht="24.75" customHeight="1">
      <c r="A98" s="268"/>
      <c r="B98" s="268"/>
      <c r="C98" s="268"/>
      <c r="D98" s="268"/>
      <c r="E98" s="268"/>
      <c r="F98" s="268"/>
      <c r="G98" s="268"/>
      <c r="H98" s="268"/>
      <c r="I98" s="268"/>
      <c r="J98" s="268"/>
      <c r="K98" s="310"/>
      <c r="L98" s="268"/>
      <c r="M98" s="268"/>
      <c r="N98" s="268"/>
      <c r="O98" s="268"/>
      <c r="P98" s="268"/>
      <c r="Q98" s="268"/>
      <c r="R98" s="268"/>
      <c r="S98" s="268"/>
      <c r="T98" s="268"/>
      <c r="U98" s="268"/>
      <c r="V98" s="268"/>
      <c r="W98" s="268"/>
      <c r="X98" s="268"/>
      <c r="Y98" s="268"/>
      <c r="Z98" s="268"/>
    </row>
    <row r="99" spans="1:26" ht="24.75" customHeight="1">
      <c r="A99" s="268"/>
      <c r="B99" s="268"/>
      <c r="C99" s="268"/>
      <c r="D99" s="268"/>
      <c r="E99" s="268"/>
      <c r="F99" s="268"/>
      <c r="G99" s="268"/>
      <c r="H99" s="268"/>
      <c r="I99" s="268"/>
      <c r="J99" s="268"/>
      <c r="K99" s="310"/>
      <c r="L99" s="268"/>
      <c r="M99" s="268"/>
      <c r="N99" s="268"/>
      <c r="O99" s="268"/>
      <c r="P99" s="268"/>
      <c r="Q99" s="268"/>
      <c r="R99" s="268"/>
      <c r="S99" s="268"/>
      <c r="T99" s="268"/>
      <c r="U99" s="268"/>
      <c r="V99" s="268"/>
      <c r="W99" s="268"/>
      <c r="X99" s="268"/>
      <c r="Y99" s="268"/>
      <c r="Z99" s="268"/>
    </row>
    <row r="100" spans="1:26" ht="24.75" customHeight="1">
      <c r="A100" s="268"/>
      <c r="B100" s="268"/>
      <c r="C100" s="268"/>
      <c r="D100" s="268"/>
      <c r="E100" s="268"/>
      <c r="F100" s="268"/>
      <c r="G100" s="268"/>
      <c r="H100" s="268"/>
      <c r="I100" s="268"/>
      <c r="J100" s="268"/>
      <c r="K100" s="310"/>
      <c r="L100" s="268"/>
      <c r="M100" s="268"/>
      <c r="N100" s="268"/>
      <c r="O100" s="268"/>
      <c r="P100" s="268"/>
      <c r="Q100" s="268"/>
      <c r="R100" s="268"/>
      <c r="S100" s="268"/>
      <c r="T100" s="268"/>
      <c r="U100" s="268"/>
      <c r="V100" s="268"/>
      <c r="W100" s="268"/>
      <c r="X100" s="268"/>
      <c r="Y100" s="268"/>
      <c r="Z100" s="268"/>
    </row>
    <row r="101" spans="1:26" ht="24.75" customHeight="1">
      <c r="A101" s="268"/>
      <c r="B101" s="268"/>
      <c r="C101" s="268"/>
      <c r="D101" s="268"/>
      <c r="E101" s="268"/>
      <c r="F101" s="268"/>
      <c r="G101" s="268"/>
      <c r="H101" s="268"/>
      <c r="I101" s="268"/>
      <c r="J101" s="268"/>
      <c r="K101" s="310"/>
      <c r="L101" s="268"/>
      <c r="M101" s="268"/>
      <c r="N101" s="268"/>
      <c r="O101" s="268"/>
      <c r="P101" s="268"/>
      <c r="Q101" s="268"/>
      <c r="R101" s="268"/>
      <c r="S101" s="268"/>
      <c r="T101" s="268"/>
      <c r="U101" s="268"/>
      <c r="V101" s="268"/>
      <c r="W101" s="268"/>
      <c r="X101" s="268"/>
      <c r="Y101" s="268"/>
      <c r="Z101" s="268"/>
    </row>
    <row r="102" spans="1:26" ht="24.75" customHeight="1">
      <c r="A102" s="268"/>
      <c r="B102" s="268"/>
      <c r="C102" s="268"/>
      <c r="D102" s="268"/>
      <c r="E102" s="268"/>
      <c r="F102" s="268"/>
      <c r="G102" s="268"/>
      <c r="H102" s="268"/>
      <c r="I102" s="268"/>
      <c r="J102" s="268"/>
      <c r="K102" s="310"/>
      <c r="L102" s="268"/>
      <c r="M102" s="268"/>
      <c r="N102" s="268"/>
      <c r="O102" s="268"/>
      <c r="P102" s="268"/>
      <c r="Q102" s="268"/>
      <c r="R102" s="268"/>
      <c r="S102" s="268"/>
      <c r="T102" s="268"/>
      <c r="U102" s="268"/>
      <c r="V102" s="268"/>
      <c r="W102" s="268"/>
      <c r="X102" s="268"/>
      <c r="Y102" s="268"/>
      <c r="Z102" s="268"/>
    </row>
    <row r="103" spans="1:26" ht="24.75" customHeight="1">
      <c r="A103" s="268"/>
      <c r="B103" s="268"/>
      <c r="C103" s="268"/>
      <c r="D103" s="268"/>
      <c r="E103" s="268"/>
      <c r="F103" s="268"/>
      <c r="G103" s="268"/>
      <c r="H103" s="268"/>
      <c r="I103" s="268"/>
      <c r="J103" s="268"/>
      <c r="K103" s="310"/>
      <c r="L103" s="268"/>
      <c r="M103" s="268"/>
      <c r="N103" s="268"/>
      <c r="O103" s="268"/>
      <c r="P103" s="268"/>
      <c r="Q103" s="268"/>
      <c r="R103" s="268"/>
      <c r="S103" s="268"/>
      <c r="T103" s="268"/>
      <c r="U103" s="268"/>
      <c r="V103" s="268"/>
      <c r="W103" s="268"/>
      <c r="X103" s="268"/>
      <c r="Y103" s="268"/>
      <c r="Z103" s="268"/>
    </row>
    <row r="104" spans="1:26" ht="24.75" customHeight="1">
      <c r="A104" s="268"/>
      <c r="B104" s="268"/>
      <c r="C104" s="268"/>
      <c r="D104" s="268"/>
      <c r="E104" s="268"/>
      <c r="F104" s="268"/>
      <c r="G104" s="268"/>
      <c r="H104" s="268"/>
      <c r="I104" s="268"/>
      <c r="J104" s="268"/>
      <c r="K104" s="310"/>
      <c r="L104" s="268"/>
      <c r="M104" s="268"/>
      <c r="N104" s="268"/>
      <c r="O104" s="268"/>
      <c r="P104" s="268"/>
      <c r="Q104" s="268"/>
      <c r="R104" s="268"/>
      <c r="S104" s="268"/>
      <c r="T104" s="268"/>
      <c r="U104" s="268"/>
      <c r="V104" s="268"/>
      <c r="W104" s="268"/>
      <c r="X104" s="268"/>
      <c r="Y104" s="268"/>
      <c r="Z104" s="268"/>
    </row>
    <row r="105" spans="1:26" ht="24.75" customHeight="1">
      <c r="A105" s="268"/>
      <c r="B105" s="268"/>
      <c r="C105" s="268"/>
      <c r="D105" s="268"/>
      <c r="E105" s="268"/>
      <c r="F105" s="268"/>
      <c r="G105" s="268"/>
      <c r="H105" s="268"/>
      <c r="I105" s="268"/>
      <c r="J105" s="268"/>
      <c r="K105" s="310"/>
      <c r="L105" s="268"/>
      <c r="M105" s="268"/>
      <c r="N105" s="268"/>
      <c r="O105" s="268"/>
      <c r="P105" s="268"/>
      <c r="Q105" s="268"/>
      <c r="R105" s="268"/>
      <c r="S105" s="313"/>
      <c r="T105" s="313"/>
      <c r="U105" s="268"/>
      <c r="V105" s="268"/>
      <c r="W105" s="268"/>
      <c r="X105" s="268"/>
      <c r="Y105" s="268"/>
      <c r="Z105" s="268"/>
    </row>
    <row r="106" spans="1:26" ht="24.75" customHeight="1">
      <c r="A106" s="268"/>
      <c r="B106" s="268"/>
      <c r="C106" s="268"/>
      <c r="D106" s="268"/>
      <c r="E106" s="268"/>
      <c r="F106" s="268"/>
      <c r="G106" s="268"/>
      <c r="H106" s="268"/>
      <c r="I106" s="268"/>
      <c r="J106" s="268"/>
      <c r="K106" s="310"/>
      <c r="L106" s="268"/>
      <c r="M106" s="268"/>
      <c r="N106" s="268"/>
      <c r="O106" s="268"/>
      <c r="P106" s="268"/>
      <c r="Q106" s="268"/>
      <c r="R106" s="268"/>
      <c r="S106" s="313"/>
      <c r="T106" s="313"/>
      <c r="U106" s="268"/>
      <c r="V106" s="268"/>
      <c r="W106" s="268"/>
      <c r="X106" s="268"/>
      <c r="Y106" s="268"/>
      <c r="Z106" s="268"/>
    </row>
    <row r="107" spans="1:26" ht="24.75" customHeight="1">
      <c r="A107" s="268"/>
      <c r="B107" s="268"/>
      <c r="C107" s="268"/>
      <c r="D107" s="268"/>
      <c r="E107" s="268"/>
      <c r="F107" s="268"/>
      <c r="G107" s="268"/>
      <c r="H107" s="268"/>
      <c r="I107" s="268"/>
      <c r="J107" s="268"/>
      <c r="K107" s="310"/>
      <c r="L107" s="268"/>
      <c r="M107" s="268"/>
      <c r="N107" s="268"/>
      <c r="O107" s="268"/>
      <c r="P107" s="268"/>
      <c r="Q107" s="268"/>
      <c r="R107" s="268"/>
      <c r="S107" s="313"/>
      <c r="T107" s="313"/>
      <c r="U107" s="268"/>
      <c r="V107" s="268"/>
      <c r="W107" s="268"/>
      <c r="X107" s="268"/>
      <c r="Y107" s="268"/>
      <c r="Z107" s="268"/>
    </row>
    <row r="108" spans="1:26" ht="24.75" customHeight="1">
      <c r="A108" s="268"/>
      <c r="B108" s="268"/>
      <c r="C108" s="268"/>
      <c r="D108" s="268"/>
      <c r="E108" s="268"/>
      <c r="F108" s="268"/>
      <c r="G108" s="268"/>
      <c r="H108" s="268"/>
      <c r="I108" s="268"/>
      <c r="J108" s="268"/>
      <c r="K108" s="310"/>
      <c r="L108" s="268"/>
      <c r="M108" s="268"/>
      <c r="N108" s="268"/>
      <c r="O108" s="268"/>
      <c r="P108" s="268"/>
      <c r="Q108" s="268"/>
      <c r="R108" s="268"/>
      <c r="S108" s="313"/>
      <c r="T108" s="313"/>
      <c r="U108" s="268"/>
      <c r="V108" s="268"/>
      <c r="W108" s="268"/>
      <c r="X108" s="268"/>
      <c r="Y108" s="268"/>
      <c r="Z108" s="268"/>
    </row>
    <row r="109" spans="1:26" ht="24.75" customHeight="1">
      <c r="A109" s="268"/>
      <c r="B109" s="268"/>
      <c r="C109" s="268"/>
      <c r="D109" s="268"/>
      <c r="E109" s="268"/>
      <c r="F109" s="268"/>
      <c r="G109" s="268"/>
      <c r="H109" s="268"/>
      <c r="I109" s="268"/>
      <c r="J109" s="268"/>
      <c r="K109" s="310"/>
      <c r="L109" s="268"/>
      <c r="M109" s="268"/>
      <c r="N109" s="268"/>
      <c r="O109" s="268"/>
      <c r="P109" s="268"/>
      <c r="Q109" s="268"/>
      <c r="R109" s="268"/>
      <c r="S109" s="268"/>
      <c r="T109" s="268"/>
      <c r="U109" s="268"/>
      <c r="V109" s="268"/>
      <c r="W109" s="268"/>
      <c r="X109" s="268"/>
      <c r="Y109" s="268"/>
      <c r="Z109" s="268"/>
    </row>
    <row r="110" spans="1:26" ht="24.75" customHeight="1">
      <c r="A110" s="268"/>
      <c r="B110" s="268"/>
      <c r="C110" s="268"/>
      <c r="D110" s="268"/>
      <c r="E110" s="268"/>
      <c r="F110" s="268"/>
      <c r="G110" s="268"/>
      <c r="H110" s="268"/>
      <c r="I110" s="268"/>
      <c r="J110" s="268"/>
      <c r="K110" s="310"/>
      <c r="L110" s="268"/>
      <c r="M110" s="268"/>
      <c r="N110" s="268"/>
      <c r="O110" s="268"/>
      <c r="P110" s="268"/>
      <c r="Q110" s="268"/>
      <c r="R110" s="268"/>
      <c r="S110" s="268"/>
      <c r="T110" s="268"/>
      <c r="U110" s="268"/>
      <c r="V110" s="268"/>
      <c r="W110" s="268"/>
      <c r="X110" s="268"/>
      <c r="Y110" s="268"/>
      <c r="Z110" s="268"/>
    </row>
    <row r="111" spans="1:26" ht="24.75" customHeight="1">
      <c r="A111" s="268"/>
      <c r="B111" s="268"/>
      <c r="C111" s="268"/>
      <c r="D111" s="268"/>
      <c r="E111" s="268"/>
      <c r="F111" s="268"/>
      <c r="G111" s="268"/>
      <c r="H111" s="268"/>
      <c r="I111" s="268"/>
      <c r="J111" s="268"/>
      <c r="K111" s="310"/>
      <c r="L111" s="268"/>
      <c r="M111" s="268"/>
      <c r="N111" s="268"/>
      <c r="O111" s="268"/>
      <c r="P111" s="268"/>
      <c r="Q111" s="268"/>
      <c r="R111" s="268"/>
      <c r="S111" s="268"/>
      <c r="T111" s="268"/>
      <c r="U111" s="268"/>
      <c r="V111" s="268"/>
      <c r="W111" s="268"/>
      <c r="X111" s="268"/>
      <c r="Y111" s="268"/>
      <c r="Z111" s="268"/>
    </row>
    <row r="112" spans="1:26" ht="24.75" customHeight="1">
      <c r="A112" s="268"/>
      <c r="B112" s="268"/>
      <c r="C112" s="268"/>
      <c r="D112" s="268"/>
      <c r="E112" s="268"/>
      <c r="F112" s="268"/>
      <c r="G112" s="268"/>
      <c r="H112" s="268"/>
      <c r="I112" s="268"/>
      <c r="J112" s="268"/>
      <c r="K112" s="310"/>
      <c r="L112" s="268"/>
      <c r="M112" s="268"/>
      <c r="N112" s="268"/>
      <c r="O112" s="268"/>
      <c r="P112" s="268"/>
      <c r="Q112" s="268"/>
      <c r="R112" s="268"/>
      <c r="S112" s="268"/>
      <c r="T112" s="268"/>
      <c r="U112" s="268"/>
      <c r="V112" s="268"/>
      <c r="W112" s="268"/>
      <c r="X112" s="268"/>
      <c r="Y112" s="268"/>
      <c r="Z112" s="268"/>
    </row>
    <row r="113" spans="1:26" ht="24.75" customHeight="1">
      <c r="A113" s="268"/>
      <c r="B113" s="268"/>
      <c r="C113" s="268"/>
      <c r="D113" s="268"/>
      <c r="E113" s="268"/>
      <c r="F113" s="268"/>
      <c r="G113" s="268"/>
      <c r="H113" s="268"/>
      <c r="I113" s="268"/>
      <c r="J113" s="268"/>
      <c r="K113" s="310"/>
      <c r="L113" s="268"/>
      <c r="M113" s="268"/>
      <c r="N113" s="268"/>
      <c r="O113" s="268"/>
      <c r="P113" s="268"/>
      <c r="Q113" s="268"/>
      <c r="R113" s="268"/>
      <c r="S113" s="268"/>
      <c r="T113" s="268"/>
      <c r="U113" s="268"/>
      <c r="V113" s="268"/>
      <c r="W113" s="268"/>
      <c r="X113" s="268"/>
      <c r="Y113" s="268"/>
      <c r="Z113" s="268"/>
    </row>
    <row r="114" spans="1:26" ht="24.75" customHeight="1">
      <c r="A114" s="268"/>
      <c r="B114" s="268"/>
      <c r="C114" s="268"/>
      <c r="D114" s="268"/>
      <c r="E114" s="268"/>
      <c r="F114" s="268"/>
      <c r="G114" s="268"/>
      <c r="H114" s="268"/>
      <c r="I114" s="268"/>
      <c r="J114" s="268"/>
      <c r="K114" s="310"/>
      <c r="L114" s="268"/>
      <c r="M114" s="268"/>
      <c r="N114" s="268"/>
      <c r="O114" s="268"/>
      <c r="P114" s="268"/>
      <c r="Q114" s="268"/>
      <c r="R114" s="268"/>
      <c r="S114" s="268"/>
      <c r="T114" s="268"/>
      <c r="U114" s="268"/>
      <c r="V114" s="268"/>
      <c r="W114" s="268"/>
      <c r="X114" s="268"/>
      <c r="Y114" s="268"/>
      <c r="Z114" s="268"/>
    </row>
    <row r="115" spans="1:26" ht="24.75" customHeight="1">
      <c r="A115" s="268"/>
      <c r="B115" s="268"/>
      <c r="C115" s="268"/>
      <c r="D115" s="268"/>
      <c r="E115" s="268"/>
      <c r="F115" s="268"/>
      <c r="G115" s="268"/>
      <c r="H115" s="268"/>
      <c r="I115" s="268"/>
      <c r="J115" s="268"/>
      <c r="K115" s="310"/>
      <c r="L115" s="268"/>
      <c r="M115" s="268"/>
      <c r="N115" s="268"/>
      <c r="O115" s="268"/>
      <c r="P115" s="268"/>
      <c r="Q115" s="268"/>
      <c r="R115" s="268"/>
      <c r="S115" s="268"/>
      <c r="T115" s="268"/>
      <c r="U115" s="268"/>
      <c r="V115" s="268"/>
      <c r="W115" s="268"/>
      <c r="X115" s="268"/>
      <c r="Y115" s="268"/>
      <c r="Z115" s="268"/>
    </row>
    <row r="116" spans="1:26" ht="24.75" customHeight="1">
      <c r="A116" s="268"/>
      <c r="B116" s="268"/>
      <c r="C116" s="268"/>
      <c r="D116" s="268"/>
      <c r="E116" s="268"/>
      <c r="F116" s="268"/>
      <c r="G116" s="268"/>
      <c r="H116" s="268"/>
      <c r="I116" s="268"/>
      <c r="J116" s="268"/>
      <c r="K116" s="310"/>
      <c r="L116" s="268"/>
      <c r="M116" s="268"/>
      <c r="N116" s="268"/>
      <c r="O116" s="268"/>
      <c r="P116" s="268"/>
      <c r="Q116" s="268"/>
      <c r="R116" s="268"/>
      <c r="S116" s="268"/>
      <c r="T116" s="268"/>
      <c r="U116" s="268"/>
      <c r="V116" s="268"/>
      <c r="W116" s="268"/>
      <c r="X116" s="268"/>
      <c r="Y116" s="268"/>
      <c r="Z116" s="268"/>
    </row>
    <row r="117" spans="1:26" ht="24.75" customHeight="1">
      <c r="A117" s="268"/>
      <c r="B117" s="268"/>
      <c r="C117" s="268"/>
      <c r="D117" s="268"/>
      <c r="E117" s="268"/>
      <c r="F117" s="268"/>
      <c r="G117" s="268"/>
      <c r="H117" s="268"/>
      <c r="I117" s="268"/>
      <c r="J117" s="268"/>
      <c r="K117" s="310"/>
      <c r="L117" s="268"/>
      <c r="M117" s="268"/>
      <c r="N117" s="268"/>
      <c r="O117" s="268"/>
      <c r="P117" s="268"/>
      <c r="Q117" s="268"/>
      <c r="R117" s="268"/>
      <c r="S117" s="268"/>
      <c r="T117" s="268"/>
      <c r="U117" s="268"/>
      <c r="V117" s="268"/>
      <c r="W117" s="268"/>
      <c r="X117" s="268"/>
      <c r="Y117" s="268"/>
      <c r="Z117" s="268"/>
    </row>
    <row r="118" spans="1:26" ht="24.75" customHeight="1">
      <c r="A118" s="268"/>
      <c r="B118" s="268"/>
      <c r="C118" s="268"/>
      <c r="D118" s="268"/>
      <c r="E118" s="268"/>
      <c r="F118" s="268"/>
      <c r="G118" s="268"/>
      <c r="H118" s="268"/>
      <c r="I118" s="268"/>
      <c r="J118" s="268"/>
      <c r="K118" s="310"/>
      <c r="L118" s="268"/>
      <c r="M118" s="268"/>
      <c r="N118" s="268"/>
      <c r="O118" s="268"/>
      <c r="P118" s="268"/>
      <c r="Q118" s="268"/>
      <c r="R118" s="268"/>
      <c r="S118" s="268"/>
      <c r="T118" s="268"/>
      <c r="U118" s="268"/>
      <c r="V118" s="268"/>
      <c r="W118" s="268"/>
      <c r="X118" s="268"/>
      <c r="Y118" s="268"/>
      <c r="Z118" s="268"/>
    </row>
    <row r="119" spans="1:26" ht="24.75" customHeight="1">
      <c r="A119" s="268"/>
      <c r="B119" s="268"/>
      <c r="C119" s="268"/>
      <c r="D119" s="268"/>
      <c r="E119" s="268"/>
      <c r="F119" s="268"/>
      <c r="G119" s="268"/>
      <c r="H119" s="268"/>
      <c r="I119" s="268"/>
      <c r="J119" s="268"/>
      <c r="K119" s="310"/>
      <c r="L119" s="268"/>
      <c r="M119" s="268"/>
      <c r="N119" s="268"/>
      <c r="O119" s="268"/>
      <c r="P119" s="268"/>
      <c r="Q119" s="268"/>
      <c r="R119" s="268"/>
      <c r="S119" s="268"/>
      <c r="T119" s="268"/>
      <c r="U119" s="268"/>
      <c r="V119" s="268"/>
      <c r="W119" s="268"/>
      <c r="X119" s="268"/>
      <c r="Y119" s="268"/>
      <c r="Z119" s="268"/>
    </row>
    <row r="120" spans="1:26" ht="24.75" customHeight="1">
      <c r="A120" s="268"/>
      <c r="B120" s="268"/>
      <c r="C120" s="268"/>
      <c r="D120" s="268"/>
      <c r="E120" s="268"/>
      <c r="F120" s="268"/>
      <c r="G120" s="268"/>
      <c r="H120" s="268"/>
      <c r="I120" s="268"/>
      <c r="J120" s="268"/>
      <c r="K120" s="310"/>
      <c r="L120" s="268"/>
      <c r="M120" s="268"/>
      <c r="N120" s="268"/>
      <c r="O120" s="268"/>
      <c r="P120" s="268"/>
      <c r="Q120" s="268"/>
      <c r="R120" s="268"/>
      <c r="S120" s="268"/>
      <c r="T120" s="268"/>
      <c r="U120" s="268"/>
      <c r="V120" s="268"/>
      <c r="W120" s="268"/>
      <c r="X120" s="268"/>
      <c r="Y120" s="268"/>
      <c r="Z120" s="268"/>
    </row>
    <row r="121" spans="1:26" ht="24.75" customHeight="1">
      <c r="A121" s="268"/>
      <c r="B121" s="268"/>
      <c r="C121" s="268"/>
      <c r="D121" s="268"/>
      <c r="E121" s="268"/>
      <c r="F121" s="268"/>
      <c r="G121" s="268"/>
      <c r="H121" s="268"/>
      <c r="I121" s="268"/>
      <c r="J121" s="268"/>
      <c r="K121" s="310"/>
      <c r="L121" s="268"/>
      <c r="M121" s="268"/>
      <c r="N121" s="268"/>
      <c r="O121" s="268"/>
      <c r="P121" s="268"/>
      <c r="Q121" s="268"/>
      <c r="R121" s="268"/>
      <c r="S121" s="268"/>
      <c r="T121" s="268"/>
      <c r="U121" s="268"/>
      <c r="V121" s="268"/>
      <c r="W121" s="268"/>
      <c r="X121" s="268"/>
      <c r="Y121" s="268"/>
      <c r="Z121" s="268"/>
    </row>
    <row r="122" spans="1:26" ht="24.75" customHeight="1">
      <c r="A122" s="268"/>
      <c r="B122" s="268"/>
      <c r="C122" s="268"/>
      <c r="D122" s="268"/>
      <c r="E122" s="268"/>
      <c r="F122" s="268"/>
      <c r="G122" s="268"/>
      <c r="H122" s="268"/>
      <c r="I122" s="268"/>
      <c r="J122" s="268"/>
      <c r="K122" s="310"/>
      <c r="L122" s="268"/>
      <c r="M122" s="268"/>
      <c r="N122" s="268"/>
      <c r="O122" s="268"/>
      <c r="P122" s="268"/>
      <c r="Q122" s="268"/>
      <c r="R122" s="268"/>
      <c r="S122" s="268"/>
      <c r="T122" s="268"/>
      <c r="U122" s="268"/>
      <c r="V122" s="268"/>
      <c r="W122" s="268"/>
      <c r="X122" s="268"/>
      <c r="Y122" s="268"/>
      <c r="Z122" s="268"/>
    </row>
    <row r="123" spans="1:26" ht="24.75" customHeight="1">
      <c r="A123" s="268"/>
      <c r="B123" s="268"/>
      <c r="C123" s="268"/>
      <c r="D123" s="268"/>
      <c r="E123" s="268"/>
      <c r="F123" s="268"/>
      <c r="G123" s="268"/>
      <c r="H123" s="268"/>
      <c r="I123" s="268"/>
      <c r="J123" s="268"/>
      <c r="K123" s="310"/>
      <c r="L123" s="268"/>
      <c r="M123" s="268"/>
      <c r="N123" s="268"/>
      <c r="O123" s="268"/>
      <c r="P123" s="268"/>
      <c r="Q123" s="268"/>
      <c r="R123" s="268"/>
      <c r="S123" s="268"/>
      <c r="T123" s="268"/>
      <c r="U123" s="268"/>
      <c r="V123" s="268"/>
      <c r="W123" s="268"/>
      <c r="X123" s="268"/>
      <c r="Y123" s="268"/>
      <c r="Z123" s="268"/>
    </row>
    <row r="124" spans="1:26" ht="24.75" customHeight="1">
      <c r="A124" s="268"/>
      <c r="B124" s="268"/>
      <c r="C124" s="268"/>
      <c r="D124" s="268"/>
      <c r="E124" s="268"/>
      <c r="F124" s="268"/>
      <c r="G124" s="268"/>
      <c r="H124" s="268"/>
      <c r="I124" s="268"/>
      <c r="J124" s="268"/>
      <c r="K124" s="310"/>
      <c r="L124" s="268"/>
      <c r="M124" s="268"/>
      <c r="N124" s="268"/>
      <c r="O124" s="268"/>
      <c r="P124" s="268"/>
      <c r="Q124" s="268"/>
      <c r="R124" s="268"/>
      <c r="S124" s="268"/>
      <c r="T124" s="268"/>
      <c r="U124" s="268"/>
      <c r="V124" s="268"/>
      <c r="W124" s="268"/>
      <c r="X124" s="268"/>
      <c r="Y124" s="268"/>
      <c r="Z124" s="268"/>
    </row>
    <row r="125" spans="1:26" ht="24.75" customHeight="1">
      <c r="A125" s="268"/>
      <c r="B125" s="268"/>
      <c r="C125" s="268"/>
      <c r="D125" s="268"/>
      <c r="E125" s="268"/>
      <c r="F125" s="268"/>
      <c r="G125" s="268"/>
      <c r="H125" s="268"/>
      <c r="I125" s="268"/>
      <c r="J125" s="268"/>
      <c r="K125" s="310"/>
      <c r="L125" s="268"/>
      <c r="M125" s="268"/>
      <c r="N125" s="268"/>
      <c r="O125" s="268"/>
      <c r="P125" s="268"/>
      <c r="Q125" s="268"/>
      <c r="R125" s="268"/>
      <c r="S125" s="268"/>
      <c r="T125" s="268"/>
      <c r="U125" s="268"/>
      <c r="V125" s="268"/>
      <c r="W125" s="268"/>
      <c r="X125" s="268"/>
      <c r="Y125" s="268"/>
      <c r="Z125" s="268"/>
    </row>
    <row r="126" spans="1:26" ht="24.75" customHeight="1">
      <c r="A126" s="268"/>
      <c r="B126" s="268"/>
      <c r="C126" s="268"/>
      <c r="D126" s="268"/>
      <c r="E126" s="268"/>
      <c r="F126" s="268"/>
      <c r="G126" s="268"/>
      <c r="H126" s="268"/>
      <c r="I126" s="268"/>
      <c r="J126" s="268"/>
      <c r="K126" s="310"/>
      <c r="L126" s="268"/>
      <c r="M126" s="268"/>
      <c r="N126" s="268"/>
      <c r="O126" s="268"/>
      <c r="P126" s="268"/>
      <c r="Q126" s="268"/>
      <c r="R126" s="268"/>
      <c r="S126" s="268"/>
      <c r="T126" s="268"/>
      <c r="U126" s="268"/>
      <c r="V126" s="268"/>
      <c r="W126" s="268"/>
      <c r="X126" s="268"/>
      <c r="Y126" s="268"/>
      <c r="Z126" s="268"/>
    </row>
    <row r="127" spans="1:26" ht="24.75" customHeight="1">
      <c r="A127" s="268"/>
      <c r="B127" s="268"/>
      <c r="C127" s="268"/>
      <c r="D127" s="268"/>
      <c r="E127" s="268"/>
      <c r="F127" s="268"/>
      <c r="G127" s="268"/>
      <c r="H127" s="268"/>
      <c r="I127" s="268"/>
      <c r="J127" s="268"/>
      <c r="K127" s="310"/>
      <c r="L127" s="268"/>
      <c r="M127" s="268"/>
      <c r="N127" s="268"/>
      <c r="O127" s="268"/>
      <c r="P127" s="268"/>
      <c r="Q127" s="268"/>
      <c r="R127" s="268"/>
      <c r="S127" s="268"/>
      <c r="T127" s="268"/>
      <c r="U127" s="268"/>
      <c r="V127" s="268"/>
      <c r="W127" s="268"/>
      <c r="X127" s="268"/>
      <c r="Y127" s="268"/>
      <c r="Z127" s="268"/>
    </row>
    <row r="128" spans="1:26" ht="24.75" customHeight="1">
      <c r="A128" s="268"/>
      <c r="B128" s="268"/>
      <c r="C128" s="268"/>
      <c r="D128" s="268"/>
      <c r="E128" s="268"/>
      <c r="F128" s="268"/>
      <c r="G128" s="268"/>
      <c r="H128" s="268"/>
      <c r="I128" s="268"/>
      <c r="J128" s="268"/>
      <c r="K128" s="310"/>
      <c r="L128" s="268"/>
      <c r="M128" s="268"/>
      <c r="N128" s="268"/>
      <c r="O128" s="268"/>
      <c r="P128" s="268"/>
      <c r="Q128" s="268"/>
      <c r="R128" s="268"/>
      <c r="S128" s="268"/>
      <c r="T128" s="268"/>
      <c r="U128" s="268"/>
      <c r="V128" s="268"/>
      <c r="W128" s="268"/>
      <c r="X128" s="268"/>
      <c r="Y128" s="268"/>
      <c r="Z128" s="268"/>
    </row>
    <row r="129" spans="1:26" ht="24.75" customHeight="1">
      <c r="A129" s="268"/>
      <c r="B129" s="268"/>
      <c r="C129" s="268"/>
      <c r="D129" s="268"/>
      <c r="E129" s="268"/>
      <c r="F129" s="268"/>
      <c r="G129" s="268"/>
      <c r="H129" s="268"/>
      <c r="I129" s="268"/>
      <c r="J129" s="268"/>
      <c r="K129" s="310"/>
      <c r="L129" s="268"/>
      <c r="M129" s="268"/>
      <c r="N129" s="268"/>
      <c r="O129" s="268"/>
      <c r="P129" s="268"/>
      <c r="Q129" s="268"/>
      <c r="R129" s="268"/>
      <c r="S129" s="268"/>
      <c r="T129" s="268"/>
      <c r="U129" s="268"/>
      <c r="V129" s="268"/>
      <c r="W129" s="268"/>
      <c r="X129" s="268"/>
      <c r="Y129" s="268"/>
      <c r="Z129" s="268"/>
    </row>
    <row r="130" spans="1:26" ht="24.75" customHeight="1">
      <c r="A130" s="268"/>
      <c r="B130" s="268"/>
      <c r="C130" s="268"/>
      <c r="D130" s="268"/>
      <c r="E130" s="268"/>
      <c r="F130" s="268"/>
      <c r="G130" s="268"/>
      <c r="H130" s="268"/>
      <c r="I130" s="268"/>
      <c r="J130" s="268"/>
      <c r="K130" s="310"/>
      <c r="L130" s="268"/>
      <c r="M130" s="268"/>
      <c r="N130" s="268"/>
      <c r="O130" s="268"/>
      <c r="P130" s="268"/>
      <c r="Q130" s="268"/>
      <c r="R130" s="268"/>
      <c r="S130" s="268"/>
      <c r="T130" s="268"/>
      <c r="U130" s="268"/>
      <c r="V130" s="268"/>
      <c r="W130" s="268"/>
      <c r="X130" s="268"/>
      <c r="Y130" s="268"/>
      <c r="Z130" s="268"/>
    </row>
    <row r="131" spans="1:26" ht="24.75" customHeight="1">
      <c r="A131" s="268"/>
      <c r="B131" s="268"/>
      <c r="C131" s="268"/>
      <c r="D131" s="268"/>
      <c r="E131" s="268"/>
      <c r="F131" s="268"/>
      <c r="G131" s="268"/>
      <c r="H131" s="268"/>
      <c r="I131" s="268"/>
      <c r="J131" s="268"/>
      <c r="K131" s="310"/>
      <c r="L131" s="268"/>
      <c r="M131" s="268"/>
      <c r="N131" s="268"/>
      <c r="O131" s="268"/>
      <c r="P131" s="268"/>
      <c r="Q131" s="268"/>
      <c r="R131" s="268"/>
      <c r="S131" s="268"/>
      <c r="T131" s="268"/>
      <c r="U131" s="268"/>
      <c r="V131" s="268"/>
      <c r="W131" s="268"/>
      <c r="X131" s="268"/>
      <c r="Y131" s="268"/>
      <c r="Z131" s="268"/>
    </row>
    <row r="132" spans="1:26" ht="24.75" customHeight="1">
      <c r="A132" s="268"/>
      <c r="B132" s="268"/>
      <c r="C132" s="268"/>
      <c r="D132" s="268"/>
      <c r="E132" s="268"/>
      <c r="F132" s="268"/>
      <c r="G132" s="268"/>
      <c r="H132" s="268"/>
      <c r="I132" s="268"/>
      <c r="J132" s="268"/>
      <c r="K132" s="310"/>
      <c r="L132" s="268"/>
      <c r="M132" s="268"/>
      <c r="N132" s="268"/>
      <c r="O132" s="268"/>
      <c r="P132" s="268"/>
      <c r="Q132" s="268"/>
      <c r="R132" s="268"/>
      <c r="S132" s="268"/>
      <c r="T132" s="268"/>
      <c r="U132" s="268"/>
      <c r="V132" s="268"/>
      <c r="W132" s="268"/>
      <c r="X132" s="268"/>
      <c r="Y132" s="268"/>
      <c r="Z132" s="268"/>
    </row>
    <row r="133" spans="1:26" ht="24.75" customHeight="1">
      <c r="A133" s="268"/>
      <c r="B133" s="268"/>
      <c r="C133" s="268"/>
      <c r="D133" s="268"/>
      <c r="E133" s="268"/>
      <c r="F133" s="268"/>
      <c r="G133" s="268"/>
      <c r="H133" s="268"/>
      <c r="I133" s="268"/>
      <c r="J133" s="268"/>
      <c r="K133" s="310"/>
      <c r="L133" s="268"/>
      <c r="M133" s="268"/>
      <c r="N133" s="268"/>
      <c r="O133" s="268"/>
      <c r="P133" s="268"/>
      <c r="Q133" s="268"/>
      <c r="R133" s="268"/>
      <c r="S133" s="268"/>
      <c r="T133" s="268"/>
      <c r="U133" s="268"/>
      <c r="V133" s="268"/>
      <c r="W133" s="268"/>
      <c r="X133" s="268"/>
      <c r="Y133" s="268"/>
      <c r="Z133" s="268"/>
    </row>
    <row r="134" spans="1:26" ht="24.75" customHeight="1">
      <c r="A134" s="268"/>
      <c r="B134" s="268"/>
      <c r="C134" s="268"/>
      <c r="D134" s="268"/>
      <c r="E134" s="268"/>
      <c r="F134" s="268"/>
      <c r="G134" s="268"/>
      <c r="H134" s="268"/>
      <c r="I134" s="268"/>
      <c r="J134" s="268"/>
      <c r="K134" s="310"/>
      <c r="L134" s="268"/>
      <c r="M134" s="268"/>
      <c r="N134" s="268"/>
      <c r="O134" s="268"/>
      <c r="P134" s="268"/>
      <c r="Q134" s="268"/>
      <c r="R134" s="268"/>
      <c r="S134" s="268"/>
      <c r="T134" s="268"/>
      <c r="U134" s="268"/>
      <c r="V134" s="268"/>
      <c r="W134" s="268"/>
      <c r="X134" s="268"/>
      <c r="Y134" s="268"/>
      <c r="Z134" s="268"/>
    </row>
    <row r="135" spans="1:26" ht="24.75" customHeight="1">
      <c r="A135" s="268"/>
      <c r="B135" s="268"/>
      <c r="C135" s="268"/>
      <c r="D135" s="268"/>
      <c r="E135" s="268"/>
      <c r="F135" s="268"/>
      <c r="G135" s="268"/>
      <c r="H135" s="268"/>
      <c r="I135" s="268"/>
      <c r="J135" s="268"/>
      <c r="K135" s="310"/>
      <c r="L135" s="268"/>
      <c r="M135" s="268"/>
      <c r="N135" s="268"/>
      <c r="O135" s="268"/>
      <c r="P135" s="268"/>
      <c r="Q135" s="268"/>
      <c r="R135" s="268"/>
      <c r="S135" s="268"/>
      <c r="T135" s="268"/>
      <c r="U135" s="268"/>
      <c r="V135" s="268"/>
      <c r="W135" s="268"/>
      <c r="X135" s="268"/>
      <c r="Y135" s="268"/>
      <c r="Z135" s="268"/>
    </row>
    <row r="136" spans="1:26" ht="24.75" customHeight="1">
      <c r="A136" s="268"/>
      <c r="B136" s="268"/>
      <c r="C136" s="268"/>
      <c r="D136" s="268"/>
      <c r="E136" s="268"/>
      <c r="F136" s="268"/>
      <c r="G136" s="268"/>
      <c r="H136" s="268"/>
      <c r="I136" s="268"/>
      <c r="J136" s="268"/>
      <c r="K136" s="310"/>
      <c r="L136" s="268"/>
      <c r="M136" s="268"/>
      <c r="N136" s="268"/>
      <c r="O136" s="268"/>
      <c r="P136" s="268"/>
      <c r="Q136" s="268"/>
      <c r="R136" s="268"/>
      <c r="S136" s="268"/>
      <c r="T136" s="268"/>
      <c r="U136" s="268"/>
      <c r="V136" s="268"/>
      <c r="W136" s="268"/>
      <c r="X136" s="268"/>
      <c r="Y136" s="268"/>
      <c r="Z136" s="268"/>
    </row>
    <row r="137" spans="1:26" ht="24.75" customHeight="1">
      <c r="A137" s="268"/>
      <c r="B137" s="268"/>
      <c r="C137" s="268"/>
      <c r="D137" s="268"/>
      <c r="E137" s="268"/>
      <c r="F137" s="268"/>
      <c r="G137" s="268"/>
      <c r="H137" s="268"/>
      <c r="I137" s="268"/>
      <c r="J137" s="268"/>
      <c r="K137" s="310"/>
      <c r="L137" s="268"/>
      <c r="M137" s="268"/>
      <c r="N137" s="268"/>
      <c r="O137" s="268"/>
      <c r="P137" s="268"/>
      <c r="Q137" s="268"/>
      <c r="R137" s="268"/>
      <c r="S137" s="268"/>
      <c r="T137" s="268"/>
      <c r="U137" s="268"/>
      <c r="V137" s="268"/>
      <c r="W137" s="268"/>
      <c r="X137" s="268"/>
      <c r="Y137" s="268"/>
      <c r="Z137" s="268"/>
    </row>
    <row r="138" spans="1:26" ht="24.75" customHeight="1">
      <c r="A138" s="268"/>
      <c r="B138" s="268"/>
      <c r="C138" s="268"/>
      <c r="D138" s="268"/>
      <c r="E138" s="268"/>
      <c r="F138" s="268"/>
      <c r="G138" s="268"/>
      <c r="H138" s="268"/>
      <c r="I138" s="268"/>
      <c r="J138" s="268"/>
      <c r="K138" s="310"/>
      <c r="L138" s="268"/>
      <c r="M138" s="268"/>
      <c r="N138" s="268"/>
      <c r="O138" s="268"/>
      <c r="P138" s="268"/>
      <c r="Q138" s="268"/>
      <c r="R138" s="268"/>
      <c r="S138" s="268"/>
      <c r="T138" s="268"/>
      <c r="U138" s="268"/>
      <c r="V138" s="268"/>
      <c r="W138" s="268"/>
      <c r="X138" s="268"/>
      <c r="Y138" s="268"/>
      <c r="Z138" s="268"/>
    </row>
    <row r="139" spans="1:26" ht="24.75" customHeight="1">
      <c r="A139" s="268"/>
      <c r="B139" s="268"/>
      <c r="C139" s="268"/>
      <c r="D139" s="268"/>
      <c r="E139" s="268"/>
      <c r="F139" s="268"/>
      <c r="G139" s="268"/>
      <c r="H139" s="268"/>
      <c r="I139" s="268"/>
      <c r="J139" s="268"/>
      <c r="K139" s="310"/>
      <c r="L139" s="268"/>
      <c r="M139" s="268"/>
      <c r="N139" s="268"/>
      <c r="O139" s="268"/>
      <c r="P139" s="268"/>
      <c r="Q139" s="268"/>
      <c r="R139" s="268"/>
      <c r="S139" s="268"/>
      <c r="T139" s="268"/>
      <c r="U139" s="268"/>
      <c r="V139" s="268"/>
      <c r="W139" s="268"/>
      <c r="X139" s="268"/>
      <c r="Y139" s="268"/>
      <c r="Z139" s="268"/>
    </row>
    <row r="140" spans="1:26" ht="24.75" customHeight="1">
      <c r="A140" s="268"/>
      <c r="B140" s="268"/>
      <c r="C140" s="268"/>
      <c r="D140" s="268"/>
      <c r="E140" s="268"/>
      <c r="F140" s="268"/>
      <c r="G140" s="268"/>
      <c r="H140" s="268"/>
      <c r="I140" s="268"/>
      <c r="J140" s="268"/>
      <c r="K140" s="310"/>
      <c r="L140" s="268"/>
      <c r="M140" s="268"/>
      <c r="N140" s="268"/>
      <c r="O140" s="268"/>
      <c r="P140" s="268"/>
      <c r="Q140" s="268"/>
      <c r="R140" s="268"/>
      <c r="S140" s="268"/>
      <c r="T140" s="268"/>
      <c r="U140" s="268"/>
      <c r="V140" s="268"/>
      <c r="W140" s="268"/>
      <c r="X140" s="268"/>
      <c r="Y140" s="268"/>
      <c r="Z140" s="268"/>
    </row>
    <row r="141" spans="1:26" ht="24.75" customHeight="1">
      <c r="A141" s="268"/>
      <c r="B141" s="268"/>
      <c r="C141" s="268"/>
      <c r="D141" s="268"/>
      <c r="E141" s="268"/>
      <c r="F141" s="268"/>
      <c r="G141" s="268"/>
      <c r="H141" s="268"/>
      <c r="I141" s="268"/>
      <c r="J141" s="268"/>
      <c r="K141" s="310"/>
      <c r="L141" s="268"/>
      <c r="M141" s="268"/>
      <c r="N141" s="268"/>
      <c r="O141" s="268"/>
      <c r="P141" s="268"/>
      <c r="Q141" s="268"/>
      <c r="R141" s="268"/>
      <c r="S141" s="268"/>
      <c r="T141" s="268"/>
      <c r="U141" s="268"/>
      <c r="V141" s="268"/>
      <c r="W141" s="268"/>
      <c r="X141" s="268"/>
      <c r="Y141" s="268"/>
      <c r="Z141" s="268"/>
    </row>
    <row r="142" spans="1:26" ht="24.75" customHeight="1">
      <c r="A142" s="268"/>
      <c r="B142" s="268"/>
      <c r="C142" s="268"/>
      <c r="D142" s="268"/>
      <c r="E142" s="268"/>
      <c r="F142" s="268"/>
      <c r="G142" s="268"/>
      <c r="H142" s="268"/>
      <c r="I142" s="268"/>
      <c r="J142" s="268"/>
      <c r="K142" s="310"/>
      <c r="L142" s="268"/>
      <c r="M142" s="268"/>
      <c r="N142" s="268"/>
      <c r="O142" s="268"/>
      <c r="P142" s="268"/>
      <c r="Q142" s="268"/>
      <c r="R142" s="268"/>
      <c r="S142" s="268"/>
      <c r="T142" s="268"/>
      <c r="U142" s="268"/>
      <c r="V142" s="268"/>
      <c r="W142" s="268"/>
      <c r="X142" s="268"/>
      <c r="Y142" s="268"/>
      <c r="Z142" s="268"/>
    </row>
    <row r="143" spans="1:26" ht="24.75" customHeight="1">
      <c r="A143" s="268"/>
      <c r="B143" s="268"/>
      <c r="C143" s="268"/>
      <c r="D143" s="268"/>
      <c r="E143" s="268"/>
      <c r="F143" s="268"/>
      <c r="G143" s="268"/>
      <c r="H143" s="268"/>
      <c r="I143" s="268"/>
      <c r="J143" s="268"/>
      <c r="K143" s="310"/>
      <c r="L143" s="268"/>
      <c r="M143" s="268"/>
      <c r="N143" s="268"/>
      <c r="O143" s="268"/>
      <c r="P143" s="268"/>
      <c r="Q143" s="268"/>
      <c r="R143" s="268"/>
      <c r="S143" s="268"/>
      <c r="T143" s="268"/>
      <c r="U143" s="268"/>
      <c r="V143" s="268"/>
      <c r="W143" s="268"/>
      <c r="X143" s="268"/>
      <c r="Y143" s="268"/>
      <c r="Z143" s="268"/>
    </row>
    <row r="144" spans="1:26" ht="24.75" customHeight="1">
      <c r="A144" s="268"/>
      <c r="B144" s="268"/>
      <c r="C144" s="268"/>
      <c r="D144" s="268"/>
      <c r="E144" s="268"/>
      <c r="F144" s="268"/>
      <c r="G144" s="268"/>
      <c r="H144" s="268"/>
      <c r="I144" s="268"/>
      <c r="J144" s="268"/>
      <c r="K144" s="310"/>
      <c r="L144" s="268"/>
      <c r="M144" s="268"/>
      <c r="N144" s="268"/>
      <c r="O144" s="268"/>
      <c r="P144" s="268"/>
      <c r="Q144" s="268"/>
      <c r="R144" s="268"/>
      <c r="S144" s="268"/>
      <c r="T144" s="268"/>
      <c r="U144" s="268"/>
      <c r="V144" s="268"/>
      <c r="W144" s="268"/>
      <c r="X144" s="268"/>
      <c r="Y144" s="268"/>
      <c r="Z144" s="268"/>
    </row>
    <row r="145" spans="1:26" ht="24.75" customHeight="1">
      <c r="A145" s="268"/>
      <c r="B145" s="268"/>
      <c r="C145" s="268"/>
      <c r="D145" s="268"/>
      <c r="E145" s="268"/>
      <c r="F145" s="268"/>
      <c r="G145" s="268"/>
      <c r="H145" s="268"/>
      <c r="I145" s="268"/>
      <c r="J145" s="268"/>
      <c r="K145" s="310"/>
      <c r="L145" s="268"/>
      <c r="M145" s="268"/>
      <c r="N145" s="268"/>
      <c r="O145" s="268"/>
      <c r="P145" s="268"/>
      <c r="Q145" s="268"/>
      <c r="R145" s="268"/>
      <c r="S145" s="268"/>
      <c r="T145" s="268"/>
      <c r="U145" s="268"/>
      <c r="V145" s="268"/>
      <c r="W145" s="268"/>
      <c r="X145" s="268"/>
      <c r="Y145" s="268"/>
      <c r="Z145" s="268"/>
    </row>
    <row r="146" spans="1:26" ht="24.75" customHeight="1">
      <c r="A146" s="268"/>
      <c r="B146" s="268"/>
      <c r="C146" s="268"/>
      <c r="D146" s="268"/>
      <c r="E146" s="268"/>
      <c r="F146" s="268"/>
      <c r="G146" s="268"/>
      <c r="H146" s="268"/>
      <c r="I146" s="268"/>
      <c r="J146" s="268"/>
      <c r="K146" s="310"/>
      <c r="L146" s="268"/>
      <c r="M146" s="268"/>
      <c r="N146" s="268"/>
      <c r="O146" s="268"/>
      <c r="P146" s="268"/>
      <c r="Q146" s="268"/>
      <c r="R146" s="268"/>
      <c r="S146" s="268"/>
      <c r="T146" s="268"/>
      <c r="U146" s="268"/>
      <c r="V146" s="268"/>
      <c r="W146" s="268"/>
      <c r="X146" s="268"/>
      <c r="Y146" s="268"/>
      <c r="Z146" s="268"/>
    </row>
    <row r="147" spans="1:26" ht="24.75" customHeight="1">
      <c r="A147" s="268"/>
      <c r="B147" s="268"/>
      <c r="C147" s="268"/>
      <c r="D147" s="268"/>
      <c r="E147" s="268"/>
      <c r="F147" s="268"/>
      <c r="G147" s="268"/>
      <c r="H147" s="268"/>
      <c r="I147" s="268"/>
      <c r="J147" s="268"/>
      <c r="K147" s="310"/>
      <c r="L147" s="268"/>
      <c r="M147" s="268"/>
      <c r="N147" s="268"/>
      <c r="O147" s="268"/>
      <c r="P147" s="268"/>
      <c r="Q147" s="268"/>
      <c r="R147" s="268"/>
      <c r="S147" s="268"/>
      <c r="T147" s="268"/>
      <c r="U147" s="268"/>
      <c r="V147" s="268"/>
      <c r="W147" s="268"/>
      <c r="X147" s="268"/>
      <c r="Y147" s="268"/>
      <c r="Z147" s="268"/>
    </row>
    <row r="148" spans="1:26" ht="24.75" customHeight="1">
      <c r="A148" s="268"/>
      <c r="B148" s="268"/>
      <c r="C148" s="268"/>
      <c r="D148" s="268"/>
      <c r="E148" s="268"/>
      <c r="F148" s="268"/>
      <c r="G148" s="268"/>
      <c r="H148" s="268"/>
      <c r="I148" s="268"/>
      <c r="J148" s="268"/>
      <c r="K148" s="310"/>
      <c r="L148" s="268"/>
      <c r="M148" s="268"/>
      <c r="N148" s="268"/>
      <c r="O148" s="268"/>
      <c r="P148" s="268"/>
      <c r="Q148" s="268"/>
      <c r="R148" s="268"/>
      <c r="S148" s="268"/>
      <c r="T148" s="268"/>
      <c r="U148" s="268"/>
      <c r="V148" s="268"/>
      <c r="W148" s="268"/>
      <c r="X148" s="268"/>
      <c r="Y148" s="268"/>
      <c r="Z148" s="268"/>
    </row>
    <row r="149" spans="1:26" ht="24.75" customHeight="1">
      <c r="A149" s="268"/>
      <c r="B149" s="268"/>
      <c r="C149" s="268"/>
      <c r="D149" s="268"/>
      <c r="E149" s="268"/>
      <c r="F149" s="268"/>
      <c r="G149" s="268"/>
      <c r="H149" s="268"/>
      <c r="I149" s="268"/>
      <c r="J149" s="268"/>
      <c r="K149" s="310"/>
      <c r="L149" s="268"/>
      <c r="M149" s="268"/>
      <c r="N149" s="268"/>
      <c r="O149" s="268"/>
      <c r="P149" s="268"/>
      <c r="Q149" s="268"/>
      <c r="R149" s="268"/>
      <c r="S149" s="268"/>
      <c r="T149" s="268"/>
      <c r="U149" s="268"/>
      <c r="V149" s="268"/>
      <c r="W149" s="268"/>
      <c r="X149" s="268"/>
      <c r="Y149" s="268"/>
      <c r="Z149" s="268"/>
    </row>
    <row r="150" spans="1:26" ht="24.75" customHeight="1">
      <c r="A150" s="268"/>
      <c r="B150" s="268"/>
      <c r="C150" s="268"/>
      <c r="D150" s="268"/>
      <c r="E150" s="268"/>
      <c r="F150" s="268"/>
      <c r="G150" s="268"/>
      <c r="H150" s="268"/>
      <c r="I150" s="268"/>
      <c r="J150" s="268"/>
      <c r="K150" s="310"/>
      <c r="L150" s="268"/>
      <c r="M150" s="268"/>
      <c r="N150" s="268"/>
      <c r="O150" s="268"/>
      <c r="P150" s="268"/>
      <c r="Q150" s="268"/>
      <c r="R150" s="268"/>
      <c r="S150" s="268"/>
      <c r="T150" s="268"/>
      <c r="U150" s="268"/>
      <c r="V150" s="268"/>
      <c r="W150" s="268"/>
      <c r="X150" s="268"/>
      <c r="Y150" s="268"/>
      <c r="Z150" s="268"/>
    </row>
    <row r="151" spans="1:26" ht="24.75" customHeight="1">
      <c r="A151" s="268"/>
      <c r="B151" s="268"/>
      <c r="C151" s="268"/>
      <c r="D151" s="268"/>
      <c r="E151" s="268"/>
      <c r="F151" s="268"/>
      <c r="G151" s="268"/>
      <c r="H151" s="268"/>
      <c r="I151" s="268"/>
      <c r="J151" s="268"/>
      <c r="K151" s="310"/>
      <c r="L151" s="268"/>
      <c r="M151" s="268"/>
      <c r="N151" s="268"/>
      <c r="O151" s="268"/>
      <c r="P151" s="268"/>
      <c r="Q151" s="268"/>
      <c r="R151" s="268"/>
      <c r="S151" s="268"/>
      <c r="T151" s="268"/>
      <c r="U151" s="268"/>
      <c r="V151" s="268"/>
      <c r="W151" s="268"/>
      <c r="X151" s="268"/>
      <c r="Y151" s="268"/>
      <c r="Z151" s="268"/>
    </row>
    <row r="152" spans="1:26" ht="24.75" customHeight="1">
      <c r="A152" s="268"/>
      <c r="B152" s="268"/>
      <c r="C152" s="268"/>
      <c r="D152" s="268"/>
      <c r="E152" s="268"/>
      <c r="F152" s="268"/>
      <c r="G152" s="268"/>
      <c r="H152" s="268"/>
      <c r="I152" s="268"/>
      <c r="J152" s="268"/>
      <c r="K152" s="310"/>
      <c r="L152" s="268"/>
      <c r="M152" s="268"/>
      <c r="N152" s="268"/>
      <c r="O152" s="268"/>
      <c r="P152" s="268"/>
      <c r="Q152" s="268"/>
      <c r="R152" s="268"/>
      <c r="S152" s="268"/>
      <c r="T152" s="268"/>
      <c r="U152" s="268"/>
      <c r="V152" s="268"/>
      <c r="W152" s="268"/>
      <c r="X152" s="268"/>
      <c r="Y152" s="268"/>
      <c r="Z152" s="268"/>
    </row>
    <row r="153" spans="1:26" ht="24.75" customHeight="1">
      <c r="A153" s="268"/>
      <c r="B153" s="268"/>
      <c r="C153" s="268"/>
      <c r="D153" s="268"/>
      <c r="E153" s="268"/>
      <c r="F153" s="268"/>
      <c r="G153" s="268"/>
      <c r="H153" s="268"/>
      <c r="I153" s="268"/>
      <c r="J153" s="268"/>
      <c r="K153" s="310"/>
      <c r="L153" s="268"/>
      <c r="M153" s="268"/>
      <c r="N153" s="268"/>
      <c r="O153" s="268"/>
      <c r="P153" s="268"/>
      <c r="Q153" s="268"/>
      <c r="R153" s="268"/>
      <c r="S153" s="268"/>
      <c r="T153" s="268"/>
      <c r="U153" s="268"/>
      <c r="V153" s="268"/>
      <c r="W153" s="268"/>
      <c r="X153" s="268"/>
      <c r="Y153" s="268"/>
      <c r="Z153" s="268"/>
    </row>
    <row r="154" spans="1:26" ht="24.75" customHeight="1">
      <c r="A154" s="268"/>
      <c r="B154" s="268"/>
      <c r="C154" s="268"/>
      <c r="D154" s="268"/>
      <c r="E154" s="268"/>
      <c r="F154" s="268"/>
      <c r="G154" s="268"/>
      <c r="H154" s="268"/>
      <c r="I154" s="268"/>
      <c r="J154" s="268"/>
      <c r="K154" s="310"/>
      <c r="L154" s="268"/>
      <c r="M154" s="268"/>
      <c r="N154" s="268"/>
      <c r="O154" s="268"/>
      <c r="P154" s="268"/>
      <c r="Q154" s="268"/>
      <c r="R154" s="268"/>
      <c r="S154" s="268"/>
      <c r="T154" s="268"/>
      <c r="U154" s="268"/>
      <c r="V154" s="268"/>
      <c r="W154" s="268"/>
      <c r="X154" s="268"/>
      <c r="Y154" s="268"/>
      <c r="Z154" s="268"/>
    </row>
    <row r="155" spans="1:26" ht="24.75" customHeight="1">
      <c r="A155" s="268"/>
      <c r="B155" s="268"/>
      <c r="C155" s="268"/>
      <c r="D155" s="268"/>
      <c r="E155" s="268"/>
      <c r="F155" s="268"/>
      <c r="G155" s="268"/>
      <c r="H155" s="268"/>
      <c r="I155" s="268"/>
      <c r="J155" s="268"/>
      <c r="K155" s="310"/>
      <c r="L155" s="268"/>
      <c r="M155" s="268"/>
      <c r="N155" s="268"/>
      <c r="O155" s="268"/>
      <c r="P155" s="268"/>
      <c r="Q155" s="268"/>
      <c r="R155" s="268"/>
      <c r="S155" s="268"/>
      <c r="T155" s="268"/>
      <c r="U155" s="268"/>
      <c r="V155" s="268"/>
      <c r="W155" s="268"/>
      <c r="X155" s="268"/>
      <c r="Y155" s="268"/>
      <c r="Z155" s="268"/>
    </row>
    <row r="156" spans="1:26" ht="24.75" customHeight="1">
      <c r="A156" s="268"/>
      <c r="B156" s="268"/>
      <c r="C156" s="268"/>
      <c r="D156" s="268"/>
      <c r="E156" s="268"/>
      <c r="F156" s="268"/>
      <c r="G156" s="268"/>
      <c r="H156" s="268"/>
      <c r="I156" s="268"/>
      <c r="J156" s="268"/>
      <c r="K156" s="310"/>
      <c r="L156" s="268"/>
      <c r="M156" s="268"/>
      <c r="N156" s="268"/>
      <c r="O156" s="268"/>
      <c r="P156" s="268"/>
      <c r="Q156" s="268"/>
      <c r="R156" s="268"/>
      <c r="S156" s="268"/>
      <c r="T156" s="268"/>
      <c r="U156" s="268"/>
      <c r="V156" s="268"/>
      <c r="W156" s="268"/>
      <c r="X156" s="268"/>
      <c r="Y156" s="268"/>
      <c r="Z156" s="268"/>
    </row>
    <row r="157" spans="1:26" ht="24.75" customHeight="1">
      <c r="A157" s="268"/>
      <c r="B157" s="268"/>
      <c r="C157" s="268"/>
      <c r="D157" s="268"/>
      <c r="E157" s="268"/>
      <c r="F157" s="268"/>
      <c r="G157" s="268"/>
      <c r="H157" s="268"/>
      <c r="I157" s="268"/>
      <c r="J157" s="268"/>
      <c r="K157" s="310"/>
      <c r="L157" s="268"/>
      <c r="M157" s="268"/>
      <c r="N157" s="268"/>
      <c r="O157" s="268"/>
      <c r="P157" s="268"/>
      <c r="Q157" s="268"/>
      <c r="R157" s="268"/>
      <c r="S157" s="268"/>
      <c r="T157" s="268"/>
      <c r="U157" s="268"/>
      <c r="V157" s="268"/>
      <c r="W157" s="268"/>
      <c r="X157" s="268"/>
      <c r="Y157" s="268"/>
      <c r="Z157" s="268"/>
    </row>
    <row r="158" spans="1:26" ht="24.75" customHeight="1">
      <c r="A158" s="268"/>
      <c r="B158" s="268"/>
      <c r="C158" s="268"/>
      <c r="D158" s="268"/>
      <c r="E158" s="268"/>
      <c r="F158" s="268"/>
      <c r="G158" s="268"/>
      <c r="H158" s="268"/>
      <c r="I158" s="268"/>
      <c r="J158" s="268"/>
      <c r="K158" s="310"/>
      <c r="L158" s="268"/>
      <c r="M158" s="268"/>
      <c r="N158" s="268"/>
      <c r="O158" s="268"/>
      <c r="P158" s="268"/>
      <c r="Q158" s="268"/>
      <c r="R158" s="268"/>
      <c r="S158" s="268"/>
      <c r="T158" s="268"/>
      <c r="U158" s="268"/>
      <c r="V158" s="268"/>
      <c r="W158" s="268"/>
      <c r="X158" s="268"/>
      <c r="Y158" s="268"/>
      <c r="Z158" s="268"/>
    </row>
    <row r="159" spans="1:26" ht="24.75" customHeight="1">
      <c r="A159" s="268"/>
      <c r="B159" s="268"/>
      <c r="C159" s="268"/>
      <c r="D159" s="268"/>
      <c r="E159" s="268"/>
      <c r="F159" s="268"/>
      <c r="G159" s="268"/>
      <c r="H159" s="268"/>
      <c r="I159" s="268"/>
      <c r="J159" s="268"/>
      <c r="K159" s="310"/>
      <c r="L159" s="268"/>
      <c r="M159" s="268"/>
      <c r="N159" s="268"/>
      <c r="O159" s="268"/>
      <c r="P159" s="268"/>
      <c r="Q159" s="268"/>
      <c r="R159" s="268"/>
      <c r="S159" s="268"/>
      <c r="T159" s="268"/>
      <c r="U159" s="268"/>
      <c r="V159" s="268"/>
      <c r="W159" s="268"/>
      <c r="X159" s="268"/>
      <c r="Y159" s="268"/>
      <c r="Z159" s="268"/>
    </row>
    <row r="160" spans="1:26" ht="24.75" customHeight="1">
      <c r="A160" s="268"/>
      <c r="B160" s="268"/>
      <c r="C160" s="268"/>
      <c r="D160" s="268"/>
      <c r="E160" s="268"/>
      <c r="F160" s="268"/>
      <c r="G160" s="268"/>
      <c r="H160" s="268"/>
      <c r="I160" s="268"/>
      <c r="J160" s="268"/>
      <c r="K160" s="310"/>
      <c r="L160" s="268"/>
      <c r="M160" s="268"/>
      <c r="N160" s="268"/>
      <c r="O160" s="268"/>
      <c r="P160" s="268"/>
      <c r="Q160" s="268"/>
      <c r="R160" s="268"/>
      <c r="S160" s="268"/>
      <c r="T160" s="268"/>
      <c r="U160" s="268"/>
      <c r="V160" s="268"/>
      <c r="W160" s="268"/>
      <c r="X160" s="268"/>
      <c r="Y160" s="268"/>
      <c r="Z160" s="268"/>
    </row>
    <row r="161" spans="1:26" ht="24.75" customHeight="1">
      <c r="A161" s="268"/>
      <c r="B161" s="268"/>
      <c r="C161" s="268"/>
      <c r="D161" s="268"/>
      <c r="E161" s="268"/>
      <c r="F161" s="268"/>
      <c r="G161" s="268"/>
      <c r="H161" s="268"/>
      <c r="I161" s="268"/>
      <c r="J161" s="268"/>
      <c r="K161" s="310"/>
      <c r="L161" s="268"/>
      <c r="M161" s="268"/>
      <c r="N161" s="268"/>
      <c r="O161" s="268"/>
      <c r="P161" s="268"/>
      <c r="Q161" s="268"/>
      <c r="R161" s="268"/>
      <c r="S161" s="268"/>
      <c r="T161" s="268"/>
      <c r="U161" s="268"/>
      <c r="V161" s="268"/>
      <c r="W161" s="268"/>
      <c r="X161" s="268"/>
      <c r="Y161" s="268"/>
      <c r="Z161" s="268"/>
    </row>
    <row r="162" spans="1:26" ht="24.75" customHeight="1">
      <c r="A162" s="268"/>
      <c r="B162" s="268"/>
      <c r="C162" s="268"/>
      <c r="D162" s="268"/>
      <c r="E162" s="268"/>
      <c r="F162" s="268"/>
      <c r="G162" s="268"/>
      <c r="H162" s="268"/>
      <c r="I162" s="268"/>
      <c r="J162" s="268"/>
      <c r="K162" s="310"/>
      <c r="L162" s="268"/>
      <c r="M162" s="268"/>
      <c r="N162" s="268"/>
      <c r="O162" s="268"/>
      <c r="P162" s="268"/>
      <c r="Q162" s="268"/>
      <c r="R162" s="268"/>
      <c r="S162" s="268"/>
      <c r="T162" s="268"/>
      <c r="U162" s="268"/>
      <c r="V162" s="268"/>
      <c r="W162" s="268"/>
      <c r="X162" s="268"/>
      <c r="Y162" s="268"/>
      <c r="Z162" s="268"/>
    </row>
    <row r="163" spans="1:26" ht="24.75" customHeight="1">
      <c r="A163" s="268"/>
      <c r="B163" s="268"/>
      <c r="C163" s="268"/>
      <c r="D163" s="268"/>
      <c r="E163" s="268"/>
      <c r="F163" s="268"/>
      <c r="G163" s="268"/>
      <c r="H163" s="268"/>
      <c r="I163" s="268"/>
      <c r="J163" s="268"/>
      <c r="K163" s="310"/>
      <c r="L163" s="268"/>
      <c r="M163" s="268"/>
      <c r="N163" s="268"/>
      <c r="O163" s="268"/>
      <c r="P163" s="268"/>
      <c r="Q163" s="268"/>
      <c r="R163" s="268"/>
      <c r="S163" s="268"/>
      <c r="T163" s="268"/>
      <c r="U163" s="268"/>
      <c r="V163" s="268"/>
      <c r="W163" s="268"/>
      <c r="X163" s="268"/>
      <c r="Y163" s="268"/>
      <c r="Z163" s="268"/>
    </row>
    <row r="164" spans="1:26" ht="24.75" customHeight="1">
      <c r="A164" s="268"/>
      <c r="B164" s="268"/>
      <c r="C164" s="268"/>
      <c r="D164" s="268"/>
      <c r="E164" s="268"/>
      <c r="F164" s="268"/>
      <c r="G164" s="268"/>
      <c r="H164" s="268"/>
      <c r="I164" s="268"/>
      <c r="J164" s="268"/>
      <c r="K164" s="310"/>
      <c r="L164" s="268"/>
      <c r="M164" s="268"/>
      <c r="N164" s="268"/>
      <c r="O164" s="268"/>
      <c r="P164" s="268"/>
      <c r="Q164" s="268"/>
      <c r="R164" s="268"/>
      <c r="S164" s="268"/>
      <c r="T164" s="268"/>
      <c r="U164" s="268"/>
      <c r="V164" s="268"/>
      <c r="W164" s="268"/>
      <c r="X164" s="268"/>
      <c r="Y164" s="268"/>
      <c r="Z164" s="268"/>
    </row>
    <row r="165" spans="1:26" ht="24.75" customHeight="1">
      <c r="A165" s="268"/>
      <c r="B165" s="268"/>
      <c r="C165" s="268"/>
      <c r="D165" s="268"/>
      <c r="E165" s="268"/>
      <c r="F165" s="268"/>
      <c r="G165" s="268"/>
      <c r="H165" s="268"/>
      <c r="I165" s="268"/>
      <c r="J165" s="268"/>
      <c r="K165" s="310"/>
      <c r="L165" s="268"/>
      <c r="M165" s="268"/>
      <c r="N165" s="268"/>
      <c r="O165" s="268"/>
      <c r="P165" s="268"/>
      <c r="Q165" s="268"/>
      <c r="R165" s="268"/>
      <c r="S165" s="268"/>
      <c r="T165" s="268"/>
      <c r="U165" s="268"/>
      <c r="V165" s="268"/>
      <c r="W165" s="268"/>
      <c r="X165" s="268"/>
      <c r="Y165" s="268"/>
      <c r="Z165" s="268"/>
    </row>
    <row r="166" spans="1:26" ht="24.75" customHeight="1">
      <c r="A166" s="268"/>
      <c r="B166" s="268"/>
      <c r="C166" s="268"/>
      <c r="D166" s="268"/>
      <c r="E166" s="268"/>
      <c r="F166" s="268"/>
      <c r="G166" s="268"/>
      <c r="H166" s="268"/>
      <c r="I166" s="268"/>
      <c r="J166" s="268"/>
      <c r="K166" s="310"/>
      <c r="L166" s="268"/>
      <c r="M166" s="268"/>
      <c r="N166" s="268"/>
      <c r="O166" s="268"/>
      <c r="P166" s="268"/>
      <c r="Q166" s="268"/>
      <c r="R166" s="268"/>
      <c r="S166" s="268"/>
      <c r="T166" s="268"/>
      <c r="U166" s="268"/>
      <c r="V166" s="268"/>
      <c r="W166" s="268"/>
      <c r="X166" s="268"/>
      <c r="Y166" s="268"/>
      <c r="Z166" s="268"/>
    </row>
    <row r="167" spans="1:26" ht="24.75" customHeight="1">
      <c r="A167" s="268"/>
      <c r="B167" s="268"/>
      <c r="C167" s="268"/>
      <c r="D167" s="268"/>
      <c r="E167" s="268"/>
      <c r="F167" s="268"/>
      <c r="G167" s="268"/>
      <c r="H167" s="268"/>
      <c r="I167" s="268"/>
      <c r="J167" s="268"/>
      <c r="K167" s="310"/>
      <c r="L167" s="268"/>
      <c r="M167" s="268"/>
      <c r="N167" s="268"/>
      <c r="O167" s="268"/>
      <c r="P167" s="268"/>
      <c r="Q167" s="268"/>
      <c r="R167" s="268"/>
      <c r="S167" s="268"/>
      <c r="T167" s="268"/>
      <c r="U167" s="268"/>
      <c r="V167" s="268"/>
      <c r="W167" s="268"/>
      <c r="X167" s="268"/>
      <c r="Y167" s="268"/>
      <c r="Z167" s="268"/>
    </row>
    <row r="168" spans="1:26" ht="24.75" customHeight="1">
      <c r="A168" s="268"/>
      <c r="B168" s="268"/>
      <c r="C168" s="268"/>
      <c r="D168" s="268"/>
      <c r="E168" s="268"/>
      <c r="F168" s="268"/>
      <c r="G168" s="268"/>
      <c r="H168" s="268"/>
      <c r="I168" s="268"/>
      <c r="J168" s="268"/>
      <c r="K168" s="310"/>
      <c r="L168" s="268"/>
      <c r="M168" s="268"/>
      <c r="N168" s="268"/>
      <c r="O168" s="268"/>
      <c r="P168" s="268"/>
      <c r="Q168" s="268"/>
      <c r="R168" s="268"/>
      <c r="S168" s="268"/>
      <c r="T168" s="268"/>
      <c r="U168" s="268"/>
      <c r="V168" s="268"/>
      <c r="W168" s="268"/>
      <c r="X168" s="268"/>
      <c r="Y168" s="268"/>
      <c r="Z168" s="268"/>
    </row>
    <row r="169" spans="1:26" ht="24.75" customHeight="1">
      <c r="A169" s="268"/>
      <c r="B169" s="268"/>
      <c r="C169" s="268"/>
      <c r="D169" s="268"/>
      <c r="E169" s="268"/>
      <c r="F169" s="268"/>
      <c r="G169" s="268"/>
      <c r="H169" s="268"/>
      <c r="I169" s="268"/>
      <c r="J169" s="268"/>
      <c r="K169" s="310"/>
      <c r="L169" s="268"/>
      <c r="M169" s="268"/>
      <c r="N169" s="268"/>
      <c r="O169" s="268"/>
      <c r="P169" s="268"/>
      <c r="Q169" s="268"/>
      <c r="R169" s="268"/>
      <c r="S169" s="268"/>
      <c r="T169" s="268"/>
      <c r="U169" s="268"/>
      <c r="V169" s="268"/>
      <c r="W169" s="268"/>
      <c r="X169" s="268"/>
      <c r="Y169" s="268"/>
      <c r="Z169" s="268"/>
    </row>
    <row r="170" spans="1:26" ht="24.75" customHeight="1">
      <c r="A170" s="268"/>
      <c r="B170" s="268"/>
      <c r="C170" s="268"/>
      <c r="D170" s="268"/>
      <c r="E170" s="268"/>
      <c r="F170" s="268"/>
      <c r="G170" s="268"/>
      <c r="H170" s="268"/>
      <c r="I170" s="268"/>
      <c r="J170" s="268"/>
      <c r="K170" s="310"/>
      <c r="L170" s="268"/>
      <c r="M170" s="268"/>
      <c r="N170" s="268"/>
      <c r="O170" s="268"/>
      <c r="P170" s="268"/>
      <c r="Q170" s="268"/>
      <c r="R170" s="268"/>
      <c r="S170" s="268"/>
      <c r="T170" s="268"/>
      <c r="U170" s="268"/>
      <c r="V170" s="268"/>
      <c r="W170" s="268"/>
      <c r="X170" s="268"/>
      <c r="Y170" s="268"/>
      <c r="Z170" s="268"/>
    </row>
    <row r="171" spans="1:26" ht="24.75" customHeight="1">
      <c r="A171" s="268"/>
      <c r="B171" s="268"/>
      <c r="C171" s="268"/>
      <c r="D171" s="268"/>
      <c r="E171" s="268"/>
      <c r="F171" s="268"/>
      <c r="G171" s="268"/>
      <c r="H171" s="268"/>
      <c r="I171" s="268"/>
      <c r="J171" s="268"/>
      <c r="K171" s="310"/>
      <c r="L171" s="268"/>
      <c r="M171" s="268"/>
      <c r="N171" s="268"/>
      <c r="O171" s="268"/>
      <c r="P171" s="268"/>
      <c r="Q171" s="268"/>
      <c r="R171" s="268"/>
      <c r="S171" s="268"/>
      <c r="T171" s="268"/>
      <c r="U171" s="268"/>
      <c r="V171" s="268"/>
      <c r="W171" s="268"/>
      <c r="X171" s="268"/>
      <c r="Y171" s="268"/>
      <c r="Z171" s="268"/>
    </row>
    <row r="172" spans="1:26" ht="24.75" customHeight="1">
      <c r="A172" s="268"/>
      <c r="B172" s="268"/>
      <c r="C172" s="268"/>
      <c r="D172" s="268"/>
      <c r="E172" s="268"/>
      <c r="F172" s="268"/>
      <c r="G172" s="268"/>
      <c r="H172" s="268"/>
      <c r="I172" s="268"/>
      <c r="J172" s="268"/>
      <c r="K172" s="310"/>
      <c r="L172" s="268"/>
      <c r="M172" s="268"/>
      <c r="N172" s="268"/>
      <c r="O172" s="268"/>
      <c r="P172" s="268"/>
      <c r="Q172" s="268"/>
      <c r="R172" s="268"/>
      <c r="S172" s="268"/>
      <c r="T172" s="268"/>
      <c r="U172" s="268"/>
      <c r="V172" s="268"/>
      <c r="W172" s="268"/>
      <c r="X172" s="268"/>
      <c r="Y172" s="268"/>
      <c r="Z172" s="268"/>
    </row>
    <row r="173" spans="1:26" ht="24.75" customHeight="1">
      <c r="A173" s="268"/>
      <c r="B173" s="268"/>
      <c r="C173" s="268"/>
      <c r="D173" s="268"/>
      <c r="E173" s="268"/>
      <c r="F173" s="268"/>
      <c r="G173" s="268"/>
      <c r="H173" s="268"/>
      <c r="I173" s="268"/>
      <c r="J173" s="268"/>
      <c r="K173" s="310"/>
      <c r="L173" s="268"/>
      <c r="M173" s="268"/>
      <c r="N173" s="268"/>
      <c r="O173" s="268"/>
      <c r="P173" s="268"/>
      <c r="Q173" s="268"/>
      <c r="R173" s="268"/>
      <c r="S173" s="268"/>
      <c r="T173" s="268"/>
      <c r="U173" s="268"/>
      <c r="V173" s="268"/>
      <c r="W173" s="268"/>
      <c r="X173" s="268"/>
      <c r="Y173" s="268"/>
      <c r="Z173" s="268"/>
    </row>
    <row r="174" spans="1:26" ht="24.75" customHeight="1">
      <c r="A174" s="268"/>
      <c r="B174" s="268"/>
      <c r="C174" s="268"/>
      <c r="D174" s="268"/>
      <c r="E174" s="268"/>
      <c r="F174" s="268"/>
      <c r="G174" s="268"/>
      <c r="H174" s="268"/>
      <c r="I174" s="268"/>
      <c r="J174" s="268"/>
      <c r="K174" s="310"/>
      <c r="L174" s="268"/>
      <c r="M174" s="268"/>
      <c r="N174" s="268"/>
      <c r="O174" s="268"/>
      <c r="P174" s="268"/>
      <c r="Q174" s="268"/>
      <c r="R174" s="268"/>
      <c r="S174" s="268"/>
      <c r="T174" s="268"/>
      <c r="U174" s="268"/>
      <c r="V174" s="268"/>
      <c r="W174" s="268"/>
      <c r="X174" s="268"/>
      <c r="Y174" s="268"/>
      <c r="Z174" s="268"/>
    </row>
    <row r="175" spans="1:26" ht="24.75" customHeight="1">
      <c r="A175" s="268"/>
      <c r="B175" s="268"/>
      <c r="C175" s="268"/>
      <c r="D175" s="268"/>
      <c r="E175" s="268"/>
      <c r="F175" s="268"/>
      <c r="G175" s="268"/>
      <c r="H175" s="268"/>
      <c r="I175" s="268"/>
      <c r="J175" s="268"/>
      <c r="K175" s="310"/>
      <c r="L175" s="268"/>
      <c r="M175" s="268"/>
      <c r="N175" s="268"/>
      <c r="O175" s="268"/>
      <c r="P175" s="268"/>
      <c r="Q175" s="268"/>
      <c r="R175" s="268"/>
      <c r="S175" s="268"/>
      <c r="T175" s="268"/>
      <c r="U175" s="268"/>
      <c r="V175" s="268"/>
      <c r="W175" s="268"/>
      <c r="X175" s="268"/>
      <c r="Y175" s="268"/>
      <c r="Z175" s="268"/>
    </row>
    <row r="176" spans="1:26" ht="24.75" customHeight="1">
      <c r="A176" s="268"/>
      <c r="B176" s="268"/>
      <c r="C176" s="268"/>
      <c r="D176" s="268"/>
      <c r="E176" s="268"/>
      <c r="F176" s="268"/>
      <c r="G176" s="268"/>
      <c r="H176" s="268"/>
      <c r="I176" s="268"/>
      <c r="J176" s="268"/>
      <c r="K176" s="310"/>
      <c r="L176" s="268"/>
      <c r="M176" s="268"/>
      <c r="N176" s="268"/>
      <c r="O176" s="268"/>
      <c r="P176" s="268"/>
      <c r="Q176" s="268"/>
      <c r="R176" s="268"/>
      <c r="S176" s="268"/>
      <c r="T176" s="268"/>
      <c r="U176" s="268"/>
      <c r="V176" s="268"/>
      <c r="W176" s="268"/>
      <c r="X176" s="268"/>
      <c r="Y176" s="268"/>
      <c r="Z176" s="268"/>
    </row>
    <row r="177" spans="1:26" ht="24.75" customHeight="1">
      <c r="A177" s="268"/>
      <c r="B177" s="268"/>
      <c r="C177" s="268"/>
      <c r="D177" s="268"/>
      <c r="E177" s="268"/>
      <c r="F177" s="268"/>
      <c r="G177" s="268"/>
      <c r="H177" s="268"/>
      <c r="I177" s="268"/>
      <c r="J177" s="268"/>
      <c r="K177" s="310"/>
      <c r="L177" s="268"/>
      <c r="M177" s="268"/>
      <c r="N177" s="268"/>
      <c r="O177" s="268"/>
      <c r="P177" s="268"/>
      <c r="Q177" s="268"/>
      <c r="R177" s="268"/>
      <c r="S177" s="268"/>
      <c r="T177" s="268"/>
      <c r="U177" s="268"/>
      <c r="V177" s="268"/>
      <c r="W177" s="268"/>
      <c r="X177" s="268"/>
      <c r="Y177" s="268"/>
      <c r="Z177" s="268"/>
    </row>
    <row r="178" spans="1:26" ht="24.75" customHeight="1">
      <c r="A178" s="268"/>
      <c r="B178" s="268"/>
      <c r="C178" s="268"/>
      <c r="D178" s="268"/>
      <c r="E178" s="268"/>
      <c r="F178" s="268"/>
      <c r="G178" s="268"/>
      <c r="H178" s="268"/>
      <c r="I178" s="268"/>
      <c r="J178" s="268"/>
      <c r="K178" s="310"/>
      <c r="L178" s="268"/>
      <c r="M178" s="268"/>
      <c r="N178" s="268"/>
      <c r="O178" s="268"/>
      <c r="P178" s="268"/>
      <c r="Q178" s="268"/>
      <c r="R178" s="268"/>
      <c r="S178" s="268"/>
      <c r="T178" s="268"/>
      <c r="U178" s="268"/>
      <c r="V178" s="268"/>
      <c r="W178" s="268"/>
      <c r="X178" s="268"/>
      <c r="Y178" s="268"/>
      <c r="Z178" s="268"/>
    </row>
    <row r="179" spans="1:26" ht="24.75" customHeight="1">
      <c r="A179" s="268"/>
      <c r="B179" s="268"/>
      <c r="C179" s="268"/>
      <c r="D179" s="268"/>
      <c r="E179" s="268"/>
      <c r="F179" s="268"/>
      <c r="G179" s="268"/>
      <c r="H179" s="268"/>
      <c r="I179" s="268"/>
      <c r="J179" s="268"/>
      <c r="K179" s="310"/>
      <c r="L179" s="268"/>
      <c r="M179" s="268"/>
      <c r="N179" s="268"/>
      <c r="O179" s="268"/>
      <c r="P179" s="268"/>
      <c r="Q179" s="268"/>
      <c r="R179" s="268"/>
      <c r="S179" s="268"/>
      <c r="T179" s="268"/>
      <c r="U179" s="268"/>
      <c r="V179" s="268"/>
      <c r="W179" s="268"/>
      <c r="X179" s="268"/>
      <c r="Y179" s="268"/>
      <c r="Z179" s="268"/>
    </row>
    <row r="180" spans="1:26" ht="24.75" customHeight="1">
      <c r="A180" s="268"/>
      <c r="B180" s="268"/>
      <c r="C180" s="268"/>
      <c r="D180" s="268"/>
      <c r="E180" s="268"/>
      <c r="F180" s="268"/>
      <c r="G180" s="268"/>
      <c r="H180" s="268"/>
      <c r="I180" s="268"/>
      <c r="J180" s="268"/>
      <c r="K180" s="310"/>
      <c r="L180" s="268"/>
      <c r="M180" s="268"/>
      <c r="N180" s="268"/>
      <c r="O180" s="268"/>
      <c r="P180" s="268"/>
      <c r="Q180" s="268"/>
      <c r="R180" s="268"/>
      <c r="S180" s="268"/>
      <c r="T180" s="268"/>
      <c r="U180" s="268"/>
      <c r="V180" s="268"/>
      <c r="W180" s="268"/>
      <c r="X180" s="268"/>
      <c r="Y180" s="268"/>
      <c r="Z180" s="268"/>
    </row>
    <row r="181" spans="1:26" ht="24.75" customHeight="1">
      <c r="A181" s="268"/>
      <c r="B181" s="268"/>
      <c r="C181" s="268"/>
      <c r="D181" s="268"/>
      <c r="E181" s="268"/>
      <c r="F181" s="268"/>
      <c r="G181" s="268"/>
      <c r="H181" s="268"/>
      <c r="I181" s="268"/>
      <c r="J181" s="268"/>
      <c r="K181" s="310"/>
      <c r="L181" s="268"/>
      <c r="M181" s="268"/>
      <c r="N181" s="268"/>
      <c r="O181" s="268"/>
      <c r="P181" s="268"/>
      <c r="Q181" s="268"/>
      <c r="R181" s="268"/>
      <c r="S181" s="268"/>
      <c r="T181" s="268"/>
      <c r="U181" s="268"/>
      <c r="V181" s="268"/>
      <c r="W181" s="268"/>
      <c r="X181" s="268"/>
      <c r="Y181" s="268"/>
      <c r="Z181" s="268"/>
    </row>
    <row r="182" spans="1:26" ht="24.75" customHeight="1">
      <c r="A182" s="268"/>
      <c r="B182" s="268"/>
      <c r="C182" s="268"/>
      <c r="D182" s="268"/>
      <c r="E182" s="268"/>
      <c r="F182" s="268"/>
      <c r="G182" s="268"/>
      <c r="H182" s="268"/>
      <c r="I182" s="268"/>
      <c r="J182" s="268"/>
      <c r="K182" s="310"/>
      <c r="L182" s="268"/>
      <c r="M182" s="268"/>
      <c r="N182" s="268"/>
      <c r="O182" s="268"/>
      <c r="P182" s="268"/>
      <c r="Q182" s="268"/>
      <c r="R182" s="268"/>
      <c r="S182" s="268"/>
      <c r="T182" s="268"/>
      <c r="U182" s="268"/>
      <c r="V182" s="268"/>
      <c r="W182" s="268"/>
      <c r="X182" s="268"/>
      <c r="Y182" s="268"/>
      <c r="Z182" s="268"/>
    </row>
    <row r="183" spans="1:26" ht="24.75" customHeight="1">
      <c r="A183" s="268"/>
      <c r="B183" s="268"/>
      <c r="C183" s="268"/>
      <c r="D183" s="268"/>
      <c r="E183" s="268"/>
      <c r="F183" s="268"/>
      <c r="G183" s="268"/>
      <c r="H183" s="268"/>
      <c r="I183" s="268"/>
      <c r="J183" s="268"/>
      <c r="K183" s="310"/>
      <c r="L183" s="268"/>
      <c r="M183" s="268"/>
      <c r="N183" s="268"/>
      <c r="O183" s="268"/>
      <c r="P183" s="268"/>
      <c r="Q183" s="268"/>
      <c r="R183" s="268"/>
      <c r="S183" s="268"/>
      <c r="T183" s="268"/>
      <c r="U183" s="268"/>
      <c r="V183" s="268"/>
      <c r="W183" s="268"/>
      <c r="X183" s="268"/>
      <c r="Y183" s="268"/>
      <c r="Z183" s="268"/>
    </row>
    <row r="184" spans="1:26" ht="24.75" customHeight="1">
      <c r="A184" s="268"/>
      <c r="B184" s="268"/>
      <c r="C184" s="268"/>
      <c r="D184" s="268"/>
      <c r="E184" s="268"/>
      <c r="F184" s="268"/>
      <c r="G184" s="268"/>
      <c r="H184" s="268"/>
      <c r="I184" s="268"/>
      <c r="J184" s="268"/>
      <c r="K184" s="310"/>
      <c r="L184" s="268"/>
      <c r="M184" s="268"/>
      <c r="N184" s="268"/>
      <c r="O184" s="268"/>
      <c r="P184" s="268"/>
      <c r="Q184" s="268"/>
      <c r="R184" s="268"/>
      <c r="S184" s="268"/>
      <c r="T184" s="268"/>
      <c r="U184" s="268"/>
      <c r="V184" s="268"/>
      <c r="W184" s="268"/>
      <c r="X184" s="268"/>
      <c r="Y184" s="268"/>
      <c r="Z184" s="268"/>
    </row>
    <row r="185" spans="1:26" ht="24.75" customHeight="1">
      <c r="A185" s="268"/>
      <c r="B185" s="268"/>
      <c r="C185" s="268"/>
      <c r="D185" s="268"/>
      <c r="E185" s="268"/>
      <c r="F185" s="268"/>
      <c r="G185" s="268"/>
      <c r="H185" s="268"/>
      <c r="I185" s="268"/>
      <c r="J185" s="268"/>
      <c r="K185" s="310"/>
      <c r="L185" s="268"/>
      <c r="M185" s="268"/>
      <c r="N185" s="268"/>
      <c r="O185" s="268"/>
      <c r="P185" s="268"/>
      <c r="Q185" s="268"/>
      <c r="R185" s="268"/>
      <c r="S185" s="268"/>
      <c r="T185" s="268"/>
      <c r="U185" s="268"/>
      <c r="V185" s="268"/>
      <c r="W185" s="268"/>
      <c r="X185" s="268"/>
      <c r="Y185" s="268"/>
      <c r="Z185" s="268"/>
    </row>
    <row r="186" spans="1:26" ht="24.75" customHeight="1">
      <c r="A186" s="268"/>
      <c r="B186" s="268"/>
      <c r="C186" s="268"/>
      <c r="D186" s="268"/>
      <c r="E186" s="268"/>
      <c r="F186" s="268"/>
      <c r="G186" s="268"/>
      <c r="H186" s="268"/>
      <c r="I186" s="268"/>
      <c r="J186" s="268"/>
      <c r="K186" s="310"/>
      <c r="L186" s="268"/>
      <c r="M186" s="268"/>
      <c r="N186" s="268"/>
      <c r="O186" s="268"/>
      <c r="P186" s="268"/>
      <c r="Q186" s="268"/>
      <c r="R186" s="268"/>
      <c r="S186" s="268"/>
      <c r="T186" s="268"/>
      <c r="U186" s="268"/>
      <c r="V186" s="268"/>
      <c r="W186" s="268"/>
      <c r="X186" s="268"/>
      <c r="Y186" s="268"/>
      <c r="Z186" s="268"/>
    </row>
    <row r="187" spans="1:26" ht="24.75" customHeight="1">
      <c r="A187" s="268"/>
      <c r="B187" s="268"/>
      <c r="C187" s="268"/>
      <c r="D187" s="268"/>
      <c r="E187" s="268"/>
      <c r="F187" s="268"/>
      <c r="G187" s="268"/>
      <c r="H187" s="268"/>
      <c r="I187" s="268"/>
      <c r="J187" s="268"/>
      <c r="K187" s="310"/>
      <c r="L187" s="268"/>
      <c r="M187" s="268"/>
      <c r="N187" s="268"/>
      <c r="O187" s="268"/>
      <c r="P187" s="268"/>
      <c r="Q187" s="268"/>
      <c r="R187" s="268"/>
      <c r="S187" s="268"/>
      <c r="T187" s="268"/>
      <c r="U187" s="268"/>
      <c r="V187" s="268"/>
      <c r="W187" s="268"/>
      <c r="X187" s="268"/>
      <c r="Y187" s="268"/>
      <c r="Z187" s="268"/>
    </row>
    <row r="188" spans="1:26" ht="24.75" customHeight="1">
      <c r="A188" s="268"/>
      <c r="B188" s="268"/>
      <c r="C188" s="268"/>
      <c r="D188" s="268"/>
      <c r="E188" s="268"/>
      <c r="F188" s="268"/>
      <c r="G188" s="268"/>
      <c r="H188" s="268"/>
      <c r="I188" s="268"/>
      <c r="J188" s="268"/>
      <c r="K188" s="310"/>
      <c r="L188" s="268"/>
      <c r="M188" s="268"/>
      <c r="N188" s="268"/>
      <c r="O188" s="268"/>
      <c r="P188" s="268"/>
      <c r="Q188" s="268"/>
      <c r="R188" s="268"/>
      <c r="S188" s="268"/>
      <c r="T188" s="268"/>
      <c r="U188" s="268"/>
      <c r="V188" s="268"/>
      <c r="W188" s="268"/>
      <c r="X188" s="268"/>
      <c r="Y188" s="268"/>
      <c r="Z188" s="268"/>
    </row>
    <row r="189" spans="1:26" ht="24.75" customHeight="1">
      <c r="A189" s="268"/>
      <c r="B189" s="268"/>
      <c r="C189" s="268"/>
      <c r="D189" s="268"/>
      <c r="E189" s="268"/>
      <c r="F189" s="268"/>
      <c r="G189" s="268"/>
      <c r="H189" s="268"/>
      <c r="I189" s="268"/>
      <c r="J189" s="268"/>
      <c r="K189" s="310"/>
      <c r="L189" s="268"/>
      <c r="M189" s="268"/>
      <c r="N189" s="268"/>
      <c r="O189" s="268"/>
      <c r="P189" s="268"/>
      <c r="Q189" s="268"/>
      <c r="R189" s="268"/>
      <c r="S189" s="268"/>
      <c r="T189" s="268"/>
      <c r="U189" s="268"/>
      <c r="V189" s="268"/>
      <c r="W189" s="268"/>
      <c r="X189" s="268"/>
      <c r="Y189" s="268"/>
      <c r="Z189" s="268"/>
    </row>
    <row r="190" spans="1:26" ht="24.75" customHeight="1">
      <c r="A190" s="268"/>
      <c r="B190" s="268"/>
      <c r="C190" s="268"/>
      <c r="D190" s="268"/>
      <c r="E190" s="268"/>
      <c r="F190" s="268"/>
      <c r="G190" s="268"/>
      <c r="H190" s="268"/>
      <c r="I190" s="268"/>
      <c r="J190" s="268"/>
      <c r="K190" s="310"/>
      <c r="L190" s="268"/>
      <c r="M190" s="268"/>
      <c r="N190" s="268"/>
      <c r="O190" s="268"/>
      <c r="P190" s="268"/>
      <c r="Q190" s="268"/>
      <c r="R190" s="268"/>
      <c r="S190" s="268"/>
      <c r="T190" s="268"/>
      <c r="U190" s="268"/>
      <c r="V190" s="268"/>
      <c r="W190" s="268"/>
      <c r="X190" s="268"/>
      <c r="Y190" s="268"/>
      <c r="Z190" s="268"/>
    </row>
    <row r="191" spans="1:26" ht="24.75" customHeight="1">
      <c r="A191" s="268"/>
      <c r="B191" s="268"/>
      <c r="C191" s="268"/>
      <c r="D191" s="268"/>
      <c r="E191" s="268"/>
      <c r="F191" s="268"/>
      <c r="G191" s="268"/>
      <c r="H191" s="268"/>
      <c r="I191" s="268"/>
      <c r="J191" s="268"/>
      <c r="K191" s="310"/>
      <c r="L191" s="268"/>
      <c r="M191" s="268"/>
      <c r="N191" s="268"/>
      <c r="O191" s="268"/>
      <c r="P191" s="268"/>
      <c r="Q191" s="268"/>
      <c r="R191" s="268"/>
      <c r="S191" s="268"/>
      <c r="T191" s="268"/>
      <c r="U191" s="268"/>
      <c r="V191" s="268"/>
      <c r="W191" s="268"/>
      <c r="X191" s="268"/>
      <c r="Y191" s="268"/>
      <c r="Z191" s="268"/>
    </row>
    <row r="192" spans="1:26" ht="24.75" customHeight="1">
      <c r="A192" s="268"/>
      <c r="B192" s="268"/>
      <c r="C192" s="268"/>
      <c r="D192" s="268"/>
      <c r="E192" s="268"/>
      <c r="F192" s="268"/>
      <c r="G192" s="268"/>
      <c r="H192" s="268"/>
      <c r="I192" s="268"/>
      <c r="J192" s="268"/>
      <c r="K192" s="310"/>
      <c r="L192" s="268"/>
      <c r="M192" s="268"/>
      <c r="N192" s="268"/>
      <c r="O192" s="268"/>
      <c r="P192" s="268"/>
      <c r="Q192" s="268"/>
      <c r="R192" s="268"/>
      <c r="S192" s="268"/>
      <c r="T192" s="268"/>
      <c r="U192" s="268"/>
      <c r="V192" s="268"/>
      <c r="W192" s="268"/>
      <c r="X192" s="268"/>
      <c r="Y192" s="268"/>
      <c r="Z192" s="268"/>
    </row>
    <row r="193" spans="1:26" ht="24.75" customHeight="1">
      <c r="A193" s="268"/>
      <c r="B193" s="268"/>
      <c r="C193" s="268"/>
      <c r="D193" s="268"/>
      <c r="E193" s="268"/>
      <c r="F193" s="268"/>
      <c r="G193" s="268"/>
      <c r="H193" s="268"/>
      <c r="I193" s="268"/>
      <c r="J193" s="268"/>
      <c r="K193" s="310"/>
      <c r="L193" s="268"/>
      <c r="M193" s="268"/>
      <c r="N193" s="268"/>
      <c r="O193" s="268"/>
      <c r="P193" s="268"/>
      <c r="Q193" s="268"/>
      <c r="R193" s="268"/>
      <c r="S193" s="268"/>
      <c r="T193" s="268"/>
      <c r="U193" s="268"/>
      <c r="V193" s="268"/>
      <c r="W193" s="268"/>
      <c r="X193" s="268"/>
      <c r="Y193" s="268"/>
      <c r="Z193" s="268"/>
    </row>
    <row r="194" spans="1:26" ht="24.75" customHeight="1">
      <c r="A194" s="268"/>
      <c r="B194" s="268"/>
      <c r="C194" s="268"/>
      <c r="D194" s="268"/>
      <c r="E194" s="268"/>
      <c r="F194" s="268"/>
      <c r="G194" s="268"/>
      <c r="H194" s="268"/>
      <c r="I194" s="268"/>
      <c r="J194" s="268"/>
      <c r="K194" s="310"/>
      <c r="L194" s="268"/>
      <c r="M194" s="268"/>
      <c r="N194" s="268"/>
      <c r="O194" s="268"/>
      <c r="P194" s="268"/>
      <c r="Q194" s="268"/>
      <c r="R194" s="268"/>
      <c r="S194" s="268"/>
      <c r="T194" s="268"/>
      <c r="U194" s="268"/>
      <c r="V194" s="268"/>
      <c r="W194" s="268"/>
      <c r="X194" s="268"/>
      <c r="Y194" s="268"/>
      <c r="Z194" s="268"/>
    </row>
    <row r="195" spans="1:26" ht="24.75" customHeight="1">
      <c r="A195" s="268"/>
      <c r="B195" s="268"/>
      <c r="C195" s="268"/>
      <c r="D195" s="268"/>
      <c r="E195" s="268"/>
      <c r="F195" s="268"/>
      <c r="G195" s="268"/>
      <c r="H195" s="268"/>
      <c r="I195" s="268"/>
      <c r="J195" s="268"/>
      <c r="K195" s="310"/>
      <c r="L195" s="268"/>
      <c r="M195" s="268"/>
      <c r="N195" s="268"/>
      <c r="O195" s="268"/>
      <c r="P195" s="268"/>
      <c r="Q195" s="268"/>
      <c r="R195" s="268"/>
      <c r="S195" s="268"/>
      <c r="T195" s="268"/>
      <c r="U195" s="268"/>
      <c r="V195" s="268"/>
      <c r="W195" s="268"/>
      <c r="X195" s="268"/>
      <c r="Y195" s="268"/>
      <c r="Z195" s="268"/>
    </row>
    <row r="196" spans="1:26" ht="24.75" customHeight="1">
      <c r="A196" s="268"/>
      <c r="B196" s="268"/>
      <c r="C196" s="268"/>
      <c r="D196" s="268"/>
      <c r="E196" s="268"/>
      <c r="F196" s="268"/>
      <c r="G196" s="268"/>
      <c r="H196" s="268"/>
      <c r="I196" s="268"/>
      <c r="J196" s="268"/>
      <c r="K196" s="310"/>
      <c r="L196" s="268"/>
      <c r="M196" s="268"/>
      <c r="N196" s="268"/>
      <c r="O196" s="268"/>
      <c r="P196" s="268"/>
      <c r="Q196" s="268"/>
      <c r="R196" s="268"/>
      <c r="S196" s="268"/>
      <c r="T196" s="268"/>
      <c r="U196" s="268"/>
      <c r="V196" s="268"/>
      <c r="W196" s="268"/>
      <c r="X196" s="268"/>
      <c r="Y196" s="268"/>
      <c r="Z196" s="268"/>
    </row>
    <row r="197" spans="1:26" ht="24.75" customHeight="1">
      <c r="A197" s="268"/>
      <c r="B197" s="268"/>
      <c r="C197" s="268"/>
      <c r="D197" s="268"/>
      <c r="E197" s="268"/>
      <c r="F197" s="268"/>
      <c r="G197" s="268"/>
      <c r="H197" s="268"/>
      <c r="I197" s="268"/>
      <c r="J197" s="268"/>
      <c r="K197" s="310"/>
      <c r="L197" s="268"/>
      <c r="M197" s="268"/>
      <c r="N197" s="268"/>
      <c r="O197" s="268"/>
      <c r="P197" s="268"/>
      <c r="Q197" s="268"/>
      <c r="R197" s="268"/>
      <c r="S197" s="268"/>
      <c r="T197" s="268"/>
      <c r="U197" s="268"/>
      <c r="V197" s="268"/>
      <c r="W197" s="268"/>
      <c r="X197" s="268"/>
      <c r="Y197" s="268"/>
      <c r="Z197" s="268"/>
    </row>
    <row r="198" spans="1:26" ht="24.75" customHeight="1">
      <c r="A198" s="268"/>
      <c r="B198" s="268"/>
      <c r="C198" s="268"/>
      <c r="D198" s="268"/>
      <c r="E198" s="268"/>
      <c r="F198" s="268"/>
      <c r="G198" s="268"/>
      <c r="H198" s="268"/>
      <c r="I198" s="268"/>
      <c r="J198" s="268"/>
      <c r="K198" s="310"/>
      <c r="L198" s="268"/>
      <c r="M198" s="268"/>
      <c r="N198" s="268"/>
      <c r="O198" s="268"/>
      <c r="P198" s="268"/>
      <c r="Q198" s="268"/>
      <c r="R198" s="268"/>
      <c r="S198" s="268"/>
      <c r="T198" s="268"/>
      <c r="U198" s="268"/>
      <c r="V198" s="268"/>
      <c r="W198" s="268"/>
      <c r="X198" s="268"/>
      <c r="Y198" s="268"/>
      <c r="Z198" s="268"/>
    </row>
    <row r="199" spans="1:26" ht="24.75" customHeight="1">
      <c r="A199" s="268"/>
      <c r="B199" s="268"/>
      <c r="C199" s="268"/>
      <c r="D199" s="268"/>
      <c r="E199" s="268"/>
      <c r="F199" s="268"/>
      <c r="G199" s="268"/>
      <c r="H199" s="268"/>
      <c r="I199" s="268"/>
      <c r="J199" s="268"/>
      <c r="K199" s="310"/>
      <c r="L199" s="268"/>
      <c r="M199" s="268"/>
      <c r="N199" s="268"/>
      <c r="O199" s="268"/>
      <c r="P199" s="268"/>
      <c r="Q199" s="268"/>
      <c r="R199" s="268"/>
      <c r="S199" s="268"/>
      <c r="T199" s="268"/>
      <c r="U199" s="268"/>
      <c r="V199" s="268"/>
      <c r="W199" s="268"/>
      <c r="X199" s="268"/>
      <c r="Y199" s="268"/>
      <c r="Z199" s="268"/>
    </row>
    <row r="200" spans="1:26" ht="24.75" customHeight="1">
      <c r="A200" s="268"/>
      <c r="B200" s="268"/>
      <c r="C200" s="268"/>
      <c r="D200" s="268"/>
      <c r="E200" s="268"/>
      <c r="F200" s="268"/>
      <c r="G200" s="268"/>
      <c r="H200" s="268"/>
      <c r="I200" s="268"/>
      <c r="J200" s="268"/>
      <c r="K200" s="310"/>
      <c r="L200" s="268"/>
      <c r="M200" s="268"/>
      <c r="N200" s="268"/>
      <c r="O200" s="268"/>
      <c r="P200" s="268"/>
      <c r="Q200" s="268"/>
      <c r="R200" s="268"/>
      <c r="S200" s="268"/>
      <c r="T200" s="268"/>
      <c r="U200" s="268"/>
      <c r="V200" s="268"/>
      <c r="W200" s="268"/>
      <c r="X200" s="268"/>
      <c r="Y200" s="268"/>
      <c r="Z200" s="268"/>
    </row>
    <row r="201" spans="1:26" ht="24.75" customHeight="1">
      <c r="A201" s="268"/>
      <c r="B201" s="268"/>
      <c r="C201" s="268"/>
      <c r="D201" s="268"/>
      <c r="E201" s="268"/>
      <c r="F201" s="268"/>
      <c r="G201" s="268"/>
      <c r="H201" s="268"/>
      <c r="I201" s="268"/>
      <c r="J201" s="268"/>
      <c r="K201" s="310"/>
      <c r="L201" s="268"/>
      <c r="M201" s="268"/>
      <c r="N201" s="268"/>
      <c r="O201" s="268"/>
      <c r="P201" s="268"/>
      <c r="Q201" s="268"/>
      <c r="R201" s="268"/>
      <c r="S201" s="268"/>
      <c r="T201" s="268"/>
      <c r="U201" s="268"/>
      <c r="V201" s="268"/>
      <c r="W201" s="268"/>
      <c r="X201" s="268"/>
      <c r="Y201" s="268"/>
      <c r="Z201" s="268"/>
    </row>
    <row r="202" spans="1:26" ht="24.75" customHeight="1">
      <c r="A202" s="268"/>
      <c r="B202" s="268"/>
      <c r="C202" s="268"/>
      <c r="D202" s="268"/>
      <c r="E202" s="268"/>
      <c r="F202" s="268"/>
      <c r="G202" s="268"/>
      <c r="H202" s="268"/>
      <c r="I202" s="268"/>
      <c r="J202" s="268"/>
      <c r="K202" s="310"/>
      <c r="L202" s="268"/>
      <c r="M202" s="268"/>
      <c r="N202" s="268"/>
      <c r="O202" s="268"/>
      <c r="P202" s="268"/>
      <c r="Q202" s="268"/>
      <c r="R202" s="268"/>
      <c r="S202" s="268"/>
      <c r="T202" s="268"/>
      <c r="U202" s="268"/>
      <c r="V202" s="268"/>
      <c r="W202" s="268"/>
      <c r="X202" s="268"/>
      <c r="Y202" s="268"/>
      <c r="Z202" s="268"/>
    </row>
    <row r="203" spans="1:26" ht="24.75" customHeight="1">
      <c r="A203" s="268"/>
      <c r="B203" s="268"/>
      <c r="C203" s="268"/>
      <c r="D203" s="268"/>
      <c r="E203" s="268"/>
      <c r="F203" s="268"/>
      <c r="G203" s="268"/>
      <c r="H203" s="268"/>
      <c r="I203" s="268"/>
      <c r="J203" s="268"/>
      <c r="K203" s="310"/>
      <c r="L203" s="268"/>
      <c r="M203" s="268"/>
      <c r="N203" s="268"/>
      <c r="O203" s="268"/>
      <c r="P203" s="268"/>
      <c r="Q203" s="268"/>
      <c r="R203" s="268"/>
      <c r="S203" s="268"/>
      <c r="T203" s="268"/>
      <c r="U203" s="268"/>
      <c r="V203" s="268"/>
      <c r="W203" s="268"/>
      <c r="X203" s="268"/>
      <c r="Y203" s="268"/>
      <c r="Z203" s="268"/>
    </row>
    <row r="204" spans="1:26" ht="24.75" customHeight="1">
      <c r="A204" s="268"/>
      <c r="B204" s="268"/>
      <c r="C204" s="268"/>
      <c r="D204" s="268"/>
      <c r="E204" s="268"/>
      <c r="F204" s="268"/>
      <c r="G204" s="268"/>
      <c r="H204" s="268"/>
      <c r="I204" s="268"/>
      <c r="J204" s="268"/>
      <c r="K204" s="310"/>
      <c r="L204" s="268"/>
      <c r="M204" s="268"/>
      <c r="N204" s="268"/>
      <c r="O204" s="268"/>
      <c r="P204" s="268"/>
      <c r="Q204" s="268"/>
      <c r="R204" s="268"/>
      <c r="S204" s="268"/>
      <c r="T204" s="268"/>
      <c r="U204" s="268"/>
      <c r="V204" s="268"/>
      <c r="W204" s="268"/>
      <c r="X204" s="268"/>
      <c r="Y204" s="268"/>
      <c r="Z204" s="268"/>
    </row>
    <row r="205" spans="1:26" ht="24.75" customHeight="1">
      <c r="A205" s="268"/>
      <c r="B205" s="268"/>
      <c r="C205" s="268"/>
      <c r="D205" s="268"/>
      <c r="E205" s="268"/>
      <c r="F205" s="268"/>
      <c r="G205" s="268"/>
      <c r="H205" s="268"/>
      <c r="I205" s="268"/>
      <c r="J205" s="268"/>
      <c r="K205" s="310"/>
      <c r="L205" s="268"/>
      <c r="M205" s="268"/>
      <c r="N205" s="268"/>
      <c r="O205" s="268"/>
      <c r="P205" s="268"/>
      <c r="Q205" s="268"/>
      <c r="R205" s="268"/>
      <c r="S205" s="268"/>
      <c r="T205" s="268"/>
      <c r="U205" s="268"/>
      <c r="V205" s="268"/>
      <c r="W205" s="268"/>
      <c r="X205" s="268"/>
      <c r="Y205" s="268"/>
      <c r="Z205" s="268"/>
    </row>
    <row r="206" spans="1:26" ht="24.75" customHeight="1">
      <c r="A206" s="268"/>
      <c r="B206" s="268"/>
      <c r="C206" s="268"/>
      <c r="D206" s="268"/>
      <c r="E206" s="268"/>
      <c r="F206" s="268"/>
      <c r="G206" s="268"/>
      <c r="H206" s="268"/>
      <c r="I206" s="268"/>
      <c r="J206" s="268"/>
      <c r="K206" s="310"/>
      <c r="L206" s="268"/>
      <c r="M206" s="268"/>
      <c r="N206" s="268"/>
      <c r="O206" s="268"/>
      <c r="P206" s="268"/>
      <c r="Q206" s="268"/>
      <c r="R206" s="268"/>
      <c r="S206" s="268"/>
      <c r="T206" s="268"/>
      <c r="U206" s="268"/>
      <c r="V206" s="268"/>
      <c r="W206" s="268"/>
      <c r="X206" s="268"/>
      <c r="Y206" s="268"/>
      <c r="Z206" s="268"/>
    </row>
    <row r="207" spans="1:26" ht="24.75" customHeight="1">
      <c r="A207" s="268"/>
      <c r="B207" s="268"/>
      <c r="C207" s="268"/>
      <c r="D207" s="268"/>
      <c r="E207" s="268"/>
      <c r="F207" s="268"/>
      <c r="G207" s="268"/>
      <c r="H207" s="268"/>
      <c r="I207" s="268"/>
      <c r="J207" s="268"/>
      <c r="K207" s="310"/>
      <c r="L207" s="268"/>
      <c r="M207" s="268"/>
      <c r="N207" s="268"/>
      <c r="O207" s="268"/>
      <c r="P207" s="268"/>
      <c r="Q207" s="268"/>
      <c r="R207" s="268"/>
      <c r="S207" s="268"/>
      <c r="T207" s="268"/>
      <c r="U207" s="268"/>
      <c r="V207" s="268"/>
      <c r="W207" s="268"/>
      <c r="X207" s="268"/>
      <c r="Y207" s="268"/>
      <c r="Z207" s="268"/>
    </row>
    <row r="208" spans="1:26" ht="24.75" customHeight="1">
      <c r="A208" s="268"/>
      <c r="B208" s="268"/>
      <c r="C208" s="268"/>
      <c r="D208" s="268"/>
      <c r="E208" s="268"/>
      <c r="F208" s="268"/>
      <c r="G208" s="268"/>
      <c r="H208" s="268"/>
      <c r="I208" s="268"/>
      <c r="J208" s="268"/>
      <c r="K208" s="310"/>
      <c r="L208" s="268"/>
      <c r="M208" s="268"/>
      <c r="N208" s="268"/>
      <c r="O208" s="268"/>
      <c r="P208" s="268"/>
      <c r="Q208" s="268"/>
      <c r="R208" s="268"/>
      <c r="S208" s="268"/>
      <c r="T208" s="268"/>
      <c r="U208" s="268"/>
      <c r="V208" s="268"/>
      <c r="W208" s="268"/>
      <c r="X208" s="268"/>
      <c r="Y208" s="268"/>
      <c r="Z208" s="268"/>
    </row>
    <row r="209" spans="1:26" ht="24.75" customHeight="1">
      <c r="A209" s="268"/>
      <c r="B209" s="268"/>
      <c r="C209" s="268"/>
      <c r="D209" s="268"/>
      <c r="E209" s="268"/>
      <c r="F209" s="268"/>
      <c r="G209" s="268"/>
      <c r="H209" s="268"/>
      <c r="I209" s="268"/>
      <c r="J209" s="268"/>
      <c r="K209" s="310"/>
      <c r="L209" s="268"/>
      <c r="M209" s="268"/>
      <c r="N209" s="268"/>
      <c r="O209" s="268"/>
      <c r="P209" s="268"/>
      <c r="Q209" s="268"/>
      <c r="R209" s="268"/>
      <c r="S209" s="268"/>
      <c r="T209" s="268"/>
      <c r="U209" s="268"/>
      <c r="V209" s="268"/>
      <c r="W209" s="268"/>
      <c r="X209" s="268"/>
      <c r="Y209" s="268"/>
      <c r="Z209" s="268"/>
    </row>
    <row r="210" spans="1:26" ht="24.75" customHeight="1">
      <c r="A210" s="268"/>
      <c r="B210" s="268"/>
      <c r="C210" s="268"/>
      <c r="D210" s="268"/>
      <c r="E210" s="268"/>
      <c r="F210" s="268"/>
      <c r="G210" s="268"/>
      <c r="H210" s="268"/>
      <c r="I210" s="268"/>
      <c r="J210" s="268"/>
      <c r="K210" s="310"/>
      <c r="L210" s="268"/>
      <c r="M210" s="268"/>
      <c r="N210" s="268"/>
      <c r="O210" s="268"/>
      <c r="P210" s="268"/>
      <c r="Q210" s="268"/>
      <c r="R210" s="268"/>
      <c r="S210" s="268"/>
      <c r="T210" s="268"/>
      <c r="U210" s="268"/>
      <c r="V210" s="268"/>
      <c r="W210" s="268"/>
      <c r="X210" s="268"/>
      <c r="Y210" s="268"/>
      <c r="Z210" s="268"/>
    </row>
    <row r="211" spans="1:26" ht="24.75" customHeight="1">
      <c r="A211" s="268"/>
      <c r="B211" s="268"/>
      <c r="C211" s="268"/>
      <c r="D211" s="268"/>
      <c r="E211" s="268"/>
      <c r="F211" s="268"/>
      <c r="G211" s="268"/>
      <c r="H211" s="268"/>
      <c r="I211" s="268"/>
      <c r="J211" s="268"/>
      <c r="K211" s="310"/>
      <c r="L211" s="268"/>
      <c r="M211" s="268"/>
      <c r="N211" s="268"/>
      <c r="O211" s="268"/>
      <c r="P211" s="268"/>
      <c r="Q211" s="268"/>
      <c r="R211" s="268"/>
      <c r="S211" s="268"/>
      <c r="T211" s="268"/>
      <c r="U211" s="268"/>
      <c r="V211" s="268"/>
      <c r="W211" s="268"/>
      <c r="X211" s="268"/>
      <c r="Y211" s="268"/>
      <c r="Z211" s="268"/>
    </row>
    <row r="212" spans="1:26" ht="24.75" customHeight="1">
      <c r="A212" s="268"/>
      <c r="B212" s="268"/>
      <c r="C212" s="268"/>
      <c r="D212" s="268"/>
      <c r="E212" s="268"/>
      <c r="F212" s="268"/>
      <c r="G212" s="268"/>
      <c r="H212" s="268"/>
      <c r="I212" s="268"/>
      <c r="J212" s="268"/>
      <c r="K212" s="310"/>
      <c r="L212" s="268"/>
      <c r="M212" s="268"/>
      <c r="N212" s="268"/>
      <c r="O212" s="268"/>
      <c r="P212" s="268"/>
      <c r="Q212" s="268"/>
      <c r="R212" s="268"/>
      <c r="S212" s="268"/>
      <c r="T212" s="268"/>
      <c r="U212" s="268"/>
      <c r="V212" s="268"/>
      <c r="W212" s="268"/>
      <c r="X212" s="268"/>
      <c r="Y212" s="268"/>
      <c r="Z212" s="268"/>
    </row>
    <row r="213" spans="1:26" ht="24.75" customHeight="1">
      <c r="A213" s="268"/>
      <c r="B213" s="268"/>
      <c r="C213" s="268"/>
      <c r="D213" s="268"/>
      <c r="E213" s="268"/>
      <c r="F213" s="268"/>
      <c r="G213" s="268"/>
      <c r="H213" s="268"/>
      <c r="I213" s="268"/>
      <c r="J213" s="268"/>
      <c r="K213" s="310"/>
      <c r="L213" s="268"/>
      <c r="M213" s="268"/>
      <c r="N213" s="268"/>
      <c r="O213" s="268"/>
      <c r="P213" s="268"/>
      <c r="Q213" s="268"/>
      <c r="R213" s="268"/>
      <c r="S213" s="268"/>
      <c r="T213" s="268"/>
      <c r="U213" s="268"/>
      <c r="V213" s="268"/>
      <c r="W213" s="268"/>
      <c r="X213" s="268"/>
      <c r="Y213" s="268"/>
      <c r="Z213" s="268"/>
    </row>
    <row r="214" spans="1:26" ht="24.75" customHeight="1">
      <c r="A214" s="268"/>
      <c r="B214" s="268"/>
      <c r="C214" s="268"/>
      <c r="D214" s="268"/>
      <c r="E214" s="268"/>
      <c r="F214" s="268"/>
      <c r="G214" s="268"/>
      <c r="H214" s="268"/>
      <c r="I214" s="268"/>
      <c r="J214" s="268"/>
      <c r="K214" s="310"/>
      <c r="L214" s="268"/>
      <c r="M214" s="268"/>
      <c r="N214" s="268"/>
      <c r="O214" s="268"/>
      <c r="P214" s="268"/>
      <c r="Q214" s="268"/>
      <c r="R214" s="268"/>
      <c r="S214" s="268"/>
      <c r="T214" s="268"/>
      <c r="U214" s="268"/>
      <c r="V214" s="268"/>
      <c r="W214" s="268"/>
      <c r="X214" s="268"/>
      <c r="Y214" s="268"/>
      <c r="Z214" s="268"/>
    </row>
    <row r="215" spans="1:26" ht="24.75" customHeight="1">
      <c r="A215" s="268"/>
      <c r="B215" s="268"/>
      <c r="C215" s="268"/>
      <c r="D215" s="268"/>
      <c r="E215" s="268"/>
      <c r="F215" s="268"/>
      <c r="G215" s="268"/>
      <c r="H215" s="268"/>
      <c r="I215" s="268"/>
      <c r="J215" s="268"/>
      <c r="K215" s="310"/>
      <c r="L215" s="268"/>
      <c r="M215" s="268"/>
      <c r="N215" s="268"/>
      <c r="O215" s="268"/>
      <c r="P215" s="268"/>
      <c r="Q215" s="268"/>
      <c r="R215" s="268"/>
      <c r="S215" s="268"/>
      <c r="T215" s="268"/>
      <c r="U215" s="268"/>
      <c r="V215" s="268"/>
      <c r="W215" s="268"/>
      <c r="X215" s="268"/>
      <c r="Y215" s="268"/>
      <c r="Z215" s="268"/>
    </row>
    <row r="216" spans="1:26" ht="24.75" customHeight="1">
      <c r="A216" s="268"/>
      <c r="B216" s="268"/>
      <c r="C216" s="268"/>
      <c r="D216" s="268"/>
      <c r="E216" s="268"/>
      <c r="F216" s="268"/>
      <c r="G216" s="268"/>
      <c r="H216" s="268"/>
      <c r="I216" s="268"/>
      <c r="J216" s="268"/>
      <c r="K216" s="310"/>
      <c r="L216" s="268"/>
      <c r="M216" s="268"/>
      <c r="N216" s="268"/>
      <c r="O216" s="268"/>
      <c r="P216" s="268"/>
      <c r="Q216" s="268"/>
      <c r="R216" s="268"/>
      <c r="S216" s="268"/>
      <c r="T216" s="268"/>
      <c r="U216" s="268"/>
      <c r="V216" s="268"/>
      <c r="W216" s="268"/>
      <c r="X216" s="268"/>
      <c r="Y216" s="268"/>
      <c r="Z216" s="268"/>
    </row>
    <row r="217" spans="1:26" ht="24.75" customHeight="1">
      <c r="A217" s="268"/>
      <c r="B217" s="268"/>
      <c r="C217" s="268"/>
      <c r="D217" s="268"/>
      <c r="E217" s="268"/>
      <c r="F217" s="268"/>
      <c r="G217" s="268"/>
      <c r="H217" s="268"/>
      <c r="I217" s="268"/>
      <c r="J217" s="268"/>
      <c r="K217" s="310"/>
      <c r="L217" s="268"/>
      <c r="M217" s="268"/>
      <c r="N217" s="268"/>
      <c r="O217" s="268"/>
      <c r="P217" s="268"/>
      <c r="Q217" s="268"/>
      <c r="R217" s="268"/>
      <c r="S217" s="268"/>
      <c r="T217" s="268"/>
      <c r="U217" s="268"/>
      <c r="V217" s="268"/>
      <c r="W217" s="268"/>
      <c r="X217" s="268"/>
      <c r="Y217" s="268"/>
      <c r="Z217" s="268"/>
    </row>
    <row r="218" spans="1:26" ht="24.75" customHeight="1">
      <c r="A218" s="268"/>
      <c r="B218" s="268"/>
      <c r="C218" s="268"/>
      <c r="D218" s="268"/>
      <c r="E218" s="268"/>
      <c r="F218" s="268"/>
      <c r="G218" s="268"/>
      <c r="H218" s="268"/>
      <c r="I218" s="268"/>
      <c r="J218" s="268"/>
      <c r="K218" s="310"/>
      <c r="L218" s="268"/>
      <c r="M218" s="268"/>
      <c r="N218" s="268"/>
      <c r="O218" s="268"/>
      <c r="P218" s="268"/>
      <c r="Q218" s="268"/>
      <c r="R218" s="268"/>
      <c r="S218" s="268"/>
      <c r="T218" s="268"/>
      <c r="U218" s="268"/>
      <c r="V218" s="268"/>
      <c r="W218" s="268"/>
      <c r="X218" s="268"/>
      <c r="Y218" s="268"/>
      <c r="Z218" s="268"/>
    </row>
    <row r="219" spans="1:26" ht="24.75" customHeight="1">
      <c r="A219" s="268"/>
      <c r="B219" s="268"/>
      <c r="C219" s="268"/>
      <c r="D219" s="268"/>
      <c r="E219" s="268"/>
      <c r="F219" s="268"/>
      <c r="G219" s="268"/>
      <c r="H219" s="268"/>
      <c r="I219" s="268"/>
      <c r="J219" s="268"/>
      <c r="K219" s="310"/>
      <c r="L219" s="268"/>
      <c r="M219" s="268"/>
      <c r="N219" s="268"/>
      <c r="O219" s="268"/>
      <c r="P219" s="268"/>
      <c r="Q219" s="268"/>
      <c r="R219" s="268"/>
      <c r="S219" s="268"/>
      <c r="T219" s="268"/>
      <c r="U219" s="268"/>
      <c r="V219" s="268"/>
      <c r="W219" s="268"/>
      <c r="X219" s="268"/>
      <c r="Y219" s="268"/>
      <c r="Z219" s="268"/>
    </row>
    <row r="220" spans="1:26" ht="24.75" customHeight="1">
      <c r="A220" s="268"/>
      <c r="B220" s="268"/>
      <c r="C220" s="268"/>
      <c r="D220" s="268"/>
      <c r="E220" s="268"/>
      <c r="F220" s="268"/>
      <c r="G220" s="268"/>
      <c r="H220" s="268"/>
      <c r="I220" s="268"/>
      <c r="J220" s="268"/>
      <c r="K220" s="310"/>
      <c r="L220" s="268"/>
      <c r="M220" s="268"/>
      <c r="N220" s="268"/>
      <c r="O220" s="268"/>
      <c r="P220" s="268"/>
      <c r="Q220" s="268"/>
      <c r="R220" s="268"/>
      <c r="S220" s="268"/>
      <c r="T220" s="268"/>
      <c r="U220" s="268"/>
      <c r="V220" s="268"/>
      <c r="W220" s="268"/>
      <c r="X220" s="268"/>
      <c r="Y220" s="268"/>
      <c r="Z220" s="268"/>
    </row>
    <row r="221" spans="1:26" ht="24.75" customHeight="1">
      <c r="A221" s="268"/>
      <c r="B221" s="268"/>
      <c r="C221" s="268"/>
      <c r="D221" s="268"/>
      <c r="E221" s="268"/>
      <c r="F221" s="268"/>
      <c r="G221" s="268"/>
      <c r="H221" s="268"/>
      <c r="I221" s="268"/>
      <c r="J221" s="268"/>
      <c r="K221" s="310"/>
      <c r="L221" s="268"/>
      <c r="M221" s="268"/>
      <c r="N221" s="268"/>
      <c r="O221" s="268"/>
      <c r="P221" s="268"/>
      <c r="Q221" s="268"/>
      <c r="R221" s="268"/>
      <c r="S221" s="268"/>
      <c r="T221" s="268"/>
      <c r="U221" s="268"/>
      <c r="V221" s="268"/>
      <c r="W221" s="268"/>
      <c r="X221" s="268"/>
      <c r="Y221" s="268"/>
      <c r="Z221" s="268"/>
    </row>
    <row r="222" spans="1:26" ht="24.75" customHeight="1">
      <c r="A222" s="268"/>
      <c r="B222" s="268"/>
      <c r="C222" s="268"/>
      <c r="D222" s="268"/>
      <c r="E222" s="268"/>
      <c r="F222" s="268"/>
      <c r="G222" s="268"/>
      <c r="H222" s="268"/>
      <c r="I222" s="268"/>
      <c r="J222" s="268"/>
      <c r="K222" s="310"/>
      <c r="L222" s="268"/>
      <c r="M222" s="268"/>
      <c r="N222" s="268"/>
      <c r="O222" s="268"/>
      <c r="P222" s="268"/>
      <c r="Q222" s="268"/>
      <c r="R222" s="268"/>
      <c r="S222" s="268"/>
      <c r="T222" s="268"/>
      <c r="U222" s="268"/>
      <c r="V222" s="268"/>
      <c r="W222" s="268"/>
      <c r="X222" s="268"/>
      <c r="Y222" s="268"/>
      <c r="Z222" s="268"/>
    </row>
    <row r="223" spans="1:26" ht="24.75" customHeight="1">
      <c r="A223" s="268"/>
      <c r="B223" s="268"/>
      <c r="C223" s="268"/>
      <c r="D223" s="268"/>
      <c r="E223" s="268"/>
      <c r="F223" s="268"/>
      <c r="G223" s="268"/>
      <c r="H223" s="268"/>
      <c r="I223" s="268"/>
      <c r="J223" s="268"/>
      <c r="K223" s="310"/>
      <c r="L223" s="268"/>
      <c r="M223" s="268"/>
      <c r="N223" s="268"/>
      <c r="O223" s="268"/>
      <c r="P223" s="268"/>
      <c r="Q223" s="268"/>
      <c r="R223" s="268"/>
      <c r="S223" s="268"/>
      <c r="T223" s="268"/>
      <c r="U223" s="268"/>
      <c r="V223" s="268"/>
      <c r="W223" s="268"/>
      <c r="X223" s="268"/>
      <c r="Y223" s="268"/>
      <c r="Z223" s="268"/>
    </row>
    <row r="224" spans="1:26" ht="24.75" customHeight="1">
      <c r="A224" s="268"/>
      <c r="B224" s="268"/>
      <c r="C224" s="268"/>
      <c r="D224" s="268"/>
      <c r="E224" s="268"/>
      <c r="F224" s="268"/>
      <c r="G224" s="268"/>
      <c r="H224" s="389"/>
      <c r="I224" s="389"/>
      <c r="J224" s="389"/>
      <c r="K224" s="268"/>
      <c r="L224" s="268"/>
      <c r="M224" s="268"/>
      <c r="N224" s="310"/>
      <c r="O224" s="268"/>
      <c r="P224" s="309"/>
      <c r="Q224" s="381"/>
      <c r="R224" s="268"/>
      <c r="S224" s="313"/>
      <c r="T224" s="313"/>
      <c r="U224" s="268"/>
      <c r="V224" s="268"/>
      <c r="W224" s="268"/>
      <c r="X224" s="268"/>
      <c r="Y224" s="268"/>
      <c r="Z224" s="268"/>
    </row>
    <row r="225" spans="1:26" ht="24.75" customHeight="1">
      <c r="A225" s="268"/>
      <c r="B225" s="268"/>
      <c r="C225" s="268"/>
      <c r="D225" s="268"/>
      <c r="E225" s="268"/>
      <c r="F225" s="268"/>
      <c r="G225" s="268"/>
      <c r="H225" s="389"/>
      <c r="I225" s="389"/>
      <c r="J225" s="389"/>
      <c r="K225" s="268"/>
      <c r="L225" s="268"/>
      <c r="M225" s="268"/>
      <c r="N225" s="310"/>
      <c r="O225" s="268"/>
      <c r="P225" s="309"/>
      <c r="Q225" s="381"/>
      <c r="R225" s="268"/>
      <c r="S225" s="313"/>
      <c r="T225" s="313"/>
      <c r="U225" s="268"/>
      <c r="V225" s="268"/>
      <c r="W225" s="268"/>
      <c r="X225" s="268"/>
      <c r="Y225" s="268"/>
      <c r="Z225" s="268"/>
    </row>
    <row r="226" spans="1:26" ht="24.75" customHeight="1">
      <c r="A226" s="268"/>
      <c r="B226" s="268"/>
      <c r="C226" s="268"/>
      <c r="D226" s="268"/>
      <c r="E226" s="268"/>
      <c r="F226" s="268"/>
      <c r="G226" s="268"/>
      <c r="H226" s="389"/>
      <c r="I226" s="389"/>
      <c r="J226" s="389"/>
      <c r="K226" s="268"/>
      <c r="L226" s="268"/>
      <c r="M226" s="268"/>
      <c r="N226" s="310"/>
      <c r="O226" s="268"/>
      <c r="P226" s="309"/>
      <c r="Q226" s="381"/>
      <c r="R226" s="268"/>
      <c r="S226" s="313"/>
      <c r="T226" s="313"/>
      <c r="U226" s="268"/>
      <c r="V226" s="268"/>
      <c r="W226" s="268"/>
      <c r="X226" s="268"/>
      <c r="Y226" s="268"/>
      <c r="Z226" s="268"/>
    </row>
    <row r="227" spans="1:26" ht="24.75" customHeight="1">
      <c r="A227" s="268"/>
      <c r="B227" s="268"/>
      <c r="C227" s="268"/>
      <c r="D227" s="268"/>
      <c r="E227" s="268"/>
      <c r="F227" s="268"/>
      <c r="G227" s="268"/>
      <c r="H227" s="389"/>
      <c r="I227" s="389"/>
      <c r="J227" s="389"/>
      <c r="K227" s="268"/>
      <c r="L227" s="268"/>
      <c r="M227" s="268"/>
      <c r="N227" s="310"/>
      <c r="O227" s="268"/>
      <c r="P227" s="309"/>
      <c r="Q227" s="381"/>
      <c r="R227" s="268"/>
      <c r="S227" s="313"/>
      <c r="T227" s="313"/>
      <c r="U227" s="268"/>
      <c r="V227" s="268"/>
      <c r="W227" s="268"/>
      <c r="X227" s="268"/>
      <c r="Y227" s="268"/>
      <c r="Z227" s="268"/>
    </row>
    <row r="228" spans="1:26" ht="24.75" customHeight="1">
      <c r="A228" s="268"/>
      <c r="B228" s="268"/>
      <c r="C228" s="268"/>
      <c r="D228" s="268"/>
      <c r="E228" s="268"/>
      <c r="F228" s="268"/>
      <c r="G228" s="268"/>
      <c r="H228" s="389"/>
      <c r="I228" s="389"/>
      <c r="J228" s="389"/>
      <c r="K228" s="268"/>
      <c r="L228" s="268"/>
      <c r="M228" s="268"/>
      <c r="N228" s="310"/>
      <c r="O228" s="268"/>
      <c r="P228" s="309"/>
      <c r="Q228" s="381"/>
      <c r="R228" s="268"/>
      <c r="S228" s="313"/>
      <c r="T228" s="313"/>
      <c r="U228" s="268"/>
      <c r="V228" s="268"/>
      <c r="W228" s="268"/>
      <c r="X228" s="268"/>
      <c r="Y228" s="268"/>
      <c r="Z228" s="268"/>
    </row>
    <row r="229" spans="1:26" ht="24.75" customHeight="1">
      <c r="A229" s="268"/>
      <c r="B229" s="268"/>
      <c r="C229" s="268"/>
      <c r="D229" s="268"/>
      <c r="E229" s="268"/>
      <c r="F229" s="268"/>
      <c r="G229" s="268"/>
      <c r="H229" s="389"/>
      <c r="I229" s="389"/>
      <c r="J229" s="389"/>
      <c r="K229" s="268"/>
      <c r="L229" s="268"/>
      <c r="M229" s="268"/>
      <c r="N229" s="310"/>
      <c r="O229" s="268"/>
      <c r="P229" s="309"/>
      <c r="Q229" s="381"/>
      <c r="R229" s="268"/>
      <c r="S229" s="313"/>
      <c r="T229" s="313"/>
      <c r="U229" s="268"/>
      <c r="V229" s="268"/>
      <c r="W229" s="268"/>
      <c r="X229" s="268"/>
      <c r="Y229" s="268"/>
      <c r="Z229" s="268"/>
    </row>
    <row r="230" spans="1:26" ht="24.75" customHeight="1">
      <c r="A230" s="268"/>
      <c r="B230" s="268"/>
      <c r="C230" s="268"/>
      <c r="D230" s="268"/>
      <c r="E230" s="268"/>
      <c r="F230" s="268"/>
      <c r="G230" s="268"/>
      <c r="H230" s="389"/>
      <c r="I230" s="389"/>
      <c r="J230" s="389"/>
      <c r="K230" s="268"/>
      <c r="L230" s="268"/>
      <c r="M230" s="268"/>
      <c r="N230" s="310"/>
      <c r="O230" s="268"/>
      <c r="P230" s="309"/>
      <c r="Q230" s="381"/>
      <c r="R230" s="268"/>
      <c r="S230" s="313"/>
      <c r="T230" s="313"/>
      <c r="U230" s="268"/>
      <c r="V230" s="268"/>
      <c r="W230" s="268"/>
      <c r="X230" s="268"/>
      <c r="Y230" s="268"/>
      <c r="Z230" s="268"/>
    </row>
    <row r="231" spans="1:26" ht="24.75" customHeight="1">
      <c r="A231" s="268"/>
      <c r="B231" s="268"/>
      <c r="C231" s="268"/>
      <c r="D231" s="268"/>
      <c r="E231" s="268"/>
      <c r="F231" s="268"/>
      <c r="G231" s="268"/>
      <c r="H231" s="389"/>
      <c r="I231" s="389"/>
      <c r="J231" s="389"/>
      <c r="K231" s="268"/>
      <c r="L231" s="268"/>
      <c r="M231" s="268"/>
      <c r="N231" s="310"/>
      <c r="O231" s="268"/>
      <c r="P231" s="309"/>
      <c r="Q231" s="381"/>
      <c r="R231" s="268"/>
      <c r="S231" s="313"/>
      <c r="T231" s="313"/>
      <c r="U231" s="268"/>
      <c r="V231" s="268"/>
      <c r="W231" s="268"/>
      <c r="X231" s="268"/>
      <c r="Y231" s="268"/>
      <c r="Z231" s="268"/>
    </row>
    <row r="232" spans="1:26" ht="24.75" customHeight="1">
      <c r="A232" s="268"/>
      <c r="B232" s="268"/>
      <c r="C232" s="268"/>
      <c r="D232" s="268"/>
      <c r="E232" s="268"/>
      <c r="F232" s="268"/>
      <c r="G232" s="268"/>
      <c r="H232" s="389"/>
      <c r="I232" s="389"/>
      <c r="J232" s="389"/>
      <c r="K232" s="268"/>
      <c r="L232" s="268"/>
      <c r="M232" s="268"/>
      <c r="N232" s="310"/>
      <c r="O232" s="268"/>
      <c r="P232" s="309"/>
      <c r="Q232" s="381"/>
      <c r="R232" s="268"/>
      <c r="S232" s="313"/>
      <c r="T232" s="313"/>
      <c r="U232" s="268"/>
      <c r="V232" s="268"/>
      <c r="W232" s="268"/>
      <c r="X232" s="268"/>
      <c r="Y232" s="268"/>
      <c r="Z232" s="268"/>
    </row>
    <row r="233" spans="1:26" ht="24.75" customHeight="1">
      <c r="A233" s="268"/>
      <c r="B233" s="268"/>
      <c r="C233" s="268"/>
      <c r="D233" s="268"/>
      <c r="E233" s="268"/>
      <c r="F233" s="268"/>
      <c r="G233" s="268"/>
      <c r="H233" s="389"/>
      <c r="I233" s="389"/>
      <c r="J233" s="389"/>
      <c r="K233" s="268"/>
      <c r="L233" s="268"/>
      <c r="M233" s="268"/>
      <c r="N233" s="310"/>
      <c r="O233" s="268"/>
      <c r="P233" s="309"/>
      <c r="Q233" s="381"/>
      <c r="R233" s="268"/>
      <c r="S233" s="313"/>
      <c r="T233" s="313"/>
      <c r="U233" s="268"/>
      <c r="V233" s="268"/>
      <c r="W233" s="268"/>
      <c r="X233" s="268"/>
      <c r="Y233" s="268"/>
      <c r="Z233" s="268"/>
    </row>
    <row r="234" spans="1:26" ht="24.75" customHeight="1">
      <c r="A234" s="268"/>
      <c r="B234" s="268"/>
      <c r="C234" s="268"/>
      <c r="D234" s="268"/>
      <c r="E234" s="268"/>
      <c r="F234" s="268"/>
      <c r="G234" s="268"/>
      <c r="H234" s="389"/>
      <c r="I234" s="389"/>
      <c r="J234" s="389"/>
      <c r="K234" s="268"/>
      <c r="L234" s="268"/>
      <c r="M234" s="268"/>
      <c r="N234" s="310"/>
      <c r="O234" s="268"/>
      <c r="P234" s="309"/>
      <c r="Q234" s="381"/>
      <c r="R234" s="268"/>
      <c r="S234" s="313"/>
      <c r="T234" s="313"/>
      <c r="U234" s="268"/>
      <c r="V234" s="268"/>
      <c r="W234" s="268"/>
      <c r="X234" s="268"/>
      <c r="Y234" s="268"/>
      <c r="Z234" s="268"/>
    </row>
    <row r="235" spans="1:26" ht="24.75" customHeight="1">
      <c r="A235" s="268"/>
      <c r="B235" s="268"/>
      <c r="C235" s="268"/>
      <c r="D235" s="268"/>
      <c r="E235" s="268"/>
      <c r="F235" s="268"/>
      <c r="G235" s="268"/>
      <c r="H235" s="389"/>
      <c r="I235" s="389"/>
      <c r="J235" s="389"/>
      <c r="K235" s="268"/>
      <c r="L235" s="268"/>
      <c r="M235" s="268"/>
      <c r="N235" s="310"/>
      <c r="O235" s="268"/>
      <c r="P235" s="309"/>
      <c r="Q235" s="381"/>
      <c r="R235" s="268"/>
      <c r="S235" s="313"/>
      <c r="T235" s="313"/>
      <c r="U235" s="268"/>
      <c r="V235" s="268"/>
      <c r="W235" s="268"/>
      <c r="X235" s="268"/>
      <c r="Y235" s="268"/>
      <c r="Z235" s="268"/>
    </row>
    <row r="236" spans="1:26" ht="24.75" customHeight="1">
      <c r="A236" s="268"/>
      <c r="B236" s="268"/>
      <c r="C236" s="268"/>
      <c r="D236" s="268"/>
      <c r="E236" s="268"/>
      <c r="F236" s="268"/>
      <c r="G236" s="268"/>
      <c r="H236" s="389"/>
      <c r="I236" s="389"/>
      <c r="J236" s="389"/>
      <c r="K236" s="268"/>
      <c r="L236" s="268"/>
      <c r="M236" s="268"/>
      <c r="N236" s="310"/>
      <c r="O236" s="268"/>
      <c r="P236" s="309"/>
      <c r="Q236" s="381"/>
      <c r="R236" s="268"/>
      <c r="S236" s="313"/>
      <c r="T236" s="313"/>
      <c r="U236" s="268"/>
      <c r="V236" s="268"/>
      <c r="W236" s="268"/>
      <c r="X236" s="268"/>
      <c r="Y236" s="268"/>
      <c r="Z236" s="268"/>
    </row>
    <row r="237" spans="1:26" ht="24.75" customHeight="1">
      <c r="A237" s="268"/>
      <c r="B237" s="268"/>
      <c r="C237" s="268"/>
      <c r="D237" s="268"/>
      <c r="E237" s="268"/>
      <c r="F237" s="268"/>
      <c r="G237" s="268"/>
      <c r="H237" s="389"/>
      <c r="I237" s="389"/>
      <c r="J237" s="389"/>
      <c r="K237" s="268"/>
      <c r="L237" s="268"/>
      <c r="M237" s="268"/>
      <c r="N237" s="310"/>
      <c r="O237" s="268"/>
      <c r="P237" s="309"/>
      <c r="Q237" s="381"/>
      <c r="R237" s="268"/>
      <c r="S237" s="313"/>
      <c r="T237" s="313"/>
      <c r="U237" s="268"/>
      <c r="V237" s="268"/>
      <c r="W237" s="268"/>
      <c r="X237" s="268"/>
      <c r="Y237" s="268"/>
      <c r="Z237" s="268"/>
    </row>
    <row r="238" spans="1:26" ht="24.75" customHeight="1">
      <c r="A238" s="268"/>
      <c r="B238" s="268"/>
      <c r="C238" s="268"/>
      <c r="D238" s="268"/>
      <c r="E238" s="268"/>
      <c r="F238" s="268"/>
      <c r="G238" s="268"/>
      <c r="H238" s="389"/>
      <c r="I238" s="389"/>
      <c r="J238" s="389"/>
      <c r="K238" s="268"/>
      <c r="L238" s="268"/>
      <c r="M238" s="268"/>
      <c r="N238" s="310"/>
      <c r="O238" s="268"/>
      <c r="P238" s="309"/>
      <c r="Q238" s="381"/>
      <c r="R238" s="268"/>
      <c r="S238" s="313"/>
      <c r="T238" s="313"/>
      <c r="U238" s="268"/>
      <c r="V238" s="268"/>
      <c r="W238" s="268"/>
      <c r="X238" s="268"/>
      <c r="Y238" s="268"/>
      <c r="Z238" s="268"/>
    </row>
    <row r="239" spans="1:26" ht="24.75" customHeight="1">
      <c r="A239" s="268"/>
      <c r="B239" s="268"/>
      <c r="C239" s="268"/>
      <c r="D239" s="268"/>
      <c r="E239" s="268"/>
      <c r="F239" s="268"/>
      <c r="G239" s="268"/>
      <c r="H239" s="389"/>
      <c r="I239" s="389"/>
      <c r="J239" s="389"/>
      <c r="K239" s="268"/>
      <c r="L239" s="268"/>
      <c r="M239" s="268"/>
      <c r="N239" s="310"/>
      <c r="O239" s="268"/>
      <c r="P239" s="309"/>
      <c r="Q239" s="381"/>
      <c r="R239" s="268"/>
      <c r="S239" s="313"/>
      <c r="T239" s="313"/>
      <c r="U239" s="268"/>
      <c r="V239" s="268"/>
      <c r="W239" s="268"/>
      <c r="X239" s="268"/>
      <c r="Y239" s="268"/>
      <c r="Z239" s="268"/>
    </row>
    <row r="240" spans="1:26" ht="24.75" customHeight="1">
      <c r="A240" s="268"/>
      <c r="B240" s="268"/>
      <c r="C240" s="268"/>
      <c r="D240" s="268"/>
      <c r="E240" s="268"/>
      <c r="F240" s="268"/>
      <c r="G240" s="268"/>
      <c r="H240" s="389"/>
      <c r="I240" s="389"/>
      <c r="J240" s="389"/>
      <c r="K240" s="268"/>
      <c r="L240" s="268"/>
      <c r="M240" s="268"/>
      <c r="N240" s="310"/>
      <c r="O240" s="268"/>
      <c r="P240" s="309"/>
      <c r="Q240" s="381"/>
      <c r="R240" s="268"/>
      <c r="S240" s="313"/>
      <c r="T240" s="313"/>
      <c r="U240" s="268"/>
      <c r="V240" s="268"/>
      <c r="W240" s="268"/>
      <c r="X240" s="268"/>
      <c r="Y240" s="268"/>
      <c r="Z240" s="268"/>
    </row>
    <row r="241" spans="1:26" ht="24.75" customHeight="1">
      <c r="A241" s="268"/>
      <c r="B241" s="268"/>
      <c r="C241" s="268"/>
      <c r="D241" s="268"/>
      <c r="E241" s="268"/>
      <c r="F241" s="268"/>
      <c r="G241" s="268"/>
      <c r="H241" s="389"/>
      <c r="I241" s="389"/>
      <c r="J241" s="389"/>
      <c r="K241" s="268"/>
      <c r="L241" s="268"/>
      <c r="M241" s="268"/>
      <c r="N241" s="310"/>
      <c r="O241" s="268"/>
      <c r="P241" s="309"/>
      <c r="Q241" s="381"/>
      <c r="R241" s="268"/>
      <c r="S241" s="313"/>
      <c r="T241" s="313"/>
      <c r="U241" s="268"/>
      <c r="V241" s="268"/>
      <c r="W241" s="268"/>
      <c r="X241" s="268"/>
      <c r="Y241" s="268"/>
      <c r="Z241" s="268"/>
    </row>
    <row r="242" spans="1:26" ht="24.75" customHeight="1">
      <c r="A242" s="268"/>
      <c r="B242" s="268"/>
      <c r="C242" s="268"/>
      <c r="D242" s="268"/>
      <c r="E242" s="268"/>
      <c r="F242" s="268"/>
      <c r="G242" s="268"/>
      <c r="H242" s="389"/>
      <c r="I242" s="389"/>
      <c r="J242" s="389"/>
      <c r="K242" s="268"/>
      <c r="L242" s="268"/>
      <c r="M242" s="268"/>
      <c r="N242" s="310"/>
      <c r="O242" s="268"/>
      <c r="P242" s="309"/>
      <c r="Q242" s="381"/>
      <c r="R242" s="268"/>
      <c r="S242" s="313"/>
      <c r="T242" s="313"/>
      <c r="U242" s="268"/>
      <c r="V242" s="268"/>
      <c r="W242" s="268"/>
      <c r="X242" s="268"/>
      <c r="Y242" s="268"/>
      <c r="Z242" s="268"/>
    </row>
    <row r="243" spans="1:26" ht="24.75" customHeight="1">
      <c r="A243" s="268"/>
      <c r="B243" s="268"/>
      <c r="C243" s="268"/>
      <c r="D243" s="268"/>
      <c r="E243" s="268"/>
      <c r="F243" s="268"/>
      <c r="G243" s="268"/>
      <c r="H243" s="389"/>
      <c r="I243" s="389"/>
      <c r="J243" s="389"/>
      <c r="K243" s="268"/>
      <c r="L243" s="268"/>
      <c r="M243" s="268"/>
      <c r="N243" s="310"/>
      <c r="O243" s="268"/>
      <c r="P243" s="309"/>
      <c r="Q243" s="381"/>
      <c r="R243" s="268"/>
      <c r="S243" s="313"/>
      <c r="T243" s="313"/>
      <c r="U243" s="268"/>
      <c r="V243" s="268"/>
      <c r="W243" s="268"/>
      <c r="X243" s="268"/>
      <c r="Y243" s="268"/>
      <c r="Z243" s="268"/>
    </row>
    <row r="244" spans="1:26" ht="24.75" customHeight="1">
      <c r="A244" s="268"/>
      <c r="B244" s="268"/>
      <c r="C244" s="268"/>
      <c r="D244" s="268"/>
      <c r="E244" s="268"/>
      <c r="F244" s="268"/>
      <c r="G244" s="268"/>
      <c r="H244" s="389"/>
      <c r="I244" s="389"/>
      <c r="J244" s="389"/>
      <c r="K244" s="268"/>
      <c r="L244" s="268"/>
      <c r="M244" s="268"/>
      <c r="N244" s="310"/>
      <c r="O244" s="268"/>
      <c r="P244" s="309"/>
      <c r="Q244" s="381"/>
      <c r="R244" s="268"/>
      <c r="S244" s="313"/>
      <c r="T244" s="313"/>
      <c r="U244" s="268"/>
      <c r="V244" s="268"/>
      <c r="W244" s="268"/>
      <c r="X244" s="268"/>
      <c r="Y244" s="268"/>
      <c r="Z244" s="268"/>
    </row>
    <row r="245" spans="1:26" ht="24.75" customHeight="1">
      <c r="A245" s="268"/>
      <c r="B245" s="268"/>
      <c r="C245" s="268"/>
      <c r="D245" s="268"/>
      <c r="E245" s="268"/>
      <c r="F245" s="268"/>
      <c r="G245" s="268"/>
      <c r="H245" s="389"/>
      <c r="I245" s="389"/>
      <c r="J245" s="389"/>
      <c r="K245" s="268"/>
      <c r="L245" s="268"/>
      <c r="M245" s="268"/>
      <c r="N245" s="310"/>
      <c r="O245" s="268"/>
      <c r="P245" s="309"/>
      <c r="Q245" s="381"/>
      <c r="R245" s="268"/>
      <c r="S245" s="313"/>
      <c r="T245" s="313"/>
      <c r="U245" s="268"/>
      <c r="V245" s="268"/>
      <c r="W245" s="268"/>
      <c r="X245" s="268"/>
      <c r="Y245" s="268"/>
      <c r="Z245" s="268"/>
    </row>
    <row r="246" spans="1:26" ht="24.75" customHeight="1">
      <c r="A246" s="268"/>
      <c r="B246" s="268"/>
      <c r="C246" s="268"/>
      <c r="D246" s="268"/>
      <c r="E246" s="268"/>
      <c r="F246" s="268"/>
      <c r="G246" s="268"/>
      <c r="H246" s="389"/>
      <c r="I246" s="389"/>
      <c r="J246" s="389"/>
      <c r="K246" s="268"/>
      <c r="L246" s="268"/>
      <c r="M246" s="268"/>
      <c r="N246" s="310"/>
      <c r="O246" s="268"/>
      <c r="P246" s="309"/>
      <c r="Q246" s="381"/>
      <c r="R246" s="268"/>
      <c r="S246" s="313"/>
      <c r="T246" s="313"/>
      <c r="U246" s="268"/>
      <c r="V246" s="268"/>
      <c r="W246" s="268"/>
      <c r="X246" s="268"/>
      <c r="Y246" s="268"/>
      <c r="Z246" s="268"/>
    </row>
    <row r="247" spans="1:26" ht="24.75" customHeight="1">
      <c r="A247" s="268"/>
      <c r="B247" s="268"/>
      <c r="C247" s="268"/>
      <c r="D247" s="268"/>
      <c r="E247" s="268"/>
      <c r="F247" s="268"/>
      <c r="G247" s="268"/>
      <c r="H247" s="389"/>
      <c r="I247" s="389"/>
      <c r="J247" s="389"/>
      <c r="K247" s="268"/>
      <c r="L247" s="268"/>
      <c r="M247" s="268"/>
      <c r="N247" s="310"/>
      <c r="O247" s="268"/>
      <c r="P247" s="309"/>
      <c r="Q247" s="381"/>
      <c r="R247" s="268"/>
      <c r="S247" s="313"/>
      <c r="T247" s="313"/>
      <c r="U247" s="268"/>
      <c r="V247" s="268"/>
      <c r="W247" s="268"/>
      <c r="X247" s="268"/>
      <c r="Y247" s="268"/>
      <c r="Z247" s="268"/>
    </row>
    <row r="248" spans="1:26" ht="24.75" customHeight="1">
      <c r="A248" s="268"/>
      <c r="B248" s="268"/>
      <c r="C248" s="268"/>
      <c r="D248" s="268"/>
      <c r="E248" s="268"/>
      <c r="F248" s="268"/>
      <c r="G248" s="268"/>
      <c r="H248" s="389"/>
      <c r="I248" s="389"/>
      <c r="J248" s="389"/>
      <c r="K248" s="268"/>
      <c r="L248" s="268"/>
      <c r="M248" s="268"/>
      <c r="N248" s="310"/>
      <c r="O248" s="268"/>
      <c r="P248" s="309"/>
      <c r="Q248" s="381"/>
      <c r="R248" s="268"/>
      <c r="S248" s="313"/>
      <c r="T248" s="313"/>
      <c r="U248" s="268"/>
      <c r="V248" s="268"/>
      <c r="W248" s="268"/>
      <c r="X248" s="268"/>
      <c r="Y248" s="268"/>
      <c r="Z248" s="268"/>
    </row>
    <row r="249" spans="1:26" ht="24.75" customHeight="1">
      <c r="A249" s="268"/>
      <c r="B249" s="268"/>
      <c r="C249" s="268"/>
      <c r="D249" s="268"/>
      <c r="E249" s="268"/>
      <c r="F249" s="268"/>
      <c r="G249" s="268"/>
      <c r="H249" s="389"/>
      <c r="I249" s="389"/>
      <c r="J249" s="389"/>
      <c r="K249" s="268"/>
      <c r="L249" s="268"/>
      <c r="M249" s="268"/>
      <c r="N249" s="310"/>
      <c r="O249" s="268"/>
      <c r="P249" s="309"/>
      <c r="Q249" s="381"/>
      <c r="R249" s="268"/>
      <c r="S249" s="313"/>
      <c r="T249" s="313"/>
      <c r="U249" s="268"/>
      <c r="V249" s="268"/>
      <c r="W249" s="268"/>
      <c r="X249" s="268"/>
      <c r="Y249" s="268"/>
      <c r="Z249" s="268"/>
    </row>
    <row r="250" spans="1:26" ht="24.75" customHeight="1">
      <c r="A250" s="268"/>
      <c r="B250" s="268"/>
      <c r="C250" s="268"/>
      <c r="D250" s="268"/>
      <c r="E250" s="268"/>
      <c r="F250" s="268"/>
      <c r="G250" s="268"/>
      <c r="H250" s="389"/>
      <c r="I250" s="389"/>
      <c r="J250" s="389"/>
      <c r="K250" s="268"/>
      <c r="L250" s="268"/>
      <c r="M250" s="268"/>
      <c r="N250" s="310"/>
      <c r="O250" s="268"/>
      <c r="P250" s="309"/>
      <c r="Q250" s="381"/>
      <c r="R250" s="268"/>
      <c r="S250" s="313"/>
      <c r="T250" s="313"/>
      <c r="U250" s="268"/>
      <c r="V250" s="268"/>
      <c r="W250" s="268"/>
      <c r="X250" s="268"/>
      <c r="Y250" s="268"/>
      <c r="Z250" s="268"/>
    </row>
    <row r="251" spans="1:26" ht="24.75" customHeight="1">
      <c r="A251" s="268"/>
      <c r="B251" s="268"/>
      <c r="C251" s="268"/>
      <c r="D251" s="268"/>
      <c r="E251" s="268"/>
      <c r="F251" s="268"/>
      <c r="G251" s="268"/>
      <c r="H251" s="389"/>
      <c r="I251" s="389"/>
      <c r="J251" s="389"/>
      <c r="K251" s="268"/>
      <c r="L251" s="268"/>
      <c r="M251" s="268"/>
      <c r="N251" s="310"/>
      <c r="O251" s="268"/>
      <c r="P251" s="309"/>
      <c r="Q251" s="381"/>
      <c r="R251" s="268"/>
      <c r="S251" s="313"/>
      <c r="T251" s="313"/>
      <c r="U251" s="268"/>
      <c r="V251" s="268"/>
      <c r="W251" s="268"/>
      <c r="X251" s="268"/>
      <c r="Y251" s="268"/>
      <c r="Z251" s="268"/>
    </row>
    <row r="252" spans="1:26" ht="24.75" customHeight="1">
      <c r="A252" s="268"/>
      <c r="B252" s="268"/>
      <c r="C252" s="268"/>
      <c r="D252" s="268"/>
      <c r="E252" s="268"/>
      <c r="F252" s="268"/>
      <c r="G252" s="268"/>
      <c r="H252" s="389"/>
      <c r="I252" s="389"/>
      <c r="J252" s="389"/>
      <c r="K252" s="268"/>
      <c r="L252" s="268"/>
      <c r="M252" s="268"/>
      <c r="N252" s="310"/>
      <c r="O252" s="268"/>
      <c r="P252" s="309"/>
      <c r="Q252" s="381"/>
      <c r="R252" s="268"/>
      <c r="S252" s="313"/>
      <c r="T252" s="313"/>
      <c r="U252" s="268"/>
      <c r="V252" s="268"/>
      <c r="W252" s="268"/>
      <c r="X252" s="268"/>
      <c r="Y252" s="268"/>
      <c r="Z252" s="268"/>
    </row>
    <row r="253" spans="1:26" ht="24.75" customHeight="1">
      <c r="A253" s="268"/>
      <c r="B253" s="268"/>
      <c r="C253" s="268"/>
      <c r="D253" s="268"/>
      <c r="E253" s="268"/>
      <c r="F253" s="268"/>
      <c r="G253" s="268"/>
      <c r="H253" s="389"/>
      <c r="I253" s="389"/>
      <c r="J253" s="389"/>
      <c r="K253" s="268"/>
      <c r="L253" s="268"/>
      <c r="M253" s="268"/>
      <c r="N253" s="310"/>
      <c r="O253" s="268"/>
      <c r="P253" s="309"/>
      <c r="Q253" s="381"/>
      <c r="R253" s="268"/>
      <c r="S253" s="313"/>
      <c r="T253" s="313"/>
      <c r="U253" s="268"/>
      <c r="V253" s="268"/>
      <c r="W253" s="268"/>
      <c r="X253" s="268"/>
      <c r="Y253" s="268"/>
      <c r="Z253" s="268"/>
    </row>
    <row r="254" spans="1:26" ht="24.75" customHeight="1">
      <c r="A254" s="268"/>
      <c r="B254" s="268"/>
      <c r="C254" s="268"/>
      <c r="D254" s="268"/>
      <c r="E254" s="268"/>
      <c r="F254" s="268"/>
      <c r="G254" s="268"/>
      <c r="H254" s="389"/>
      <c r="I254" s="389"/>
      <c r="J254" s="389"/>
      <c r="K254" s="268"/>
      <c r="L254" s="268"/>
      <c r="M254" s="268"/>
      <c r="N254" s="310"/>
      <c r="O254" s="268"/>
      <c r="P254" s="309"/>
      <c r="Q254" s="381"/>
      <c r="R254" s="268"/>
      <c r="S254" s="313"/>
      <c r="T254" s="313"/>
      <c r="U254" s="268"/>
      <c r="V254" s="268"/>
      <c r="W254" s="268"/>
      <c r="X254" s="268"/>
      <c r="Y254" s="268"/>
      <c r="Z254" s="268"/>
    </row>
    <row r="255" spans="1:26" ht="24.75" customHeight="1">
      <c r="A255" s="268"/>
      <c r="B255" s="268"/>
      <c r="C255" s="268"/>
      <c r="D255" s="268"/>
      <c r="E255" s="268"/>
      <c r="F255" s="268"/>
      <c r="G255" s="268"/>
      <c r="H255" s="389"/>
      <c r="I255" s="389"/>
      <c r="J255" s="389"/>
      <c r="K255" s="268"/>
      <c r="L255" s="268"/>
      <c r="M255" s="268"/>
      <c r="N255" s="310"/>
      <c r="O255" s="268"/>
      <c r="P255" s="309"/>
      <c r="Q255" s="381"/>
      <c r="R255" s="268"/>
      <c r="S255" s="313"/>
      <c r="T255" s="313"/>
      <c r="U255" s="268"/>
      <c r="V255" s="268"/>
      <c r="W255" s="268"/>
      <c r="X255" s="268"/>
      <c r="Y255" s="268"/>
      <c r="Z255" s="268"/>
    </row>
    <row r="256" spans="1:26" ht="24.75" customHeight="1">
      <c r="A256" s="268"/>
      <c r="B256" s="268"/>
      <c r="C256" s="268"/>
      <c r="D256" s="268"/>
      <c r="E256" s="268"/>
      <c r="F256" s="268"/>
      <c r="G256" s="268"/>
      <c r="H256" s="389"/>
      <c r="I256" s="389"/>
      <c r="J256" s="389"/>
      <c r="K256" s="268"/>
      <c r="L256" s="268"/>
      <c r="M256" s="268"/>
      <c r="N256" s="310"/>
      <c r="O256" s="268"/>
      <c r="P256" s="309"/>
      <c r="Q256" s="381"/>
      <c r="R256" s="268"/>
      <c r="S256" s="313"/>
      <c r="T256" s="313"/>
      <c r="U256" s="268"/>
      <c r="V256" s="268"/>
      <c r="W256" s="268"/>
      <c r="X256" s="268"/>
      <c r="Y256" s="268"/>
      <c r="Z256" s="268"/>
    </row>
    <row r="257" spans="1:26" ht="24.75" customHeight="1">
      <c r="A257" s="268"/>
      <c r="B257" s="268"/>
      <c r="C257" s="268"/>
      <c r="D257" s="268"/>
      <c r="E257" s="268"/>
      <c r="F257" s="268"/>
      <c r="G257" s="268"/>
      <c r="H257" s="389"/>
      <c r="I257" s="389"/>
      <c r="J257" s="389"/>
      <c r="K257" s="268"/>
      <c r="L257" s="268"/>
      <c r="M257" s="268"/>
      <c r="N257" s="310"/>
      <c r="O257" s="268"/>
      <c r="P257" s="309"/>
      <c r="Q257" s="381"/>
      <c r="R257" s="268"/>
      <c r="S257" s="313"/>
      <c r="T257" s="313"/>
      <c r="U257" s="268"/>
      <c r="V257" s="268"/>
      <c r="W257" s="268"/>
      <c r="X257" s="268"/>
      <c r="Y257" s="268"/>
      <c r="Z257" s="268"/>
    </row>
    <row r="258" spans="1:26" ht="24.75" customHeight="1">
      <c r="A258" s="268"/>
      <c r="B258" s="268"/>
      <c r="C258" s="268"/>
      <c r="D258" s="268"/>
      <c r="E258" s="268"/>
      <c r="F258" s="268"/>
      <c r="G258" s="268"/>
      <c r="H258" s="389"/>
      <c r="I258" s="389"/>
      <c r="J258" s="389"/>
      <c r="K258" s="268"/>
      <c r="L258" s="268"/>
      <c r="M258" s="268"/>
      <c r="N258" s="310"/>
      <c r="O258" s="268"/>
      <c r="P258" s="309"/>
      <c r="Q258" s="381"/>
      <c r="R258" s="268"/>
      <c r="S258" s="313"/>
      <c r="T258" s="313"/>
      <c r="U258" s="268"/>
      <c r="V258" s="268"/>
      <c r="W258" s="268"/>
      <c r="X258" s="268"/>
      <c r="Y258" s="268"/>
      <c r="Z258" s="268"/>
    </row>
    <row r="259" spans="1:26" ht="24.75" customHeight="1">
      <c r="A259" s="268"/>
      <c r="B259" s="268"/>
      <c r="C259" s="268"/>
      <c r="D259" s="268"/>
      <c r="E259" s="268"/>
      <c r="F259" s="268"/>
      <c r="G259" s="268"/>
      <c r="H259" s="389"/>
      <c r="I259" s="389"/>
      <c r="J259" s="389"/>
      <c r="K259" s="268"/>
      <c r="L259" s="268"/>
      <c r="M259" s="268"/>
      <c r="N259" s="310"/>
      <c r="O259" s="268"/>
      <c r="P259" s="309"/>
      <c r="Q259" s="381"/>
      <c r="R259" s="268"/>
      <c r="S259" s="313"/>
      <c r="T259" s="313"/>
      <c r="U259" s="268"/>
      <c r="V259" s="268"/>
      <c r="W259" s="268"/>
      <c r="X259" s="268"/>
      <c r="Y259" s="268"/>
      <c r="Z259" s="268"/>
    </row>
    <row r="260" spans="1:26" ht="24.75" customHeight="1">
      <c r="A260" s="268"/>
      <c r="B260" s="268"/>
      <c r="C260" s="268"/>
      <c r="D260" s="268"/>
      <c r="E260" s="268"/>
      <c r="F260" s="268"/>
      <c r="G260" s="268"/>
      <c r="H260" s="389"/>
      <c r="I260" s="389"/>
      <c r="J260" s="389"/>
      <c r="K260" s="268"/>
      <c r="L260" s="268"/>
      <c r="M260" s="268"/>
      <c r="N260" s="310"/>
      <c r="O260" s="268"/>
      <c r="P260" s="309"/>
      <c r="Q260" s="381"/>
      <c r="R260" s="268"/>
      <c r="S260" s="313"/>
      <c r="T260" s="313"/>
      <c r="U260" s="268"/>
      <c r="V260" s="268"/>
      <c r="W260" s="268"/>
      <c r="X260" s="268"/>
      <c r="Y260" s="268"/>
      <c r="Z260" s="268"/>
    </row>
    <row r="261" spans="1:26" ht="24.75" customHeight="1">
      <c r="A261" s="268"/>
      <c r="B261" s="268"/>
      <c r="C261" s="268"/>
      <c r="D261" s="268"/>
      <c r="E261" s="268"/>
      <c r="F261" s="268"/>
      <c r="G261" s="268"/>
      <c r="H261" s="389"/>
      <c r="I261" s="389"/>
      <c r="J261" s="389"/>
      <c r="K261" s="268"/>
      <c r="L261" s="268"/>
      <c r="M261" s="268"/>
      <c r="N261" s="310"/>
      <c r="O261" s="268"/>
      <c r="P261" s="309"/>
      <c r="Q261" s="381"/>
      <c r="R261" s="268"/>
      <c r="S261" s="313"/>
      <c r="T261" s="313"/>
      <c r="U261" s="268"/>
      <c r="V261" s="268"/>
      <c r="W261" s="268"/>
      <c r="X261" s="268"/>
      <c r="Y261" s="268"/>
      <c r="Z261" s="268"/>
    </row>
    <row r="262" spans="1:26" ht="24.75" customHeight="1">
      <c r="A262" s="268"/>
      <c r="B262" s="268"/>
      <c r="C262" s="268"/>
      <c r="D262" s="268"/>
      <c r="E262" s="268"/>
      <c r="F262" s="268"/>
      <c r="G262" s="268"/>
      <c r="H262" s="389"/>
      <c r="I262" s="389"/>
      <c r="J262" s="389"/>
      <c r="K262" s="268"/>
      <c r="L262" s="268"/>
      <c r="M262" s="268"/>
      <c r="N262" s="310"/>
      <c r="O262" s="268"/>
      <c r="P262" s="309"/>
      <c r="Q262" s="381"/>
      <c r="R262" s="268"/>
      <c r="S262" s="313"/>
      <c r="T262" s="313"/>
      <c r="U262" s="268"/>
      <c r="V262" s="268"/>
      <c r="W262" s="268"/>
      <c r="X262" s="268"/>
      <c r="Y262" s="268"/>
      <c r="Z262" s="268"/>
    </row>
    <row r="263" spans="1:26" ht="24.75" customHeight="1">
      <c r="A263" s="268"/>
      <c r="B263" s="268"/>
      <c r="C263" s="268"/>
      <c r="D263" s="268"/>
      <c r="E263" s="268"/>
      <c r="F263" s="268"/>
      <c r="G263" s="268"/>
      <c r="H263" s="389"/>
      <c r="I263" s="389"/>
      <c r="J263" s="389"/>
      <c r="K263" s="268"/>
      <c r="L263" s="268"/>
      <c r="M263" s="268"/>
      <c r="N263" s="310"/>
      <c r="O263" s="268"/>
      <c r="P263" s="309"/>
      <c r="Q263" s="381"/>
      <c r="R263" s="268"/>
      <c r="S263" s="313"/>
      <c r="T263" s="313"/>
      <c r="U263" s="268"/>
      <c r="V263" s="268"/>
      <c r="W263" s="268"/>
      <c r="X263" s="268"/>
      <c r="Y263" s="268"/>
      <c r="Z263" s="268"/>
    </row>
    <row r="264" spans="1:26" ht="24.75" customHeight="1">
      <c r="A264" s="268"/>
      <c r="B264" s="268"/>
      <c r="C264" s="268"/>
      <c r="D264" s="268"/>
      <c r="E264" s="268"/>
      <c r="F264" s="268"/>
      <c r="G264" s="268"/>
      <c r="H264" s="389"/>
      <c r="I264" s="389"/>
      <c r="J264" s="389"/>
      <c r="K264" s="268"/>
      <c r="L264" s="268"/>
      <c r="M264" s="268"/>
      <c r="N264" s="310"/>
      <c r="O264" s="268"/>
      <c r="P264" s="309"/>
      <c r="Q264" s="381"/>
      <c r="R264" s="268"/>
      <c r="S264" s="313"/>
      <c r="T264" s="313"/>
      <c r="U264" s="268"/>
      <c r="V264" s="268"/>
      <c r="W264" s="268"/>
      <c r="X264" s="268"/>
      <c r="Y264" s="268"/>
      <c r="Z264" s="268"/>
    </row>
    <row r="265" spans="1:26" ht="24.75" customHeight="1">
      <c r="A265" s="268"/>
      <c r="B265" s="268"/>
      <c r="C265" s="268"/>
      <c r="D265" s="268"/>
      <c r="E265" s="268"/>
      <c r="F265" s="268"/>
      <c r="G265" s="268"/>
      <c r="H265" s="389"/>
      <c r="I265" s="389"/>
      <c r="J265" s="389"/>
      <c r="K265" s="268"/>
      <c r="L265" s="268"/>
      <c r="M265" s="268"/>
      <c r="N265" s="310"/>
      <c r="O265" s="268"/>
      <c r="P265" s="309"/>
      <c r="Q265" s="381"/>
      <c r="R265" s="268"/>
      <c r="S265" s="313"/>
      <c r="T265" s="313"/>
      <c r="U265" s="268"/>
      <c r="V265" s="268"/>
      <c r="W265" s="268"/>
      <c r="X265" s="268"/>
      <c r="Y265" s="268"/>
      <c r="Z265" s="268"/>
    </row>
    <row r="266" spans="1:26" ht="24.75" customHeight="1">
      <c r="A266" s="268"/>
      <c r="B266" s="268"/>
      <c r="C266" s="268"/>
      <c r="D266" s="268"/>
      <c r="E266" s="268"/>
      <c r="F266" s="268"/>
      <c r="G266" s="268"/>
      <c r="H266" s="389"/>
      <c r="I266" s="389"/>
      <c r="J266" s="389"/>
      <c r="K266" s="268"/>
      <c r="L266" s="268"/>
      <c r="M266" s="268"/>
      <c r="N266" s="310"/>
      <c r="O266" s="268"/>
      <c r="P266" s="309"/>
      <c r="Q266" s="381"/>
      <c r="R266" s="268"/>
      <c r="S266" s="313"/>
      <c r="T266" s="313"/>
      <c r="U266" s="268"/>
      <c r="V266" s="268"/>
      <c r="W266" s="268"/>
      <c r="X266" s="268"/>
      <c r="Y266" s="268"/>
      <c r="Z266" s="268"/>
    </row>
    <row r="267" spans="1:26" ht="24.75" customHeight="1">
      <c r="A267" s="268"/>
      <c r="B267" s="268"/>
      <c r="C267" s="268"/>
      <c r="D267" s="268"/>
      <c r="E267" s="268"/>
      <c r="F267" s="268"/>
      <c r="G267" s="268"/>
      <c r="H267" s="389"/>
      <c r="I267" s="389"/>
      <c r="J267" s="389"/>
      <c r="K267" s="268"/>
      <c r="L267" s="268"/>
      <c r="M267" s="268"/>
      <c r="N267" s="310"/>
      <c r="O267" s="268"/>
      <c r="P267" s="309"/>
      <c r="Q267" s="381"/>
      <c r="R267" s="268"/>
      <c r="S267" s="313"/>
      <c r="T267" s="313"/>
      <c r="U267" s="268"/>
      <c r="V267" s="268"/>
      <c r="W267" s="268"/>
      <c r="X267" s="268"/>
      <c r="Y267" s="268"/>
      <c r="Z267" s="268"/>
    </row>
    <row r="268" spans="1:26" ht="24.75" customHeight="1">
      <c r="A268" s="268"/>
      <c r="B268" s="268"/>
      <c r="C268" s="268"/>
      <c r="D268" s="268"/>
      <c r="E268" s="268"/>
      <c r="F268" s="268"/>
      <c r="G268" s="268"/>
      <c r="H268" s="389"/>
      <c r="I268" s="389"/>
      <c r="J268" s="389"/>
      <c r="K268" s="268"/>
      <c r="L268" s="268"/>
      <c r="M268" s="268"/>
      <c r="N268" s="310"/>
      <c r="O268" s="268"/>
      <c r="P268" s="309"/>
      <c r="Q268" s="381"/>
      <c r="R268" s="268"/>
      <c r="S268" s="313"/>
      <c r="T268" s="313"/>
      <c r="U268" s="268"/>
      <c r="V268" s="268"/>
      <c r="W268" s="268"/>
      <c r="X268" s="268"/>
      <c r="Y268" s="268"/>
      <c r="Z268" s="268"/>
    </row>
    <row r="269" spans="1:26" ht="24.75" customHeight="1">
      <c r="A269" s="268"/>
      <c r="B269" s="268"/>
      <c r="C269" s="268"/>
      <c r="D269" s="268"/>
      <c r="E269" s="268"/>
      <c r="F269" s="268"/>
      <c r="G269" s="268"/>
      <c r="H269" s="389"/>
      <c r="I269" s="389"/>
      <c r="J269" s="389"/>
      <c r="K269" s="268"/>
      <c r="L269" s="268"/>
      <c r="M269" s="268"/>
      <c r="N269" s="310"/>
      <c r="O269" s="268"/>
      <c r="P269" s="309"/>
      <c r="Q269" s="381"/>
      <c r="R269" s="268"/>
      <c r="S269" s="313"/>
      <c r="T269" s="313"/>
      <c r="U269" s="268"/>
      <c r="V269" s="268"/>
      <c r="W269" s="268"/>
      <c r="X269" s="268"/>
      <c r="Y269" s="268"/>
      <c r="Z269" s="268"/>
    </row>
    <row r="270" spans="1:26" ht="24.75" customHeight="1">
      <c r="A270" s="268"/>
      <c r="B270" s="268"/>
      <c r="C270" s="268"/>
      <c r="D270" s="268"/>
      <c r="E270" s="268"/>
      <c r="F270" s="268"/>
      <c r="G270" s="268"/>
      <c r="H270" s="389"/>
      <c r="I270" s="389"/>
      <c r="J270" s="389"/>
      <c r="K270" s="268"/>
      <c r="L270" s="268"/>
      <c r="M270" s="268"/>
      <c r="N270" s="310"/>
      <c r="O270" s="268"/>
      <c r="P270" s="309"/>
      <c r="Q270" s="381"/>
      <c r="R270" s="268"/>
      <c r="S270" s="313"/>
      <c r="T270" s="313"/>
      <c r="U270" s="268"/>
      <c r="V270" s="268"/>
      <c r="W270" s="268"/>
      <c r="X270" s="268"/>
      <c r="Y270" s="268"/>
      <c r="Z270" s="268"/>
    </row>
    <row r="271" spans="1:26" ht="24.75" customHeight="1">
      <c r="A271" s="268"/>
      <c r="B271" s="268"/>
      <c r="C271" s="268"/>
      <c r="D271" s="268"/>
      <c r="E271" s="268"/>
      <c r="F271" s="268"/>
      <c r="G271" s="268"/>
      <c r="H271" s="389"/>
      <c r="I271" s="389"/>
      <c r="J271" s="389"/>
      <c r="K271" s="268"/>
      <c r="L271" s="268"/>
      <c r="M271" s="268"/>
      <c r="N271" s="310"/>
      <c r="O271" s="268"/>
      <c r="P271" s="309"/>
      <c r="Q271" s="381"/>
      <c r="R271" s="268"/>
      <c r="S271" s="313"/>
      <c r="T271" s="313"/>
      <c r="U271" s="268"/>
      <c r="V271" s="268"/>
      <c r="W271" s="268"/>
      <c r="X271" s="268"/>
      <c r="Y271" s="268"/>
      <c r="Z271" s="268"/>
    </row>
    <row r="272" spans="1:26" ht="24.75" customHeight="1">
      <c r="A272" s="268"/>
      <c r="B272" s="268"/>
      <c r="C272" s="268"/>
      <c r="D272" s="268"/>
      <c r="E272" s="268"/>
      <c r="F272" s="268"/>
      <c r="G272" s="268"/>
      <c r="H272" s="389"/>
      <c r="I272" s="389"/>
      <c r="J272" s="389"/>
      <c r="K272" s="268"/>
      <c r="L272" s="268"/>
      <c r="M272" s="268"/>
      <c r="N272" s="310"/>
      <c r="O272" s="268"/>
      <c r="P272" s="309"/>
      <c r="Q272" s="381"/>
      <c r="R272" s="268"/>
      <c r="S272" s="313"/>
      <c r="T272" s="313"/>
      <c r="U272" s="268"/>
      <c r="V272" s="268"/>
      <c r="W272" s="268"/>
      <c r="X272" s="268"/>
      <c r="Y272" s="268"/>
      <c r="Z272" s="268"/>
    </row>
    <row r="273" spans="1:26" ht="24.75" customHeight="1">
      <c r="A273" s="268"/>
      <c r="B273" s="268"/>
      <c r="C273" s="268"/>
      <c r="D273" s="268"/>
      <c r="E273" s="268"/>
      <c r="F273" s="268"/>
      <c r="G273" s="268"/>
      <c r="H273" s="389"/>
      <c r="I273" s="389"/>
      <c r="J273" s="389"/>
      <c r="K273" s="268"/>
      <c r="L273" s="268"/>
      <c r="M273" s="268"/>
      <c r="N273" s="310"/>
      <c r="O273" s="268"/>
      <c r="P273" s="309"/>
      <c r="Q273" s="381"/>
      <c r="R273" s="268"/>
      <c r="S273" s="313"/>
      <c r="T273" s="313"/>
      <c r="U273" s="268"/>
      <c r="V273" s="268"/>
      <c r="W273" s="268"/>
      <c r="X273" s="268"/>
      <c r="Y273" s="268"/>
      <c r="Z273" s="268"/>
    </row>
    <row r="274" spans="1:26" ht="24.75" customHeight="1">
      <c r="A274" s="268"/>
      <c r="B274" s="268"/>
      <c r="C274" s="268"/>
      <c r="D274" s="268"/>
      <c r="E274" s="268"/>
      <c r="F274" s="268"/>
      <c r="G274" s="268"/>
      <c r="H274" s="389"/>
      <c r="I274" s="389"/>
      <c r="J274" s="389"/>
      <c r="K274" s="268"/>
      <c r="L274" s="268"/>
      <c r="M274" s="268"/>
      <c r="N274" s="310"/>
      <c r="O274" s="268"/>
      <c r="P274" s="309"/>
      <c r="Q274" s="381"/>
      <c r="R274" s="268"/>
      <c r="S274" s="313"/>
      <c r="T274" s="313"/>
      <c r="U274" s="268"/>
      <c r="V274" s="268"/>
      <c r="W274" s="268"/>
      <c r="X274" s="268"/>
      <c r="Y274" s="268"/>
      <c r="Z274" s="268"/>
    </row>
    <row r="275" spans="1:26" ht="24.75" customHeight="1">
      <c r="A275" s="268"/>
      <c r="B275" s="268"/>
      <c r="C275" s="268"/>
      <c r="D275" s="268"/>
      <c r="E275" s="268"/>
      <c r="F275" s="268"/>
      <c r="G275" s="268"/>
      <c r="H275" s="389"/>
      <c r="I275" s="389"/>
      <c r="J275" s="389"/>
      <c r="K275" s="268"/>
      <c r="L275" s="268"/>
      <c r="M275" s="268"/>
      <c r="N275" s="310"/>
      <c r="O275" s="268"/>
      <c r="P275" s="309"/>
      <c r="Q275" s="381"/>
      <c r="R275" s="268"/>
      <c r="S275" s="313"/>
      <c r="T275" s="313"/>
      <c r="U275" s="268"/>
      <c r="V275" s="268"/>
      <c r="W275" s="268"/>
      <c r="X275" s="268"/>
      <c r="Y275" s="268"/>
      <c r="Z275" s="268"/>
    </row>
    <row r="276" spans="1:26" ht="24.75" customHeight="1">
      <c r="A276" s="268"/>
      <c r="B276" s="268"/>
      <c r="C276" s="268"/>
      <c r="D276" s="268"/>
      <c r="E276" s="268"/>
      <c r="F276" s="268"/>
      <c r="G276" s="268"/>
      <c r="H276" s="389"/>
      <c r="I276" s="389"/>
      <c r="J276" s="389"/>
      <c r="K276" s="268"/>
      <c r="L276" s="268"/>
      <c r="M276" s="268"/>
      <c r="N276" s="310"/>
      <c r="O276" s="268"/>
      <c r="P276" s="309"/>
      <c r="Q276" s="381"/>
      <c r="R276" s="268"/>
      <c r="S276" s="313"/>
      <c r="T276" s="313"/>
      <c r="U276" s="268"/>
      <c r="V276" s="268"/>
      <c r="W276" s="268"/>
      <c r="X276" s="268"/>
      <c r="Y276" s="268"/>
      <c r="Z276" s="268"/>
    </row>
    <row r="277" spans="1:26" ht="24.75" customHeight="1">
      <c r="A277" s="268"/>
      <c r="B277" s="268"/>
      <c r="C277" s="268"/>
      <c r="D277" s="268"/>
      <c r="E277" s="268"/>
      <c r="F277" s="268"/>
      <c r="G277" s="268"/>
      <c r="H277" s="389"/>
      <c r="I277" s="389"/>
      <c r="J277" s="389"/>
      <c r="K277" s="268"/>
      <c r="L277" s="268"/>
      <c r="M277" s="268"/>
      <c r="N277" s="310"/>
      <c r="O277" s="268"/>
      <c r="P277" s="309"/>
      <c r="Q277" s="381"/>
      <c r="R277" s="268"/>
      <c r="S277" s="313"/>
      <c r="T277" s="313"/>
      <c r="U277" s="268"/>
      <c r="V277" s="268"/>
      <c r="W277" s="268"/>
      <c r="X277" s="268"/>
      <c r="Y277" s="268"/>
      <c r="Z277" s="268"/>
    </row>
    <row r="278" spans="1:26" ht="24.75" customHeight="1">
      <c r="A278" s="268"/>
      <c r="B278" s="268"/>
      <c r="C278" s="268"/>
      <c r="D278" s="268"/>
      <c r="E278" s="268"/>
      <c r="F278" s="268"/>
      <c r="G278" s="268"/>
      <c r="H278" s="389"/>
      <c r="I278" s="389"/>
      <c r="J278" s="389"/>
      <c r="K278" s="268"/>
      <c r="L278" s="268"/>
      <c r="M278" s="268"/>
      <c r="N278" s="310"/>
      <c r="O278" s="268"/>
      <c r="P278" s="309"/>
      <c r="Q278" s="381"/>
      <c r="R278" s="268"/>
      <c r="S278" s="313"/>
      <c r="T278" s="313"/>
      <c r="U278" s="268"/>
      <c r="V278" s="268"/>
      <c r="W278" s="268"/>
      <c r="X278" s="268"/>
      <c r="Y278" s="268"/>
      <c r="Z278" s="268"/>
    </row>
    <row r="279" spans="1:26" ht="24.75" customHeight="1">
      <c r="A279" s="268"/>
      <c r="B279" s="268"/>
      <c r="C279" s="268"/>
      <c r="D279" s="268"/>
      <c r="E279" s="268"/>
      <c r="F279" s="268"/>
      <c r="G279" s="268"/>
      <c r="H279" s="389"/>
      <c r="I279" s="389"/>
      <c r="J279" s="389"/>
      <c r="K279" s="268"/>
      <c r="L279" s="268"/>
      <c r="M279" s="268"/>
      <c r="N279" s="310"/>
      <c r="O279" s="268"/>
      <c r="P279" s="309"/>
      <c r="Q279" s="381"/>
      <c r="R279" s="268"/>
      <c r="S279" s="313"/>
      <c r="T279" s="313"/>
      <c r="U279" s="268"/>
      <c r="V279" s="268"/>
      <c r="W279" s="268"/>
      <c r="X279" s="268"/>
      <c r="Y279" s="268"/>
      <c r="Z279" s="268"/>
    </row>
    <row r="280" spans="1:26" ht="24.75" customHeight="1">
      <c r="A280" s="268"/>
      <c r="B280" s="268"/>
      <c r="C280" s="268"/>
      <c r="D280" s="268"/>
      <c r="E280" s="268"/>
      <c r="F280" s="268"/>
      <c r="G280" s="268"/>
      <c r="H280" s="389"/>
      <c r="I280" s="389"/>
      <c r="J280" s="389"/>
      <c r="K280" s="268"/>
      <c r="L280" s="268"/>
      <c r="M280" s="268"/>
      <c r="N280" s="310"/>
      <c r="O280" s="268"/>
      <c r="P280" s="309"/>
      <c r="Q280" s="381"/>
      <c r="R280" s="268"/>
      <c r="S280" s="313"/>
      <c r="T280" s="313"/>
      <c r="U280" s="268"/>
      <c r="V280" s="268"/>
      <c r="W280" s="268"/>
      <c r="X280" s="268"/>
      <c r="Y280" s="268"/>
      <c r="Z280" s="268"/>
    </row>
    <row r="281" spans="1:26" ht="24.75" customHeight="1">
      <c r="A281" s="268"/>
      <c r="B281" s="268"/>
      <c r="C281" s="268"/>
      <c r="D281" s="268"/>
      <c r="E281" s="268"/>
      <c r="F281" s="268"/>
      <c r="G281" s="268"/>
      <c r="H281" s="389"/>
      <c r="I281" s="389"/>
      <c r="J281" s="389"/>
      <c r="K281" s="268"/>
      <c r="L281" s="268"/>
      <c r="M281" s="268"/>
      <c r="N281" s="310"/>
      <c r="O281" s="268"/>
      <c r="P281" s="309"/>
      <c r="Q281" s="381"/>
      <c r="R281" s="268"/>
      <c r="S281" s="313"/>
      <c r="T281" s="313"/>
      <c r="U281" s="268"/>
      <c r="V281" s="268"/>
      <c r="W281" s="268"/>
      <c r="X281" s="268"/>
      <c r="Y281" s="268"/>
      <c r="Z281" s="268"/>
    </row>
    <row r="282" spans="1:26" ht="24.75" customHeight="1">
      <c r="A282" s="268"/>
      <c r="B282" s="268"/>
      <c r="C282" s="268"/>
      <c r="D282" s="268"/>
      <c r="E282" s="268"/>
      <c r="F282" s="268"/>
      <c r="G282" s="268"/>
      <c r="H282" s="389"/>
      <c r="I282" s="389"/>
      <c r="J282" s="389"/>
      <c r="K282" s="268"/>
      <c r="L282" s="268"/>
      <c r="M282" s="268"/>
      <c r="N282" s="310"/>
      <c r="O282" s="268"/>
      <c r="P282" s="309"/>
      <c r="Q282" s="381"/>
      <c r="R282" s="268"/>
      <c r="S282" s="313"/>
      <c r="T282" s="313"/>
      <c r="U282" s="268"/>
      <c r="V282" s="268"/>
      <c r="W282" s="268"/>
      <c r="X282" s="268"/>
      <c r="Y282" s="268"/>
      <c r="Z282" s="268"/>
    </row>
    <row r="283" spans="1:26" ht="24.75" customHeight="1">
      <c r="A283" s="268"/>
      <c r="B283" s="268"/>
      <c r="C283" s="268"/>
      <c r="D283" s="268"/>
      <c r="E283" s="268"/>
      <c r="F283" s="268"/>
      <c r="G283" s="268"/>
      <c r="H283" s="389"/>
      <c r="I283" s="389"/>
      <c r="J283" s="389"/>
      <c r="K283" s="268"/>
      <c r="L283" s="268"/>
      <c r="M283" s="268"/>
      <c r="N283" s="310"/>
      <c r="O283" s="268"/>
      <c r="P283" s="309"/>
      <c r="Q283" s="381"/>
      <c r="R283" s="268"/>
      <c r="S283" s="313"/>
      <c r="T283" s="313"/>
      <c r="U283" s="268"/>
      <c r="V283" s="268"/>
      <c r="W283" s="268"/>
      <c r="X283" s="268"/>
      <c r="Y283" s="268"/>
      <c r="Z283" s="268"/>
    </row>
    <row r="284" spans="1:26" ht="24.75" customHeight="1">
      <c r="A284" s="268"/>
      <c r="B284" s="268"/>
      <c r="C284" s="268"/>
      <c r="D284" s="268"/>
      <c r="E284" s="268"/>
      <c r="F284" s="268"/>
      <c r="G284" s="268"/>
      <c r="H284" s="389"/>
      <c r="I284" s="389"/>
      <c r="J284" s="389"/>
      <c r="K284" s="268"/>
      <c r="L284" s="268"/>
      <c r="M284" s="268"/>
      <c r="N284" s="310"/>
      <c r="O284" s="268"/>
      <c r="P284" s="309"/>
      <c r="Q284" s="381"/>
      <c r="R284" s="268"/>
      <c r="S284" s="313"/>
      <c r="T284" s="313"/>
      <c r="U284" s="268"/>
      <c r="V284" s="268"/>
      <c r="W284" s="268"/>
      <c r="X284" s="268"/>
      <c r="Y284" s="268"/>
      <c r="Z284" s="268"/>
    </row>
    <row r="285" spans="1:26" ht="24.75" customHeight="1">
      <c r="A285" s="268"/>
      <c r="B285" s="268"/>
      <c r="C285" s="268"/>
      <c r="D285" s="268"/>
      <c r="E285" s="268"/>
      <c r="F285" s="268"/>
      <c r="G285" s="268"/>
      <c r="H285" s="389"/>
      <c r="I285" s="389"/>
      <c r="J285" s="389"/>
      <c r="K285" s="268"/>
      <c r="L285" s="268"/>
      <c r="M285" s="268"/>
      <c r="N285" s="310"/>
      <c r="O285" s="268"/>
      <c r="P285" s="309"/>
      <c r="Q285" s="381"/>
      <c r="R285" s="268"/>
      <c r="S285" s="313"/>
      <c r="T285" s="313"/>
      <c r="U285" s="268"/>
      <c r="V285" s="268"/>
      <c r="W285" s="268"/>
      <c r="X285" s="268"/>
      <c r="Y285" s="268"/>
      <c r="Z285" s="268"/>
    </row>
    <row r="286" spans="1:26" ht="24.75" customHeight="1">
      <c r="A286" s="268"/>
      <c r="B286" s="268"/>
      <c r="C286" s="268"/>
      <c r="D286" s="268"/>
      <c r="E286" s="268"/>
      <c r="F286" s="268"/>
      <c r="G286" s="268"/>
      <c r="H286" s="389"/>
      <c r="I286" s="389"/>
      <c r="J286" s="389"/>
      <c r="K286" s="268"/>
      <c r="L286" s="268"/>
      <c r="M286" s="268"/>
      <c r="N286" s="310"/>
      <c r="O286" s="268"/>
      <c r="P286" s="309"/>
      <c r="Q286" s="381"/>
      <c r="R286" s="268"/>
      <c r="S286" s="313"/>
      <c r="T286" s="313"/>
      <c r="U286" s="268"/>
      <c r="V286" s="268"/>
      <c r="W286" s="268"/>
      <c r="X286" s="268"/>
      <c r="Y286" s="268"/>
      <c r="Z286" s="268"/>
    </row>
    <row r="287" spans="1:26" ht="24.75" customHeight="1">
      <c r="A287" s="268"/>
      <c r="B287" s="268"/>
      <c r="C287" s="268"/>
      <c r="D287" s="268"/>
      <c r="E287" s="268"/>
      <c r="F287" s="268"/>
      <c r="G287" s="268"/>
      <c r="H287" s="389"/>
      <c r="I287" s="389"/>
      <c r="J287" s="389"/>
      <c r="K287" s="268"/>
      <c r="L287" s="268"/>
      <c r="M287" s="268"/>
      <c r="N287" s="310"/>
      <c r="O287" s="268"/>
      <c r="P287" s="309"/>
      <c r="Q287" s="381"/>
      <c r="R287" s="268"/>
      <c r="S287" s="313"/>
      <c r="T287" s="313"/>
      <c r="U287" s="268"/>
      <c r="V287" s="268"/>
      <c r="W287" s="268"/>
      <c r="X287" s="268"/>
      <c r="Y287" s="268"/>
      <c r="Z287" s="268"/>
    </row>
    <row r="288" spans="1:26" ht="24.75" customHeight="1">
      <c r="A288" s="268"/>
      <c r="B288" s="268"/>
      <c r="C288" s="268"/>
      <c r="D288" s="268"/>
      <c r="E288" s="268"/>
      <c r="F288" s="268"/>
      <c r="G288" s="268"/>
      <c r="H288" s="389"/>
      <c r="I288" s="389"/>
      <c r="J288" s="389"/>
      <c r="K288" s="268"/>
      <c r="L288" s="268"/>
      <c r="M288" s="268"/>
      <c r="N288" s="310"/>
      <c r="O288" s="268"/>
      <c r="P288" s="309"/>
      <c r="Q288" s="381"/>
      <c r="R288" s="268"/>
      <c r="S288" s="313"/>
      <c r="T288" s="313"/>
      <c r="U288" s="268"/>
      <c r="V288" s="268"/>
      <c r="W288" s="268"/>
      <c r="X288" s="268"/>
      <c r="Y288" s="268"/>
      <c r="Z288" s="268"/>
    </row>
    <row r="289" spans="1:26" ht="24.75" customHeight="1">
      <c r="A289" s="268"/>
      <c r="B289" s="268"/>
      <c r="C289" s="268"/>
      <c r="D289" s="268"/>
      <c r="E289" s="268"/>
      <c r="F289" s="268"/>
      <c r="G289" s="268"/>
      <c r="H289" s="389"/>
      <c r="I289" s="389"/>
      <c r="J289" s="389"/>
      <c r="K289" s="268"/>
      <c r="L289" s="268"/>
      <c r="M289" s="268"/>
      <c r="N289" s="310"/>
      <c r="O289" s="268"/>
      <c r="P289" s="309"/>
      <c r="Q289" s="381"/>
      <c r="R289" s="268"/>
      <c r="S289" s="313"/>
      <c r="T289" s="313"/>
      <c r="U289" s="268"/>
      <c r="V289" s="268"/>
      <c r="W289" s="268"/>
      <c r="X289" s="268"/>
      <c r="Y289" s="268"/>
      <c r="Z289" s="268"/>
    </row>
    <row r="290" spans="1:26" ht="24.75" customHeight="1">
      <c r="A290" s="268"/>
      <c r="B290" s="268"/>
      <c r="C290" s="268"/>
      <c r="D290" s="268"/>
      <c r="E290" s="268"/>
      <c r="F290" s="268"/>
      <c r="G290" s="268"/>
      <c r="H290" s="389"/>
      <c r="I290" s="389"/>
      <c r="J290" s="389"/>
      <c r="K290" s="268"/>
      <c r="L290" s="268"/>
      <c r="M290" s="268"/>
      <c r="N290" s="310"/>
      <c r="O290" s="268"/>
      <c r="P290" s="309"/>
      <c r="Q290" s="381"/>
      <c r="R290" s="268"/>
      <c r="S290" s="313"/>
      <c r="T290" s="313"/>
      <c r="U290" s="268"/>
      <c r="V290" s="268"/>
      <c r="W290" s="268"/>
      <c r="X290" s="268"/>
      <c r="Y290" s="268"/>
      <c r="Z290" s="268"/>
    </row>
    <row r="291" spans="1:26" ht="24.75" customHeight="1">
      <c r="A291" s="268"/>
      <c r="B291" s="268"/>
      <c r="C291" s="268"/>
      <c r="D291" s="268"/>
      <c r="E291" s="268"/>
      <c r="F291" s="268"/>
      <c r="G291" s="268"/>
      <c r="H291" s="389"/>
      <c r="I291" s="389"/>
      <c r="J291" s="389"/>
      <c r="K291" s="268"/>
      <c r="L291" s="268"/>
      <c r="M291" s="268"/>
      <c r="N291" s="310"/>
      <c r="O291" s="268"/>
      <c r="P291" s="309"/>
      <c r="Q291" s="381"/>
      <c r="R291" s="268"/>
      <c r="S291" s="313"/>
      <c r="T291" s="313"/>
      <c r="U291" s="268"/>
      <c r="V291" s="268"/>
      <c r="W291" s="268"/>
      <c r="X291" s="268"/>
      <c r="Y291" s="268"/>
      <c r="Z291" s="268"/>
    </row>
    <row r="292" spans="1:26" ht="24.75" customHeight="1">
      <c r="A292" s="268"/>
      <c r="B292" s="268"/>
      <c r="C292" s="268"/>
      <c r="D292" s="268"/>
      <c r="E292" s="268"/>
      <c r="F292" s="268"/>
      <c r="G292" s="268"/>
      <c r="H292" s="389"/>
      <c r="I292" s="389"/>
      <c r="J292" s="389"/>
      <c r="K292" s="268"/>
      <c r="L292" s="268"/>
      <c r="M292" s="268"/>
      <c r="N292" s="310"/>
      <c r="O292" s="268"/>
      <c r="P292" s="309"/>
      <c r="Q292" s="381"/>
      <c r="R292" s="268"/>
      <c r="S292" s="313"/>
      <c r="T292" s="313"/>
      <c r="U292" s="268"/>
      <c r="V292" s="268"/>
      <c r="W292" s="268"/>
      <c r="X292" s="268"/>
      <c r="Y292" s="268"/>
      <c r="Z292" s="268"/>
    </row>
    <row r="293" spans="1:26" ht="24.75" customHeight="1">
      <c r="A293" s="268"/>
      <c r="B293" s="268"/>
      <c r="C293" s="268"/>
      <c r="D293" s="268"/>
      <c r="E293" s="268"/>
      <c r="F293" s="268"/>
      <c r="G293" s="268"/>
      <c r="H293" s="389"/>
      <c r="I293" s="389"/>
      <c r="J293" s="389"/>
      <c r="K293" s="268"/>
      <c r="L293" s="268"/>
      <c r="M293" s="268"/>
      <c r="N293" s="310"/>
      <c r="O293" s="268"/>
      <c r="P293" s="309"/>
      <c r="Q293" s="381"/>
      <c r="R293" s="268"/>
      <c r="S293" s="313"/>
      <c r="T293" s="313"/>
      <c r="U293" s="268"/>
      <c r="V293" s="268"/>
      <c r="W293" s="268"/>
      <c r="X293" s="268"/>
      <c r="Y293" s="268"/>
      <c r="Z293" s="268"/>
    </row>
    <row r="294" spans="1:26" ht="24.75" customHeight="1">
      <c r="A294" s="268"/>
      <c r="B294" s="268"/>
      <c r="C294" s="268"/>
      <c r="D294" s="268"/>
      <c r="E294" s="268"/>
      <c r="F294" s="268"/>
      <c r="G294" s="268"/>
      <c r="H294" s="389"/>
      <c r="I294" s="389"/>
      <c r="J294" s="389"/>
      <c r="K294" s="268"/>
      <c r="L294" s="268"/>
      <c r="M294" s="268"/>
      <c r="N294" s="310"/>
      <c r="O294" s="268"/>
      <c r="P294" s="309"/>
      <c r="Q294" s="381"/>
      <c r="R294" s="268"/>
      <c r="S294" s="313"/>
      <c r="T294" s="313"/>
      <c r="U294" s="268"/>
      <c r="V294" s="268"/>
      <c r="W294" s="268"/>
      <c r="X294" s="268"/>
      <c r="Y294" s="268"/>
      <c r="Z294" s="268"/>
    </row>
    <row r="295" spans="1:26" ht="24.75" customHeight="1">
      <c r="A295" s="268"/>
      <c r="B295" s="268"/>
      <c r="C295" s="268"/>
      <c r="D295" s="268"/>
      <c r="E295" s="268"/>
      <c r="F295" s="268"/>
      <c r="G295" s="268"/>
      <c r="H295" s="389"/>
      <c r="I295" s="389"/>
      <c r="J295" s="389"/>
      <c r="K295" s="268"/>
      <c r="L295" s="268"/>
      <c r="M295" s="268"/>
      <c r="N295" s="310"/>
      <c r="O295" s="268"/>
      <c r="P295" s="309"/>
      <c r="Q295" s="381"/>
      <c r="R295" s="268"/>
      <c r="S295" s="313"/>
      <c r="T295" s="313"/>
      <c r="U295" s="268"/>
      <c r="V295" s="268"/>
      <c r="W295" s="268"/>
      <c r="X295" s="268"/>
      <c r="Y295" s="268"/>
      <c r="Z295" s="268"/>
    </row>
    <row r="296" spans="1:26" ht="24.75" customHeight="1">
      <c r="A296" s="268"/>
      <c r="B296" s="268"/>
      <c r="C296" s="268"/>
      <c r="D296" s="268"/>
      <c r="E296" s="268"/>
      <c r="F296" s="268"/>
      <c r="G296" s="268"/>
      <c r="H296" s="389"/>
      <c r="I296" s="389"/>
      <c r="J296" s="389"/>
      <c r="K296" s="268"/>
      <c r="L296" s="268"/>
      <c r="M296" s="268"/>
      <c r="N296" s="310"/>
      <c r="O296" s="268"/>
      <c r="P296" s="309"/>
      <c r="Q296" s="381"/>
      <c r="R296" s="268"/>
      <c r="S296" s="313"/>
      <c r="T296" s="313"/>
      <c r="U296" s="268"/>
      <c r="V296" s="268"/>
      <c r="W296" s="268"/>
      <c r="X296" s="268"/>
      <c r="Y296" s="268"/>
      <c r="Z296" s="268"/>
    </row>
    <row r="297" spans="1:26" ht="24.75" customHeight="1">
      <c r="A297" s="268"/>
      <c r="B297" s="268"/>
      <c r="C297" s="268"/>
      <c r="D297" s="268"/>
      <c r="E297" s="268"/>
      <c r="F297" s="268"/>
      <c r="G297" s="268"/>
      <c r="H297" s="389"/>
      <c r="I297" s="389"/>
      <c r="J297" s="389"/>
      <c r="K297" s="268"/>
      <c r="L297" s="268"/>
      <c r="M297" s="268"/>
      <c r="N297" s="310"/>
      <c r="O297" s="268"/>
      <c r="P297" s="309"/>
      <c r="Q297" s="381"/>
      <c r="R297" s="268"/>
      <c r="S297" s="313"/>
      <c r="T297" s="313"/>
      <c r="U297" s="268"/>
      <c r="V297" s="268"/>
      <c r="W297" s="268"/>
      <c r="X297" s="268"/>
      <c r="Y297" s="268"/>
      <c r="Z297" s="268"/>
    </row>
    <row r="298" spans="1:26" ht="24.75" customHeight="1">
      <c r="A298" s="268"/>
      <c r="B298" s="268"/>
      <c r="C298" s="268"/>
      <c r="D298" s="268"/>
      <c r="E298" s="268"/>
      <c r="F298" s="268"/>
      <c r="G298" s="268"/>
      <c r="H298" s="389"/>
      <c r="I298" s="389"/>
      <c r="J298" s="389"/>
      <c r="K298" s="268"/>
      <c r="L298" s="268"/>
      <c r="M298" s="268"/>
      <c r="N298" s="310"/>
      <c r="O298" s="268"/>
      <c r="P298" s="309"/>
      <c r="Q298" s="381"/>
      <c r="R298" s="268"/>
      <c r="S298" s="313"/>
      <c r="T298" s="313"/>
      <c r="U298" s="268"/>
      <c r="V298" s="268"/>
      <c r="W298" s="268"/>
      <c r="X298" s="268"/>
      <c r="Y298" s="268"/>
      <c r="Z298" s="268"/>
    </row>
    <row r="299" spans="1:26" ht="24.75" customHeight="1">
      <c r="A299" s="268"/>
      <c r="B299" s="268"/>
      <c r="C299" s="268"/>
      <c r="D299" s="268"/>
      <c r="E299" s="268"/>
      <c r="F299" s="268"/>
      <c r="G299" s="268"/>
      <c r="H299" s="389"/>
      <c r="I299" s="389"/>
      <c r="J299" s="389"/>
      <c r="K299" s="268"/>
      <c r="L299" s="268"/>
      <c r="M299" s="268"/>
      <c r="N299" s="310"/>
      <c r="O299" s="268"/>
      <c r="P299" s="309"/>
      <c r="Q299" s="381"/>
      <c r="R299" s="268"/>
      <c r="S299" s="313"/>
      <c r="T299" s="313"/>
      <c r="U299" s="268"/>
      <c r="V299" s="268"/>
      <c r="W299" s="268"/>
      <c r="X299" s="268"/>
      <c r="Y299" s="268"/>
      <c r="Z299" s="268"/>
    </row>
    <row r="300" spans="1:26" ht="24.75" customHeight="1">
      <c r="A300" s="268"/>
      <c r="B300" s="268"/>
      <c r="C300" s="268"/>
      <c r="D300" s="268"/>
      <c r="E300" s="268"/>
      <c r="F300" s="268"/>
      <c r="G300" s="268"/>
      <c r="H300" s="389"/>
      <c r="I300" s="389"/>
      <c r="J300" s="389"/>
      <c r="K300" s="268"/>
      <c r="L300" s="268"/>
      <c r="M300" s="268"/>
      <c r="N300" s="310"/>
      <c r="O300" s="268"/>
      <c r="P300" s="309"/>
      <c r="Q300" s="381"/>
      <c r="R300" s="268"/>
      <c r="S300" s="313"/>
      <c r="T300" s="313"/>
      <c r="U300" s="268"/>
      <c r="V300" s="268"/>
      <c r="W300" s="268"/>
      <c r="X300" s="268"/>
      <c r="Y300" s="268"/>
      <c r="Z300" s="268"/>
    </row>
    <row r="301" spans="1:26" ht="24.75" customHeight="1">
      <c r="A301" s="268"/>
      <c r="B301" s="268"/>
      <c r="C301" s="268"/>
      <c r="D301" s="268"/>
      <c r="E301" s="268"/>
      <c r="F301" s="268"/>
      <c r="G301" s="268"/>
      <c r="H301" s="389"/>
      <c r="I301" s="389"/>
      <c r="J301" s="389"/>
      <c r="K301" s="268"/>
      <c r="L301" s="268"/>
      <c r="M301" s="268"/>
      <c r="N301" s="310"/>
      <c r="O301" s="268"/>
      <c r="P301" s="309"/>
      <c r="Q301" s="381"/>
      <c r="R301" s="268"/>
      <c r="S301" s="313"/>
      <c r="T301" s="313"/>
      <c r="U301" s="268"/>
      <c r="V301" s="268"/>
      <c r="W301" s="268"/>
      <c r="X301" s="268"/>
      <c r="Y301" s="268"/>
      <c r="Z301" s="268"/>
    </row>
    <row r="302" spans="1:26" ht="24.75" customHeight="1">
      <c r="A302" s="268"/>
      <c r="B302" s="268"/>
      <c r="C302" s="268"/>
      <c r="D302" s="268"/>
      <c r="E302" s="268"/>
      <c r="F302" s="268"/>
      <c r="G302" s="268"/>
      <c r="H302" s="389"/>
      <c r="I302" s="389"/>
      <c r="J302" s="389"/>
      <c r="K302" s="268"/>
      <c r="L302" s="268"/>
      <c r="M302" s="268"/>
      <c r="N302" s="310"/>
      <c r="O302" s="268"/>
      <c r="P302" s="309"/>
      <c r="Q302" s="381"/>
      <c r="R302" s="268"/>
      <c r="S302" s="313"/>
      <c r="T302" s="313"/>
      <c r="U302" s="268"/>
      <c r="V302" s="268"/>
      <c r="W302" s="268"/>
      <c r="X302" s="268"/>
      <c r="Y302" s="268"/>
      <c r="Z302" s="268"/>
    </row>
    <row r="303" spans="1:26" ht="24.75" customHeight="1">
      <c r="A303" s="268"/>
      <c r="B303" s="268"/>
      <c r="C303" s="268"/>
      <c r="D303" s="268"/>
      <c r="E303" s="268"/>
      <c r="F303" s="268"/>
      <c r="G303" s="268"/>
      <c r="H303" s="389"/>
      <c r="I303" s="389"/>
      <c r="J303" s="389"/>
      <c r="K303" s="268"/>
      <c r="L303" s="268"/>
      <c r="M303" s="268"/>
      <c r="N303" s="310"/>
      <c r="O303" s="268"/>
      <c r="P303" s="309"/>
      <c r="Q303" s="381"/>
      <c r="R303" s="268"/>
      <c r="S303" s="313"/>
      <c r="T303" s="313"/>
      <c r="U303" s="268"/>
      <c r="V303" s="268"/>
      <c r="W303" s="268"/>
      <c r="X303" s="268"/>
      <c r="Y303" s="268"/>
      <c r="Z303" s="268"/>
    </row>
    <row r="304" spans="1:26" ht="24.75" customHeight="1">
      <c r="A304" s="268"/>
      <c r="B304" s="268"/>
      <c r="C304" s="268"/>
      <c r="D304" s="268"/>
      <c r="E304" s="268"/>
      <c r="F304" s="268"/>
      <c r="G304" s="268"/>
      <c r="H304" s="389"/>
      <c r="I304" s="389"/>
      <c r="J304" s="389"/>
      <c r="K304" s="268"/>
      <c r="L304" s="268"/>
      <c r="M304" s="268"/>
      <c r="N304" s="310"/>
      <c r="O304" s="268"/>
      <c r="P304" s="309"/>
      <c r="Q304" s="381"/>
      <c r="R304" s="268"/>
      <c r="S304" s="313"/>
      <c r="T304" s="313"/>
      <c r="U304" s="268"/>
      <c r="V304" s="268"/>
      <c r="W304" s="268"/>
      <c r="X304" s="268"/>
      <c r="Y304" s="268"/>
      <c r="Z304" s="268"/>
    </row>
    <row r="305" spans="1:26" ht="24.75" customHeight="1">
      <c r="A305" s="268"/>
      <c r="B305" s="268"/>
      <c r="C305" s="268"/>
      <c r="D305" s="268"/>
      <c r="E305" s="268"/>
      <c r="F305" s="268"/>
      <c r="G305" s="268"/>
      <c r="H305" s="389"/>
      <c r="I305" s="389"/>
      <c r="J305" s="389"/>
      <c r="K305" s="268"/>
      <c r="L305" s="268"/>
      <c r="M305" s="268"/>
      <c r="N305" s="310"/>
      <c r="O305" s="268"/>
      <c r="P305" s="309"/>
      <c r="Q305" s="381"/>
      <c r="R305" s="268"/>
      <c r="S305" s="313"/>
      <c r="T305" s="313"/>
      <c r="U305" s="268"/>
      <c r="V305" s="268"/>
      <c r="W305" s="268"/>
      <c r="X305" s="268"/>
      <c r="Y305" s="268"/>
      <c r="Z305" s="268"/>
    </row>
    <row r="306" spans="1:26" ht="24.75" customHeight="1">
      <c r="A306" s="268"/>
      <c r="B306" s="268"/>
      <c r="C306" s="268"/>
      <c r="D306" s="268"/>
      <c r="E306" s="268"/>
      <c r="F306" s="268"/>
      <c r="G306" s="268"/>
      <c r="H306" s="389"/>
      <c r="I306" s="389"/>
      <c r="J306" s="389"/>
      <c r="K306" s="268"/>
      <c r="L306" s="268"/>
      <c r="M306" s="268"/>
      <c r="N306" s="310"/>
      <c r="O306" s="268"/>
      <c r="P306" s="309"/>
      <c r="Q306" s="381"/>
      <c r="R306" s="268"/>
      <c r="S306" s="313"/>
      <c r="T306" s="313"/>
      <c r="U306" s="268"/>
      <c r="V306" s="268"/>
      <c r="W306" s="268"/>
      <c r="X306" s="268"/>
      <c r="Y306" s="268"/>
      <c r="Z306" s="268"/>
    </row>
    <row r="307" spans="1:26" ht="24.75" customHeight="1">
      <c r="A307" s="268"/>
      <c r="B307" s="268"/>
      <c r="C307" s="268"/>
      <c r="D307" s="268"/>
      <c r="E307" s="268"/>
      <c r="F307" s="268"/>
      <c r="G307" s="268"/>
      <c r="H307" s="389"/>
      <c r="I307" s="389"/>
      <c r="J307" s="389"/>
      <c r="K307" s="268"/>
      <c r="L307" s="268"/>
      <c r="M307" s="268"/>
      <c r="N307" s="310"/>
      <c r="O307" s="268"/>
      <c r="P307" s="309"/>
      <c r="Q307" s="381"/>
      <c r="R307" s="268"/>
      <c r="S307" s="313"/>
      <c r="T307" s="313"/>
      <c r="U307" s="268"/>
      <c r="V307" s="268"/>
      <c r="W307" s="268"/>
      <c r="X307" s="268"/>
      <c r="Y307" s="268"/>
      <c r="Z307" s="268"/>
    </row>
    <row r="308" spans="1:26" ht="24.75" customHeight="1">
      <c r="A308" s="268"/>
      <c r="B308" s="268"/>
      <c r="C308" s="268"/>
      <c r="D308" s="268"/>
      <c r="E308" s="268"/>
      <c r="F308" s="268"/>
      <c r="G308" s="268"/>
      <c r="H308" s="389"/>
      <c r="I308" s="389"/>
      <c r="J308" s="389"/>
      <c r="K308" s="268"/>
      <c r="L308" s="268"/>
      <c r="M308" s="268"/>
      <c r="N308" s="310"/>
      <c r="O308" s="268"/>
      <c r="P308" s="309"/>
      <c r="Q308" s="381"/>
      <c r="R308" s="268"/>
      <c r="S308" s="313"/>
      <c r="T308" s="313"/>
      <c r="U308" s="268"/>
      <c r="V308" s="268"/>
      <c r="W308" s="268"/>
      <c r="X308" s="268"/>
      <c r="Y308" s="268"/>
      <c r="Z308" s="268"/>
    </row>
    <row r="309" spans="1:26" ht="24.75" customHeight="1">
      <c r="A309" s="268"/>
      <c r="B309" s="268"/>
      <c r="C309" s="268"/>
      <c r="D309" s="268"/>
      <c r="E309" s="268"/>
      <c r="F309" s="268"/>
      <c r="G309" s="268"/>
      <c r="H309" s="389"/>
      <c r="I309" s="389"/>
      <c r="J309" s="389"/>
      <c r="K309" s="268"/>
      <c r="L309" s="268"/>
      <c r="M309" s="268"/>
      <c r="N309" s="310"/>
      <c r="O309" s="268"/>
      <c r="P309" s="309"/>
      <c r="Q309" s="381"/>
      <c r="R309" s="268"/>
      <c r="S309" s="313"/>
      <c r="T309" s="313"/>
      <c r="U309" s="268"/>
      <c r="V309" s="268"/>
      <c r="W309" s="268"/>
      <c r="X309" s="268"/>
      <c r="Y309" s="268"/>
      <c r="Z309" s="268"/>
    </row>
    <row r="310" spans="1:26" ht="24.75" customHeight="1">
      <c r="A310" s="268"/>
      <c r="B310" s="268"/>
      <c r="C310" s="268"/>
      <c r="D310" s="268"/>
      <c r="E310" s="268"/>
      <c r="F310" s="268"/>
      <c r="G310" s="268"/>
      <c r="H310" s="389"/>
      <c r="I310" s="389"/>
      <c r="J310" s="389"/>
      <c r="K310" s="268"/>
      <c r="L310" s="268"/>
      <c r="M310" s="268"/>
      <c r="N310" s="310"/>
      <c r="O310" s="268"/>
      <c r="P310" s="309"/>
      <c r="Q310" s="381"/>
      <c r="R310" s="268"/>
      <c r="S310" s="313"/>
      <c r="T310" s="313"/>
      <c r="U310" s="268"/>
      <c r="V310" s="268"/>
      <c r="W310" s="268"/>
      <c r="X310" s="268"/>
      <c r="Y310" s="268"/>
      <c r="Z310" s="268"/>
    </row>
    <row r="311" spans="1:26" ht="24.75" customHeight="1">
      <c r="A311" s="268"/>
      <c r="B311" s="268"/>
      <c r="C311" s="268"/>
      <c r="D311" s="268"/>
      <c r="E311" s="268"/>
      <c r="F311" s="268"/>
      <c r="G311" s="268"/>
      <c r="H311" s="389"/>
      <c r="I311" s="389"/>
      <c r="J311" s="389"/>
      <c r="K311" s="268"/>
      <c r="L311" s="268"/>
      <c r="M311" s="268"/>
      <c r="N311" s="310"/>
      <c r="O311" s="268"/>
      <c r="P311" s="309"/>
      <c r="Q311" s="381"/>
      <c r="R311" s="268"/>
      <c r="S311" s="313"/>
      <c r="T311" s="313"/>
      <c r="U311" s="268"/>
      <c r="V311" s="268"/>
      <c r="W311" s="268"/>
      <c r="X311" s="268"/>
      <c r="Y311" s="268"/>
      <c r="Z311" s="268"/>
    </row>
    <row r="312" spans="1:26" ht="24.75" customHeight="1">
      <c r="A312" s="268"/>
      <c r="B312" s="268"/>
      <c r="C312" s="268"/>
      <c r="D312" s="268"/>
      <c r="E312" s="268"/>
      <c r="F312" s="268"/>
      <c r="G312" s="268"/>
      <c r="H312" s="389"/>
      <c r="I312" s="389"/>
      <c r="J312" s="389"/>
      <c r="K312" s="268"/>
      <c r="L312" s="268"/>
      <c r="M312" s="268"/>
      <c r="N312" s="310"/>
      <c r="O312" s="268"/>
      <c r="P312" s="309"/>
      <c r="Q312" s="381"/>
      <c r="R312" s="268"/>
      <c r="S312" s="313"/>
      <c r="T312" s="313"/>
      <c r="U312" s="268"/>
      <c r="V312" s="268"/>
      <c r="W312" s="268"/>
      <c r="X312" s="268"/>
      <c r="Y312" s="268"/>
      <c r="Z312" s="268"/>
    </row>
    <row r="313" spans="1:26" ht="24.75" customHeight="1">
      <c r="A313" s="268"/>
      <c r="B313" s="268"/>
      <c r="C313" s="268"/>
      <c r="D313" s="268"/>
      <c r="E313" s="268"/>
      <c r="F313" s="268"/>
      <c r="G313" s="268"/>
      <c r="H313" s="389"/>
      <c r="I313" s="389"/>
      <c r="J313" s="389"/>
      <c r="K313" s="268"/>
      <c r="L313" s="268"/>
      <c r="M313" s="268"/>
      <c r="N313" s="310"/>
      <c r="O313" s="268"/>
      <c r="P313" s="309"/>
      <c r="Q313" s="381"/>
      <c r="R313" s="268"/>
      <c r="S313" s="313"/>
      <c r="T313" s="313"/>
      <c r="U313" s="268"/>
      <c r="V313" s="268"/>
      <c r="W313" s="268"/>
      <c r="X313" s="268"/>
      <c r="Y313" s="268"/>
      <c r="Z313" s="268"/>
    </row>
    <row r="314" spans="1:26" ht="24.75" customHeight="1">
      <c r="A314" s="268"/>
      <c r="B314" s="268"/>
      <c r="C314" s="268"/>
      <c r="D314" s="268"/>
      <c r="E314" s="268"/>
      <c r="F314" s="268"/>
      <c r="G314" s="268"/>
      <c r="H314" s="389"/>
      <c r="I314" s="389"/>
      <c r="J314" s="389"/>
      <c r="K314" s="268"/>
      <c r="L314" s="268"/>
      <c r="M314" s="268"/>
      <c r="N314" s="310"/>
      <c r="O314" s="268"/>
      <c r="P314" s="309"/>
      <c r="Q314" s="381"/>
      <c r="R314" s="268"/>
      <c r="S314" s="313"/>
      <c r="T314" s="313"/>
      <c r="U314" s="268"/>
      <c r="V314" s="268"/>
      <c r="W314" s="268"/>
      <c r="X314" s="268"/>
      <c r="Y314" s="268"/>
      <c r="Z314" s="268"/>
    </row>
    <row r="315" spans="1:26" ht="24.75" customHeight="1">
      <c r="A315" s="268"/>
      <c r="B315" s="268"/>
      <c r="C315" s="268"/>
      <c r="D315" s="268"/>
      <c r="E315" s="268"/>
      <c r="F315" s="268"/>
      <c r="G315" s="268"/>
      <c r="H315" s="389"/>
      <c r="I315" s="389"/>
      <c r="J315" s="389"/>
      <c r="K315" s="268"/>
      <c r="L315" s="268"/>
      <c r="M315" s="268"/>
      <c r="N315" s="310"/>
      <c r="O315" s="268"/>
      <c r="P315" s="309"/>
      <c r="Q315" s="381"/>
      <c r="R315" s="268"/>
      <c r="S315" s="313"/>
      <c r="T315" s="313"/>
      <c r="U315" s="268"/>
      <c r="V315" s="268"/>
      <c r="W315" s="268"/>
      <c r="X315" s="268"/>
      <c r="Y315" s="268"/>
      <c r="Z315" s="268"/>
    </row>
    <row r="316" spans="1:26" ht="24.75" customHeight="1">
      <c r="A316" s="268"/>
      <c r="B316" s="268"/>
      <c r="C316" s="268"/>
      <c r="D316" s="268"/>
      <c r="E316" s="268"/>
      <c r="F316" s="268"/>
      <c r="G316" s="268"/>
      <c r="H316" s="389"/>
      <c r="I316" s="389"/>
      <c r="J316" s="389"/>
      <c r="K316" s="268"/>
      <c r="L316" s="268"/>
      <c r="M316" s="268"/>
      <c r="N316" s="310"/>
      <c r="O316" s="268"/>
      <c r="P316" s="309"/>
      <c r="Q316" s="381"/>
      <c r="R316" s="268"/>
      <c r="S316" s="313"/>
      <c r="T316" s="313"/>
      <c r="U316" s="268"/>
      <c r="V316" s="268"/>
      <c r="W316" s="268"/>
      <c r="X316" s="268"/>
      <c r="Y316" s="268"/>
      <c r="Z316" s="268"/>
    </row>
    <row r="317" spans="1:26" ht="24.75" customHeight="1">
      <c r="A317" s="268"/>
      <c r="B317" s="268"/>
      <c r="C317" s="268"/>
      <c r="D317" s="268"/>
      <c r="E317" s="268"/>
      <c r="F317" s="268"/>
      <c r="G317" s="268"/>
      <c r="H317" s="389"/>
      <c r="I317" s="389"/>
      <c r="J317" s="389"/>
      <c r="K317" s="268"/>
      <c r="L317" s="268"/>
      <c r="M317" s="268"/>
      <c r="N317" s="310"/>
      <c r="O317" s="268"/>
      <c r="P317" s="309"/>
      <c r="Q317" s="381"/>
      <c r="R317" s="268"/>
      <c r="S317" s="313"/>
      <c r="T317" s="313"/>
      <c r="U317" s="268"/>
      <c r="V317" s="268"/>
      <c r="W317" s="268"/>
      <c r="X317" s="268"/>
      <c r="Y317" s="268"/>
      <c r="Z317" s="268"/>
    </row>
    <row r="318" spans="1:26" ht="24.75" customHeight="1">
      <c r="A318" s="268"/>
      <c r="B318" s="268"/>
      <c r="C318" s="268"/>
      <c r="D318" s="268"/>
      <c r="E318" s="268"/>
      <c r="F318" s="268"/>
      <c r="G318" s="268"/>
      <c r="H318" s="389"/>
      <c r="I318" s="389"/>
      <c r="J318" s="389"/>
      <c r="K318" s="268"/>
      <c r="L318" s="268"/>
      <c r="M318" s="268"/>
      <c r="N318" s="310"/>
      <c r="O318" s="268"/>
      <c r="P318" s="309"/>
      <c r="Q318" s="381"/>
      <c r="R318" s="268"/>
      <c r="S318" s="313"/>
      <c r="T318" s="313"/>
      <c r="U318" s="268"/>
      <c r="V318" s="268"/>
      <c r="W318" s="268"/>
      <c r="X318" s="268"/>
      <c r="Y318" s="268"/>
      <c r="Z318" s="268"/>
    </row>
    <row r="319" spans="1:26" ht="24.75" customHeight="1">
      <c r="A319" s="268"/>
      <c r="B319" s="268"/>
      <c r="C319" s="268"/>
      <c r="D319" s="268"/>
      <c r="E319" s="268"/>
      <c r="F319" s="268"/>
      <c r="G319" s="268"/>
      <c r="H319" s="389"/>
      <c r="I319" s="389"/>
      <c r="J319" s="389"/>
      <c r="K319" s="268"/>
      <c r="L319" s="268"/>
      <c r="M319" s="268"/>
      <c r="N319" s="310"/>
      <c r="O319" s="268"/>
      <c r="P319" s="309"/>
      <c r="Q319" s="381"/>
      <c r="R319" s="268"/>
      <c r="S319" s="313"/>
      <c r="T319" s="313"/>
      <c r="U319" s="268"/>
      <c r="V319" s="268"/>
      <c r="W319" s="268"/>
      <c r="X319" s="268"/>
      <c r="Y319" s="268"/>
      <c r="Z319" s="268"/>
    </row>
    <row r="320" spans="1:26" ht="24.75" customHeight="1">
      <c r="A320" s="268"/>
      <c r="B320" s="268"/>
      <c r="C320" s="268"/>
      <c r="D320" s="268"/>
      <c r="E320" s="268"/>
      <c r="F320" s="268"/>
      <c r="G320" s="268"/>
      <c r="H320" s="389"/>
      <c r="I320" s="389"/>
      <c r="J320" s="389"/>
      <c r="K320" s="268"/>
      <c r="L320" s="268"/>
      <c r="M320" s="268"/>
      <c r="N320" s="310"/>
      <c r="O320" s="268"/>
      <c r="P320" s="309"/>
      <c r="Q320" s="381"/>
      <c r="R320" s="268"/>
      <c r="S320" s="313"/>
      <c r="T320" s="313"/>
      <c r="U320" s="268"/>
      <c r="V320" s="268"/>
      <c r="W320" s="268"/>
      <c r="X320" s="268"/>
      <c r="Y320" s="268"/>
      <c r="Z320" s="268"/>
    </row>
    <row r="321" spans="1:26" ht="24.75" customHeight="1">
      <c r="A321" s="268"/>
      <c r="B321" s="268"/>
      <c r="C321" s="268"/>
      <c r="D321" s="268"/>
      <c r="E321" s="268"/>
      <c r="F321" s="268"/>
      <c r="G321" s="268"/>
      <c r="H321" s="389"/>
      <c r="I321" s="389"/>
      <c r="J321" s="389"/>
      <c r="K321" s="268"/>
      <c r="L321" s="268"/>
      <c r="M321" s="268"/>
      <c r="N321" s="310"/>
      <c r="O321" s="268"/>
      <c r="P321" s="309"/>
      <c r="Q321" s="381"/>
      <c r="R321" s="268"/>
      <c r="S321" s="313"/>
      <c r="T321" s="313"/>
      <c r="U321" s="268"/>
      <c r="V321" s="268"/>
      <c r="W321" s="268"/>
      <c r="X321" s="268"/>
      <c r="Y321" s="268"/>
      <c r="Z321" s="268"/>
    </row>
    <row r="322" spans="1:26" ht="24.75" customHeight="1">
      <c r="A322" s="268"/>
      <c r="B322" s="268"/>
      <c r="C322" s="268"/>
      <c r="D322" s="268"/>
      <c r="E322" s="268"/>
      <c r="F322" s="268"/>
      <c r="G322" s="268"/>
      <c r="H322" s="389"/>
      <c r="I322" s="389"/>
      <c r="J322" s="389"/>
      <c r="K322" s="268"/>
      <c r="L322" s="268"/>
      <c r="M322" s="268"/>
      <c r="N322" s="310"/>
      <c r="O322" s="268"/>
      <c r="P322" s="309"/>
      <c r="Q322" s="381"/>
      <c r="R322" s="268"/>
      <c r="S322" s="313"/>
      <c r="T322" s="313"/>
      <c r="U322" s="268"/>
      <c r="V322" s="268"/>
      <c r="W322" s="268"/>
      <c r="X322" s="268"/>
      <c r="Y322" s="268"/>
      <c r="Z322" s="268"/>
    </row>
    <row r="323" spans="1:26" ht="24.75" customHeight="1">
      <c r="A323" s="268"/>
      <c r="B323" s="268"/>
      <c r="C323" s="268"/>
      <c r="D323" s="268"/>
      <c r="E323" s="268"/>
      <c r="F323" s="268"/>
      <c r="G323" s="268"/>
      <c r="H323" s="389"/>
      <c r="I323" s="389"/>
      <c r="J323" s="389"/>
      <c r="K323" s="268"/>
      <c r="L323" s="268"/>
      <c r="M323" s="268"/>
      <c r="N323" s="310"/>
      <c r="O323" s="268"/>
      <c r="P323" s="309"/>
      <c r="Q323" s="381"/>
      <c r="R323" s="268"/>
      <c r="S323" s="313"/>
      <c r="T323" s="313"/>
      <c r="U323" s="268"/>
      <c r="V323" s="268"/>
      <c r="W323" s="268"/>
      <c r="X323" s="268"/>
      <c r="Y323" s="268"/>
      <c r="Z323" s="268"/>
    </row>
    <row r="324" spans="1:26" ht="24.75" customHeight="1">
      <c r="A324" s="268"/>
      <c r="B324" s="268"/>
      <c r="C324" s="268"/>
      <c r="D324" s="268"/>
      <c r="E324" s="268"/>
      <c r="F324" s="268"/>
      <c r="G324" s="268"/>
      <c r="H324" s="389"/>
      <c r="I324" s="389"/>
      <c r="J324" s="389"/>
      <c r="K324" s="268"/>
      <c r="L324" s="268"/>
      <c r="M324" s="268"/>
      <c r="N324" s="310"/>
      <c r="O324" s="268"/>
      <c r="P324" s="309"/>
      <c r="Q324" s="381"/>
      <c r="R324" s="268"/>
      <c r="S324" s="313"/>
      <c r="T324" s="313"/>
      <c r="U324" s="268"/>
      <c r="V324" s="268"/>
      <c r="W324" s="268"/>
      <c r="X324" s="268"/>
      <c r="Y324" s="268"/>
      <c r="Z324" s="268"/>
    </row>
    <row r="325" spans="1:26" ht="24.75" customHeight="1">
      <c r="A325" s="268"/>
      <c r="B325" s="268"/>
      <c r="C325" s="268"/>
      <c r="D325" s="268"/>
      <c r="E325" s="268"/>
      <c r="F325" s="268"/>
      <c r="G325" s="268"/>
      <c r="H325" s="389"/>
      <c r="I325" s="389"/>
      <c r="J325" s="389"/>
      <c r="K325" s="268"/>
      <c r="L325" s="268"/>
      <c r="M325" s="268"/>
      <c r="N325" s="310"/>
      <c r="O325" s="268"/>
      <c r="P325" s="309"/>
      <c r="Q325" s="381"/>
      <c r="R325" s="268"/>
      <c r="S325" s="313"/>
      <c r="T325" s="313"/>
      <c r="U325" s="268"/>
      <c r="V325" s="268"/>
      <c r="W325" s="268"/>
      <c r="X325" s="268"/>
      <c r="Y325" s="268"/>
      <c r="Z325" s="268"/>
    </row>
    <row r="326" spans="1:26" ht="24.75" customHeight="1">
      <c r="A326" s="268"/>
      <c r="B326" s="268"/>
      <c r="C326" s="268"/>
      <c r="D326" s="268"/>
      <c r="E326" s="268"/>
      <c r="F326" s="268"/>
      <c r="G326" s="268"/>
      <c r="H326" s="389"/>
      <c r="I326" s="389"/>
      <c r="J326" s="389"/>
      <c r="K326" s="268"/>
      <c r="L326" s="268"/>
      <c r="M326" s="268"/>
      <c r="N326" s="310"/>
      <c r="O326" s="268"/>
      <c r="P326" s="309"/>
      <c r="Q326" s="381"/>
      <c r="R326" s="268"/>
      <c r="S326" s="313"/>
      <c r="T326" s="313"/>
      <c r="U326" s="268"/>
      <c r="V326" s="268"/>
      <c r="W326" s="268"/>
      <c r="X326" s="268"/>
      <c r="Y326" s="268"/>
      <c r="Z326" s="268"/>
    </row>
    <row r="327" spans="1:26" ht="24.75" customHeight="1">
      <c r="A327" s="268"/>
      <c r="B327" s="268"/>
      <c r="C327" s="268"/>
      <c r="D327" s="268"/>
      <c r="E327" s="268"/>
      <c r="F327" s="268"/>
      <c r="G327" s="268"/>
      <c r="H327" s="389"/>
      <c r="I327" s="389"/>
      <c r="J327" s="389"/>
      <c r="K327" s="268"/>
      <c r="L327" s="268"/>
      <c r="M327" s="268"/>
      <c r="N327" s="310"/>
      <c r="O327" s="268"/>
      <c r="P327" s="309"/>
      <c r="Q327" s="381"/>
      <c r="R327" s="268"/>
      <c r="S327" s="313"/>
      <c r="T327" s="313"/>
      <c r="U327" s="268"/>
      <c r="V327" s="268"/>
      <c r="W327" s="268"/>
      <c r="X327" s="268"/>
      <c r="Y327" s="268"/>
      <c r="Z327" s="268"/>
    </row>
    <row r="328" spans="1:26" ht="24.75" customHeight="1">
      <c r="A328" s="268"/>
      <c r="B328" s="268"/>
      <c r="C328" s="268"/>
      <c r="D328" s="268"/>
      <c r="E328" s="268"/>
      <c r="F328" s="268"/>
      <c r="G328" s="268"/>
      <c r="H328" s="389"/>
      <c r="I328" s="389"/>
      <c r="J328" s="389"/>
      <c r="K328" s="268"/>
      <c r="L328" s="268"/>
      <c r="M328" s="268"/>
      <c r="N328" s="310"/>
      <c r="O328" s="268"/>
      <c r="P328" s="309"/>
      <c r="Q328" s="381"/>
      <c r="R328" s="268"/>
      <c r="S328" s="313"/>
      <c r="T328" s="313"/>
      <c r="U328" s="268"/>
      <c r="V328" s="268"/>
      <c r="W328" s="268"/>
      <c r="X328" s="268"/>
      <c r="Y328" s="268"/>
      <c r="Z328" s="268"/>
    </row>
    <row r="329" spans="1:26" ht="24.75" customHeight="1">
      <c r="A329" s="268"/>
      <c r="B329" s="268"/>
      <c r="C329" s="268"/>
      <c r="D329" s="268"/>
      <c r="E329" s="268"/>
      <c r="F329" s="268"/>
      <c r="G329" s="268"/>
      <c r="H329" s="389"/>
      <c r="I329" s="389"/>
      <c r="J329" s="389"/>
      <c r="K329" s="268"/>
      <c r="L329" s="268"/>
      <c r="M329" s="268"/>
      <c r="N329" s="310"/>
      <c r="O329" s="268"/>
      <c r="P329" s="309"/>
      <c r="Q329" s="381"/>
      <c r="R329" s="268"/>
      <c r="S329" s="313"/>
      <c r="T329" s="313"/>
      <c r="U329" s="268"/>
      <c r="V329" s="268"/>
      <c r="W329" s="268"/>
      <c r="X329" s="268"/>
      <c r="Y329" s="268"/>
      <c r="Z329" s="268"/>
    </row>
    <row r="330" spans="1:26" ht="24.75" customHeight="1">
      <c r="A330" s="268"/>
      <c r="B330" s="268"/>
      <c r="C330" s="268"/>
      <c r="D330" s="268"/>
      <c r="E330" s="268"/>
      <c r="F330" s="268"/>
      <c r="G330" s="268"/>
      <c r="H330" s="389"/>
      <c r="I330" s="389"/>
      <c r="J330" s="389"/>
      <c r="K330" s="268"/>
      <c r="L330" s="268"/>
      <c r="M330" s="268"/>
      <c r="N330" s="310"/>
      <c r="O330" s="268"/>
      <c r="P330" s="309"/>
      <c r="Q330" s="381"/>
      <c r="R330" s="268"/>
      <c r="S330" s="313"/>
      <c r="T330" s="313"/>
      <c r="U330" s="268"/>
      <c r="V330" s="268"/>
      <c r="W330" s="268"/>
      <c r="X330" s="268"/>
      <c r="Y330" s="268"/>
      <c r="Z330" s="268"/>
    </row>
    <row r="331" spans="1:26" ht="24.75" customHeight="1">
      <c r="A331" s="268"/>
      <c r="B331" s="268"/>
      <c r="C331" s="268"/>
      <c r="D331" s="268"/>
      <c r="E331" s="268"/>
      <c r="F331" s="268"/>
      <c r="G331" s="268"/>
      <c r="H331" s="389"/>
      <c r="I331" s="389"/>
      <c r="J331" s="389"/>
      <c r="K331" s="268"/>
      <c r="L331" s="268"/>
      <c r="M331" s="268"/>
      <c r="N331" s="310"/>
      <c r="O331" s="268"/>
      <c r="P331" s="309"/>
      <c r="Q331" s="381"/>
      <c r="R331" s="268"/>
      <c r="S331" s="313"/>
      <c r="T331" s="313"/>
      <c r="U331" s="268"/>
      <c r="V331" s="268"/>
      <c r="W331" s="268"/>
      <c r="X331" s="268"/>
      <c r="Y331" s="268"/>
      <c r="Z331" s="268"/>
    </row>
    <row r="332" spans="1:26" ht="24.75" customHeight="1">
      <c r="A332" s="268"/>
      <c r="B332" s="268"/>
      <c r="C332" s="268"/>
      <c r="D332" s="268"/>
      <c r="E332" s="268"/>
      <c r="F332" s="268"/>
      <c r="G332" s="268"/>
      <c r="H332" s="389"/>
      <c r="I332" s="389"/>
      <c r="J332" s="389"/>
      <c r="K332" s="268"/>
      <c r="L332" s="268"/>
      <c r="M332" s="268"/>
      <c r="N332" s="310"/>
      <c r="O332" s="268"/>
      <c r="P332" s="309"/>
      <c r="Q332" s="381"/>
      <c r="R332" s="268"/>
      <c r="S332" s="313"/>
      <c r="T332" s="313"/>
      <c r="U332" s="268"/>
      <c r="V332" s="268"/>
      <c r="W332" s="268"/>
      <c r="X332" s="268"/>
      <c r="Y332" s="268"/>
      <c r="Z332" s="268"/>
    </row>
    <row r="333" spans="1:26" ht="24.75" customHeight="1">
      <c r="A333" s="268"/>
      <c r="B333" s="268"/>
      <c r="C333" s="268"/>
      <c r="D333" s="268"/>
      <c r="E333" s="268"/>
      <c r="F333" s="268"/>
      <c r="G333" s="268"/>
      <c r="H333" s="389"/>
      <c r="I333" s="389"/>
      <c r="J333" s="389"/>
      <c r="K333" s="268"/>
      <c r="L333" s="268"/>
      <c r="M333" s="268"/>
      <c r="N333" s="310"/>
      <c r="O333" s="268"/>
      <c r="P333" s="309"/>
      <c r="Q333" s="381"/>
      <c r="R333" s="268"/>
      <c r="S333" s="313"/>
      <c r="T333" s="313"/>
      <c r="U333" s="268"/>
      <c r="V333" s="268"/>
      <c r="W333" s="268"/>
      <c r="X333" s="268"/>
      <c r="Y333" s="268"/>
      <c r="Z333" s="268"/>
    </row>
    <row r="334" spans="1:26" ht="24.75" customHeight="1">
      <c r="A334" s="268"/>
      <c r="B334" s="268"/>
      <c r="C334" s="268"/>
      <c r="D334" s="268"/>
      <c r="E334" s="268"/>
      <c r="F334" s="268"/>
      <c r="G334" s="268"/>
      <c r="H334" s="389"/>
      <c r="I334" s="389"/>
      <c r="J334" s="389"/>
      <c r="K334" s="268"/>
      <c r="L334" s="268"/>
      <c r="M334" s="268"/>
      <c r="N334" s="310"/>
      <c r="O334" s="268"/>
      <c r="P334" s="309"/>
      <c r="Q334" s="381"/>
      <c r="R334" s="268"/>
      <c r="S334" s="313"/>
      <c r="T334" s="313"/>
      <c r="U334" s="268"/>
      <c r="V334" s="268"/>
      <c r="W334" s="268"/>
      <c r="X334" s="268"/>
      <c r="Y334" s="268"/>
      <c r="Z334" s="268"/>
    </row>
    <row r="335" spans="1:26" ht="24.75" customHeight="1">
      <c r="A335" s="268"/>
      <c r="B335" s="268"/>
      <c r="C335" s="268"/>
      <c r="D335" s="268"/>
      <c r="E335" s="268"/>
      <c r="F335" s="268"/>
      <c r="G335" s="268"/>
      <c r="H335" s="389"/>
      <c r="I335" s="389"/>
      <c r="J335" s="389"/>
      <c r="K335" s="268"/>
      <c r="L335" s="268"/>
      <c r="M335" s="268"/>
      <c r="N335" s="310"/>
      <c r="O335" s="268"/>
      <c r="P335" s="309"/>
      <c r="Q335" s="381"/>
      <c r="R335" s="268"/>
      <c r="S335" s="313"/>
      <c r="T335" s="313"/>
      <c r="U335" s="268"/>
      <c r="V335" s="268"/>
      <c r="W335" s="268"/>
      <c r="X335" s="268"/>
      <c r="Y335" s="268"/>
      <c r="Z335" s="268"/>
    </row>
    <row r="336" spans="1:26" ht="24.75" customHeight="1">
      <c r="A336" s="268"/>
      <c r="B336" s="268"/>
      <c r="C336" s="268"/>
      <c r="D336" s="268"/>
      <c r="E336" s="268"/>
      <c r="F336" s="268"/>
      <c r="G336" s="268"/>
      <c r="H336" s="389"/>
      <c r="I336" s="389"/>
      <c r="J336" s="389"/>
      <c r="K336" s="268"/>
      <c r="L336" s="268"/>
      <c r="M336" s="268"/>
      <c r="N336" s="310"/>
      <c r="O336" s="268"/>
      <c r="P336" s="309"/>
      <c r="Q336" s="381"/>
      <c r="R336" s="268"/>
      <c r="S336" s="313"/>
      <c r="T336" s="313"/>
      <c r="U336" s="268"/>
      <c r="V336" s="268"/>
      <c r="W336" s="268"/>
      <c r="X336" s="268"/>
      <c r="Y336" s="268"/>
      <c r="Z336" s="268"/>
    </row>
    <row r="337" spans="1:26" ht="24.75" customHeight="1">
      <c r="A337" s="268"/>
      <c r="B337" s="268"/>
      <c r="C337" s="268"/>
      <c r="D337" s="268"/>
      <c r="E337" s="268"/>
      <c r="F337" s="268"/>
      <c r="G337" s="268"/>
      <c r="H337" s="389"/>
      <c r="I337" s="389"/>
      <c r="J337" s="389"/>
      <c r="K337" s="268"/>
      <c r="L337" s="268"/>
      <c r="M337" s="268"/>
      <c r="N337" s="310"/>
      <c r="O337" s="268"/>
      <c r="P337" s="309"/>
      <c r="Q337" s="381"/>
      <c r="R337" s="268"/>
      <c r="S337" s="313"/>
      <c r="T337" s="313"/>
      <c r="U337" s="268"/>
      <c r="V337" s="268"/>
      <c r="W337" s="268"/>
      <c r="X337" s="268"/>
      <c r="Y337" s="268"/>
      <c r="Z337" s="268"/>
    </row>
    <row r="338" spans="1:26" ht="24.75" customHeight="1">
      <c r="A338" s="268"/>
      <c r="B338" s="268"/>
      <c r="C338" s="268"/>
      <c r="D338" s="268"/>
      <c r="E338" s="268"/>
      <c r="F338" s="268"/>
      <c r="G338" s="268"/>
      <c r="H338" s="389"/>
      <c r="I338" s="389"/>
      <c r="J338" s="389"/>
      <c r="K338" s="268"/>
      <c r="L338" s="268"/>
      <c r="M338" s="268"/>
      <c r="N338" s="310"/>
      <c r="O338" s="268"/>
      <c r="P338" s="309"/>
      <c r="Q338" s="381"/>
      <c r="R338" s="268"/>
      <c r="S338" s="313"/>
      <c r="T338" s="313"/>
      <c r="U338" s="268"/>
      <c r="V338" s="268"/>
      <c r="W338" s="268"/>
      <c r="X338" s="268"/>
      <c r="Y338" s="268"/>
      <c r="Z338" s="268"/>
    </row>
    <row r="339" spans="1:26" ht="24.75" customHeight="1">
      <c r="A339" s="268"/>
      <c r="B339" s="268"/>
      <c r="C339" s="268"/>
      <c r="D339" s="268"/>
      <c r="E339" s="268"/>
      <c r="F339" s="268"/>
      <c r="G339" s="268"/>
      <c r="H339" s="389"/>
      <c r="I339" s="389"/>
      <c r="J339" s="389"/>
      <c r="K339" s="268"/>
      <c r="L339" s="268"/>
      <c r="M339" s="268"/>
      <c r="N339" s="310"/>
      <c r="O339" s="268"/>
      <c r="P339" s="309"/>
      <c r="Q339" s="381"/>
      <c r="R339" s="268"/>
      <c r="S339" s="313"/>
      <c r="T339" s="313"/>
      <c r="U339" s="268"/>
      <c r="V339" s="268"/>
      <c r="W339" s="268"/>
      <c r="X339" s="268"/>
      <c r="Y339" s="268"/>
      <c r="Z339" s="268"/>
    </row>
    <row r="340" spans="1:26" ht="24.75" customHeight="1">
      <c r="A340" s="268"/>
      <c r="B340" s="268"/>
      <c r="C340" s="268"/>
      <c r="D340" s="268"/>
      <c r="E340" s="268"/>
      <c r="F340" s="268"/>
      <c r="G340" s="268"/>
      <c r="H340" s="389"/>
      <c r="I340" s="389"/>
      <c r="J340" s="389"/>
      <c r="K340" s="268"/>
      <c r="L340" s="268"/>
      <c r="M340" s="268"/>
      <c r="N340" s="310"/>
      <c r="O340" s="268"/>
      <c r="P340" s="309"/>
      <c r="Q340" s="381"/>
      <c r="R340" s="268"/>
      <c r="S340" s="313"/>
      <c r="T340" s="313"/>
      <c r="U340" s="268"/>
      <c r="V340" s="268"/>
      <c r="W340" s="268"/>
      <c r="X340" s="268"/>
      <c r="Y340" s="268"/>
      <c r="Z340" s="268"/>
    </row>
    <row r="341" spans="1:26" ht="24.75" customHeight="1">
      <c r="A341" s="268"/>
      <c r="B341" s="268"/>
      <c r="C341" s="268"/>
      <c r="D341" s="268"/>
      <c r="E341" s="268"/>
      <c r="F341" s="268"/>
      <c r="G341" s="268"/>
      <c r="H341" s="389"/>
      <c r="I341" s="389"/>
      <c r="J341" s="389"/>
      <c r="K341" s="268"/>
      <c r="L341" s="268"/>
      <c r="M341" s="268"/>
      <c r="N341" s="310"/>
      <c r="O341" s="268"/>
      <c r="P341" s="309"/>
      <c r="Q341" s="381"/>
      <c r="R341" s="268"/>
      <c r="S341" s="313"/>
      <c r="T341" s="313"/>
      <c r="U341" s="268"/>
      <c r="V341" s="268"/>
      <c r="W341" s="268"/>
      <c r="X341" s="268"/>
      <c r="Y341" s="268"/>
      <c r="Z341" s="268"/>
    </row>
    <row r="342" spans="1:26" ht="24.75" customHeight="1">
      <c r="A342" s="268"/>
      <c r="B342" s="268"/>
      <c r="C342" s="268"/>
      <c r="D342" s="268"/>
      <c r="E342" s="268"/>
      <c r="F342" s="268"/>
      <c r="G342" s="268"/>
      <c r="H342" s="389"/>
      <c r="I342" s="389"/>
      <c r="J342" s="389"/>
      <c r="K342" s="268"/>
      <c r="L342" s="268"/>
      <c r="M342" s="268"/>
      <c r="N342" s="310"/>
      <c r="O342" s="268"/>
      <c r="P342" s="309"/>
      <c r="Q342" s="381"/>
      <c r="R342" s="268"/>
      <c r="S342" s="313"/>
      <c r="T342" s="313"/>
      <c r="U342" s="268"/>
      <c r="V342" s="268"/>
      <c r="W342" s="268"/>
      <c r="X342" s="268"/>
      <c r="Y342" s="268"/>
      <c r="Z342" s="268"/>
    </row>
    <row r="343" spans="1:26" ht="24.75" customHeight="1">
      <c r="A343" s="268"/>
      <c r="B343" s="268"/>
      <c r="C343" s="268"/>
      <c r="D343" s="268"/>
      <c r="E343" s="268"/>
      <c r="F343" s="268"/>
      <c r="G343" s="268"/>
      <c r="H343" s="389"/>
      <c r="I343" s="389"/>
      <c r="J343" s="389"/>
      <c r="K343" s="268"/>
      <c r="L343" s="268"/>
      <c r="M343" s="268"/>
      <c r="N343" s="310"/>
      <c r="O343" s="268"/>
      <c r="P343" s="309"/>
      <c r="Q343" s="381"/>
      <c r="R343" s="268"/>
      <c r="S343" s="313"/>
      <c r="T343" s="313"/>
      <c r="U343" s="268"/>
      <c r="V343" s="268"/>
      <c r="W343" s="268"/>
      <c r="X343" s="268"/>
      <c r="Y343" s="268"/>
      <c r="Z343" s="268"/>
    </row>
    <row r="344" spans="1:26" ht="24.75" customHeight="1">
      <c r="A344" s="268"/>
      <c r="B344" s="268"/>
      <c r="C344" s="268"/>
      <c r="D344" s="268"/>
      <c r="E344" s="268"/>
      <c r="F344" s="268"/>
      <c r="G344" s="268"/>
      <c r="H344" s="389"/>
      <c r="I344" s="389"/>
      <c r="J344" s="389"/>
      <c r="K344" s="268"/>
      <c r="L344" s="268"/>
      <c r="M344" s="268"/>
      <c r="N344" s="310"/>
      <c r="O344" s="268"/>
      <c r="P344" s="309"/>
      <c r="Q344" s="381"/>
      <c r="R344" s="268"/>
      <c r="S344" s="313"/>
      <c r="T344" s="313"/>
      <c r="U344" s="268"/>
      <c r="V344" s="268"/>
      <c r="W344" s="268"/>
      <c r="X344" s="268"/>
      <c r="Y344" s="268"/>
      <c r="Z344" s="268"/>
    </row>
    <row r="345" spans="1:26" ht="24.75" customHeight="1">
      <c r="A345" s="268"/>
      <c r="B345" s="268"/>
      <c r="C345" s="268"/>
      <c r="D345" s="268"/>
      <c r="E345" s="268"/>
      <c r="F345" s="268"/>
      <c r="G345" s="268"/>
      <c r="H345" s="389"/>
      <c r="I345" s="389"/>
      <c r="J345" s="389"/>
      <c r="K345" s="268"/>
      <c r="L345" s="268"/>
      <c r="M345" s="268"/>
      <c r="N345" s="310"/>
      <c r="O345" s="268"/>
      <c r="P345" s="309"/>
      <c r="Q345" s="381"/>
      <c r="R345" s="268"/>
      <c r="S345" s="313"/>
      <c r="T345" s="313"/>
      <c r="U345" s="268"/>
      <c r="V345" s="268"/>
      <c r="W345" s="268"/>
      <c r="X345" s="268"/>
      <c r="Y345" s="268"/>
      <c r="Z345" s="268"/>
    </row>
    <row r="346" spans="1:26" ht="24.75" customHeight="1">
      <c r="A346" s="268"/>
      <c r="B346" s="268"/>
      <c r="C346" s="268"/>
      <c r="D346" s="268"/>
      <c r="E346" s="268"/>
      <c r="F346" s="268"/>
      <c r="G346" s="268"/>
      <c r="H346" s="389"/>
      <c r="I346" s="389"/>
      <c r="J346" s="389"/>
      <c r="K346" s="268"/>
      <c r="L346" s="268"/>
      <c r="M346" s="268"/>
      <c r="N346" s="310"/>
      <c r="O346" s="268"/>
      <c r="P346" s="309"/>
      <c r="Q346" s="381"/>
      <c r="R346" s="268"/>
      <c r="S346" s="313"/>
      <c r="T346" s="313"/>
      <c r="U346" s="268"/>
      <c r="V346" s="268"/>
      <c r="W346" s="268"/>
      <c r="X346" s="268"/>
      <c r="Y346" s="268"/>
      <c r="Z346" s="268"/>
    </row>
    <row r="347" spans="1:26" ht="24.75" customHeight="1">
      <c r="A347" s="268"/>
      <c r="B347" s="268"/>
      <c r="C347" s="268"/>
      <c r="D347" s="268"/>
      <c r="E347" s="268"/>
      <c r="F347" s="268"/>
      <c r="G347" s="268"/>
      <c r="H347" s="389"/>
      <c r="I347" s="389"/>
      <c r="J347" s="389"/>
      <c r="K347" s="268"/>
      <c r="L347" s="268"/>
      <c r="M347" s="268"/>
      <c r="N347" s="310"/>
      <c r="O347" s="268"/>
      <c r="P347" s="309"/>
      <c r="Q347" s="381"/>
      <c r="R347" s="268"/>
      <c r="S347" s="313"/>
      <c r="T347" s="313"/>
      <c r="U347" s="268"/>
      <c r="V347" s="268"/>
      <c r="W347" s="268"/>
      <c r="X347" s="268"/>
      <c r="Y347" s="268"/>
      <c r="Z347" s="268"/>
    </row>
    <row r="348" spans="1:26" ht="24.75" customHeight="1">
      <c r="A348" s="268"/>
      <c r="B348" s="268"/>
      <c r="C348" s="268"/>
      <c r="D348" s="268"/>
      <c r="E348" s="268"/>
      <c r="F348" s="268"/>
      <c r="G348" s="268"/>
      <c r="H348" s="389"/>
      <c r="I348" s="389"/>
      <c r="J348" s="389"/>
      <c r="K348" s="268"/>
      <c r="L348" s="268"/>
      <c r="M348" s="268"/>
      <c r="N348" s="310"/>
      <c r="O348" s="268"/>
      <c r="P348" s="309"/>
      <c r="Q348" s="381"/>
      <c r="R348" s="268"/>
      <c r="S348" s="313"/>
      <c r="T348" s="313"/>
      <c r="U348" s="268"/>
      <c r="V348" s="268"/>
      <c r="W348" s="268"/>
      <c r="X348" s="268"/>
      <c r="Y348" s="268"/>
      <c r="Z348" s="268"/>
    </row>
    <row r="349" spans="1:26" ht="24.75" customHeight="1">
      <c r="A349" s="268"/>
      <c r="B349" s="268"/>
      <c r="C349" s="268"/>
      <c r="D349" s="268"/>
      <c r="E349" s="268"/>
      <c r="F349" s="268"/>
      <c r="G349" s="268"/>
      <c r="H349" s="389"/>
      <c r="I349" s="389"/>
      <c r="J349" s="389"/>
      <c r="K349" s="268"/>
      <c r="L349" s="268"/>
      <c r="M349" s="268"/>
      <c r="N349" s="310"/>
      <c r="O349" s="268"/>
      <c r="P349" s="309"/>
      <c r="Q349" s="381"/>
      <c r="R349" s="268"/>
      <c r="S349" s="313"/>
      <c r="T349" s="313"/>
      <c r="U349" s="268"/>
      <c r="V349" s="268"/>
      <c r="W349" s="268"/>
      <c r="X349" s="268"/>
      <c r="Y349" s="268"/>
      <c r="Z349" s="268"/>
    </row>
    <row r="350" spans="1:26" ht="24.75" customHeight="1">
      <c r="A350" s="268"/>
      <c r="B350" s="268"/>
      <c r="C350" s="268"/>
      <c r="D350" s="268"/>
      <c r="E350" s="268"/>
      <c r="F350" s="268"/>
      <c r="G350" s="268"/>
      <c r="H350" s="389"/>
      <c r="I350" s="389"/>
      <c r="J350" s="389"/>
      <c r="K350" s="268"/>
      <c r="L350" s="268"/>
      <c r="M350" s="268"/>
      <c r="N350" s="310"/>
      <c r="O350" s="268"/>
      <c r="P350" s="309"/>
      <c r="Q350" s="381"/>
      <c r="R350" s="268"/>
      <c r="S350" s="313"/>
      <c r="T350" s="313"/>
      <c r="U350" s="268"/>
      <c r="V350" s="268"/>
      <c r="W350" s="268"/>
      <c r="X350" s="268"/>
      <c r="Y350" s="268"/>
      <c r="Z350" s="268"/>
    </row>
    <row r="351" spans="1:26" ht="24.75" customHeight="1">
      <c r="A351" s="268"/>
      <c r="B351" s="268"/>
      <c r="C351" s="268"/>
      <c r="D351" s="268"/>
      <c r="E351" s="268"/>
      <c r="F351" s="268"/>
      <c r="G351" s="268"/>
      <c r="H351" s="389"/>
      <c r="I351" s="389"/>
      <c r="J351" s="389"/>
      <c r="K351" s="268"/>
      <c r="L351" s="268"/>
      <c r="M351" s="268"/>
      <c r="N351" s="310"/>
      <c r="O351" s="268"/>
      <c r="P351" s="309"/>
      <c r="Q351" s="381"/>
      <c r="R351" s="268"/>
      <c r="S351" s="313"/>
      <c r="T351" s="313"/>
      <c r="U351" s="268"/>
      <c r="V351" s="268"/>
      <c r="W351" s="268"/>
      <c r="X351" s="268"/>
      <c r="Y351" s="268"/>
      <c r="Z351" s="268"/>
    </row>
    <row r="352" spans="1:26" ht="24.75" customHeight="1">
      <c r="A352" s="268"/>
      <c r="B352" s="268"/>
      <c r="C352" s="268"/>
      <c r="D352" s="268"/>
      <c r="E352" s="268"/>
      <c r="F352" s="268"/>
      <c r="G352" s="268"/>
      <c r="H352" s="389"/>
      <c r="I352" s="389"/>
      <c r="J352" s="389"/>
      <c r="K352" s="268"/>
      <c r="L352" s="268"/>
      <c r="M352" s="268"/>
      <c r="N352" s="310"/>
      <c r="O352" s="268"/>
      <c r="P352" s="309"/>
      <c r="Q352" s="381"/>
      <c r="R352" s="268"/>
      <c r="S352" s="313"/>
      <c r="T352" s="313"/>
      <c r="U352" s="268"/>
      <c r="V352" s="268"/>
      <c r="W352" s="268"/>
      <c r="X352" s="268"/>
      <c r="Y352" s="268"/>
      <c r="Z352" s="268"/>
    </row>
    <row r="353" spans="1:26" ht="24.75" customHeight="1">
      <c r="A353" s="268"/>
      <c r="B353" s="268"/>
      <c r="C353" s="268"/>
      <c r="D353" s="268"/>
      <c r="E353" s="268"/>
      <c r="F353" s="268"/>
      <c r="G353" s="268"/>
      <c r="H353" s="389"/>
      <c r="I353" s="389"/>
      <c r="J353" s="389"/>
      <c r="K353" s="268"/>
      <c r="L353" s="268"/>
      <c r="M353" s="268"/>
      <c r="N353" s="310"/>
      <c r="O353" s="268"/>
      <c r="P353" s="309"/>
      <c r="Q353" s="381"/>
      <c r="R353" s="268"/>
      <c r="S353" s="313"/>
      <c r="T353" s="313"/>
      <c r="U353" s="268"/>
      <c r="V353" s="268"/>
      <c r="W353" s="268"/>
      <c r="X353" s="268"/>
      <c r="Y353" s="268"/>
      <c r="Z353" s="268"/>
    </row>
    <row r="354" spans="1:26" ht="24.75" customHeight="1">
      <c r="A354" s="268"/>
      <c r="B354" s="268"/>
      <c r="C354" s="268"/>
      <c r="D354" s="268"/>
      <c r="E354" s="268"/>
      <c r="F354" s="268"/>
      <c r="G354" s="268"/>
      <c r="H354" s="389"/>
      <c r="I354" s="389"/>
      <c r="J354" s="389"/>
      <c r="K354" s="268"/>
      <c r="L354" s="268"/>
      <c r="M354" s="268"/>
      <c r="N354" s="310"/>
      <c r="O354" s="268"/>
      <c r="P354" s="309"/>
      <c r="Q354" s="381"/>
      <c r="R354" s="268"/>
      <c r="S354" s="313"/>
      <c r="T354" s="313"/>
      <c r="U354" s="268"/>
      <c r="V354" s="268"/>
      <c r="W354" s="268"/>
      <c r="X354" s="268"/>
      <c r="Y354" s="268"/>
      <c r="Z354" s="268"/>
    </row>
    <row r="355" spans="1:26" ht="24.75" customHeight="1">
      <c r="A355" s="268"/>
      <c r="B355" s="268"/>
      <c r="C355" s="268"/>
      <c r="D355" s="268"/>
      <c r="E355" s="268"/>
      <c r="F355" s="268"/>
      <c r="G355" s="268"/>
      <c r="H355" s="389"/>
      <c r="I355" s="389"/>
      <c r="J355" s="389"/>
      <c r="K355" s="268"/>
      <c r="L355" s="268"/>
      <c r="M355" s="268"/>
      <c r="N355" s="310"/>
      <c r="O355" s="268"/>
      <c r="P355" s="309"/>
      <c r="Q355" s="381"/>
      <c r="R355" s="268"/>
      <c r="S355" s="313"/>
      <c r="T355" s="313"/>
      <c r="U355" s="268"/>
      <c r="V355" s="268"/>
      <c r="W355" s="268"/>
      <c r="X355" s="268"/>
      <c r="Y355" s="268"/>
      <c r="Z355" s="268"/>
    </row>
    <row r="356" spans="1:26" ht="24.75" customHeight="1">
      <c r="A356" s="268"/>
      <c r="B356" s="268"/>
      <c r="C356" s="268"/>
      <c r="D356" s="268"/>
      <c r="E356" s="268"/>
      <c r="F356" s="268"/>
      <c r="G356" s="268"/>
      <c r="H356" s="389"/>
      <c r="I356" s="389"/>
      <c r="J356" s="389"/>
      <c r="K356" s="268"/>
      <c r="L356" s="268"/>
      <c r="M356" s="268"/>
      <c r="N356" s="310"/>
      <c r="O356" s="268"/>
      <c r="P356" s="309"/>
      <c r="Q356" s="381"/>
      <c r="R356" s="268"/>
      <c r="S356" s="313"/>
      <c r="T356" s="313"/>
      <c r="U356" s="268"/>
      <c r="V356" s="268"/>
      <c r="W356" s="268"/>
      <c r="X356" s="268"/>
      <c r="Y356" s="268"/>
      <c r="Z356" s="268"/>
    </row>
    <row r="357" spans="1:26" ht="24.75" customHeight="1">
      <c r="A357" s="268"/>
      <c r="B357" s="268"/>
      <c r="C357" s="268"/>
      <c r="D357" s="268"/>
      <c r="E357" s="268"/>
      <c r="F357" s="268"/>
      <c r="G357" s="268"/>
      <c r="H357" s="389"/>
      <c r="I357" s="389"/>
      <c r="J357" s="389"/>
      <c r="K357" s="268"/>
      <c r="L357" s="268"/>
      <c r="M357" s="268"/>
      <c r="N357" s="310"/>
      <c r="O357" s="268"/>
      <c r="P357" s="309"/>
      <c r="Q357" s="381"/>
      <c r="R357" s="268"/>
      <c r="S357" s="313"/>
      <c r="T357" s="313"/>
      <c r="U357" s="268"/>
      <c r="V357" s="268"/>
      <c r="W357" s="268"/>
      <c r="X357" s="268"/>
      <c r="Y357" s="268"/>
      <c r="Z357" s="268"/>
    </row>
    <row r="358" spans="1:26" ht="24.75" customHeight="1">
      <c r="A358" s="268"/>
      <c r="B358" s="268"/>
      <c r="C358" s="268"/>
      <c r="D358" s="268"/>
      <c r="E358" s="268"/>
      <c r="F358" s="268"/>
      <c r="G358" s="268"/>
      <c r="H358" s="389"/>
      <c r="I358" s="389"/>
      <c r="J358" s="389"/>
      <c r="K358" s="268"/>
      <c r="L358" s="268"/>
      <c r="M358" s="268"/>
      <c r="N358" s="310"/>
      <c r="O358" s="268"/>
      <c r="P358" s="309"/>
      <c r="Q358" s="381"/>
      <c r="R358" s="268"/>
      <c r="S358" s="313"/>
      <c r="T358" s="313"/>
      <c r="U358" s="268"/>
      <c r="V358" s="268"/>
      <c r="W358" s="268"/>
      <c r="X358" s="268"/>
      <c r="Y358" s="268"/>
      <c r="Z358" s="268"/>
    </row>
    <row r="359" spans="1:26" ht="24.75" customHeight="1">
      <c r="A359" s="268"/>
      <c r="B359" s="268"/>
      <c r="C359" s="268"/>
      <c r="D359" s="268"/>
      <c r="E359" s="268"/>
      <c r="F359" s="268"/>
      <c r="G359" s="268"/>
      <c r="H359" s="389"/>
      <c r="I359" s="389"/>
      <c r="J359" s="389"/>
      <c r="K359" s="268"/>
      <c r="L359" s="268"/>
      <c r="M359" s="268"/>
      <c r="N359" s="310"/>
      <c r="O359" s="268"/>
      <c r="P359" s="309"/>
      <c r="Q359" s="381"/>
      <c r="R359" s="268"/>
      <c r="S359" s="313"/>
      <c r="T359" s="313"/>
      <c r="U359" s="268"/>
      <c r="V359" s="268"/>
      <c r="W359" s="268"/>
      <c r="X359" s="268"/>
      <c r="Y359" s="268"/>
      <c r="Z359" s="268"/>
    </row>
    <row r="360" spans="1:26" ht="24.75" customHeight="1">
      <c r="A360" s="268"/>
      <c r="B360" s="268"/>
      <c r="C360" s="268"/>
      <c r="D360" s="268"/>
      <c r="E360" s="268"/>
      <c r="F360" s="268"/>
      <c r="G360" s="268"/>
      <c r="H360" s="389"/>
      <c r="I360" s="389"/>
      <c r="J360" s="389"/>
      <c r="K360" s="268"/>
      <c r="L360" s="268"/>
      <c r="M360" s="268"/>
      <c r="N360" s="310"/>
      <c r="O360" s="268"/>
      <c r="P360" s="309"/>
      <c r="Q360" s="381"/>
      <c r="R360" s="268"/>
      <c r="S360" s="313"/>
      <c r="T360" s="313"/>
      <c r="U360" s="268"/>
      <c r="V360" s="268"/>
      <c r="W360" s="268"/>
      <c r="X360" s="268"/>
      <c r="Y360" s="268"/>
      <c r="Z360" s="268"/>
    </row>
    <row r="361" spans="1:26" ht="24.75" customHeight="1">
      <c r="A361" s="268"/>
      <c r="B361" s="268"/>
      <c r="C361" s="268"/>
      <c r="D361" s="268"/>
      <c r="E361" s="268"/>
      <c r="F361" s="268"/>
      <c r="G361" s="268"/>
      <c r="H361" s="389"/>
      <c r="I361" s="389"/>
      <c r="J361" s="389"/>
      <c r="K361" s="268"/>
      <c r="L361" s="268"/>
      <c r="M361" s="268"/>
      <c r="N361" s="310"/>
      <c r="O361" s="268"/>
      <c r="P361" s="309"/>
      <c r="Q361" s="381"/>
      <c r="R361" s="268"/>
      <c r="S361" s="313"/>
      <c r="T361" s="313"/>
      <c r="U361" s="268"/>
      <c r="V361" s="268"/>
      <c r="W361" s="268"/>
      <c r="X361" s="268"/>
      <c r="Y361" s="268"/>
      <c r="Z361" s="268"/>
    </row>
    <row r="362" spans="1:26" ht="24.75" customHeight="1">
      <c r="A362" s="268"/>
      <c r="B362" s="268"/>
      <c r="C362" s="268"/>
      <c r="D362" s="268"/>
      <c r="E362" s="268"/>
      <c r="F362" s="268"/>
      <c r="G362" s="268"/>
      <c r="H362" s="389"/>
      <c r="I362" s="389"/>
      <c r="J362" s="389"/>
      <c r="K362" s="268"/>
      <c r="L362" s="268"/>
      <c r="M362" s="268"/>
      <c r="N362" s="310"/>
      <c r="O362" s="268"/>
      <c r="P362" s="309"/>
      <c r="Q362" s="381"/>
      <c r="R362" s="268"/>
      <c r="S362" s="313"/>
      <c r="T362" s="313"/>
      <c r="U362" s="268"/>
      <c r="V362" s="268"/>
      <c r="W362" s="268"/>
      <c r="X362" s="268"/>
      <c r="Y362" s="268"/>
      <c r="Z362" s="268"/>
    </row>
    <row r="363" spans="1:26" ht="24.75" customHeight="1">
      <c r="A363" s="268"/>
      <c r="B363" s="268"/>
      <c r="C363" s="268"/>
      <c r="D363" s="268"/>
      <c r="E363" s="268"/>
      <c r="F363" s="268"/>
      <c r="G363" s="268"/>
      <c r="H363" s="389"/>
      <c r="I363" s="389"/>
      <c r="J363" s="389"/>
      <c r="K363" s="268"/>
      <c r="L363" s="268"/>
      <c r="M363" s="268"/>
      <c r="N363" s="310"/>
      <c r="O363" s="268"/>
      <c r="P363" s="309"/>
      <c r="Q363" s="381"/>
      <c r="R363" s="268"/>
      <c r="S363" s="313"/>
      <c r="T363" s="313"/>
      <c r="U363" s="268"/>
      <c r="V363" s="268"/>
      <c r="W363" s="268"/>
      <c r="X363" s="268"/>
      <c r="Y363" s="268"/>
      <c r="Z363" s="268"/>
    </row>
    <row r="364" spans="1:26" ht="24.75" customHeight="1">
      <c r="A364" s="268"/>
      <c r="B364" s="268"/>
      <c r="C364" s="268"/>
      <c r="D364" s="268"/>
      <c r="E364" s="268"/>
      <c r="F364" s="268"/>
      <c r="G364" s="268"/>
      <c r="H364" s="389"/>
      <c r="I364" s="389"/>
      <c r="J364" s="389"/>
      <c r="K364" s="268"/>
      <c r="L364" s="268"/>
      <c r="M364" s="268"/>
      <c r="N364" s="310"/>
      <c r="O364" s="268"/>
      <c r="P364" s="309"/>
      <c r="Q364" s="381"/>
      <c r="R364" s="268"/>
      <c r="S364" s="313"/>
      <c r="T364" s="313"/>
      <c r="U364" s="268"/>
      <c r="V364" s="268"/>
      <c r="W364" s="268"/>
      <c r="X364" s="268"/>
      <c r="Y364" s="268"/>
      <c r="Z364" s="268"/>
    </row>
    <row r="365" spans="1:26" ht="24.75" customHeight="1">
      <c r="A365" s="268"/>
      <c r="B365" s="268"/>
      <c r="C365" s="268"/>
      <c r="D365" s="268"/>
      <c r="E365" s="268"/>
      <c r="F365" s="268"/>
      <c r="G365" s="268"/>
      <c r="H365" s="389"/>
      <c r="I365" s="389"/>
      <c r="J365" s="389"/>
      <c r="K365" s="268"/>
      <c r="L365" s="268"/>
      <c r="M365" s="268"/>
      <c r="N365" s="310"/>
      <c r="O365" s="268"/>
      <c r="P365" s="309"/>
      <c r="Q365" s="381"/>
      <c r="R365" s="268"/>
      <c r="S365" s="313"/>
      <c r="T365" s="313"/>
      <c r="U365" s="268"/>
      <c r="V365" s="268"/>
      <c r="W365" s="268"/>
      <c r="X365" s="268"/>
      <c r="Y365" s="268"/>
      <c r="Z365" s="268"/>
    </row>
    <row r="366" spans="1:26" ht="24.75" customHeight="1">
      <c r="A366" s="268"/>
      <c r="B366" s="268"/>
      <c r="C366" s="268"/>
      <c r="D366" s="268"/>
      <c r="E366" s="268"/>
      <c r="F366" s="268"/>
      <c r="G366" s="268"/>
      <c r="H366" s="389"/>
      <c r="I366" s="389"/>
      <c r="J366" s="389"/>
      <c r="K366" s="268"/>
      <c r="L366" s="268"/>
      <c r="M366" s="268"/>
      <c r="N366" s="310"/>
      <c r="O366" s="268"/>
      <c r="P366" s="309"/>
      <c r="Q366" s="381"/>
      <c r="R366" s="268"/>
      <c r="S366" s="313"/>
      <c r="T366" s="313"/>
      <c r="U366" s="268"/>
      <c r="V366" s="268"/>
      <c r="W366" s="268"/>
      <c r="X366" s="268"/>
      <c r="Y366" s="268"/>
      <c r="Z366" s="268"/>
    </row>
    <row r="367" spans="1:26" ht="24.75" customHeight="1">
      <c r="A367" s="268"/>
      <c r="B367" s="268"/>
      <c r="C367" s="268"/>
      <c r="D367" s="268"/>
      <c r="E367" s="268"/>
      <c r="F367" s="268"/>
      <c r="G367" s="268"/>
      <c r="H367" s="389"/>
      <c r="I367" s="389"/>
      <c r="J367" s="389"/>
      <c r="K367" s="268"/>
      <c r="L367" s="268"/>
      <c r="M367" s="268"/>
      <c r="N367" s="310"/>
      <c r="O367" s="268"/>
      <c r="P367" s="309"/>
      <c r="Q367" s="381"/>
      <c r="R367" s="268"/>
      <c r="S367" s="313"/>
      <c r="T367" s="313"/>
      <c r="U367" s="268"/>
      <c r="V367" s="268"/>
      <c r="W367" s="268"/>
      <c r="X367" s="268"/>
      <c r="Y367" s="268"/>
      <c r="Z367" s="268"/>
    </row>
    <row r="368" spans="1:26" ht="24.75" customHeight="1">
      <c r="A368" s="268"/>
      <c r="B368" s="268"/>
      <c r="C368" s="268"/>
      <c r="D368" s="268"/>
      <c r="E368" s="268"/>
      <c r="F368" s="268"/>
      <c r="G368" s="268"/>
      <c r="H368" s="389"/>
      <c r="I368" s="389"/>
      <c r="J368" s="389"/>
      <c r="K368" s="268"/>
      <c r="L368" s="268"/>
      <c r="M368" s="268"/>
      <c r="N368" s="310"/>
      <c r="O368" s="268"/>
      <c r="P368" s="309"/>
      <c r="Q368" s="381"/>
      <c r="R368" s="268"/>
      <c r="S368" s="313"/>
      <c r="T368" s="313"/>
      <c r="U368" s="268"/>
      <c r="V368" s="268"/>
      <c r="W368" s="268"/>
      <c r="X368" s="268"/>
      <c r="Y368" s="268"/>
      <c r="Z368" s="268"/>
    </row>
    <row r="369" spans="1:26" ht="24.75" customHeight="1">
      <c r="A369" s="268"/>
      <c r="B369" s="268"/>
      <c r="C369" s="268"/>
      <c r="D369" s="268"/>
      <c r="E369" s="268"/>
      <c r="F369" s="268"/>
      <c r="G369" s="268"/>
      <c r="H369" s="389"/>
      <c r="I369" s="389"/>
      <c r="J369" s="389"/>
      <c r="K369" s="268"/>
      <c r="L369" s="268"/>
      <c r="M369" s="268"/>
      <c r="N369" s="310"/>
      <c r="O369" s="268"/>
      <c r="P369" s="309"/>
      <c r="Q369" s="381"/>
      <c r="R369" s="268"/>
      <c r="S369" s="313"/>
      <c r="T369" s="313"/>
      <c r="U369" s="268"/>
      <c r="V369" s="268"/>
      <c r="W369" s="268"/>
      <c r="X369" s="268"/>
      <c r="Y369" s="268"/>
      <c r="Z369" s="268"/>
    </row>
    <row r="370" spans="1:26" ht="24.75" customHeight="1">
      <c r="A370" s="268"/>
      <c r="B370" s="268"/>
      <c r="C370" s="268"/>
      <c r="D370" s="268"/>
      <c r="E370" s="268"/>
      <c r="F370" s="268"/>
      <c r="G370" s="268"/>
      <c r="H370" s="389"/>
      <c r="I370" s="389"/>
      <c r="J370" s="389"/>
      <c r="K370" s="268"/>
      <c r="L370" s="268"/>
      <c r="M370" s="268"/>
      <c r="N370" s="310"/>
      <c r="O370" s="268"/>
      <c r="P370" s="309"/>
      <c r="Q370" s="381"/>
      <c r="R370" s="268"/>
      <c r="S370" s="313"/>
      <c r="T370" s="313"/>
      <c r="U370" s="268"/>
      <c r="V370" s="268"/>
      <c r="W370" s="268"/>
      <c r="X370" s="268"/>
      <c r="Y370" s="268"/>
      <c r="Z370" s="268"/>
    </row>
    <row r="371" spans="1:26" ht="24.75" customHeight="1">
      <c r="A371" s="268"/>
      <c r="B371" s="268"/>
      <c r="C371" s="268"/>
      <c r="D371" s="268"/>
      <c r="E371" s="268"/>
      <c r="F371" s="268"/>
      <c r="G371" s="268"/>
      <c r="H371" s="389"/>
      <c r="I371" s="389"/>
      <c r="J371" s="389"/>
      <c r="K371" s="268"/>
      <c r="L371" s="268"/>
      <c r="M371" s="268"/>
      <c r="N371" s="310"/>
      <c r="O371" s="268"/>
      <c r="P371" s="309"/>
      <c r="Q371" s="381"/>
      <c r="R371" s="268"/>
      <c r="S371" s="313"/>
      <c r="T371" s="313"/>
      <c r="U371" s="268"/>
      <c r="V371" s="268"/>
      <c r="W371" s="268"/>
      <c r="X371" s="268"/>
      <c r="Y371" s="268"/>
      <c r="Z371" s="268"/>
    </row>
    <row r="372" spans="1:26" ht="24.75" customHeight="1">
      <c r="A372" s="268"/>
      <c r="B372" s="268"/>
      <c r="C372" s="268"/>
      <c r="D372" s="268"/>
      <c r="E372" s="268"/>
      <c r="F372" s="268"/>
      <c r="G372" s="268"/>
      <c r="H372" s="389"/>
      <c r="I372" s="389"/>
      <c r="J372" s="389"/>
      <c r="K372" s="268"/>
      <c r="L372" s="268"/>
      <c r="M372" s="268"/>
      <c r="N372" s="310"/>
      <c r="O372" s="268"/>
      <c r="P372" s="309"/>
      <c r="Q372" s="381"/>
      <c r="R372" s="268"/>
      <c r="S372" s="313"/>
      <c r="T372" s="313"/>
      <c r="U372" s="268"/>
      <c r="V372" s="268"/>
      <c r="W372" s="268"/>
      <c r="X372" s="268"/>
      <c r="Y372" s="268"/>
      <c r="Z372" s="268"/>
    </row>
    <row r="373" spans="1:26" ht="24.75" customHeight="1">
      <c r="A373" s="268"/>
      <c r="B373" s="268"/>
      <c r="C373" s="268"/>
      <c r="D373" s="268"/>
      <c r="E373" s="268"/>
      <c r="F373" s="268"/>
      <c r="G373" s="268"/>
      <c r="H373" s="389"/>
      <c r="I373" s="389"/>
      <c r="J373" s="389"/>
      <c r="K373" s="268"/>
      <c r="L373" s="268"/>
      <c r="M373" s="268"/>
      <c r="N373" s="310"/>
      <c r="O373" s="268"/>
      <c r="P373" s="309"/>
      <c r="Q373" s="381"/>
      <c r="R373" s="268"/>
      <c r="S373" s="313"/>
      <c r="T373" s="313"/>
      <c r="U373" s="268"/>
      <c r="V373" s="268"/>
      <c r="W373" s="268"/>
      <c r="X373" s="268"/>
      <c r="Y373" s="268"/>
      <c r="Z373" s="268"/>
    </row>
    <row r="374" spans="1:26" ht="24.75" customHeight="1">
      <c r="A374" s="268"/>
      <c r="B374" s="268"/>
      <c r="C374" s="268"/>
      <c r="D374" s="268"/>
      <c r="E374" s="268"/>
      <c r="F374" s="268"/>
      <c r="G374" s="268"/>
      <c r="H374" s="389"/>
      <c r="I374" s="389"/>
      <c r="J374" s="389"/>
      <c r="K374" s="268"/>
      <c r="L374" s="268"/>
      <c r="M374" s="268"/>
      <c r="N374" s="310"/>
      <c r="O374" s="268"/>
      <c r="P374" s="309"/>
      <c r="Q374" s="381"/>
      <c r="R374" s="268"/>
      <c r="S374" s="313"/>
      <c r="T374" s="313"/>
      <c r="U374" s="268"/>
      <c r="V374" s="268"/>
      <c r="W374" s="268"/>
      <c r="X374" s="268"/>
      <c r="Y374" s="268"/>
      <c r="Z374" s="268"/>
    </row>
    <row r="375" spans="1:26" ht="24.75" customHeight="1">
      <c r="A375" s="268"/>
      <c r="B375" s="268"/>
      <c r="C375" s="268"/>
      <c r="D375" s="268"/>
      <c r="E375" s="268"/>
      <c r="F375" s="268"/>
      <c r="G375" s="268"/>
      <c r="H375" s="389"/>
      <c r="I375" s="389"/>
      <c r="J375" s="389"/>
      <c r="K375" s="268"/>
      <c r="L375" s="268"/>
      <c r="M375" s="268"/>
      <c r="N375" s="310"/>
      <c r="O375" s="268"/>
      <c r="P375" s="309"/>
      <c r="Q375" s="381"/>
      <c r="R375" s="268"/>
      <c r="S375" s="313"/>
      <c r="T375" s="313"/>
      <c r="U375" s="268"/>
      <c r="V375" s="268"/>
      <c r="W375" s="268"/>
      <c r="X375" s="268"/>
      <c r="Y375" s="268"/>
      <c r="Z375" s="268"/>
    </row>
    <row r="376" spans="1:26" ht="24.75" customHeight="1">
      <c r="A376" s="268"/>
      <c r="B376" s="268"/>
      <c r="C376" s="268"/>
      <c r="D376" s="268"/>
      <c r="E376" s="268"/>
      <c r="F376" s="268"/>
      <c r="G376" s="268"/>
      <c r="H376" s="389"/>
      <c r="I376" s="389"/>
      <c r="J376" s="389"/>
      <c r="K376" s="268"/>
      <c r="L376" s="268"/>
      <c r="M376" s="268"/>
      <c r="N376" s="310"/>
      <c r="O376" s="268"/>
      <c r="P376" s="309"/>
      <c r="Q376" s="381"/>
      <c r="R376" s="268"/>
      <c r="S376" s="313"/>
      <c r="T376" s="313"/>
      <c r="U376" s="268"/>
      <c r="V376" s="268"/>
      <c r="W376" s="268"/>
      <c r="X376" s="268"/>
      <c r="Y376" s="268"/>
      <c r="Z376" s="268"/>
    </row>
    <row r="377" spans="1:26" ht="24.75" customHeight="1">
      <c r="A377" s="268"/>
      <c r="B377" s="268"/>
      <c r="C377" s="268"/>
      <c r="D377" s="268"/>
      <c r="E377" s="268"/>
      <c r="F377" s="268"/>
      <c r="G377" s="268"/>
      <c r="H377" s="389"/>
      <c r="I377" s="389"/>
      <c r="J377" s="389"/>
      <c r="K377" s="268"/>
      <c r="L377" s="268"/>
      <c r="M377" s="268"/>
      <c r="N377" s="310"/>
      <c r="O377" s="268"/>
      <c r="P377" s="309"/>
      <c r="Q377" s="381"/>
      <c r="R377" s="268"/>
      <c r="S377" s="313"/>
      <c r="T377" s="313"/>
      <c r="U377" s="268"/>
      <c r="V377" s="268"/>
      <c r="W377" s="268"/>
      <c r="X377" s="268"/>
      <c r="Y377" s="268"/>
      <c r="Z377" s="268"/>
    </row>
    <row r="378" spans="1:26" ht="24.75" customHeight="1">
      <c r="A378" s="268"/>
      <c r="B378" s="268"/>
      <c r="C378" s="268"/>
      <c r="D378" s="268"/>
      <c r="E378" s="268"/>
      <c r="F378" s="268"/>
      <c r="G378" s="268"/>
      <c r="H378" s="389"/>
      <c r="I378" s="389"/>
      <c r="J378" s="389"/>
      <c r="K378" s="268"/>
      <c r="L378" s="268"/>
      <c r="M378" s="268"/>
      <c r="N378" s="310"/>
      <c r="O378" s="268"/>
      <c r="P378" s="309"/>
      <c r="Q378" s="381"/>
      <c r="R378" s="268"/>
      <c r="S378" s="313"/>
      <c r="T378" s="313"/>
      <c r="U378" s="268"/>
      <c r="V378" s="268"/>
      <c r="W378" s="268"/>
      <c r="X378" s="268"/>
      <c r="Y378" s="268"/>
      <c r="Z378" s="268"/>
    </row>
    <row r="379" spans="1:26" ht="24.75" customHeight="1">
      <c r="A379" s="268"/>
      <c r="B379" s="268"/>
      <c r="C379" s="268"/>
      <c r="D379" s="268"/>
      <c r="E379" s="268"/>
      <c r="F379" s="268"/>
      <c r="G379" s="268"/>
      <c r="H379" s="389"/>
      <c r="I379" s="389"/>
      <c r="J379" s="389"/>
      <c r="K379" s="268"/>
      <c r="L379" s="268"/>
      <c r="M379" s="268"/>
      <c r="N379" s="310"/>
      <c r="O379" s="268"/>
      <c r="P379" s="309"/>
      <c r="Q379" s="381"/>
      <c r="R379" s="268"/>
      <c r="S379" s="313"/>
      <c r="T379" s="313"/>
      <c r="U379" s="268"/>
      <c r="V379" s="268"/>
      <c r="W379" s="268"/>
      <c r="X379" s="268"/>
      <c r="Y379" s="268"/>
      <c r="Z379" s="268"/>
    </row>
    <row r="380" spans="1:26" ht="24.75" customHeight="1">
      <c r="A380" s="268"/>
      <c r="B380" s="268"/>
      <c r="C380" s="268"/>
      <c r="D380" s="268"/>
      <c r="E380" s="268"/>
      <c r="F380" s="268"/>
      <c r="G380" s="268"/>
      <c r="H380" s="389"/>
      <c r="I380" s="389"/>
      <c r="J380" s="389"/>
      <c r="K380" s="268"/>
      <c r="L380" s="268"/>
      <c r="M380" s="268"/>
      <c r="N380" s="310"/>
      <c r="O380" s="268"/>
      <c r="P380" s="309"/>
      <c r="Q380" s="381"/>
      <c r="R380" s="268"/>
      <c r="S380" s="313"/>
      <c r="T380" s="313"/>
      <c r="U380" s="268"/>
      <c r="V380" s="268"/>
      <c r="W380" s="268"/>
      <c r="X380" s="268"/>
      <c r="Y380" s="268"/>
      <c r="Z380" s="268"/>
    </row>
    <row r="381" spans="1:26" ht="24.75" customHeight="1">
      <c r="A381" s="268"/>
      <c r="B381" s="268"/>
      <c r="C381" s="268"/>
      <c r="D381" s="268"/>
      <c r="E381" s="268"/>
      <c r="F381" s="268"/>
      <c r="G381" s="268"/>
      <c r="H381" s="389"/>
      <c r="I381" s="389"/>
      <c r="J381" s="389"/>
      <c r="K381" s="268"/>
      <c r="L381" s="268"/>
      <c r="M381" s="268"/>
      <c r="N381" s="310"/>
      <c r="O381" s="268"/>
      <c r="P381" s="309"/>
      <c r="Q381" s="381"/>
      <c r="R381" s="268"/>
      <c r="S381" s="313"/>
      <c r="T381" s="313"/>
      <c r="U381" s="268"/>
      <c r="V381" s="268"/>
      <c r="W381" s="268"/>
      <c r="X381" s="268"/>
      <c r="Y381" s="268"/>
      <c r="Z381" s="268"/>
    </row>
    <row r="382" spans="1:26" ht="24.75" customHeight="1">
      <c r="A382" s="268"/>
      <c r="B382" s="268"/>
      <c r="C382" s="268"/>
      <c r="D382" s="268"/>
      <c r="E382" s="268"/>
      <c r="F382" s="268"/>
      <c r="G382" s="268"/>
      <c r="H382" s="389"/>
      <c r="I382" s="389"/>
      <c r="J382" s="389"/>
      <c r="K382" s="268"/>
      <c r="L382" s="268"/>
      <c r="M382" s="268"/>
      <c r="N382" s="310"/>
      <c r="O382" s="268"/>
      <c r="P382" s="309"/>
      <c r="Q382" s="381"/>
      <c r="R382" s="268"/>
      <c r="S382" s="313"/>
      <c r="T382" s="313"/>
      <c r="U382" s="268"/>
      <c r="V382" s="268"/>
      <c r="W382" s="268"/>
      <c r="X382" s="268"/>
      <c r="Y382" s="268"/>
      <c r="Z382" s="268"/>
    </row>
    <row r="383" spans="1:26" ht="24.75" customHeight="1">
      <c r="A383" s="268"/>
      <c r="B383" s="268"/>
      <c r="C383" s="268"/>
      <c r="D383" s="268"/>
      <c r="E383" s="268"/>
      <c r="F383" s="268"/>
      <c r="G383" s="268"/>
      <c r="H383" s="389"/>
      <c r="I383" s="389"/>
      <c r="J383" s="389"/>
      <c r="K383" s="268"/>
      <c r="L383" s="268"/>
      <c r="M383" s="268"/>
      <c r="N383" s="310"/>
      <c r="O383" s="268"/>
      <c r="P383" s="309"/>
      <c r="Q383" s="381"/>
      <c r="R383" s="268"/>
      <c r="S383" s="313"/>
      <c r="T383" s="313"/>
      <c r="U383" s="268"/>
      <c r="V383" s="268"/>
      <c r="W383" s="268"/>
      <c r="X383" s="268"/>
      <c r="Y383" s="268"/>
      <c r="Z383" s="268"/>
    </row>
    <row r="384" spans="1:26" ht="24.75" customHeight="1">
      <c r="A384" s="268"/>
      <c r="B384" s="268"/>
      <c r="C384" s="268"/>
      <c r="D384" s="268"/>
      <c r="E384" s="268"/>
      <c r="F384" s="268"/>
      <c r="G384" s="268"/>
      <c r="H384" s="389"/>
      <c r="I384" s="389"/>
      <c r="J384" s="389"/>
      <c r="K384" s="268"/>
      <c r="L384" s="268"/>
      <c r="M384" s="268"/>
      <c r="N384" s="310"/>
      <c r="O384" s="268"/>
      <c r="P384" s="309"/>
      <c r="Q384" s="381"/>
      <c r="R384" s="268"/>
      <c r="S384" s="313"/>
      <c r="T384" s="313"/>
      <c r="U384" s="268"/>
      <c r="V384" s="268"/>
      <c r="W384" s="268"/>
      <c r="X384" s="268"/>
      <c r="Y384" s="268"/>
      <c r="Z384" s="268"/>
    </row>
    <row r="385" spans="1:26" ht="24.75" customHeight="1">
      <c r="A385" s="268"/>
      <c r="B385" s="268"/>
      <c r="C385" s="268"/>
      <c r="D385" s="268"/>
      <c r="E385" s="268"/>
      <c r="F385" s="268"/>
      <c r="G385" s="268"/>
      <c r="H385" s="389"/>
      <c r="I385" s="389"/>
      <c r="J385" s="389"/>
      <c r="K385" s="268"/>
      <c r="L385" s="268"/>
      <c r="M385" s="268"/>
      <c r="N385" s="310"/>
      <c r="O385" s="268"/>
      <c r="P385" s="309"/>
      <c r="Q385" s="381"/>
      <c r="R385" s="268"/>
      <c r="S385" s="313"/>
      <c r="T385" s="313"/>
      <c r="U385" s="268"/>
      <c r="V385" s="268"/>
      <c r="W385" s="268"/>
      <c r="X385" s="268"/>
      <c r="Y385" s="268"/>
      <c r="Z385" s="268"/>
    </row>
    <row r="386" spans="1:26" ht="24.75" customHeight="1">
      <c r="A386" s="268"/>
      <c r="B386" s="268"/>
      <c r="C386" s="268"/>
      <c r="D386" s="268"/>
      <c r="E386" s="268"/>
      <c r="F386" s="268"/>
      <c r="G386" s="268"/>
      <c r="H386" s="389"/>
      <c r="I386" s="389"/>
      <c r="J386" s="389"/>
      <c r="K386" s="268"/>
      <c r="L386" s="268"/>
      <c r="M386" s="268"/>
      <c r="N386" s="310"/>
      <c r="O386" s="268"/>
      <c r="P386" s="309"/>
      <c r="Q386" s="381"/>
      <c r="R386" s="268"/>
      <c r="S386" s="313"/>
      <c r="T386" s="313"/>
      <c r="U386" s="268"/>
      <c r="V386" s="268"/>
      <c r="W386" s="268"/>
      <c r="X386" s="268"/>
      <c r="Y386" s="268"/>
      <c r="Z386" s="268"/>
    </row>
    <row r="387" spans="1:26" ht="24.75" customHeight="1">
      <c r="A387" s="268"/>
      <c r="B387" s="268"/>
      <c r="C387" s="268"/>
      <c r="D387" s="268"/>
      <c r="E387" s="268"/>
      <c r="F387" s="268"/>
      <c r="G387" s="268"/>
      <c r="H387" s="389"/>
      <c r="I387" s="389"/>
      <c r="J387" s="389"/>
      <c r="K387" s="268"/>
      <c r="L387" s="268"/>
      <c r="M387" s="268"/>
      <c r="N387" s="310"/>
      <c r="O387" s="268"/>
      <c r="P387" s="309"/>
      <c r="Q387" s="381"/>
      <c r="R387" s="268"/>
      <c r="S387" s="313"/>
      <c r="T387" s="313"/>
      <c r="U387" s="268"/>
      <c r="V387" s="268"/>
      <c r="W387" s="268"/>
      <c r="X387" s="268"/>
      <c r="Y387" s="268"/>
      <c r="Z387" s="268"/>
    </row>
    <row r="388" spans="1:26" ht="24.75" customHeight="1">
      <c r="A388" s="268"/>
      <c r="B388" s="268"/>
      <c r="C388" s="268"/>
      <c r="D388" s="268"/>
      <c r="E388" s="268"/>
      <c r="F388" s="268"/>
      <c r="G388" s="268"/>
      <c r="H388" s="389"/>
      <c r="I388" s="389"/>
      <c r="J388" s="389"/>
      <c r="K388" s="268"/>
      <c r="L388" s="268"/>
      <c r="M388" s="268"/>
      <c r="N388" s="310"/>
      <c r="O388" s="268"/>
      <c r="P388" s="309"/>
      <c r="Q388" s="381"/>
      <c r="R388" s="268"/>
      <c r="S388" s="313"/>
      <c r="T388" s="313"/>
      <c r="U388" s="268"/>
      <c r="V388" s="268"/>
      <c r="W388" s="268"/>
      <c r="X388" s="268"/>
      <c r="Y388" s="268"/>
      <c r="Z388" s="268"/>
    </row>
    <row r="389" spans="1:26" ht="24.75" customHeight="1">
      <c r="A389" s="268"/>
      <c r="B389" s="268"/>
      <c r="C389" s="268"/>
      <c r="D389" s="268"/>
      <c r="E389" s="268"/>
      <c r="F389" s="268"/>
      <c r="G389" s="268"/>
      <c r="H389" s="389"/>
      <c r="I389" s="389"/>
      <c r="J389" s="389"/>
      <c r="K389" s="268"/>
      <c r="L389" s="268"/>
      <c r="M389" s="268"/>
      <c r="N389" s="310"/>
      <c r="O389" s="268"/>
      <c r="P389" s="309"/>
      <c r="Q389" s="381"/>
      <c r="R389" s="268"/>
      <c r="S389" s="313"/>
      <c r="T389" s="313"/>
      <c r="U389" s="268"/>
      <c r="V389" s="268"/>
      <c r="W389" s="268"/>
      <c r="X389" s="268"/>
      <c r="Y389" s="268"/>
      <c r="Z389" s="268"/>
    </row>
    <row r="390" spans="1:26" ht="24.75" customHeight="1">
      <c r="A390" s="268"/>
      <c r="B390" s="268"/>
      <c r="C390" s="268"/>
      <c r="D390" s="268"/>
      <c r="E390" s="268"/>
      <c r="F390" s="268"/>
      <c r="G390" s="268"/>
      <c r="H390" s="389"/>
      <c r="I390" s="389"/>
      <c r="J390" s="389"/>
      <c r="K390" s="268"/>
      <c r="L390" s="268"/>
      <c r="M390" s="268"/>
      <c r="N390" s="310"/>
      <c r="O390" s="268"/>
      <c r="P390" s="309"/>
      <c r="Q390" s="381"/>
      <c r="R390" s="268"/>
      <c r="S390" s="313"/>
      <c r="T390" s="313"/>
      <c r="U390" s="268"/>
      <c r="V390" s="268"/>
      <c r="W390" s="268"/>
      <c r="X390" s="268"/>
      <c r="Y390" s="268"/>
      <c r="Z390" s="268"/>
    </row>
    <row r="391" spans="1:26" ht="24.75" customHeight="1">
      <c r="A391" s="268"/>
      <c r="B391" s="268"/>
      <c r="C391" s="268"/>
      <c r="D391" s="268"/>
      <c r="E391" s="268"/>
      <c r="F391" s="268"/>
      <c r="G391" s="268"/>
      <c r="H391" s="389"/>
      <c r="I391" s="389"/>
      <c r="J391" s="389"/>
      <c r="K391" s="268"/>
      <c r="L391" s="268"/>
      <c r="M391" s="268"/>
      <c r="N391" s="310"/>
      <c r="O391" s="268"/>
      <c r="P391" s="309"/>
      <c r="Q391" s="381"/>
      <c r="R391" s="268"/>
      <c r="S391" s="313"/>
      <c r="T391" s="313"/>
      <c r="U391" s="268"/>
      <c r="V391" s="268"/>
      <c r="W391" s="268"/>
      <c r="X391" s="268"/>
      <c r="Y391" s="268"/>
      <c r="Z391" s="268"/>
    </row>
    <row r="392" spans="1:26" ht="24.75" customHeight="1">
      <c r="A392" s="268"/>
      <c r="B392" s="268"/>
      <c r="C392" s="268"/>
      <c r="D392" s="268"/>
      <c r="E392" s="268"/>
      <c r="F392" s="268"/>
      <c r="G392" s="268"/>
      <c r="H392" s="389"/>
      <c r="I392" s="389"/>
      <c r="J392" s="389"/>
      <c r="K392" s="268"/>
      <c r="L392" s="268"/>
      <c r="M392" s="268"/>
      <c r="N392" s="310"/>
      <c r="O392" s="268"/>
      <c r="P392" s="309"/>
      <c r="Q392" s="381"/>
      <c r="R392" s="268"/>
      <c r="S392" s="313"/>
      <c r="T392" s="313"/>
      <c r="U392" s="268"/>
      <c r="V392" s="268"/>
      <c r="W392" s="268"/>
      <c r="X392" s="268"/>
      <c r="Y392" s="268"/>
      <c r="Z392" s="268"/>
    </row>
    <row r="393" spans="1:26" ht="24.75" customHeight="1">
      <c r="A393" s="268"/>
      <c r="B393" s="268"/>
      <c r="C393" s="268"/>
      <c r="D393" s="268"/>
      <c r="E393" s="268"/>
      <c r="F393" s="268"/>
      <c r="G393" s="268"/>
      <c r="H393" s="389"/>
      <c r="I393" s="389"/>
      <c r="J393" s="389"/>
      <c r="K393" s="268"/>
      <c r="L393" s="268"/>
      <c r="M393" s="268"/>
      <c r="N393" s="310"/>
      <c r="O393" s="268"/>
      <c r="P393" s="309"/>
      <c r="Q393" s="381"/>
      <c r="R393" s="268"/>
      <c r="S393" s="313"/>
      <c r="T393" s="313"/>
      <c r="U393" s="268"/>
      <c r="V393" s="268"/>
      <c r="W393" s="268"/>
      <c r="X393" s="268"/>
      <c r="Y393" s="268"/>
      <c r="Z393" s="268"/>
    </row>
    <row r="394" spans="1:26" ht="24.75" customHeight="1">
      <c r="A394" s="268"/>
      <c r="B394" s="268"/>
      <c r="C394" s="268"/>
      <c r="D394" s="268"/>
      <c r="E394" s="268"/>
      <c r="F394" s="268"/>
      <c r="G394" s="268"/>
      <c r="H394" s="389"/>
      <c r="I394" s="389"/>
      <c r="J394" s="389"/>
      <c r="K394" s="268"/>
      <c r="L394" s="268"/>
      <c r="M394" s="268"/>
      <c r="N394" s="310"/>
      <c r="O394" s="268"/>
      <c r="P394" s="309"/>
      <c r="Q394" s="381"/>
      <c r="R394" s="268"/>
      <c r="S394" s="313"/>
      <c r="T394" s="313"/>
      <c r="U394" s="268"/>
      <c r="V394" s="268"/>
      <c r="W394" s="268"/>
      <c r="X394" s="268"/>
      <c r="Y394" s="268"/>
      <c r="Z394" s="268"/>
    </row>
    <row r="395" spans="1:26" ht="24.75" customHeight="1">
      <c r="A395" s="268"/>
      <c r="B395" s="268"/>
      <c r="C395" s="268"/>
      <c r="D395" s="268"/>
      <c r="E395" s="268"/>
      <c r="F395" s="268"/>
      <c r="G395" s="268"/>
      <c r="H395" s="389"/>
      <c r="I395" s="389"/>
      <c r="J395" s="389"/>
      <c r="K395" s="268"/>
      <c r="L395" s="268"/>
      <c r="M395" s="268"/>
      <c r="N395" s="310"/>
      <c r="O395" s="268"/>
      <c r="P395" s="309"/>
      <c r="Q395" s="381"/>
      <c r="R395" s="268"/>
      <c r="S395" s="313"/>
      <c r="T395" s="313"/>
      <c r="U395" s="268"/>
      <c r="V395" s="268"/>
      <c r="W395" s="268"/>
      <c r="X395" s="268"/>
      <c r="Y395" s="268"/>
      <c r="Z395" s="268"/>
    </row>
    <row r="396" spans="1:26" ht="24.75" customHeight="1">
      <c r="A396" s="268"/>
      <c r="B396" s="268"/>
      <c r="C396" s="268"/>
      <c r="D396" s="268"/>
      <c r="E396" s="268"/>
      <c r="F396" s="268"/>
      <c r="G396" s="268"/>
      <c r="H396" s="389"/>
      <c r="I396" s="389"/>
      <c r="J396" s="389"/>
      <c r="K396" s="268"/>
      <c r="L396" s="268"/>
      <c r="M396" s="268"/>
      <c r="N396" s="310"/>
      <c r="O396" s="268"/>
      <c r="P396" s="309"/>
      <c r="Q396" s="381"/>
      <c r="R396" s="268"/>
      <c r="S396" s="313"/>
      <c r="T396" s="313"/>
      <c r="U396" s="268"/>
      <c r="V396" s="268"/>
      <c r="W396" s="268"/>
      <c r="X396" s="268"/>
      <c r="Y396" s="268"/>
      <c r="Z396" s="268"/>
    </row>
    <row r="397" spans="1:26" ht="24.75" customHeight="1">
      <c r="A397" s="268"/>
      <c r="B397" s="268"/>
      <c r="C397" s="268"/>
      <c r="D397" s="268"/>
      <c r="E397" s="268"/>
      <c r="F397" s="268"/>
      <c r="G397" s="268"/>
      <c r="H397" s="389"/>
      <c r="I397" s="389"/>
      <c r="J397" s="389"/>
      <c r="K397" s="268"/>
      <c r="L397" s="268"/>
      <c r="M397" s="268"/>
      <c r="N397" s="310"/>
      <c r="O397" s="268"/>
      <c r="P397" s="309"/>
      <c r="Q397" s="381"/>
      <c r="R397" s="268"/>
      <c r="S397" s="313"/>
      <c r="T397" s="313"/>
      <c r="U397" s="268"/>
      <c r="V397" s="268"/>
      <c r="W397" s="268"/>
      <c r="X397" s="268"/>
      <c r="Y397" s="268"/>
      <c r="Z397" s="268"/>
    </row>
    <row r="398" spans="1:26" ht="24.75" customHeight="1">
      <c r="A398" s="268"/>
      <c r="B398" s="268"/>
      <c r="C398" s="268"/>
      <c r="D398" s="268"/>
      <c r="E398" s="268"/>
      <c r="F398" s="268"/>
      <c r="G398" s="268"/>
      <c r="H398" s="389"/>
      <c r="I398" s="389"/>
      <c r="J398" s="389"/>
      <c r="K398" s="268"/>
      <c r="L398" s="268"/>
      <c r="M398" s="268"/>
      <c r="N398" s="310"/>
      <c r="O398" s="268"/>
      <c r="P398" s="309"/>
      <c r="Q398" s="381"/>
      <c r="R398" s="268"/>
      <c r="S398" s="313"/>
      <c r="T398" s="313"/>
      <c r="U398" s="268"/>
      <c r="V398" s="268"/>
      <c r="W398" s="268"/>
      <c r="X398" s="268"/>
      <c r="Y398" s="268"/>
      <c r="Z398" s="268"/>
    </row>
    <row r="399" spans="1:26" ht="24.75" customHeight="1">
      <c r="A399" s="268"/>
      <c r="B399" s="268"/>
      <c r="C399" s="268"/>
      <c r="D399" s="268"/>
      <c r="E399" s="268"/>
      <c r="F399" s="268"/>
      <c r="G399" s="268"/>
      <c r="H399" s="389"/>
      <c r="I399" s="389"/>
      <c r="J399" s="389"/>
      <c r="K399" s="268"/>
      <c r="L399" s="268"/>
      <c r="M399" s="268"/>
      <c r="N399" s="310"/>
      <c r="O399" s="268"/>
      <c r="P399" s="309"/>
      <c r="Q399" s="381"/>
      <c r="R399" s="268"/>
      <c r="S399" s="313"/>
      <c r="T399" s="313"/>
      <c r="U399" s="268"/>
      <c r="V399" s="268"/>
      <c r="W399" s="268"/>
      <c r="X399" s="268"/>
      <c r="Y399" s="268"/>
      <c r="Z399" s="268"/>
    </row>
    <row r="400" spans="1:26" ht="24.75" customHeight="1">
      <c r="A400" s="268"/>
      <c r="B400" s="268"/>
      <c r="C400" s="268"/>
      <c r="D400" s="268"/>
      <c r="E400" s="268"/>
      <c r="F400" s="268"/>
      <c r="G400" s="268"/>
      <c r="H400" s="389"/>
      <c r="I400" s="389"/>
      <c r="J400" s="389"/>
      <c r="K400" s="268"/>
      <c r="L400" s="268"/>
      <c r="M400" s="268"/>
      <c r="N400" s="310"/>
      <c r="O400" s="268"/>
      <c r="P400" s="309"/>
      <c r="Q400" s="381"/>
      <c r="R400" s="268"/>
      <c r="S400" s="313"/>
      <c r="T400" s="313"/>
      <c r="U400" s="268"/>
      <c r="V400" s="268"/>
      <c r="W400" s="268"/>
      <c r="X400" s="268"/>
      <c r="Y400" s="268"/>
      <c r="Z400" s="268"/>
    </row>
    <row r="401" spans="1:26" ht="24.75" customHeight="1">
      <c r="A401" s="268"/>
      <c r="B401" s="268"/>
      <c r="C401" s="268"/>
      <c r="D401" s="268"/>
      <c r="E401" s="268"/>
      <c r="F401" s="268"/>
      <c r="G401" s="268"/>
      <c r="H401" s="389"/>
      <c r="I401" s="389"/>
      <c r="J401" s="389"/>
      <c r="K401" s="268"/>
      <c r="L401" s="268"/>
      <c r="M401" s="268"/>
      <c r="N401" s="310"/>
      <c r="O401" s="268"/>
      <c r="P401" s="309"/>
      <c r="Q401" s="381"/>
      <c r="R401" s="268"/>
      <c r="S401" s="313"/>
      <c r="T401" s="313"/>
      <c r="U401" s="268"/>
      <c r="V401" s="268"/>
      <c r="W401" s="268"/>
      <c r="X401" s="268"/>
      <c r="Y401" s="268"/>
      <c r="Z401" s="268"/>
    </row>
    <row r="402" spans="1:26" ht="24.75" customHeight="1">
      <c r="A402" s="268"/>
      <c r="B402" s="268"/>
      <c r="C402" s="268"/>
      <c r="D402" s="268"/>
      <c r="E402" s="268"/>
      <c r="F402" s="268"/>
      <c r="G402" s="268"/>
      <c r="H402" s="389"/>
      <c r="I402" s="389"/>
      <c r="J402" s="389"/>
      <c r="K402" s="268"/>
      <c r="L402" s="268"/>
      <c r="M402" s="268"/>
      <c r="N402" s="310"/>
      <c r="O402" s="268"/>
      <c r="P402" s="309"/>
      <c r="Q402" s="381"/>
      <c r="R402" s="268"/>
      <c r="S402" s="313"/>
      <c r="T402" s="313"/>
      <c r="U402" s="268"/>
      <c r="V402" s="268"/>
      <c r="W402" s="268"/>
      <c r="X402" s="268"/>
      <c r="Y402" s="268"/>
      <c r="Z402" s="268"/>
    </row>
    <row r="403" spans="1:26" ht="24.75" customHeight="1">
      <c r="A403" s="268"/>
      <c r="B403" s="268"/>
      <c r="C403" s="268"/>
      <c r="D403" s="268"/>
      <c r="E403" s="268"/>
      <c r="F403" s="268"/>
      <c r="G403" s="268"/>
      <c r="H403" s="389"/>
      <c r="I403" s="389"/>
      <c r="J403" s="389"/>
      <c r="K403" s="268"/>
      <c r="L403" s="268"/>
      <c r="M403" s="268"/>
      <c r="N403" s="310"/>
      <c r="O403" s="268"/>
      <c r="P403" s="309"/>
      <c r="Q403" s="381"/>
      <c r="R403" s="268"/>
      <c r="S403" s="313"/>
      <c r="T403" s="313"/>
      <c r="U403" s="268"/>
      <c r="V403" s="268"/>
      <c r="W403" s="268"/>
      <c r="X403" s="268"/>
      <c r="Y403" s="268"/>
      <c r="Z403" s="268"/>
    </row>
    <row r="404" spans="1:26" ht="24.75" customHeight="1">
      <c r="A404" s="268"/>
      <c r="B404" s="268"/>
      <c r="C404" s="268"/>
      <c r="D404" s="268"/>
      <c r="E404" s="268"/>
      <c r="F404" s="268"/>
      <c r="G404" s="268"/>
      <c r="H404" s="389"/>
      <c r="I404" s="389"/>
      <c r="J404" s="389"/>
      <c r="K404" s="268"/>
      <c r="L404" s="268"/>
      <c r="M404" s="268"/>
      <c r="N404" s="310"/>
      <c r="O404" s="268"/>
      <c r="P404" s="309"/>
      <c r="Q404" s="381"/>
      <c r="R404" s="268"/>
      <c r="S404" s="313"/>
      <c r="T404" s="313"/>
      <c r="U404" s="268"/>
      <c r="V404" s="268"/>
      <c r="W404" s="268"/>
      <c r="X404" s="268"/>
      <c r="Y404" s="268"/>
      <c r="Z404" s="268"/>
    </row>
    <row r="405" spans="1:26" ht="24.75" customHeight="1">
      <c r="A405" s="268"/>
      <c r="B405" s="268"/>
      <c r="C405" s="268"/>
      <c r="D405" s="268"/>
      <c r="E405" s="268"/>
      <c r="F405" s="268"/>
      <c r="G405" s="268"/>
      <c r="H405" s="389"/>
      <c r="I405" s="389"/>
      <c r="J405" s="389"/>
      <c r="K405" s="268"/>
      <c r="L405" s="268"/>
      <c r="M405" s="268"/>
      <c r="N405" s="310"/>
      <c r="O405" s="268"/>
      <c r="P405" s="309"/>
      <c r="Q405" s="381"/>
      <c r="R405" s="268"/>
      <c r="S405" s="313"/>
      <c r="T405" s="313"/>
      <c r="U405" s="268"/>
      <c r="V405" s="268"/>
      <c r="W405" s="268"/>
      <c r="X405" s="268"/>
      <c r="Y405" s="268"/>
      <c r="Z405" s="268"/>
    </row>
    <row r="406" spans="1:26" ht="24.75" customHeight="1">
      <c r="A406" s="268"/>
      <c r="B406" s="268"/>
      <c r="C406" s="268"/>
      <c r="D406" s="268"/>
      <c r="E406" s="268"/>
      <c r="F406" s="268"/>
      <c r="G406" s="268"/>
      <c r="H406" s="389"/>
      <c r="I406" s="389"/>
      <c r="J406" s="389"/>
      <c r="K406" s="268"/>
      <c r="L406" s="268"/>
      <c r="M406" s="268"/>
      <c r="N406" s="310"/>
      <c r="O406" s="268"/>
      <c r="P406" s="309"/>
      <c r="Q406" s="381"/>
      <c r="R406" s="268"/>
      <c r="S406" s="313"/>
      <c r="T406" s="313"/>
      <c r="U406" s="268"/>
      <c r="V406" s="268"/>
      <c r="W406" s="268"/>
      <c r="X406" s="268"/>
      <c r="Y406" s="268"/>
      <c r="Z406" s="268"/>
    </row>
    <row r="407" spans="1:26" ht="24.75" customHeight="1">
      <c r="A407" s="268"/>
      <c r="B407" s="268"/>
      <c r="C407" s="268"/>
      <c r="D407" s="268"/>
      <c r="E407" s="268"/>
      <c r="F407" s="268"/>
      <c r="G407" s="268"/>
      <c r="H407" s="389"/>
      <c r="I407" s="389"/>
      <c r="J407" s="389"/>
      <c r="K407" s="268"/>
      <c r="L407" s="268"/>
      <c r="M407" s="268"/>
      <c r="N407" s="310"/>
      <c r="O407" s="268"/>
      <c r="P407" s="309"/>
      <c r="Q407" s="381"/>
      <c r="R407" s="268"/>
      <c r="S407" s="313"/>
      <c r="T407" s="313"/>
      <c r="U407" s="268"/>
      <c r="V407" s="268"/>
      <c r="W407" s="268"/>
      <c r="X407" s="268"/>
      <c r="Y407" s="268"/>
      <c r="Z407" s="268"/>
    </row>
    <row r="408" spans="1:26" ht="24.75" customHeight="1">
      <c r="A408" s="268"/>
      <c r="B408" s="268"/>
      <c r="C408" s="268"/>
      <c r="D408" s="268"/>
      <c r="E408" s="268"/>
      <c r="F408" s="268"/>
      <c r="G408" s="268"/>
      <c r="H408" s="389"/>
      <c r="I408" s="389"/>
      <c r="J408" s="389"/>
      <c r="K408" s="268"/>
      <c r="L408" s="268"/>
      <c r="M408" s="268"/>
      <c r="N408" s="310"/>
      <c r="O408" s="268"/>
      <c r="P408" s="309"/>
      <c r="Q408" s="381"/>
      <c r="R408" s="268"/>
      <c r="S408" s="313"/>
      <c r="T408" s="313"/>
      <c r="U408" s="268"/>
      <c r="V408" s="268"/>
      <c r="W408" s="268"/>
      <c r="X408" s="268"/>
      <c r="Y408" s="268"/>
      <c r="Z408" s="268"/>
    </row>
    <row r="409" spans="1:26" ht="24.75" customHeight="1">
      <c r="A409" s="268"/>
      <c r="B409" s="268"/>
      <c r="C409" s="268"/>
      <c r="D409" s="268"/>
      <c r="E409" s="268"/>
      <c r="F409" s="268"/>
      <c r="G409" s="268"/>
      <c r="H409" s="389"/>
      <c r="I409" s="389"/>
      <c r="J409" s="389"/>
      <c r="K409" s="268"/>
      <c r="L409" s="268"/>
      <c r="M409" s="268"/>
      <c r="N409" s="310"/>
      <c r="O409" s="268"/>
      <c r="P409" s="309"/>
      <c r="Q409" s="381"/>
      <c r="R409" s="268"/>
      <c r="S409" s="313"/>
      <c r="T409" s="313"/>
      <c r="U409" s="268"/>
      <c r="V409" s="268"/>
      <c r="W409" s="268"/>
      <c r="X409" s="268"/>
      <c r="Y409" s="268"/>
      <c r="Z409" s="268"/>
    </row>
    <row r="410" spans="1:26" ht="24.75" customHeight="1">
      <c r="A410" s="268"/>
      <c r="B410" s="268"/>
      <c r="C410" s="268"/>
      <c r="D410" s="268"/>
      <c r="E410" s="268"/>
      <c r="F410" s="268"/>
      <c r="G410" s="268"/>
      <c r="H410" s="389"/>
      <c r="I410" s="389"/>
      <c r="J410" s="389"/>
      <c r="K410" s="268"/>
      <c r="L410" s="268"/>
      <c r="M410" s="268"/>
      <c r="N410" s="310"/>
      <c r="O410" s="268"/>
      <c r="P410" s="309"/>
      <c r="Q410" s="381"/>
      <c r="R410" s="268"/>
      <c r="S410" s="313"/>
      <c r="T410" s="313"/>
      <c r="U410" s="268"/>
      <c r="V410" s="268"/>
      <c r="W410" s="268"/>
      <c r="X410" s="268"/>
      <c r="Y410" s="268"/>
      <c r="Z410" s="268"/>
    </row>
    <row r="411" spans="1:26" ht="24.75" customHeight="1">
      <c r="A411" s="268"/>
      <c r="B411" s="268"/>
      <c r="C411" s="268"/>
      <c r="D411" s="268"/>
      <c r="E411" s="268"/>
      <c r="F411" s="268"/>
      <c r="G411" s="268"/>
      <c r="H411" s="389"/>
      <c r="I411" s="389"/>
      <c r="J411" s="389"/>
      <c r="K411" s="268"/>
      <c r="L411" s="268"/>
      <c r="M411" s="268"/>
      <c r="N411" s="310"/>
      <c r="O411" s="268"/>
      <c r="P411" s="309"/>
      <c r="Q411" s="381"/>
      <c r="R411" s="268"/>
      <c r="S411" s="313"/>
      <c r="T411" s="313"/>
      <c r="U411" s="268"/>
      <c r="V411" s="268"/>
      <c r="W411" s="268"/>
      <c r="X411" s="268"/>
      <c r="Y411" s="268"/>
      <c r="Z411" s="268"/>
    </row>
    <row r="412" spans="1:26" ht="24.75" customHeight="1">
      <c r="A412" s="268"/>
      <c r="B412" s="268"/>
      <c r="C412" s="268"/>
      <c r="D412" s="268"/>
      <c r="E412" s="268"/>
      <c r="F412" s="268"/>
      <c r="G412" s="268"/>
      <c r="H412" s="389"/>
      <c r="I412" s="389"/>
      <c r="J412" s="389"/>
      <c r="K412" s="268"/>
      <c r="L412" s="268"/>
      <c r="M412" s="268"/>
      <c r="N412" s="310"/>
      <c r="O412" s="268"/>
      <c r="P412" s="309"/>
      <c r="Q412" s="381"/>
      <c r="R412" s="268"/>
      <c r="S412" s="313"/>
      <c r="T412" s="313"/>
      <c r="U412" s="268"/>
      <c r="V412" s="268"/>
      <c r="W412" s="268"/>
      <c r="X412" s="268"/>
      <c r="Y412" s="268"/>
      <c r="Z412" s="268"/>
    </row>
    <row r="413" spans="1:26" ht="24.75" customHeight="1">
      <c r="A413" s="268"/>
      <c r="B413" s="268"/>
      <c r="C413" s="268"/>
      <c r="D413" s="268"/>
      <c r="E413" s="268"/>
      <c r="F413" s="268"/>
      <c r="G413" s="268"/>
      <c r="H413" s="389"/>
      <c r="I413" s="389"/>
      <c r="J413" s="389"/>
      <c r="K413" s="268"/>
      <c r="L413" s="268"/>
      <c r="M413" s="268"/>
      <c r="N413" s="310"/>
      <c r="O413" s="268"/>
      <c r="P413" s="309"/>
      <c r="Q413" s="381"/>
      <c r="R413" s="268"/>
      <c r="S413" s="313"/>
      <c r="T413" s="313"/>
      <c r="U413" s="268"/>
      <c r="V413" s="268"/>
      <c r="W413" s="268"/>
      <c r="X413" s="268"/>
      <c r="Y413" s="268"/>
      <c r="Z413" s="268"/>
    </row>
    <row r="414" spans="1:26" ht="24.75" customHeight="1">
      <c r="A414" s="268"/>
      <c r="B414" s="268"/>
      <c r="C414" s="268"/>
      <c r="D414" s="268"/>
      <c r="E414" s="268"/>
      <c r="F414" s="268"/>
      <c r="G414" s="268"/>
      <c r="H414" s="389"/>
      <c r="I414" s="389"/>
      <c r="J414" s="389"/>
      <c r="K414" s="268"/>
      <c r="L414" s="268"/>
      <c r="M414" s="268"/>
      <c r="N414" s="310"/>
      <c r="O414" s="268"/>
      <c r="P414" s="309"/>
      <c r="Q414" s="381"/>
      <c r="R414" s="268"/>
      <c r="S414" s="313"/>
      <c r="T414" s="313"/>
      <c r="U414" s="268"/>
      <c r="V414" s="268"/>
      <c r="W414" s="268"/>
      <c r="X414" s="268"/>
      <c r="Y414" s="268"/>
      <c r="Z414" s="268"/>
    </row>
    <row r="415" spans="1:26" ht="24.75" customHeight="1">
      <c r="A415" s="268"/>
      <c r="B415" s="268"/>
      <c r="C415" s="268"/>
      <c r="D415" s="268"/>
      <c r="E415" s="268"/>
      <c r="F415" s="268"/>
      <c r="G415" s="268"/>
      <c r="H415" s="389"/>
      <c r="I415" s="389"/>
      <c r="J415" s="389"/>
      <c r="K415" s="268"/>
      <c r="L415" s="268"/>
      <c r="M415" s="268"/>
      <c r="N415" s="310"/>
      <c r="O415" s="268"/>
      <c r="P415" s="309"/>
      <c r="Q415" s="381"/>
      <c r="R415" s="268"/>
      <c r="S415" s="313"/>
      <c r="T415" s="313"/>
      <c r="U415" s="268"/>
      <c r="V415" s="268"/>
      <c r="W415" s="268"/>
      <c r="X415" s="268"/>
      <c r="Y415" s="268"/>
      <c r="Z415" s="268"/>
    </row>
    <row r="416" spans="1:26" ht="24.75" customHeight="1">
      <c r="A416" s="268"/>
      <c r="B416" s="268"/>
      <c r="C416" s="268"/>
      <c r="D416" s="268"/>
      <c r="E416" s="268"/>
      <c r="F416" s="268"/>
      <c r="G416" s="268"/>
      <c r="H416" s="389"/>
      <c r="I416" s="389"/>
      <c r="J416" s="389"/>
      <c r="K416" s="268"/>
      <c r="L416" s="268"/>
      <c r="M416" s="268"/>
      <c r="N416" s="310"/>
      <c r="O416" s="268"/>
      <c r="P416" s="309"/>
      <c r="Q416" s="381"/>
      <c r="R416" s="268"/>
      <c r="S416" s="313"/>
      <c r="T416" s="313"/>
      <c r="U416" s="268"/>
      <c r="V416" s="268"/>
      <c r="W416" s="268"/>
      <c r="X416" s="268"/>
      <c r="Y416" s="268"/>
      <c r="Z416" s="268"/>
    </row>
    <row r="417" spans="1:26" ht="24.75" customHeight="1">
      <c r="A417" s="268"/>
      <c r="B417" s="268"/>
      <c r="C417" s="268"/>
      <c r="D417" s="268"/>
      <c r="E417" s="268"/>
      <c r="F417" s="268"/>
      <c r="G417" s="268"/>
      <c r="H417" s="389"/>
      <c r="I417" s="389"/>
      <c r="J417" s="389"/>
      <c r="K417" s="268"/>
      <c r="L417" s="268"/>
      <c r="M417" s="268"/>
      <c r="N417" s="310"/>
      <c r="O417" s="268"/>
      <c r="P417" s="309"/>
      <c r="Q417" s="381"/>
      <c r="R417" s="268"/>
      <c r="S417" s="313"/>
      <c r="T417" s="313"/>
      <c r="U417" s="268"/>
      <c r="V417" s="268"/>
      <c r="W417" s="268"/>
      <c r="X417" s="268"/>
      <c r="Y417" s="268"/>
      <c r="Z417" s="268"/>
    </row>
    <row r="418" spans="1:26" ht="24.75" customHeight="1">
      <c r="A418" s="268"/>
      <c r="B418" s="268"/>
      <c r="C418" s="268"/>
      <c r="D418" s="268"/>
      <c r="E418" s="268"/>
      <c r="F418" s="268"/>
      <c r="G418" s="268"/>
      <c r="H418" s="389"/>
      <c r="I418" s="389"/>
      <c r="J418" s="389"/>
      <c r="K418" s="268"/>
      <c r="L418" s="268"/>
      <c r="M418" s="268"/>
      <c r="N418" s="310"/>
      <c r="O418" s="268"/>
      <c r="P418" s="309"/>
      <c r="Q418" s="381"/>
      <c r="R418" s="268"/>
      <c r="S418" s="313"/>
      <c r="T418" s="313"/>
      <c r="U418" s="268"/>
      <c r="V418" s="268"/>
      <c r="W418" s="268"/>
      <c r="X418" s="268"/>
      <c r="Y418" s="268"/>
      <c r="Z418" s="268"/>
    </row>
    <row r="419" spans="1:26" ht="24.75" customHeight="1">
      <c r="A419" s="268"/>
      <c r="B419" s="268"/>
      <c r="C419" s="268"/>
      <c r="D419" s="268"/>
      <c r="E419" s="268"/>
      <c r="F419" s="268"/>
      <c r="G419" s="268"/>
      <c r="H419" s="389"/>
      <c r="I419" s="389"/>
      <c r="J419" s="389"/>
      <c r="K419" s="268"/>
      <c r="L419" s="268"/>
      <c r="M419" s="268"/>
      <c r="N419" s="310"/>
      <c r="O419" s="268"/>
      <c r="P419" s="309"/>
      <c r="Q419" s="381"/>
      <c r="R419" s="268"/>
      <c r="S419" s="313"/>
      <c r="T419" s="313"/>
      <c r="U419" s="268"/>
      <c r="V419" s="268"/>
      <c r="W419" s="268"/>
      <c r="X419" s="268"/>
      <c r="Y419" s="268"/>
      <c r="Z419" s="268"/>
    </row>
    <row r="420" spans="1:26" ht="24.75" customHeight="1">
      <c r="A420" s="268"/>
      <c r="B420" s="268"/>
      <c r="C420" s="268"/>
      <c r="D420" s="268"/>
      <c r="E420" s="268"/>
      <c r="F420" s="268"/>
      <c r="G420" s="268"/>
      <c r="H420" s="389"/>
      <c r="I420" s="389"/>
      <c r="J420" s="389"/>
      <c r="K420" s="268"/>
      <c r="L420" s="268"/>
      <c r="M420" s="268"/>
      <c r="N420" s="310"/>
      <c r="O420" s="268"/>
      <c r="P420" s="309"/>
      <c r="Q420" s="381"/>
      <c r="R420" s="268"/>
      <c r="S420" s="313"/>
      <c r="T420" s="313"/>
      <c r="U420" s="268"/>
      <c r="V420" s="268"/>
      <c r="W420" s="268"/>
      <c r="X420" s="268"/>
      <c r="Y420" s="268"/>
      <c r="Z420" s="268"/>
    </row>
    <row r="421" spans="1:26" ht="24.75" customHeight="1">
      <c r="A421" s="268"/>
      <c r="B421" s="268"/>
      <c r="C421" s="268"/>
      <c r="D421" s="268"/>
      <c r="E421" s="268"/>
      <c r="F421" s="268"/>
      <c r="G421" s="268"/>
      <c r="H421" s="389"/>
      <c r="I421" s="389"/>
      <c r="J421" s="389"/>
      <c r="K421" s="268"/>
      <c r="L421" s="268"/>
      <c r="M421" s="268"/>
      <c r="N421" s="310"/>
      <c r="O421" s="268"/>
      <c r="P421" s="309"/>
      <c r="Q421" s="381"/>
      <c r="R421" s="268"/>
      <c r="S421" s="313"/>
      <c r="T421" s="313"/>
      <c r="U421" s="268"/>
      <c r="V421" s="268"/>
      <c r="W421" s="268"/>
      <c r="X421" s="268"/>
      <c r="Y421" s="268"/>
      <c r="Z421" s="268"/>
    </row>
    <row r="422" spans="1:26" ht="24.75" customHeight="1">
      <c r="A422" s="268"/>
      <c r="B422" s="268"/>
      <c r="C422" s="268"/>
      <c r="D422" s="268"/>
      <c r="E422" s="268"/>
      <c r="F422" s="268"/>
      <c r="G422" s="268"/>
      <c r="H422" s="389"/>
      <c r="I422" s="389"/>
      <c r="J422" s="389"/>
      <c r="K422" s="268"/>
      <c r="L422" s="268"/>
      <c r="M422" s="268"/>
      <c r="N422" s="310"/>
      <c r="O422" s="268"/>
      <c r="P422" s="309"/>
      <c r="Q422" s="381"/>
      <c r="R422" s="268"/>
      <c r="S422" s="313"/>
      <c r="T422" s="313"/>
      <c r="U422" s="268"/>
      <c r="V422" s="268"/>
      <c r="W422" s="268"/>
      <c r="X422" s="268"/>
      <c r="Y422" s="268"/>
      <c r="Z422" s="268"/>
    </row>
    <row r="423" spans="1:26" ht="24.75" customHeight="1">
      <c r="A423" s="268"/>
      <c r="B423" s="268"/>
      <c r="C423" s="268"/>
      <c r="D423" s="268"/>
      <c r="E423" s="268"/>
      <c r="F423" s="268"/>
      <c r="G423" s="268"/>
      <c r="H423" s="389"/>
      <c r="I423" s="389"/>
      <c r="J423" s="389"/>
      <c r="K423" s="268"/>
      <c r="L423" s="268"/>
      <c r="M423" s="268"/>
      <c r="N423" s="310"/>
      <c r="O423" s="268"/>
      <c r="P423" s="309"/>
      <c r="Q423" s="381"/>
      <c r="R423" s="268"/>
      <c r="S423" s="313"/>
      <c r="T423" s="313"/>
      <c r="U423" s="268"/>
      <c r="V423" s="268"/>
      <c r="W423" s="268"/>
      <c r="X423" s="268"/>
      <c r="Y423" s="268"/>
      <c r="Z423" s="268"/>
    </row>
    <row r="424" spans="1:26" ht="24.75" customHeight="1">
      <c r="A424" s="268"/>
      <c r="B424" s="268"/>
      <c r="C424" s="268"/>
      <c r="D424" s="268"/>
      <c r="E424" s="268"/>
      <c r="F424" s="268"/>
      <c r="G424" s="268"/>
      <c r="H424" s="389"/>
      <c r="I424" s="389"/>
      <c r="J424" s="389"/>
      <c r="K424" s="268"/>
      <c r="L424" s="268"/>
      <c r="M424" s="268"/>
      <c r="N424" s="310"/>
      <c r="O424" s="268"/>
      <c r="P424" s="309"/>
      <c r="Q424" s="381"/>
      <c r="R424" s="268"/>
      <c r="S424" s="313"/>
      <c r="T424" s="313"/>
      <c r="U424" s="268"/>
      <c r="V424" s="268"/>
      <c r="W424" s="268"/>
      <c r="X424" s="268"/>
      <c r="Y424" s="268"/>
      <c r="Z424" s="268"/>
    </row>
    <row r="425" spans="1:26" ht="24.75" customHeight="1">
      <c r="A425" s="268"/>
      <c r="B425" s="268"/>
      <c r="C425" s="268"/>
      <c r="D425" s="268"/>
      <c r="E425" s="268"/>
      <c r="F425" s="268"/>
      <c r="G425" s="268"/>
      <c r="H425" s="389"/>
      <c r="I425" s="389"/>
      <c r="J425" s="389"/>
      <c r="K425" s="268"/>
      <c r="L425" s="268"/>
      <c r="M425" s="268"/>
      <c r="N425" s="310"/>
      <c r="O425" s="268"/>
      <c r="P425" s="309"/>
      <c r="Q425" s="381"/>
      <c r="R425" s="268"/>
      <c r="S425" s="313"/>
      <c r="T425" s="313"/>
      <c r="U425" s="268"/>
      <c r="V425" s="268"/>
      <c r="W425" s="268"/>
      <c r="X425" s="268"/>
      <c r="Y425" s="268"/>
      <c r="Z425" s="268"/>
    </row>
    <row r="426" spans="1:26" ht="24.75" customHeight="1">
      <c r="A426" s="268"/>
      <c r="B426" s="268"/>
      <c r="C426" s="268"/>
      <c r="D426" s="268"/>
      <c r="E426" s="268"/>
      <c r="F426" s="268"/>
      <c r="G426" s="268"/>
      <c r="H426" s="389"/>
      <c r="I426" s="389"/>
      <c r="J426" s="389"/>
      <c r="K426" s="268"/>
      <c r="L426" s="268"/>
      <c r="M426" s="268"/>
      <c r="N426" s="310"/>
      <c r="O426" s="268"/>
      <c r="P426" s="309"/>
      <c r="Q426" s="381"/>
      <c r="R426" s="268"/>
      <c r="S426" s="313"/>
      <c r="T426" s="313"/>
      <c r="U426" s="268"/>
      <c r="V426" s="268"/>
      <c r="W426" s="268"/>
      <c r="X426" s="268"/>
      <c r="Y426" s="268"/>
      <c r="Z426" s="268"/>
    </row>
    <row r="427" spans="1:26" ht="24.75" customHeight="1">
      <c r="A427" s="268"/>
      <c r="B427" s="268"/>
      <c r="C427" s="268"/>
      <c r="D427" s="268"/>
      <c r="E427" s="268"/>
      <c r="F427" s="268"/>
      <c r="G427" s="268"/>
      <c r="H427" s="389"/>
      <c r="I427" s="389"/>
      <c r="J427" s="389"/>
      <c r="K427" s="268"/>
      <c r="L427" s="268"/>
      <c r="M427" s="268"/>
      <c r="N427" s="310"/>
      <c r="O427" s="268"/>
      <c r="P427" s="309"/>
      <c r="Q427" s="381"/>
      <c r="R427" s="268"/>
      <c r="S427" s="313"/>
      <c r="T427" s="313"/>
      <c r="U427" s="268"/>
      <c r="V427" s="268"/>
      <c r="W427" s="268"/>
      <c r="X427" s="268"/>
      <c r="Y427" s="268"/>
      <c r="Z427" s="268"/>
    </row>
    <row r="428" spans="1:26" ht="24.75" customHeight="1">
      <c r="A428" s="268"/>
      <c r="B428" s="268"/>
      <c r="C428" s="268"/>
      <c r="D428" s="268"/>
      <c r="E428" s="268"/>
      <c r="F428" s="268"/>
      <c r="G428" s="268"/>
      <c r="H428" s="389"/>
      <c r="I428" s="389"/>
      <c r="J428" s="389"/>
      <c r="K428" s="268"/>
      <c r="L428" s="268"/>
      <c r="M428" s="268"/>
      <c r="N428" s="310"/>
      <c r="O428" s="268"/>
      <c r="P428" s="309"/>
      <c r="Q428" s="381"/>
      <c r="R428" s="268"/>
      <c r="S428" s="313"/>
      <c r="T428" s="313"/>
      <c r="U428" s="268"/>
      <c r="V428" s="268"/>
      <c r="W428" s="268"/>
      <c r="X428" s="268"/>
      <c r="Y428" s="268"/>
      <c r="Z428" s="268"/>
    </row>
    <row r="429" spans="1:26" ht="24.75" customHeight="1">
      <c r="A429" s="268"/>
      <c r="B429" s="268"/>
      <c r="C429" s="268"/>
      <c r="D429" s="268"/>
      <c r="E429" s="268"/>
      <c r="F429" s="268"/>
      <c r="G429" s="268"/>
      <c r="H429" s="389"/>
      <c r="I429" s="389"/>
      <c r="J429" s="389"/>
      <c r="K429" s="268"/>
      <c r="L429" s="268"/>
      <c r="M429" s="268"/>
      <c r="N429" s="310"/>
      <c r="O429" s="268"/>
      <c r="P429" s="309"/>
      <c r="Q429" s="381"/>
      <c r="R429" s="268"/>
      <c r="S429" s="313"/>
      <c r="T429" s="313"/>
      <c r="U429" s="268"/>
      <c r="V429" s="268"/>
      <c r="W429" s="268"/>
      <c r="X429" s="268"/>
      <c r="Y429" s="268"/>
      <c r="Z429" s="268"/>
    </row>
    <row r="430" spans="1:26" ht="24.75" customHeight="1">
      <c r="A430" s="268"/>
      <c r="B430" s="268"/>
      <c r="C430" s="268"/>
      <c r="D430" s="268"/>
      <c r="E430" s="268"/>
      <c r="F430" s="268"/>
      <c r="G430" s="268"/>
      <c r="H430" s="389"/>
      <c r="I430" s="389"/>
      <c r="J430" s="389"/>
      <c r="K430" s="268"/>
      <c r="L430" s="268"/>
      <c r="M430" s="268"/>
      <c r="N430" s="310"/>
      <c r="O430" s="268"/>
      <c r="P430" s="309"/>
      <c r="Q430" s="381"/>
      <c r="R430" s="268"/>
      <c r="S430" s="313"/>
      <c r="T430" s="313"/>
      <c r="U430" s="268"/>
      <c r="V430" s="268"/>
      <c r="W430" s="268"/>
      <c r="X430" s="268"/>
      <c r="Y430" s="268"/>
      <c r="Z430" s="268"/>
    </row>
    <row r="431" spans="1:26" ht="24.75" customHeight="1">
      <c r="A431" s="268"/>
      <c r="B431" s="268"/>
      <c r="C431" s="268"/>
      <c r="D431" s="268"/>
      <c r="E431" s="268"/>
      <c r="F431" s="268"/>
      <c r="G431" s="268"/>
      <c r="H431" s="389"/>
      <c r="I431" s="389"/>
      <c r="J431" s="389"/>
      <c r="K431" s="268"/>
      <c r="L431" s="268"/>
      <c r="M431" s="268"/>
      <c r="N431" s="310"/>
      <c r="O431" s="268"/>
      <c r="P431" s="309"/>
      <c r="Q431" s="381"/>
      <c r="R431" s="268"/>
      <c r="S431" s="313"/>
      <c r="T431" s="313"/>
      <c r="U431" s="268"/>
      <c r="V431" s="268"/>
      <c r="W431" s="268"/>
      <c r="X431" s="268"/>
      <c r="Y431" s="268"/>
      <c r="Z431" s="268"/>
    </row>
    <row r="432" spans="1:26" ht="24.75" customHeight="1">
      <c r="A432" s="268"/>
      <c r="B432" s="268"/>
      <c r="C432" s="268"/>
      <c r="D432" s="268"/>
      <c r="E432" s="268"/>
      <c r="F432" s="268"/>
      <c r="G432" s="268"/>
      <c r="H432" s="389"/>
      <c r="I432" s="389"/>
      <c r="J432" s="389"/>
      <c r="K432" s="268"/>
      <c r="L432" s="268"/>
      <c r="M432" s="268"/>
      <c r="N432" s="310"/>
      <c r="O432" s="268"/>
      <c r="P432" s="309"/>
      <c r="Q432" s="381"/>
      <c r="R432" s="268"/>
      <c r="S432" s="313"/>
      <c r="T432" s="313"/>
      <c r="U432" s="268"/>
      <c r="V432" s="268"/>
      <c r="W432" s="268"/>
      <c r="X432" s="268"/>
      <c r="Y432" s="268"/>
      <c r="Z432" s="268"/>
    </row>
    <row r="433" spans="1:26" ht="24.75" customHeight="1">
      <c r="A433" s="268"/>
      <c r="B433" s="268"/>
      <c r="C433" s="268"/>
      <c r="D433" s="268"/>
      <c r="E433" s="268"/>
      <c r="F433" s="268"/>
      <c r="G433" s="268"/>
      <c r="H433" s="389"/>
      <c r="I433" s="389"/>
      <c r="J433" s="389"/>
      <c r="K433" s="268"/>
      <c r="L433" s="268"/>
      <c r="M433" s="268"/>
      <c r="N433" s="310"/>
      <c r="O433" s="268"/>
      <c r="P433" s="309"/>
      <c r="Q433" s="381"/>
      <c r="R433" s="268"/>
      <c r="S433" s="313"/>
      <c r="T433" s="313"/>
      <c r="U433" s="268"/>
      <c r="V433" s="268"/>
      <c r="W433" s="268"/>
      <c r="X433" s="268"/>
      <c r="Y433" s="268"/>
      <c r="Z433" s="268"/>
    </row>
    <row r="434" spans="1:26" ht="24.75" customHeight="1">
      <c r="A434" s="268"/>
      <c r="B434" s="268"/>
      <c r="C434" s="268"/>
      <c r="D434" s="268"/>
      <c r="E434" s="268"/>
      <c r="F434" s="268"/>
      <c r="G434" s="268"/>
      <c r="H434" s="389"/>
      <c r="I434" s="389"/>
      <c r="J434" s="389"/>
      <c r="K434" s="268"/>
      <c r="L434" s="268"/>
      <c r="M434" s="268"/>
      <c r="N434" s="310"/>
      <c r="O434" s="268"/>
      <c r="P434" s="309"/>
      <c r="Q434" s="381"/>
      <c r="R434" s="268"/>
      <c r="S434" s="313"/>
      <c r="T434" s="313"/>
      <c r="U434" s="268"/>
      <c r="V434" s="268"/>
      <c r="W434" s="268"/>
      <c r="X434" s="268"/>
      <c r="Y434" s="268"/>
      <c r="Z434" s="268"/>
    </row>
    <row r="435" spans="1:26" ht="24.75" customHeight="1">
      <c r="A435" s="268"/>
      <c r="B435" s="268"/>
      <c r="C435" s="268"/>
      <c r="D435" s="268"/>
      <c r="E435" s="268"/>
      <c r="F435" s="268"/>
      <c r="G435" s="268"/>
      <c r="H435" s="389"/>
      <c r="I435" s="389"/>
      <c r="J435" s="389"/>
      <c r="K435" s="268"/>
      <c r="L435" s="268"/>
      <c r="M435" s="268"/>
      <c r="N435" s="310"/>
      <c r="O435" s="268"/>
      <c r="P435" s="309"/>
      <c r="Q435" s="381"/>
      <c r="R435" s="268"/>
      <c r="S435" s="313"/>
      <c r="T435" s="313"/>
      <c r="U435" s="268"/>
      <c r="V435" s="268"/>
      <c r="W435" s="268"/>
      <c r="X435" s="268"/>
      <c r="Y435" s="268"/>
      <c r="Z435" s="268"/>
    </row>
    <row r="436" spans="1:26" ht="24.75" customHeight="1">
      <c r="A436" s="268"/>
      <c r="B436" s="268"/>
      <c r="C436" s="268"/>
      <c r="D436" s="268"/>
      <c r="E436" s="268"/>
      <c r="F436" s="268"/>
      <c r="G436" s="268"/>
      <c r="H436" s="389"/>
      <c r="I436" s="389"/>
      <c r="J436" s="389"/>
      <c r="K436" s="268"/>
      <c r="L436" s="268"/>
      <c r="M436" s="268"/>
      <c r="N436" s="310"/>
      <c r="O436" s="268"/>
      <c r="P436" s="309"/>
      <c r="Q436" s="381"/>
      <c r="R436" s="268"/>
      <c r="S436" s="313"/>
      <c r="T436" s="313"/>
      <c r="U436" s="268"/>
      <c r="V436" s="268"/>
      <c r="W436" s="268"/>
      <c r="X436" s="268"/>
      <c r="Y436" s="268"/>
      <c r="Z436" s="268"/>
    </row>
    <row r="437" spans="1:26" ht="24.75" customHeight="1">
      <c r="A437" s="268"/>
      <c r="B437" s="268"/>
      <c r="C437" s="268"/>
      <c r="D437" s="268"/>
      <c r="E437" s="268"/>
      <c r="F437" s="268"/>
      <c r="G437" s="268"/>
      <c r="H437" s="389"/>
      <c r="I437" s="389"/>
      <c r="J437" s="389"/>
      <c r="K437" s="268"/>
      <c r="L437" s="268"/>
      <c r="M437" s="268"/>
      <c r="N437" s="310"/>
      <c r="O437" s="268"/>
      <c r="P437" s="309"/>
      <c r="Q437" s="381"/>
      <c r="R437" s="268"/>
      <c r="S437" s="313"/>
      <c r="T437" s="313"/>
      <c r="U437" s="268"/>
      <c r="V437" s="268"/>
      <c r="W437" s="268"/>
      <c r="X437" s="268"/>
      <c r="Y437" s="268"/>
      <c r="Z437" s="268"/>
    </row>
    <row r="438" spans="1:26" ht="24.75" customHeight="1">
      <c r="A438" s="268"/>
      <c r="B438" s="268"/>
      <c r="C438" s="268"/>
      <c r="D438" s="268"/>
      <c r="E438" s="268"/>
      <c r="F438" s="268"/>
      <c r="G438" s="268"/>
      <c r="H438" s="389"/>
      <c r="I438" s="389"/>
      <c r="J438" s="389"/>
      <c r="K438" s="268"/>
      <c r="L438" s="268"/>
      <c r="M438" s="268"/>
      <c r="N438" s="310"/>
      <c r="O438" s="268"/>
      <c r="P438" s="309"/>
      <c r="Q438" s="381"/>
      <c r="R438" s="268"/>
      <c r="S438" s="313"/>
      <c r="T438" s="313"/>
      <c r="U438" s="268"/>
      <c r="V438" s="268"/>
      <c r="W438" s="268"/>
      <c r="X438" s="268"/>
      <c r="Y438" s="268"/>
      <c r="Z438" s="268"/>
    </row>
    <row r="439" spans="1:26" ht="24.75" customHeight="1">
      <c r="A439" s="268"/>
      <c r="B439" s="268"/>
      <c r="C439" s="268"/>
      <c r="D439" s="268"/>
      <c r="E439" s="268"/>
      <c r="F439" s="268"/>
      <c r="G439" s="268"/>
      <c r="H439" s="389"/>
      <c r="I439" s="389"/>
      <c r="J439" s="389"/>
      <c r="K439" s="268"/>
      <c r="L439" s="268"/>
      <c r="M439" s="268"/>
      <c r="N439" s="310"/>
      <c r="O439" s="268"/>
      <c r="P439" s="309"/>
      <c r="Q439" s="381"/>
      <c r="R439" s="268"/>
      <c r="S439" s="313"/>
      <c r="T439" s="313"/>
      <c r="U439" s="268"/>
      <c r="V439" s="268"/>
      <c r="W439" s="268"/>
      <c r="X439" s="268"/>
      <c r="Y439" s="268"/>
      <c r="Z439" s="268"/>
    </row>
    <row r="440" spans="1:26" ht="24.75" customHeight="1">
      <c r="A440" s="268"/>
      <c r="B440" s="268"/>
      <c r="C440" s="268"/>
      <c r="D440" s="268"/>
      <c r="E440" s="268"/>
      <c r="F440" s="268"/>
      <c r="G440" s="268"/>
      <c r="H440" s="389"/>
      <c r="I440" s="389"/>
      <c r="J440" s="389"/>
      <c r="K440" s="268"/>
      <c r="L440" s="268"/>
      <c r="M440" s="268"/>
      <c r="N440" s="310"/>
      <c r="O440" s="268"/>
      <c r="P440" s="309"/>
      <c r="Q440" s="381"/>
      <c r="R440" s="268"/>
      <c r="S440" s="313"/>
      <c r="T440" s="313"/>
      <c r="U440" s="268"/>
      <c r="V440" s="268"/>
      <c r="W440" s="268"/>
      <c r="X440" s="268"/>
      <c r="Y440" s="268"/>
      <c r="Z440" s="268"/>
    </row>
    <row r="441" spans="1:26" ht="24.75" customHeight="1">
      <c r="A441" s="268"/>
      <c r="B441" s="268"/>
      <c r="C441" s="268"/>
      <c r="D441" s="268"/>
      <c r="E441" s="268"/>
      <c r="F441" s="268"/>
      <c r="G441" s="268"/>
      <c r="H441" s="389"/>
      <c r="I441" s="389"/>
      <c r="J441" s="389"/>
      <c r="K441" s="268"/>
      <c r="L441" s="268"/>
      <c r="M441" s="268"/>
      <c r="N441" s="310"/>
      <c r="O441" s="268"/>
      <c r="P441" s="309"/>
      <c r="Q441" s="381"/>
      <c r="R441" s="268"/>
      <c r="S441" s="313"/>
      <c r="T441" s="313"/>
      <c r="U441" s="268"/>
      <c r="V441" s="268"/>
      <c r="W441" s="268"/>
      <c r="X441" s="268"/>
      <c r="Y441" s="268"/>
      <c r="Z441" s="268"/>
    </row>
    <row r="442" spans="1:26" ht="24.75" customHeight="1">
      <c r="A442" s="268"/>
      <c r="B442" s="268"/>
      <c r="C442" s="268"/>
      <c r="D442" s="268"/>
      <c r="E442" s="268"/>
      <c r="F442" s="268"/>
      <c r="G442" s="268"/>
      <c r="H442" s="389"/>
      <c r="I442" s="389"/>
      <c r="J442" s="389"/>
      <c r="K442" s="268"/>
      <c r="L442" s="268"/>
      <c r="M442" s="268"/>
      <c r="N442" s="310"/>
      <c r="O442" s="268"/>
      <c r="P442" s="309"/>
      <c r="Q442" s="381"/>
      <c r="R442" s="268"/>
      <c r="S442" s="313"/>
      <c r="T442" s="313"/>
      <c r="U442" s="268"/>
      <c r="V442" s="268"/>
      <c r="W442" s="268"/>
      <c r="X442" s="268"/>
      <c r="Y442" s="268"/>
      <c r="Z442" s="268"/>
    </row>
    <row r="443" spans="1:26" ht="24.75" customHeight="1">
      <c r="A443" s="268"/>
      <c r="B443" s="268"/>
      <c r="C443" s="268"/>
      <c r="D443" s="268"/>
      <c r="E443" s="268"/>
      <c r="F443" s="268"/>
      <c r="G443" s="268"/>
      <c r="H443" s="389"/>
      <c r="I443" s="389"/>
      <c r="J443" s="389"/>
      <c r="K443" s="268"/>
      <c r="L443" s="268"/>
      <c r="M443" s="268"/>
      <c r="N443" s="310"/>
      <c r="O443" s="268"/>
      <c r="P443" s="309"/>
      <c r="Q443" s="381"/>
      <c r="R443" s="268"/>
      <c r="S443" s="313"/>
      <c r="T443" s="313"/>
      <c r="U443" s="268"/>
      <c r="V443" s="268"/>
      <c r="W443" s="268"/>
      <c r="X443" s="268"/>
      <c r="Y443" s="268"/>
      <c r="Z443" s="268"/>
    </row>
    <row r="444" spans="1:26" ht="24.75" customHeight="1">
      <c r="A444" s="268"/>
      <c r="B444" s="268"/>
      <c r="C444" s="268"/>
      <c r="D444" s="268"/>
      <c r="E444" s="268"/>
      <c r="F444" s="268"/>
      <c r="G444" s="268"/>
      <c r="H444" s="389"/>
      <c r="I444" s="389"/>
      <c r="J444" s="389"/>
      <c r="K444" s="268"/>
      <c r="L444" s="268"/>
      <c r="M444" s="268"/>
      <c r="N444" s="310"/>
      <c r="O444" s="268"/>
      <c r="P444" s="309"/>
      <c r="Q444" s="381"/>
      <c r="R444" s="268"/>
      <c r="S444" s="313"/>
      <c r="T444" s="313"/>
      <c r="U444" s="268"/>
      <c r="V444" s="268"/>
      <c r="W444" s="268"/>
      <c r="X444" s="268"/>
      <c r="Y444" s="268"/>
      <c r="Z444" s="268"/>
    </row>
    <row r="445" spans="1:26" ht="24.75" customHeight="1">
      <c r="A445" s="268"/>
      <c r="B445" s="268"/>
      <c r="C445" s="268"/>
      <c r="D445" s="268"/>
      <c r="E445" s="268"/>
      <c r="F445" s="268"/>
      <c r="G445" s="268"/>
      <c r="H445" s="389"/>
      <c r="I445" s="389"/>
      <c r="J445" s="389"/>
      <c r="K445" s="268"/>
      <c r="L445" s="268"/>
      <c r="M445" s="268"/>
      <c r="N445" s="310"/>
      <c r="O445" s="268"/>
      <c r="P445" s="309"/>
      <c r="Q445" s="381"/>
      <c r="R445" s="268"/>
      <c r="S445" s="313"/>
      <c r="T445" s="313"/>
      <c r="U445" s="268"/>
      <c r="V445" s="268"/>
      <c r="W445" s="268"/>
      <c r="X445" s="268"/>
      <c r="Y445" s="268"/>
      <c r="Z445" s="268"/>
    </row>
    <row r="446" spans="1:26" ht="24.75" customHeight="1">
      <c r="A446" s="268"/>
      <c r="B446" s="268"/>
      <c r="C446" s="268"/>
      <c r="D446" s="268"/>
      <c r="E446" s="268"/>
      <c r="F446" s="268"/>
      <c r="G446" s="268"/>
      <c r="H446" s="389"/>
      <c r="I446" s="389"/>
      <c r="J446" s="389"/>
      <c r="K446" s="268"/>
      <c r="L446" s="268"/>
      <c r="M446" s="268"/>
      <c r="N446" s="310"/>
      <c r="O446" s="268"/>
      <c r="P446" s="309"/>
      <c r="Q446" s="381"/>
      <c r="R446" s="268"/>
      <c r="S446" s="313"/>
      <c r="T446" s="313"/>
      <c r="U446" s="268"/>
      <c r="V446" s="268"/>
      <c r="W446" s="268"/>
      <c r="X446" s="268"/>
      <c r="Y446" s="268"/>
      <c r="Z446" s="268"/>
    </row>
    <row r="447" spans="1:26" ht="24.75" customHeight="1">
      <c r="A447" s="268"/>
      <c r="B447" s="268"/>
      <c r="C447" s="268"/>
      <c r="D447" s="268"/>
      <c r="E447" s="268"/>
      <c r="F447" s="268"/>
      <c r="G447" s="268"/>
      <c r="H447" s="389"/>
      <c r="I447" s="389"/>
      <c r="J447" s="389"/>
      <c r="K447" s="268"/>
      <c r="L447" s="268"/>
      <c r="M447" s="268"/>
      <c r="N447" s="310"/>
      <c r="O447" s="268"/>
      <c r="P447" s="309"/>
      <c r="Q447" s="381"/>
      <c r="R447" s="268"/>
      <c r="S447" s="313"/>
      <c r="T447" s="313"/>
      <c r="U447" s="268"/>
      <c r="V447" s="268"/>
      <c r="W447" s="268"/>
      <c r="X447" s="268"/>
      <c r="Y447" s="268"/>
      <c r="Z447" s="268"/>
    </row>
    <row r="448" spans="1:26" ht="24.75" customHeight="1">
      <c r="A448" s="268"/>
      <c r="B448" s="268"/>
      <c r="C448" s="268"/>
      <c r="D448" s="268"/>
      <c r="E448" s="268"/>
      <c r="F448" s="268"/>
      <c r="G448" s="268"/>
      <c r="H448" s="389"/>
      <c r="I448" s="389"/>
      <c r="J448" s="389"/>
      <c r="K448" s="268"/>
      <c r="L448" s="268"/>
      <c r="M448" s="268"/>
      <c r="N448" s="310"/>
      <c r="O448" s="268"/>
      <c r="P448" s="309"/>
      <c r="Q448" s="381"/>
      <c r="R448" s="268"/>
      <c r="S448" s="313"/>
      <c r="T448" s="313"/>
      <c r="U448" s="268"/>
      <c r="V448" s="268"/>
      <c r="W448" s="268"/>
      <c r="X448" s="268"/>
      <c r="Y448" s="268"/>
      <c r="Z448" s="268"/>
    </row>
    <row r="449" spans="1:26" ht="24.75" customHeight="1">
      <c r="A449" s="268"/>
      <c r="B449" s="268"/>
      <c r="C449" s="268"/>
      <c r="D449" s="268"/>
      <c r="E449" s="268"/>
      <c r="F449" s="268"/>
      <c r="G449" s="268"/>
      <c r="H449" s="389"/>
      <c r="I449" s="389"/>
      <c r="J449" s="389"/>
      <c r="K449" s="268"/>
      <c r="L449" s="268"/>
      <c r="M449" s="268"/>
      <c r="N449" s="310"/>
      <c r="O449" s="268"/>
      <c r="P449" s="309"/>
      <c r="Q449" s="381"/>
      <c r="R449" s="268"/>
      <c r="S449" s="313"/>
      <c r="T449" s="313"/>
      <c r="U449" s="268"/>
      <c r="V449" s="268"/>
      <c r="W449" s="268"/>
      <c r="X449" s="268"/>
      <c r="Y449" s="268"/>
      <c r="Z449" s="268"/>
    </row>
    <row r="450" spans="1:26" ht="24.75" customHeight="1">
      <c r="A450" s="268"/>
      <c r="B450" s="268"/>
      <c r="C450" s="268"/>
      <c r="D450" s="268"/>
      <c r="E450" s="268"/>
      <c r="F450" s="268"/>
      <c r="G450" s="268"/>
      <c r="H450" s="389"/>
      <c r="I450" s="389"/>
      <c r="J450" s="389"/>
      <c r="K450" s="268"/>
      <c r="L450" s="268"/>
      <c r="M450" s="268"/>
      <c r="N450" s="310"/>
      <c r="O450" s="268"/>
      <c r="P450" s="309"/>
      <c r="Q450" s="381"/>
      <c r="R450" s="268"/>
      <c r="S450" s="313"/>
      <c r="T450" s="313"/>
      <c r="U450" s="268"/>
      <c r="V450" s="268"/>
      <c r="W450" s="268"/>
      <c r="X450" s="268"/>
      <c r="Y450" s="268"/>
      <c r="Z450" s="268"/>
    </row>
    <row r="451" spans="1:26" ht="24.75" customHeight="1">
      <c r="A451" s="268"/>
      <c r="B451" s="268"/>
      <c r="C451" s="268"/>
      <c r="D451" s="268"/>
      <c r="E451" s="268"/>
      <c r="F451" s="268"/>
      <c r="G451" s="268"/>
      <c r="H451" s="389"/>
      <c r="I451" s="389"/>
      <c r="J451" s="389"/>
      <c r="K451" s="268"/>
      <c r="L451" s="268"/>
      <c r="M451" s="268"/>
      <c r="N451" s="310"/>
      <c r="O451" s="268"/>
      <c r="P451" s="309"/>
      <c r="Q451" s="381"/>
      <c r="R451" s="268"/>
      <c r="S451" s="313"/>
      <c r="T451" s="313"/>
      <c r="U451" s="268"/>
      <c r="V451" s="268"/>
      <c r="W451" s="268"/>
      <c r="X451" s="268"/>
      <c r="Y451" s="268"/>
      <c r="Z451" s="268"/>
    </row>
    <row r="452" spans="1:26" ht="24.75" customHeight="1">
      <c r="A452" s="268"/>
      <c r="B452" s="268"/>
      <c r="C452" s="268"/>
      <c r="D452" s="268"/>
      <c r="E452" s="268"/>
      <c r="F452" s="268"/>
      <c r="G452" s="268"/>
      <c r="H452" s="389"/>
      <c r="I452" s="389"/>
      <c r="J452" s="389"/>
      <c r="K452" s="268"/>
      <c r="L452" s="268"/>
      <c r="M452" s="268"/>
      <c r="N452" s="310"/>
      <c r="O452" s="268"/>
      <c r="P452" s="309"/>
      <c r="Q452" s="381"/>
      <c r="R452" s="268"/>
      <c r="S452" s="313"/>
      <c r="T452" s="313"/>
      <c r="U452" s="268"/>
      <c r="V452" s="268"/>
      <c r="W452" s="268"/>
      <c r="X452" s="268"/>
      <c r="Y452" s="268"/>
      <c r="Z452" s="268"/>
    </row>
    <row r="453" spans="1:26" ht="24.75" customHeight="1">
      <c r="A453" s="268"/>
      <c r="B453" s="268"/>
      <c r="C453" s="268"/>
      <c r="D453" s="268"/>
      <c r="E453" s="268"/>
      <c r="F453" s="268"/>
      <c r="G453" s="268"/>
      <c r="H453" s="389"/>
      <c r="I453" s="389"/>
      <c r="J453" s="389"/>
      <c r="K453" s="268"/>
      <c r="L453" s="268"/>
      <c r="M453" s="268"/>
      <c r="N453" s="310"/>
      <c r="O453" s="268"/>
      <c r="P453" s="309"/>
      <c r="Q453" s="381"/>
      <c r="R453" s="268"/>
      <c r="S453" s="313"/>
      <c r="T453" s="313"/>
      <c r="U453" s="268"/>
      <c r="V453" s="268"/>
      <c r="W453" s="268"/>
      <c r="X453" s="268"/>
      <c r="Y453" s="268"/>
      <c r="Z453" s="268"/>
    </row>
    <row r="454" spans="1:26" ht="24.75" customHeight="1">
      <c r="A454" s="268"/>
      <c r="B454" s="268"/>
      <c r="C454" s="268"/>
      <c r="D454" s="268"/>
      <c r="E454" s="268"/>
      <c r="F454" s="268"/>
      <c r="G454" s="268"/>
      <c r="H454" s="389"/>
      <c r="I454" s="389"/>
      <c r="J454" s="389"/>
      <c r="K454" s="268"/>
      <c r="L454" s="268"/>
      <c r="M454" s="268"/>
      <c r="N454" s="310"/>
      <c r="O454" s="268"/>
      <c r="P454" s="309"/>
      <c r="Q454" s="381"/>
      <c r="R454" s="268"/>
      <c r="S454" s="313"/>
      <c r="T454" s="313"/>
      <c r="U454" s="268"/>
      <c r="V454" s="268"/>
      <c r="W454" s="268"/>
      <c r="X454" s="268"/>
      <c r="Y454" s="268"/>
      <c r="Z454" s="268"/>
    </row>
    <row r="455" spans="1:26" ht="24.75" customHeight="1">
      <c r="A455" s="268"/>
      <c r="B455" s="268"/>
      <c r="C455" s="268"/>
      <c r="D455" s="268"/>
      <c r="E455" s="268"/>
      <c r="F455" s="268"/>
      <c r="G455" s="268"/>
      <c r="H455" s="389"/>
      <c r="I455" s="389"/>
      <c r="J455" s="389"/>
      <c r="K455" s="268"/>
      <c r="L455" s="268"/>
      <c r="M455" s="268"/>
      <c r="N455" s="310"/>
      <c r="O455" s="268"/>
      <c r="P455" s="309"/>
      <c r="Q455" s="381"/>
      <c r="R455" s="268"/>
      <c r="S455" s="313"/>
      <c r="T455" s="313"/>
      <c r="U455" s="268"/>
      <c r="V455" s="268"/>
      <c r="W455" s="268"/>
      <c r="X455" s="268"/>
      <c r="Y455" s="268"/>
      <c r="Z455" s="268"/>
    </row>
    <row r="456" spans="1:26" ht="24.75" customHeight="1">
      <c r="A456" s="268"/>
      <c r="B456" s="268"/>
      <c r="C456" s="268"/>
      <c r="D456" s="268"/>
      <c r="E456" s="268"/>
      <c r="F456" s="268"/>
      <c r="G456" s="268"/>
      <c r="H456" s="389"/>
      <c r="I456" s="389"/>
      <c r="J456" s="389"/>
      <c r="K456" s="268"/>
      <c r="L456" s="268"/>
      <c r="M456" s="268"/>
      <c r="N456" s="310"/>
      <c r="O456" s="268"/>
      <c r="P456" s="309"/>
      <c r="Q456" s="381"/>
      <c r="R456" s="268"/>
      <c r="S456" s="313"/>
      <c r="T456" s="313"/>
      <c r="U456" s="268"/>
      <c r="V456" s="268"/>
      <c r="W456" s="268"/>
      <c r="X456" s="268"/>
      <c r="Y456" s="268"/>
      <c r="Z456" s="268"/>
    </row>
    <row r="457" spans="1:26" ht="24.75" customHeight="1">
      <c r="A457" s="268"/>
      <c r="B457" s="268"/>
      <c r="C457" s="268"/>
      <c r="D457" s="268"/>
      <c r="E457" s="268"/>
      <c r="F457" s="268"/>
      <c r="G457" s="268"/>
      <c r="H457" s="389"/>
      <c r="I457" s="389"/>
      <c r="J457" s="389"/>
      <c r="K457" s="268"/>
      <c r="L457" s="268"/>
      <c r="M457" s="268"/>
      <c r="N457" s="310"/>
      <c r="O457" s="268"/>
      <c r="P457" s="309"/>
      <c r="Q457" s="381"/>
      <c r="R457" s="268"/>
      <c r="S457" s="313"/>
      <c r="T457" s="313"/>
      <c r="U457" s="268"/>
      <c r="V457" s="268"/>
      <c r="W457" s="268"/>
      <c r="X457" s="268"/>
      <c r="Y457" s="268"/>
      <c r="Z457" s="268"/>
    </row>
    <row r="458" spans="1:26" ht="24.75" customHeight="1">
      <c r="A458" s="268"/>
      <c r="B458" s="268"/>
      <c r="C458" s="268"/>
      <c r="D458" s="268"/>
      <c r="E458" s="268"/>
      <c r="F458" s="268"/>
      <c r="G458" s="268"/>
      <c r="H458" s="389"/>
      <c r="I458" s="389"/>
      <c r="J458" s="389"/>
      <c r="K458" s="268"/>
      <c r="L458" s="268"/>
      <c r="M458" s="268"/>
      <c r="N458" s="310"/>
      <c r="O458" s="268"/>
      <c r="P458" s="309"/>
      <c r="Q458" s="381"/>
      <c r="R458" s="268"/>
      <c r="S458" s="313"/>
      <c r="T458" s="313"/>
      <c r="U458" s="268"/>
      <c r="V458" s="268"/>
      <c r="W458" s="268"/>
      <c r="X458" s="268"/>
      <c r="Y458" s="268"/>
      <c r="Z458" s="268"/>
    </row>
    <row r="459" spans="1:26" ht="24.75" customHeight="1">
      <c r="A459" s="268"/>
      <c r="B459" s="268"/>
      <c r="C459" s="268"/>
      <c r="D459" s="268"/>
      <c r="E459" s="268"/>
      <c r="F459" s="268"/>
      <c r="G459" s="268"/>
      <c r="H459" s="389"/>
      <c r="I459" s="389"/>
      <c r="J459" s="389"/>
      <c r="K459" s="268"/>
      <c r="L459" s="268"/>
      <c r="M459" s="268"/>
      <c r="N459" s="310"/>
      <c r="O459" s="268"/>
      <c r="P459" s="309"/>
      <c r="Q459" s="381"/>
      <c r="R459" s="268"/>
      <c r="S459" s="313"/>
      <c r="T459" s="313"/>
      <c r="U459" s="268"/>
      <c r="V459" s="268"/>
      <c r="W459" s="268"/>
      <c r="X459" s="268"/>
      <c r="Y459" s="268"/>
      <c r="Z459" s="268"/>
    </row>
    <row r="460" spans="1:26" ht="24.75" customHeight="1">
      <c r="A460" s="268"/>
      <c r="B460" s="268"/>
      <c r="C460" s="268"/>
      <c r="D460" s="268"/>
      <c r="E460" s="268"/>
      <c r="F460" s="268"/>
      <c r="G460" s="268"/>
      <c r="H460" s="389"/>
      <c r="I460" s="389"/>
      <c r="J460" s="389"/>
      <c r="K460" s="268"/>
      <c r="L460" s="268"/>
      <c r="M460" s="268"/>
      <c r="N460" s="310"/>
      <c r="O460" s="268"/>
      <c r="P460" s="309"/>
      <c r="Q460" s="381"/>
      <c r="R460" s="268"/>
      <c r="S460" s="313"/>
      <c r="T460" s="313"/>
      <c r="U460" s="268"/>
      <c r="V460" s="268"/>
      <c r="W460" s="268"/>
      <c r="X460" s="268"/>
      <c r="Y460" s="268"/>
      <c r="Z460" s="268"/>
    </row>
    <row r="461" spans="1:26" ht="24.75" customHeight="1">
      <c r="A461" s="268"/>
      <c r="B461" s="268"/>
      <c r="C461" s="268"/>
      <c r="D461" s="268"/>
      <c r="E461" s="268"/>
      <c r="F461" s="268"/>
      <c r="G461" s="268"/>
      <c r="H461" s="389"/>
      <c r="I461" s="389"/>
      <c r="J461" s="389"/>
      <c r="K461" s="268"/>
      <c r="L461" s="268"/>
      <c r="M461" s="268"/>
      <c r="N461" s="310"/>
      <c r="O461" s="268"/>
      <c r="P461" s="309"/>
      <c r="Q461" s="381"/>
      <c r="R461" s="268"/>
      <c r="S461" s="313"/>
      <c r="T461" s="313"/>
      <c r="U461" s="268"/>
      <c r="V461" s="268"/>
      <c r="W461" s="268"/>
      <c r="X461" s="268"/>
      <c r="Y461" s="268"/>
      <c r="Z461" s="268"/>
    </row>
    <row r="462" spans="1:26" ht="24.75" customHeight="1">
      <c r="A462" s="268"/>
      <c r="B462" s="268"/>
      <c r="C462" s="268"/>
      <c r="D462" s="268"/>
      <c r="E462" s="268"/>
      <c r="F462" s="268"/>
      <c r="G462" s="268"/>
      <c r="H462" s="389"/>
      <c r="I462" s="389"/>
      <c r="J462" s="389"/>
      <c r="K462" s="268"/>
      <c r="L462" s="268"/>
      <c r="M462" s="268"/>
      <c r="N462" s="310"/>
      <c r="O462" s="268"/>
      <c r="P462" s="309"/>
      <c r="Q462" s="381"/>
      <c r="R462" s="268"/>
      <c r="S462" s="313"/>
      <c r="T462" s="313"/>
      <c r="U462" s="268"/>
      <c r="V462" s="268"/>
      <c r="W462" s="268"/>
      <c r="X462" s="268"/>
      <c r="Y462" s="268"/>
      <c r="Z462" s="268"/>
    </row>
    <row r="463" spans="1:26" ht="24.75" customHeight="1">
      <c r="A463" s="268"/>
      <c r="B463" s="268"/>
      <c r="C463" s="268"/>
      <c r="D463" s="268"/>
      <c r="E463" s="268"/>
      <c r="F463" s="268"/>
      <c r="G463" s="268"/>
      <c r="H463" s="389"/>
      <c r="I463" s="389"/>
      <c r="J463" s="389"/>
      <c r="K463" s="268"/>
      <c r="L463" s="268"/>
      <c r="M463" s="268"/>
      <c r="N463" s="310"/>
      <c r="O463" s="268"/>
      <c r="P463" s="309"/>
      <c r="Q463" s="381"/>
      <c r="R463" s="268"/>
      <c r="S463" s="313"/>
      <c r="T463" s="313"/>
      <c r="U463" s="268"/>
      <c r="V463" s="268"/>
      <c r="W463" s="268"/>
      <c r="X463" s="268"/>
      <c r="Y463" s="268"/>
      <c r="Z463" s="268"/>
    </row>
    <row r="464" spans="1:26" ht="24.75" customHeight="1">
      <c r="A464" s="268"/>
      <c r="B464" s="268"/>
      <c r="C464" s="268"/>
      <c r="D464" s="268"/>
      <c r="E464" s="268"/>
      <c r="F464" s="268"/>
      <c r="G464" s="268"/>
      <c r="H464" s="389"/>
      <c r="I464" s="389"/>
      <c r="J464" s="389"/>
      <c r="K464" s="268"/>
      <c r="L464" s="268"/>
      <c r="M464" s="268"/>
      <c r="N464" s="310"/>
      <c r="O464" s="268"/>
      <c r="P464" s="309"/>
      <c r="Q464" s="381"/>
      <c r="R464" s="268"/>
      <c r="S464" s="313"/>
      <c r="T464" s="313"/>
      <c r="U464" s="268"/>
      <c r="V464" s="268"/>
      <c r="W464" s="268"/>
      <c r="X464" s="268"/>
      <c r="Y464" s="268"/>
      <c r="Z464" s="268"/>
    </row>
    <row r="465" spans="1:26" ht="24.75" customHeight="1">
      <c r="A465" s="268"/>
      <c r="B465" s="268"/>
      <c r="C465" s="268"/>
      <c r="D465" s="268"/>
      <c r="E465" s="268"/>
      <c r="F465" s="268"/>
      <c r="G465" s="268"/>
      <c r="H465" s="389"/>
      <c r="I465" s="389"/>
      <c r="J465" s="389"/>
      <c r="K465" s="268"/>
      <c r="L465" s="268"/>
      <c r="M465" s="268"/>
      <c r="N465" s="310"/>
      <c r="O465" s="268"/>
      <c r="P465" s="309"/>
      <c r="Q465" s="381"/>
      <c r="R465" s="268"/>
      <c r="S465" s="313"/>
      <c r="T465" s="313"/>
      <c r="U465" s="268"/>
      <c r="V465" s="268"/>
      <c r="W465" s="268"/>
      <c r="X465" s="268"/>
      <c r="Y465" s="268"/>
      <c r="Z465" s="268"/>
    </row>
    <row r="466" spans="1:26" ht="24.75" customHeight="1">
      <c r="A466" s="268"/>
      <c r="B466" s="268"/>
      <c r="C466" s="268"/>
      <c r="D466" s="268"/>
      <c r="E466" s="268"/>
      <c r="F466" s="268"/>
      <c r="G466" s="268"/>
      <c r="H466" s="389"/>
      <c r="I466" s="389"/>
      <c r="J466" s="389"/>
      <c r="K466" s="268"/>
      <c r="L466" s="268"/>
      <c r="M466" s="268"/>
      <c r="N466" s="310"/>
      <c r="O466" s="268"/>
      <c r="P466" s="309"/>
      <c r="Q466" s="381"/>
      <c r="R466" s="268"/>
      <c r="S466" s="313"/>
      <c r="T466" s="313"/>
      <c r="U466" s="268"/>
      <c r="V466" s="268"/>
      <c r="W466" s="268"/>
      <c r="X466" s="268"/>
      <c r="Y466" s="268"/>
      <c r="Z466" s="268"/>
    </row>
    <row r="467" spans="1:26" ht="24.75" customHeight="1">
      <c r="A467" s="268"/>
      <c r="B467" s="268"/>
      <c r="C467" s="268"/>
      <c r="D467" s="268"/>
      <c r="E467" s="268"/>
      <c r="F467" s="268"/>
      <c r="G467" s="268"/>
      <c r="H467" s="389"/>
      <c r="I467" s="389"/>
      <c r="J467" s="389"/>
      <c r="K467" s="268"/>
      <c r="L467" s="268"/>
      <c r="M467" s="268"/>
      <c r="N467" s="310"/>
      <c r="O467" s="268"/>
      <c r="P467" s="309"/>
      <c r="Q467" s="381"/>
      <c r="R467" s="268"/>
      <c r="S467" s="313"/>
      <c r="T467" s="313"/>
      <c r="U467" s="268"/>
      <c r="V467" s="268"/>
      <c r="W467" s="268"/>
      <c r="X467" s="268"/>
      <c r="Y467" s="268"/>
      <c r="Z467" s="268"/>
    </row>
    <row r="468" spans="1:26" ht="24.75" customHeight="1">
      <c r="A468" s="268"/>
      <c r="B468" s="268"/>
      <c r="C468" s="268"/>
      <c r="D468" s="268"/>
      <c r="E468" s="268"/>
      <c r="F468" s="268"/>
      <c r="G468" s="268"/>
      <c r="H468" s="389"/>
      <c r="I468" s="389"/>
      <c r="J468" s="389"/>
      <c r="K468" s="268"/>
      <c r="L468" s="268"/>
      <c r="M468" s="268"/>
      <c r="N468" s="310"/>
      <c r="O468" s="268"/>
      <c r="P468" s="309"/>
      <c r="Q468" s="381"/>
      <c r="R468" s="268"/>
      <c r="S468" s="313"/>
      <c r="T468" s="313"/>
      <c r="U468" s="268"/>
      <c r="V468" s="268"/>
      <c r="W468" s="268"/>
      <c r="X468" s="268"/>
      <c r="Y468" s="268"/>
      <c r="Z468" s="268"/>
    </row>
    <row r="469" spans="1:26" ht="24.75" customHeight="1">
      <c r="A469" s="268"/>
      <c r="B469" s="268"/>
      <c r="C469" s="268"/>
      <c r="D469" s="268"/>
      <c r="E469" s="268"/>
      <c r="F469" s="268"/>
      <c r="G469" s="268"/>
      <c r="H469" s="389"/>
      <c r="I469" s="389"/>
      <c r="J469" s="389"/>
      <c r="K469" s="268"/>
      <c r="L469" s="268"/>
      <c r="M469" s="268"/>
      <c r="N469" s="310"/>
      <c r="O469" s="268"/>
      <c r="P469" s="309"/>
      <c r="Q469" s="381"/>
      <c r="R469" s="268"/>
      <c r="S469" s="313"/>
      <c r="T469" s="313"/>
      <c r="U469" s="268"/>
      <c r="V469" s="268"/>
      <c r="W469" s="268"/>
      <c r="X469" s="268"/>
      <c r="Y469" s="268"/>
      <c r="Z469" s="268"/>
    </row>
    <row r="470" spans="1:26" ht="24.75" customHeight="1">
      <c r="A470" s="268"/>
      <c r="B470" s="268"/>
      <c r="C470" s="268"/>
      <c r="D470" s="268"/>
      <c r="E470" s="268"/>
      <c r="F470" s="268"/>
      <c r="G470" s="268"/>
      <c r="H470" s="389"/>
      <c r="I470" s="389"/>
      <c r="J470" s="389"/>
      <c r="K470" s="268"/>
      <c r="L470" s="268"/>
      <c r="M470" s="268"/>
      <c r="N470" s="310"/>
      <c r="O470" s="268"/>
      <c r="P470" s="309"/>
      <c r="Q470" s="381"/>
      <c r="R470" s="268"/>
      <c r="S470" s="313"/>
      <c r="T470" s="313"/>
      <c r="U470" s="268"/>
      <c r="V470" s="268"/>
      <c r="W470" s="268"/>
      <c r="X470" s="268"/>
      <c r="Y470" s="268"/>
      <c r="Z470" s="268"/>
    </row>
    <row r="471" spans="1:26" ht="24.75" customHeight="1">
      <c r="A471" s="268"/>
      <c r="B471" s="268"/>
      <c r="C471" s="268"/>
      <c r="D471" s="268"/>
      <c r="E471" s="268"/>
      <c r="F471" s="268"/>
      <c r="G471" s="268"/>
      <c r="H471" s="389"/>
      <c r="I471" s="389"/>
      <c r="J471" s="389"/>
      <c r="K471" s="268"/>
      <c r="L471" s="268"/>
      <c r="M471" s="268"/>
      <c r="N471" s="310"/>
      <c r="O471" s="268"/>
      <c r="P471" s="309"/>
      <c r="Q471" s="381"/>
      <c r="R471" s="268"/>
      <c r="S471" s="313"/>
      <c r="T471" s="313"/>
      <c r="U471" s="268"/>
      <c r="V471" s="268"/>
      <c r="W471" s="268"/>
      <c r="X471" s="268"/>
      <c r="Y471" s="268"/>
      <c r="Z471" s="268"/>
    </row>
    <row r="472" spans="1:26" ht="24.75" customHeight="1">
      <c r="A472" s="268"/>
      <c r="B472" s="268"/>
      <c r="C472" s="268"/>
      <c r="D472" s="268"/>
      <c r="E472" s="268"/>
      <c r="F472" s="268"/>
      <c r="G472" s="268"/>
      <c r="H472" s="389"/>
      <c r="I472" s="389"/>
      <c r="J472" s="389"/>
      <c r="K472" s="268"/>
      <c r="L472" s="268"/>
      <c r="M472" s="268"/>
      <c r="N472" s="310"/>
      <c r="O472" s="268"/>
      <c r="P472" s="309"/>
      <c r="Q472" s="381"/>
      <c r="R472" s="268"/>
      <c r="S472" s="313"/>
      <c r="T472" s="313"/>
      <c r="U472" s="268"/>
      <c r="V472" s="268"/>
      <c r="W472" s="268"/>
      <c r="X472" s="268"/>
      <c r="Y472" s="268"/>
      <c r="Z472" s="268"/>
    </row>
    <row r="473" spans="1:26" ht="24.75" customHeight="1">
      <c r="A473" s="268"/>
      <c r="B473" s="268"/>
      <c r="C473" s="268"/>
      <c r="D473" s="268"/>
      <c r="E473" s="268"/>
      <c r="F473" s="268"/>
      <c r="G473" s="268"/>
      <c r="H473" s="389"/>
      <c r="I473" s="389"/>
      <c r="J473" s="389"/>
      <c r="K473" s="268"/>
      <c r="L473" s="268"/>
      <c r="M473" s="268"/>
      <c r="N473" s="310"/>
      <c r="O473" s="268"/>
      <c r="P473" s="309"/>
      <c r="Q473" s="381"/>
      <c r="R473" s="268"/>
      <c r="S473" s="313"/>
      <c r="T473" s="313"/>
      <c r="U473" s="268"/>
      <c r="V473" s="268"/>
      <c r="W473" s="268"/>
      <c r="X473" s="268"/>
      <c r="Y473" s="268"/>
      <c r="Z473" s="268"/>
    </row>
    <row r="474" spans="1:26" ht="24.75" customHeight="1">
      <c r="A474" s="268"/>
      <c r="B474" s="268"/>
      <c r="C474" s="268"/>
      <c r="D474" s="268"/>
      <c r="E474" s="268"/>
      <c r="F474" s="268"/>
      <c r="G474" s="268"/>
      <c r="H474" s="389"/>
      <c r="I474" s="389"/>
      <c r="J474" s="389"/>
      <c r="K474" s="268"/>
      <c r="L474" s="268"/>
      <c r="M474" s="268"/>
      <c r="N474" s="310"/>
      <c r="O474" s="268"/>
      <c r="P474" s="309"/>
      <c r="Q474" s="381"/>
      <c r="R474" s="268"/>
      <c r="S474" s="313"/>
      <c r="T474" s="313"/>
      <c r="U474" s="268"/>
      <c r="V474" s="268"/>
      <c r="W474" s="268"/>
      <c r="X474" s="268"/>
      <c r="Y474" s="268"/>
      <c r="Z474" s="268"/>
    </row>
    <row r="475" spans="1:26" ht="24.75" customHeight="1">
      <c r="A475" s="268"/>
      <c r="B475" s="268"/>
      <c r="C475" s="268"/>
      <c r="D475" s="268"/>
      <c r="E475" s="268"/>
      <c r="F475" s="268"/>
      <c r="G475" s="268"/>
      <c r="H475" s="389"/>
      <c r="I475" s="389"/>
      <c r="J475" s="389"/>
      <c r="K475" s="268"/>
      <c r="L475" s="268"/>
      <c r="M475" s="268"/>
      <c r="N475" s="310"/>
      <c r="O475" s="268"/>
      <c r="P475" s="309"/>
      <c r="Q475" s="381"/>
      <c r="R475" s="268"/>
      <c r="S475" s="313"/>
      <c r="T475" s="313"/>
      <c r="U475" s="268"/>
      <c r="V475" s="268"/>
      <c r="W475" s="268"/>
      <c r="X475" s="268"/>
      <c r="Y475" s="268"/>
      <c r="Z475" s="268"/>
    </row>
    <row r="476" spans="1:26" ht="24.75" customHeight="1">
      <c r="A476" s="268"/>
      <c r="B476" s="268"/>
      <c r="C476" s="268"/>
      <c r="D476" s="268"/>
      <c r="E476" s="268"/>
      <c r="F476" s="268"/>
      <c r="G476" s="268"/>
      <c r="H476" s="389"/>
      <c r="I476" s="389"/>
      <c r="J476" s="389"/>
      <c r="K476" s="268"/>
      <c r="L476" s="268"/>
      <c r="M476" s="268"/>
      <c r="N476" s="310"/>
      <c r="O476" s="268"/>
      <c r="P476" s="309"/>
      <c r="Q476" s="381"/>
      <c r="R476" s="268"/>
      <c r="S476" s="313"/>
      <c r="T476" s="313"/>
      <c r="U476" s="268"/>
      <c r="V476" s="268"/>
      <c r="W476" s="268"/>
      <c r="X476" s="268"/>
      <c r="Y476" s="268"/>
      <c r="Z476" s="268"/>
    </row>
    <row r="477" spans="1:26" ht="24.75" customHeight="1">
      <c r="A477" s="268"/>
      <c r="B477" s="268"/>
      <c r="C477" s="268"/>
      <c r="D477" s="268"/>
      <c r="E477" s="268"/>
      <c r="F477" s="268"/>
      <c r="G477" s="268"/>
      <c r="H477" s="389"/>
      <c r="I477" s="389"/>
      <c r="J477" s="389"/>
      <c r="K477" s="268"/>
      <c r="L477" s="268"/>
      <c r="M477" s="268"/>
      <c r="N477" s="310"/>
      <c r="O477" s="268"/>
      <c r="P477" s="309"/>
      <c r="Q477" s="381"/>
      <c r="R477" s="268"/>
      <c r="S477" s="313"/>
      <c r="T477" s="313"/>
      <c r="U477" s="268"/>
      <c r="V477" s="268"/>
      <c r="W477" s="268"/>
      <c r="X477" s="268"/>
      <c r="Y477" s="268"/>
      <c r="Z477" s="268"/>
    </row>
    <row r="478" spans="1:26" ht="24.75" customHeight="1">
      <c r="A478" s="268"/>
      <c r="B478" s="268"/>
      <c r="C478" s="268"/>
      <c r="D478" s="268"/>
      <c r="E478" s="268"/>
      <c r="F478" s="268"/>
      <c r="G478" s="268"/>
      <c r="H478" s="389"/>
      <c r="I478" s="389"/>
      <c r="J478" s="389"/>
      <c r="K478" s="268"/>
      <c r="L478" s="268"/>
      <c r="M478" s="268"/>
      <c r="N478" s="310"/>
      <c r="O478" s="268"/>
      <c r="P478" s="309"/>
      <c r="Q478" s="381"/>
      <c r="R478" s="268"/>
      <c r="S478" s="313"/>
      <c r="T478" s="313"/>
      <c r="U478" s="268"/>
      <c r="V478" s="268"/>
      <c r="W478" s="268"/>
      <c r="X478" s="268"/>
      <c r="Y478" s="268"/>
      <c r="Z478" s="268"/>
    </row>
    <row r="479" spans="1:26" ht="24.75" customHeight="1">
      <c r="A479" s="268"/>
      <c r="B479" s="268"/>
      <c r="C479" s="268"/>
      <c r="D479" s="268"/>
      <c r="E479" s="268"/>
      <c r="F479" s="268"/>
      <c r="G479" s="268"/>
      <c r="H479" s="389"/>
      <c r="I479" s="389"/>
      <c r="J479" s="389"/>
      <c r="K479" s="268"/>
      <c r="L479" s="268"/>
      <c r="M479" s="268"/>
      <c r="N479" s="310"/>
      <c r="O479" s="268"/>
      <c r="P479" s="309"/>
      <c r="Q479" s="381"/>
      <c r="R479" s="268"/>
      <c r="S479" s="313"/>
      <c r="T479" s="313"/>
      <c r="U479" s="268"/>
      <c r="V479" s="268"/>
      <c r="W479" s="268"/>
      <c r="X479" s="268"/>
      <c r="Y479" s="268"/>
      <c r="Z479" s="268"/>
    </row>
    <row r="480" spans="1:26" ht="24.75" customHeight="1">
      <c r="A480" s="268"/>
      <c r="B480" s="268"/>
      <c r="C480" s="268"/>
      <c r="D480" s="268"/>
      <c r="E480" s="268"/>
      <c r="F480" s="268"/>
      <c r="G480" s="268"/>
      <c r="H480" s="389"/>
      <c r="I480" s="389"/>
      <c r="J480" s="389"/>
      <c r="K480" s="268"/>
      <c r="L480" s="268"/>
      <c r="M480" s="268"/>
      <c r="N480" s="310"/>
      <c r="O480" s="268"/>
      <c r="P480" s="309"/>
      <c r="Q480" s="381"/>
      <c r="R480" s="268"/>
      <c r="S480" s="313"/>
      <c r="T480" s="313"/>
      <c r="U480" s="268"/>
      <c r="V480" s="268"/>
      <c r="W480" s="268"/>
      <c r="X480" s="268"/>
      <c r="Y480" s="268"/>
      <c r="Z480" s="268"/>
    </row>
    <row r="481" spans="1:26" ht="24.75" customHeight="1">
      <c r="A481" s="268"/>
      <c r="B481" s="268"/>
      <c r="C481" s="268"/>
      <c r="D481" s="268"/>
      <c r="E481" s="268"/>
      <c r="F481" s="268"/>
      <c r="G481" s="268"/>
      <c r="H481" s="389"/>
      <c r="I481" s="389"/>
      <c r="J481" s="389"/>
      <c r="K481" s="268"/>
      <c r="L481" s="268"/>
      <c r="M481" s="268"/>
      <c r="N481" s="310"/>
      <c r="O481" s="268"/>
      <c r="P481" s="309"/>
      <c r="Q481" s="381"/>
      <c r="R481" s="268"/>
      <c r="S481" s="313"/>
      <c r="T481" s="313"/>
      <c r="U481" s="268"/>
      <c r="V481" s="268"/>
      <c r="W481" s="268"/>
      <c r="X481" s="268"/>
      <c r="Y481" s="268"/>
      <c r="Z481" s="268"/>
    </row>
    <row r="482" spans="1:26" ht="24.75" customHeight="1">
      <c r="A482" s="268"/>
      <c r="B482" s="268"/>
      <c r="C482" s="268"/>
      <c r="D482" s="268"/>
      <c r="E482" s="268"/>
      <c r="F482" s="268"/>
      <c r="G482" s="268"/>
      <c r="H482" s="389"/>
      <c r="I482" s="389"/>
      <c r="J482" s="389"/>
      <c r="K482" s="268"/>
      <c r="L482" s="268"/>
      <c r="M482" s="268"/>
      <c r="N482" s="310"/>
      <c r="O482" s="268"/>
      <c r="P482" s="309"/>
      <c r="Q482" s="381"/>
      <c r="R482" s="268"/>
      <c r="S482" s="313"/>
      <c r="T482" s="313"/>
      <c r="U482" s="268"/>
      <c r="V482" s="268"/>
      <c r="W482" s="268"/>
      <c r="X482" s="268"/>
      <c r="Y482" s="268"/>
      <c r="Z482" s="268"/>
    </row>
    <row r="483" spans="1:26" ht="24.75" customHeight="1">
      <c r="A483" s="268"/>
      <c r="B483" s="268"/>
      <c r="C483" s="268"/>
      <c r="D483" s="268"/>
      <c r="E483" s="268"/>
      <c r="F483" s="268"/>
      <c r="G483" s="268"/>
      <c r="H483" s="389"/>
      <c r="I483" s="389"/>
      <c r="J483" s="389"/>
      <c r="K483" s="268"/>
      <c r="L483" s="268"/>
      <c r="M483" s="268"/>
      <c r="N483" s="310"/>
      <c r="O483" s="268"/>
      <c r="P483" s="309"/>
      <c r="Q483" s="381"/>
      <c r="R483" s="268"/>
      <c r="S483" s="313"/>
      <c r="T483" s="313"/>
      <c r="U483" s="268"/>
      <c r="V483" s="268"/>
      <c r="W483" s="268"/>
      <c r="X483" s="268"/>
      <c r="Y483" s="268"/>
      <c r="Z483" s="268"/>
    </row>
    <row r="484" spans="1:26" ht="24.75" customHeight="1">
      <c r="A484" s="268"/>
      <c r="B484" s="268"/>
      <c r="C484" s="268"/>
      <c r="D484" s="268"/>
      <c r="E484" s="268"/>
      <c r="F484" s="268"/>
      <c r="G484" s="268"/>
      <c r="H484" s="389"/>
      <c r="I484" s="389"/>
      <c r="J484" s="389"/>
      <c r="K484" s="268"/>
      <c r="L484" s="268"/>
      <c r="M484" s="268"/>
      <c r="N484" s="310"/>
      <c r="O484" s="268"/>
      <c r="P484" s="309"/>
      <c r="Q484" s="381"/>
      <c r="R484" s="268"/>
      <c r="S484" s="313"/>
      <c r="T484" s="313"/>
      <c r="U484" s="268"/>
      <c r="V484" s="268"/>
      <c r="W484" s="268"/>
      <c r="X484" s="268"/>
      <c r="Y484" s="268"/>
      <c r="Z484" s="268"/>
    </row>
    <row r="485" spans="1:26" ht="24.75" customHeight="1">
      <c r="A485" s="268"/>
      <c r="B485" s="268"/>
      <c r="C485" s="268"/>
      <c r="D485" s="268"/>
      <c r="E485" s="268"/>
      <c r="F485" s="268"/>
      <c r="G485" s="268"/>
      <c r="H485" s="389"/>
      <c r="I485" s="389"/>
      <c r="J485" s="389"/>
      <c r="K485" s="268"/>
      <c r="L485" s="268"/>
      <c r="M485" s="268"/>
      <c r="N485" s="310"/>
      <c r="O485" s="268"/>
      <c r="P485" s="309"/>
      <c r="Q485" s="381"/>
      <c r="R485" s="268"/>
      <c r="S485" s="313"/>
      <c r="T485" s="313"/>
      <c r="U485" s="268"/>
      <c r="V485" s="268"/>
      <c r="W485" s="268"/>
      <c r="X485" s="268"/>
      <c r="Y485" s="268"/>
      <c r="Z485" s="268"/>
    </row>
    <row r="486" spans="1:26" ht="24.75" customHeight="1">
      <c r="A486" s="268"/>
      <c r="B486" s="268"/>
      <c r="C486" s="268"/>
      <c r="D486" s="268"/>
      <c r="E486" s="268"/>
      <c r="F486" s="268"/>
      <c r="G486" s="268"/>
      <c r="H486" s="389"/>
      <c r="I486" s="389"/>
      <c r="J486" s="389"/>
      <c r="K486" s="268"/>
      <c r="L486" s="268"/>
      <c r="M486" s="268"/>
      <c r="N486" s="310"/>
      <c r="O486" s="268"/>
      <c r="P486" s="309"/>
      <c r="Q486" s="381"/>
      <c r="R486" s="268"/>
      <c r="S486" s="313"/>
      <c r="T486" s="313"/>
      <c r="U486" s="268"/>
      <c r="V486" s="268"/>
      <c r="W486" s="268"/>
      <c r="X486" s="268"/>
      <c r="Y486" s="268"/>
      <c r="Z486" s="268"/>
    </row>
    <row r="487" spans="1:26" ht="24.75" customHeight="1">
      <c r="A487" s="268"/>
      <c r="B487" s="268"/>
      <c r="C487" s="268"/>
      <c r="D487" s="268"/>
      <c r="E487" s="268"/>
      <c r="F487" s="268"/>
      <c r="G487" s="268"/>
      <c r="H487" s="389"/>
      <c r="I487" s="389"/>
      <c r="J487" s="389"/>
      <c r="K487" s="268"/>
      <c r="L487" s="268"/>
      <c r="M487" s="268"/>
      <c r="N487" s="310"/>
      <c r="O487" s="268"/>
      <c r="P487" s="309"/>
      <c r="Q487" s="381"/>
      <c r="R487" s="268"/>
      <c r="S487" s="313"/>
      <c r="T487" s="313"/>
      <c r="U487" s="268"/>
      <c r="V487" s="268"/>
      <c r="W487" s="268"/>
      <c r="X487" s="268"/>
      <c r="Y487" s="268"/>
      <c r="Z487" s="268"/>
    </row>
    <row r="488" spans="1:26" ht="24.75" customHeight="1">
      <c r="A488" s="268"/>
      <c r="B488" s="268"/>
      <c r="C488" s="268"/>
      <c r="D488" s="268"/>
      <c r="E488" s="268"/>
      <c r="F488" s="268"/>
      <c r="G488" s="268"/>
      <c r="H488" s="389"/>
      <c r="I488" s="389"/>
      <c r="J488" s="389"/>
      <c r="K488" s="268"/>
      <c r="L488" s="268"/>
      <c r="M488" s="268"/>
      <c r="N488" s="310"/>
      <c r="O488" s="268"/>
      <c r="P488" s="309"/>
      <c r="Q488" s="381"/>
      <c r="R488" s="268"/>
      <c r="S488" s="313"/>
      <c r="T488" s="313"/>
      <c r="U488" s="268"/>
      <c r="V488" s="268"/>
      <c r="W488" s="268"/>
      <c r="X488" s="268"/>
      <c r="Y488" s="268"/>
      <c r="Z488" s="268"/>
    </row>
    <row r="489" spans="1:26" ht="24.75" customHeight="1">
      <c r="A489" s="268"/>
      <c r="B489" s="268"/>
      <c r="C489" s="268"/>
      <c r="D489" s="268"/>
      <c r="E489" s="268"/>
      <c r="F489" s="268"/>
      <c r="G489" s="268"/>
      <c r="H489" s="389"/>
      <c r="I489" s="389"/>
      <c r="J489" s="389"/>
      <c r="K489" s="268"/>
      <c r="L489" s="268"/>
      <c r="M489" s="268"/>
      <c r="N489" s="310"/>
      <c r="O489" s="268"/>
      <c r="P489" s="309"/>
      <c r="Q489" s="381"/>
      <c r="R489" s="268"/>
      <c r="S489" s="313"/>
      <c r="T489" s="313"/>
      <c r="U489" s="268"/>
      <c r="V489" s="268"/>
      <c r="W489" s="268"/>
      <c r="X489" s="268"/>
      <c r="Y489" s="268"/>
      <c r="Z489" s="268"/>
    </row>
    <row r="490" spans="1:26" ht="24.75" customHeight="1">
      <c r="A490" s="268"/>
      <c r="B490" s="268"/>
      <c r="C490" s="268"/>
      <c r="D490" s="268"/>
      <c r="E490" s="268"/>
      <c r="F490" s="268"/>
      <c r="G490" s="268"/>
      <c r="H490" s="389"/>
      <c r="I490" s="389"/>
      <c r="J490" s="389"/>
      <c r="K490" s="268"/>
      <c r="L490" s="268"/>
      <c r="M490" s="268"/>
      <c r="N490" s="310"/>
      <c r="O490" s="268"/>
      <c r="P490" s="309"/>
      <c r="Q490" s="381"/>
      <c r="R490" s="268"/>
      <c r="S490" s="313"/>
      <c r="T490" s="313"/>
      <c r="U490" s="268"/>
      <c r="V490" s="268"/>
      <c r="W490" s="268"/>
      <c r="X490" s="268"/>
      <c r="Y490" s="268"/>
      <c r="Z490" s="268"/>
    </row>
    <row r="491" spans="1:26" ht="24.75" customHeight="1">
      <c r="A491" s="268"/>
      <c r="B491" s="268"/>
      <c r="C491" s="268"/>
      <c r="D491" s="268"/>
      <c r="E491" s="268"/>
      <c r="F491" s="268"/>
      <c r="G491" s="268"/>
      <c r="H491" s="389"/>
      <c r="I491" s="389"/>
      <c r="J491" s="389"/>
      <c r="K491" s="268"/>
      <c r="L491" s="268"/>
      <c r="M491" s="268"/>
      <c r="N491" s="310"/>
      <c r="O491" s="268"/>
      <c r="P491" s="309"/>
      <c r="Q491" s="381"/>
      <c r="R491" s="268"/>
      <c r="S491" s="313"/>
      <c r="T491" s="313"/>
      <c r="U491" s="268"/>
      <c r="V491" s="268"/>
      <c r="W491" s="268"/>
      <c r="X491" s="268"/>
      <c r="Y491" s="268"/>
      <c r="Z491" s="268"/>
    </row>
    <row r="492" spans="1:26" ht="24.75" customHeight="1">
      <c r="A492" s="268"/>
      <c r="B492" s="268"/>
      <c r="C492" s="268"/>
      <c r="D492" s="268"/>
      <c r="E492" s="268"/>
      <c r="F492" s="268"/>
      <c r="G492" s="268"/>
      <c r="H492" s="389"/>
      <c r="I492" s="389"/>
      <c r="J492" s="389"/>
      <c r="K492" s="268"/>
      <c r="L492" s="268"/>
      <c r="M492" s="268"/>
      <c r="N492" s="310"/>
      <c r="O492" s="268"/>
      <c r="P492" s="309"/>
      <c r="Q492" s="381"/>
      <c r="R492" s="268"/>
      <c r="S492" s="313"/>
      <c r="T492" s="313"/>
      <c r="U492" s="268"/>
      <c r="V492" s="268"/>
      <c r="W492" s="268"/>
      <c r="X492" s="268"/>
      <c r="Y492" s="268"/>
      <c r="Z492" s="268"/>
    </row>
    <row r="493" spans="1:26" ht="24.75" customHeight="1">
      <c r="A493" s="268"/>
      <c r="B493" s="268"/>
      <c r="C493" s="268"/>
      <c r="D493" s="268"/>
      <c r="E493" s="268"/>
      <c r="F493" s="268"/>
      <c r="G493" s="268"/>
      <c r="H493" s="389"/>
      <c r="I493" s="389"/>
      <c r="J493" s="389"/>
      <c r="K493" s="268"/>
      <c r="L493" s="268"/>
      <c r="M493" s="268"/>
      <c r="N493" s="310"/>
      <c r="O493" s="268"/>
      <c r="P493" s="309"/>
      <c r="Q493" s="381"/>
      <c r="R493" s="268"/>
      <c r="S493" s="313"/>
      <c r="T493" s="313"/>
      <c r="U493" s="268"/>
      <c r="V493" s="268"/>
      <c r="W493" s="268"/>
      <c r="X493" s="268"/>
      <c r="Y493" s="268"/>
      <c r="Z493" s="268"/>
    </row>
    <row r="494" spans="1:26" ht="24.75" customHeight="1">
      <c r="A494" s="268"/>
      <c r="B494" s="268"/>
      <c r="C494" s="268"/>
      <c r="D494" s="268"/>
      <c r="E494" s="268"/>
      <c r="F494" s="268"/>
      <c r="G494" s="268"/>
      <c r="H494" s="389"/>
      <c r="I494" s="389"/>
      <c r="J494" s="389"/>
      <c r="K494" s="268"/>
      <c r="L494" s="268"/>
      <c r="M494" s="268"/>
      <c r="N494" s="310"/>
      <c r="O494" s="268"/>
      <c r="P494" s="309"/>
      <c r="Q494" s="381"/>
      <c r="R494" s="268"/>
      <c r="S494" s="313"/>
      <c r="T494" s="313"/>
      <c r="U494" s="268"/>
      <c r="V494" s="268"/>
      <c r="W494" s="268"/>
      <c r="X494" s="268"/>
      <c r="Y494" s="268"/>
      <c r="Z494" s="268"/>
    </row>
    <row r="495" spans="1:26" ht="24.75" customHeight="1">
      <c r="A495" s="268"/>
      <c r="B495" s="268"/>
      <c r="C495" s="268"/>
      <c r="D495" s="268"/>
      <c r="E495" s="268"/>
      <c r="F495" s="268"/>
      <c r="G495" s="268"/>
      <c r="H495" s="389"/>
      <c r="I495" s="389"/>
      <c r="J495" s="389"/>
      <c r="K495" s="268"/>
      <c r="L495" s="268"/>
      <c r="M495" s="268"/>
      <c r="N495" s="310"/>
      <c r="O495" s="268"/>
      <c r="P495" s="309"/>
      <c r="Q495" s="381"/>
      <c r="R495" s="268"/>
      <c r="S495" s="313"/>
      <c r="T495" s="313"/>
      <c r="U495" s="268"/>
      <c r="V495" s="268"/>
      <c r="W495" s="268"/>
      <c r="X495" s="268"/>
      <c r="Y495" s="268"/>
      <c r="Z495" s="268"/>
    </row>
    <row r="496" spans="1:26" ht="24.75" customHeight="1">
      <c r="A496" s="268"/>
      <c r="B496" s="268"/>
      <c r="C496" s="268"/>
      <c r="D496" s="268"/>
      <c r="E496" s="268"/>
      <c r="F496" s="268"/>
      <c r="G496" s="268"/>
      <c r="H496" s="389"/>
      <c r="I496" s="389"/>
      <c r="J496" s="389"/>
      <c r="K496" s="268"/>
      <c r="L496" s="268"/>
      <c r="M496" s="268"/>
      <c r="N496" s="310"/>
      <c r="O496" s="268"/>
      <c r="P496" s="309"/>
      <c r="Q496" s="381"/>
      <c r="R496" s="268"/>
      <c r="S496" s="313"/>
      <c r="T496" s="313"/>
      <c r="U496" s="268"/>
      <c r="V496" s="268"/>
      <c r="W496" s="268"/>
      <c r="X496" s="268"/>
      <c r="Y496" s="268"/>
      <c r="Z496" s="268"/>
    </row>
    <row r="497" spans="1:26" ht="24.75" customHeight="1">
      <c r="A497" s="268"/>
      <c r="B497" s="268"/>
      <c r="C497" s="268"/>
      <c r="D497" s="268"/>
      <c r="E497" s="268"/>
      <c r="F497" s="268"/>
      <c r="G497" s="268"/>
      <c r="H497" s="389"/>
      <c r="I497" s="389"/>
      <c r="J497" s="389"/>
      <c r="K497" s="268"/>
      <c r="L497" s="268"/>
      <c r="M497" s="268"/>
      <c r="N497" s="310"/>
      <c r="O497" s="268"/>
      <c r="P497" s="309"/>
      <c r="Q497" s="381"/>
      <c r="R497" s="268"/>
      <c r="S497" s="313"/>
      <c r="T497" s="313"/>
      <c r="U497" s="268"/>
      <c r="V497" s="268"/>
      <c r="W497" s="268"/>
      <c r="X497" s="268"/>
      <c r="Y497" s="268"/>
      <c r="Z497" s="268"/>
    </row>
    <row r="498" spans="1:26" ht="24.75" customHeight="1">
      <c r="A498" s="268"/>
      <c r="B498" s="268"/>
      <c r="C498" s="268"/>
      <c r="D498" s="268"/>
      <c r="E498" s="268"/>
      <c r="F498" s="268"/>
      <c r="G498" s="268"/>
      <c r="H498" s="389"/>
      <c r="I498" s="389"/>
      <c r="J498" s="389"/>
      <c r="K498" s="268"/>
      <c r="L498" s="268"/>
      <c r="M498" s="268"/>
      <c r="N498" s="310"/>
      <c r="O498" s="268"/>
      <c r="P498" s="309"/>
      <c r="Q498" s="381"/>
      <c r="R498" s="268"/>
      <c r="S498" s="313"/>
      <c r="T498" s="313"/>
      <c r="U498" s="268"/>
      <c r="V498" s="268"/>
      <c r="W498" s="268"/>
      <c r="X498" s="268"/>
      <c r="Y498" s="268"/>
      <c r="Z498" s="268"/>
    </row>
    <row r="499" spans="1:26" ht="24.75" customHeight="1">
      <c r="A499" s="268"/>
      <c r="B499" s="268"/>
      <c r="C499" s="268"/>
      <c r="D499" s="268"/>
      <c r="E499" s="268"/>
      <c r="F499" s="268"/>
      <c r="G499" s="268"/>
      <c r="H499" s="389"/>
      <c r="I499" s="389"/>
      <c r="J499" s="389"/>
      <c r="K499" s="268"/>
      <c r="L499" s="268"/>
      <c r="M499" s="268"/>
      <c r="N499" s="310"/>
      <c r="O499" s="268"/>
      <c r="P499" s="309"/>
      <c r="Q499" s="381"/>
      <c r="R499" s="268"/>
      <c r="S499" s="313"/>
      <c r="T499" s="313"/>
      <c r="U499" s="268"/>
      <c r="V499" s="268"/>
      <c r="W499" s="268"/>
      <c r="X499" s="268"/>
      <c r="Y499" s="268"/>
      <c r="Z499" s="268"/>
    </row>
    <row r="500" spans="1:26" ht="24.75" customHeight="1">
      <c r="A500" s="268"/>
      <c r="B500" s="268"/>
      <c r="C500" s="268"/>
      <c r="D500" s="268"/>
      <c r="E500" s="268"/>
      <c r="F500" s="268"/>
      <c r="G500" s="268"/>
      <c r="H500" s="389"/>
      <c r="I500" s="389"/>
      <c r="J500" s="389"/>
      <c r="K500" s="268"/>
      <c r="L500" s="268"/>
      <c r="M500" s="268"/>
      <c r="N500" s="310"/>
      <c r="O500" s="268"/>
      <c r="P500" s="309"/>
      <c r="Q500" s="381"/>
      <c r="R500" s="268"/>
      <c r="S500" s="313"/>
      <c r="T500" s="313"/>
      <c r="U500" s="268"/>
      <c r="V500" s="268"/>
      <c r="W500" s="268"/>
      <c r="X500" s="268"/>
      <c r="Y500" s="268"/>
      <c r="Z500" s="268"/>
    </row>
    <row r="501" spans="1:26" ht="24.75" customHeight="1">
      <c r="A501" s="268"/>
      <c r="B501" s="268"/>
      <c r="C501" s="268"/>
      <c r="D501" s="268"/>
      <c r="E501" s="268"/>
      <c r="F501" s="268"/>
      <c r="G501" s="268"/>
      <c r="H501" s="389"/>
      <c r="I501" s="389"/>
      <c r="J501" s="389"/>
      <c r="K501" s="268"/>
      <c r="L501" s="268"/>
      <c r="M501" s="268"/>
      <c r="N501" s="310"/>
      <c r="O501" s="268"/>
      <c r="P501" s="309"/>
      <c r="Q501" s="381"/>
      <c r="R501" s="268"/>
      <c r="S501" s="313"/>
      <c r="T501" s="313"/>
      <c r="U501" s="268"/>
      <c r="V501" s="268"/>
      <c r="W501" s="268"/>
      <c r="X501" s="268"/>
      <c r="Y501" s="268"/>
      <c r="Z501" s="268"/>
    </row>
    <row r="502" spans="1:26" ht="24.75" customHeight="1">
      <c r="A502" s="268"/>
      <c r="B502" s="268"/>
      <c r="C502" s="268"/>
      <c r="D502" s="268"/>
      <c r="E502" s="268"/>
      <c r="F502" s="268"/>
      <c r="G502" s="268"/>
      <c r="H502" s="389"/>
      <c r="I502" s="389"/>
      <c r="J502" s="389"/>
      <c r="K502" s="268"/>
      <c r="L502" s="268"/>
      <c r="M502" s="268"/>
      <c r="N502" s="310"/>
      <c r="O502" s="268"/>
      <c r="P502" s="309"/>
      <c r="Q502" s="381"/>
      <c r="R502" s="268"/>
      <c r="S502" s="313"/>
      <c r="T502" s="313"/>
      <c r="U502" s="268"/>
      <c r="V502" s="268"/>
      <c r="W502" s="268"/>
      <c r="X502" s="268"/>
      <c r="Y502" s="268"/>
      <c r="Z502" s="268"/>
    </row>
    <row r="503" spans="1:26" ht="24.75" customHeight="1">
      <c r="A503" s="268"/>
      <c r="B503" s="268"/>
      <c r="C503" s="268"/>
      <c r="D503" s="268"/>
      <c r="E503" s="268"/>
      <c r="F503" s="268"/>
      <c r="G503" s="268"/>
      <c r="H503" s="389"/>
      <c r="I503" s="389"/>
      <c r="J503" s="389"/>
      <c r="K503" s="268"/>
      <c r="L503" s="268"/>
      <c r="M503" s="268"/>
      <c r="N503" s="310"/>
      <c r="O503" s="268"/>
      <c r="P503" s="309"/>
      <c r="Q503" s="381"/>
      <c r="R503" s="268"/>
      <c r="S503" s="313"/>
      <c r="T503" s="313"/>
      <c r="U503" s="268"/>
      <c r="V503" s="268"/>
      <c r="W503" s="268"/>
      <c r="X503" s="268"/>
      <c r="Y503" s="268"/>
      <c r="Z503" s="268"/>
    </row>
    <row r="504" spans="1:26" ht="24.75" customHeight="1">
      <c r="A504" s="268"/>
      <c r="B504" s="268"/>
      <c r="C504" s="268"/>
      <c r="D504" s="268"/>
      <c r="E504" s="268"/>
      <c r="F504" s="268"/>
      <c r="G504" s="268"/>
      <c r="H504" s="389"/>
      <c r="I504" s="389"/>
      <c r="J504" s="389"/>
      <c r="K504" s="268"/>
      <c r="L504" s="268"/>
      <c r="M504" s="268"/>
      <c r="N504" s="310"/>
      <c r="O504" s="268"/>
      <c r="P504" s="309"/>
      <c r="Q504" s="381"/>
      <c r="R504" s="268"/>
      <c r="S504" s="313"/>
      <c r="T504" s="313"/>
      <c r="U504" s="268"/>
      <c r="V504" s="268"/>
      <c r="W504" s="268"/>
      <c r="X504" s="268"/>
      <c r="Y504" s="268"/>
      <c r="Z504" s="268"/>
    </row>
    <row r="505" spans="1:26" ht="24.75" customHeight="1">
      <c r="A505" s="268"/>
      <c r="B505" s="268"/>
      <c r="C505" s="268"/>
      <c r="D505" s="268"/>
      <c r="E505" s="268"/>
      <c r="F505" s="268"/>
      <c r="G505" s="268"/>
      <c r="H505" s="389"/>
      <c r="I505" s="389"/>
      <c r="J505" s="389"/>
      <c r="K505" s="268"/>
      <c r="L505" s="268"/>
      <c r="M505" s="268"/>
      <c r="N505" s="310"/>
      <c r="O505" s="268"/>
      <c r="P505" s="309"/>
      <c r="Q505" s="381"/>
      <c r="R505" s="268"/>
      <c r="S505" s="313"/>
      <c r="T505" s="313"/>
      <c r="U505" s="268"/>
      <c r="V505" s="268"/>
      <c r="W505" s="268"/>
      <c r="X505" s="268"/>
      <c r="Y505" s="268"/>
      <c r="Z505" s="268"/>
    </row>
    <row r="506" spans="1:26" ht="24.75" customHeight="1">
      <c r="A506" s="268"/>
      <c r="B506" s="268"/>
      <c r="C506" s="268"/>
      <c r="D506" s="268"/>
      <c r="E506" s="268"/>
      <c r="F506" s="268"/>
      <c r="G506" s="268"/>
      <c r="H506" s="389"/>
      <c r="I506" s="389"/>
      <c r="J506" s="389"/>
      <c r="K506" s="268"/>
      <c r="L506" s="268"/>
      <c r="M506" s="268"/>
      <c r="N506" s="310"/>
      <c r="O506" s="268"/>
      <c r="P506" s="309"/>
      <c r="Q506" s="381"/>
      <c r="R506" s="268"/>
      <c r="S506" s="313"/>
      <c r="T506" s="313"/>
      <c r="U506" s="268"/>
      <c r="V506" s="268"/>
      <c r="W506" s="268"/>
      <c r="X506" s="268"/>
      <c r="Y506" s="268"/>
      <c r="Z506" s="268"/>
    </row>
    <row r="507" spans="1:26" ht="24.75" customHeight="1">
      <c r="A507" s="268"/>
      <c r="B507" s="268"/>
      <c r="C507" s="268"/>
      <c r="D507" s="268"/>
      <c r="E507" s="268"/>
      <c r="F507" s="268"/>
      <c r="G507" s="268"/>
      <c r="H507" s="389"/>
      <c r="I507" s="389"/>
      <c r="J507" s="389"/>
      <c r="K507" s="268"/>
      <c r="L507" s="268"/>
      <c r="M507" s="268"/>
      <c r="N507" s="310"/>
      <c r="O507" s="268"/>
      <c r="P507" s="309"/>
      <c r="Q507" s="381"/>
      <c r="R507" s="268"/>
      <c r="S507" s="313"/>
      <c r="T507" s="313"/>
      <c r="U507" s="268"/>
      <c r="V507" s="268"/>
      <c r="W507" s="268"/>
      <c r="X507" s="268"/>
      <c r="Y507" s="268"/>
      <c r="Z507" s="268"/>
    </row>
    <row r="508" spans="1:26" ht="24.75" customHeight="1">
      <c r="A508" s="268"/>
      <c r="B508" s="268"/>
      <c r="C508" s="268"/>
      <c r="D508" s="268"/>
      <c r="E508" s="268"/>
      <c r="F508" s="268"/>
      <c r="G508" s="268"/>
      <c r="H508" s="389"/>
      <c r="I508" s="389"/>
      <c r="J508" s="389"/>
      <c r="K508" s="268"/>
      <c r="L508" s="268"/>
      <c r="M508" s="268"/>
      <c r="N508" s="310"/>
      <c r="O508" s="268"/>
      <c r="P508" s="309"/>
      <c r="Q508" s="381"/>
      <c r="R508" s="268"/>
      <c r="S508" s="313"/>
      <c r="T508" s="313"/>
      <c r="U508" s="268"/>
      <c r="V508" s="268"/>
      <c r="W508" s="268"/>
      <c r="X508" s="268"/>
      <c r="Y508" s="268"/>
      <c r="Z508" s="268"/>
    </row>
    <row r="509" spans="1:26" ht="24.75" customHeight="1">
      <c r="A509" s="268"/>
      <c r="B509" s="268"/>
      <c r="C509" s="268"/>
      <c r="D509" s="268"/>
      <c r="E509" s="268"/>
      <c r="F509" s="268"/>
      <c r="G509" s="268"/>
      <c r="H509" s="389"/>
      <c r="I509" s="389"/>
      <c r="J509" s="389"/>
      <c r="K509" s="268"/>
      <c r="L509" s="268"/>
      <c r="M509" s="268"/>
      <c r="N509" s="310"/>
      <c r="O509" s="268"/>
      <c r="P509" s="309"/>
      <c r="Q509" s="381"/>
      <c r="R509" s="268"/>
      <c r="S509" s="313"/>
      <c r="T509" s="313"/>
      <c r="U509" s="268"/>
      <c r="V509" s="268"/>
      <c r="W509" s="268"/>
      <c r="X509" s="268"/>
      <c r="Y509" s="268"/>
      <c r="Z509" s="268"/>
    </row>
    <row r="510" spans="1:26" ht="24.75" customHeight="1">
      <c r="A510" s="268"/>
      <c r="B510" s="268"/>
      <c r="C510" s="268"/>
      <c r="D510" s="268"/>
      <c r="E510" s="268"/>
      <c r="F510" s="268"/>
      <c r="G510" s="268"/>
      <c r="H510" s="389"/>
      <c r="I510" s="389"/>
      <c r="J510" s="389"/>
      <c r="K510" s="268"/>
      <c r="L510" s="268"/>
      <c r="M510" s="268"/>
      <c r="N510" s="310"/>
      <c r="O510" s="268"/>
      <c r="P510" s="309"/>
      <c r="Q510" s="381"/>
      <c r="R510" s="268"/>
      <c r="S510" s="313"/>
      <c r="T510" s="313"/>
      <c r="U510" s="268"/>
      <c r="V510" s="268"/>
      <c r="W510" s="268"/>
      <c r="X510" s="268"/>
      <c r="Y510" s="268"/>
      <c r="Z510" s="268"/>
    </row>
    <row r="511" spans="1:26" ht="24.75" customHeight="1">
      <c r="A511" s="268"/>
      <c r="B511" s="268"/>
      <c r="C511" s="268"/>
      <c r="D511" s="268"/>
      <c r="E511" s="268"/>
      <c r="F511" s="268"/>
      <c r="G511" s="268"/>
      <c r="H511" s="389"/>
      <c r="I511" s="389"/>
      <c r="J511" s="389"/>
      <c r="K511" s="268"/>
      <c r="L511" s="268"/>
      <c r="M511" s="268"/>
      <c r="N511" s="310"/>
      <c r="O511" s="268"/>
      <c r="P511" s="309"/>
      <c r="Q511" s="381"/>
      <c r="R511" s="268"/>
      <c r="S511" s="313"/>
      <c r="T511" s="313"/>
      <c r="U511" s="268"/>
      <c r="V511" s="268"/>
      <c r="W511" s="268"/>
      <c r="X511" s="268"/>
      <c r="Y511" s="268"/>
      <c r="Z511" s="268"/>
    </row>
    <row r="512" spans="1:26" ht="24.75" customHeight="1">
      <c r="A512" s="268"/>
      <c r="B512" s="268"/>
      <c r="C512" s="268"/>
      <c r="D512" s="268"/>
      <c r="E512" s="268"/>
      <c r="F512" s="268"/>
      <c r="G512" s="268"/>
      <c r="H512" s="389"/>
      <c r="I512" s="389"/>
      <c r="J512" s="389"/>
      <c r="K512" s="268"/>
      <c r="L512" s="268"/>
      <c r="M512" s="268"/>
      <c r="N512" s="310"/>
      <c r="O512" s="268"/>
      <c r="P512" s="309"/>
      <c r="Q512" s="381"/>
      <c r="R512" s="268"/>
      <c r="S512" s="313"/>
      <c r="T512" s="313"/>
      <c r="U512" s="268"/>
      <c r="V512" s="268"/>
      <c r="W512" s="268"/>
      <c r="X512" s="268"/>
      <c r="Y512" s="268"/>
      <c r="Z512" s="268"/>
    </row>
    <row r="513" spans="1:26" ht="24.75" customHeight="1">
      <c r="A513" s="268"/>
      <c r="B513" s="268"/>
      <c r="C513" s="268"/>
      <c r="D513" s="268"/>
      <c r="E513" s="268"/>
      <c r="F513" s="268"/>
      <c r="G513" s="268"/>
      <c r="H513" s="389"/>
      <c r="I513" s="389"/>
      <c r="J513" s="389"/>
      <c r="K513" s="268"/>
      <c r="L513" s="268"/>
      <c r="M513" s="268"/>
      <c r="N513" s="310"/>
      <c r="O513" s="268"/>
      <c r="P513" s="309"/>
      <c r="Q513" s="381"/>
      <c r="R513" s="268"/>
      <c r="S513" s="313"/>
      <c r="T513" s="313"/>
      <c r="U513" s="268"/>
      <c r="V513" s="268"/>
      <c r="W513" s="268"/>
      <c r="X513" s="268"/>
      <c r="Y513" s="268"/>
      <c r="Z513" s="268"/>
    </row>
    <row r="514" spans="1:26" ht="24.75" customHeight="1">
      <c r="A514" s="268"/>
      <c r="B514" s="268"/>
      <c r="C514" s="268"/>
      <c r="D514" s="268"/>
      <c r="E514" s="268"/>
      <c r="F514" s="268"/>
      <c r="G514" s="268"/>
      <c r="H514" s="389"/>
      <c r="I514" s="389"/>
      <c r="J514" s="389"/>
      <c r="K514" s="268"/>
      <c r="L514" s="268"/>
      <c r="M514" s="268"/>
      <c r="N514" s="310"/>
      <c r="O514" s="268"/>
      <c r="P514" s="309"/>
      <c r="Q514" s="381"/>
      <c r="R514" s="268"/>
      <c r="S514" s="313"/>
      <c r="T514" s="313"/>
      <c r="U514" s="268"/>
      <c r="V514" s="268"/>
      <c r="W514" s="268"/>
      <c r="X514" s="268"/>
      <c r="Y514" s="268"/>
      <c r="Z514" s="268"/>
    </row>
    <row r="515" spans="1:26" ht="24.75" customHeight="1">
      <c r="A515" s="268"/>
      <c r="B515" s="268"/>
      <c r="C515" s="268"/>
      <c r="D515" s="268"/>
      <c r="E515" s="268"/>
      <c r="F515" s="268"/>
      <c r="G515" s="268"/>
      <c r="H515" s="389"/>
      <c r="I515" s="389"/>
      <c r="J515" s="389"/>
      <c r="K515" s="268"/>
      <c r="L515" s="268"/>
      <c r="M515" s="268"/>
      <c r="N515" s="310"/>
      <c r="O515" s="268"/>
      <c r="P515" s="309"/>
      <c r="Q515" s="381"/>
      <c r="R515" s="268"/>
      <c r="S515" s="313"/>
      <c r="T515" s="313"/>
      <c r="U515" s="268"/>
      <c r="V515" s="268"/>
      <c r="W515" s="268"/>
      <c r="X515" s="268"/>
      <c r="Y515" s="268"/>
      <c r="Z515" s="268"/>
    </row>
    <row r="516" spans="1:26" ht="24.75" customHeight="1">
      <c r="A516" s="268"/>
      <c r="B516" s="268"/>
      <c r="C516" s="268"/>
      <c r="D516" s="268"/>
      <c r="E516" s="268"/>
      <c r="F516" s="268"/>
      <c r="G516" s="268"/>
      <c r="H516" s="389"/>
      <c r="I516" s="389"/>
      <c r="J516" s="389"/>
      <c r="K516" s="268"/>
      <c r="L516" s="268"/>
      <c r="M516" s="268"/>
      <c r="N516" s="310"/>
      <c r="O516" s="268"/>
      <c r="P516" s="309"/>
      <c r="Q516" s="381"/>
      <c r="R516" s="268"/>
      <c r="S516" s="313"/>
      <c r="T516" s="313"/>
      <c r="U516" s="268"/>
      <c r="V516" s="268"/>
      <c r="W516" s="268"/>
      <c r="X516" s="268"/>
      <c r="Y516" s="268"/>
      <c r="Z516" s="268"/>
    </row>
    <row r="517" spans="1:26" ht="24.75" customHeight="1">
      <c r="A517" s="268"/>
      <c r="B517" s="268"/>
      <c r="C517" s="268"/>
      <c r="D517" s="268"/>
      <c r="E517" s="268"/>
      <c r="F517" s="268"/>
      <c r="G517" s="268"/>
      <c r="H517" s="389"/>
      <c r="I517" s="389"/>
      <c r="J517" s="389"/>
      <c r="K517" s="268"/>
      <c r="L517" s="268"/>
      <c r="M517" s="268"/>
      <c r="N517" s="310"/>
      <c r="O517" s="268"/>
      <c r="P517" s="309"/>
      <c r="Q517" s="381"/>
      <c r="R517" s="268"/>
      <c r="S517" s="313"/>
      <c r="T517" s="313"/>
      <c r="U517" s="268"/>
      <c r="V517" s="268"/>
      <c r="W517" s="268"/>
      <c r="X517" s="268"/>
      <c r="Y517" s="268"/>
      <c r="Z517" s="268"/>
    </row>
    <row r="518" spans="1:26" ht="24.75" customHeight="1">
      <c r="A518" s="268"/>
      <c r="B518" s="268"/>
      <c r="C518" s="268"/>
      <c r="D518" s="268"/>
      <c r="E518" s="268"/>
      <c r="F518" s="268"/>
      <c r="G518" s="268"/>
      <c r="H518" s="389"/>
      <c r="I518" s="389"/>
      <c r="J518" s="389"/>
      <c r="K518" s="268"/>
      <c r="L518" s="268"/>
      <c r="M518" s="268"/>
      <c r="N518" s="310"/>
      <c r="O518" s="268"/>
      <c r="P518" s="309"/>
      <c r="Q518" s="381"/>
      <c r="R518" s="268"/>
      <c r="S518" s="313"/>
      <c r="T518" s="313"/>
      <c r="U518" s="268"/>
      <c r="V518" s="268"/>
      <c r="W518" s="268"/>
      <c r="X518" s="268"/>
      <c r="Y518" s="268"/>
      <c r="Z518" s="268"/>
    </row>
    <row r="519" spans="1:26" ht="24.75" customHeight="1">
      <c r="A519" s="268"/>
      <c r="B519" s="268"/>
      <c r="C519" s="268"/>
      <c r="D519" s="268"/>
      <c r="E519" s="268"/>
      <c r="F519" s="268"/>
      <c r="G519" s="268"/>
      <c r="H519" s="389"/>
      <c r="I519" s="389"/>
      <c r="J519" s="389"/>
      <c r="K519" s="268"/>
      <c r="L519" s="268"/>
      <c r="M519" s="268"/>
      <c r="N519" s="310"/>
      <c r="O519" s="268"/>
      <c r="P519" s="309"/>
      <c r="Q519" s="381"/>
      <c r="R519" s="268"/>
      <c r="S519" s="313"/>
      <c r="T519" s="313"/>
      <c r="U519" s="268"/>
      <c r="V519" s="268"/>
      <c r="W519" s="268"/>
      <c r="X519" s="268"/>
      <c r="Y519" s="268"/>
      <c r="Z519" s="268"/>
    </row>
    <row r="520" spans="1:26" ht="24.75" customHeight="1">
      <c r="A520" s="268"/>
      <c r="B520" s="268"/>
      <c r="C520" s="268"/>
      <c r="D520" s="268"/>
      <c r="E520" s="268"/>
      <c r="F520" s="268"/>
      <c r="G520" s="268"/>
      <c r="H520" s="389"/>
      <c r="I520" s="389"/>
      <c r="J520" s="389"/>
      <c r="K520" s="268"/>
      <c r="L520" s="268"/>
      <c r="M520" s="268"/>
      <c r="N520" s="310"/>
      <c r="O520" s="268"/>
      <c r="P520" s="309"/>
      <c r="Q520" s="381"/>
      <c r="R520" s="268"/>
      <c r="S520" s="313"/>
      <c r="T520" s="313"/>
      <c r="U520" s="268"/>
      <c r="V520" s="268"/>
      <c r="W520" s="268"/>
      <c r="X520" s="268"/>
      <c r="Y520" s="268"/>
      <c r="Z520" s="268"/>
    </row>
    <row r="521" spans="1:26" ht="24.75" customHeight="1">
      <c r="A521" s="268"/>
      <c r="B521" s="268"/>
      <c r="C521" s="268"/>
      <c r="D521" s="268"/>
      <c r="E521" s="268"/>
      <c r="F521" s="268"/>
      <c r="G521" s="268"/>
      <c r="H521" s="389"/>
      <c r="I521" s="389"/>
      <c r="J521" s="389"/>
      <c r="K521" s="268"/>
      <c r="L521" s="268"/>
      <c r="M521" s="268"/>
      <c r="N521" s="310"/>
      <c r="O521" s="268"/>
      <c r="P521" s="309"/>
      <c r="Q521" s="381"/>
      <c r="R521" s="268"/>
      <c r="S521" s="313"/>
      <c r="T521" s="313"/>
      <c r="U521" s="268"/>
      <c r="V521" s="268"/>
      <c r="W521" s="268"/>
      <c r="X521" s="268"/>
      <c r="Y521" s="268"/>
      <c r="Z521" s="268"/>
    </row>
    <row r="522" spans="1:26" ht="24.75" customHeight="1">
      <c r="A522" s="268"/>
      <c r="B522" s="268"/>
      <c r="C522" s="268"/>
      <c r="D522" s="268"/>
      <c r="E522" s="268"/>
      <c r="F522" s="268"/>
      <c r="G522" s="268"/>
      <c r="H522" s="389"/>
      <c r="I522" s="389"/>
      <c r="J522" s="389"/>
      <c r="K522" s="268"/>
      <c r="L522" s="268"/>
      <c r="M522" s="268"/>
      <c r="N522" s="310"/>
      <c r="O522" s="268"/>
      <c r="P522" s="309"/>
      <c r="Q522" s="381"/>
      <c r="R522" s="268"/>
      <c r="S522" s="313"/>
      <c r="T522" s="313"/>
      <c r="U522" s="268"/>
      <c r="V522" s="268"/>
      <c r="W522" s="268"/>
      <c r="X522" s="268"/>
      <c r="Y522" s="268"/>
      <c r="Z522" s="268"/>
    </row>
    <row r="523" spans="1:26" ht="24.75" customHeight="1">
      <c r="A523" s="268"/>
      <c r="B523" s="268"/>
      <c r="C523" s="268"/>
      <c r="D523" s="268"/>
      <c r="E523" s="268"/>
      <c r="F523" s="268"/>
      <c r="G523" s="268"/>
      <c r="H523" s="389"/>
      <c r="I523" s="389"/>
      <c r="J523" s="389"/>
      <c r="K523" s="268"/>
      <c r="L523" s="268"/>
      <c r="M523" s="268"/>
      <c r="N523" s="310"/>
      <c r="O523" s="268"/>
      <c r="P523" s="309"/>
      <c r="Q523" s="381"/>
      <c r="R523" s="268"/>
      <c r="S523" s="313"/>
      <c r="T523" s="313"/>
      <c r="U523" s="268"/>
      <c r="V523" s="268"/>
      <c r="W523" s="268"/>
      <c r="X523" s="268"/>
      <c r="Y523" s="268"/>
      <c r="Z523" s="268"/>
    </row>
    <row r="524" spans="1:26" ht="24.75" customHeight="1">
      <c r="A524" s="268"/>
      <c r="B524" s="268"/>
      <c r="C524" s="268"/>
      <c r="D524" s="268"/>
      <c r="E524" s="268"/>
      <c r="F524" s="268"/>
      <c r="G524" s="268"/>
      <c r="H524" s="389"/>
      <c r="I524" s="389"/>
      <c r="J524" s="389"/>
      <c r="K524" s="268"/>
      <c r="L524" s="268"/>
      <c r="M524" s="268"/>
      <c r="N524" s="310"/>
      <c r="O524" s="268"/>
      <c r="P524" s="309"/>
      <c r="Q524" s="381"/>
      <c r="R524" s="268"/>
      <c r="S524" s="313"/>
      <c r="T524" s="313"/>
      <c r="U524" s="268"/>
      <c r="V524" s="268"/>
      <c r="W524" s="268"/>
      <c r="X524" s="268"/>
      <c r="Y524" s="268"/>
      <c r="Z524" s="268"/>
    </row>
    <row r="525" spans="1:26" ht="24.75" customHeight="1">
      <c r="A525" s="268"/>
      <c r="B525" s="268"/>
      <c r="C525" s="268"/>
      <c r="D525" s="268"/>
      <c r="E525" s="268"/>
      <c r="F525" s="268"/>
      <c r="G525" s="268"/>
      <c r="H525" s="389"/>
      <c r="I525" s="389"/>
      <c r="J525" s="389"/>
      <c r="K525" s="268"/>
      <c r="L525" s="268"/>
      <c r="M525" s="268"/>
      <c r="N525" s="310"/>
      <c r="O525" s="268"/>
      <c r="P525" s="309"/>
      <c r="Q525" s="381"/>
      <c r="R525" s="268"/>
      <c r="S525" s="313"/>
      <c r="T525" s="313"/>
      <c r="U525" s="268"/>
      <c r="V525" s="268"/>
      <c r="W525" s="268"/>
      <c r="X525" s="268"/>
      <c r="Y525" s="268"/>
      <c r="Z525" s="268"/>
    </row>
    <row r="526" spans="1:26" ht="24.75" customHeight="1">
      <c r="A526" s="268"/>
      <c r="B526" s="268"/>
      <c r="C526" s="268"/>
      <c r="D526" s="268"/>
      <c r="E526" s="268"/>
      <c r="F526" s="268"/>
      <c r="G526" s="268"/>
      <c r="H526" s="389"/>
      <c r="I526" s="389"/>
      <c r="J526" s="389"/>
      <c r="K526" s="268"/>
      <c r="L526" s="268"/>
      <c r="M526" s="268"/>
      <c r="N526" s="310"/>
      <c r="O526" s="268"/>
      <c r="P526" s="309"/>
      <c r="Q526" s="381"/>
      <c r="R526" s="268"/>
      <c r="S526" s="313"/>
      <c r="T526" s="313"/>
      <c r="U526" s="268"/>
      <c r="V526" s="268"/>
      <c r="W526" s="268"/>
      <c r="X526" s="268"/>
      <c r="Y526" s="268"/>
      <c r="Z526" s="268"/>
    </row>
    <row r="527" spans="1:26" ht="24.75" customHeight="1">
      <c r="A527" s="268"/>
      <c r="B527" s="268"/>
      <c r="C527" s="268"/>
      <c r="D527" s="268"/>
      <c r="E527" s="268"/>
      <c r="F527" s="268"/>
      <c r="G527" s="268"/>
      <c r="H527" s="389"/>
      <c r="I527" s="389"/>
      <c r="J527" s="389"/>
      <c r="K527" s="268"/>
      <c r="L527" s="268"/>
      <c r="M527" s="268"/>
      <c r="N527" s="310"/>
      <c r="O527" s="268"/>
      <c r="P527" s="309"/>
      <c r="Q527" s="381"/>
      <c r="R527" s="268"/>
      <c r="S527" s="313"/>
      <c r="T527" s="313"/>
      <c r="U527" s="268"/>
      <c r="V527" s="268"/>
      <c r="W527" s="268"/>
      <c r="X527" s="268"/>
      <c r="Y527" s="268"/>
      <c r="Z527" s="268"/>
    </row>
    <row r="528" spans="1:26" ht="24.75" customHeight="1">
      <c r="A528" s="268"/>
      <c r="B528" s="268"/>
      <c r="C528" s="268"/>
      <c r="D528" s="268"/>
      <c r="E528" s="268"/>
      <c r="F528" s="268"/>
      <c r="G528" s="268"/>
      <c r="H528" s="389"/>
      <c r="I528" s="389"/>
      <c r="J528" s="389"/>
      <c r="K528" s="268"/>
      <c r="L528" s="268"/>
      <c r="M528" s="268"/>
      <c r="N528" s="310"/>
      <c r="O528" s="268"/>
      <c r="P528" s="309"/>
      <c r="Q528" s="381"/>
      <c r="R528" s="268"/>
      <c r="S528" s="313"/>
      <c r="T528" s="313"/>
      <c r="U528" s="268"/>
      <c r="V528" s="268"/>
      <c r="W528" s="268"/>
      <c r="X528" s="268"/>
      <c r="Y528" s="268"/>
      <c r="Z528" s="268"/>
    </row>
    <row r="529" spans="1:26" ht="24.75" customHeight="1">
      <c r="A529" s="268"/>
      <c r="B529" s="268"/>
      <c r="C529" s="268"/>
      <c r="D529" s="268"/>
      <c r="E529" s="268"/>
      <c r="F529" s="268"/>
      <c r="G529" s="268"/>
      <c r="H529" s="389"/>
      <c r="I529" s="389"/>
      <c r="J529" s="389"/>
      <c r="K529" s="268"/>
      <c r="L529" s="268"/>
      <c r="M529" s="268"/>
      <c r="N529" s="310"/>
      <c r="O529" s="268"/>
      <c r="P529" s="309"/>
      <c r="Q529" s="381"/>
      <c r="R529" s="268"/>
      <c r="S529" s="313"/>
      <c r="T529" s="313"/>
      <c r="U529" s="268"/>
      <c r="V529" s="268"/>
      <c r="W529" s="268"/>
      <c r="X529" s="268"/>
      <c r="Y529" s="268"/>
      <c r="Z529" s="268"/>
    </row>
    <row r="530" spans="1:26" ht="24.75" customHeight="1">
      <c r="A530" s="268"/>
      <c r="B530" s="268"/>
      <c r="C530" s="268"/>
      <c r="D530" s="268"/>
      <c r="E530" s="268"/>
      <c r="F530" s="268"/>
      <c r="G530" s="268"/>
      <c r="H530" s="389"/>
      <c r="I530" s="389"/>
      <c r="J530" s="389"/>
      <c r="K530" s="268"/>
      <c r="L530" s="268"/>
      <c r="M530" s="268"/>
      <c r="N530" s="310"/>
      <c r="O530" s="268"/>
      <c r="P530" s="309"/>
      <c r="Q530" s="381"/>
      <c r="R530" s="268"/>
      <c r="S530" s="313"/>
      <c r="T530" s="313"/>
      <c r="U530" s="268"/>
      <c r="V530" s="268"/>
      <c r="W530" s="268"/>
      <c r="X530" s="268"/>
      <c r="Y530" s="268"/>
      <c r="Z530" s="268"/>
    </row>
    <row r="531" spans="1:26" ht="24.75" customHeight="1">
      <c r="A531" s="268"/>
      <c r="B531" s="268"/>
      <c r="C531" s="268"/>
      <c r="D531" s="268"/>
      <c r="E531" s="268"/>
      <c r="F531" s="268"/>
      <c r="G531" s="268"/>
      <c r="H531" s="389"/>
      <c r="I531" s="389"/>
      <c r="J531" s="389"/>
      <c r="K531" s="268"/>
      <c r="L531" s="268"/>
      <c r="M531" s="268"/>
      <c r="N531" s="310"/>
      <c r="O531" s="268"/>
      <c r="P531" s="309"/>
      <c r="Q531" s="381"/>
      <c r="R531" s="268"/>
      <c r="S531" s="313"/>
      <c r="T531" s="313"/>
      <c r="U531" s="268"/>
      <c r="V531" s="268"/>
      <c r="W531" s="268"/>
      <c r="X531" s="268"/>
      <c r="Y531" s="268"/>
      <c r="Z531" s="268"/>
    </row>
    <row r="532" spans="1:26" ht="24.75" customHeight="1">
      <c r="A532" s="268"/>
      <c r="B532" s="268"/>
      <c r="C532" s="268"/>
      <c r="D532" s="268"/>
      <c r="E532" s="268"/>
      <c r="F532" s="268"/>
      <c r="G532" s="268"/>
      <c r="H532" s="389"/>
      <c r="I532" s="389"/>
      <c r="J532" s="389"/>
      <c r="K532" s="268"/>
      <c r="L532" s="268"/>
      <c r="M532" s="268"/>
      <c r="N532" s="310"/>
      <c r="O532" s="268"/>
      <c r="P532" s="309"/>
      <c r="Q532" s="381"/>
      <c r="R532" s="268"/>
      <c r="S532" s="313"/>
      <c r="T532" s="313"/>
      <c r="U532" s="268"/>
      <c r="V532" s="268"/>
      <c r="W532" s="268"/>
      <c r="X532" s="268"/>
      <c r="Y532" s="268"/>
      <c r="Z532" s="268"/>
    </row>
    <row r="533" spans="1:26" ht="24.75" customHeight="1">
      <c r="A533" s="268"/>
      <c r="B533" s="268"/>
      <c r="C533" s="268"/>
      <c r="D533" s="268"/>
      <c r="E533" s="268"/>
      <c r="F533" s="268"/>
      <c r="G533" s="268"/>
      <c r="H533" s="389"/>
      <c r="I533" s="389"/>
      <c r="J533" s="389"/>
      <c r="K533" s="268"/>
      <c r="L533" s="268"/>
      <c r="M533" s="268"/>
      <c r="N533" s="310"/>
      <c r="O533" s="268"/>
      <c r="P533" s="309"/>
      <c r="Q533" s="381"/>
      <c r="R533" s="268"/>
      <c r="S533" s="313"/>
      <c r="T533" s="313"/>
      <c r="U533" s="268"/>
      <c r="V533" s="268"/>
      <c r="W533" s="268"/>
      <c r="X533" s="268"/>
      <c r="Y533" s="268"/>
      <c r="Z533" s="268"/>
    </row>
    <row r="534" spans="1:26" ht="24.75" customHeight="1">
      <c r="A534" s="268"/>
      <c r="B534" s="268"/>
      <c r="C534" s="268"/>
      <c r="D534" s="268"/>
      <c r="E534" s="268"/>
      <c r="F534" s="268"/>
      <c r="G534" s="268"/>
      <c r="H534" s="389"/>
      <c r="I534" s="389"/>
      <c r="J534" s="389"/>
      <c r="K534" s="268"/>
      <c r="L534" s="268"/>
      <c r="M534" s="268"/>
      <c r="N534" s="310"/>
      <c r="O534" s="268"/>
      <c r="P534" s="309"/>
      <c r="Q534" s="381"/>
      <c r="R534" s="268"/>
      <c r="S534" s="313"/>
      <c r="T534" s="313"/>
      <c r="U534" s="268"/>
      <c r="V534" s="268"/>
      <c r="W534" s="268"/>
      <c r="X534" s="268"/>
      <c r="Y534" s="268"/>
      <c r="Z534" s="268"/>
    </row>
    <row r="535" spans="1:26" ht="24.75" customHeight="1">
      <c r="A535" s="268"/>
      <c r="B535" s="268"/>
      <c r="C535" s="268"/>
      <c r="D535" s="268"/>
      <c r="E535" s="268"/>
      <c r="F535" s="268"/>
      <c r="G535" s="268"/>
      <c r="H535" s="389"/>
      <c r="I535" s="389"/>
      <c r="J535" s="389"/>
      <c r="K535" s="268"/>
      <c r="L535" s="268"/>
      <c r="M535" s="268"/>
      <c r="N535" s="310"/>
      <c r="O535" s="268"/>
      <c r="P535" s="309"/>
      <c r="Q535" s="381"/>
      <c r="R535" s="268"/>
      <c r="S535" s="313"/>
      <c r="T535" s="313"/>
      <c r="U535" s="268"/>
      <c r="V535" s="268"/>
      <c r="W535" s="268"/>
      <c r="X535" s="268"/>
      <c r="Y535" s="268"/>
      <c r="Z535" s="268"/>
    </row>
    <row r="536" spans="1:26" ht="24.75" customHeight="1">
      <c r="A536" s="268"/>
      <c r="B536" s="268"/>
      <c r="C536" s="268"/>
      <c r="D536" s="268"/>
      <c r="E536" s="268"/>
      <c r="F536" s="268"/>
      <c r="G536" s="268"/>
      <c r="H536" s="389"/>
      <c r="I536" s="389"/>
      <c r="J536" s="389"/>
      <c r="K536" s="268"/>
      <c r="L536" s="268"/>
      <c r="M536" s="268"/>
      <c r="N536" s="310"/>
      <c r="O536" s="268"/>
      <c r="P536" s="309"/>
      <c r="Q536" s="381"/>
      <c r="R536" s="268"/>
      <c r="S536" s="313"/>
      <c r="T536" s="313"/>
      <c r="U536" s="268"/>
      <c r="V536" s="268"/>
      <c r="W536" s="268"/>
      <c r="X536" s="268"/>
      <c r="Y536" s="268"/>
      <c r="Z536" s="268"/>
    </row>
    <row r="537" spans="1:26" ht="24.75" customHeight="1">
      <c r="A537" s="268"/>
      <c r="B537" s="268"/>
      <c r="C537" s="268"/>
      <c r="D537" s="268"/>
      <c r="E537" s="268"/>
      <c r="F537" s="268"/>
      <c r="G537" s="268"/>
      <c r="H537" s="389"/>
      <c r="I537" s="389"/>
      <c r="J537" s="389"/>
      <c r="K537" s="268"/>
      <c r="L537" s="268"/>
      <c r="M537" s="268"/>
      <c r="N537" s="310"/>
      <c r="O537" s="268"/>
      <c r="P537" s="309"/>
      <c r="Q537" s="381"/>
      <c r="R537" s="268"/>
      <c r="S537" s="313"/>
      <c r="T537" s="313"/>
      <c r="U537" s="268"/>
      <c r="V537" s="268"/>
      <c r="W537" s="268"/>
      <c r="X537" s="268"/>
      <c r="Y537" s="268"/>
      <c r="Z537" s="268"/>
    </row>
    <row r="538" spans="1:26" ht="24.75" customHeight="1">
      <c r="A538" s="268"/>
      <c r="B538" s="268"/>
      <c r="C538" s="268"/>
      <c r="D538" s="268"/>
      <c r="E538" s="268"/>
      <c r="F538" s="268"/>
      <c r="G538" s="268"/>
      <c r="H538" s="389"/>
      <c r="I538" s="389"/>
      <c r="J538" s="389"/>
      <c r="K538" s="268"/>
      <c r="L538" s="268"/>
      <c r="M538" s="268"/>
      <c r="N538" s="310"/>
      <c r="O538" s="268"/>
      <c r="P538" s="309"/>
      <c r="Q538" s="381"/>
      <c r="R538" s="268"/>
      <c r="S538" s="313"/>
      <c r="T538" s="313"/>
      <c r="U538" s="268"/>
      <c r="V538" s="268"/>
      <c r="W538" s="268"/>
      <c r="X538" s="268"/>
      <c r="Y538" s="268"/>
      <c r="Z538" s="268"/>
    </row>
    <row r="539" spans="1:26" ht="24.75" customHeight="1">
      <c r="A539" s="268"/>
      <c r="B539" s="268"/>
      <c r="C539" s="268"/>
      <c r="D539" s="268"/>
      <c r="E539" s="268"/>
      <c r="F539" s="268"/>
      <c r="G539" s="268"/>
      <c r="H539" s="389"/>
      <c r="I539" s="389"/>
      <c r="J539" s="389"/>
      <c r="K539" s="268"/>
      <c r="L539" s="268"/>
      <c r="M539" s="268"/>
      <c r="N539" s="310"/>
      <c r="O539" s="268"/>
      <c r="P539" s="309"/>
      <c r="Q539" s="381"/>
      <c r="R539" s="268"/>
      <c r="S539" s="313"/>
      <c r="T539" s="313"/>
      <c r="U539" s="268"/>
      <c r="V539" s="268"/>
      <c r="W539" s="268"/>
      <c r="X539" s="268"/>
      <c r="Y539" s="268"/>
      <c r="Z539" s="268"/>
    </row>
    <row r="540" spans="1:26" ht="24.75" customHeight="1">
      <c r="A540" s="268"/>
      <c r="B540" s="268"/>
      <c r="C540" s="268"/>
      <c r="D540" s="268"/>
      <c r="E540" s="268"/>
      <c r="F540" s="268"/>
      <c r="G540" s="268"/>
      <c r="H540" s="389"/>
      <c r="I540" s="389"/>
      <c r="J540" s="389"/>
      <c r="K540" s="268"/>
      <c r="L540" s="268"/>
      <c r="M540" s="268"/>
      <c r="N540" s="310"/>
      <c r="O540" s="268"/>
      <c r="P540" s="309"/>
      <c r="Q540" s="381"/>
      <c r="R540" s="268"/>
      <c r="S540" s="313"/>
      <c r="T540" s="313"/>
      <c r="U540" s="268"/>
      <c r="V540" s="268"/>
      <c r="W540" s="268"/>
      <c r="X540" s="268"/>
      <c r="Y540" s="268"/>
      <c r="Z540" s="268"/>
    </row>
    <row r="541" spans="1:26" ht="24.75" customHeight="1">
      <c r="A541" s="268"/>
      <c r="B541" s="268"/>
      <c r="C541" s="268"/>
      <c r="D541" s="268"/>
      <c r="E541" s="268"/>
      <c r="F541" s="268"/>
      <c r="G541" s="268"/>
      <c r="H541" s="389"/>
      <c r="I541" s="389"/>
      <c r="J541" s="389"/>
      <c r="K541" s="268"/>
      <c r="L541" s="268"/>
      <c r="M541" s="268"/>
      <c r="N541" s="310"/>
      <c r="O541" s="268"/>
      <c r="P541" s="309"/>
      <c r="Q541" s="381"/>
      <c r="R541" s="268"/>
      <c r="S541" s="313"/>
      <c r="T541" s="313"/>
      <c r="U541" s="268"/>
      <c r="V541" s="268"/>
      <c r="W541" s="268"/>
      <c r="X541" s="268"/>
      <c r="Y541" s="268"/>
      <c r="Z541" s="268"/>
    </row>
    <row r="542" spans="1:26" ht="24.75" customHeight="1">
      <c r="A542" s="268"/>
      <c r="B542" s="268"/>
      <c r="C542" s="268"/>
      <c r="D542" s="268"/>
      <c r="E542" s="268"/>
      <c r="F542" s="268"/>
      <c r="G542" s="268"/>
      <c r="H542" s="389"/>
      <c r="I542" s="389"/>
      <c r="J542" s="389"/>
      <c r="K542" s="268"/>
      <c r="L542" s="268"/>
      <c r="M542" s="268"/>
      <c r="N542" s="310"/>
      <c r="O542" s="268"/>
      <c r="P542" s="309"/>
      <c r="Q542" s="381"/>
      <c r="R542" s="268"/>
      <c r="S542" s="313"/>
      <c r="T542" s="313"/>
      <c r="U542" s="268"/>
      <c r="V542" s="268"/>
      <c r="W542" s="268"/>
      <c r="X542" s="268"/>
      <c r="Y542" s="268"/>
      <c r="Z542" s="268"/>
    </row>
    <row r="543" spans="1:26" ht="24.75" customHeight="1">
      <c r="A543" s="268"/>
      <c r="B543" s="268"/>
      <c r="C543" s="268"/>
      <c r="D543" s="268"/>
      <c r="E543" s="268"/>
      <c r="F543" s="268"/>
      <c r="G543" s="268"/>
      <c r="H543" s="389"/>
      <c r="I543" s="389"/>
      <c r="J543" s="389"/>
      <c r="K543" s="268"/>
      <c r="L543" s="268"/>
      <c r="M543" s="268"/>
      <c r="N543" s="310"/>
      <c r="O543" s="268"/>
      <c r="P543" s="309"/>
      <c r="Q543" s="381"/>
      <c r="R543" s="268"/>
      <c r="S543" s="313"/>
      <c r="T543" s="313"/>
      <c r="U543" s="268"/>
      <c r="V543" s="268"/>
      <c r="W543" s="268"/>
      <c r="X543" s="268"/>
      <c r="Y543" s="268"/>
      <c r="Z543" s="268"/>
    </row>
    <row r="544" spans="1:26" ht="24.75" customHeight="1">
      <c r="A544" s="268"/>
      <c r="B544" s="268"/>
      <c r="C544" s="268"/>
      <c r="D544" s="268"/>
      <c r="E544" s="268"/>
      <c r="F544" s="268"/>
      <c r="G544" s="268"/>
      <c r="H544" s="389"/>
      <c r="I544" s="389"/>
      <c r="J544" s="389"/>
      <c r="K544" s="268"/>
      <c r="L544" s="268"/>
      <c r="M544" s="268"/>
      <c r="N544" s="310"/>
      <c r="O544" s="268"/>
      <c r="P544" s="309"/>
      <c r="Q544" s="381"/>
      <c r="R544" s="268"/>
      <c r="S544" s="313"/>
      <c r="T544" s="313"/>
      <c r="U544" s="268"/>
      <c r="V544" s="268"/>
      <c r="W544" s="268"/>
      <c r="X544" s="268"/>
      <c r="Y544" s="268"/>
      <c r="Z544" s="268"/>
    </row>
    <row r="545" spans="1:26" ht="24.75" customHeight="1">
      <c r="A545" s="268"/>
      <c r="B545" s="268"/>
      <c r="C545" s="268"/>
      <c r="D545" s="268"/>
      <c r="E545" s="268"/>
      <c r="F545" s="268"/>
      <c r="G545" s="268"/>
      <c r="H545" s="389"/>
      <c r="I545" s="389"/>
      <c r="J545" s="389"/>
      <c r="K545" s="268"/>
      <c r="L545" s="268"/>
      <c r="M545" s="268"/>
      <c r="N545" s="310"/>
      <c r="O545" s="268"/>
      <c r="P545" s="309"/>
      <c r="Q545" s="381"/>
      <c r="R545" s="268"/>
      <c r="S545" s="313"/>
      <c r="T545" s="313"/>
      <c r="U545" s="268"/>
      <c r="V545" s="268"/>
      <c r="W545" s="268"/>
      <c r="X545" s="268"/>
      <c r="Y545" s="268"/>
      <c r="Z545" s="268"/>
    </row>
    <row r="546" spans="1:26" ht="24.75" customHeight="1">
      <c r="A546" s="268"/>
      <c r="B546" s="268"/>
      <c r="C546" s="268"/>
      <c r="D546" s="268"/>
      <c r="E546" s="268"/>
      <c r="F546" s="268"/>
      <c r="G546" s="268"/>
      <c r="H546" s="389"/>
      <c r="I546" s="389"/>
      <c r="J546" s="389"/>
      <c r="K546" s="268"/>
      <c r="L546" s="268"/>
      <c r="M546" s="268"/>
      <c r="N546" s="310"/>
      <c r="O546" s="268"/>
      <c r="P546" s="309"/>
      <c r="Q546" s="381"/>
      <c r="R546" s="268"/>
      <c r="S546" s="313"/>
      <c r="T546" s="313"/>
      <c r="U546" s="268"/>
      <c r="V546" s="268"/>
      <c r="W546" s="268"/>
      <c r="X546" s="268"/>
      <c r="Y546" s="268"/>
      <c r="Z546" s="268"/>
    </row>
    <row r="547" spans="1:26" ht="24.75" customHeight="1">
      <c r="A547" s="268"/>
      <c r="B547" s="268"/>
      <c r="C547" s="268"/>
      <c r="D547" s="268"/>
      <c r="E547" s="268"/>
      <c r="F547" s="268"/>
      <c r="G547" s="268"/>
      <c r="H547" s="389"/>
      <c r="I547" s="389"/>
      <c r="J547" s="389"/>
      <c r="K547" s="268"/>
      <c r="L547" s="268"/>
      <c r="M547" s="268"/>
      <c r="N547" s="310"/>
      <c r="O547" s="268"/>
      <c r="P547" s="309"/>
      <c r="Q547" s="381"/>
      <c r="R547" s="268"/>
      <c r="S547" s="313"/>
      <c r="T547" s="313"/>
      <c r="U547" s="268"/>
      <c r="V547" s="268"/>
      <c r="W547" s="268"/>
      <c r="X547" s="268"/>
      <c r="Y547" s="268"/>
      <c r="Z547" s="268"/>
    </row>
    <row r="548" spans="1:26" ht="24.75" customHeight="1">
      <c r="A548" s="268"/>
      <c r="B548" s="268"/>
      <c r="C548" s="268"/>
      <c r="D548" s="268"/>
      <c r="E548" s="268"/>
      <c r="F548" s="268"/>
      <c r="G548" s="268"/>
      <c r="H548" s="389"/>
      <c r="I548" s="389"/>
      <c r="J548" s="389"/>
      <c r="K548" s="268"/>
      <c r="L548" s="268"/>
      <c r="M548" s="268"/>
      <c r="N548" s="310"/>
      <c r="O548" s="268"/>
      <c r="P548" s="309"/>
      <c r="Q548" s="381"/>
      <c r="R548" s="268"/>
      <c r="S548" s="313"/>
      <c r="T548" s="313"/>
      <c r="U548" s="268"/>
      <c r="V548" s="268"/>
      <c r="W548" s="268"/>
      <c r="X548" s="268"/>
      <c r="Y548" s="268"/>
      <c r="Z548" s="268"/>
    </row>
    <row r="549" spans="1:26" ht="24.75" customHeight="1">
      <c r="A549" s="268"/>
      <c r="B549" s="268"/>
      <c r="C549" s="268"/>
      <c r="D549" s="268"/>
      <c r="E549" s="268"/>
      <c r="F549" s="268"/>
      <c r="G549" s="268"/>
      <c r="H549" s="389"/>
      <c r="I549" s="389"/>
      <c r="J549" s="389"/>
      <c r="K549" s="268"/>
      <c r="L549" s="268"/>
      <c r="M549" s="268"/>
      <c r="N549" s="310"/>
      <c r="O549" s="268"/>
      <c r="P549" s="309"/>
      <c r="Q549" s="381"/>
      <c r="R549" s="268"/>
      <c r="S549" s="313"/>
      <c r="T549" s="313"/>
      <c r="U549" s="268"/>
      <c r="V549" s="268"/>
      <c r="W549" s="268"/>
      <c r="X549" s="268"/>
      <c r="Y549" s="268"/>
      <c r="Z549" s="268"/>
    </row>
    <row r="550" spans="1:26" ht="24.75" customHeight="1">
      <c r="A550" s="268"/>
      <c r="B550" s="268"/>
      <c r="C550" s="268"/>
      <c r="D550" s="268"/>
      <c r="E550" s="268"/>
      <c r="F550" s="268"/>
      <c r="G550" s="268"/>
      <c r="H550" s="389"/>
      <c r="I550" s="389"/>
      <c r="J550" s="389"/>
      <c r="K550" s="268"/>
      <c r="L550" s="268"/>
      <c r="M550" s="268"/>
      <c r="N550" s="310"/>
      <c r="O550" s="268"/>
      <c r="P550" s="309"/>
      <c r="Q550" s="381"/>
      <c r="R550" s="268"/>
      <c r="S550" s="313"/>
      <c r="T550" s="313"/>
      <c r="U550" s="268"/>
      <c r="V550" s="268"/>
      <c r="W550" s="268"/>
      <c r="X550" s="268"/>
      <c r="Y550" s="268"/>
      <c r="Z550" s="268"/>
    </row>
    <row r="551" spans="1:26" ht="24.75" customHeight="1">
      <c r="A551" s="268"/>
      <c r="B551" s="268"/>
      <c r="C551" s="268"/>
      <c r="D551" s="268"/>
      <c r="E551" s="268"/>
      <c r="F551" s="268"/>
      <c r="G551" s="268"/>
      <c r="H551" s="389"/>
      <c r="I551" s="389"/>
      <c r="J551" s="389"/>
      <c r="K551" s="268"/>
      <c r="L551" s="268"/>
      <c r="M551" s="268"/>
      <c r="N551" s="310"/>
      <c r="O551" s="268"/>
      <c r="P551" s="309"/>
      <c r="Q551" s="381"/>
      <c r="R551" s="268"/>
      <c r="S551" s="313"/>
      <c r="T551" s="313"/>
      <c r="U551" s="268"/>
      <c r="V551" s="268"/>
      <c r="W551" s="268"/>
      <c r="X551" s="268"/>
      <c r="Y551" s="268"/>
      <c r="Z551" s="268"/>
    </row>
    <row r="552" spans="1:26" ht="24.75" customHeight="1">
      <c r="A552" s="268"/>
      <c r="B552" s="268"/>
      <c r="C552" s="268"/>
      <c r="D552" s="268"/>
      <c r="E552" s="268"/>
      <c r="F552" s="268"/>
      <c r="G552" s="268"/>
      <c r="H552" s="389"/>
      <c r="I552" s="389"/>
      <c r="J552" s="389"/>
      <c r="K552" s="268"/>
      <c r="L552" s="268"/>
      <c r="M552" s="268"/>
      <c r="N552" s="310"/>
      <c r="O552" s="268"/>
      <c r="P552" s="309"/>
      <c r="Q552" s="381"/>
      <c r="R552" s="268"/>
      <c r="S552" s="313"/>
      <c r="T552" s="313"/>
      <c r="U552" s="268"/>
      <c r="V552" s="268"/>
      <c r="W552" s="268"/>
      <c r="X552" s="268"/>
      <c r="Y552" s="268"/>
      <c r="Z552" s="268"/>
    </row>
    <row r="553" spans="1:26" ht="24.75" customHeight="1">
      <c r="A553" s="268"/>
      <c r="B553" s="268"/>
      <c r="C553" s="268"/>
      <c r="D553" s="268"/>
      <c r="E553" s="268"/>
      <c r="F553" s="268"/>
      <c r="G553" s="268"/>
      <c r="H553" s="389"/>
      <c r="I553" s="389"/>
      <c r="J553" s="389"/>
      <c r="K553" s="268"/>
      <c r="L553" s="268"/>
      <c r="M553" s="268"/>
      <c r="N553" s="310"/>
      <c r="O553" s="268"/>
      <c r="P553" s="309"/>
      <c r="Q553" s="381"/>
      <c r="R553" s="268"/>
      <c r="S553" s="313"/>
      <c r="T553" s="313"/>
      <c r="U553" s="268"/>
      <c r="V553" s="268"/>
      <c r="W553" s="268"/>
      <c r="X553" s="268"/>
      <c r="Y553" s="268"/>
      <c r="Z553" s="268"/>
    </row>
    <row r="554" spans="1:26" ht="24.75" customHeight="1">
      <c r="A554" s="268"/>
      <c r="B554" s="268"/>
      <c r="C554" s="268"/>
      <c r="D554" s="268"/>
      <c r="E554" s="268"/>
      <c r="F554" s="268"/>
      <c r="G554" s="268"/>
      <c r="H554" s="389"/>
      <c r="I554" s="389"/>
      <c r="J554" s="389"/>
      <c r="K554" s="268"/>
      <c r="L554" s="268"/>
      <c r="M554" s="268"/>
      <c r="N554" s="310"/>
      <c r="O554" s="268"/>
      <c r="P554" s="309"/>
      <c r="Q554" s="381"/>
      <c r="R554" s="268"/>
      <c r="S554" s="313"/>
      <c r="T554" s="313"/>
      <c r="U554" s="268"/>
      <c r="V554" s="268"/>
      <c r="W554" s="268"/>
      <c r="X554" s="268"/>
      <c r="Y554" s="268"/>
      <c r="Z554" s="268"/>
    </row>
    <row r="555" spans="1:26" ht="24.75" customHeight="1">
      <c r="A555" s="268"/>
      <c r="B555" s="268"/>
      <c r="C555" s="268"/>
      <c r="D555" s="268"/>
      <c r="E555" s="268"/>
      <c r="F555" s="268"/>
      <c r="G555" s="268"/>
      <c r="H555" s="389"/>
      <c r="I555" s="389"/>
      <c r="J555" s="389"/>
      <c r="K555" s="268"/>
      <c r="L555" s="268"/>
      <c r="M555" s="268"/>
      <c r="N555" s="310"/>
      <c r="O555" s="268"/>
      <c r="P555" s="309"/>
      <c r="Q555" s="381"/>
      <c r="R555" s="268"/>
      <c r="S555" s="313"/>
      <c r="T555" s="313"/>
      <c r="U555" s="268"/>
      <c r="V555" s="268"/>
      <c r="W555" s="268"/>
      <c r="X555" s="268"/>
      <c r="Y555" s="268"/>
      <c r="Z555" s="268"/>
    </row>
    <row r="556" spans="1:26" ht="24.75" customHeight="1">
      <c r="A556" s="268"/>
      <c r="B556" s="268"/>
      <c r="C556" s="268"/>
      <c r="D556" s="268"/>
      <c r="E556" s="268"/>
      <c r="F556" s="268"/>
      <c r="G556" s="268"/>
      <c r="H556" s="389"/>
      <c r="I556" s="389"/>
      <c r="J556" s="389"/>
      <c r="K556" s="268"/>
      <c r="L556" s="268"/>
      <c r="M556" s="268"/>
      <c r="N556" s="310"/>
      <c r="O556" s="268"/>
      <c r="P556" s="309"/>
      <c r="Q556" s="381"/>
      <c r="R556" s="268"/>
      <c r="S556" s="313"/>
      <c r="T556" s="313"/>
      <c r="U556" s="268"/>
      <c r="V556" s="268"/>
      <c r="W556" s="268"/>
      <c r="X556" s="268"/>
      <c r="Y556" s="268"/>
      <c r="Z556" s="268"/>
    </row>
    <row r="557" spans="1:26" ht="24.75" customHeight="1">
      <c r="A557" s="268"/>
      <c r="B557" s="268"/>
      <c r="C557" s="268"/>
      <c r="D557" s="268"/>
      <c r="E557" s="268"/>
      <c r="F557" s="268"/>
      <c r="G557" s="268"/>
      <c r="H557" s="389"/>
      <c r="I557" s="389"/>
      <c r="J557" s="389"/>
      <c r="K557" s="268"/>
      <c r="L557" s="268"/>
      <c r="M557" s="268"/>
      <c r="N557" s="310"/>
      <c r="O557" s="268"/>
      <c r="P557" s="309"/>
      <c r="Q557" s="381"/>
      <c r="R557" s="268"/>
      <c r="S557" s="313"/>
      <c r="T557" s="313"/>
      <c r="U557" s="268"/>
      <c r="V557" s="268"/>
      <c r="W557" s="268"/>
      <c r="X557" s="268"/>
      <c r="Y557" s="268"/>
      <c r="Z557" s="268"/>
    </row>
    <row r="558" spans="1:26" ht="24.75" customHeight="1">
      <c r="A558" s="268"/>
      <c r="B558" s="268"/>
      <c r="C558" s="268"/>
      <c r="D558" s="268"/>
      <c r="E558" s="268"/>
      <c r="F558" s="268"/>
      <c r="G558" s="268"/>
      <c r="H558" s="389"/>
      <c r="I558" s="389"/>
      <c r="J558" s="389"/>
      <c r="K558" s="268"/>
      <c r="L558" s="268"/>
      <c r="M558" s="268"/>
      <c r="N558" s="310"/>
      <c r="O558" s="268"/>
      <c r="P558" s="309"/>
      <c r="Q558" s="381"/>
      <c r="R558" s="268"/>
      <c r="S558" s="313"/>
      <c r="T558" s="313"/>
      <c r="U558" s="268"/>
      <c r="V558" s="268"/>
      <c r="W558" s="268"/>
      <c r="X558" s="268"/>
      <c r="Y558" s="268"/>
      <c r="Z558" s="268"/>
    </row>
    <row r="559" spans="1:26" ht="24.75" customHeight="1">
      <c r="A559" s="268"/>
      <c r="B559" s="268"/>
      <c r="C559" s="268"/>
      <c r="D559" s="268"/>
      <c r="E559" s="268"/>
      <c r="F559" s="268"/>
      <c r="G559" s="268"/>
      <c r="H559" s="389"/>
      <c r="I559" s="389"/>
      <c r="J559" s="389"/>
      <c r="K559" s="268"/>
      <c r="L559" s="268"/>
      <c r="M559" s="268"/>
      <c r="N559" s="310"/>
      <c r="O559" s="268"/>
      <c r="P559" s="309"/>
      <c r="Q559" s="381"/>
      <c r="R559" s="268"/>
      <c r="S559" s="313"/>
      <c r="T559" s="313"/>
      <c r="U559" s="268"/>
      <c r="V559" s="268"/>
      <c r="W559" s="268"/>
      <c r="X559" s="268"/>
      <c r="Y559" s="268"/>
      <c r="Z559" s="268"/>
    </row>
    <row r="560" spans="1:26" ht="24.75" customHeight="1">
      <c r="A560" s="268"/>
      <c r="B560" s="268"/>
      <c r="C560" s="268"/>
      <c r="D560" s="268"/>
      <c r="E560" s="268"/>
      <c r="F560" s="268"/>
      <c r="G560" s="268"/>
      <c r="H560" s="389"/>
      <c r="I560" s="389"/>
      <c r="J560" s="389"/>
      <c r="K560" s="268"/>
      <c r="L560" s="268"/>
      <c r="M560" s="268"/>
      <c r="N560" s="310"/>
      <c r="O560" s="268"/>
      <c r="P560" s="309"/>
      <c r="Q560" s="381"/>
      <c r="R560" s="268"/>
      <c r="S560" s="313"/>
      <c r="T560" s="313"/>
      <c r="U560" s="268"/>
      <c r="V560" s="268"/>
      <c r="W560" s="268"/>
      <c r="X560" s="268"/>
      <c r="Y560" s="268"/>
      <c r="Z560" s="268"/>
    </row>
    <row r="561" spans="1:26" ht="24.75" customHeight="1">
      <c r="A561" s="268"/>
      <c r="B561" s="268"/>
      <c r="C561" s="268"/>
      <c r="D561" s="268"/>
      <c r="E561" s="268"/>
      <c r="F561" s="268"/>
      <c r="G561" s="268"/>
      <c r="H561" s="389"/>
      <c r="I561" s="389"/>
      <c r="J561" s="389"/>
      <c r="K561" s="268"/>
      <c r="L561" s="268"/>
      <c r="M561" s="268"/>
      <c r="N561" s="310"/>
      <c r="O561" s="268"/>
      <c r="P561" s="309"/>
      <c r="Q561" s="381"/>
      <c r="R561" s="268"/>
      <c r="S561" s="313"/>
      <c r="T561" s="313"/>
      <c r="U561" s="268"/>
      <c r="V561" s="268"/>
      <c r="W561" s="268"/>
      <c r="X561" s="268"/>
      <c r="Y561" s="268"/>
      <c r="Z561" s="268"/>
    </row>
    <row r="562" spans="1:26" ht="24.75" customHeight="1">
      <c r="A562" s="268"/>
      <c r="B562" s="268"/>
      <c r="C562" s="268"/>
      <c r="D562" s="268"/>
      <c r="E562" s="268"/>
      <c r="F562" s="268"/>
      <c r="G562" s="268"/>
      <c r="H562" s="389"/>
      <c r="I562" s="389"/>
      <c r="J562" s="389"/>
      <c r="K562" s="268"/>
      <c r="L562" s="268"/>
      <c r="M562" s="268"/>
      <c r="N562" s="310"/>
      <c r="O562" s="268"/>
      <c r="P562" s="309"/>
      <c r="Q562" s="381"/>
      <c r="R562" s="268"/>
      <c r="S562" s="313"/>
      <c r="T562" s="313"/>
      <c r="U562" s="268"/>
      <c r="V562" s="268"/>
      <c r="W562" s="268"/>
      <c r="X562" s="268"/>
      <c r="Y562" s="268"/>
      <c r="Z562" s="268"/>
    </row>
    <row r="563" spans="1:26" ht="24.75" customHeight="1">
      <c r="A563" s="268"/>
      <c r="B563" s="268"/>
      <c r="C563" s="268"/>
      <c r="D563" s="268"/>
      <c r="E563" s="268"/>
      <c r="F563" s="268"/>
      <c r="G563" s="268"/>
      <c r="H563" s="389"/>
      <c r="I563" s="389"/>
      <c r="J563" s="389"/>
      <c r="K563" s="268"/>
      <c r="L563" s="268"/>
      <c r="M563" s="268"/>
      <c r="N563" s="310"/>
      <c r="O563" s="268"/>
      <c r="P563" s="309"/>
      <c r="Q563" s="381"/>
      <c r="R563" s="268"/>
      <c r="S563" s="313"/>
      <c r="T563" s="313"/>
      <c r="U563" s="268"/>
      <c r="V563" s="268"/>
      <c r="W563" s="268"/>
      <c r="X563" s="268"/>
      <c r="Y563" s="268"/>
      <c r="Z563" s="268"/>
    </row>
    <row r="564" spans="1:26" ht="24.75" customHeight="1">
      <c r="A564" s="268"/>
      <c r="B564" s="268"/>
      <c r="C564" s="268"/>
      <c r="D564" s="268"/>
      <c r="E564" s="268"/>
      <c r="F564" s="268"/>
      <c r="G564" s="268"/>
      <c r="H564" s="389"/>
      <c r="I564" s="389"/>
      <c r="J564" s="389"/>
      <c r="K564" s="268"/>
      <c r="L564" s="268"/>
      <c r="M564" s="268"/>
      <c r="N564" s="310"/>
      <c r="O564" s="268"/>
      <c r="P564" s="309"/>
      <c r="Q564" s="381"/>
      <c r="R564" s="268"/>
      <c r="S564" s="313"/>
      <c r="T564" s="313"/>
      <c r="U564" s="268"/>
      <c r="V564" s="268"/>
      <c r="W564" s="268"/>
      <c r="X564" s="268"/>
      <c r="Y564" s="268"/>
      <c r="Z564" s="268"/>
    </row>
    <row r="565" spans="1:26" ht="24.75" customHeight="1">
      <c r="A565" s="268"/>
      <c r="B565" s="268"/>
      <c r="C565" s="268"/>
      <c r="D565" s="268"/>
      <c r="E565" s="268"/>
      <c r="F565" s="268"/>
      <c r="G565" s="268"/>
      <c r="H565" s="389"/>
      <c r="I565" s="389"/>
      <c r="J565" s="389"/>
      <c r="K565" s="268"/>
      <c r="L565" s="268"/>
      <c r="M565" s="268"/>
      <c r="N565" s="310"/>
      <c r="O565" s="268"/>
      <c r="P565" s="309"/>
      <c r="Q565" s="381"/>
      <c r="R565" s="268"/>
      <c r="S565" s="313"/>
      <c r="T565" s="313"/>
      <c r="U565" s="268"/>
      <c r="V565" s="268"/>
      <c r="W565" s="268"/>
      <c r="X565" s="268"/>
      <c r="Y565" s="268"/>
      <c r="Z565" s="268"/>
    </row>
    <row r="566" spans="1:26" ht="24.75" customHeight="1">
      <c r="A566" s="268"/>
      <c r="B566" s="268"/>
      <c r="C566" s="268"/>
      <c r="D566" s="268"/>
      <c r="E566" s="268"/>
      <c r="F566" s="268"/>
      <c r="G566" s="268"/>
      <c r="H566" s="389"/>
      <c r="I566" s="389"/>
      <c r="J566" s="389"/>
      <c r="K566" s="268"/>
      <c r="L566" s="268"/>
      <c r="M566" s="268"/>
      <c r="N566" s="310"/>
      <c r="O566" s="268"/>
      <c r="P566" s="309"/>
      <c r="Q566" s="381"/>
      <c r="R566" s="268"/>
      <c r="S566" s="313"/>
      <c r="T566" s="313"/>
      <c r="U566" s="268"/>
      <c r="V566" s="268"/>
      <c r="W566" s="268"/>
      <c r="X566" s="268"/>
      <c r="Y566" s="268"/>
      <c r="Z566" s="268"/>
    </row>
    <row r="567" spans="1:26" ht="24.75" customHeight="1">
      <c r="A567" s="268"/>
      <c r="B567" s="268"/>
      <c r="C567" s="268"/>
      <c r="D567" s="268"/>
      <c r="E567" s="268"/>
      <c r="F567" s="268"/>
      <c r="G567" s="268"/>
      <c r="H567" s="389"/>
      <c r="I567" s="389"/>
      <c r="J567" s="389"/>
      <c r="K567" s="268"/>
      <c r="L567" s="268"/>
      <c r="M567" s="268"/>
      <c r="N567" s="310"/>
      <c r="O567" s="268"/>
      <c r="P567" s="309"/>
      <c r="Q567" s="381"/>
      <c r="R567" s="268"/>
      <c r="S567" s="313"/>
      <c r="T567" s="313"/>
      <c r="U567" s="268"/>
      <c r="V567" s="268"/>
      <c r="W567" s="268"/>
      <c r="X567" s="268"/>
      <c r="Y567" s="268"/>
      <c r="Z567" s="268"/>
    </row>
    <row r="568" spans="1:26" ht="24.75" customHeight="1">
      <c r="A568" s="268"/>
      <c r="B568" s="268"/>
      <c r="C568" s="268"/>
      <c r="D568" s="268"/>
      <c r="E568" s="268"/>
      <c r="F568" s="268"/>
      <c r="G568" s="268"/>
      <c r="H568" s="389"/>
      <c r="I568" s="389"/>
      <c r="J568" s="389"/>
      <c r="K568" s="268"/>
      <c r="L568" s="268"/>
      <c r="M568" s="268"/>
      <c r="N568" s="310"/>
      <c r="O568" s="268"/>
      <c r="P568" s="309"/>
      <c r="Q568" s="381"/>
      <c r="R568" s="268"/>
      <c r="S568" s="313"/>
      <c r="T568" s="313"/>
      <c r="U568" s="268"/>
      <c r="V568" s="268"/>
      <c r="W568" s="268"/>
      <c r="X568" s="268"/>
      <c r="Y568" s="268"/>
      <c r="Z568" s="268"/>
    </row>
    <row r="569" spans="1:26" ht="24.75" customHeight="1">
      <c r="A569" s="268"/>
      <c r="B569" s="268"/>
      <c r="C569" s="268"/>
      <c r="D569" s="268"/>
      <c r="E569" s="268"/>
      <c r="F569" s="268"/>
      <c r="G569" s="268"/>
      <c r="H569" s="389"/>
      <c r="I569" s="389"/>
      <c r="J569" s="389"/>
      <c r="K569" s="268"/>
      <c r="L569" s="268"/>
      <c r="M569" s="268"/>
      <c r="N569" s="310"/>
      <c r="O569" s="268"/>
      <c r="P569" s="309"/>
      <c r="Q569" s="381"/>
      <c r="R569" s="268"/>
      <c r="S569" s="313"/>
      <c r="T569" s="313"/>
      <c r="U569" s="268"/>
      <c r="V569" s="268"/>
      <c r="W569" s="268"/>
      <c r="X569" s="268"/>
      <c r="Y569" s="268"/>
      <c r="Z569" s="268"/>
    </row>
    <row r="570" spans="1:26" ht="24.75" customHeight="1">
      <c r="A570" s="268"/>
      <c r="B570" s="268"/>
      <c r="C570" s="268"/>
      <c r="D570" s="268"/>
      <c r="E570" s="268"/>
      <c r="F570" s="268"/>
      <c r="G570" s="268"/>
      <c r="H570" s="389"/>
      <c r="I570" s="389"/>
      <c r="J570" s="389"/>
      <c r="K570" s="268"/>
      <c r="L570" s="268"/>
      <c r="M570" s="268"/>
      <c r="N570" s="310"/>
      <c r="O570" s="268"/>
      <c r="P570" s="309"/>
      <c r="Q570" s="381"/>
      <c r="R570" s="268"/>
      <c r="S570" s="313"/>
      <c r="T570" s="313"/>
      <c r="U570" s="268"/>
      <c r="V570" s="268"/>
      <c r="W570" s="268"/>
      <c r="X570" s="268"/>
      <c r="Y570" s="268"/>
      <c r="Z570" s="268"/>
    </row>
    <row r="571" spans="1:26" ht="24.75" customHeight="1">
      <c r="A571" s="268"/>
      <c r="B571" s="268"/>
      <c r="C571" s="268"/>
      <c r="D571" s="268"/>
      <c r="E571" s="268"/>
      <c r="F571" s="268"/>
      <c r="G571" s="268"/>
      <c r="H571" s="389"/>
      <c r="I571" s="389"/>
      <c r="J571" s="389"/>
      <c r="K571" s="268"/>
      <c r="L571" s="268"/>
      <c r="M571" s="268"/>
      <c r="N571" s="310"/>
      <c r="O571" s="268"/>
      <c r="P571" s="309"/>
      <c r="Q571" s="381"/>
      <c r="R571" s="268"/>
      <c r="S571" s="313"/>
      <c r="T571" s="313"/>
      <c r="U571" s="268"/>
      <c r="V571" s="268"/>
      <c r="W571" s="268"/>
      <c r="X571" s="268"/>
      <c r="Y571" s="268"/>
      <c r="Z571" s="268"/>
    </row>
    <row r="572" spans="1:26" ht="24.75" customHeight="1">
      <c r="A572" s="268"/>
      <c r="B572" s="268"/>
      <c r="C572" s="268"/>
      <c r="D572" s="268"/>
      <c r="E572" s="268"/>
      <c r="F572" s="268"/>
      <c r="G572" s="268"/>
      <c r="H572" s="389"/>
      <c r="I572" s="389"/>
      <c r="J572" s="389"/>
      <c r="K572" s="268"/>
      <c r="L572" s="268"/>
      <c r="M572" s="268"/>
      <c r="N572" s="310"/>
      <c r="O572" s="268"/>
      <c r="P572" s="309"/>
      <c r="Q572" s="381"/>
      <c r="R572" s="268"/>
      <c r="S572" s="313"/>
      <c r="T572" s="313"/>
      <c r="U572" s="268"/>
      <c r="V572" s="268"/>
      <c r="W572" s="268"/>
      <c r="X572" s="268"/>
      <c r="Y572" s="268"/>
      <c r="Z572" s="268"/>
    </row>
    <row r="573" spans="1:26" ht="24.75" customHeight="1">
      <c r="A573" s="268"/>
      <c r="B573" s="268"/>
      <c r="C573" s="268"/>
      <c r="D573" s="268"/>
      <c r="E573" s="268"/>
      <c r="F573" s="268"/>
      <c r="G573" s="268"/>
      <c r="H573" s="389"/>
      <c r="I573" s="389"/>
      <c r="J573" s="389"/>
      <c r="K573" s="268"/>
      <c r="L573" s="268"/>
      <c r="M573" s="268"/>
      <c r="N573" s="310"/>
      <c r="O573" s="268"/>
      <c r="P573" s="309"/>
      <c r="Q573" s="381"/>
      <c r="R573" s="268"/>
      <c r="S573" s="313"/>
      <c r="T573" s="313"/>
      <c r="U573" s="268"/>
      <c r="V573" s="268"/>
      <c r="W573" s="268"/>
      <c r="X573" s="268"/>
      <c r="Y573" s="268"/>
      <c r="Z573" s="268"/>
    </row>
    <row r="574" spans="1:26" ht="24.75" customHeight="1">
      <c r="A574" s="268"/>
      <c r="B574" s="268"/>
      <c r="C574" s="268"/>
      <c r="D574" s="268"/>
      <c r="E574" s="268"/>
      <c r="F574" s="268"/>
      <c r="G574" s="268"/>
      <c r="H574" s="389"/>
      <c r="I574" s="389"/>
      <c r="J574" s="389"/>
      <c r="K574" s="268"/>
      <c r="L574" s="268"/>
      <c r="M574" s="268"/>
      <c r="N574" s="310"/>
      <c r="O574" s="268"/>
      <c r="P574" s="309"/>
      <c r="Q574" s="381"/>
      <c r="R574" s="268"/>
      <c r="S574" s="313"/>
      <c r="T574" s="313"/>
      <c r="U574" s="268"/>
      <c r="V574" s="268"/>
      <c r="W574" s="268"/>
      <c r="X574" s="268"/>
      <c r="Y574" s="268"/>
      <c r="Z574" s="268"/>
    </row>
    <row r="575" spans="1:26" ht="24.75" customHeight="1">
      <c r="A575" s="268"/>
      <c r="B575" s="268"/>
      <c r="C575" s="268"/>
      <c r="D575" s="268"/>
      <c r="E575" s="268"/>
      <c r="F575" s="268"/>
      <c r="G575" s="268"/>
      <c r="H575" s="389"/>
      <c r="I575" s="389"/>
      <c r="J575" s="389"/>
      <c r="K575" s="268"/>
      <c r="L575" s="268"/>
      <c r="M575" s="268"/>
      <c r="N575" s="310"/>
      <c r="O575" s="268"/>
      <c r="P575" s="309"/>
      <c r="Q575" s="381"/>
      <c r="R575" s="268"/>
      <c r="S575" s="313"/>
      <c r="T575" s="313"/>
      <c r="U575" s="268"/>
      <c r="V575" s="268"/>
      <c r="W575" s="268"/>
      <c r="X575" s="268"/>
      <c r="Y575" s="268"/>
      <c r="Z575" s="268"/>
    </row>
    <row r="576" spans="1:26" ht="24.75" customHeight="1">
      <c r="A576" s="268"/>
      <c r="B576" s="268"/>
      <c r="C576" s="268"/>
      <c r="D576" s="268"/>
      <c r="E576" s="268"/>
      <c r="F576" s="268"/>
      <c r="G576" s="268"/>
      <c r="H576" s="389"/>
      <c r="I576" s="389"/>
      <c r="J576" s="389"/>
      <c r="K576" s="268"/>
      <c r="L576" s="268"/>
      <c r="M576" s="268"/>
      <c r="N576" s="310"/>
      <c r="O576" s="268"/>
      <c r="P576" s="309"/>
      <c r="Q576" s="381"/>
      <c r="R576" s="268"/>
      <c r="S576" s="313"/>
      <c r="T576" s="313"/>
      <c r="U576" s="268"/>
      <c r="V576" s="268"/>
      <c r="W576" s="268"/>
      <c r="X576" s="268"/>
      <c r="Y576" s="268"/>
      <c r="Z576" s="268"/>
    </row>
    <row r="577" spans="1:26" ht="24.75" customHeight="1">
      <c r="A577" s="268"/>
      <c r="B577" s="268"/>
      <c r="C577" s="268"/>
      <c r="D577" s="268"/>
      <c r="E577" s="268"/>
      <c r="F577" s="268"/>
      <c r="G577" s="268"/>
      <c r="H577" s="389"/>
      <c r="I577" s="389"/>
      <c r="J577" s="389"/>
      <c r="K577" s="268"/>
      <c r="L577" s="268"/>
      <c r="M577" s="268"/>
      <c r="N577" s="310"/>
      <c r="O577" s="268"/>
      <c r="P577" s="309"/>
      <c r="Q577" s="381"/>
      <c r="R577" s="268"/>
      <c r="S577" s="313"/>
      <c r="T577" s="313"/>
      <c r="U577" s="268"/>
      <c r="V577" s="268"/>
      <c r="W577" s="268"/>
      <c r="X577" s="268"/>
      <c r="Y577" s="268"/>
      <c r="Z577" s="268"/>
    </row>
    <row r="578" spans="1:26" ht="24.75" customHeight="1">
      <c r="A578" s="268"/>
      <c r="B578" s="268"/>
      <c r="C578" s="268"/>
      <c r="D578" s="268"/>
      <c r="E578" s="268"/>
      <c r="F578" s="268"/>
      <c r="G578" s="268"/>
      <c r="H578" s="389"/>
      <c r="I578" s="389"/>
      <c r="J578" s="389"/>
      <c r="K578" s="268"/>
      <c r="L578" s="268"/>
      <c r="M578" s="268"/>
      <c r="N578" s="310"/>
      <c r="O578" s="268"/>
      <c r="P578" s="309"/>
      <c r="Q578" s="381"/>
      <c r="R578" s="268"/>
      <c r="S578" s="313"/>
      <c r="T578" s="313"/>
      <c r="U578" s="268"/>
      <c r="V578" s="268"/>
      <c r="W578" s="268"/>
      <c r="X578" s="268"/>
      <c r="Y578" s="268"/>
      <c r="Z578" s="268"/>
    </row>
    <row r="579" spans="1:26" ht="24.75" customHeight="1">
      <c r="A579" s="268"/>
      <c r="B579" s="268"/>
      <c r="C579" s="268"/>
      <c r="D579" s="268"/>
      <c r="E579" s="268"/>
      <c r="F579" s="268"/>
      <c r="G579" s="268"/>
      <c r="H579" s="389"/>
      <c r="I579" s="389"/>
      <c r="J579" s="389"/>
      <c r="K579" s="268"/>
      <c r="L579" s="268"/>
      <c r="M579" s="268"/>
      <c r="N579" s="310"/>
      <c r="O579" s="268"/>
      <c r="P579" s="309"/>
      <c r="Q579" s="381"/>
      <c r="R579" s="268"/>
      <c r="S579" s="313"/>
      <c r="T579" s="313"/>
      <c r="U579" s="268"/>
      <c r="V579" s="268"/>
      <c r="W579" s="268"/>
      <c r="X579" s="268"/>
      <c r="Y579" s="268"/>
      <c r="Z579" s="268"/>
    </row>
    <row r="580" spans="1:26" ht="24.75" customHeight="1">
      <c r="A580" s="268"/>
      <c r="B580" s="268"/>
      <c r="C580" s="268"/>
      <c r="D580" s="268"/>
      <c r="E580" s="268"/>
      <c r="F580" s="268"/>
      <c r="G580" s="268"/>
      <c r="H580" s="389"/>
      <c r="I580" s="389"/>
      <c r="J580" s="389"/>
      <c r="K580" s="268"/>
      <c r="L580" s="268"/>
      <c r="M580" s="268"/>
      <c r="N580" s="310"/>
      <c r="O580" s="268"/>
      <c r="P580" s="309"/>
      <c r="Q580" s="381"/>
      <c r="R580" s="268"/>
      <c r="S580" s="313"/>
      <c r="T580" s="313"/>
      <c r="U580" s="268"/>
      <c r="V580" s="268"/>
      <c r="W580" s="268"/>
      <c r="X580" s="268"/>
      <c r="Y580" s="268"/>
      <c r="Z580" s="268"/>
    </row>
    <row r="581" spans="1:26" ht="24.75" customHeight="1">
      <c r="A581" s="268"/>
      <c r="B581" s="268"/>
      <c r="C581" s="268"/>
      <c r="D581" s="268"/>
      <c r="E581" s="268"/>
      <c r="F581" s="268"/>
      <c r="G581" s="268"/>
      <c r="H581" s="389"/>
      <c r="I581" s="389"/>
      <c r="J581" s="389"/>
      <c r="K581" s="268"/>
      <c r="L581" s="268"/>
      <c r="M581" s="268"/>
      <c r="N581" s="310"/>
      <c r="O581" s="268"/>
      <c r="P581" s="309"/>
      <c r="Q581" s="381"/>
      <c r="R581" s="268"/>
      <c r="S581" s="313"/>
      <c r="T581" s="313"/>
      <c r="U581" s="268"/>
      <c r="V581" s="268"/>
      <c r="W581" s="268"/>
      <c r="X581" s="268"/>
      <c r="Y581" s="268"/>
      <c r="Z581" s="268"/>
    </row>
    <row r="582" spans="1:26" ht="24.75" customHeight="1">
      <c r="A582" s="268"/>
      <c r="B582" s="268"/>
      <c r="C582" s="268"/>
      <c r="D582" s="268"/>
      <c r="E582" s="268"/>
      <c r="F582" s="268"/>
      <c r="G582" s="268"/>
      <c r="H582" s="389"/>
      <c r="I582" s="389"/>
      <c r="J582" s="389"/>
      <c r="K582" s="268"/>
      <c r="L582" s="268"/>
      <c r="M582" s="268"/>
      <c r="N582" s="310"/>
      <c r="O582" s="268"/>
      <c r="P582" s="309"/>
      <c r="Q582" s="381"/>
      <c r="R582" s="268"/>
      <c r="S582" s="313"/>
      <c r="T582" s="313"/>
      <c r="U582" s="268"/>
      <c r="V582" s="268"/>
      <c r="W582" s="268"/>
      <c r="X582" s="268"/>
      <c r="Y582" s="268"/>
      <c r="Z582" s="268"/>
    </row>
    <row r="583" spans="1:26" ht="24.75" customHeight="1">
      <c r="A583" s="268"/>
      <c r="B583" s="268"/>
      <c r="C583" s="268"/>
      <c r="D583" s="268"/>
      <c r="E583" s="268"/>
      <c r="F583" s="268"/>
      <c r="G583" s="268"/>
      <c r="H583" s="389"/>
      <c r="I583" s="389"/>
      <c r="J583" s="389"/>
      <c r="K583" s="268"/>
      <c r="L583" s="268"/>
      <c r="M583" s="268"/>
      <c r="N583" s="310"/>
      <c r="O583" s="268"/>
      <c r="P583" s="309"/>
      <c r="Q583" s="381"/>
      <c r="R583" s="268"/>
      <c r="S583" s="313"/>
      <c r="T583" s="313"/>
      <c r="U583" s="268"/>
      <c r="V583" s="268"/>
      <c r="W583" s="268"/>
      <c r="X583" s="268"/>
      <c r="Y583" s="268"/>
      <c r="Z583" s="268"/>
    </row>
    <row r="584" spans="1:26" ht="24.75" customHeight="1">
      <c r="A584" s="268"/>
      <c r="B584" s="268"/>
      <c r="C584" s="268"/>
      <c r="D584" s="268"/>
      <c r="E584" s="268"/>
      <c r="F584" s="268"/>
      <c r="G584" s="268"/>
      <c r="H584" s="389"/>
      <c r="I584" s="389"/>
      <c r="J584" s="389"/>
      <c r="K584" s="268"/>
      <c r="L584" s="268"/>
      <c r="M584" s="268"/>
      <c r="N584" s="310"/>
      <c r="O584" s="268"/>
      <c r="P584" s="309"/>
      <c r="Q584" s="381"/>
      <c r="R584" s="268"/>
      <c r="S584" s="313"/>
      <c r="T584" s="313"/>
      <c r="U584" s="268"/>
      <c r="V584" s="268"/>
      <c r="W584" s="268"/>
      <c r="X584" s="268"/>
      <c r="Y584" s="268"/>
      <c r="Z584" s="268"/>
    </row>
    <row r="585" spans="1:26" ht="24.75" customHeight="1">
      <c r="A585" s="268"/>
      <c r="B585" s="268"/>
      <c r="C585" s="268"/>
      <c r="D585" s="268"/>
      <c r="E585" s="268"/>
      <c r="F585" s="268"/>
      <c r="G585" s="268"/>
      <c r="H585" s="389"/>
      <c r="I585" s="389"/>
      <c r="J585" s="389"/>
      <c r="K585" s="268"/>
      <c r="L585" s="268"/>
      <c r="M585" s="268"/>
      <c r="N585" s="310"/>
      <c r="O585" s="268"/>
      <c r="P585" s="309"/>
      <c r="Q585" s="381"/>
      <c r="R585" s="268"/>
      <c r="S585" s="313"/>
      <c r="T585" s="313"/>
      <c r="U585" s="268"/>
      <c r="V585" s="268"/>
      <c r="W585" s="268"/>
      <c r="X585" s="268"/>
      <c r="Y585" s="268"/>
      <c r="Z585" s="268"/>
    </row>
    <row r="586" spans="1:26" ht="24.75" customHeight="1">
      <c r="A586" s="268"/>
      <c r="B586" s="268"/>
      <c r="C586" s="268"/>
      <c r="D586" s="268"/>
      <c r="E586" s="268"/>
      <c r="F586" s="268"/>
      <c r="G586" s="268"/>
      <c r="H586" s="389"/>
      <c r="I586" s="389"/>
      <c r="J586" s="389"/>
      <c r="K586" s="268"/>
      <c r="L586" s="268"/>
      <c r="M586" s="268"/>
      <c r="N586" s="310"/>
      <c r="O586" s="268"/>
      <c r="P586" s="309"/>
      <c r="Q586" s="381"/>
      <c r="R586" s="268"/>
      <c r="S586" s="313"/>
      <c r="T586" s="313"/>
      <c r="U586" s="268"/>
      <c r="V586" s="268"/>
      <c r="W586" s="268"/>
      <c r="X586" s="268"/>
      <c r="Y586" s="268"/>
      <c r="Z586" s="268"/>
    </row>
    <row r="587" spans="1:26" ht="24.75" customHeight="1">
      <c r="A587" s="268"/>
      <c r="B587" s="268"/>
      <c r="C587" s="268"/>
      <c r="D587" s="268"/>
      <c r="E587" s="268"/>
      <c r="F587" s="268"/>
      <c r="G587" s="268"/>
      <c r="H587" s="389"/>
      <c r="I587" s="389"/>
      <c r="J587" s="389"/>
      <c r="K587" s="268"/>
      <c r="L587" s="268"/>
      <c r="M587" s="268"/>
      <c r="N587" s="310"/>
      <c r="O587" s="268"/>
      <c r="P587" s="309"/>
      <c r="Q587" s="381"/>
      <c r="R587" s="268"/>
      <c r="S587" s="313"/>
      <c r="T587" s="313"/>
      <c r="U587" s="268"/>
      <c r="V587" s="268"/>
      <c r="W587" s="268"/>
      <c r="X587" s="268"/>
      <c r="Y587" s="268"/>
      <c r="Z587" s="268"/>
    </row>
    <row r="588" spans="1:26" ht="24.75" customHeight="1">
      <c r="A588" s="268"/>
      <c r="B588" s="268"/>
      <c r="C588" s="268"/>
      <c r="D588" s="268"/>
      <c r="E588" s="268"/>
      <c r="F588" s="268"/>
      <c r="G588" s="268"/>
      <c r="H588" s="389"/>
      <c r="I588" s="389"/>
      <c r="J588" s="389"/>
      <c r="K588" s="268"/>
      <c r="L588" s="268"/>
      <c r="M588" s="268"/>
      <c r="N588" s="310"/>
      <c r="O588" s="268"/>
      <c r="P588" s="309"/>
      <c r="Q588" s="381"/>
      <c r="R588" s="268"/>
      <c r="S588" s="313"/>
      <c r="T588" s="313"/>
      <c r="U588" s="268"/>
      <c r="V588" s="268"/>
      <c r="W588" s="268"/>
      <c r="X588" s="268"/>
      <c r="Y588" s="268"/>
      <c r="Z588" s="268"/>
    </row>
    <row r="589" spans="1:26" ht="24.75" customHeight="1">
      <c r="A589" s="268"/>
      <c r="B589" s="268"/>
      <c r="C589" s="268"/>
      <c r="D589" s="268"/>
      <c r="E589" s="268"/>
      <c r="F589" s="268"/>
      <c r="G589" s="268"/>
      <c r="H589" s="389"/>
      <c r="I589" s="389"/>
      <c r="J589" s="389"/>
      <c r="K589" s="268"/>
      <c r="L589" s="268"/>
      <c r="M589" s="268"/>
      <c r="N589" s="310"/>
      <c r="O589" s="268"/>
      <c r="P589" s="309"/>
      <c r="Q589" s="381"/>
      <c r="R589" s="268"/>
      <c r="S589" s="313"/>
      <c r="T589" s="313"/>
      <c r="U589" s="268"/>
      <c r="V589" s="268"/>
      <c r="W589" s="268"/>
      <c r="X589" s="268"/>
      <c r="Y589" s="268"/>
      <c r="Z589" s="268"/>
    </row>
    <row r="590" spans="1:26" ht="24.75" customHeight="1">
      <c r="A590" s="268"/>
      <c r="B590" s="268"/>
      <c r="C590" s="268"/>
      <c r="D590" s="268"/>
      <c r="E590" s="268"/>
      <c r="F590" s="268"/>
      <c r="G590" s="268"/>
      <c r="H590" s="389"/>
      <c r="I590" s="389"/>
      <c r="J590" s="389"/>
      <c r="K590" s="268"/>
      <c r="L590" s="268"/>
      <c r="M590" s="268"/>
      <c r="N590" s="310"/>
      <c r="O590" s="268"/>
      <c r="P590" s="309"/>
      <c r="Q590" s="381"/>
      <c r="R590" s="268"/>
      <c r="S590" s="313"/>
      <c r="T590" s="313"/>
      <c r="U590" s="268"/>
      <c r="V590" s="268"/>
      <c r="W590" s="268"/>
      <c r="X590" s="268"/>
      <c r="Y590" s="268"/>
      <c r="Z590" s="268"/>
    </row>
    <row r="591" spans="1:26" ht="24.75" customHeight="1">
      <c r="A591" s="268"/>
      <c r="B591" s="268"/>
      <c r="C591" s="268"/>
      <c r="D591" s="268"/>
      <c r="E591" s="268"/>
      <c r="F591" s="268"/>
      <c r="G591" s="268"/>
      <c r="H591" s="389"/>
      <c r="I591" s="389"/>
      <c r="J591" s="389"/>
      <c r="K591" s="268"/>
      <c r="L591" s="268"/>
      <c r="M591" s="268"/>
      <c r="N591" s="310"/>
      <c r="O591" s="268"/>
      <c r="P591" s="309"/>
      <c r="Q591" s="381"/>
      <c r="R591" s="268"/>
      <c r="S591" s="313"/>
      <c r="T591" s="313"/>
      <c r="U591" s="268"/>
      <c r="V591" s="268"/>
      <c r="W591" s="268"/>
      <c r="X591" s="268"/>
      <c r="Y591" s="268"/>
      <c r="Z591" s="268"/>
    </row>
    <row r="592" spans="1:26" ht="24.75" customHeight="1">
      <c r="A592" s="268"/>
      <c r="B592" s="268"/>
      <c r="C592" s="268"/>
      <c r="D592" s="268"/>
      <c r="E592" s="268"/>
      <c r="F592" s="268"/>
      <c r="G592" s="268"/>
      <c r="H592" s="389"/>
      <c r="I592" s="389"/>
      <c r="J592" s="389"/>
      <c r="K592" s="268"/>
      <c r="L592" s="268"/>
      <c r="M592" s="268"/>
      <c r="N592" s="310"/>
      <c r="O592" s="268"/>
      <c r="P592" s="309"/>
      <c r="Q592" s="381"/>
      <c r="R592" s="268"/>
      <c r="S592" s="313"/>
      <c r="T592" s="313"/>
      <c r="U592" s="268"/>
      <c r="V592" s="268"/>
      <c r="W592" s="268"/>
      <c r="X592" s="268"/>
      <c r="Y592" s="268"/>
      <c r="Z592" s="268"/>
    </row>
    <row r="593" spans="1:26" ht="24.75" customHeight="1">
      <c r="A593" s="268"/>
      <c r="B593" s="268"/>
      <c r="C593" s="268"/>
      <c r="D593" s="268"/>
      <c r="E593" s="268"/>
      <c r="F593" s="268"/>
      <c r="G593" s="268"/>
      <c r="H593" s="389"/>
      <c r="I593" s="389"/>
      <c r="J593" s="389"/>
      <c r="K593" s="268"/>
      <c r="L593" s="268"/>
      <c r="M593" s="268"/>
      <c r="N593" s="310"/>
      <c r="O593" s="268"/>
      <c r="P593" s="309"/>
      <c r="Q593" s="381"/>
      <c r="R593" s="268"/>
      <c r="S593" s="313"/>
      <c r="T593" s="313"/>
      <c r="U593" s="268"/>
      <c r="V593" s="268"/>
      <c r="W593" s="268"/>
      <c r="X593" s="268"/>
      <c r="Y593" s="268"/>
      <c r="Z593" s="268"/>
    </row>
    <row r="594" spans="1:26" ht="24.75" customHeight="1">
      <c r="A594" s="268"/>
      <c r="B594" s="268"/>
      <c r="C594" s="268"/>
      <c r="D594" s="268"/>
      <c r="E594" s="268"/>
      <c r="F594" s="268"/>
      <c r="G594" s="268"/>
      <c r="H594" s="389"/>
      <c r="I594" s="389"/>
      <c r="J594" s="389"/>
      <c r="K594" s="268"/>
      <c r="L594" s="268"/>
      <c r="M594" s="268"/>
      <c r="N594" s="310"/>
      <c r="O594" s="268"/>
      <c r="P594" s="309"/>
      <c r="Q594" s="381"/>
      <c r="R594" s="268"/>
      <c r="S594" s="313"/>
      <c r="T594" s="313"/>
      <c r="U594" s="268"/>
      <c r="V594" s="268"/>
      <c r="W594" s="268"/>
      <c r="X594" s="268"/>
      <c r="Y594" s="268"/>
      <c r="Z594" s="268"/>
    </row>
    <row r="595" spans="1:26" ht="24.75" customHeight="1">
      <c r="A595" s="268"/>
      <c r="B595" s="268"/>
      <c r="C595" s="268"/>
      <c r="D595" s="268"/>
      <c r="E595" s="268"/>
      <c r="F595" s="268"/>
      <c r="G595" s="268"/>
      <c r="H595" s="389"/>
      <c r="I595" s="389"/>
      <c r="J595" s="389"/>
      <c r="K595" s="268"/>
      <c r="L595" s="268"/>
      <c r="M595" s="268"/>
      <c r="N595" s="310"/>
      <c r="O595" s="268"/>
      <c r="P595" s="309"/>
      <c r="Q595" s="381"/>
      <c r="R595" s="268"/>
      <c r="S595" s="313"/>
      <c r="T595" s="313"/>
      <c r="U595" s="268"/>
      <c r="V595" s="268"/>
      <c r="W595" s="268"/>
      <c r="X595" s="268"/>
      <c r="Y595" s="268"/>
      <c r="Z595" s="268"/>
    </row>
    <row r="596" spans="1:26" ht="24.75" customHeight="1">
      <c r="A596" s="268"/>
      <c r="B596" s="268"/>
      <c r="C596" s="268"/>
      <c r="D596" s="268"/>
      <c r="E596" s="268"/>
      <c r="F596" s="268"/>
      <c r="G596" s="268"/>
      <c r="H596" s="389"/>
      <c r="I596" s="389"/>
      <c r="J596" s="389"/>
      <c r="K596" s="268"/>
      <c r="L596" s="268"/>
      <c r="M596" s="268"/>
      <c r="N596" s="310"/>
      <c r="O596" s="268"/>
      <c r="P596" s="309"/>
      <c r="Q596" s="381"/>
      <c r="R596" s="268"/>
      <c r="S596" s="313"/>
      <c r="T596" s="313"/>
      <c r="U596" s="268"/>
      <c r="V596" s="268"/>
      <c r="W596" s="268"/>
      <c r="X596" s="268"/>
      <c r="Y596" s="268"/>
      <c r="Z596" s="268"/>
    </row>
    <row r="597" spans="1:26" ht="24.75" customHeight="1">
      <c r="A597" s="268"/>
      <c r="B597" s="268"/>
      <c r="C597" s="268"/>
      <c r="D597" s="268"/>
      <c r="E597" s="268"/>
      <c r="F597" s="268"/>
      <c r="G597" s="268"/>
      <c r="H597" s="389"/>
      <c r="I597" s="389"/>
      <c r="J597" s="389"/>
      <c r="K597" s="268"/>
      <c r="L597" s="268"/>
      <c r="M597" s="268"/>
      <c r="N597" s="310"/>
      <c r="O597" s="268"/>
      <c r="P597" s="309"/>
      <c r="Q597" s="381"/>
      <c r="R597" s="268"/>
      <c r="S597" s="313"/>
      <c r="T597" s="313"/>
      <c r="U597" s="268"/>
      <c r="V597" s="268"/>
      <c r="W597" s="268"/>
      <c r="X597" s="268"/>
      <c r="Y597" s="268"/>
      <c r="Z597" s="268"/>
    </row>
    <row r="598" spans="1:26" ht="24.75" customHeight="1">
      <c r="A598" s="268"/>
      <c r="B598" s="268"/>
      <c r="C598" s="268"/>
      <c r="D598" s="268"/>
      <c r="E598" s="268"/>
      <c r="F598" s="268"/>
      <c r="G598" s="268"/>
      <c r="H598" s="389"/>
      <c r="I598" s="389"/>
      <c r="J598" s="389"/>
      <c r="K598" s="268"/>
      <c r="L598" s="268"/>
      <c r="M598" s="268"/>
      <c r="N598" s="310"/>
      <c r="O598" s="268"/>
      <c r="P598" s="309"/>
      <c r="Q598" s="381"/>
      <c r="R598" s="268"/>
      <c r="S598" s="313"/>
      <c r="T598" s="313"/>
      <c r="U598" s="268"/>
      <c r="V598" s="268"/>
      <c r="W598" s="268"/>
      <c r="X598" s="268"/>
      <c r="Y598" s="268"/>
      <c r="Z598" s="268"/>
    </row>
    <row r="599" spans="1:26" ht="24.75" customHeight="1">
      <c r="A599" s="268"/>
      <c r="B599" s="268"/>
      <c r="C599" s="268"/>
      <c r="D599" s="268"/>
      <c r="E599" s="268"/>
      <c r="F599" s="268"/>
      <c r="G599" s="268"/>
      <c r="H599" s="389"/>
      <c r="I599" s="389"/>
      <c r="J599" s="389"/>
      <c r="K599" s="268"/>
      <c r="L599" s="268"/>
      <c r="M599" s="268"/>
      <c r="N599" s="310"/>
      <c r="O599" s="268"/>
      <c r="P599" s="309"/>
      <c r="Q599" s="381"/>
      <c r="R599" s="268"/>
      <c r="S599" s="313"/>
      <c r="T599" s="313"/>
      <c r="U599" s="268"/>
      <c r="V599" s="268"/>
      <c r="W599" s="268"/>
      <c r="X599" s="268"/>
      <c r="Y599" s="268"/>
      <c r="Z599" s="268"/>
    </row>
    <row r="600" spans="1:26" ht="24.75" customHeight="1">
      <c r="A600" s="268"/>
      <c r="B600" s="268"/>
      <c r="C600" s="268"/>
      <c r="D600" s="268"/>
      <c r="E600" s="268"/>
      <c r="F600" s="268"/>
      <c r="G600" s="268"/>
      <c r="H600" s="389"/>
      <c r="I600" s="389"/>
      <c r="J600" s="389"/>
      <c r="K600" s="268"/>
      <c r="L600" s="268"/>
      <c r="M600" s="268"/>
      <c r="N600" s="310"/>
      <c r="O600" s="268"/>
      <c r="P600" s="309"/>
      <c r="Q600" s="381"/>
      <c r="R600" s="268"/>
      <c r="S600" s="313"/>
      <c r="T600" s="313"/>
      <c r="U600" s="268"/>
      <c r="V600" s="268"/>
      <c r="W600" s="268"/>
      <c r="X600" s="268"/>
      <c r="Y600" s="268"/>
      <c r="Z600" s="268"/>
    </row>
    <row r="601" spans="1:26" ht="24.75" customHeight="1">
      <c r="A601" s="268"/>
      <c r="B601" s="268"/>
      <c r="C601" s="268"/>
      <c r="D601" s="268"/>
      <c r="E601" s="268"/>
      <c r="F601" s="268"/>
      <c r="G601" s="268"/>
      <c r="H601" s="389"/>
      <c r="I601" s="389"/>
      <c r="J601" s="389"/>
      <c r="K601" s="268"/>
      <c r="L601" s="268"/>
      <c r="M601" s="268"/>
      <c r="N601" s="310"/>
      <c r="O601" s="268"/>
      <c r="P601" s="309"/>
      <c r="Q601" s="381"/>
      <c r="R601" s="268"/>
      <c r="S601" s="313"/>
      <c r="T601" s="313"/>
      <c r="U601" s="268"/>
      <c r="V601" s="268"/>
      <c r="W601" s="268"/>
      <c r="X601" s="268"/>
      <c r="Y601" s="268"/>
      <c r="Z601" s="268"/>
    </row>
    <row r="602" spans="1:26" ht="24.75" customHeight="1">
      <c r="A602" s="268"/>
      <c r="B602" s="268"/>
      <c r="C602" s="268"/>
      <c r="D602" s="268"/>
      <c r="E602" s="268"/>
      <c r="F602" s="268"/>
      <c r="G602" s="268"/>
      <c r="H602" s="389"/>
      <c r="I602" s="389"/>
      <c r="J602" s="389"/>
      <c r="K602" s="268"/>
      <c r="L602" s="268"/>
      <c r="M602" s="268"/>
      <c r="N602" s="310"/>
      <c r="O602" s="268"/>
      <c r="P602" s="309"/>
      <c r="Q602" s="381"/>
      <c r="R602" s="268"/>
      <c r="S602" s="313"/>
      <c r="T602" s="313"/>
      <c r="U602" s="268"/>
      <c r="V602" s="268"/>
      <c r="W602" s="268"/>
      <c r="X602" s="268"/>
      <c r="Y602" s="268"/>
      <c r="Z602" s="268"/>
    </row>
    <row r="603" spans="1:26" ht="24.75" customHeight="1">
      <c r="A603" s="268"/>
      <c r="B603" s="268"/>
      <c r="C603" s="268"/>
      <c r="D603" s="268"/>
      <c r="E603" s="268"/>
      <c r="F603" s="268"/>
      <c r="G603" s="268"/>
      <c r="H603" s="389"/>
      <c r="I603" s="389"/>
      <c r="J603" s="389"/>
      <c r="K603" s="268"/>
      <c r="L603" s="268"/>
      <c r="M603" s="268"/>
      <c r="N603" s="310"/>
      <c r="O603" s="268"/>
      <c r="P603" s="309"/>
      <c r="Q603" s="381"/>
      <c r="R603" s="268"/>
      <c r="S603" s="313"/>
      <c r="T603" s="313"/>
      <c r="U603" s="268"/>
      <c r="V603" s="268"/>
      <c r="W603" s="268"/>
      <c r="X603" s="268"/>
      <c r="Y603" s="268"/>
      <c r="Z603" s="268"/>
    </row>
    <row r="604" spans="1:26" ht="24.75" customHeight="1">
      <c r="A604" s="268"/>
      <c r="B604" s="268"/>
      <c r="C604" s="268"/>
      <c r="D604" s="268"/>
      <c r="E604" s="268"/>
      <c r="F604" s="268"/>
      <c r="G604" s="268"/>
      <c r="H604" s="389"/>
      <c r="I604" s="389"/>
      <c r="J604" s="389"/>
      <c r="K604" s="268"/>
      <c r="L604" s="268"/>
      <c r="M604" s="268"/>
      <c r="N604" s="310"/>
      <c r="O604" s="268"/>
      <c r="P604" s="309"/>
      <c r="Q604" s="381"/>
      <c r="R604" s="268"/>
      <c r="S604" s="313"/>
      <c r="T604" s="313"/>
      <c r="U604" s="268"/>
      <c r="V604" s="268"/>
      <c r="W604" s="268"/>
      <c r="X604" s="268"/>
      <c r="Y604" s="268"/>
      <c r="Z604" s="268"/>
    </row>
    <row r="605" spans="1:26" ht="24.75" customHeight="1">
      <c r="A605" s="268"/>
      <c r="B605" s="268"/>
      <c r="C605" s="268"/>
      <c r="D605" s="268"/>
      <c r="E605" s="268"/>
      <c r="F605" s="268"/>
      <c r="G605" s="268"/>
      <c r="H605" s="389"/>
      <c r="I605" s="389"/>
      <c r="J605" s="389"/>
      <c r="K605" s="268"/>
      <c r="L605" s="268"/>
      <c r="M605" s="268"/>
      <c r="N605" s="310"/>
      <c r="O605" s="268"/>
      <c r="P605" s="309"/>
      <c r="Q605" s="381"/>
      <c r="R605" s="268"/>
      <c r="S605" s="313"/>
      <c r="T605" s="313"/>
      <c r="U605" s="268"/>
      <c r="V605" s="268"/>
      <c r="W605" s="268"/>
      <c r="X605" s="268"/>
      <c r="Y605" s="268"/>
      <c r="Z605" s="268"/>
    </row>
    <row r="606" spans="1:26" ht="24.75" customHeight="1">
      <c r="A606" s="268"/>
      <c r="B606" s="268"/>
      <c r="C606" s="268"/>
      <c r="D606" s="268"/>
      <c r="E606" s="268"/>
      <c r="F606" s="268"/>
      <c r="G606" s="268"/>
      <c r="H606" s="389"/>
      <c r="I606" s="389"/>
      <c r="J606" s="389"/>
      <c r="K606" s="268"/>
      <c r="L606" s="268"/>
      <c r="M606" s="268"/>
      <c r="N606" s="310"/>
      <c r="O606" s="268"/>
      <c r="P606" s="309"/>
      <c r="Q606" s="381"/>
      <c r="R606" s="268"/>
      <c r="S606" s="313"/>
      <c r="T606" s="313"/>
      <c r="U606" s="268"/>
      <c r="V606" s="268"/>
      <c r="W606" s="268"/>
      <c r="X606" s="268"/>
      <c r="Y606" s="268"/>
      <c r="Z606" s="268"/>
    </row>
    <row r="607" spans="1:26" ht="24.75" customHeight="1">
      <c r="A607" s="268"/>
      <c r="B607" s="268"/>
      <c r="C607" s="268"/>
      <c r="D607" s="268"/>
      <c r="E607" s="268"/>
      <c r="F607" s="268"/>
      <c r="G607" s="268"/>
      <c r="H607" s="389"/>
      <c r="I607" s="389"/>
      <c r="J607" s="389"/>
      <c r="K607" s="268"/>
      <c r="L607" s="268"/>
      <c r="M607" s="268"/>
      <c r="N607" s="310"/>
      <c r="O607" s="268"/>
      <c r="P607" s="309"/>
      <c r="Q607" s="381"/>
      <c r="R607" s="268"/>
      <c r="S607" s="313"/>
      <c r="T607" s="313"/>
      <c r="U607" s="268"/>
      <c r="V607" s="268"/>
      <c r="W607" s="268"/>
      <c r="X607" s="268"/>
      <c r="Y607" s="268"/>
      <c r="Z607" s="268"/>
    </row>
    <row r="608" spans="1:26" ht="24.75" customHeight="1">
      <c r="A608" s="268"/>
      <c r="B608" s="268"/>
      <c r="C608" s="268"/>
      <c r="D608" s="268"/>
      <c r="E608" s="268"/>
      <c r="F608" s="268"/>
      <c r="G608" s="268"/>
      <c r="H608" s="389"/>
      <c r="I608" s="389"/>
      <c r="J608" s="389"/>
      <c r="K608" s="268"/>
      <c r="L608" s="268"/>
      <c r="M608" s="268"/>
      <c r="N608" s="310"/>
      <c r="O608" s="268"/>
      <c r="P608" s="309"/>
      <c r="Q608" s="381"/>
      <c r="R608" s="268"/>
      <c r="S608" s="313"/>
      <c r="T608" s="313"/>
      <c r="U608" s="268"/>
      <c r="V608" s="268"/>
      <c r="W608" s="268"/>
      <c r="X608" s="268"/>
      <c r="Y608" s="268"/>
      <c r="Z608" s="268"/>
    </row>
    <row r="609" spans="1:26" ht="24.75" customHeight="1">
      <c r="A609" s="268"/>
      <c r="B609" s="268"/>
      <c r="C609" s="268"/>
      <c r="D609" s="268"/>
      <c r="E609" s="268"/>
      <c r="F609" s="268"/>
      <c r="G609" s="268"/>
      <c r="H609" s="389"/>
      <c r="I609" s="389"/>
      <c r="J609" s="389"/>
      <c r="K609" s="268"/>
      <c r="L609" s="268"/>
      <c r="M609" s="268"/>
      <c r="N609" s="310"/>
      <c r="O609" s="268"/>
      <c r="P609" s="309"/>
      <c r="Q609" s="381"/>
      <c r="R609" s="268"/>
      <c r="S609" s="313"/>
      <c r="T609" s="313"/>
      <c r="U609" s="268"/>
      <c r="V609" s="268"/>
      <c r="W609" s="268"/>
      <c r="X609" s="268"/>
      <c r="Y609" s="268"/>
      <c r="Z609" s="268"/>
    </row>
    <row r="610" spans="1:26" ht="24.75" customHeight="1">
      <c r="A610" s="268"/>
      <c r="B610" s="268"/>
      <c r="C610" s="268"/>
      <c r="D610" s="268"/>
      <c r="E610" s="268"/>
      <c r="F610" s="268"/>
      <c r="G610" s="268"/>
      <c r="H610" s="389"/>
      <c r="I610" s="389"/>
      <c r="J610" s="389"/>
      <c r="K610" s="268"/>
      <c r="L610" s="268"/>
      <c r="M610" s="268"/>
      <c r="N610" s="310"/>
      <c r="O610" s="268"/>
      <c r="P610" s="309"/>
      <c r="Q610" s="381"/>
      <c r="R610" s="268"/>
      <c r="S610" s="313"/>
      <c r="T610" s="313"/>
      <c r="U610" s="268"/>
      <c r="V610" s="268"/>
      <c r="W610" s="268"/>
      <c r="X610" s="268"/>
      <c r="Y610" s="268"/>
      <c r="Z610" s="268"/>
    </row>
    <row r="611" spans="1:26" ht="24.75" customHeight="1">
      <c r="A611" s="268"/>
      <c r="B611" s="268"/>
      <c r="C611" s="268"/>
      <c r="D611" s="268"/>
      <c r="E611" s="268"/>
      <c r="F611" s="268"/>
      <c r="G611" s="268"/>
      <c r="H611" s="389"/>
      <c r="I611" s="389"/>
      <c r="J611" s="389"/>
      <c r="K611" s="268"/>
      <c r="L611" s="268"/>
      <c r="M611" s="268"/>
      <c r="N611" s="310"/>
      <c r="O611" s="268"/>
      <c r="P611" s="309"/>
      <c r="Q611" s="381"/>
      <c r="R611" s="268"/>
      <c r="S611" s="313"/>
      <c r="T611" s="313"/>
      <c r="U611" s="268"/>
      <c r="V611" s="268"/>
      <c r="W611" s="268"/>
      <c r="X611" s="268"/>
      <c r="Y611" s="268"/>
      <c r="Z611" s="268"/>
    </row>
    <row r="612" spans="1:26" ht="24.75" customHeight="1">
      <c r="A612" s="268"/>
      <c r="B612" s="268"/>
      <c r="C612" s="268"/>
      <c r="D612" s="268"/>
      <c r="E612" s="268"/>
      <c r="F612" s="268"/>
      <c r="G612" s="268"/>
      <c r="H612" s="389"/>
      <c r="I612" s="389"/>
      <c r="J612" s="389"/>
      <c r="K612" s="268"/>
      <c r="L612" s="268"/>
      <c r="M612" s="268"/>
      <c r="N612" s="310"/>
      <c r="O612" s="268"/>
      <c r="P612" s="309"/>
      <c r="Q612" s="381"/>
      <c r="R612" s="268"/>
      <c r="S612" s="313"/>
      <c r="T612" s="313"/>
      <c r="U612" s="268"/>
      <c r="V612" s="268"/>
      <c r="W612" s="268"/>
      <c r="X612" s="268"/>
      <c r="Y612" s="268"/>
      <c r="Z612" s="268"/>
    </row>
    <row r="613" spans="1:26" ht="24.75" customHeight="1">
      <c r="A613" s="268"/>
      <c r="B613" s="268"/>
      <c r="C613" s="268"/>
      <c r="D613" s="268"/>
      <c r="E613" s="268"/>
      <c r="F613" s="268"/>
      <c r="G613" s="268"/>
      <c r="H613" s="389"/>
      <c r="I613" s="389"/>
      <c r="J613" s="389"/>
      <c r="K613" s="268"/>
      <c r="L613" s="268"/>
      <c r="M613" s="268"/>
      <c r="N613" s="310"/>
      <c r="O613" s="268"/>
      <c r="P613" s="309"/>
      <c r="Q613" s="381"/>
      <c r="R613" s="268"/>
      <c r="S613" s="313"/>
      <c r="T613" s="313"/>
      <c r="U613" s="268"/>
      <c r="V613" s="268"/>
      <c r="W613" s="268"/>
      <c r="X613" s="268"/>
      <c r="Y613" s="268"/>
      <c r="Z613" s="268"/>
    </row>
    <row r="614" spans="1:26" ht="24.75" customHeight="1">
      <c r="A614" s="268"/>
      <c r="B614" s="268"/>
      <c r="C614" s="268"/>
      <c r="D614" s="268"/>
      <c r="E614" s="268"/>
      <c r="F614" s="268"/>
      <c r="G614" s="268"/>
      <c r="H614" s="389"/>
      <c r="I614" s="389"/>
      <c r="J614" s="389"/>
      <c r="K614" s="268"/>
      <c r="L614" s="268"/>
      <c r="M614" s="268"/>
      <c r="N614" s="310"/>
      <c r="O614" s="268"/>
      <c r="P614" s="309"/>
      <c r="Q614" s="381"/>
      <c r="R614" s="268"/>
      <c r="S614" s="313"/>
      <c r="T614" s="313"/>
      <c r="U614" s="268"/>
      <c r="V614" s="268"/>
      <c r="W614" s="268"/>
      <c r="X614" s="268"/>
      <c r="Y614" s="268"/>
      <c r="Z614" s="268"/>
    </row>
    <row r="615" spans="1:26" ht="24.75" customHeight="1">
      <c r="A615" s="268"/>
      <c r="B615" s="268"/>
      <c r="C615" s="268"/>
      <c r="D615" s="268"/>
      <c r="E615" s="268"/>
      <c r="F615" s="268"/>
      <c r="G615" s="268"/>
      <c r="H615" s="389"/>
      <c r="I615" s="389"/>
      <c r="J615" s="389"/>
      <c r="K615" s="268"/>
      <c r="L615" s="268"/>
      <c r="M615" s="268"/>
      <c r="N615" s="310"/>
      <c r="O615" s="268"/>
      <c r="P615" s="309"/>
      <c r="Q615" s="381"/>
      <c r="R615" s="268"/>
      <c r="S615" s="313"/>
      <c r="T615" s="313"/>
      <c r="U615" s="268"/>
      <c r="V615" s="268"/>
      <c r="W615" s="268"/>
      <c r="X615" s="268"/>
      <c r="Y615" s="268"/>
      <c r="Z615" s="268"/>
    </row>
    <row r="616" spans="1:26" ht="24.75" customHeight="1">
      <c r="A616" s="268"/>
      <c r="B616" s="268"/>
      <c r="C616" s="268"/>
      <c r="D616" s="268"/>
      <c r="E616" s="268"/>
      <c r="F616" s="268"/>
      <c r="G616" s="268"/>
      <c r="H616" s="389"/>
      <c r="I616" s="389"/>
      <c r="J616" s="389"/>
      <c r="K616" s="268"/>
      <c r="L616" s="268"/>
      <c r="M616" s="268"/>
      <c r="N616" s="310"/>
      <c r="O616" s="268"/>
      <c r="P616" s="309"/>
      <c r="Q616" s="381"/>
      <c r="R616" s="268"/>
      <c r="S616" s="313"/>
      <c r="T616" s="313"/>
      <c r="U616" s="268"/>
      <c r="V616" s="268"/>
      <c r="W616" s="268"/>
      <c r="X616" s="268"/>
      <c r="Y616" s="268"/>
      <c r="Z616" s="268"/>
    </row>
    <row r="617" spans="1:26" ht="24.75" customHeight="1">
      <c r="A617" s="268"/>
      <c r="B617" s="268"/>
      <c r="C617" s="268"/>
      <c r="D617" s="268"/>
      <c r="E617" s="268"/>
      <c r="F617" s="268"/>
      <c r="G617" s="268"/>
      <c r="H617" s="389"/>
      <c r="I617" s="389"/>
      <c r="J617" s="389"/>
      <c r="K617" s="268"/>
      <c r="L617" s="268"/>
      <c r="M617" s="268"/>
      <c r="N617" s="310"/>
      <c r="O617" s="268"/>
      <c r="P617" s="309"/>
      <c r="Q617" s="381"/>
      <c r="R617" s="268"/>
      <c r="S617" s="313"/>
      <c r="T617" s="313"/>
      <c r="U617" s="268"/>
      <c r="V617" s="268"/>
      <c r="W617" s="268"/>
      <c r="X617" s="268"/>
      <c r="Y617" s="268"/>
      <c r="Z617" s="268"/>
    </row>
    <row r="618" spans="1:26" ht="24.75" customHeight="1">
      <c r="A618" s="268"/>
      <c r="B618" s="268"/>
      <c r="C618" s="268"/>
      <c r="D618" s="268"/>
      <c r="E618" s="268"/>
      <c r="F618" s="268"/>
      <c r="G618" s="268"/>
      <c r="H618" s="389"/>
      <c r="I618" s="389"/>
      <c r="J618" s="389"/>
      <c r="K618" s="268"/>
      <c r="L618" s="268"/>
      <c r="M618" s="268"/>
      <c r="N618" s="310"/>
      <c r="O618" s="268"/>
      <c r="P618" s="309"/>
      <c r="Q618" s="381"/>
      <c r="R618" s="268"/>
      <c r="S618" s="313"/>
      <c r="T618" s="313"/>
      <c r="U618" s="268"/>
      <c r="V618" s="268"/>
      <c r="W618" s="268"/>
      <c r="X618" s="268"/>
      <c r="Y618" s="268"/>
      <c r="Z618" s="268"/>
    </row>
    <row r="619" spans="1:26" ht="24.75" customHeight="1">
      <c r="A619" s="268"/>
      <c r="B619" s="268"/>
      <c r="C619" s="268"/>
      <c r="D619" s="268"/>
      <c r="E619" s="268"/>
      <c r="F619" s="268"/>
      <c r="G619" s="268"/>
      <c r="H619" s="389"/>
      <c r="I619" s="389"/>
      <c r="J619" s="389"/>
      <c r="K619" s="268"/>
      <c r="L619" s="268"/>
      <c r="M619" s="268"/>
      <c r="N619" s="310"/>
      <c r="O619" s="268"/>
      <c r="P619" s="309"/>
      <c r="Q619" s="381"/>
      <c r="R619" s="268"/>
      <c r="S619" s="313"/>
      <c r="T619" s="313"/>
      <c r="U619" s="268"/>
      <c r="V619" s="268"/>
      <c r="W619" s="268"/>
      <c r="X619" s="268"/>
      <c r="Y619" s="268"/>
      <c r="Z619" s="268"/>
    </row>
    <row r="620" spans="1:26" ht="24.75" customHeight="1">
      <c r="A620" s="268"/>
      <c r="B620" s="268"/>
      <c r="C620" s="268"/>
      <c r="D620" s="268"/>
      <c r="E620" s="268"/>
      <c r="F620" s="268"/>
      <c r="G620" s="268"/>
      <c r="H620" s="389"/>
      <c r="I620" s="389"/>
      <c r="J620" s="389"/>
      <c r="K620" s="268"/>
      <c r="L620" s="268"/>
      <c r="M620" s="268"/>
      <c r="N620" s="310"/>
      <c r="O620" s="268"/>
      <c r="P620" s="309"/>
      <c r="Q620" s="381"/>
      <c r="R620" s="268"/>
      <c r="S620" s="313"/>
      <c r="T620" s="313"/>
      <c r="U620" s="268"/>
      <c r="V620" s="268"/>
      <c r="W620" s="268"/>
      <c r="X620" s="268"/>
      <c r="Y620" s="268"/>
      <c r="Z620" s="268"/>
    </row>
    <row r="621" spans="1:26" ht="24.75" customHeight="1">
      <c r="A621" s="268"/>
      <c r="B621" s="268"/>
      <c r="C621" s="268"/>
      <c r="D621" s="268"/>
      <c r="E621" s="268"/>
      <c r="F621" s="268"/>
      <c r="G621" s="268"/>
      <c r="H621" s="389"/>
      <c r="I621" s="389"/>
      <c r="J621" s="389"/>
      <c r="K621" s="268"/>
      <c r="L621" s="268"/>
      <c r="M621" s="268"/>
      <c r="N621" s="310"/>
      <c r="O621" s="268"/>
      <c r="P621" s="309"/>
      <c r="Q621" s="381"/>
      <c r="R621" s="268"/>
      <c r="S621" s="313"/>
      <c r="T621" s="313"/>
      <c r="U621" s="268"/>
      <c r="V621" s="268"/>
      <c r="W621" s="268"/>
      <c r="X621" s="268"/>
      <c r="Y621" s="268"/>
      <c r="Z621" s="268"/>
    </row>
    <row r="622" spans="1:26" ht="24.75" customHeight="1">
      <c r="A622" s="268"/>
      <c r="B622" s="268"/>
      <c r="C622" s="268"/>
      <c r="D622" s="268"/>
      <c r="E622" s="268"/>
      <c r="F622" s="268"/>
      <c r="G622" s="268"/>
      <c r="H622" s="389"/>
      <c r="I622" s="389"/>
      <c r="J622" s="389"/>
      <c r="K622" s="268"/>
      <c r="L622" s="268"/>
      <c r="M622" s="268"/>
      <c r="N622" s="310"/>
      <c r="O622" s="268"/>
      <c r="P622" s="309"/>
      <c r="Q622" s="381"/>
      <c r="R622" s="268"/>
      <c r="S622" s="313"/>
      <c r="T622" s="313"/>
      <c r="U622" s="268"/>
      <c r="V622" s="268"/>
      <c r="W622" s="268"/>
      <c r="X622" s="268"/>
      <c r="Y622" s="268"/>
      <c r="Z622" s="268"/>
    </row>
    <row r="623" spans="1:26" ht="24.75" customHeight="1">
      <c r="A623" s="268"/>
      <c r="B623" s="268"/>
      <c r="C623" s="268"/>
      <c r="D623" s="268"/>
      <c r="E623" s="268"/>
      <c r="F623" s="268"/>
      <c r="G623" s="268"/>
      <c r="H623" s="389"/>
      <c r="I623" s="389"/>
      <c r="J623" s="389"/>
      <c r="K623" s="268"/>
      <c r="L623" s="268"/>
      <c r="M623" s="268"/>
      <c r="N623" s="310"/>
      <c r="O623" s="268"/>
      <c r="P623" s="309"/>
      <c r="Q623" s="381"/>
      <c r="R623" s="268"/>
      <c r="S623" s="313"/>
      <c r="T623" s="313"/>
      <c r="U623" s="268"/>
      <c r="V623" s="268"/>
      <c r="W623" s="268"/>
      <c r="X623" s="268"/>
      <c r="Y623" s="268"/>
      <c r="Z623" s="268"/>
    </row>
    <row r="624" spans="1:26" ht="24.75" customHeight="1">
      <c r="A624" s="268"/>
      <c r="B624" s="268"/>
      <c r="C624" s="268"/>
      <c r="D624" s="268"/>
      <c r="E624" s="268"/>
      <c r="F624" s="268"/>
      <c r="G624" s="268"/>
      <c r="H624" s="389"/>
      <c r="I624" s="389"/>
      <c r="J624" s="389"/>
      <c r="K624" s="268"/>
      <c r="L624" s="268"/>
      <c r="M624" s="268"/>
      <c r="N624" s="310"/>
      <c r="O624" s="268"/>
      <c r="P624" s="309"/>
      <c r="Q624" s="381"/>
      <c r="R624" s="268"/>
      <c r="S624" s="313"/>
      <c r="T624" s="313"/>
      <c r="U624" s="268"/>
      <c r="V624" s="268"/>
      <c r="W624" s="268"/>
      <c r="X624" s="268"/>
      <c r="Y624" s="268"/>
      <c r="Z624" s="268"/>
    </row>
    <row r="625" spans="1:26" ht="24.75" customHeight="1">
      <c r="A625" s="268"/>
      <c r="B625" s="268"/>
      <c r="C625" s="268"/>
      <c r="D625" s="268"/>
      <c r="E625" s="268"/>
      <c r="F625" s="268"/>
      <c r="G625" s="268"/>
      <c r="H625" s="389"/>
      <c r="I625" s="389"/>
      <c r="J625" s="389"/>
      <c r="K625" s="268"/>
      <c r="L625" s="268"/>
      <c r="M625" s="268"/>
      <c r="N625" s="310"/>
      <c r="O625" s="268"/>
      <c r="P625" s="309"/>
      <c r="Q625" s="381"/>
      <c r="R625" s="268"/>
      <c r="S625" s="313"/>
      <c r="T625" s="313"/>
      <c r="U625" s="268"/>
      <c r="V625" s="268"/>
      <c r="W625" s="268"/>
      <c r="X625" s="268"/>
      <c r="Y625" s="268"/>
      <c r="Z625" s="268"/>
    </row>
    <row r="626" spans="1:26" ht="24.75" customHeight="1">
      <c r="A626" s="268"/>
      <c r="B626" s="268"/>
      <c r="C626" s="268"/>
      <c r="D626" s="268"/>
      <c r="E626" s="268"/>
      <c r="F626" s="268"/>
      <c r="G626" s="268"/>
      <c r="H626" s="389"/>
      <c r="I626" s="389"/>
      <c r="J626" s="389"/>
      <c r="K626" s="268"/>
      <c r="L626" s="268"/>
      <c r="M626" s="268"/>
      <c r="N626" s="310"/>
      <c r="O626" s="268"/>
      <c r="P626" s="309"/>
      <c r="Q626" s="381"/>
      <c r="R626" s="268"/>
      <c r="S626" s="313"/>
      <c r="T626" s="313"/>
      <c r="U626" s="268"/>
      <c r="V626" s="268"/>
      <c r="W626" s="268"/>
      <c r="X626" s="268"/>
      <c r="Y626" s="268"/>
      <c r="Z626" s="268"/>
    </row>
    <row r="627" spans="1:26" ht="24.75" customHeight="1">
      <c r="A627" s="268"/>
      <c r="B627" s="268"/>
      <c r="C627" s="268"/>
      <c r="D627" s="268"/>
      <c r="E627" s="268"/>
      <c r="F627" s="268"/>
      <c r="G627" s="268"/>
      <c r="H627" s="389"/>
      <c r="I627" s="389"/>
      <c r="J627" s="389"/>
      <c r="K627" s="268"/>
      <c r="L627" s="268"/>
      <c r="M627" s="268"/>
      <c r="N627" s="310"/>
      <c r="O627" s="268"/>
      <c r="P627" s="309"/>
      <c r="Q627" s="381"/>
      <c r="R627" s="268"/>
      <c r="S627" s="313"/>
      <c r="T627" s="313"/>
      <c r="U627" s="268"/>
      <c r="V627" s="268"/>
      <c r="W627" s="268"/>
      <c r="X627" s="268"/>
      <c r="Y627" s="268"/>
      <c r="Z627" s="268"/>
    </row>
    <row r="628" spans="1:26" ht="24.75" customHeight="1">
      <c r="A628" s="268"/>
      <c r="B628" s="268"/>
      <c r="C628" s="268"/>
      <c r="D628" s="268"/>
      <c r="E628" s="268"/>
      <c r="F628" s="268"/>
      <c r="G628" s="268"/>
      <c r="H628" s="389"/>
      <c r="I628" s="389"/>
      <c r="J628" s="389"/>
      <c r="K628" s="268"/>
      <c r="L628" s="268"/>
      <c r="M628" s="268"/>
      <c r="N628" s="310"/>
      <c r="O628" s="268"/>
      <c r="P628" s="309"/>
      <c r="Q628" s="381"/>
      <c r="R628" s="268"/>
      <c r="S628" s="313"/>
      <c r="T628" s="313"/>
      <c r="U628" s="268"/>
      <c r="V628" s="268"/>
      <c r="W628" s="268"/>
      <c r="X628" s="268"/>
      <c r="Y628" s="268"/>
      <c r="Z628" s="268"/>
    </row>
    <row r="629" spans="1:26" ht="24.75" customHeight="1">
      <c r="A629" s="268"/>
      <c r="B629" s="268"/>
      <c r="C629" s="268"/>
      <c r="D629" s="268"/>
      <c r="E629" s="268"/>
      <c r="F629" s="268"/>
      <c r="G629" s="268"/>
      <c r="H629" s="389"/>
      <c r="I629" s="389"/>
      <c r="J629" s="389"/>
      <c r="K629" s="268"/>
      <c r="L629" s="268"/>
      <c r="M629" s="268"/>
      <c r="N629" s="310"/>
      <c r="O629" s="268"/>
      <c r="P629" s="309"/>
      <c r="Q629" s="381"/>
      <c r="R629" s="268"/>
      <c r="S629" s="313"/>
      <c r="T629" s="313"/>
      <c r="U629" s="268"/>
      <c r="V629" s="268"/>
      <c r="W629" s="268"/>
      <c r="X629" s="268"/>
      <c r="Y629" s="268"/>
      <c r="Z629" s="268"/>
    </row>
    <row r="630" spans="1:26" ht="24.75" customHeight="1">
      <c r="A630" s="268"/>
      <c r="B630" s="268"/>
      <c r="C630" s="268"/>
      <c r="D630" s="268"/>
      <c r="E630" s="268"/>
      <c r="F630" s="268"/>
      <c r="G630" s="268"/>
      <c r="H630" s="389"/>
      <c r="I630" s="389"/>
      <c r="J630" s="389"/>
      <c r="K630" s="268"/>
      <c r="L630" s="268"/>
      <c r="M630" s="268"/>
      <c r="N630" s="310"/>
      <c r="O630" s="268"/>
      <c r="P630" s="309"/>
      <c r="Q630" s="381"/>
      <c r="R630" s="268"/>
      <c r="S630" s="313"/>
      <c r="T630" s="313"/>
      <c r="U630" s="268"/>
      <c r="V630" s="268"/>
      <c r="W630" s="268"/>
      <c r="X630" s="268"/>
      <c r="Y630" s="268"/>
      <c r="Z630" s="268"/>
    </row>
    <row r="631" spans="1:26" ht="24.75" customHeight="1">
      <c r="A631" s="268"/>
      <c r="B631" s="268"/>
      <c r="C631" s="268"/>
      <c r="D631" s="268"/>
      <c r="E631" s="268"/>
      <c r="F631" s="268"/>
      <c r="G631" s="268"/>
      <c r="H631" s="389"/>
      <c r="I631" s="389"/>
      <c r="J631" s="389"/>
      <c r="K631" s="268"/>
      <c r="L631" s="268"/>
      <c r="M631" s="268"/>
      <c r="N631" s="310"/>
      <c r="O631" s="268"/>
      <c r="P631" s="309"/>
      <c r="Q631" s="381"/>
      <c r="R631" s="268"/>
      <c r="S631" s="313"/>
      <c r="T631" s="313"/>
      <c r="U631" s="268"/>
      <c r="V631" s="268"/>
      <c r="W631" s="268"/>
      <c r="X631" s="268"/>
      <c r="Y631" s="268"/>
      <c r="Z631" s="268"/>
    </row>
    <row r="632" spans="1:26" ht="24.75" customHeight="1">
      <c r="A632" s="268"/>
      <c r="B632" s="268"/>
      <c r="C632" s="268"/>
      <c r="D632" s="268"/>
      <c r="E632" s="268"/>
      <c r="F632" s="268"/>
      <c r="G632" s="268"/>
      <c r="H632" s="389"/>
      <c r="I632" s="389"/>
      <c r="J632" s="389"/>
      <c r="K632" s="268"/>
      <c r="L632" s="268"/>
      <c r="M632" s="268"/>
      <c r="N632" s="310"/>
      <c r="O632" s="268"/>
      <c r="P632" s="309"/>
      <c r="Q632" s="381"/>
      <c r="R632" s="268"/>
      <c r="S632" s="313"/>
      <c r="T632" s="313"/>
      <c r="U632" s="268"/>
      <c r="V632" s="268"/>
      <c r="W632" s="268"/>
      <c r="X632" s="268"/>
      <c r="Y632" s="268"/>
      <c r="Z632" s="268"/>
    </row>
    <row r="633" spans="1:26" ht="24.75" customHeight="1">
      <c r="A633" s="268"/>
      <c r="B633" s="268"/>
      <c r="C633" s="268"/>
      <c r="D633" s="268"/>
      <c r="E633" s="268"/>
      <c r="F633" s="268"/>
      <c r="G633" s="268"/>
      <c r="H633" s="389"/>
      <c r="I633" s="389"/>
      <c r="J633" s="389"/>
      <c r="K633" s="268"/>
      <c r="L633" s="268"/>
      <c r="M633" s="268"/>
      <c r="N633" s="310"/>
      <c r="O633" s="268"/>
      <c r="P633" s="309"/>
      <c r="Q633" s="381"/>
      <c r="R633" s="268"/>
      <c r="S633" s="313"/>
      <c r="T633" s="313"/>
      <c r="U633" s="268"/>
      <c r="V633" s="268"/>
      <c r="W633" s="268"/>
      <c r="X633" s="268"/>
      <c r="Y633" s="268"/>
      <c r="Z633" s="268"/>
    </row>
    <row r="634" spans="1:26" ht="24.75" customHeight="1">
      <c r="A634" s="268"/>
      <c r="B634" s="268"/>
      <c r="C634" s="268"/>
      <c r="D634" s="268"/>
      <c r="E634" s="268"/>
      <c r="F634" s="268"/>
      <c r="G634" s="268"/>
      <c r="H634" s="389"/>
      <c r="I634" s="389"/>
      <c r="J634" s="389"/>
      <c r="K634" s="268"/>
      <c r="L634" s="268"/>
      <c r="M634" s="268"/>
      <c r="N634" s="310"/>
      <c r="O634" s="268"/>
      <c r="P634" s="309"/>
      <c r="Q634" s="381"/>
      <c r="R634" s="268"/>
      <c r="S634" s="313"/>
      <c r="T634" s="313"/>
      <c r="U634" s="268"/>
      <c r="V634" s="268"/>
      <c r="W634" s="268"/>
      <c r="X634" s="268"/>
      <c r="Y634" s="268"/>
      <c r="Z634" s="268"/>
    </row>
    <row r="635" spans="1:26" ht="24.75" customHeight="1">
      <c r="A635" s="268"/>
      <c r="B635" s="268"/>
      <c r="C635" s="268"/>
      <c r="D635" s="268"/>
      <c r="E635" s="268"/>
      <c r="F635" s="268"/>
      <c r="G635" s="268"/>
      <c r="H635" s="389"/>
      <c r="I635" s="389"/>
      <c r="J635" s="389"/>
      <c r="K635" s="268"/>
      <c r="L635" s="268"/>
      <c r="M635" s="268"/>
      <c r="N635" s="310"/>
      <c r="O635" s="268"/>
      <c r="P635" s="309"/>
      <c r="Q635" s="381"/>
      <c r="R635" s="268"/>
      <c r="S635" s="313"/>
      <c r="T635" s="313"/>
      <c r="U635" s="268"/>
      <c r="V635" s="268"/>
      <c r="W635" s="268"/>
      <c r="X635" s="268"/>
      <c r="Y635" s="268"/>
      <c r="Z635" s="268"/>
    </row>
    <row r="636" spans="1:26" ht="24.75" customHeight="1">
      <c r="A636" s="268"/>
      <c r="B636" s="268"/>
      <c r="C636" s="268"/>
      <c r="D636" s="268"/>
      <c r="E636" s="268"/>
      <c r="F636" s="268"/>
      <c r="G636" s="268"/>
      <c r="H636" s="389"/>
      <c r="I636" s="389"/>
      <c r="J636" s="389"/>
      <c r="K636" s="268"/>
      <c r="L636" s="268"/>
      <c r="M636" s="268"/>
      <c r="N636" s="310"/>
      <c r="O636" s="268"/>
      <c r="P636" s="309"/>
      <c r="Q636" s="381"/>
      <c r="R636" s="268"/>
      <c r="S636" s="313"/>
      <c r="T636" s="313"/>
      <c r="U636" s="268"/>
      <c r="V636" s="268"/>
      <c r="W636" s="268"/>
      <c r="X636" s="268"/>
      <c r="Y636" s="268"/>
      <c r="Z636" s="268"/>
    </row>
    <row r="637" spans="1:26" ht="24.75" customHeight="1">
      <c r="A637" s="268"/>
      <c r="B637" s="268"/>
      <c r="C637" s="268"/>
      <c r="D637" s="268"/>
      <c r="E637" s="268"/>
      <c r="F637" s="268"/>
      <c r="G637" s="268"/>
      <c r="H637" s="389"/>
      <c r="I637" s="389"/>
      <c r="J637" s="389"/>
      <c r="K637" s="268"/>
      <c r="L637" s="268"/>
      <c r="M637" s="268"/>
      <c r="N637" s="310"/>
      <c r="O637" s="268"/>
      <c r="P637" s="309"/>
      <c r="Q637" s="381"/>
      <c r="R637" s="268"/>
      <c r="S637" s="313"/>
      <c r="T637" s="313"/>
      <c r="U637" s="268"/>
      <c r="V637" s="268"/>
      <c r="W637" s="268"/>
      <c r="X637" s="268"/>
      <c r="Y637" s="268"/>
      <c r="Z637" s="268"/>
    </row>
    <row r="638" spans="1:26" ht="24.75" customHeight="1">
      <c r="A638" s="268"/>
      <c r="B638" s="268"/>
      <c r="C638" s="268"/>
      <c r="D638" s="268"/>
      <c r="E638" s="268"/>
      <c r="F638" s="268"/>
      <c r="G638" s="268"/>
      <c r="H638" s="389"/>
      <c r="I638" s="389"/>
      <c r="J638" s="389"/>
      <c r="K638" s="268"/>
      <c r="L638" s="268"/>
      <c r="M638" s="268"/>
      <c r="N638" s="310"/>
      <c r="O638" s="268"/>
      <c r="P638" s="309"/>
      <c r="Q638" s="381"/>
      <c r="R638" s="268"/>
      <c r="S638" s="313"/>
      <c r="T638" s="313"/>
      <c r="U638" s="268"/>
      <c r="V638" s="268"/>
      <c r="W638" s="268"/>
      <c r="X638" s="268"/>
      <c r="Y638" s="268"/>
      <c r="Z638" s="268"/>
    </row>
    <row r="639" spans="1:26" ht="24.75" customHeight="1">
      <c r="A639" s="268"/>
      <c r="B639" s="268"/>
      <c r="C639" s="268"/>
      <c r="D639" s="268"/>
      <c r="E639" s="268"/>
      <c r="F639" s="268"/>
      <c r="G639" s="268"/>
      <c r="H639" s="389"/>
      <c r="I639" s="389"/>
      <c r="J639" s="389"/>
      <c r="K639" s="268"/>
      <c r="L639" s="268"/>
      <c r="M639" s="268"/>
      <c r="N639" s="310"/>
      <c r="O639" s="268"/>
      <c r="P639" s="309"/>
      <c r="Q639" s="381"/>
      <c r="R639" s="268"/>
      <c r="S639" s="313"/>
      <c r="T639" s="313"/>
      <c r="U639" s="268"/>
      <c r="V639" s="268"/>
      <c r="W639" s="268"/>
      <c r="X639" s="268"/>
      <c r="Y639" s="268"/>
      <c r="Z639" s="268"/>
    </row>
    <row r="640" spans="1:26" ht="24.75" customHeight="1">
      <c r="A640" s="268"/>
      <c r="B640" s="268"/>
      <c r="C640" s="268"/>
      <c r="D640" s="268"/>
      <c r="E640" s="268"/>
      <c r="F640" s="268"/>
      <c r="G640" s="268"/>
      <c r="H640" s="389"/>
      <c r="I640" s="389"/>
      <c r="J640" s="389"/>
      <c r="K640" s="268"/>
      <c r="L640" s="268"/>
      <c r="M640" s="268"/>
      <c r="N640" s="310"/>
      <c r="O640" s="268"/>
      <c r="P640" s="309"/>
      <c r="Q640" s="381"/>
      <c r="R640" s="268"/>
      <c r="S640" s="313"/>
      <c r="T640" s="313"/>
      <c r="U640" s="268"/>
      <c r="V640" s="268"/>
      <c r="W640" s="268"/>
      <c r="X640" s="268"/>
      <c r="Y640" s="268"/>
      <c r="Z640" s="268"/>
    </row>
    <row r="641" spans="1:26" ht="24.75" customHeight="1">
      <c r="A641" s="268"/>
      <c r="B641" s="268"/>
      <c r="C641" s="268"/>
      <c r="D641" s="268"/>
      <c r="E641" s="268"/>
      <c r="F641" s="268"/>
      <c r="G641" s="268"/>
      <c r="H641" s="389"/>
      <c r="I641" s="389"/>
      <c r="J641" s="389"/>
      <c r="K641" s="268"/>
      <c r="L641" s="268"/>
      <c r="M641" s="268"/>
      <c r="N641" s="310"/>
      <c r="O641" s="268"/>
      <c r="P641" s="309"/>
      <c r="Q641" s="381"/>
      <c r="R641" s="268"/>
      <c r="S641" s="313"/>
      <c r="T641" s="313"/>
      <c r="U641" s="268"/>
      <c r="V641" s="268"/>
      <c r="W641" s="268"/>
      <c r="X641" s="268"/>
      <c r="Y641" s="268"/>
      <c r="Z641" s="268"/>
    </row>
    <row r="642" spans="1:26" ht="24.75" customHeight="1">
      <c r="A642" s="268"/>
      <c r="B642" s="268"/>
      <c r="C642" s="268"/>
      <c r="D642" s="268"/>
      <c r="E642" s="268"/>
      <c r="F642" s="268"/>
      <c r="G642" s="268"/>
      <c r="H642" s="389"/>
      <c r="I642" s="389"/>
      <c r="J642" s="389"/>
      <c r="K642" s="268"/>
      <c r="L642" s="268"/>
      <c r="M642" s="268"/>
      <c r="N642" s="310"/>
      <c r="O642" s="268"/>
      <c r="P642" s="309"/>
      <c r="Q642" s="381"/>
      <c r="R642" s="268"/>
      <c r="S642" s="313"/>
      <c r="T642" s="313"/>
      <c r="U642" s="268"/>
      <c r="V642" s="268"/>
      <c r="W642" s="268"/>
      <c r="X642" s="268"/>
      <c r="Y642" s="268"/>
      <c r="Z642" s="268"/>
    </row>
    <row r="643" spans="1:26" ht="24.75" customHeight="1">
      <c r="A643" s="268"/>
      <c r="B643" s="268"/>
      <c r="C643" s="268"/>
      <c r="D643" s="268"/>
      <c r="E643" s="268"/>
      <c r="F643" s="268"/>
      <c r="G643" s="268"/>
      <c r="H643" s="389"/>
      <c r="I643" s="389"/>
      <c r="J643" s="389"/>
      <c r="K643" s="268"/>
      <c r="L643" s="268"/>
      <c r="M643" s="268"/>
      <c r="N643" s="310"/>
      <c r="O643" s="268"/>
      <c r="P643" s="309"/>
      <c r="Q643" s="381"/>
      <c r="R643" s="268"/>
      <c r="S643" s="313"/>
      <c r="T643" s="313"/>
      <c r="U643" s="268"/>
      <c r="V643" s="268"/>
      <c r="W643" s="268"/>
      <c r="X643" s="268"/>
      <c r="Y643" s="268"/>
      <c r="Z643" s="268"/>
    </row>
    <row r="644" spans="1:26" ht="24.75" customHeight="1">
      <c r="A644" s="268"/>
      <c r="B644" s="268"/>
      <c r="C644" s="268"/>
      <c r="D644" s="268"/>
      <c r="E644" s="268"/>
      <c r="F644" s="268"/>
      <c r="G644" s="268"/>
      <c r="H644" s="389"/>
      <c r="I644" s="389"/>
      <c r="J644" s="389"/>
      <c r="K644" s="268"/>
      <c r="L644" s="268"/>
      <c r="M644" s="268"/>
      <c r="N644" s="310"/>
      <c r="O644" s="268"/>
      <c r="P644" s="309"/>
      <c r="Q644" s="381"/>
      <c r="R644" s="268"/>
      <c r="S644" s="313"/>
      <c r="T644" s="313"/>
      <c r="U644" s="268"/>
      <c r="V644" s="268"/>
      <c r="W644" s="268"/>
      <c r="X644" s="268"/>
      <c r="Y644" s="268"/>
      <c r="Z644" s="268"/>
    </row>
    <row r="645" spans="1:26" ht="24.75" customHeight="1">
      <c r="A645" s="268"/>
      <c r="B645" s="268"/>
      <c r="C645" s="268"/>
      <c r="D645" s="268"/>
      <c r="E645" s="268"/>
      <c r="F645" s="268"/>
      <c r="G645" s="268"/>
      <c r="H645" s="389"/>
      <c r="I645" s="389"/>
      <c r="J645" s="389"/>
      <c r="K645" s="268"/>
      <c r="L645" s="268"/>
      <c r="M645" s="268"/>
      <c r="N645" s="310"/>
      <c r="O645" s="268"/>
      <c r="P645" s="309"/>
      <c r="Q645" s="381"/>
      <c r="R645" s="268"/>
      <c r="S645" s="313"/>
      <c r="T645" s="313"/>
      <c r="U645" s="268"/>
      <c r="V645" s="268"/>
      <c r="W645" s="268"/>
      <c r="X645" s="268"/>
      <c r="Y645" s="268"/>
      <c r="Z645" s="268"/>
    </row>
    <row r="646" spans="1:26" ht="24.75" customHeight="1">
      <c r="A646" s="268"/>
      <c r="B646" s="268"/>
      <c r="C646" s="268"/>
      <c r="D646" s="268"/>
      <c r="E646" s="268"/>
      <c r="F646" s="268"/>
      <c r="G646" s="268"/>
      <c r="H646" s="389"/>
      <c r="I646" s="389"/>
      <c r="J646" s="389"/>
      <c r="K646" s="268"/>
      <c r="L646" s="268"/>
      <c r="M646" s="268"/>
      <c r="N646" s="310"/>
      <c r="O646" s="268"/>
      <c r="P646" s="309"/>
      <c r="Q646" s="381"/>
      <c r="R646" s="268"/>
      <c r="S646" s="313"/>
      <c r="T646" s="313"/>
      <c r="U646" s="268"/>
      <c r="V646" s="268"/>
      <c r="W646" s="268"/>
      <c r="X646" s="268"/>
      <c r="Y646" s="268"/>
      <c r="Z646" s="268"/>
    </row>
    <row r="647" spans="1:26" ht="24.75" customHeight="1">
      <c r="A647" s="268"/>
      <c r="B647" s="268"/>
      <c r="C647" s="268"/>
      <c r="D647" s="268"/>
      <c r="E647" s="268"/>
      <c r="F647" s="268"/>
      <c r="G647" s="268"/>
      <c r="H647" s="389"/>
      <c r="I647" s="389"/>
      <c r="J647" s="389"/>
      <c r="K647" s="268"/>
      <c r="L647" s="268"/>
      <c r="M647" s="268"/>
      <c r="N647" s="310"/>
      <c r="O647" s="268"/>
      <c r="P647" s="309"/>
      <c r="Q647" s="381"/>
      <c r="R647" s="268"/>
      <c r="S647" s="313"/>
      <c r="T647" s="313"/>
      <c r="U647" s="268"/>
      <c r="V647" s="268"/>
      <c r="W647" s="268"/>
      <c r="X647" s="268"/>
      <c r="Y647" s="268"/>
      <c r="Z647" s="268"/>
    </row>
    <row r="648" spans="1:26" ht="24.75" customHeight="1">
      <c r="A648" s="268"/>
      <c r="B648" s="268"/>
      <c r="C648" s="268"/>
      <c r="D648" s="268"/>
      <c r="E648" s="268"/>
      <c r="F648" s="268"/>
      <c r="G648" s="268"/>
      <c r="H648" s="389"/>
      <c r="I648" s="389"/>
      <c r="J648" s="389"/>
      <c r="K648" s="268"/>
      <c r="L648" s="268"/>
      <c r="M648" s="268"/>
      <c r="N648" s="310"/>
      <c r="O648" s="268"/>
      <c r="P648" s="309"/>
      <c r="Q648" s="381"/>
      <c r="R648" s="268"/>
      <c r="S648" s="313"/>
      <c r="T648" s="313"/>
      <c r="U648" s="268"/>
      <c r="V648" s="268"/>
      <c r="W648" s="268"/>
      <c r="X648" s="268"/>
      <c r="Y648" s="268"/>
      <c r="Z648" s="268"/>
    </row>
    <row r="649" spans="1:26" ht="24.75" customHeight="1">
      <c r="A649" s="268"/>
      <c r="B649" s="268"/>
      <c r="C649" s="268"/>
      <c r="D649" s="268"/>
      <c r="E649" s="268"/>
      <c r="F649" s="268"/>
      <c r="G649" s="268"/>
      <c r="H649" s="389"/>
      <c r="I649" s="389"/>
      <c r="J649" s="389"/>
      <c r="K649" s="268"/>
      <c r="L649" s="268"/>
      <c r="M649" s="268"/>
      <c r="N649" s="310"/>
      <c r="O649" s="268"/>
      <c r="P649" s="309"/>
      <c r="Q649" s="381"/>
      <c r="R649" s="268"/>
      <c r="S649" s="313"/>
      <c r="T649" s="313"/>
      <c r="U649" s="268"/>
      <c r="V649" s="268"/>
      <c r="W649" s="268"/>
      <c r="X649" s="268"/>
      <c r="Y649" s="268"/>
      <c r="Z649" s="268"/>
    </row>
    <row r="650" spans="1:26" ht="24.75" customHeight="1">
      <c r="A650" s="268"/>
      <c r="B650" s="268"/>
      <c r="C650" s="268"/>
      <c r="D650" s="268"/>
      <c r="E650" s="268"/>
      <c r="F650" s="268"/>
      <c r="G650" s="268"/>
      <c r="H650" s="389"/>
      <c r="I650" s="389"/>
      <c r="J650" s="389"/>
      <c r="K650" s="268"/>
      <c r="L650" s="268"/>
      <c r="M650" s="268"/>
      <c r="N650" s="310"/>
      <c r="O650" s="268"/>
      <c r="P650" s="309"/>
      <c r="Q650" s="381"/>
      <c r="R650" s="268"/>
      <c r="S650" s="313"/>
      <c r="T650" s="313"/>
      <c r="U650" s="268"/>
      <c r="V650" s="268"/>
      <c r="W650" s="268"/>
      <c r="X650" s="268"/>
      <c r="Y650" s="268"/>
      <c r="Z650" s="268"/>
    </row>
    <row r="651" spans="1:26" ht="24.75" customHeight="1">
      <c r="A651" s="268"/>
      <c r="B651" s="268"/>
      <c r="C651" s="268"/>
      <c r="D651" s="268"/>
      <c r="E651" s="268"/>
      <c r="F651" s="268"/>
      <c r="G651" s="268"/>
      <c r="H651" s="389"/>
      <c r="I651" s="389"/>
      <c r="J651" s="389"/>
      <c r="K651" s="268"/>
      <c r="L651" s="268"/>
      <c r="M651" s="268"/>
      <c r="N651" s="310"/>
      <c r="O651" s="268"/>
      <c r="P651" s="309"/>
      <c r="Q651" s="381"/>
      <c r="R651" s="268"/>
      <c r="S651" s="313"/>
      <c r="T651" s="313"/>
      <c r="U651" s="268"/>
      <c r="V651" s="268"/>
      <c r="W651" s="268"/>
      <c r="X651" s="268"/>
      <c r="Y651" s="268"/>
      <c r="Z651" s="268"/>
    </row>
    <row r="652" spans="1:26" ht="24.75" customHeight="1">
      <c r="A652" s="268"/>
      <c r="B652" s="268"/>
      <c r="C652" s="268"/>
      <c r="D652" s="268"/>
      <c r="E652" s="268"/>
      <c r="F652" s="268"/>
      <c r="G652" s="268"/>
      <c r="H652" s="389"/>
      <c r="I652" s="389"/>
      <c r="J652" s="389"/>
      <c r="K652" s="268"/>
      <c r="L652" s="268"/>
      <c r="M652" s="268"/>
      <c r="N652" s="310"/>
      <c r="O652" s="268"/>
      <c r="P652" s="309"/>
      <c r="Q652" s="381"/>
      <c r="R652" s="268"/>
      <c r="S652" s="313"/>
      <c r="T652" s="313"/>
      <c r="U652" s="268"/>
      <c r="V652" s="268"/>
      <c r="W652" s="268"/>
      <c r="X652" s="268"/>
      <c r="Y652" s="268"/>
      <c r="Z652" s="268"/>
    </row>
    <row r="653" spans="1:26" ht="24.75" customHeight="1">
      <c r="A653" s="268"/>
      <c r="B653" s="268"/>
      <c r="C653" s="268"/>
      <c r="D653" s="268"/>
      <c r="E653" s="268"/>
      <c r="F653" s="268"/>
      <c r="G653" s="268"/>
      <c r="H653" s="389"/>
      <c r="I653" s="389"/>
      <c r="J653" s="389"/>
      <c r="K653" s="268"/>
      <c r="L653" s="268"/>
      <c r="M653" s="268"/>
      <c r="N653" s="310"/>
      <c r="O653" s="268"/>
      <c r="P653" s="309"/>
      <c r="Q653" s="381"/>
      <c r="R653" s="268"/>
      <c r="S653" s="313"/>
      <c r="T653" s="313"/>
      <c r="U653" s="268"/>
      <c r="V653" s="268"/>
      <c r="W653" s="268"/>
      <c r="X653" s="268"/>
      <c r="Y653" s="268"/>
      <c r="Z653" s="268"/>
    </row>
    <row r="654" spans="1:26" ht="24.75" customHeight="1">
      <c r="A654" s="268"/>
      <c r="B654" s="268"/>
      <c r="C654" s="268"/>
      <c r="D654" s="268"/>
      <c r="E654" s="268"/>
      <c r="F654" s="268"/>
      <c r="G654" s="268"/>
      <c r="H654" s="389"/>
      <c r="I654" s="389"/>
      <c r="J654" s="389"/>
      <c r="K654" s="268"/>
      <c r="L654" s="268"/>
      <c r="M654" s="268"/>
      <c r="N654" s="310"/>
      <c r="O654" s="268"/>
      <c r="P654" s="309"/>
      <c r="Q654" s="381"/>
      <c r="R654" s="268"/>
      <c r="S654" s="313"/>
      <c r="T654" s="313"/>
      <c r="U654" s="268"/>
      <c r="V654" s="268"/>
      <c r="W654" s="268"/>
      <c r="X654" s="268"/>
      <c r="Y654" s="268"/>
      <c r="Z654" s="268"/>
    </row>
    <row r="655" spans="1:26" ht="24.75" customHeight="1">
      <c r="A655" s="268"/>
      <c r="B655" s="268"/>
      <c r="C655" s="268"/>
      <c r="D655" s="268"/>
      <c r="E655" s="268"/>
      <c r="F655" s="268"/>
      <c r="G655" s="268"/>
      <c r="H655" s="389"/>
      <c r="I655" s="389"/>
      <c r="J655" s="389"/>
      <c r="K655" s="268"/>
      <c r="L655" s="268"/>
      <c r="M655" s="268"/>
      <c r="N655" s="310"/>
      <c r="O655" s="268"/>
      <c r="P655" s="309"/>
      <c r="Q655" s="381"/>
      <c r="R655" s="268"/>
      <c r="S655" s="313"/>
      <c r="T655" s="313"/>
      <c r="U655" s="268"/>
      <c r="V655" s="268"/>
      <c r="W655" s="268"/>
      <c r="X655" s="268"/>
      <c r="Y655" s="268"/>
      <c r="Z655" s="268"/>
    </row>
    <row r="656" spans="1:26" ht="24.75" customHeight="1">
      <c r="A656" s="268"/>
      <c r="B656" s="268"/>
      <c r="C656" s="268"/>
      <c r="D656" s="268"/>
      <c r="E656" s="268"/>
      <c r="F656" s="268"/>
      <c r="G656" s="268"/>
      <c r="H656" s="389"/>
      <c r="I656" s="389"/>
      <c r="J656" s="389"/>
      <c r="K656" s="268"/>
      <c r="L656" s="268"/>
      <c r="M656" s="268"/>
      <c r="N656" s="310"/>
      <c r="O656" s="268"/>
      <c r="P656" s="309"/>
      <c r="Q656" s="381"/>
      <c r="R656" s="268"/>
      <c r="S656" s="313"/>
      <c r="T656" s="313"/>
      <c r="U656" s="268"/>
      <c r="V656" s="268"/>
      <c r="W656" s="268"/>
      <c r="X656" s="268"/>
      <c r="Y656" s="268"/>
      <c r="Z656" s="268"/>
    </row>
    <row r="657" spans="1:26" ht="24.75" customHeight="1">
      <c r="A657" s="268"/>
      <c r="B657" s="268"/>
      <c r="C657" s="268"/>
      <c r="D657" s="268"/>
      <c r="E657" s="268"/>
      <c r="F657" s="268"/>
      <c r="G657" s="268"/>
      <c r="H657" s="389"/>
      <c r="I657" s="389"/>
      <c r="J657" s="389"/>
      <c r="K657" s="268"/>
      <c r="L657" s="268"/>
      <c r="M657" s="268"/>
      <c r="N657" s="310"/>
      <c r="O657" s="268"/>
      <c r="P657" s="309"/>
      <c r="Q657" s="381"/>
      <c r="R657" s="268"/>
      <c r="S657" s="313"/>
      <c r="T657" s="313"/>
      <c r="U657" s="268"/>
      <c r="V657" s="268"/>
      <c r="W657" s="268"/>
      <c r="X657" s="268"/>
      <c r="Y657" s="268"/>
      <c r="Z657" s="268"/>
    </row>
    <row r="658" spans="1:26" ht="24.75" customHeight="1">
      <c r="A658" s="268"/>
      <c r="B658" s="268"/>
      <c r="C658" s="268"/>
      <c r="D658" s="268"/>
      <c r="E658" s="268"/>
      <c r="F658" s="268"/>
      <c r="G658" s="268"/>
      <c r="H658" s="389"/>
      <c r="I658" s="389"/>
      <c r="J658" s="389"/>
      <c r="K658" s="268"/>
      <c r="L658" s="268"/>
      <c r="M658" s="268"/>
      <c r="N658" s="310"/>
      <c r="O658" s="268"/>
      <c r="P658" s="309"/>
      <c r="Q658" s="381"/>
      <c r="R658" s="268"/>
      <c r="S658" s="313"/>
      <c r="T658" s="313"/>
      <c r="U658" s="268"/>
      <c r="V658" s="268"/>
      <c r="W658" s="268"/>
      <c r="X658" s="268"/>
      <c r="Y658" s="268"/>
      <c r="Z658" s="268"/>
    </row>
    <row r="659" spans="1:26" ht="24.75" customHeight="1">
      <c r="A659" s="268"/>
      <c r="B659" s="268"/>
      <c r="C659" s="268"/>
      <c r="D659" s="268"/>
      <c r="E659" s="268"/>
      <c r="F659" s="268"/>
      <c r="G659" s="268"/>
      <c r="H659" s="389"/>
      <c r="I659" s="389"/>
      <c r="J659" s="389"/>
      <c r="K659" s="268"/>
      <c r="L659" s="268"/>
      <c r="M659" s="268"/>
      <c r="N659" s="310"/>
      <c r="O659" s="268"/>
      <c r="P659" s="309"/>
      <c r="Q659" s="381"/>
      <c r="R659" s="268"/>
      <c r="S659" s="313"/>
      <c r="T659" s="313"/>
      <c r="U659" s="268"/>
      <c r="V659" s="268"/>
      <c r="W659" s="268"/>
      <c r="X659" s="268"/>
      <c r="Y659" s="268"/>
      <c r="Z659" s="268"/>
    </row>
    <row r="660" spans="1:26" ht="24.75" customHeight="1">
      <c r="A660" s="268"/>
      <c r="B660" s="268"/>
      <c r="C660" s="268"/>
      <c r="D660" s="268"/>
      <c r="E660" s="268"/>
      <c r="F660" s="268"/>
      <c r="G660" s="268"/>
      <c r="H660" s="389"/>
      <c r="I660" s="389"/>
      <c r="J660" s="389"/>
      <c r="K660" s="268"/>
      <c r="L660" s="268"/>
      <c r="M660" s="268"/>
      <c r="N660" s="310"/>
      <c r="O660" s="268"/>
      <c r="P660" s="309"/>
      <c r="Q660" s="381"/>
      <c r="R660" s="268"/>
      <c r="S660" s="313"/>
      <c r="T660" s="313"/>
      <c r="U660" s="268"/>
      <c r="V660" s="268"/>
      <c r="W660" s="268"/>
      <c r="X660" s="268"/>
      <c r="Y660" s="268"/>
      <c r="Z660" s="268"/>
    </row>
    <row r="661" spans="1:26" ht="24.75" customHeight="1">
      <c r="A661" s="268"/>
      <c r="B661" s="268"/>
      <c r="C661" s="268"/>
      <c r="D661" s="268"/>
      <c r="E661" s="268"/>
      <c r="F661" s="268"/>
      <c r="G661" s="268"/>
      <c r="H661" s="389"/>
      <c r="I661" s="389"/>
      <c r="J661" s="389"/>
      <c r="K661" s="268"/>
      <c r="L661" s="268"/>
      <c r="M661" s="268"/>
      <c r="N661" s="310"/>
      <c r="O661" s="268"/>
      <c r="P661" s="309"/>
      <c r="Q661" s="381"/>
      <c r="R661" s="268"/>
      <c r="S661" s="313"/>
      <c r="T661" s="313"/>
      <c r="U661" s="268"/>
      <c r="V661" s="268"/>
      <c r="W661" s="268"/>
      <c r="X661" s="268"/>
      <c r="Y661" s="268"/>
      <c r="Z661" s="268"/>
    </row>
    <row r="662" spans="1:26" ht="24.75" customHeight="1">
      <c r="A662" s="268"/>
      <c r="B662" s="268"/>
      <c r="C662" s="268"/>
      <c r="D662" s="268"/>
      <c r="E662" s="268"/>
      <c r="F662" s="268"/>
      <c r="G662" s="268"/>
      <c r="H662" s="389"/>
      <c r="I662" s="389"/>
      <c r="J662" s="389"/>
      <c r="K662" s="268"/>
      <c r="L662" s="268"/>
      <c r="M662" s="268"/>
      <c r="N662" s="310"/>
      <c r="O662" s="268"/>
      <c r="P662" s="309"/>
      <c r="Q662" s="381"/>
      <c r="R662" s="268"/>
      <c r="S662" s="313"/>
      <c r="T662" s="313"/>
      <c r="U662" s="268"/>
      <c r="V662" s="268"/>
      <c r="W662" s="268"/>
      <c r="X662" s="268"/>
      <c r="Y662" s="268"/>
      <c r="Z662" s="268"/>
    </row>
    <row r="663" spans="1:26" ht="24.75" customHeight="1">
      <c r="A663" s="268"/>
      <c r="B663" s="268"/>
      <c r="C663" s="268"/>
      <c r="D663" s="268"/>
      <c r="E663" s="268"/>
      <c r="F663" s="268"/>
      <c r="G663" s="268"/>
      <c r="H663" s="389"/>
      <c r="I663" s="389"/>
      <c r="J663" s="389"/>
      <c r="K663" s="268"/>
      <c r="L663" s="268"/>
      <c r="M663" s="268"/>
      <c r="N663" s="310"/>
      <c r="O663" s="268"/>
      <c r="P663" s="309"/>
      <c r="Q663" s="381"/>
      <c r="R663" s="268"/>
      <c r="S663" s="313"/>
      <c r="T663" s="313"/>
      <c r="U663" s="268"/>
      <c r="V663" s="268"/>
      <c r="W663" s="268"/>
      <c r="X663" s="268"/>
      <c r="Y663" s="268"/>
      <c r="Z663" s="268"/>
    </row>
    <row r="664" spans="1:26" ht="24.75" customHeight="1">
      <c r="A664" s="268"/>
      <c r="B664" s="268"/>
      <c r="C664" s="268"/>
      <c r="D664" s="268"/>
      <c r="E664" s="268"/>
      <c r="F664" s="268"/>
      <c r="G664" s="268"/>
      <c r="H664" s="389"/>
      <c r="I664" s="389"/>
      <c r="J664" s="389"/>
      <c r="K664" s="268"/>
      <c r="L664" s="268"/>
      <c r="M664" s="268"/>
      <c r="N664" s="310"/>
      <c r="O664" s="268"/>
      <c r="P664" s="309"/>
      <c r="Q664" s="381"/>
      <c r="R664" s="268"/>
      <c r="S664" s="313"/>
      <c r="T664" s="313"/>
      <c r="U664" s="268"/>
      <c r="V664" s="268"/>
      <c r="W664" s="268"/>
      <c r="X664" s="268"/>
      <c r="Y664" s="268"/>
      <c r="Z664" s="268"/>
    </row>
    <row r="665" spans="1:26" ht="24.75" customHeight="1">
      <c r="A665" s="268"/>
      <c r="B665" s="268"/>
      <c r="C665" s="268"/>
      <c r="D665" s="268"/>
      <c r="E665" s="268"/>
      <c r="F665" s="268"/>
      <c r="G665" s="268"/>
      <c r="H665" s="389"/>
      <c r="I665" s="389"/>
      <c r="J665" s="389"/>
      <c r="K665" s="268"/>
      <c r="L665" s="268"/>
      <c r="M665" s="268"/>
      <c r="N665" s="310"/>
      <c r="O665" s="268"/>
      <c r="P665" s="309"/>
      <c r="Q665" s="381"/>
      <c r="R665" s="268"/>
      <c r="S665" s="313"/>
      <c r="T665" s="313"/>
      <c r="U665" s="268"/>
      <c r="V665" s="268"/>
      <c r="W665" s="268"/>
      <c r="X665" s="268"/>
      <c r="Y665" s="268"/>
      <c r="Z665" s="268"/>
    </row>
    <row r="666" spans="1:26" ht="24.75" customHeight="1">
      <c r="A666" s="268"/>
      <c r="B666" s="268"/>
      <c r="C666" s="268"/>
      <c r="D666" s="268"/>
      <c r="E666" s="268"/>
      <c r="F666" s="268"/>
      <c r="G666" s="268"/>
      <c r="H666" s="389"/>
      <c r="I666" s="389"/>
      <c r="J666" s="389"/>
      <c r="K666" s="268"/>
      <c r="L666" s="268"/>
      <c r="M666" s="268"/>
      <c r="N666" s="310"/>
      <c r="O666" s="268"/>
      <c r="P666" s="309"/>
      <c r="Q666" s="381"/>
      <c r="R666" s="268"/>
      <c r="S666" s="313"/>
      <c r="T666" s="313"/>
      <c r="U666" s="268"/>
      <c r="V666" s="268"/>
      <c r="W666" s="268"/>
      <c r="X666" s="268"/>
      <c r="Y666" s="268"/>
      <c r="Z666" s="268"/>
    </row>
    <row r="667" spans="1:26" ht="24.75" customHeight="1">
      <c r="A667" s="268"/>
      <c r="B667" s="268"/>
      <c r="C667" s="268"/>
      <c r="D667" s="268"/>
      <c r="E667" s="268"/>
      <c r="F667" s="268"/>
      <c r="G667" s="268"/>
      <c r="H667" s="389"/>
      <c r="I667" s="389"/>
      <c r="J667" s="389"/>
      <c r="K667" s="268"/>
      <c r="L667" s="268"/>
      <c r="M667" s="268"/>
      <c r="N667" s="310"/>
      <c r="O667" s="268"/>
      <c r="P667" s="309"/>
      <c r="Q667" s="381"/>
      <c r="R667" s="268"/>
      <c r="S667" s="313"/>
      <c r="T667" s="313"/>
      <c r="U667" s="268"/>
      <c r="V667" s="268"/>
      <c r="W667" s="268"/>
      <c r="X667" s="268"/>
      <c r="Y667" s="268"/>
      <c r="Z667" s="268"/>
    </row>
    <row r="668" spans="1:26" ht="24.75" customHeight="1">
      <c r="A668" s="268"/>
      <c r="B668" s="268"/>
      <c r="C668" s="268"/>
      <c r="D668" s="268"/>
      <c r="E668" s="268"/>
      <c r="F668" s="268"/>
      <c r="G668" s="268"/>
      <c r="H668" s="389"/>
      <c r="I668" s="389"/>
      <c r="J668" s="389"/>
      <c r="K668" s="268"/>
      <c r="L668" s="268"/>
      <c r="M668" s="268"/>
      <c r="N668" s="310"/>
      <c r="O668" s="268"/>
      <c r="P668" s="309"/>
      <c r="Q668" s="381"/>
      <c r="R668" s="268"/>
      <c r="S668" s="313"/>
      <c r="T668" s="313"/>
      <c r="U668" s="268"/>
      <c r="V668" s="268"/>
      <c r="W668" s="268"/>
      <c r="X668" s="268"/>
      <c r="Y668" s="268"/>
      <c r="Z668" s="268"/>
    </row>
    <row r="669" spans="1:26" ht="24.75" customHeight="1">
      <c r="A669" s="268"/>
      <c r="B669" s="268"/>
      <c r="C669" s="268"/>
      <c r="D669" s="268"/>
      <c r="E669" s="268"/>
      <c r="F669" s="268"/>
      <c r="G669" s="268"/>
      <c r="H669" s="389"/>
      <c r="I669" s="389"/>
      <c r="J669" s="389"/>
      <c r="K669" s="268"/>
      <c r="L669" s="268"/>
      <c r="M669" s="268"/>
      <c r="N669" s="310"/>
      <c r="O669" s="268"/>
      <c r="P669" s="309"/>
      <c r="Q669" s="381"/>
      <c r="R669" s="268"/>
      <c r="S669" s="313"/>
      <c r="T669" s="313"/>
      <c r="U669" s="268"/>
      <c r="V669" s="268"/>
      <c r="W669" s="268"/>
      <c r="X669" s="268"/>
      <c r="Y669" s="268"/>
      <c r="Z669" s="268"/>
    </row>
    <row r="670" spans="1:26" ht="24.75" customHeight="1">
      <c r="A670" s="268"/>
      <c r="B670" s="268"/>
      <c r="C670" s="268"/>
      <c r="D670" s="268"/>
      <c r="E670" s="268"/>
      <c r="F670" s="268"/>
      <c r="G670" s="268"/>
      <c r="H670" s="389"/>
      <c r="I670" s="389"/>
      <c r="J670" s="389"/>
      <c r="K670" s="268"/>
      <c r="L670" s="268"/>
      <c r="M670" s="268"/>
      <c r="N670" s="310"/>
      <c r="O670" s="268"/>
      <c r="P670" s="309"/>
      <c r="Q670" s="381"/>
      <c r="R670" s="268"/>
      <c r="S670" s="313"/>
      <c r="T670" s="313"/>
      <c r="U670" s="268"/>
      <c r="V670" s="268"/>
      <c r="W670" s="268"/>
      <c r="X670" s="268"/>
      <c r="Y670" s="268"/>
      <c r="Z670" s="268"/>
    </row>
    <row r="671" spans="1:26" ht="24.75" customHeight="1">
      <c r="A671" s="268"/>
      <c r="B671" s="268"/>
      <c r="C671" s="268"/>
      <c r="D671" s="268"/>
      <c r="E671" s="268"/>
      <c r="F671" s="268"/>
      <c r="G671" s="268"/>
      <c r="H671" s="389"/>
      <c r="I671" s="389"/>
      <c r="J671" s="389"/>
      <c r="K671" s="268"/>
      <c r="L671" s="268"/>
      <c r="M671" s="268"/>
      <c r="N671" s="310"/>
      <c r="O671" s="268"/>
      <c r="P671" s="309"/>
      <c r="Q671" s="381"/>
      <c r="R671" s="268"/>
      <c r="S671" s="313"/>
      <c r="T671" s="313"/>
      <c r="U671" s="268"/>
      <c r="V671" s="268"/>
      <c r="W671" s="268"/>
      <c r="X671" s="268"/>
      <c r="Y671" s="268"/>
      <c r="Z671" s="268"/>
    </row>
    <row r="672" spans="1:26" ht="24.75" customHeight="1">
      <c r="A672" s="268"/>
      <c r="B672" s="268"/>
      <c r="C672" s="268"/>
      <c r="D672" s="268"/>
      <c r="E672" s="268"/>
      <c r="F672" s="268"/>
      <c r="G672" s="268"/>
      <c r="H672" s="389"/>
      <c r="I672" s="389"/>
      <c r="J672" s="389"/>
      <c r="K672" s="268"/>
      <c r="L672" s="268"/>
      <c r="M672" s="268"/>
      <c r="N672" s="310"/>
      <c r="O672" s="268"/>
      <c r="P672" s="309"/>
      <c r="Q672" s="381"/>
      <c r="R672" s="268"/>
      <c r="S672" s="313"/>
      <c r="T672" s="313"/>
      <c r="U672" s="268"/>
      <c r="V672" s="268"/>
      <c r="W672" s="268"/>
      <c r="X672" s="268"/>
      <c r="Y672" s="268"/>
      <c r="Z672" s="268"/>
    </row>
    <row r="673" spans="1:26" ht="24.75" customHeight="1">
      <c r="A673" s="268"/>
      <c r="B673" s="268"/>
      <c r="C673" s="268"/>
      <c r="D673" s="268"/>
      <c r="E673" s="268"/>
      <c r="F673" s="268"/>
      <c r="G673" s="268"/>
      <c r="H673" s="389"/>
      <c r="I673" s="389"/>
      <c r="J673" s="389"/>
      <c r="K673" s="268"/>
      <c r="L673" s="268"/>
      <c r="M673" s="268"/>
      <c r="N673" s="310"/>
      <c r="O673" s="268"/>
      <c r="P673" s="309"/>
      <c r="Q673" s="381"/>
      <c r="R673" s="268"/>
      <c r="S673" s="313"/>
      <c r="T673" s="313"/>
      <c r="U673" s="268"/>
      <c r="V673" s="268"/>
      <c r="W673" s="268"/>
      <c r="X673" s="268"/>
      <c r="Y673" s="268"/>
      <c r="Z673" s="268"/>
    </row>
    <row r="674" spans="1:26" ht="24.75" customHeight="1">
      <c r="A674" s="268"/>
      <c r="B674" s="268"/>
      <c r="C674" s="268"/>
      <c r="D674" s="268"/>
      <c r="E674" s="268"/>
      <c r="F674" s="268"/>
      <c r="G674" s="268"/>
      <c r="H674" s="389"/>
      <c r="I674" s="389"/>
      <c r="J674" s="389"/>
      <c r="K674" s="268"/>
      <c r="L674" s="268"/>
      <c r="M674" s="268"/>
      <c r="N674" s="310"/>
      <c r="O674" s="268"/>
      <c r="P674" s="309"/>
      <c r="Q674" s="381"/>
      <c r="R674" s="268"/>
      <c r="S674" s="313"/>
      <c r="T674" s="313"/>
      <c r="U674" s="268"/>
      <c r="V674" s="268"/>
      <c r="W674" s="268"/>
      <c r="X674" s="268"/>
      <c r="Y674" s="268"/>
      <c r="Z674" s="268"/>
    </row>
    <row r="675" spans="1:26" ht="24.75" customHeight="1">
      <c r="A675" s="268"/>
      <c r="B675" s="268"/>
      <c r="C675" s="268"/>
      <c r="D675" s="268"/>
      <c r="E675" s="268"/>
      <c r="F675" s="268"/>
      <c r="G675" s="268"/>
      <c r="H675" s="389"/>
      <c r="I675" s="389"/>
      <c r="J675" s="389"/>
      <c r="K675" s="268"/>
      <c r="L675" s="268"/>
      <c r="M675" s="268"/>
      <c r="N675" s="310"/>
      <c r="O675" s="268"/>
      <c r="P675" s="309"/>
      <c r="Q675" s="381"/>
      <c r="R675" s="268"/>
      <c r="S675" s="313"/>
      <c r="T675" s="313"/>
      <c r="U675" s="268"/>
      <c r="V675" s="268"/>
      <c r="W675" s="268"/>
      <c r="X675" s="268"/>
      <c r="Y675" s="268"/>
      <c r="Z675" s="268"/>
    </row>
    <row r="676" spans="1:26" ht="24.75" customHeight="1">
      <c r="A676" s="268"/>
      <c r="B676" s="268"/>
      <c r="C676" s="268"/>
      <c r="D676" s="268"/>
      <c r="E676" s="268"/>
      <c r="F676" s="268"/>
      <c r="G676" s="268"/>
      <c r="H676" s="389"/>
      <c r="I676" s="389"/>
      <c r="J676" s="389"/>
      <c r="K676" s="268"/>
      <c r="L676" s="268"/>
      <c r="M676" s="268"/>
      <c r="N676" s="310"/>
      <c r="O676" s="268"/>
      <c r="P676" s="309"/>
      <c r="Q676" s="381"/>
      <c r="R676" s="268"/>
      <c r="S676" s="313"/>
      <c r="T676" s="313"/>
      <c r="U676" s="268"/>
      <c r="V676" s="268"/>
      <c r="W676" s="268"/>
      <c r="X676" s="268"/>
      <c r="Y676" s="268"/>
      <c r="Z676" s="268"/>
    </row>
    <row r="677" spans="1:26" ht="24.75" customHeight="1">
      <c r="A677" s="268"/>
      <c r="B677" s="268"/>
      <c r="C677" s="268"/>
      <c r="D677" s="268"/>
      <c r="E677" s="268"/>
      <c r="F677" s="268"/>
      <c r="G677" s="268"/>
      <c r="H677" s="389"/>
      <c r="I677" s="389"/>
      <c r="J677" s="389"/>
      <c r="K677" s="268"/>
      <c r="L677" s="268"/>
      <c r="M677" s="268"/>
      <c r="N677" s="310"/>
      <c r="O677" s="268"/>
      <c r="P677" s="309"/>
      <c r="Q677" s="381"/>
      <c r="R677" s="268"/>
      <c r="S677" s="313"/>
      <c r="T677" s="313"/>
      <c r="U677" s="268"/>
      <c r="V677" s="268"/>
      <c r="W677" s="268"/>
      <c r="X677" s="268"/>
      <c r="Y677" s="268"/>
      <c r="Z677" s="268"/>
    </row>
    <row r="678" spans="1:26" ht="24.75" customHeight="1">
      <c r="A678" s="268"/>
      <c r="B678" s="268"/>
      <c r="C678" s="268"/>
      <c r="D678" s="268"/>
      <c r="E678" s="268"/>
      <c r="F678" s="268"/>
      <c r="G678" s="268"/>
      <c r="H678" s="389"/>
      <c r="I678" s="389"/>
      <c r="J678" s="389"/>
      <c r="K678" s="268"/>
      <c r="L678" s="268"/>
      <c r="M678" s="268"/>
      <c r="N678" s="310"/>
      <c r="O678" s="268"/>
      <c r="P678" s="309"/>
      <c r="Q678" s="381"/>
      <c r="R678" s="268"/>
      <c r="S678" s="313"/>
      <c r="T678" s="313"/>
      <c r="U678" s="268"/>
      <c r="V678" s="268"/>
      <c r="W678" s="268"/>
      <c r="X678" s="268"/>
      <c r="Y678" s="268"/>
      <c r="Z678" s="268"/>
    </row>
    <row r="679" spans="1:26" ht="24.75" customHeight="1">
      <c r="A679" s="268"/>
      <c r="B679" s="268"/>
      <c r="C679" s="268"/>
      <c r="D679" s="268"/>
      <c r="E679" s="268"/>
      <c r="F679" s="268"/>
      <c r="G679" s="268"/>
      <c r="H679" s="389"/>
      <c r="I679" s="389"/>
      <c r="J679" s="389"/>
      <c r="K679" s="268"/>
      <c r="L679" s="268"/>
      <c r="M679" s="268"/>
      <c r="N679" s="310"/>
      <c r="O679" s="268"/>
      <c r="P679" s="309"/>
      <c r="Q679" s="381"/>
      <c r="R679" s="268"/>
      <c r="S679" s="313"/>
      <c r="T679" s="313"/>
      <c r="U679" s="268"/>
      <c r="V679" s="268"/>
      <c r="W679" s="268"/>
      <c r="X679" s="268"/>
      <c r="Y679" s="268"/>
      <c r="Z679" s="268"/>
    </row>
    <row r="680" spans="1:26" ht="24.75" customHeight="1">
      <c r="A680" s="268"/>
      <c r="B680" s="268"/>
      <c r="C680" s="268"/>
      <c r="D680" s="268"/>
      <c r="E680" s="268"/>
      <c r="F680" s="268"/>
      <c r="G680" s="268"/>
      <c r="H680" s="389"/>
      <c r="I680" s="389"/>
      <c r="J680" s="389"/>
      <c r="K680" s="268"/>
      <c r="L680" s="268"/>
      <c r="M680" s="268"/>
      <c r="N680" s="310"/>
      <c r="O680" s="268"/>
      <c r="P680" s="309"/>
      <c r="Q680" s="381"/>
      <c r="R680" s="268"/>
      <c r="S680" s="313"/>
      <c r="T680" s="313"/>
      <c r="U680" s="268"/>
      <c r="V680" s="268"/>
      <c r="W680" s="268"/>
      <c r="X680" s="268"/>
      <c r="Y680" s="268"/>
      <c r="Z680" s="268"/>
    </row>
    <row r="681" spans="1:26" ht="24.75" customHeight="1">
      <c r="A681" s="268"/>
      <c r="B681" s="268"/>
      <c r="C681" s="268"/>
      <c r="D681" s="268"/>
      <c r="E681" s="268"/>
      <c r="F681" s="268"/>
      <c r="G681" s="268"/>
      <c r="H681" s="389"/>
      <c r="I681" s="389"/>
      <c r="J681" s="389"/>
      <c r="K681" s="268"/>
      <c r="L681" s="268"/>
      <c r="M681" s="268"/>
      <c r="N681" s="310"/>
      <c r="O681" s="268"/>
      <c r="P681" s="309"/>
      <c r="Q681" s="381"/>
      <c r="R681" s="268"/>
      <c r="S681" s="313"/>
      <c r="T681" s="313"/>
      <c r="U681" s="268"/>
      <c r="V681" s="268"/>
      <c r="W681" s="268"/>
      <c r="X681" s="268"/>
      <c r="Y681" s="268"/>
      <c r="Z681" s="268"/>
    </row>
    <row r="682" spans="1:26" ht="24.75" customHeight="1">
      <c r="A682" s="268"/>
      <c r="B682" s="268"/>
      <c r="C682" s="268"/>
      <c r="D682" s="268"/>
      <c r="E682" s="268"/>
      <c r="F682" s="268"/>
      <c r="G682" s="268"/>
      <c r="H682" s="389"/>
      <c r="I682" s="389"/>
      <c r="J682" s="389"/>
      <c r="K682" s="268"/>
      <c r="L682" s="268"/>
      <c r="M682" s="268"/>
      <c r="N682" s="310"/>
      <c r="O682" s="268"/>
      <c r="P682" s="309"/>
      <c r="Q682" s="381"/>
      <c r="R682" s="268"/>
      <c r="S682" s="313"/>
      <c r="T682" s="313"/>
      <c r="U682" s="268"/>
      <c r="V682" s="268"/>
      <c r="W682" s="268"/>
      <c r="X682" s="268"/>
      <c r="Y682" s="268"/>
      <c r="Z682" s="268"/>
    </row>
    <row r="683" spans="1:26" ht="24.75" customHeight="1">
      <c r="A683" s="268"/>
      <c r="B683" s="268"/>
      <c r="C683" s="268"/>
      <c r="D683" s="268"/>
      <c r="E683" s="268"/>
      <c r="F683" s="268"/>
      <c r="G683" s="268"/>
      <c r="H683" s="389"/>
      <c r="I683" s="389"/>
      <c r="J683" s="389"/>
      <c r="K683" s="268"/>
      <c r="L683" s="268"/>
      <c r="M683" s="268"/>
      <c r="N683" s="310"/>
      <c r="O683" s="268"/>
      <c r="P683" s="309"/>
      <c r="Q683" s="381"/>
      <c r="R683" s="268"/>
      <c r="S683" s="313"/>
      <c r="T683" s="313"/>
      <c r="U683" s="268"/>
      <c r="V683" s="268"/>
      <c r="W683" s="268"/>
      <c r="X683" s="268"/>
      <c r="Y683" s="268"/>
      <c r="Z683" s="268"/>
    </row>
    <row r="684" spans="1:26" ht="24.75" customHeight="1">
      <c r="A684" s="268"/>
      <c r="B684" s="268"/>
      <c r="C684" s="268"/>
      <c r="D684" s="268"/>
      <c r="E684" s="268"/>
      <c r="F684" s="268"/>
      <c r="G684" s="268"/>
      <c r="H684" s="389"/>
      <c r="I684" s="389"/>
      <c r="J684" s="389"/>
      <c r="K684" s="268"/>
      <c r="L684" s="268"/>
      <c r="M684" s="268"/>
      <c r="N684" s="310"/>
      <c r="O684" s="268"/>
      <c r="P684" s="309"/>
      <c r="Q684" s="381"/>
      <c r="R684" s="268"/>
      <c r="S684" s="313"/>
      <c r="T684" s="313"/>
      <c r="U684" s="268"/>
      <c r="V684" s="268"/>
      <c r="W684" s="268"/>
      <c r="X684" s="268"/>
      <c r="Y684" s="268"/>
      <c r="Z684" s="268"/>
    </row>
    <row r="685" spans="1:26" ht="24.75" customHeight="1">
      <c r="A685" s="268"/>
      <c r="B685" s="268"/>
      <c r="C685" s="268"/>
      <c r="D685" s="268"/>
      <c r="E685" s="268"/>
      <c r="F685" s="268"/>
      <c r="G685" s="268"/>
      <c r="H685" s="389"/>
      <c r="I685" s="389"/>
      <c r="J685" s="389"/>
      <c r="K685" s="268"/>
      <c r="L685" s="268"/>
      <c r="M685" s="268"/>
      <c r="N685" s="310"/>
      <c r="O685" s="268"/>
      <c r="P685" s="309"/>
      <c r="Q685" s="381"/>
      <c r="R685" s="268"/>
      <c r="S685" s="313"/>
      <c r="T685" s="313"/>
      <c r="U685" s="268"/>
      <c r="V685" s="268"/>
      <c r="W685" s="268"/>
      <c r="X685" s="268"/>
      <c r="Y685" s="268"/>
      <c r="Z685" s="268"/>
    </row>
    <row r="686" spans="1:26" ht="24.75" customHeight="1">
      <c r="A686" s="268"/>
      <c r="B686" s="268"/>
      <c r="C686" s="268"/>
      <c r="D686" s="268"/>
      <c r="E686" s="268"/>
      <c r="F686" s="268"/>
      <c r="G686" s="268"/>
      <c r="H686" s="389"/>
      <c r="I686" s="389"/>
      <c r="J686" s="389"/>
      <c r="K686" s="268"/>
      <c r="L686" s="268"/>
      <c r="M686" s="268"/>
      <c r="N686" s="310"/>
      <c r="O686" s="268"/>
      <c r="P686" s="309"/>
      <c r="Q686" s="381"/>
      <c r="R686" s="268"/>
      <c r="S686" s="313"/>
      <c r="T686" s="313"/>
      <c r="U686" s="268"/>
      <c r="V686" s="268"/>
      <c r="W686" s="268"/>
      <c r="X686" s="268"/>
      <c r="Y686" s="268"/>
      <c r="Z686" s="268"/>
    </row>
    <row r="687" spans="1:26" ht="24.75" customHeight="1">
      <c r="A687" s="268"/>
      <c r="B687" s="268"/>
      <c r="C687" s="268"/>
      <c r="D687" s="268"/>
      <c r="E687" s="268"/>
      <c r="F687" s="268"/>
      <c r="G687" s="268"/>
      <c r="H687" s="389"/>
      <c r="I687" s="389"/>
      <c r="J687" s="389"/>
      <c r="K687" s="268"/>
      <c r="L687" s="268"/>
      <c r="M687" s="268"/>
      <c r="N687" s="310"/>
      <c r="O687" s="268"/>
      <c r="P687" s="309"/>
      <c r="Q687" s="381"/>
      <c r="R687" s="268"/>
      <c r="S687" s="313"/>
      <c r="T687" s="313"/>
      <c r="U687" s="268"/>
      <c r="V687" s="268"/>
      <c r="W687" s="268"/>
      <c r="X687" s="268"/>
      <c r="Y687" s="268"/>
      <c r="Z687" s="268"/>
    </row>
    <row r="688" spans="1:26" ht="24.75" customHeight="1">
      <c r="A688" s="268"/>
      <c r="B688" s="268"/>
      <c r="C688" s="268"/>
      <c r="D688" s="268"/>
      <c r="E688" s="268"/>
      <c r="F688" s="268"/>
      <c r="G688" s="268"/>
      <c r="H688" s="389"/>
      <c r="I688" s="389"/>
      <c r="J688" s="389"/>
      <c r="K688" s="268"/>
      <c r="L688" s="268"/>
      <c r="M688" s="268"/>
      <c r="N688" s="310"/>
      <c r="O688" s="268"/>
      <c r="P688" s="309"/>
      <c r="Q688" s="381"/>
      <c r="R688" s="268"/>
      <c r="S688" s="313"/>
      <c r="T688" s="313"/>
      <c r="U688" s="268"/>
      <c r="V688" s="268"/>
      <c r="W688" s="268"/>
      <c r="X688" s="268"/>
      <c r="Y688" s="268"/>
      <c r="Z688" s="268"/>
    </row>
    <row r="689" spans="1:26" ht="24.75" customHeight="1">
      <c r="A689" s="268"/>
      <c r="B689" s="268"/>
      <c r="C689" s="268"/>
      <c r="D689" s="268"/>
      <c r="E689" s="268"/>
      <c r="F689" s="268"/>
      <c r="G689" s="268"/>
      <c r="H689" s="389"/>
      <c r="I689" s="389"/>
      <c r="J689" s="389"/>
      <c r="K689" s="268"/>
      <c r="L689" s="268"/>
      <c r="M689" s="268"/>
      <c r="N689" s="310"/>
      <c r="O689" s="268"/>
      <c r="P689" s="309"/>
      <c r="Q689" s="381"/>
      <c r="R689" s="268"/>
      <c r="S689" s="313"/>
      <c r="T689" s="313"/>
      <c r="U689" s="268"/>
      <c r="V689" s="268"/>
      <c r="W689" s="268"/>
      <c r="X689" s="268"/>
      <c r="Y689" s="268"/>
      <c r="Z689" s="268"/>
    </row>
    <row r="690" spans="1:26" ht="24.75" customHeight="1">
      <c r="A690" s="268"/>
      <c r="B690" s="268"/>
      <c r="C690" s="268"/>
      <c r="D690" s="268"/>
      <c r="E690" s="268"/>
      <c r="F690" s="268"/>
      <c r="G690" s="268"/>
      <c r="H690" s="389"/>
      <c r="I690" s="389"/>
      <c r="J690" s="389"/>
      <c r="K690" s="268"/>
      <c r="L690" s="268"/>
      <c r="M690" s="268"/>
      <c r="N690" s="310"/>
      <c r="O690" s="268"/>
      <c r="P690" s="309"/>
      <c r="Q690" s="381"/>
      <c r="R690" s="268"/>
      <c r="S690" s="313"/>
      <c r="T690" s="313"/>
      <c r="U690" s="268"/>
      <c r="V690" s="268"/>
      <c r="W690" s="268"/>
      <c r="X690" s="268"/>
      <c r="Y690" s="268"/>
      <c r="Z690" s="268"/>
    </row>
    <row r="691" spans="1:26" ht="24.75" customHeight="1">
      <c r="A691" s="268"/>
      <c r="B691" s="268"/>
      <c r="C691" s="268"/>
      <c r="D691" s="268"/>
      <c r="E691" s="268"/>
      <c r="F691" s="268"/>
      <c r="G691" s="268"/>
      <c r="H691" s="389"/>
      <c r="I691" s="389"/>
      <c r="J691" s="389"/>
      <c r="K691" s="268"/>
      <c r="L691" s="268"/>
      <c r="M691" s="268"/>
      <c r="N691" s="310"/>
      <c r="O691" s="268"/>
      <c r="P691" s="309"/>
      <c r="Q691" s="381"/>
      <c r="R691" s="268"/>
      <c r="S691" s="313"/>
      <c r="T691" s="313"/>
      <c r="U691" s="268"/>
      <c r="V691" s="268"/>
      <c r="W691" s="268"/>
      <c r="X691" s="268"/>
      <c r="Y691" s="268"/>
      <c r="Z691" s="268"/>
    </row>
    <row r="692" spans="1:26" ht="24.75" customHeight="1">
      <c r="A692" s="268"/>
      <c r="B692" s="268"/>
      <c r="C692" s="268"/>
      <c r="D692" s="268"/>
      <c r="E692" s="268"/>
      <c r="F692" s="268"/>
      <c r="G692" s="268"/>
      <c r="H692" s="389"/>
      <c r="I692" s="389"/>
      <c r="J692" s="389"/>
      <c r="K692" s="268"/>
      <c r="L692" s="268"/>
      <c r="M692" s="268"/>
      <c r="N692" s="310"/>
      <c r="O692" s="268"/>
      <c r="P692" s="309"/>
      <c r="Q692" s="381"/>
      <c r="R692" s="268"/>
      <c r="S692" s="313"/>
      <c r="T692" s="313"/>
      <c r="U692" s="268"/>
      <c r="V692" s="268"/>
      <c r="W692" s="268"/>
      <c r="X692" s="268"/>
      <c r="Y692" s="268"/>
      <c r="Z692" s="268"/>
    </row>
    <row r="693" spans="1:26" ht="24.75" customHeight="1">
      <c r="A693" s="268"/>
      <c r="B693" s="268"/>
      <c r="C693" s="268"/>
      <c r="D693" s="268"/>
      <c r="E693" s="268"/>
      <c r="F693" s="268"/>
      <c r="G693" s="268"/>
      <c r="H693" s="389"/>
      <c r="I693" s="389"/>
      <c r="J693" s="389"/>
      <c r="K693" s="268"/>
      <c r="L693" s="268"/>
      <c r="M693" s="268"/>
      <c r="N693" s="310"/>
      <c r="O693" s="268"/>
      <c r="P693" s="309"/>
      <c r="Q693" s="381"/>
      <c r="R693" s="268"/>
      <c r="S693" s="313"/>
      <c r="T693" s="313"/>
      <c r="U693" s="268"/>
      <c r="V693" s="268"/>
      <c r="W693" s="268"/>
      <c r="X693" s="268"/>
      <c r="Y693" s="268"/>
      <c r="Z693" s="268"/>
    </row>
    <row r="694" spans="1:26" ht="24.75" customHeight="1">
      <c r="A694" s="268"/>
      <c r="B694" s="268"/>
      <c r="C694" s="268"/>
      <c r="D694" s="268"/>
      <c r="E694" s="268"/>
      <c r="F694" s="268"/>
      <c r="G694" s="268"/>
      <c r="H694" s="389"/>
      <c r="I694" s="389"/>
      <c r="J694" s="389"/>
      <c r="K694" s="268"/>
      <c r="L694" s="268"/>
      <c r="M694" s="268"/>
      <c r="N694" s="310"/>
      <c r="O694" s="268"/>
      <c r="P694" s="309"/>
      <c r="Q694" s="381"/>
      <c r="R694" s="268"/>
      <c r="S694" s="313"/>
      <c r="T694" s="313"/>
      <c r="U694" s="268"/>
      <c r="V694" s="268"/>
      <c r="W694" s="268"/>
      <c r="X694" s="268"/>
      <c r="Y694" s="268"/>
      <c r="Z694" s="268"/>
    </row>
    <row r="695" spans="1:26" ht="24.75" customHeight="1">
      <c r="A695" s="268"/>
      <c r="B695" s="268"/>
      <c r="C695" s="268"/>
      <c r="D695" s="268"/>
      <c r="E695" s="268"/>
      <c r="F695" s="268"/>
      <c r="G695" s="268"/>
      <c r="H695" s="389"/>
      <c r="I695" s="389"/>
      <c r="J695" s="389"/>
      <c r="K695" s="268"/>
      <c r="L695" s="268"/>
      <c r="M695" s="268"/>
      <c r="N695" s="310"/>
      <c r="O695" s="268"/>
      <c r="P695" s="309"/>
      <c r="Q695" s="381"/>
      <c r="R695" s="268"/>
      <c r="S695" s="313"/>
      <c r="T695" s="313"/>
      <c r="U695" s="268"/>
      <c r="V695" s="268"/>
      <c r="W695" s="268"/>
      <c r="X695" s="268"/>
      <c r="Y695" s="268"/>
      <c r="Z695" s="268"/>
    </row>
    <row r="696" spans="1:26" ht="24.75" customHeight="1">
      <c r="A696" s="268"/>
      <c r="B696" s="268"/>
      <c r="C696" s="268"/>
      <c r="D696" s="268"/>
      <c r="E696" s="268"/>
      <c r="F696" s="268"/>
      <c r="G696" s="268"/>
      <c r="H696" s="389"/>
      <c r="I696" s="389"/>
      <c r="J696" s="389"/>
      <c r="K696" s="268"/>
      <c r="L696" s="268"/>
      <c r="M696" s="268"/>
      <c r="N696" s="310"/>
      <c r="O696" s="268"/>
      <c r="P696" s="309"/>
      <c r="Q696" s="381"/>
      <c r="R696" s="268"/>
      <c r="S696" s="313"/>
      <c r="T696" s="313"/>
      <c r="U696" s="268"/>
      <c r="V696" s="268"/>
      <c r="W696" s="268"/>
      <c r="X696" s="268"/>
      <c r="Y696" s="268"/>
      <c r="Z696" s="268"/>
    </row>
    <row r="697" spans="1:26" ht="24.75" customHeight="1">
      <c r="A697" s="268"/>
      <c r="B697" s="268"/>
      <c r="C697" s="268"/>
      <c r="D697" s="268"/>
      <c r="E697" s="268"/>
      <c r="F697" s="268"/>
      <c r="G697" s="268"/>
      <c r="H697" s="389"/>
      <c r="I697" s="389"/>
      <c r="J697" s="389"/>
      <c r="K697" s="268"/>
      <c r="L697" s="268"/>
      <c r="M697" s="268"/>
      <c r="N697" s="310"/>
      <c r="O697" s="268"/>
      <c r="P697" s="309"/>
      <c r="Q697" s="381"/>
      <c r="R697" s="268"/>
      <c r="S697" s="313"/>
      <c r="T697" s="313"/>
      <c r="U697" s="268"/>
      <c r="V697" s="268"/>
      <c r="W697" s="268"/>
      <c r="X697" s="268"/>
      <c r="Y697" s="268"/>
      <c r="Z697" s="268"/>
    </row>
    <row r="698" spans="1:26" ht="24.75" customHeight="1">
      <c r="A698" s="268"/>
      <c r="B698" s="268"/>
      <c r="C698" s="268"/>
      <c r="D698" s="268"/>
      <c r="E698" s="268"/>
      <c r="F698" s="268"/>
      <c r="G698" s="268"/>
      <c r="H698" s="389"/>
      <c r="I698" s="389"/>
      <c r="J698" s="389"/>
      <c r="K698" s="268"/>
      <c r="L698" s="268"/>
      <c r="M698" s="268"/>
      <c r="N698" s="310"/>
      <c r="O698" s="268"/>
      <c r="P698" s="309"/>
      <c r="Q698" s="381"/>
      <c r="R698" s="268"/>
      <c r="S698" s="313"/>
      <c r="T698" s="313"/>
      <c r="U698" s="268"/>
      <c r="V698" s="268"/>
      <c r="W698" s="268"/>
      <c r="X698" s="268"/>
      <c r="Y698" s="268"/>
      <c r="Z698" s="268"/>
    </row>
    <row r="699" spans="1:26" ht="24.75" customHeight="1">
      <c r="A699" s="268"/>
      <c r="B699" s="268"/>
      <c r="C699" s="268"/>
      <c r="D699" s="268"/>
      <c r="E699" s="268"/>
      <c r="F699" s="268"/>
      <c r="G699" s="268"/>
      <c r="H699" s="389"/>
      <c r="I699" s="389"/>
      <c r="J699" s="389"/>
      <c r="K699" s="268"/>
      <c r="L699" s="268"/>
      <c r="M699" s="268"/>
      <c r="N699" s="310"/>
      <c r="O699" s="268"/>
      <c r="P699" s="309"/>
      <c r="Q699" s="381"/>
      <c r="R699" s="268"/>
      <c r="S699" s="313"/>
      <c r="T699" s="313"/>
      <c r="U699" s="268"/>
      <c r="V699" s="268"/>
      <c r="W699" s="268"/>
      <c r="X699" s="268"/>
      <c r="Y699" s="268"/>
      <c r="Z699" s="268"/>
    </row>
    <row r="700" spans="1:26" ht="24.75" customHeight="1">
      <c r="A700" s="268"/>
      <c r="B700" s="268"/>
      <c r="C700" s="268"/>
      <c r="D700" s="268"/>
      <c r="E700" s="268"/>
      <c r="F700" s="268"/>
      <c r="G700" s="268"/>
      <c r="H700" s="389"/>
      <c r="I700" s="389"/>
      <c r="J700" s="389"/>
      <c r="K700" s="268"/>
      <c r="L700" s="268"/>
      <c r="M700" s="268"/>
      <c r="N700" s="310"/>
      <c r="O700" s="268"/>
      <c r="P700" s="309"/>
      <c r="Q700" s="381"/>
      <c r="R700" s="268"/>
      <c r="S700" s="313"/>
      <c r="T700" s="313"/>
      <c r="U700" s="268"/>
      <c r="V700" s="268"/>
      <c r="W700" s="268"/>
      <c r="X700" s="268"/>
      <c r="Y700" s="268"/>
      <c r="Z700" s="268"/>
    </row>
    <row r="701" spans="1:26" ht="24.75" customHeight="1">
      <c r="A701" s="268"/>
      <c r="B701" s="268"/>
      <c r="C701" s="268"/>
      <c r="D701" s="268"/>
      <c r="E701" s="268"/>
      <c r="F701" s="268"/>
      <c r="G701" s="268"/>
      <c r="H701" s="389"/>
      <c r="I701" s="389"/>
      <c r="J701" s="389"/>
      <c r="K701" s="268"/>
      <c r="L701" s="268"/>
      <c r="M701" s="268"/>
      <c r="N701" s="310"/>
      <c r="O701" s="268"/>
      <c r="P701" s="309"/>
      <c r="Q701" s="381"/>
      <c r="R701" s="268"/>
      <c r="S701" s="313"/>
      <c r="T701" s="313"/>
      <c r="U701" s="268"/>
      <c r="V701" s="268"/>
      <c r="W701" s="268"/>
      <c r="X701" s="268"/>
      <c r="Y701" s="268"/>
      <c r="Z701" s="268"/>
    </row>
    <row r="702" spans="1:26" ht="24.75" customHeight="1">
      <c r="A702" s="268"/>
      <c r="B702" s="268"/>
      <c r="C702" s="268"/>
      <c r="D702" s="268"/>
      <c r="E702" s="268"/>
      <c r="F702" s="268"/>
      <c r="G702" s="268"/>
      <c r="H702" s="389"/>
      <c r="I702" s="389"/>
      <c r="J702" s="389"/>
      <c r="K702" s="268"/>
      <c r="L702" s="268"/>
      <c r="M702" s="268"/>
      <c r="N702" s="310"/>
      <c r="O702" s="268"/>
      <c r="P702" s="309"/>
      <c r="Q702" s="381"/>
      <c r="R702" s="268"/>
      <c r="S702" s="313"/>
      <c r="T702" s="313"/>
      <c r="U702" s="268"/>
      <c r="V702" s="268"/>
      <c r="W702" s="268"/>
      <c r="X702" s="268"/>
      <c r="Y702" s="268"/>
      <c r="Z702" s="268"/>
    </row>
    <row r="703" spans="1:26" ht="24.75" customHeight="1">
      <c r="A703" s="268"/>
      <c r="B703" s="268"/>
      <c r="C703" s="268"/>
      <c r="D703" s="268"/>
      <c r="E703" s="268"/>
      <c r="F703" s="268"/>
      <c r="G703" s="268"/>
      <c r="H703" s="389"/>
      <c r="I703" s="389"/>
      <c r="J703" s="389"/>
      <c r="K703" s="268"/>
      <c r="L703" s="268"/>
      <c r="M703" s="268"/>
      <c r="N703" s="310"/>
      <c r="O703" s="268"/>
      <c r="P703" s="309"/>
      <c r="Q703" s="381"/>
      <c r="R703" s="268"/>
      <c r="S703" s="313"/>
      <c r="T703" s="313"/>
      <c r="U703" s="268"/>
      <c r="V703" s="268"/>
      <c r="W703" s="268"/>
      <c r="X703" s="268"/>
      <c r="Y703" s="268"/>
      <c r="Z703" s="268"/>
    </row>
    <row r="704" spans="1:26" ht="24.75" customHeight="1">
      <c r="A704" s="268"/>
      <c r="B704" s="268"/>
      <c r="C704" s="268"/>
      <c r="D704" s="268"/>
      <c r="E704" s="268"/>
      <c r="F704" s="268"/>
      <c r="G704" s="268"/>
      <c r="H704" s="389"/>
      <c r="I704" s="389"/>
      <c r="J704" s="389"/>
      <c r="K704" s="268"/>
      <c r="L704" s="268"/>
      <c r="M704" s="268"/>
      <c r="N704" s="310"/>
      <c r="O704" s="268"/>
      <c r="P704" s="309"/>
      <c r="Q704" s="381"/>
      <c r="R704" s="268"/>
      <c r="S704" s="313"/>
      <c r="T704" s="313"/>
      <c r="U704" s="268"/>
      <c r="V704" s="268"/>
      <c r="W704" s="268"/>
      <c r="X704" s="268"/>
      <c r="Y704" s="268"/>
      <c r="Z704" s="268"/>
    </row>
    <row r="705" spans="1:26" ht="24.75" customHeight="1">
      <c r="A705" s="268"/>
      <c r="B705" s="268"/>
      <c r="C705" s="268"/>
      <c r="D705" s="268"/>
      <c r="E705" s="268"/>
      <c r="F705" s="268"/>
      <c r="G705" s="268"/>
      <c r="H705" s="389"/>
      <c r="I705" s="389"/>
      <c r="J705" s="389"/>
      <c r="K705" s="268"/>
      <c r="L705" s="268"/>
      <c r="M705" s="268"/>
      <c r="N705" s="310"/>
      <c r="O705" s="268"/>
      <c r="P705" s="309"/>
      <c r="Q705" s="381"/>
      <c r="R705" s="268"/>
      <c r="S705" s="313"/>
      <c r="T705" s="313"/>
      <c r="U705" s="268"/>
      <c r="V705" s="268"/>
      <c r="W705" s="268"/>
      <c r="X705" s="268"/>
      <c r="Y705" s="268"/>
      <c r="Z705" s="268"/>
    </row>
    <row r="706" spans="1:26" ht="24.75" customHeight="1">
      <c r="A706" s="268"/>
      <c r="B706" s="268"/>
      <c r="C706" s="268"/>
      <c r="D706" s="268"/>
      <c r="E706" s="268"/>
      <c r="F706" s="268"/>
      <c r="G706" s="268"/>
      <c r="H706" s="389"/>
      <c r="I706" s="389"/>
      <c r="J706" s="389"/>
      <c r="K706" s="268"/>
      <c r="L706" s="268"/>
      <c r="M706" s="268"/>
      <c r="N706" s="310"/>
      <c r="O706" s="268"/>
      <c r="P706" s="309"/>
      <c r="Q706" s="381"/>
      <c r="R706" s="268"/>
      <c r="S706" s="313"/>
      <c r="T706" s="313"/>
      <c r="U706" s="268"/>
      <c r="V706" s="268"/>
      <c r="W706" s="268"/>
      <c r="X706" s="268"/>
      <c r="Y706" s="268"/>
      <c r="Z706" s="268"/>
    </row>
    <row r="707" spans="1:26" ht="24.75" customHeight="1">
      <c r="A707" s="268"/>
      <c r="B707" s="268"/>
      <c r="C707" s="268"/>
      <c r="D707" s="268"/>
      <c r="E707" s="268"/>
      <c r="F707" s="268"/>
      <c r="G707" s="268"/>
      <c r="H707" s="389"/>
      <c r="I707" s="389"/>
      <c r="J707" s="389"/>
      <c r="K707" s="268"/>
      <c r="L707" s="268"/>
      <c r="M707" s="268"/>
      <c r="N707" s="310"/>
      <c r="O707" s="268"/>
      <c r="P707" s="309"/>
      <c r="Q707" s="381"/>
      <c r="R707" s="268"/>
      <c r="S707" s="313"/>
      <c r="T707" s="313"/>
      <c r="U707" s="268"/>
      <c r="V707" s="268"/>
      <c r="W707" s="268"/>
      <c r="X707" s="268"/>
      <c r="Y707" s="268"/>
      <c r="Z707" s="268"/>
    </row>
    <row r="708" spans="1:26" ht="24.75" customHeight="1">
      <c r="A708" s="268"/>
      <c r="B708" s="268"/>
      <c r="C708" s="268"/>
      <c r="D708" s="268"/>
      <c r="E708" s="268"/>
      <c r="F708" s="268"/>
      <c r="G708" s="268"/>
      <c r="H708" s="389"/>
      <c r="I708" s="389"/>
      <c r="J708" s="389"/>
      <c r="K708" s="268"/>
      <c r="L708" s="268"/>
      <c r="M708" s="268"/>
      <c r="N708" s="310"/>
      <c r="O708" s="268"/>
      <c r="P708" s="309"/>
      <c r="Q708" s="381"/>
      <c r="R708" s="268"/>
      <c r="S708" s="313"/>
      <c r="T708" s="313"/>
      <c r="U708" s="268"/>
      <c r="V708" s="268"/>
      <c r="W708" s="268"/>
      <c r="X708" s="268"/>
      <c r="Y708" s="268"/>
      <c r="Z708" s="268"/>
    </row>
    <row r="709" spans="1:26" ht="24.75" customHeight="1">
      <c r="A709" s="268"/>
      <c r="B709" s="268"/>
      <c r="C709" s="268"/>
      <c r="D709" s="268"/>
      <c r="E709" s="268"/>
      <c r="F709" s="268"/>
      <c r="G709" s="268"/>
      <c r="H709" s="389"/>
      <c r="I709" s="389"/>
      <c r="J709" s="389"/>
      <c r="K709" s="268"/>
      <c r="L709" s="268"/>
      <c r="M709" s="268"/>
      <c r="N709" s="310"/>
      <c r="O709" s="268"/>
      <c r="P709" s="309"/>
      <c r="Q709" s="381"/>
      <c r="R709" s="268"/>
      <c r="S709" s="313"/>
      <c r="T709" s="313"/>
      <c r="U709" s="268"/>
      <c r="V709" s="268"/>
      <c r="W709" s="268"/>
      <c r="X709" s="268"/>
      <c r="Y709" s="268"/>
      <c r="Z709" s="268"/>
    </row>
    <row r="710" spans="1:26" ht="24.75" customHeight="1">
      <c r="A710" s="268"/>
      <c r="B710" s="268"/>
      <c r="C710" s="268"/>
      <c r="D710" s="268"/>
      <c r="E710" s="268"/>
      <c r="F710" s="268"/>
      <c r="G710" s="268"/>
      <c r="H710" s="389"/>
      <c r="I710" s="389"/>
      <c r="J710" s="389"/>
      <c r="K710" s="268"/>
      <c r="L710" s="268"/>
      <c r="M710" s="268"/>
      <c r="N710" s="310"/>
      <c r="O710" s="268"/>
      <c r="P710" s="309"/>
      <c r="Q710" s="381"/>
      <c r="R710" s="268"/>
      <c r="S710" s="313"/>
      <c r="T710" s="313"/>
      <c r="U710" s="268"/>
      <c r="V710" s="268"/>
      <c r="W710" s="268"/>
      <c r="X710" s="268"/>
      <c r="Y710" s="268"/>
      <c r="Z710" s="268"/>
    </row>
    <row r="711" spans="1:26" ht="24.75" customHeight="1">
      <c r="A711" s="268"/>
      <c r="B711" s="268"/>
      <c r="C711" s="268"/>
      <c r="D711" s="268"/>
      <c r="E711" s="268"/>
      <c r="F711" s="268"/>
      <c r="G711" s="268"/>
      <c r="H711" s="389"/>
      <c r="I711" s="389"/>
      <c r="J711" s="389"/>
      <c r="K711" s="268"/>
      <c r="L711" s="268"/>
      <c r="M711" s="268"/>
      <c r="N711" s="310"/>
      <c r="O711" s="268"/>
      <c r="P711" s="309"/>
      <c r="Q711" s="381"/>
      <c r="R711" s="268"/>
      <c r="S711" s="313"/>
      <c r="T711" s="313"/>
      <c r="U711" s="268"/>
      <c r="V711" s="268"/>
      <c r="W711" s="268"/>
      <c r="X711" s="268"/>
      <c r="Y711" s="268"/>
      <c r="Z711" s="268"/>
    </row>
    <row r="712" spans="1:26" ht="24.75" customHeight="1">
      <c r="A712" s="268"/>
      <c r="B712" s="268"/>
      <c r="C712" s="268"/>
      <c r="D712" s="268"/>
      <c r="E712" s="268"/>
      <c r="F712" s="268"/>
      <c r="G712" s="268"/>
      <c r="H712" s="389"/>
      <c r="I712" s="389"/>
      <c r="J712" s="389"/>
      <c r="K712" s="268"/>
      <c r="L712" s="268"/>
      <c r="M712" s="268"/>
      <c r="N712" s="310"/>
      <c r="O712" s="268"/>
      <c r="P712" s="309"/>
      <c r="Q712" s="381"/>
      <c r="R712" s="268"/>
      <c r="S712" s="313"/>
      <c r="T712" s="313"/>
      <c r="U712" s="268"/>
      <c r="V712" s="268"/>
      <c r="W712" s="268"/>
      <c r="X712" s="268"/>
      <c r="Y712" s="268"/>
      <c r="Z712" s="268"/>
    </row>
    <row r="713" spans="1:26" ht="24.75" customHeight="1">
      <c r="A713" s="268"/>
      <c r="B713" s="268"/>
      <c r="C713" s="268"/>
      <c r="D713" s="268"/>
      <c r="E713" s="268"/>
      <c r="F713" s="268"/>
      <c r="G713" s="268"/>
      <c r="H713" s="389"/>
      <c r="I713" s="389"/>
      <c r="J713" s="389"/>
      <c r="K713" s="268"/>
      <c r="L713" s="268"/>
      <c r="M713" s="268"/>
      <c r="N713" s="310"/>
      <c r="O713" s="268"/>
      <c r="P713" s="309"/>
      <c r="Q713" s="381"/>
      <c r="R713" s="268"/>
      <c r="S713" s="313"/>
      <c r="T713" s="313"/>
      <c r="U713" s="268"/>
      <c r="V713" s="268"/>
      <c r="W713" s="268"/>
      <c r="X713" s="268"/>
      <c r="Y713" s="268"/>
      <c r="Z713" s="268"/>
    </row>
    <row r="714" spans="1:26" ht="24.75" customHeight="1">
      <c r="A714" s="268"/>
      <c r="B714" s="268"/>
      <c r="C714" s="268"/>
      <c r="D714" s="268"/>
      <c r="E714" s="268"/>
      <c r="F714" s="268"/>
      <c r="G714" s="268"/>
      <c r="H714" s="389"/>
      <c r="I714" s="389"/>
      <c r="J714" s="389"/>
      <c r="K714" s="268"/>
      <c r="L714" s="268"/>
      <c r="M714" s="268"/>
      <c r="N714" s="310"/>
      <c r="O714" s="268"/>
      <c r="P714" s="309"/>
      <c r="Q714" s="381"/>
      <c r="R714" s="268"/>
      <c r="S714" s="313"/>
      <c r="T714" s="313"/>
      <c r="U714" s="268"/>
      <c r="V714" s="268"/>
      <c r="W714" s="268"/>
      <c r="X714" s="268"/>
      <c r="Y714" s="268"/>
      <c r="Z714" s="268"/>
    </row>
    <row r="715" spans="1:26" ht="24.75" customHeight="1">
      <c r="A715" s="268"/>
      <c r="B715" s="268"/>
      <c r="C715" s="268"/>
      <c r="D715" s="268"/>
      <c r="E715" s="268"/>
      <c r="F715" s="268"/>
      <c r="G715" s="268"/>
      <c r="H715" s="389"/>
      <c r="I715" s="389"/>
      <c r="J715" s="389"/>
      <c r="K715" s="268"/>
      <c r="L715" s="268"/>
      <c r="M715" s="268"/>
      <c r="N715" s="310"/>
      <c r="O715" s="268"/>
      <c r="P715" s="309"/>
      <c r="Q715" s="381"/>
      <c r="R715" s="268"/>
      <c r="S715" s="313"/>
      <c r="T715" s="313"/>
      <c r="U715" s="268"/>
      <c r="V715" s="268"/>
      <c r="W715" s="268"/>
      <c r="X715" s="268"/>
      <c r="Y715" s="268"/>
      <c r="Z715" s="268"/>
    </row>
    <row r="716" spans="1:26" ht="24.75" customHeight="1">
      <c r="A716" s="268"/>
      <c r="B716" s="268"/>
      <c r="C716" s="268"/>
      <c r="D716" s="268"/>
      <c r="E716" s="268"/>
      <c r="F716" s="268"/>
      <c r="G716" s="268"/>
      <c r="H716" s="389"/>
      <c r="I716" s="389"/>
      <c r="J716" s="389"/>
      <c r="K716" s="268"/>
      <c r="L716" s="268"/>
      <c r="M716" s="268"/>
      <c r="N716" s="310"/>
      <c r="O716" s="268"/>
      <c r="P716" s="309"/>
      <c r="Q716" s="381"/>
      <c r="R716" s="268"/>
      <c r="S716" s="313"/>
      <c r="T716" s="313"/>
      <c r="U716" s="268"/>
      <c r="V716" s="268"/>
      <c r="W716" s="268"/>
      <c r="X716" s="268"/>
      <c r="Y716" s="268"/>
      <c r="Z716" s="268"/>
    </row>
    <row r="717" spans="1:26" ht="24.75" customHeight="1">
      <c r="A717" s="268"/>
      <c r="B717" s="268"/>
      <c r="C717" s="268"/>
      <c r="D717" s="268"/>
      <c r="E717" s="268"/>
      <c r="F717" s="268"/>
      <c r="G717" s="268"/>
      <c r="H717" s="389"/>
      <c r="I717" s="389"/>
      <c r="J717" s="389"/>
      <c r="K717" s="268"/>
      <c r="L717" s="268"/>
      <c r="M717" s="268"/>
      <c r="N717" s="310"/>
      <c r="O717" s="268"/>
      <c r="P717" s="309"/>
      <c r="Q717" s="381"/>
      <c r="R717" s="268"/>
      <c r="S717" s="313"/>
      <c r="T717" s="313"/>
      <c r="U717" s="268"/>
      <c r="V717" s="268"/>
      <c r="W717" s="268"/>
      <c r="X717" s="268"/>
      <c r="Y717" s="268"/>
      <c r="Z717" s="268"/>
    </row>
    <row r="718" spans="1:26" ht="24.75" customHeight="1">
      <c r="A718" s="268"/>
      <c r="B718" s="268"/>
      <c r="C718" s="268"/>
      <c r="D718" s="268"/>
      <c r="E718" s="268"/>
      <c r="F718" s="268"/>
      <c r="G718" s="268"/>
      <c r="H718" s="389"/>
      <c r="I718" s="389"/>
      <c r="J718" s="389"/>
      <c r="K718" s="268"/>
      <c r="L718" s="268"/>
      <c r="M718" s="268"/>
      <c r="N718" s="310"/>
      <c r="O718" s="268"/>
      <c r="P718" s="309"/>
      <c r="Q718" s="381"/>
      <c r="R718" s="268"/>
      <c r="S718" s="313"/>
      <c r="T718" s="313"/>
      <c r="U718" s="268"/>
      <c r="V718" s="268"/>
      <c r="W718" s="268"/>
      <c r="X718" s="268"/>
      <c r="Y718" s="268"/>
      <c r="Z718" s="268"/>
    </row>
    <row r="719" spans="1:26" ht="24.75" customHeight="1">
      <c r="A719" s="268"/>
      <c r="B719" s="268"/>
      <c r="C719" s="268"/>
      <c r="D719" s="268"/>
      <c r="E719" s="268"/>
      <c r="F719" s="268"/>
      <c r="G719" s="268"/>
      <c r="H719" s="389"/>
      <c r="I719" s="389"/>
      <c r="J719" s="389"/>
      <c r="K719" s="268"/>
      <c r="L719" s="268"/>
      <c r="M719" s="268"/>
      <c r="N719" s="310"/>
      <c r="O719" s="268"/>
      <c r="P719" s="309"/>
      <c r="Q719" s="381"/>
      <c r="R719" s="268"/>
      <c r="S719" s="313"/>
      <c r="T719" s="313"/>
      <c r="U719" s="268"/>
      <c r="V719" s="268"/>
      <c r="W719" s="268"/>
      <c r="X719" s="268"/>
      <c r="Y719" s="268"/>
      <c r="Z719" s="268"/>
    </row>
    <row r="720" spans="1:26" ht="24.75" customHeight="1">
      <c r="A720" s="268"/>
      <c r="B720" s="268"/>
      <c r="C720" s="268"/>
      <c r="D720" s="268"/>
      <c r="E720" s="268"/>
      <c r="F720" s="268"/>
      <c r="G720" s="268"/>
      <c r="H720" s="389"/>
      <c r="I720" s="389"/>
      <c r="J720" s="389"/>
      <c r="K720" s="268"/>
      <c r="L720" s="268"/>
      <c r="M720" s="268"/>
      <c r="N720" s="310"/>
      <c r="O720" s="268"/>
      <c r="P720" s="309"/>
      <c r="Q720" s="381"/>
      <c r="R720" s="268"/>
      <c r="S720" s="313"/>
      <c r="T720" s="313"/>
      <c r="U720" s="268"/>
      <c r="V720" s="268"/>
      <c r="W720" s="268"/>
      <c r="X720" s="268"/>
      <c r="Y720" s="268"/>
      <c r="Z720" s="268"/>
    </row>
    <row r="721" spans="1:26" ht="24.75" customHeight="1">
      <c r="A721" s="268"/>
      <c r="B721" s="268"/>
      <c r="C721" s="268"/>
      <c r="D721" s="268"/>
      <c r="E721" s="268"/>
      <c r="F721" s="268"/>
      <c r="G721" s="268"/>
      <c r="H721" s="389"/>
      <c r="I721" s="389"/>
      <c r="J721" s="389"/>
      <c r="K721" s="268"/>
      <c r="L721" s="268"/>
      <c r="M721" s="268"/>
      <c r="N721" s="310"/>
      <c r="O721" s="268"/>
      <c r="P721" s="309"/>
      <c r="Q721" s="381"/>
      <c r="R721" s="268"/>
      <c r="S721" s="313"/>
      <c r="T721" s="313"/>
      <c r="U721" s="268"/>
      <c r="V721" s="268"/>
      <c r="W721" s="268"/>
      <c r="X721" s="268"/>
      <c r="Y721" s="268"/>
      <c r="Z721" s="268"/>
    </row>
    <row r="722" spans="1:26" ht="24.75" customHeight="1">
      <c r="A722" s="268"/>
      <c r="B722" s="268"/>
      <c r="C722" s="268"/>
      <c r="D722" s="268"/>
      <c r="E722" s="268"/>
      <c r="F722" s="268"/>
      <c r="G722" s="268"/>
      <c r="H722" s="389"/>
      <c r="I722" s="389"/>
      <c r="J722" s="389"/>
      <c r="K722" s="268"/>
      <c r="L722" s="268"/>
      <c r="M722" s="268"/>
      <c r="N722" s="310"/>
      <c r="O722" s="268"/>
      <c r="P722" s="309"/>
      <c r="Q722" s="381"/>
      <c r="R722" s="268"/>
      <c r="S722" s="313"/>
      <c r="T722" s="313"/>
      <c r="U722" s="268"/>
      <c r="V722" s="268"/>
      <c r="W722" s="268"/>
      <c r="X722" s="268"/>
      <c r="Y722" s="268"/>
      <c r="Z722" s="268"/>
    </row>
    <row r="723" spans="1:26" ht="24.75" customHeight="1">
      <c r="A723" s="268"/>
      <c r="B723" s="268"/>
      <c r="C723" s="268"/>
      <c r="D723" s="268"/>
      <c r="E723" s="268"/>
      <c r="F723" s="268"/>
      <c r="G723" s="268"/>
      <c r="H723" s="389"/>
      <c r="I723" s="389"/>
      <c r="J723" s="389"/>
      <c r="K723" s="268"/>
      <c r="L723" s="268"/>
      <c r="M723" s="268"/>
      <c r="N723" s="310"/>
      <c r="O723" s="268"/>
      <c r="P723" s="309"/>
      <c r="Q723" s="381"/>
      <c r="R723" s="268"/>
      <c r="S723" s="313"/>
      <c r="T723" s="313"/>
      <c r="U723" s="268"/>
      <c r="V723" s="268"/>
      <c r="W723" s="268"/>
      <c r="X723" s="268"/>
      <c r="Y723" s="268"/>
      <c r="Z723" s="268"/>
    </row>
    <row r="724" spans="1:26" ht="24.75" customHeight="1">
      <c r="A724" s="268"/>
      <c r="B724" s="268"/>
      <c r="C724" s="268"/>
      <c r="D724" s="268"/>
      <c r="E724" s="268"/>
      <c r="F724" s="268"/>
      <c r="G724" s="268"/>
      <c r="H724" s="389"/>
      <c r="I724" s="389"/>
      <c r="J724" s="389"/>
      <c r="K724" s="268"/>
      <c r="L724" s="268"/>
      <c r="M724" s="268"/>
      <c r="N724" s="310"/>
      <c r="O724" s="268"/>
      <c r="P724" s="309"/>
      <c r="Q724" s="381"/>
      <c r="R724" s="268"/>
      <c r="S724" s="313"/>
      <c r="T724" s="313"/>
      <c r="U724" s="268"/>
      <c r="V724" s="268"/>
      <c r="W724" s="268"/>
      <c r="X724" s="268"/>
      <c r="Y724" s="268"/>
      <c r="Z724" s="268"/>
    </row>
    <row r="725" spans="1:26" ht="24.75" customHeight="1">
      <c r="A725" s="268"/>
      <c r="B725" s="268"/>
      <c r="C725" s="268"/>
      <c r="D725" s="268"/>
      <c r="E725" s="268"/>
      <c r="F725" s="268"/>
      <c r="G725" s="268"/>
      <c r="H725" s="389"/>
      <c r="I725" s="389"/>
      <c r="J725" s="389"/>
      <c r="K725" s="268"/>
      <c r="L725" s="268"/>
      <c r="M725" s="268"/>
      <c r="N725" s="310"/>
      <c r="O725" s="268"/>
      <c r="P725" s="309"/>
      <c r="Q725" s="381"/>
      <c r="R725" s="268"/>
      <c r="S725" s="313"/>
      <c r="T725" s="313"/>
      <c r="U725" s="268"/>
      <c r="V725" s="268"/>
      <c r="W725" s="268"/>
      <c r="X725" s="268"/>
      <c r="Y725" s="268"/>
      <c r="Z725" s="268"/>
    </row>
    <row r="726" spans="1:26" ht="24.75" customHeight="1">
      <c r="A726" s="268"/>
      <c r="B726" s="268"/>
      <c r="C726" s="268"/>
      <c r="D726" s="268"/>
      <c r="E726" s="268"/>
      <c r="F726" s="268"/>
      <c r="G726" s="268"/>
      <c r="H726" s="389"/>
      <c r="I726" s="389"/>
      <c r="J726" s="389"/>
      <c r="K726" s="268"/>
      <c r="L726" s="268"/>
      <c r="M726" s="268"/>
      <c r="N726" s="310"/>
      <c r="O726" s="268"/>
      <c r="P726" s="309"/>
      <c r="Q726" s="381"/>
      <c r="R726" s="268"/>
      <c r="S726" s="313"/>
      <c r="T726" s="313"/>
      <c r="U726" s="268"/>
      <c r="V726" s="268"/>
      <c r="W726" s="268"/>
      <c r="X726" s="268"/>
      <c r="Y726" s="268"/>
      <c r="Z726" s="268"/>
    </row>
    <row r="727" spans="1:26" ht="24.75" customHeight="1">
      <c r="A727" s="268"/>
      <c r="B727" s="268"/>
      <c r="C727" s="268"/>
      <c r="D727" s="268"/>
      <c r="E727" s="268"/>
      <c r="F727" s="268"/>
      <c r="G727" s="268"/>
      <c r="H727" s="389"/>
      <c r="I727" s="389"/>
      <c r="J727" s="389"/>
      <c r="K727" s="268"/>
      <c r="L727" s="268"/>
      <c r="M727" s="268"/>
      <c r="N727" s="310"/>
      <c r="O727" s="268"/>
      <c r="P727" s="309"/>
      <c r="Q727" s="381"/>
      <c r="R727" s="268"/>
      <c r="S727" s="313"/>
      <c r="T727" s="313"/>
      <c r="U727" s="268"/>
      <c r="V727" s="268"/>
      <c r="W727" s="268"/>
      <c r="X727" s="268"/>
      <c r="Y727" s="268"/>
      <c r="Z727" s="268"/>
    </row>
    <row r="728" spans="1:26" ht="24.75" customHeight="1">
      <c r="A728" s="268"/>
      <c r="B728" s="268"/>
      <c r="C728" s="268"/>
      <c r="D728" s="268"/>
      <c r="E728" s="268"/>
      <c r="F728" s="268"/>
      <c r="G728" s="268"/>
      <c r="H728" s="389"/>
      <c r="I728" s="389"/>
      <c r="J728" s="389"/>
      <c r="K728" s="268"/>
      <c r="L728" s="268"/>
      <c r="M728" s="268"/>
      <c r="N728" s="310"/>
      <c r="O728" s="268"/>
      <c r="P728" s="309"/>
      <c r="Q728" s="381"/>
      <c r="R728" s="268"/>
      <c r="S728" s="313"/>
      <c r="T728" s="313"/>
      <c r="U728" s="268"/>
      <c r="V728" s="268"/>
      <c r="W728" s="268"/>
      <c r="X728" s="268"/>
      <c r="Y728" s="268"/>
      <c r="Z728" s="268"/>
    </row>
    <row r="729" spans="1:26" ht="24.75" customHeight="1">
      <c r="A729" s="268"/>
      <c r="B729" s="268"/>
      <c r="C729" s="268"/>
      <c r="D729" s="268"/>
      <c r="E729" s="268"/>
      <c r="F729" s="268"/>
      <c r="G729" s="268"/>
      <c r="H729" s="389"/>
      <c r="I729" s="389"/>
      <c r="J729" s="389"/>
      <c r="K729" s="268"/>
      <c r="L729" s="268"/>
      <c r="M729" s="268"/>
      <c r="N729" s="310"/>
      <c r="O729" s="268"/>
      <c r="P729" s="309"/>
      <c r="Q729" s="381"/>
      <c r="R729" s="268"/>
      <c r="S729" s="313"/>
      <c r="T729" s="313"/>
      <c r="U729" s="268"/>
      <c r="V729" s="268"/>
      <c r="W729" s="268"/>
      <c r="X729" s="268"/>
      <c r="Y729" s="268"/>
      <c r="Z729" s="268"/>
    </row>
    <row r="730" spans="1:26" ht="24.75" customHeight="1">
      <c r="A730" s="268"/>
      <c r="B730" s="268"/>
      <c r="C730" s="268"/>
      <c r="D730" s="268"/>
      <c r="E730" s="268"/>
      <c r="F730" s="268"/>
      <c r="G730" s="268"/>
      <c r="H730" s="389"/>
      <c r="I730" s="389"/>
      <c r="J730" s="389"/>
      <c r="K730" s="268"/>
      <c r="L730" s="268"/>
      <c r="M730" s="268"/>
      <c r="N730" s="310"/>
      <c r="O730" s="268"/>
      <c r="P730" s="309"/>
      <c r="Q730" s="381"/>
      <c r="R730" s="268"/>
      <c r="S730" s="313"/>
      <c r="T730" s="313"/>
      <c r="U730" s="268"/>
      <c r="V730" s="268"/>
      <c r="W730" s="268"/>
      <c r="X730" s="268"/>
      <c r="Y730" s="268"/>
      <c r="Z730" s="268"/>
    </row>
    <row r="731" spans="1:26" ht="24.75" customHeight="1">
      <c r="A731" s="268"/>
      <c r="B731" s="268"/>
      <c r="C731" s="268"/>
      <c r="D731" s="268"/>
      <c r="E731" s="268"/>
      <c r="F731" s="268"/>
      <c r="G731" s="268"/>
      <c r="H731" s="389"/>
      <c r="I731" s="389"/>
      <c r="J731" s="389"/>
      <c r="K731" s="268"/>
      <c r="L731" s="268"/>
      <c r="M731" s="268"/>
      <c r="N731" s="310"/>
      <c r="O731" s="268"/>
      <c r="P731" s="309"/>
      <c r="Q731" s="381"/>
      <c r="R731" s="268"/>
      <c r="S731" s="313"/>
      <c r="T731" s="313"/>
      <c r="U731" s="268"/>
      <c r="V731" s="268"/>
      <c r="W731" s="268"/>
      <c r="X731" s="268"/>
      <c r="Y731" s="268"/>
      <c r="Z731" s="268"/>
    </row>
    <row r="732" spans="1:26" ht="24.75" customHeight="1">
      <c r="A732" s="268"/>
      <c r="B732" s="268"/>
      <c r="C732" s="268"/>
      <c r="D732" s="268"/>
      <c r="E732" s="268"/>
      <c r="F732" s="268"/>
      <c r="G732" s="268"/>
      <c r="H732" s="389"/>
      <c r="I732" s="389"/>
      <c r="J732" s="389"/>
      <c r="K732" s="268"/>
      <c r="L732" s="268"/>
      <c r="M732" s="268"/>
      <c r="N732" s="310"/>
      <c r="O732" s="268"/>
      <c r="P732" s="309"/>
      <c r="Q732" s="381"/>
      <c r="R732" s="268"/>
      <c r="S732" s="313"/>
      <c r="T732" s="313"/>
      <c r="U732" s="268"/>
      <c r="V732" s="268"/>
      <c r="W732" s="268"/>
      <c r="X732" s="268"/>
      <c r="Y732" s="268"/>
      <c r="Z732" s="268"/>
    </row>
    <row r="733" spans="1:26" ht="24.75" customHeight="1">
      <c r="A733" s="268"/>
      <c r="B733" s="268"/>
      <c r="C733" s="268"/>
      <c r="D733" s="268"/>
      <c r="E733" s="268"/>
      <c r="F733" s="268"/>
      <c r="G733" s="268"/>
      <c r="H733" s="389"/>
      <c r="I733" s="389"/>
      <c r="J733" s="389"/>
      <c r="K733" s="268"/>
      <c r="L733" s="268"/>
      <c r="M733" s="268"/>
      <c r="N733" s="310"/>
      <c r="O733" s="268"/>
      <c r="P733" s="309"/>
      <c r="Q733" s="381"/>
      <c r="R733" s="268"/>
      <c r="S733" s="313"/>
      <c r="T733" s="313"/>
      <c r="U733" s="268"/>
      <c r="V733" s="268"/>
      <c r="W733" s="268"/>
      <c r="X733" s="268"/>
      <c r="Y733" s="268"/>
      <c r="Z733" s="268"/>
    </row>
    <row r="734" spans="1:26" ht="24.75" customHeight="1">
      <c r="A734" s="268"/>
      <c r="B734" s="268"/>
      <c r="C734" s="268"/>
      <c r="D734" s="268"/>
      <c r="E734" s="268"/>
      <c r="F734" s="268"/>
      <c r="G734" s="268"/>
      <c r="H734" s="389"/>
      <c r="I734" s="389"/>
      <c r="J734" s="389"/>
      <c r="K734" s="268"/>
      <c r="L734" s="268"/>
      <c r="M734" s="268"/>
      <c r="N734" s="310"/>
      <c r="O734" s="268"/>
      <c r="P734" s="309"/>
      <c r="Q734" s="381"/>
      <c r="R734" s="268"/>
      <c r="S734" s="313"/>
      <c r="T734" s="313"/>
      <c r="U734" s="268"/>
      <c r="V734" s="268"/>
      <c r="W734" s="268"/>
      <c r="X734" s="268"/>
      <c r="Y734" s="268"/>
      <c r="Z734" s="268"/>
    </row>
    <row r="735" spans="1:26" ht="24.75" customHeight="1">
      <c r="A735" s="268"/>
      <c r="B735" s="268"/>
      <c r="C735" s="268"/>
      <c r="D735" s="268"/>
      <c r="E735" s="268"/>
      <c r="F735" s="268"/>
      <c r="G735" s="268"/>
      <c r="H735" s="389"/>
      <c r="I735" s="389"/>
      <c r="J735" s="389"/>
      <c r="K735" s="268"/>
      <c r="L735" s="268"/>
      <c r="M735" s="268"/>
      <c r="N735" s="310"/>
      <c r="O735" s="268"/>
      <c r="P735" s="309"/>
      <c r="Q735" s="381"/>
      <c r="R735" s="268"/>
      <c r="S735" s="313"/>
      <c r="T735" s="313"/>
      <c r="U735" s="268"/>
      <c r="V735" s="268"/>
      <c r="W735" s="268"/>
      <c r="X735" s="268"/>
      <c r="Y735" s="268"/>
      <c r="Z735" s="268"/>
    </row>
    <row r="736" spans="1:26" ht="24.75" customHeight="1">
      <c r="A736" s="268"/>
      <c r="B736" s="268"/>
      <c r="C736" s="268"/>
      <c r="D736" s="268"/>
      <c r="E736" s="268"/>
      <c r="F736" s="268"/>
      <c r="G736" s="268"/>
      <c r="H736" s="389"/>
      <c r="I736" s="389"/>
      <c r="J736" s="389"/>
      <c r="K736" s="268"/>
      <c r="L736" s="268"/>
      <c r="M736" s="268"/>
      <c r="N736" s="310"/>
      <c r="O736" s="268"/>
      <c r="P736" s="309"/>
      <c r="Q736" s="381"/>
      <c r="R736" s="268"/>
      <c r="S736" s="313"/>
      <c r="T736" s="313"/>
      <c r="U736" s="268"/>
      <c r="V736" s="268"/>
      <c r="W736" s="268"/>
      <c r="X736" s="268"/>
      <c r="Y736" s="268"/>
      <c r="Z736" s="268"/>
    </row>
    <row r="737" spans="1:26" ht="24.75" customHeight="1">
      <c r="A737" s="268"/>
      <c r="B737" s="268"/>
      <c r="C737" s="268"/>
      <c r="D737" s="268"/>
      <c r="E737" s="268"/>
      <c r="F737" s="268"/>
      <c r="G737" s="268"/>
      <c r="H737" s="389"/>
      <c r="I737" s="389"/>
      <c r="J737" s="389"/>
      <c r="K737" s="268"/>
      <c r="L737" s="268"/>
      <c r="M737" s="268"/>
      <c r="N737" s="310"/>
      <c r="O737" s="268"/>
      <c r="P737" s="309"/>
      <c r="Q737" s="381"/>
      <c r="R737" s="268"/>
      <c r="S737" s="313"/>
      <c r="T737" s="313"/>
      <c r="U737" s="268"/>
      <c r="V737" s="268"/>
      <c r="W737" s="268"/>
      <c r="X737" s="268"/>
      <c r="Y737" s="268"/>
      <c r="Z737" s="268"/>
    </row>
    <row r="738" spans="1:26" ht="24.75" customHeight="1">
      <c r="A738" s="268"/>
      <c r="B738" s="268"/>
      <c r="C738" s="268"/>
      <c r="D738" s="268"/>
      <c r="E738" s="268"/>
      <c r="F738" s="268"/>
      <c r="G738" s="268"/>
      <c r="H738" s="389"/>
      <c r="I738" s="389"/>
      <c r="J738" s="389"/>
      <c r="K738" s="268"/>
      <c r="L738" s="268"/>
      <c r="M738" s="268"/>
      <c r="N738" s="310"/>
      <c r="O738" s="268"/>
      <c r="P738" s="309"/>
      <c r="Q738" s="381"/>
      <c r="R738" s="268"/>
      <c r="S738" s="313"/>
      <c r="T738" s="313"/>
      <c r="U738" s="268"/>
      <c r="V738" s="268"/>
      <c r="W738" s="268"/>
      <c r="X738" s="268"/>
      <c r="Y738" s="268"/>
      <c r="Z738" s="268"/>
    </row>
    <row r="739" spans="1:26" ht="24.75" customHeight="1">
      <c r="A739" s="268"/>
      <c r="B739" s="268"/>
      <c r="C739" s="268"/>
      <c r="D739" s="268"/>
      <c r="E739" s="268"/>
      <c r="F739" s="268"/>
      <c r="G739" s="268"/>
      <c r="H739" s="389"/>
      <c r="I739" s="389"/>
      <c r="J739" s="389"/>
      <c r="K739" s="268"/>
      <c r="L739" s="268"/>
      <c r="M739" s="268"/>
      <c r="N739" s="310"/>
      <c r="O739" s="268"/>
      <c r="P739" s="309"/>
      <c r="Q739" s="381"/>
      <c r="R739" s="268"/>
      <c r="S739" s="313"/>
      <c r="T739" s="313"/>
      <c r="U739" s="268"/>
      <c r="V739" s="268"/>
      <c r="W739" s="268"/>
      <c r="X739" s="268"/>
      <c r="Y739" s="268"/>
      <c r="Z739" s="268"/>
    </row>
    <row r="740" spans="1:26" ht="24.75" customHeight="1">
      <c r="A740" s="268"/>
      <c r="B740" s="268"/>
      <c r="C740" s="268"/>
      <c r="D740" s="268"/>
      <c r="E740" s="268"/>
      <c r="F740" s="268"/>
      <c r="G740" s="268"/>
      <c r="H740" s="389"/>
      <c r="I740" s="389"/>
      <c r="J740" s="389"/>
      <c r="K740" s="268"/>
      <c r="L740" s="268"/>
      <c r="M740" s="268"/>
      <c r="N740" s="310"/>
      <c r="O740" s="268"/>
      <c r="P740" s="309"/>
      <c r="Q740" s="381"/>
      <c r="R740" s="268"/>
      <c r="S740" s="313"/>
      <c r="T740" s="313"/>
      <c r="U740" s="268"/>
      <c r="V740" s="268"/>
      <c r="W740" s="268"/>
      <c r="X740" s="268"/>
      <c r="Y740" s="268"/>
      <c r="Z740" s="268"/>
    </row>
    <row r="741" spans="1:26" ht="24.75" customHeight="1">
      <c r="A741" s="268"/>
      <c r="B741" s="268"/>
      <c r="C741" s="268"/>
      <c r="D741" s="268"/>
      <c r="E741" s="268"/>
      <c r="F741" s="268"/>
      <c r="G741" s="268"/>
      <c r="H741" s="389"/>
      <c r="I741" s="389"/>
      <c r="J741" s="389"/>
      <c r="K741" s="268"/>
      <c r="L741" s="268"/>
      <c r="M741" s="268"/>
      <c r="N741" s="310"/>
      <c r="O741" s="268"/>
      <c r="P741" s="309"/>
      <c r="Q741" s="381"/>
      <c r="R741" s="268"/>
      <c r="S741" s="313"/>
      <c r="T741" s="313"/>
      <c r="U741" s="268"/>
      <c r="V741" s="268"/>
      <c r="W741" s="268"/>
      <c r="X741" s="268"/>
      <c r="Y741" s="268"/>
      <c r="Z741" s="268"/>
    </row>
    <row r="742" spans="1:26" ht="24.75" customHeight="1">
      <c r="A742" s="268"/>
      <c r="B742" s="268"/>
      <c r="C742" s="268"/>
      <c r="D742" s="268"/>
      <c r="E742" s="268"/>
      <c r="F742" s="268"/>
      <c r="G742" s="268"/>
      <c r="H742" s="389"/>
      <c r="I742" s="389"/>
      <c r="J742" s="389"/>
      <c r="K742" s="268"/>
      <c r="L742" s="268"/>
      <c r="M742" s="268"/>
      <c r="N742" s="310"/>
      <c r="O742" s="268"/>
      <c r="P742" s="309"/>
      <c r="Q742" s="381"/>
      <c r="R742" s="268"/>
      <c r="S742" s="313"/>
      <c r="T742" s="313"/>
      <c r="U742" s="268"/>
      <c r="V742" s="268"/>
      <c r="W742" s="268"/>
      <c r="X742" s="268"/>
      <c r="Y742" s="268"/>
      <c r="Z742" s="268"/>
    </row>
    <row r="743" spans="1:26" ht="24.75" customHeight="1">
      <c r="A743" s="268"/>
      <c r="B743" s="268"/>
      <c r="C743" s="268"/>
      <c r="D743" s="268"/>
      <c r="E743" s="268"/>
      <c r="F743" s="268"/>
      <c r="G743" s="268"/>
      <c r="H743" s="389"/>
      <c r="I743" s="389"/>
      <c r="J743" s="389"/>
      <c r="K743" s="268"/>
      <c r="L743" s="268"/>
      <c r="M743" s="268"/>
      <c r="N743" s="310"/>
      <c r="O743" s="268"/>
      <c r="P743" s="309"/>
      <c r="Q743" s="381"/>
      <c r="R743" s="268"/>
      <c r="S743" s="313"/>
      <c r="T743" s="313"/>
      <c r="U743" s="268"/>
      <c r="V743" s="268"/>
      <c r="W743" s="268"/>
      <c r="X743" s="268"/>
      <c r="Y743" s="268"/>
      <c r="Z743" s="268"/>
    </row>
    <row r="744" spans="1:26" ht="24.75" customHeight="1">
      <c r="A744" s="268"/>
      <c r="B744" s="268"/>
      <c r="C744" s="268"/>
      <c r="D744" s="268"/>
      <c r="E744" s="268"/>
      <c r="F744" s="268"/>
      <c r="G744" s="268"/>
      <c r="H744" s="389"/>
      <c r="I744" s="389"/>
      <c r="J744" s="389"/>
      <c r="K744" s="268"/>
      <c r="L744" s="268"/>
      <c r="M744" s="268"/>
      <c r="N744" s="310"/>
      <c r="O744" s="268"/>
      <c r="P744" s="309"/>
      <c r="Q744" s="381"/>
      <c r="R744" s="268"/>
      <c r="S744" s="313"/>
      <c r="T744" s="313"/>
      <c r="U744" s="268"/>
      <c r="V744" s="268"/>
      <c r="W744" s="268"/>
      <c r="X744" s="268"/>
      <c r="Y744" s="268"/>
      <c r="Z744" s="268"/>
    </row>
    <row r="745" spans="1:26" ht="24.75" customHeight="1">
      <c r="A745" s="268"/>
      <c r="B745" s="268"/>
      <c r="C745" s="268"/>
      <c r="D745" s="268"/>
      <c r="E745" s="268"/>
      <c r="F745" s="268"/>
      <c r="G745" s="268"/>
      <c r="H745" s="389"/>
      <c r="I745" s="389"/>
      <c r="J745" s="389"/>
      <c r="K745" s="268"/>
      <c r="L745" s="268"/>
      <c r="M745" s="268"/>
      <c r="N745" s="310"/>
      <c r="O745" s="268"/>
      <c r="P745" s="309"/>
      <c r="Q745" s="381"/>
      <c r="R745" s="268"/>
      <c r="S745" s="313"/>
      <c r="T745" s="313"/>
      <c r="U745" s="268"/>
      <c r="V745" s="268"/>
      <c r="W745" s="268"/>
      <c r="X745" s="268"/>
      <c r="Y745" s="268"/>
      <c r="Z745" s="268"/>
    </row>
    <row r="746" spans="1:26" ht="24.75" customHeight="1">
      <c r="A746" s="268"/>
      <c r="B746" s="268"/>
      <c r="C746" s="268"/>
      <c r="D746" s="268"/>
      <c r="E746" s="268"/>
      <c r="F746" s="268"/>
      <c r="G746" s="268"/>
      <c r="H746" s="389"/>
      <c r="I746" s="389"/>
      <c r="J746" s="389"/>
      <c r="K746" s="268"/>
      <c r="L746" s="268"/>
      <c r="M746" s="268"/>
      <c r="N746" s="310"/>
      <c r="O746" s="268"/>
      <c r="P746" s="309"/>
      <c r="Q746" s="381"/>
      <c r="R746" s="268"/>
      <c r="S746" s="313"/>
      <c r="T746" s="313"/>
      <c r="U746" s="268"/>
      <c r="V746" s="268"/>
      <c r="W746" s="268"/>
      <c r="X746" s="268"/>
      <c r="Y746" s="268"/>
      <c r="Z746" s="268"/>
    </row>
    <row r="747" spans="1:26" ht="24.75" customHeight="1">
      <c r="A747" s="268"/>
      <c r="B747" s="268"/>
      <c r="C747" s="268"/>
      <c r="D747" s="268"/>
      <c r="E747" s="268"/>
      <c r="F747" s="268"/>
      <c r="G747" s="268"/>
      <c r="H747" s="389"/>
      <c r="I747" s="389"/>
      <c r="J747" s="389"/>
      <c r="K747" s="268"/>
      <c r="L747" s="268"/>
      <c r="M747" s="268"/>
      <c r="N747" s="310"/>
      <c r="O747" s="268"/>
      <c r="P747" s="309"/>
      <c r="Q747" s="381"/>
      <c r="R747" s="268"/>
      <c r="S747" s="313"/>
      <c r="T747" s="313"/>
      <c r="U747" s="268"/>
      <c r="V747" s="268"/>
      <c r="W747" s="268"/>
      <c r="X747" s="268"/>
      <c r="Y747" s="268"/>
      <c r="Z747" s="268"/>
    </row>
    <row r="748" spans="1:26" ht="24.75" customHeight="1">
      <c r="A748" s="268"/>
      <c r="B748" s="268"/>
      <c r="C748" s="268"/>
      <c r="D748" s="268"/>
      <c r="E748" s="268"/>
      <c r="F748" s="268"/>
      <c r="G748" s="268"/>
      <c r="H748" s="389"/>
      <c r="I748" s="389"/>
      <c r="J748" s="389"/>
      <c r="K748" s="268"/>
      <c r="L748" s="268"/>
      <c r="M748" s="268"/>
      <c r="N748" s="310"/>
      <c r="O748" s="268"/>
      <c r="P748" s="309"/>
      <c r="Q748" s="381"/>
      <c r="R748" s="268"/>
      <c r="S748" s="313"/>
      <c r="T748" s="313"/>
      <c r="U748" s="268"/>
      <c r="V748" s="268"/>
      <c r="W748" s="268"/>
      <c r="X748" s="268"/>
      <c r="Y748" s="268"/>
      <c r="Z748" s="268"/>
    </row>
    <row r="749" spans="1:26" ht="24.75" customHeight="1">
      <c r="A749" s="268"/>
      <c r="B749" s="268"/>
      <c r="C749" s="268"/>
      <c r="D749" s="268"/>
      <c r="E749" s="268"/>
      <c r="F749" s="268"/>
      <c r="G749" s="268"/>
      <c r="H749" s="389"/>
      <c r="I749" s="389"/>
      <c r="J749" s="389"/>
      <c r="K749" s="268"/>
      <c r="L749" s="268"/>
      <c r="M749" s="268"/>
      <c r="N749" s="310"/>
      <c r="O749" s="268"/>
      <c r="P749" s="309"/>
      <c r="Q749" s="381"/>
      <c r="R749" s="268"/>
      <c r="S749" s="313"/>
      <c r="T749" s="313"/>
      <c r="U749" s="268"/>
      <c r="V749" s="268"/>
      <c r="W749" s="268"/>
      <c r="X749" s="268"/>
      <c r="Y749" s="268"/>
      <c r="Z749" s="268"/>
    </row>
    <row r="750" spans="1:26" ht="24.75" customHeight="1">
      <c r="A750" s="268"/>
      <c r="B750" s="268"/>
      <c r="C750" s="268"/>
      <c r="D750" s="268"/>
      <c r="E750" s="268"/>
      <c r="F750" s="268"/>
      <c r="G750" s="268"/>
      <c r="H750" s="389"/>
      <c r="I750" s="389"/>
      <c r="J750" s="389"/>
      <c r="K750" s="268"/>
      <c r="L750" s="268"/>
      <c r="M750" s="268"/>
      <c r="N750" s="310"/>
      <c r="O750" s="268"/>
      <c r="P750" s="309"/>
      <c r="Q750" s="381"/>
      <c r="R750" s="268"/>
      <c r="S750" s="313"/>
      <c r="T750" s="313"/>
      <c r="U750" s="268"/>
      <c r="V750" s="268"/>
      <c r="W750" s="268"/>
      <c r="X750" s="268"/>
      <c r="Y750" s="268"/>
      <c r="Z750" s="268"/>
    </row>
    <row r="751" spans="1:26" ht="24.75" customHeight="1">
      <c r="A751" s="268"/>
      <c r="B751" s="268"/>
      <c r="C751" s="268"/>
      <c r="D751" s="268"/>
      <c r="E751" s="268"/>
      <c r="F751" s="268"/>
      <c r="G751" s="268"/>
      <c r="H751" s="389"/>
      <c r="I751" s="389"/>
      <c r="J751" s="389"/>
      <c r="K751" s="268"/>
      <c r="L751" s="268"/>
      <c r="M751" s="268"/>
      <c r="N751" s="310"/>
      <c r="O751" s="268"/>
      <c r="P751" s="309"/>
      <c r="Q751" s="381"/>
      <c r="R751" s="268"/>
      <c r="S751" s="313"/>
      <c r="T751" s="313"/>
      <c r="U751" s="268"/>
      <c r="V751" s="268"/>
      <c r="W751" s="268"/>
      <c r="X751" s="268"/>
      <c r="Y751" s="268"/>
      <c r="Z751" s="268"/>
    </row>
    <row r="752" spans="1:26" ht="24.75" customHeight="1">
      <c r="A752" s="268"/>
      <c r="B752" s="268"/>
      <c r="C752" s="268"/>
      <c r="D752" s="268"/>
      <c r="E752" s="268"/>
      <c r="F752" s="268"/>
      <c r="G752" s="268"/>
      <c r="H752" s="389"/>
      <c r="I752" s="389"/>
      <c r="J752" s="389"/>
      <c r="K752" s="268"/>
      <c r="L752" s="268"/>
      <c r="M752" s="268"/>
      <c r="N752" s="310"/>
      <c r="O752" s="268"/>
      <c r="P752" s="309"/>
      <c r="Q752" s="381"/>
      <c r="R752" s="268"/>
      <c r="S752" s="313"/>
      <c r="T752" s="313"/>
      <c r="U752" s="268"/>
      <c r="V752" s="268"/>
      <c r="W752" s="268"/>
      <c r="X752" s="268"/>
      <c r="Y752" s="268"/>
      <c r="Z752" s="268"/>
    </row>
    <row r="753" spans="1:26" ht="24.75" customHeight="1">
      <c r="A753" s="268"/>
      <c r="B753" s="268"/>
      <c r="C753" s="268"/>
      <c r="D753" s="268"/>
      <c r="E753" s="268"/>
      <c r="F753" s="268"/>
      <c r="G753" s="268"/>
      <c r="H753" s="389"/>
      <c r="I753" s="389"/>
      <c r="J753" s="389"/>
      <c r="K753" s="268"/>
      <c r="L753" s="268"/>
      <c r="M753" s="268"/>
      <c r="N753" s="310"/>
      <c r="O753" s="268"/>
      <c r="P753" s="309"/>
      <c r="Q753" s="381"/>
      <c r="R753" s="268"/>
      <c r="S753" s="313"/>
      <c r="T753" s="313"/>
      <c r="U753" s="268"/>
      <c r="V753" s="268"/>
      <c r="W753" s="268"/>
      <c r="X753" s="268"/>
      <c r="Y753" s="268"/>
      <c r="Z753" s="268"/>
    </row>
    <row r="754" spans="1:26" ht="24.75" customHeight="1">
      <c r="A754" s="268"/>
      <c r="B754" s="268"/>
      <c r="C754" s="268"/>
      <c r="D754" s="268"/>
      <c r="E754" s="268"/>
      <c r="F754" s="268"/>
      <c r="G754" s="268"/>
      <c r="H754" s="389"/>
      <c r="I754" s="389"/>
      <c r="J754" s="389"/>
      <c r="K754" s="268"/>
      <c r="L754" s="268"/>
      <c r="M754" s="268"/>
      <c r="N754" s="310"/>
      <c r="O754" s="268"/>
      <c r="P754" s="309"/>
      <c r="Q754" s="381"/>
      <c r="R754" s="268"/>
      <c r="S754" s="313"/>
      <c r="T754" s="313"/>
      <c r="U754" s="268"/>
      <c r="V754" s="268"/>
      <c r="W754" s="268"/>
      <c r="X754" s="268"/>
      <c r="Y754" s="268"/>
      <c r="Z754" s="268"/>
    </row>
    <row r="755" spans="1:26" ht="24.75" customHeight="1">
      <c r="A755" s="268"/>
      <c r="B755" s="268"/>
      <c r="C755" s="268"/>
      <c r="D755" s="268"/>
      <c r="E755" s="268"/>
      <c r="F755" s="268"/>
      <c r="G755" s="268"/>
      <c r="H755" s="389"/>
      <c r="I755" s="389"/>
      <c r="J755" s="389"/>
      <c r="K755" s="268"/>
      <c r="L755" s="268"/>
      <c r="M755" s="268"/>
      <c r="N755" s="310"/>
      <c r="O755" s="268"/>
      <c r="P755" s="309"/>
      <c r="Q755" s="381"/>
      <c r="R755" s="268"/>
      <c r="S755" s="313"/>
      <c r="T755" s="313"/>
      <c r="U755" s="268"/>
      <c r="V755" s="268"/>
      <c r="W755" s="268"/>
      <c r="X755" s="268"/>
      <c r="Y755" s="268"/>
      <c r="Z755" s="268"/>
    </row>
    <row r="756" spans="1:26" ht="24.75" customHeight="1">
      <c r="A756" s="268"/>
      <c r="B756" s="268"/>
      <c r="C756" s="268"/>
      <c r="D756" s="268"/>
      <c r="E756" s="268"/>
      <c r="F756" s="268"/>
      <c r="G756" s="268"/>
      <c r="H756" s="389"/>
      <c r="I756" s="389"/>
      <c r="J756" s="389"/>
      <c r="K756" s="268"/>
      <c r="L756" s="268"/>
      <c r="M756" s="268"/>
      <c r="N756" s="310"/>
      <c r="O756" s="268"/>
      <c r="P756" s="309"/>
      <c r="Q756" s="381"/>
      <c r="R756" s="268"/>
      <c r="S756" s="313"/>
      <c r="T756" s="313"/>
      <c r="U756" s="268"/>
      <c r="V756" s="268"/>
      <c r="W756" s="268"/>
      <c r="X756" s="268"/>
      <c r="Y756" s="268"/>
      <c r="Z756" s="268"/>
    </row>
    <row r="757" spans="1:26" ht="24.75" customHeight="1">
      <c r="A757" s="268"/>
      <c r="B757" s="268"/>
      <c r="C757" s="268"/>
      <c r="D757" s="268"/>
      <c r="E757" s="268"/>
      <c r="F757" s="268"/>
      <c r="G757" s="268"/>
      <c r="H757" s="389"/>
      <c r="I757" s="389"/>
      <c r="J757" s="389"/>
      <c r="K757" s="268"/>
      <c r="L757" s="268"/>
      <c r="M757" s="268"/>
      <c r="N757" s="310"/>
      <c r="O757" s="268"/>
      <c r="P757" s="309"/>
      <c r="Q757" s="381"/>
      <c r="R757" s="268"/>
      <c r="S757" s="313"/>
      <c r="T757" s="313"/>
      <c r="U757" s="268"/>
      <c r="V757" s="268"/>
      <c r="W757" s="268"/>
      <c r="X757" s="268"/>
      <c r="Y757" s="268"/>
      <c r="Z757" s="268"/>
    </row>
    <row r="758" spans="1:26" ht="24.75" customHeight="1">
      <c r="A758" s="268"/>
      <c r="B758" s="268"/>
      <c r="C758" s="268"/>
      <c r="D758" s="268"/>
      <c r="E758" s="268"/>
      <c r="F758" s="268"/>
      <c r="G758" s="268"/>
      <c r="H758" s="389"/>
      <c r="I758" s="389"/>
      <c r="J758" s="389"/>
      <c r="K758" s="268"/>
      <c r="L758" s="268"/>
      <c r="M758" s="268"/>
      <c r="N758" s="310"/>
      <c r="O758" s="268"/>
      <c r="P758" s="309"/>
      <c r="Q758" s="381"/>
      <c r="R758" s="268"/>
      <c r="S758" s="313"/>
      <c r="T758" s="313"/>
      <c r="U758" s="268"/>
      <c r="V758" s="268"/>
      <c r="W758" s="268"/>
      <c r="X758" s="268"/>
      <c r="Y758" s="268"/>
      <c r="Z758" s="268"/>
    </row>
    <row r="759" spans="1:26" ht="24.75" customHeight="1">
      <c r="A759" s="268"/>
      <c r="B759" s="268"/>
      <c r="C759" s="268"/>
      <c r="D759" s="268"/>
      <c r="E759" s="268"/>
      <c r="F759" s="268"/>
      <c r="G759" s="268"/>
      <c r="H759" s="389"/>
      <c r="I759" s="389"/>
      <c r="J759" s="389"/>
      <c r="K759" s="268"/>
      <c r="L759" s="268"/>
      <c r="M759" s="268"/>
      <c r="N759" s="310"/>
      <c r="O759" s="268"/>
      <c r="P759" s="309"/>
      <c r="Q759" s="381"/>
      <c r="R759" s="268"/>
      <c r="S759" s="313"/>
      <c r="T759" s="313"/>
      <c r="U759" s="268"/>
      <c r="V759" s="268"/>
      <c r="W759" s="268"/>
      <c r="X759" s="268"/>
      <c r="Y759" s="268"/>
      <c r="Z759" s="268"/>
    </row>
    <row r="760" spans="1:26" ht="24.75" customHeight="1">
      <c r="A760" s="268"/>
      <c r="B760" s="268"/>
      <c r="C760" s="268"/>
      <c r="D760" s="268"/>
      <c r="E760" s="268"/>
      <c r="F760" s="268"/>
      <c r="G760" s="268"/>
      <c r="H760" s="389"/>
      <c r="I760" s="389"/>
      <c r="J760" s="389"/>
      <c r="K760" s="268"/>
      <c r="L760" s="268"/>
      <c r="M760" s="268"/>
      <c r="N760" s="310"/>
      <c r="O760" s="268"/>
      <c r="P760" s="309"/>
      <c r="Q760" s="381"/>
      <c r="R760" s="268"/>
      <c r="S760" s="313"/>
      <c r="T760" s="313"/>
      <c r="U760" s="268"/>
      <c r="V760" s="268"/>
      <c r="W760" s="268"/>
      <c r="X760" s="268"/>
      <c r="Y760" s="268"/>
      <c r="Z760" s="268"/>
    </row>
    <row r="761" spans="1:26" ht="24.75" customHeight="1">
      <c r="A761" s="268"/>
      <c r="B761" s="268"/>
      <c r="C761" s="268"/>
      <c r="D761" s="268"/>
      <c r="E761" s="268"/>
      <c r="F761" s="268"/>
      <c r="G761" s="268"/>
      <c r="H761" s="389"/>
      <c r="I761" s="389"/>
      <c r="J761" s="389"/>
      <c r="K761" s="268"/>
      <c r="L761" s="268"/>
      <c r="M761" s="268"/>
      <c r="N761" s="310"/>
      <c r="O761" s="268"/>
      <c r="P761" s="309"/>
      <c r="Q761" s="381"/>
      <c r="R761" s="268"/>
      <c r="S761" s="313"/>
      <c r="T761" s="313"/>
      <c r="U761" s="268"/>
      <c r="V761" s="268"/>
      <c r="W761" s="268"/>
      <c r="X761" s="268"/>
      <c r="Y761" s="268"/>
      <c r="Z761" s="268"/>
    </row>
    <row r="762" spans="1:26" ht="24.75" customHeight="1">
      <c r="A762" s="268"/>
      <c r="B762" s="268"/>
      <c r="C762" s="268"/>
      <c r="D762" s="268"/>
      <c r="E762" s="268"/>
      <c r="F762" s="268"/>
      <c r="G762" s="268"/>
      <c r="H762" s="389"/>
      <c r="I762" s="389"/>
      <c r="J762" s="389"/>
      <c r="K762" s="268"/>
      <c r="L762" s="268"/>
      <c r="M762" s="268"/>
      <c r="N762" s="310"/>
      <c r="O762" s="268"/>
      <c r="P762" s="309"/>
      <c r="Q762" s="381"/>
      <c r="R762" s="268"/>
      <c r="S762" s="313"/>
      <c r="T762" s="313"/>
      <c r="U762" s="268"/>
      <c r="V762" s="268"/>
      <c r="W762" s="268"/>
      <c r="X762" s="268"/>
      <c r="Y762" s="268"/>
      <c r="Z762" s="268"/>
    </row>
    <row r="763" spans="1:26" ht="24.75" customHeight="1">
      <c r="A763" s="268"/>
      <c r="B763" s="268"/>
      <c r="C763" s="268"/>
      <c r="D763" s="268"/>
      <c r="E763" s="268"/>
      <c r="F763" s="268"/>
      <c r="G763" s="268"/>
      <c r="H763" s="389"/>
      <c r="I763" s="389"/>
      <c r="J763" s="389"/>
      <c r="K763" s="268"/>
      <c r="L763" s="268"/>
      <c r="M763" s="268"/>
      <c r="N763" s="310"/>
      <c r="O763" s="268"/>
      <c r="P763" s="309"/>
      <c r="Q763" s="381"/>
      <c r="R763" s="268"/>
      <c r="S763" s="313"/>
      <c r="T763" s="313"/>
      <c r="U763" s="268"/>
      <c r="V763" s="268"/>
      <c r="W763" s="268"/>
      <c r="X763" s="268"/>
      <c r="Y763" s="268"/>
      <c r="Z763" s="268"/>
    </row>
    <row r="764" spans="1:26" ht="24.75" customHeight="1">
      <c r="A764" s="268"/>
      <c r="B764" s="268"/>
      <c r="C764" s="268"/>
      <c r="D764" s="268"/>
      <c r="E764" s="268"/>
      <c r="F764" s="268"/>
      <c r="G764" s="268"/>
      <c r="H764" s="389"/>
      <c r="I764" s="389"/>
      <c r="J764" s="389"/>
      <c r="K764" s="268"/>
      <c r="L764" s="268"/>
      <c r="M764" s="268"/>
      <c r="N764" s="310"/>
      <c r="O764" s="268"/>
      <c r="P764" s="309"/>
      <c r="Q764" s="381"/>
      <c r="R764" s="268"/>
      <c r="S764" s="313"/>
      <c r="T764" s="313"/>
      <c r="U764" s="268"/>
      <c r="V764" s="268"/>
      <c r="W764" s="268"/>
      <c r="X764" s="268"/>
      <c r="Y764" s="268"/>
      <c r="Z764" s="268"/>
    </row>
    <row r="765" spans="1:26" ht="24.75" customHeight="1">
      <c r="A765" s="268"/>
      <c r="B765" s="268"/>
      <c r="C765" s="268"/>
      <c r="D765" s="268"/>
      <c r="E765" s="268"/>
      <c r="F765" s="268"/>
      <c r="G765" s="268"/>
      <c r="H765" s="389"/>
      <c r="I765" s="389"/>
      <c r="J765" s="389"/>
      <c r="K765" s="268"/>
      <c r="L765" s="268"/>
      <c r="M765" s="268"/>
      <c r="N765" s="310"/>
      <c r="O765" s="268"/>
      <c r="P765" s="309"/>
      <c r="Q765" s="381"/>
      <c r="R765" s="268"/>
      <c r="S765" s="313"/>
      <c r="T765" s="313"/>
      <c r="U765" s="268"/>
      <c r="V765" s="268"/>
      <c r="W765" s="268"/>
      <c r="X765" s="268"/>
      <c r="Y765" s="268"/>
      <c r="Z765" s="268"/>
    </row>
    <row r="766" spans="1:26" ht="24.75" customHeight="1">
      <c r="A766" s="268"/>
      <c r="B766" s="268"/>
      <c r="C766" s="268"/>
      <c r="D766" s="268"/>
      <c r="E766" s="268"/>
      <c r="F766" s="268"/>
      <c r="G766" s="268"/>
      <c r="H766" s="389"/>
      <c r="I766" s="389"/>
      <c r="J766" s="389"/>
      <c r="K766" s="268"/>
      <c r="L766" s="268"/>
      <c r="M766" s="268"/>
      <c r="N766" s="310"/>
      <c r="O766" s="268"/>
      <c r="P766" s="309"/>
      <c r="Q766" s="381"/>
      <c r="R766" s="268"/>
      <c r="S766" s="313"/>
      <c r="T766" s="313"/>
      <c r="U766" s="268"/>
      <c r="V766" s="268"/>
      <c r="W766" s="268"/>
      <c r="X766" s="268"/>
      <c r="Y766" s="268"/>
      <c r="Z766" s="268"/>
    </row>
    <row r="767" spans="1:26" ht="24.75" customHeight="1">
      <c r="A767" s="268"/>
      <c r="B767" s="268"/>
      <c r="C767" s="268"/>
      <c r="D767" s="268"/>
      <c r="E767" s="268"/>
      <c r="F767" s="268"/>
      <c r="G767" s="268"/>
      <c r="H767" s="389"/>
      <c r="I767" s="389"/>
      <c r="J767" s="389"/>
      <c r="K767" s="268"/>
      <c r="L767" s="268"/>
      <c r="M767" s="268"/>
      <c r="N767" s="310"/>
      <c r="O767" s="268"/>
      <c r="P767" s="309"/>
      <c r="Q767" s="381"/>
      <c r="R767" s="268"/>
      <c r="S767" s="313"/>
      <c r="T767" s="313"/>
      <c r="U767" s="268"/>
      <c r="V767" s="268"/>
      <c r="W767" s="268"/>
      <c r="X767" s="268"/>
      <c r="Y767" s="268"/>
      <c r="Z767" s="268"/>
    </row>
    <row r="768" spans="1:26" ht="24.75" customHeight="1">
      <c r="A768" s="268"/>
      <c r="B768" s="268"/>
      <c r="C768" s="268"/>
      <c r="D768" s="268"/>
      <c r="E768" s="268"/>
      <c r="F768" s="268"/>
      <c r="G768" s="268"/>
      <c r="H768" s="389"/>
      <c r="I768" s="389"/>
      <c r="J768" s="389"/>
      <c r="K768" s="268"/>
      <c r="L768" s="268"/>
      <c r="M768" s="268"/>
      <c r="N768" s="310"/>
      <c r="O768" s="268"/>
      <c r="P768" s="309"/>
      <c r="Q768" s="381"/>
      <c r="R768" s="268"/>
      <c r="S768" s="313"/>
      <c r="T768" s="313"/>
      <c r="U768" s="268"/>
      <c r="V768" s="268"/>
      <c r="W768" s="268"/>
      <c r="X768" s="268"/>
      <c r="Y768" s="268"/>
      <c r="Z768" s="268"/>
    </row>
    <row r="769" spans="1:26" ht="24.75" customHeight="1">
      <c r="A769" s="268"/>
      <c r="B769" s="268"/>
      <c r="C769" s="268"/>
      <c r="D769" s="268"/>
      <c r="E769" s="268"/>
      <c r="F769" s="268"/>
      <c r="G769" s="268"/>
      <c r="H769" s="389"/>
      <c r="I769" s="389"/>
      <c r="J769" s="389"/>
      <c r="K769" s="268"/>
      <c r="L769" s="268"/>
      <c r="M769" s="268"/>
      <c r="N769" s="310"/>
      <c r="O769" s="268"/>
      <c r="P769" s="309"/>
      <c r="Q769" s="381"/>
      <c r="R769" s="268"/>
      <c r="S769" s="313"/>
      <c r="T769" s="313"/>
      <c r="U769" s="268"/>
      <c r="V769" s="268"/>
      <c r="W769" s="268"/>
      <c r="X769" s="268"/>
      <c r="Y769" s="268"/>
      <c r="Z769" s="268"/>
    </row>
    <row r="770" spans="1:26" ht="24.75" customHeight="1">
      <c r="A770" s="268"/>
      <c r="B770" s="268"/>
      <c r="C770" s="268"/>
      <c r="D770" s="268"/>
      <c r="E770" s="268"/>
      <c r="F770" s="268"/>
      <c r="G770" s="268"/>
      <c r="H770" s="389"/>
      <c r="I770" s="389"/>
      <c r="J770" s="389"/>
      <c r="K770" s="268"/>
      <c r="L770" s="268"/>
      <c r="M770" s="268"/>
      <c r="N770" s="310"/>
      <c r="O770" s="268"/>
      <c r="P770" s="309"/>
      <c r="Q770" s="381"/>
      <c r="R770" s="268"/>
      <c r="S770" s="313"/>
      <c r="T770" s="313"/>
      <c r="U770" s="268"/>
      <c r="V770" s="268"/>
      <c r="W770" s="268"/>
      <c r="X770" s="268"/>
      <c r="Y770" s="268"/>
      <c r="Z770" s="268"/>
    </row>
    <row r="771" spans="1:26" ht="24.75" customHeight="1">
      <c r="A771" s="268"/>
      <c r="B771" s="268"/>
      <c r="C771" s="268"/>
      <c r="D771" s="268"/>
      <c r="E771" s="268"/>
      <c r="F771" s="268"/>
      <c r="G771" s="268"/>
      <c r="H771" s="389"/>
      <c r="I771" s="389"/>
      <c r="J771" s="389"/>
      <c r="K771" s="268"/>
      <c r="L771" s="268"/>
      <c r="M771" s="268"/>
      <c r="N771" s="310"/>
      <c r="O771" s="268"/>
      <c r="P771" s="309"/>
      <c r="Q771" s="381"/>
      <c r="R771" s="268"/>
      <c r="S771" s="313"/>
      <c r="T771" s="313"/>
      <c r="U771" s="268"/>
      <c r="V771" s="268"/>
      <c r="W771" s="268"/>
      <c r="X771" s="268"/>
      <c r="Y771" s="268"/>
      <c r="Z771" s="268"/>
    </row>
    <row r="772" spans="1:26" ht="24.75" customHeight="1">
      <c r="A772" s="268"/>
      <c r="B772" s="268"/>
      <c r="C772" s="268"/>
      <c r="D772" s="268"/>
      <c r="E772" s="268"/>
      <c r="F772" s="268"/>
      <c r="G772" s="268"/>
      <c r="H772" s="389"/>
      <c r="I772" s="389"/>
      <c r="J772" s="389"/>
      <c r="K772" s="268"/>
      <c r="L772" s="268"/>
      <c r="M772" s="268"/>
      <c r="N772" s="310"/>
      <c r="O772" s="268"/>
      <c r="P772" s="309"/>
      <c r="Q772" s="381"/>
      <c r="R772" s="268"/>
      <c r="S772" s="313"/>
      <c r="T772" s="313"/>
      <c r="U772" s="268"/>
      <c r="V772" s="268"/>
      <c r="W772" s="268"/>
      <c r="X772" s="268"/>
      <c r="Y772" s="268"/>
      <c r="Z772" s="268"/>
    </row>
    <row r="773" spans="1:26" ht="24.75" customHeight="1">
      <c r="A773" s="268"/>
      <c r="B773" s="268"/>
      <c r="C773" s="268"/>
      <c r="D773" s="268"/>
      <c r="E773" s="268"/>
      <c r="F773" s="268"/>
      <c r="G773" s="268"/>
      <c r="H773" s="389"/>
      <c r="I773" s="389"/>
      <c r="J773" s="389"/>
      <c r="K773" s="268"/>
      <c r="L773" s="268"/>
      <c r="M773" s="268"/>
      <c r="N773" s="310"/>
      <c r="O773" s="268"/>
      <c r="P773" s="309"/>
      <c r="Q773" s="381"/>
      <c r="R773" s="268"/>
      <c r="S773" s="313"/>
      <c r="T773" s="313"/>
      <c r="U773" s="268"/>
      <c r="V773" s="268"/>
      <c r="W773" s="268"/>
      <c r="X773" s="268"/>
      <c r="Y773" s="268"/>
      <c r="Z773" s="268"/>
    </row>
    <row r="774" spans="1:26" ht="24.75" customHeight="1">
      <c r="A774" s="268"/>
      <c r="B774" s="268"/>
      <c r="C774" s="268"/>
      <c r="D774" s="268"/>
      <c r="E774" s="268"/>
      <c r="F774" s="268"/>
      <c r="G774" s="268"/>
      <c r="H774" s="389"/>
      <c r="I774" s="389"/>
      <c r="J774" s="389"/>
      <c r="K774" s="268"/>
      <c r="L774" s="268"/>
      <c r="M774" s="268"/>
      <c r="N774" s="310"/>
      <c r="O774" s="268"/>
      <c r="P774" s="309"/>
      <c r="Q774" s="381"/>
      <c r="R774" s="268"/>
      <c r="S774" s="313"/>
      <c r="T774" s="313"/>
      <c r="U774" s="268"/>
      <c r="V774" s="268"/>
      <c r="W774" s="268"/>
      <c r="X774" s="268"/>
      <c r="Y774" s="268"/>
      <c r="Z774" s="268"/>
    </row>
    <row r="775" spans="1:26" ht="24.75" customHeight="1">
      <c r="A775" s="268"/>
      <c r="B775" s="268"/>
      <c r="C775" s="268"/>
      <c r="D775" s="268"/>
      <c r="E775" s="268"/>
      <c r="F775" s="268"/>
      <c r="G775" s="268"/>
      <c r="H775" s="389"/>
      <c r="I775" s="389"/>
      <c r="J775" s="389"/>
      <c r="K775" s="268"/>
      <c r="L775" s="268"/>
      <c r="M775" s="268"/>
      <c r="N775" s="310"/>
      <c r="O775" s="268"/>
      <c r="P775" s="309"/>
      <c r="Q775" s="381"/>
      <c r="R775" s="268"/>
      <c r="S775" s="313"/>
      <c r="T775" s="313"/>
      <c r="U775" s="268"/>
      <c r="V775" s="268"/>
      <c r="W775" s="268"/>
      <c r="X775" s="268"/>
      <c r="Y775" s="268"/>
      <c r="Z775" s="268"/>
    </row>
    <row r="776" spans="1:26" ht="24.75" customHeight="1">
      <c r="A776" s="268"/>
      <c r="B776" s="268"/>
      <c r="C776" s="268"/>
      <c r="D776" s="268"/>
      <c r="E776" s="268"/>
      <c r="F776" s="268"/>
      <c r="G776" s="268"/>
      <c r="H776" s="389"/>
      <c r="I776" s="389"/>
      <c r="J776" s="389"/>
      <c r="K776" s="268"/>
      <c r="L776" s="268"/>
      <c r="M776" s="268"/>
      <c r="N776" s="310"/>
      <c r="O776" s="268"/>
      <c r="P776" s="309"/>
      <c r="Q776" s="381"/>
      <c r="R776" s="268"/>
      <c r="S776" s="313"/>
      <c r="T776" s="313"/>
      <c r="U776" s="268"/>
      <c r="V776" s="268"/>
      <c r="W776" s="268"/>
      <c r="X776" s="268"/>
      <c r="Y776" s="268"/>
      <c r="Z776" s="268"/>
    </row>
    <row r="777" spans="1:26" ht="24.75" customHeight="1">
      <c r="A777" s="268"/>
      <c r="B777" s="268"/>
      <c r="C777" s="268"/>
      <c r="D777" s="268"/>
      <c r="E777" s="268"/>
      <c r="F777" s="268"/>
      <c r="G777" s="268"/>
      <c r="H777" s="389"/>
      <c r="I777" s="389"/>
      <c r="J777" s="389"/>
      <c r="K777" s="268"/>
      <c r="L777" s="268"/>
      <c r="M777" s="268"/>
      <c r="N777" s="310"/>
      <c r="O777" s="268"/>
      <c r="P777" s="309"/>
      <c r="Q777" s="381"/>
      <c r="R777" s="268"/>
      <c r="S777" s="313"/>
      <c r="T777" s="313"/>
      <c r="U777" s="268"/>
      <c r="V777" s="268"/>
      <c r="W777" s="268"/>
      <c r="X777" s="268"/>
      <c r="Y777" s="268"/>
      <c r="Z777" s="268"/>
    </row>
    <row r="778" spans="1:26" ht="24.75" customHeight="1">
      <c r="A778" s="268"/>
      <c r="B778" s="268"/>
      <c r="C778" s="268"/>
      <c r="D778" s="268"/>
      <c r="E778" s="268"/>
      <c r="F778" s="268"/>
      <c r="G778" s="268"/>
      <c r="H778" s="389"/>
      <c r="I778" s="389"/>
      <c r="J778" s="389"/>
      <c r="K778" s="268"/>
      <c r="L778" s="268"/>
      <c r="M778" s="268"/>
      <c r="N778" s="310"/>
      <c r="O778" s="268"/>
      <c r="P778" s="309"/>
      <c r="Q778" s="381"/>
      <c r="R778" s="268"/>
      <c r="S778" s="313"/>
      <c r="T778" s="313"/>
      <c r="U778" s="268"/>
      <c r="V778" s="268"/>
      <c r="W778" s="268"/>
      <c r="X778" s="268"/>
      <c r="Y778" s="268"/>
      <c r="Z778" s="268"/>
    </row>
    <row r="779" spans="1:26" ht="24.75" customHeight="1">
      <c r="A779" s="268"/>
      <c r="B779" s="268"/>
      <c r="C779" s="268"/>
      <c r="D779" s="268"/>
      <c r="E779" s="268"/>
      <c r="F779" s="268"/>
      <c r="G779" s="268"/>
      <c r="H779" s="389"/>
      <c r="I779" s="389"/>
      <c r="J779" s="389"/>
      <c r="K779" s="268"/>
      <c r="L779" s="268"/>
      <c r="M779" s="268"/>
      <c r="N779" s="310"/>
      <c r="O779" s="268"/>
      <c r="P779" s="309"/>
      <c r="Q779" s="381"/>
      <c r="R779" s="268"/>
      <c r="S779" s="313"/>
      <c r="T779" s="313"/>
      <c r="U779" s="268"/>
      <c r="V779" s="268"/>
      <c r="W779" s="268"/>
      <c r="X779" s="268"/>
      <c r="Y779" s="268"/>
      <c r="Z779" s="268"/>
    </row>
    <row r="780" spans="1:26" ht="24.75" customHeight="1">
      <c r="A780" s="268"/>
      <c r="B780" s="268"/>
      <c r="C780" s="268"/>
      <c r="D780" s="268"/>
      <c r="E780" s="268"/>
      <c r="F780" s="268"/>
      <c r="G780" s="268"/>
      <c r="H780" s="389"/>
      <c r="I780" s="389"/>
      <c r="J780" s="389"/>
      <c r="K780" s="268"/>
      <c r="L780" s="268"/>
      <c r="M780" s="268"/>
      <c r="N780" s="310"/>
      <c r="O780" s="268"/>
      <c r="P780" s="309"/>
      <c r="Q780" s="381"/>
      <c r="R780" s="268"/>
      <c r="S780" s="313"/>
      <c r="T780" s="313"/>
      <c r="U780" s="268"/>
      <c r="V780" s="268"/>
      <c r="W780" s="268"/>
      <c r="X780" s="268"/>
      <c r="Y780" s="268"/>
      <c r="Z780" s="268"/>
    </row>
    <row r="781" spans="1:26" ht="24.75" customHeight="1">
      <c r="A781" s="268"/>
      <c r="B781" s="268"/>
      <c r="C781" s="268"/>
      <c r="D781" s="268"/>
      <c r="E781" s="268"/>
      <c r="F781" s="268"/>
      <c r="G781" s="268"/>
      <c r="H781" s="389"/>
      <c r="I781" s="389"/>
      <c r="J781" s="389"/>
      <c r="K781" s="268"/>
      <c r="L781" s="268"/>
      <c r="M781" s="268"/>
      <c r="N781" s="310"/>
      <c r="O781" s="268"/>
      <c r="P781" s="309"/>
      <c r="Q781" s="381"/>
      <c r="R781" s="268"/>
      <c r="S781" s="313"/>
      <c r="T781" s="313"/>
      <c r="U781" s="268"/>
      <c r="V781" s="268"/>
      <c r="W781" s="268"/>
      <c r="X781" s="268"/>
      <c r="Y781" s="268"/>
      <c r="Z781" s="268"/>
    </row>
    <row r="782" spans="1:26" ht="24.75" customHeight="1">
      <c r="A782" s="268"/>
      <c r="B782" s="268"/>
      <c r="C782" s="268"/>
      <c r="D782" s="268"/>
      <c r="E782" s="268"/>
      <c r="F782" s="268"/>
      <c r="G782" s="268"/>
      <c r="H782" s="389"/>
      <c r="I782" s="389"/>
      <c r="J782" s="389"/>
      <c r="K782" s="268"/>
      <c r="L782" s="268"/>
      <c r="M782" s="268"/>
      <c r="N782" s="310"/>
      <c r="O782" s="268"/>
      <c r="P782" s="309"/>
      <c r="Q782" s="381"/>
      <c r="R782" s="268"/>
      <c r="S782" s="313"/>
      <c r="T782" s="313"/>
      <c r="U782" s="268"/>
      <c r="V782" s="268"/>
      <c r="W782" s="268"/>
      <c r="X782" s="268"/>
      <c r="Y782" s="268"/>
      <c r="Z782" s="268"/>
    </row>
    <row r="783" spans="1:26" ht="24.75" customHeight="1">
      <c r="A783" s="268"/>
      <c r="B783" s="268"/>
      <c r="C783" s="268"/>
      <c r="D783" s="268"/>
      <c r="E783" s="268"/>
      <c r="F783" s="268"/>
      <c r="G783" s="268"/>
      <c r="H783" s="389"/>
      <c r="I783" s="389"/>
      <c r="J783" s="389"/>
      <c r="K783" s="268"/>
      <c r="L783" s="268"/>
      <c r="M783" s="268"/>
      <c r="N783" s="310"/>
      <c r="O783" s="268"/>
      <c r="P783" s="309"/>
      <c r="Q783" s="381"/>
      <c r="R783" s="268"/>
      <c r="S783" s="313"/>
      <c r="T783" s="313"/>
      <c r="U783" s="268"/>
      <c r="V783" s="268"/>
      <c r="W783" s="268"/>
      <c r="X783" s="268"/>
      <c r="Y783" s="268"/>
      <c r="Z783" s="268"/>
    </row>
    <row r="784" spans="1:26" ht="24.75" customHeight="1">
      <c r="A784" s="268"/>
      <c r="B784" s="268"/>
      <c r="C784" s="268"/>
      <c r="D784" s="268"/>
      <c r="E784" s="268"/>
      <c r="F784" s="268"/>
      <c r="G784" s="268"/>
      <c r="H784" s="389"/>
      <c r="I784" s="389"/>
      <c r="J784" s="389"/>
      <c r="K784" s="268"/>
      <c r="L784" s="268"/>
      <c r="M784" s="268"/>
      <c r="N784" s="310"/>
      <c r="O784" s="268"/>
      <c r="P784" s="309"/>
      <c r="Q784" s="381"/>
      <c r="R784" s="268"/>
      <c r="S784" s="313"/>
      <c r="T784" s="313"/>
      <c r="U784" s="268"/>
      <c r="V784" s="268"/>
      <c r="W784" s="268"/>
      <c r="X784" s="268"/>
      <c r="Y784" s="268"/>
      <c r="Z784" s="268"/>
    </row>
    <row r="785" spans="1:26" ht="24.75" customHeight="1">
      <c r="A785" s="268"/>
      <c r="B785" s="268"/>
      <c r="C785" s="268"/>
      <c r="D785" s="268"/>
      <c r="E785" s="268"/>
      <c r="F785" s="268"/>
      <c r="G785" s="268"/>
      <c r="H785" s="389"/>
      <c r="I785" s="389"/>
      <c r="J785" s="389"/>
      <c r="K785" s="268"/>
      <c r="L785" s="268"/>
      <c r="M785" s="268"/>
      <c r="N785" s="310"/>
      <c r="O785" s="268"/>
      <c r="P785" s="309"/>
      <c r="Q785" s="381"/>
      <c r="R785" s="268"/>
      <c r="S785" s="313"/>
      <c r="T785" s="313"/>
      <c r="U785" s="268"/>
      <c r="V785" s="268"/>
      <c r="W785" s="268"/>
      <c r="X785" s="268"/>
      <c r="Y785" s="268"/>
      <c r="Z785" s="268"/>
    </row>
    <row r="786" spans="1:26" ht="24.75" customHeight="1">
      <c r="A786" s="268"/>
      <c r="B786" s="268"/>
      <c r="C786" s="268"/>
      <c r="D786" s="268"/>
      <c r="E786" s="268"/>
      <c r="F786" s="268"/>
      <c r="G786" s="268"/>
      <c r="H786" s="389"/>
      <c r="I786" s="389"/>
      <c r="J786" s="389"/>
      <c r="K786" s="268"/>
      <c r="L786" s="268"/>
      <c r="M786" s="268"/>
      <c r="N786" s="310"/>
      <c r="O786" s="268"/>
      <c r="P786" s="309"/>
      <c r="Q786" s="381"/>
      <c r="R786" s="268"/>
      <c r="S786" s="313"/>
      <c r="T786" s="313"/>
      <c r="U786" s="268"/>
      <c r="V786" s="268"/>
      <c r="W786" s="268"/>
      <c r="X786" s="268"/>
      <c r="Y786" s="268"/>
      <c r="Z786" s="268"/>
    </row>
    <row r="787" spans="1:26" ht="24.75" customHeight="1">
      <c r="A787" s="268"/>
      <c r="B787" s="268"/>
      <c r="C787" s="268"/>
      <c r="D787" s="268"/>
      <c r="E787" s="268"/>
      <c r="F787" s="268"/>
      <c r="G787" s="268"/>
      <c r="H787" s="389"/>
      <c r="I787" s="389"/>
      <c r="J787" s="389"/>
      <c r="K787" s="268"/>
      <c r="L787" s="268"/>
      <c r="M787" s="268"/>
      <c r="N787" s="310"/>
      <c r="O787" s="268"/>
      <c r="P787" s="309"/>
      <c r="Q787" s="381"/>
      <c r="R787" s="268"/>
      <c r="S787" s="313"/>
      <c r="T787" s="313"/>
      <c r="U787" s="268"/>
      <c r="V787" s="268"/>
      <c r="W787" s="268"/>
      <c r="X787" s="268"/>
      <c r="Y787" s="268"/>
      <c r="Z787" s="268"/>
    </row>
    <row r="788" spans="1:26" ht="24.75" customHeight="1">
      <c r="A788" s="268"/>
      <c r="B788" s="268"/>
      <c r="C788" s="268"/>
      <c r="D788" s="268"/>
      <c r="E788" s="268"/>
      <c r="F788" s="268"/>
      <c r="G788" s="268"/>
      <c r="H788" s="389"/>
      <c r="I788" s="389"/>
      <c r="J788" s="389"/>
      <c r="K788" s="268"/>
      <c r="L788" s="268"/>
      <c r="M788" s="268"/>
      <c r="N788" s="310"/>
      <c r="O788" s="268"/>
      <c r="P788" s="309"/>
      <c r="Q788" s="381"/>
      <c r="R788" s="268"/>
      <c r="S788" s="313"/>
      <c r="T788" s="313"/>
      <c r="U788" s="268"/>
      <c r="V788" s="268"/>
      <c r="W788" s="268"/>
      <c r="X788" s="268"/>
      <c r="Y788" s="268"/>
      <c r="Z788" s="268"/>
    </row>
    <row r="789" spans="1:26" ht="24.75" customHeight="1">
      <c r="A789" s="268"/>
      <c r="B789" s="268"/>
      <c r="C789" s="268"/>
      <c r="D789" s="268"/>
      <c r="E789" s="268"/>
      <c r="F789" s="268"/>
      <c r="G789" s="268"/>
      <c r="H789" s="389"/>
      <c r="I789" s="389"/>
      <c r="J789" s="389"/>
      <c r="K789" s="268"/>
      <c r="L789" s="268"/>
      <c r="M789" s="268"/>
      <c r="N789" s="310"/>
      <c r="O789" s="268"/>
      <c r="P789" s="309"/>
      <c r="Q789" s="381"/>
      <c r="R789" s="268"/>
      <c r="S789" s="313"/>
      <c r="T789" s="313"/>
      <c r="U789" s="268"/>
      <c r="V789" s="268"/>
      <c r="W789" s="268"/>
      <c r="X789" s="268"/>
      <c r="Y789" s="268"/>
      <c r="Z789" s="268"/>
    </row>
    <row r="790" spans="1:26" ht="24.75" customHeight="1">
      <c r="A790" s="268"/>
      <c r="B790" s="268"/>
      <c r="C790" s="268"/>
      <c r="D790" s="268"/>
      <c r="E790" s="268"/>
      <c r="F790" s="268"/>
      <c r="G790" s="268"/>
      <c r="H790" s="389"/>
      <c r="I790" s="389"/>
      <c r="J790" s="389"/>
      <c r="K790" s="268"/>
      <c r="L790" s="268"/>
      <c r="M790" s="268"/>
      <c r="N790" s="310"/>
      <c r="O790" s="268"/>
      <c r="P790" s="309"/>
      <c r="Q790" s="381"/>
      <c r="R790" s="268"/>
      <c r="S790" s="313"/>
      <c r="T790" s="313"/>
      <c r="U790" s="268"/>
      <c r="V790" s="268"/>
      <c r="W790" s="268"/>
      <c r="X790" s="268"/>
      <c r="Y790" s="268"/>
      <c r="Z790" s="268"/>
    </row>
    <row r="791" spans="1:26" ht="24.75" customHeight="1">
      <c r="A791" s="268"/>
      <c r="B791" s="268"/>
      <c r="C791" s="268"/>
      <c r="D791" s="268"/>
      <c r="E791" s="268"/>
      <c r="F791" s="268"/>
      <c r="G791" s="268"/>
      <c r="H791" s="389"/>
      <c r="I791" s="389"/>
      <c r="J791" s="389"/>
      <c r="K791" s="268"/>
      <c r="L791" s="268"/>
      <c r="M791" s="268"/>
      <c r="N791" s="310"/>
      <c r="O791" s="268"/>
      <c r="P791" s="309"/>
      <c r="Q791" s="381"/>
      <c r="R791" s="268"/>
      <c r="S791" s="313"/>
      <c r="T791" s="313"/>
      <c r="U791" s="268"/>
      <c r="V791" s="268"/>
      <c r="W791" s="268"/>
      <c r="X791" s="268"/>
      <c r="Y791" s="268"/>
      <c r="Z791" s="268"/>
    </row>
    <row r="792" spans="1:26" ht="24.75" customHeight="1">
      <c r="A792" s="268"/>
      <c r="B792" s="268"/>
      <c r="C792" s="268"/>
      <c r="D792" s="268"/>
      <c r="E792" s="268"/>
      <c r="F792" s="268"/>
      <c r="G792" s="268"/>
      <c r="H792" s="389"/>
      <c r="I792" s="389"/>
      <c r="J792" s="389"/>
      <c r="K792" s="268"/>
      <c r="L792" s="268"/>
      <c r="M792" s="268"/>
      <c r="N792" s="310"/>
      <c r="O792" s="268"/>
      <c r="P792" s="309"/>
      <c r="Q792" s="381"/>
      <c r="R792" s="268"/>
      <c r="S792" s="313"/>
      <c r="T792" s="313"/>
      <c r="U792" s="268"/>
      <c r="V792" s="268"/>
      <c r="W792" s="268"/>
      <c r="X792" s="268"/>
      <c r="Y792" s="268"/>
      <c r="Z792" s="268"/>
    </row>
    <row r="793" spans="1:26" ht="24.75" customHeight="1">
      <c r="A793" s="268"/>
      <c r="B793" s="268"/>
      <c r="C793" s="268"/>
      <c r="D793" s="268"/>
      <c r="E793" s="268"/>
      <c r="F793" s="268"/>
      <c r="G793" s="268"/>
      <c r="H793" s="389"/>
      <c r="I793" s="389"/>
      <c r="J793" s="389"/>
      <c r="K793" s="268"/>
      <c r="L793" s="268"/>
      <c r="M793" s="268"/>
      <c r="N793" s="310"/>
      <c r="O793" s="268"/>
      <c r="P793" s="309"/>
      <c r="Q793" s="381"/>
      <c r="R793" s="268"/>
      <c r="S793" s="313"/>
      <c r="T793" s="313"/>
      <c r="U793" s="268"/>
      <c r="V793" s="268"/>
      <c r="W793" s="268"/>
      <c r="X793" s="268"/>
      <c r="Y793" s="268"/>
      <c r="Z793" s="268"/>
    </row>
    <row r="794" spans="1:26" ht="24.75" customHeight="1">
      <c r="A794" s="268"/>
      <c r="B794" s="268"/>
      <c r="C794" s="268"/>
      <c r="D794" s="268"/>
      <c r="E794" s="268"/>
      <c r="F794" s="268"/>
      <c r="G794" s="268"/>
      <c r="H794" s="389"/>
      <c r="I794" s="389"/>
      <c r="J794" s="389"/>
      <c r="K794" s="268"/>
      <c r="L794" s="268"/>
      <c r="M794" s="268"/>
      <c r="N794" s="310"/>
      <c r="O794" s="268"/>
      <c r="P794" s="309"/>
      <c r="Q794" s="381"/>
      <c r="R794" s="268"/>
      <c r="S794" s="313"/>
      <c r="T794" s="313"/>
      <c r="U794" s="268"/>
      <c r="V794" s="268"/>
      <c r="W794" s="268"/>
      <c r="X794" s="268"/>
      <c r="Y794" s="268"/>
      <c r="Z794" s="268"/>
    </row>
    <row r="795" spans="1:26" ht="24.75" customHeight="1">
      <c r="A795" s="268"/>
      <c r="B795" s="268"/>
      <c r="C795" s="268"/>
      <c r="D795" s="268"/>
      <c r="E795" s="268"/>
      <c r="F795" s="268"/>
      <c r="G795" s="268"/>
      <c r="H795" s="389"/>
      <c r="I795" s="389"/>
      <c r="J795" s="389"/>
      <c r="K795" s="268"/>
      <c r="L795" s="268"/>
      <c r="M795" s="268"/>
      <c r="N795" s="310"/>
      <c r="O795" s="268"/>
      <c r="P795" s="309"/>
      <c r="Q795" s="381"/>
      <c r="R795" s="268"/>
      <c r="S795" s="313"/>
      <c r="T795" s="313"/>
      <c r="U795" s="268"/>
      <c r="V795" s="268"/>
      <c r="W795" s="268"/>
      <c r="X795" s="268"/>
      <c r="Y795" s="268"/>
      <c r="Z795" s="268"/>
    </row>
    <row r="796" spans="1:26" ht="24.75" customHeight="1">
      <c r="A796" s="268"/>
      <c r="B796" s="268"/>
      <c r="C796" s="268"/>
      <c r="D796" s="268"/>
      <c r="E796" s="268"/>
      <c r="F796" s="268"/>
      <c r="G796" s="268"/>
      <c r="H796" s="389"/>
      <c r="I796" s="389"/>
      <c r="J796" s="389"/>
      <c r="K796" s="268"/>
      <c r="L796" s="268"/>
      <c r="M796" s="268"/>
      <c r="N796" s="310"/>
      <c r="O796" s="268"/>
      <c r="P796" s="309"/>
      <c r="Q796" s="381"/>
      <c r="R796" s="268"/>
      <c r="S796" s="313"/>
      <c r="T796" s="313"/>
      <c r="U796" s="268"/>
      <c r="V796" s="268"/>
      <c r="W796" s="268"/>
      <c r="X796" s="268"/>
      <c r="Y796" s="268"/>
      <c r="Z796" s="268"/>
    </row>
    <row r="797" spans="1:26" ht="24.75" customHeight="1">
      <c r="A797" s="268"/>
      <c r="B797" s="268"/>
      <c r="C797" s="268"/>
      <c r="D797" s="268"/>
      <c r="E797" s="268"/>
      <c r="F797" s="268"/>
      <c r="G797" s="268"/>
      <c r="H797" s="389"/>
      <c r="I797" s="389"/>
      <c r="J797" s="389"/>
      <c r="K797" s="268"/>
      <c r="L797" s="268"/>
      <c r="M797" s="268"/>
      <c r="N797" s="310"/>
      <c r="O797" s="268"/>
      <c r="P797" s="309"/>
      <c r="Q797" s="381"/>
      <c r="R797" s="268"/>
      <c r="S797" s="313"/>
      <c r="T797" s="313"/>
      <c r="U797" s="268"/>
      <c r="V797" s="268"/>
      <c r="W797" s="268"/>
      <c r="X797" s="268"/>
      <c r="Y797" s="268"/>
      <c r="Z797" s="268"/>
    </row>
    <row r="798" spans="1:26" ht="24.75" customHeight="1">
      <c r="A798" s="268"/>
      <c r="B798" s="268"/>
      <c r="C798" s="268"/>
      <c r="D798" s="268"/>
      <c r="E798" s="268"/>
      <c r="F798" s="268"/>
      <c r="G798" s="268"/>
      <c r="H798" s="389"/>
      <c r="I798" s="389"/>
      <c r="J798" s="389"/>
      <c r="K798" s="268"/>
      <c r="L798" s="268"/>
      <c r="M798" s="268"/>
      <c r="N798" s="310"/>
      <c r="O798" s="268"/>
      <c r="P798" s="309"/>
      <c r="Q798" s="381"/>
      <c r="R798" s="268"/>
      <c r="S798" s="313"/>
      <c r="T798" s="313"/>
      <c r="U798" s="268"/>
      <c r="V798" s="268"/>
      <c r="W798" s="268"/>
      <c r="X798" s="268"/>
      <c r="Y798" s="268"/>
      <c r="Z798" s="268"/>
    </row>
    <row r="799" spans="1:26" ht="24.75" customHeight="1">
      <c r="A799" s="268"/>
      <c r="B799" s="268"/>
      <c r="C799" s="268"/>
      <c r="D799" s="268"/>
      <c r="E799" s="268"/>
      <c r="F799" s="268"/>
      <c r="G799" s="268"/>
      <c r="H799" s="389"/>
      <c r="I799" s="389"/>
      <c r="J799" s="389"/>
      <c r="K799" s="268"/>
      <c r="L799" s="268"/>
      <c r="M799" s="268"/>
      <c r="N799" s="310"/>
      <c r="O799" s="268"/>
      <c r="P799" s="309"/>
      <c r="Q799" s="381"/>
      <c r="R799" s="268"/>
      <c r="S799" s="313"/>
      <c r="T799" s="313"/>
      <c r="U799" s="268"/>
      <c r="V799" s="268"/>
      <c r="W799" s="268"/>
      <c r="X799" s="268"/>
      <c r="Y799" s="268"/>
      <c r="Z799" s="268"/>
    </row>
    <row r="800" spans="1:26" ht="24.75" customHeight="1">
      <c r="A800" s="268"/>
      <c r="B800" s="268"/>
      <c r="C800" s="268"/>
      <c r="D800" s="268"/>
      <c r="E800" s="268"/>
      <c r="F800" s="268"/>
      <c r="G800" s="268"/>
      <c r="H800" s="389"/>
      <c r="I800" s="389"/>
      <c r="J800" s="389"/>
      <c r="K800" s="268"/>
      <c r="L800" s="268"/>
      <c r="M800" s="268"/>
      <c r="N800" s="310"/>
      <c r="O800" s="268"/>
      <c r="P800" s="309"/>
      <c r="Q800" s="381"/>
      <c r="R800" s="268"/>
      <c r="S800" s="313"/>
      <c r="T800" s="313"/>
      <c r="U800" s="268"/>
      <c r="V800" s="268"/>
      <c r="W800" s="268"/>
      <c r="X800" s="268"/>
      <c r="Y800" s="268"/>
      <c r="Z800" s="268"/>
    </row>
    <row r="801" spans="1:26" ht="24.75" customHeight="1">
      <c r="A801" s="268"/>
      <c r="B801" s="268"/>
      <c r="C801" s="268"/>
      <c r="D801" s="268"/>
      <c r="E801" s="268"/>
      <c r="F801" s="268"/>
      <c r="G801" s="268"/>
      <c r="H801" s="389"/>
      <c r="I801" s="389"/>
      <c r="J801" s="389"/>
      <c r="K801" s="268"/>
      <c r="L801" s="268"/>
      <c r="M801" s="268"/>
      <c r="N801" s="310"/>
      <c r="O801" s="268"/>
      <c r="P801" s="309"/>
      <c r="Q801" s="381"/>
      <c r="R801" s="268"/>
      <c r="S801" s="313"/>
      <c r="T801" s="313"/>
      <c r="U801" s="268"/>
      <c r="V801" s="268"/>
      <c r="W801" s="268"/>
      <c r="X801" s="268"/>
      <c r="Y801" s="268"/>
      <c r="Z801" s="268"/>
    </row>
    <row r="802" spans="1:26" ht="24.75" customHeight="1">
      <c r="A802" s="268"/>
      <c r="B802" s="268"/>
      <c r="C802" s="268"/>
      <c r="D802" s="268"/>
      <c r="E802" s="268"/>
      <c r="F802" s="268"/>
      <c r="G802" s="268"/>
      <c r="H802" s="389"/>
      <c r="I802" s="389"/>
      <c r="J802" s="389"/>
      <c r="K802" s="268"/>
      <c r="L802" s="268"/>
      <c r="M802" s="268"/>
      <c r="N802" s="310"/>
      <c r="O802" s="268"/>
      <c r="P802" s="309"/>
      <c r="Q802" s="381"/>
      <c r="R802" s="268"/>
      <c r="S802" s="313"/>
      <c r="T802" s="313"/>
      <c r="U802" s="268"/>
      <c r="V802" s="268"/>
      <c r="W802" s="268"/>
      <c r="X802" s="268"/>
      <c r="Y802" s="268"/>
      <c r="Z802" s="268"/>
    </row>
    <row r="803" spans="1:26" ht="24.75" customHeight="1">
      <c r="A803" s="268"/>
      <c r="B803" s="268"/>
      <c r="C803" s="268"/>
      <c r="D803" s="268"/>
      <c r="E803" s="268"/>
      <c r="F803" s="268"/>
      <c r="G803" s="268"/>
      <c r="H803" s="389"/>
      <c r="I803" s="389"/>
      <c r="J803" s="389"/>
      <c r="K803" s="268"/>
      <c r="L803" s="268"/>
      <c r="M803" s="268"/>
      <c r="N803" s="310"/>
      <c r="O803" s="268"/>
      <c r="P803" s="309"/>
      <c r="Q803" s="381"/>
      <c r="R803" s="268"/>
      <c r="S803" s="313"/>
      <c r="T803" s="313"/>
      <c r="U803" s="268"/>
      <c r="V803" s="268"/>
      <c r="W803" s="268"/>
      <c r="X803" s="268"/>
      <c r="Y803" s="268"/>
      <c r="Z803" s="268"/>
    </row>
    <row r="804" spans="1:26" ht="24.75" customHeight="1">
      <c r="A804" s="268"/>
      <c r="B804" s="268"/>
      <c r="C804" s="268"/>
      <c r="D804" s="268"/>
      <c r="E804" s="268"/>
      <c r="F804" s="268"/>
      <c r="G804" s="268"/>
      <c r="H804" s="389"/>
      <c r="I804" s="389"/>
      <c r="J804" s="389"/>
      <c r="K804" s="268"/>
      <c r="L804" s="268"/>
      <c r="M804" s="268"/>
      <c r="N804" s="310"/>
      <c r="O804" s="268"/>
      <c r="P804" s="309"/>
      <c r="Q804" s="381"/>
      <c r="R804" s="268"/>
      <c r="S804" s="313"/>
      <c r="T804" s="313"/>
      <c r="U804" s="268"/>
      <c r="V804" s="268"/>
      <c r="W804" s="268"/>
      <c r="X804" s="268"/>
      <c r="Y804" s="268"/>
      <c r="Z804" s="268"/>
    </row>
    <row r="805" spans="1:26" ht="24.75" customHeight="1">
      <c r="A805" s="268"/>
      <c r="B805" s="268"/>
      <c r="C805" s="268"/>
      <c r="D805" s="268"/>
      <c r="E805" s="268"/>
      <c r="F805" s="268"/>
      <c r="G805" s="268"/>
      <c r="H805" s="389"/>
      <c r="I805" s="389"/>
      <c r="J805" s="389"/>
      <c r="K805" s="268"/>
      <c r="L805" s="268"/>
      <c r="M805" s="268"/>
      <c r="N805" s="310"/>
      <c r="O805" s="268"/>
      <c r="P805" s="309"/>
      <c r="Q805" s="381"/>
      <c r="R805" s="268"/>
      <c r="S805" s="313"/>
      <c r="T805" s="313"/>
      <c r="U805" s="268"/>
      <c r="V805" s="268"/>
      <c r="W805" s="268"/>
      <c r="X805" s="268"/>
      <c r="Y805" s="268"/>
      <c r="Z805" s="268"/>
    </row>
    <row r="806" spans="1:26" ht="24.75" customHeight="1">
      <c r="A806" s="268"/>
      <c r="B806" s="268"/>
      <c r="C806" s="268"/>
      <c r="D806" s="268"/>
      <c r="E806" s="268"/>
      <c r="F806" s="268"/>
      <c r="G806" s="268"/>
      <c r="H806" s="389"/>
      <c r="I806" s="389"/>
      <c r="J806" s="389"/>
      <c r="K806" s="268"/>
      <c r="L806" s="268"/>
      <c r="M806" s="268"/>
      <c r="N806" s="310"/>
      <c r="O806" s="268"/>
      <c r="P806" s="309"/>
      <c r="Q806" s="381"/>
      <c r="R806" s="268"/>
      <c r="S806" s="313"/>
      <c r="T806" s="313"/>
      <c r="U806" s="268"/>
      <c r="V806" s="268"/>
      <c r="W806" s="268"/>
      <c r="X806" s="268"/>
      <c r="Y806" s="268"/>
      <c r="Z806" s="268"/>
    </row>
    <row r="807" spans="1:26" ht="24.75" customHeight="1">
      <c r="A807" s="268"/>
      <c r="B807" s="268"/>
      <c r="C807" s="268"/>
      <c r="D807" s="268"/>
      <c r="E807" s="268"/>
      <c r="F807" s="268"/>
      <c r="G807" s="268"/>
      <c r="H807" s="389"/>
      <c r="I807" s="389"/>
      <c r="J807" s="389"/>
      <c r="K807" s="268"/>
      <c r="L807" s="268"/>
      <c r="M807" s="268"/>
      <c r="N807" s="310"/>
      <c r="O807" s="268"/>
      <c r="P807" s="309"/>
      <c r="Q807" s="381"/>
      <c r="R807" s="268"/>
      <c r="S807" s="313"/>
      <c r="T807" s="313"/>
      <c r="U807" s="268"/>
      <c r="V807" s="268"/>
      <c r="W807" s="268"/>
      <c r="X807" s="268"/>
      <c r="Y807" s="268"/>
      <c r="Z807" s="268"/>
    </row>
    <row r="808" spans="1:26" ht="24.75" customHeight="1">
      <c r="A808" s="268"/>
      <c r="B808" s="268"/>
      <c r="C808" s="268"/>
      <c r="D808" s="268"/>
      <c r="E808" s="268"/>
      <c r="F808" s="268"/>
      <c r="G808" s="268"/>
      <c r="H808" s="389"/>
      <c r="I808" s="389"/>
      <c r="J808" s="389"/>
      <c r="K808" s="268"/>
      <c r="L808" s="268"/>
      <c r="M808" s="268"/>
      <c r="N808" s="310"/>
      <c r="O808" s="268"/>
      <c r="P808" s="309"/>
      <c r="Q808" s="381"/>
      <c r="R808" s="268"/>
      <c r="S808" s="313"/>
      <c r="T808" s="313"/>
      <c r="U808" s="268"/>
      <c r="V808" s="268"/>
      <c r="W808" s="268"/>
      <c r="X808" s="268"/>
      <c r="Y808" s="268"/>
      <c r="Z808" s="268"/>
    </row>
    <row r="809" spans="1:26" ht="24.75" customHeight="1">
      <c r="A809" s="268"/>
      <c r="B809" s="268"/>
      <c r="C809" s="268"/>
      <c r="D809" s="268"/>
      <c r="E809" s="268"/>
      <c r="F809" s="268"/>
      <c r="G809" s="268"/>
      <c r="H809" s="389"/>
      <c r="I809" s="389"/>
      <c r="J809" s="389"/>
      <c r="K809" s="268"/>
      <c r="L809" s="268"/>
      <c r="M809" s="268"/>
      <c r="N809" s="310"/>
      <c r="O809" s="268"/>
      <c r="P809" s="309"/>
      <c r="Q809" s="381"/>
      <c r="R809" s="268"/>
      <c r="S809" s="313"/>
      <c r="T809" s="313"/>
      <c r="U809" s="268"/>
      <c r="V809" s="268"/>
      <c r="W809" s="268"/>
      <c r="X809" s="268"/>
      <c r="Y809" s="268"/>
      <c r="Z809" s="268"/>
    </row>
    <row r="810" spans="1:26" ht="24.75" customHeight="1">
      <c r="A810" s="268"/>
      <c r="B810" s="268"/>
      <c r="C810" s="268"/>
      <c r="D810" s="268"/>
      <c r="E810" s="268"/>
      <c r="F810" s="268"/>
      <c r="G810" s="268"/>
      <c r="H810" s="389"/>
      <c r="I810" s="389"/>
      <c r="J810" s="389"/>
      <c r="K810" s="268"/>
      <c r="L810" s="268"/>
      <c r="M810" s="268"/>
      <c r="N810" s="310"/>
      <c r="O810" s="268"/>
      <c r="P810" s="309"/>
      <c r="Q810" s="381"/>
      <c r="R810" s="268"/>
      <c r="S810" s="313"/>
      <c r="T810" s="313"/>
      <c r="U810" s="268"/>
      <c r="V810" s="268"/>
      <c r="W810" s="268"/>
      <c r="X810" s="268"/>
      <c r="Y810" s="268"/>
      <c r="Z810" s="268"/>
    </row>
    <row r="811" spans="1:26" ht="24.75" customHeight="1">
      <c r="A811" s="268"/>
      <c r="B811" s="268"/>
      <c r="C811" s="268"/>
      <c r="D811" s="268"/>
      <c r="E811" s="268"/>
      <c r="F811" s="268"/>
      <c r="G811" s="268"/>
      <c r="H811" s="389"/>
      <c r="I811" s="389"/>
      <c r="J811" s="389"/>
      <c r="K811" s="268"/>
      <c r="L811" s="268"/>
      <c r="M811" s="268"/>
      <c r="N811" s="310"/>
      <c r="O811" s="268"/>
      <c r="P811" s="309"/>
      <c r="Q811" s="381"/>
      <c r="R811" s="268"/>
      <c r="S811" s="313"/>
      <c r="T811" s="313"/>
      <c r="U811" s="268"/>
      <c r="V811" s="268"/>
      <c r="W811" s="268"/>
      <c r="X811" s="268"/>
      <c r="Y811" s="268"/>
      <c r="Z811" s="268"/>
    </row>
    <row r="812" spans="1:26" ht="24.75" customHeight="1">
      <c r="A812" s="268"/>
      <c r="B812" s="268"/>
      <c r="C812" s="268"/>
      <c r="D812" s="268"/>
      <c r="E812" s="268"/>
      <c r="F812" s="268"/>
      <c r="G812" s="268"/>
      <c r="H812" s="389"/>
      <c r="I812" s="389"/>
      <c r="J812" s="389"/>
      <c r="K812" s="268"/>
      <c r="L812" s="268"/>
      <c r="M812" s="268"/>
      <c r="N812" s="310"/>
      <c r="O812" s="268"/>
      <c r="P812" s="309"/>
      <c r="Q812" s="381"/>
      <c r="R812" s="268"/>
      <c r="S812" s="313"/>
      <c r="T812" s="313"/>
      <c r="U812" s="268"/>
      <c r="V812" s="268"/>
      <c r="W812" s="268"/>
      <c r="X812" s="268"/>
      <c r="Y812" s="268"/>
      <c r="Z812" s="268"/>
    </row>
    <row r="813" spans="1:26" ht="24.75" customHeight="1">
      <c r="A813" s="268"/>
      <c r="B813" s="268"/>
      <c r="C813" s="268"/>
      <c r="D813" s="268"/>
      <c r="E813" s="268"/>
      <c r="F813" s="268"/>
      <c r="G813" s="268"/>
      <c r="H813" s="389"/>
      <c r="I813" s="389"/>
      <c r="J813" s="389"/>
      <c r="K813" s="268"/>
      <c r="L813" s="268"/>
      <c r="M813" s="268"/>
      <c r="N813" s="310"/>
      <c r="O813" s="268"/>
      <c r="P813" s="309"/>
      <c r="Q813" s="381"/>
      <c r="R813" s="268"/>
      <c r="S813" s="313"/>
      <c r="T813" s="313"/>
      <c r="U813" s="268"/>
      <c r="V813" s="268"/>
      <c r="W813" s="268"/>
      <c r="X813" s="268"/>
      <c r="Y813" s="268"/>
      <c r="Z813" s="268"/>
    </row>
    <row r="814" spans="1:26" ht="24.75" customHeight="1">
      <c r="A814" s="268"/>
      <c r="B814" s="268"/>
      <c r="C814" s="268"/>
      <c r="D814" s="268"/>
      <c r="E814" s="268"/>
      <c r="F814" s="268"/>
      <c r="G814" s="268"/>
      <c r="H814" s="389"/>
      <c r="I814" s="389"/>
      <c r="J814" s="389"/>
      <c r="K814" s="268"/>
      <c r="L814" s="268"/>
      <c r="M814" s="268"/>
      <c r="N814" s="310"/>
      <c r="O814" s="268"/>
      <c r="P814" s="309"/>
      <c r="Q814" s="381"/>
      <c r="R814" s="268"/>
      <c r="S814" s="313"/>
      <c r="T814" s="313"/>
      <c r="U814" s="268"/>
      <c r="V814" s="268"/>
      <c r="W814" s="268"/>
      <c r="X814" s="268"/>
      <c r="Y814" s="268"/>
      <c r="Z814" s="268"/>
    </row>
    <row r="815" spans="1:26" ht="24.75" customHeight="1">
      <c r="A815" s="268"/>
      <c r="B815" s="268"/>
      <c r="C815" s="268"/>
      <c r="D815" s="268"/>
      <c r="E815" s="268"/>
      <c r="F815" s="268"/>
      <c r="G815" s="268"/>
      <c r="H815" s="389"/>
      <c r="I815" s="389"/>
      <c r="J815" s="389"/>
      <c r="K815" s="268"/>
      <c r="L815" s="268"/>
      <c r="M815" s="268"/>
      <c r="N815" s="310"/>
      <c r="O815" s="268"/>
      <c r="P815" s="309"/>
      <c r="Q815" s="381"/>
      <c r="R815" s="268"/>
      <c r="S815" s="313"/>
      <c r="T815" s="313"/>
      <c r="U815" s="268"/>
      <c r="V815" s="268"/>
      <c r="W815" s="268"/>
      <c r="X815" s="268"/>
      <c r="Y815" s="268"/>
      <c r="Z815" s="268"/>
    </row>
    <row r="816" spans="1:26" ht="24.75" customHeight="1">
      <c r="A816" s="268"/>
      <c r="B816" s="268"/>
      <c r="C816" s="268"/>
      <c r="D816" s="268"/>
      <c r="E816" s="268"/>
      <c r="F816" s="268"/>
      <c r="G816" s="268"/>
      <c r="H816" s="389"/>
      <c r="I816" s="389"/>
      <c r="J816" s="389"/>
      <c r="K816" s="268"/>
      <c r="L816" s="268"/>
      <c r="M816" s="268"/>
      <c r="N816" s="310"/>
      <c r="O816" s="268"/>
      <c r="P816" s="309"/>
      <c r="Q816" s="381"/>
      <c r="R816" s="268"/>
      <c r="S816" s="313"/>
      <c r="T816" s="313"/>
      <c r="U816" s="268"/>
      <c r="V816" s="268"/>
      <c r="W816" s="268"/>
      <c r="X816" s="268"/>
      <c r="Y816" s="268"/>
      <c r="Z816" s="268"/>
    </row>
    <row r="817" spans="1:26" ht="24.75" customHeight="1">
      <c r="A817" s="268"/>
      <c r="B817" s="268"/>
      <c r="C817" s="268"/>
      <c r="D817" s="268"/>
      <c r="E817" s="268"/>
      <c r="F817" s="268"/>
      <c r="G817" s="268"/>
      <c r="H817" s="389"/>
      <c r="I817" s="389"/>
      <c r="J817" s="389"/>
      <c r="K817" s="268"/>
      <c r="L817" s="268"/>
      <c r="M817" s="268"/>
      <c r="N817" s="310"/>
      <c r="O817" s="268"/>
      <c r="P817" s="309"/>
      <c r="Q817" s="381"/>
      <c r="R817" s="268"/>
      <c r="S817" s="313"/>
      <c r="T817" s="313"/>
      <c r="U817" s="268"/>
      <c r="V817" s="268"/>
      <c r="W817" s="268"/>
      <c r="X817" s="268"/>
      <c r="Y817" s="268"/>
      <c r="Z817" s="268"/>
    </row>
    <row r="818" spans="1:26" ht="24.75" customHeight="1">
      <c r="A818" s="268"/>
      <c r="B818" s="268"/>
      <c r="C818" s="268"/>
      <c r="D818" s="268"/>
      <c r="E818" s="268"/>
      <c r="F818" s="268"/>
      <c r="G818" s="268"/>
      <c r="H818" s="389"/>
      <c r="I818" s="389"/>
      <c r="J818" s="389"/>
      <c r="K818" s="268"/>
      <c r="L818" s="268"/>
      <c r="M818" s="268"/>
      <c r="N818" s="310"/>
      <c r="O818" s="268"/>
      <c r="P818" s="309"/>
      <c r="Q818" s="381"/>
      <c r="R818" s="268"/>
      <c r="S818" s="313"/>
      <c r="T818" s="313"/>
      <c r="U818" s="268"/>
      <c r="V818" s="268"/>
      <c r="W818" s="268"/>
      <c r="X818" s="268"/>
      <c r="Y818" s="268"/>
      <c r="Z818" s="268"/>
    </row>
    <row r="819" spans="1:26" ht="24.75" customHeight="1">
      <c r="A819" s="268"/>
      <c r="B819" s="268"/>
      <c r="C819" s="268"/>
      <c r="D819" s="268"/>
      <c r="E819" s="268"/>
      <c r="F819" s="268"/>
      <c r="G819" s="268"/>
      <c r="H819" s="389"/>
      <c r="I819" s="389"/>
      <c r="J819" s="389"/>
      <c r="K819" s="268"/>
      <c r="L819" s="268"/>
      <c r="M819" s="268"/>
      <c r="N819" s="310"/>
      <c r="O819" s="268"/>
      <c r="P819" s="309"/>
      <c r="Q819" s="381"/>
      <c r="R819" s="268"/>
      <c r="S819" s="313"/>
      <c r="T819" s="313"/>
      <c r="U819" s="268"/>
      <c r="V819" s="268"/>
      <c r="W819" s="268"/>
      <c r="X819" s="268"/>
      <c r="Y819" s="268"/>
      <c r="Z819" s="268"/>
    </row>
    <row r="820" spans="1:26" ht="24.75" customHeight="1">
      <c r="A820" s="268"/>
      <c r="B820" s="268"/>
      <c r="C820" s="268"/>
      <c r="D820" s="268"/>
      <c r="E820" s="268"/>
      <c r="F820" s="268"/>
      <c r="G820" s="268"/>
      <c r="H820" s="389"/>
      <c r="I820" s="389"/>
      <c r="J820" s="389"/>
      <c r="K820" s="268"/>
      <c r="L820" s="268"/>
      <c r="M820" s="268"/>
      <c r="N820" s="310"/>
      <c r="O820" s="268"/>
      <c r="P820" s="309"/>
      <c r="Q820" s="381"/>
      <c r="R820" s="268"/>
      <c r="S820" s="313"/>
      <c r="T820" s="313"/>
      <c r="U820" s="268"/>
      <c r="V820" s="268"/>
      <c r="W820" s="268"/>
      <c r="X820" s="268"/>
      <c r="Y820" s="268"/>
      <c r="Z820" s="268"/>
    </row>
    <row r="821" spans="1:26" ht="24.75" customHeight="1">
      <c r="A821" s="268"/>
      <c r="B821" s="268"/>
      <c r="C821" s="268"/>
      <c r="D821" s="268"/>
      <c r="E821" s="268"/>
      <c r="F821" s="268"/>
      <c r="G821" s="268"/>
      <c r="H821" s="389"/>
      <c r="I821" s="389"/>
      <c r="J821" s="389"/>
      <c r="K821" s="268"/>
      <c r="L821" s="268"/>
      <c r="M821" s="268"/>
      <c r="N821" s="310"/>
      <c r="O821" s="268"/>
      <c r="P821" s="309"/>
      <c r="Q821" s="381"/>
      <c r="R821" s="268"/>
      <c r="S821" s="313"/>
      <c r="T821" s="313"/>
      <c r="U821" s="268"/>
      <c r="V821" s="268"/>
      <c r="W821" s="268"/>
      <c r="X821" s="268"/>
      <c r="Y821" s="268"/>
      <c r="Z821" s="268"/>
    </row>
    <row r="822" spans="1:26" ht="24.75" customHeight="1">
      <c r="A822" s="268"/>
      <c r="B822" s="268"/>
      <c r="C822" s="268"/>
      <c r="D822" s="268"/>
      <c r="E822" s="268"/>
      <c r="F822" s="268"/>
      <c r="G822" s="268"/>
      <c r="H822" s="389"/>
      <c r="I822" s="389"/>
      <c r="J822" s="389"/>
      <c r="K822" s="268"/>
      <c r="L822" s="268"/>
      <c r="M822" s="268"/>
      <c r="N822" s="310"/>
      <c r="O822" s="268"/>
      <c r="P822" s="309"/>
      <c r="Q822" s="381"/>
      <c r="R822" s="268"/>
      <c r="S822" s="313"/>
      <c r="T822" s="313"/>
      <c r="U822" s="268"/>
      <c r="V822" s="268"/>
      <c r="W822" s="268"/>
      <c r="X822" s="268"/>
      <c r="Y822" s="268"/>
      <c r="Z822" s="268"/>
    </row>
    <row r="823" spans="1:26" ht="24.75" customHeight="1">
      <c r="A823" s="268"/>
      <c r="B823" s="268"/>
      <c r="C823" s="268"/>
      <c r="D823" s="268"/>
      <c r="E823" s="268"/>
      <c r="F823" s="268"/>
      <c r="G823" s="268"/>
      <c r="H823" s="389"/>
      <c r="I823" s="389"/>
      <c r="J823" s="389"/>
      <c r="K823" s="268"/>
      <c r="L823" s="268"/>
      <c r="M823" s="268"/>
      <c r="N823" s="310"/>
      <c r="O823" s="268"/>
      <c r="P823" s="309"/>
      <c r="Q823" s="381"/>
      <c r="R823" s="268"/>
      <c r="S823" s="313"/>
      <c r="T823" s="313"/>
      <c r="U823" s="268"/>
      <c r="V823" s="268"/>
      <c r="W823" s="268"/>
      <c r="X823" s="268"/>
      <c r="Y823" s="268"/>
      <c r="Z823" s="268"/>
    </row>
    <row r="824" spans="1:26" ht="24.75" customHeight="1">
      <c r="A824" s="268"/>
      <c r="B824" s="268"/>
      <c r="C824" s="268"/>
      <c r="D824" s="268"/>
      <c r="E824" s="268"/>
      <c r="F824" s="268"/>
      <c r="G824" s="268"/>
      <c r="H824" s="389"/>
      <c r="I824" s="389"/>
      <c r="J824" s="389"/>
      <c r="K824" s="268"/>
      <c r="L824" s="268"/>
      <c r="M824" s="268"/>
      <c r="N824" s="310"/>
      <c r="O824" s="268"/>
      <c r="P824" s="309"/>
      <c r="Q824" s="381"/>
      <c r="R824" s="268"/>
      <c r="S824" s="313"/>
      <c r="T824" s="313"/>
      <c r="U824" s="268"/>
      <c r="V824" s="268"/>
      <c r="W824" s="268"/>
      <c r="X824" s="268"/>
      <c r="Y824" s="268"/>
      <c r="Z824" s="268"/>
    </row>
    <row r="825" spans="1:26" ht="24.75" customHeight="1">
      <c r="A825" s="268"/>
      <c r="B825" s="268"/>
      <c r="C825" s="268"/>
      <c r="D825" s="268"/>
      <c r="E825" s="268"/>
      <c r="F825" s="268"/>
      <c r="G825" s="268"/>
      <c r="H825" s="389"/>
      <c r="I825" s="389"/>
      <c r="J825" s="389"/>
      <c r="K825" s="268"/>
      <c r="L825" s="268"/>
      <c r="M825" s="268"/>
      <c r="N825" s="310"/>
      <c r="O825" s="268"/>
      <c r="P825" s="309"/>
      <c r="Q825" s="381"/>
      <c r="R825" s="268"/>
      <c r="S825" s="313"/>
      <c r="T825" s="313"/>
      <c r="U825" s="268"/>
      <c r="V825" s="268"/>
      <c r="W825" s="268"/>
      <c r="X825" s="268"/>
      <c r="Y825" s="268"/>
      <c r="Z825" s="268"/>
    </row>
    <row r="826" spans="1:26" ht="24.75" customHeight="1">
      <c r="A826" s="268"/>
      <c r="B826" s="268"/>
      <c r="C826" s="268"/>
      <c r="D826" s="268"/>
      <c r="E826" s="268"/>
      <c r="F826" s="268"/>
      <c r="G826" s="268"/>
      <c r="H826" s="389"/>
      <c r="I826" s="389"/>
      <c r="J826" s="389"/>
      <c r="K826" s="268"/>
      <c r="L826" s="268"/>
      <c r="M826" s="268"/>
      <c r="N826" s="310"/>
      <c r="O826" s="268"/>
      <c r="P826" s="309"/>
      <c r="Q826" s="381"/>
      <c r="R826" s="268"/>
      <c r="S826" s="313"/>
      <c r="T826" s="313"/>
      <c r="U826" s="268"/>
      <c r="V826" s="268"/>
      <c r="W826" s="268"/>
      <c r="X826" s="268"/>
      <c r="Y826" s="268"/>
      <c r="Z826" s="268"/>
    </row>
    <row r="827" spans="1:26" ht="24.75" customHeight="1">
      <c r="A827" s="268"/>
      <c r="B827" s="268"/>
      <c r="C827" s="268"/>
      <c r="D827" s="268"/>
      <c r="E827" s="268"/>
      <c r="F827" s="268"/>
      <c r="G827" s="268"/>
      <c r="H827" s="389"/>
      <c r="I827" s="389"/>
      <c r="J827" s="389"/>
      <c r="K827" s="268"/>
      <c r="L827" s="268"/>
      <c r="M827" s="268"/>
      <c r="N827" s="310"/>
      <c r="O827" s="268"/>
      <c r="P827" s="309"/>
      <c r="Q827" s="381"/>
      <c r="R827" s="268"/>
      <c r="S827" s="313"/>
      <c r="T827" s="313"/>
      <c r="U827" s="268"/>
      <c r="V827" s="268"/>
      <c r="W827" s="268"/>
      <c r="X827" s="268"/>
      <c r="Y827" s="268"/>
      <c r="Z827" s="268"/>
    </row>
    <row r="828" spans="1:26" ht="24.75" customHeight="1">
      <c r="A828" s="268"/>
      <c r="B828" s="268"/>
      <c r="C828" s="268"/>
      <c r="D828" s="268"/>
      <c r="E828" s="268"/>
      <c r="F828" s="268"/>
      <c r="G828" s="268"/>
      <c r="H828" s="389"/>
      <c r="I828" s="389"/>
      <c r="J828" s="389"/>
      <c r="K828" s="268"/>
      <c r="L828" s="268"/>
      <c r="M828" s="268"/>
      <c r="N828" s="310"/>
      <c r="O828" s="268"/>
      <c r="P828" s="309"/>
      <c r="Q828" s="381"/>
      <c r="R828" s="268"/>
      <c r="S828" s="313"/>
      <c r="T828" s="313"/>
      <c r="U828" s="268"/>
      <c r="V828" s="268"/>
      <c r="W828" s="268"/>
      <c r="X828" s="268"/>
      <c r="Y828" s="268"/>
      <c r="Z828" s="268"/>
    </row>
    <row r="829" spans="1:26" ht="24.75" customHeight="1">
      <c r="A829" s="268"/>
      <c r="B829" s="268"/>
      <c r="C829" s="268"/>
      <c r="D829" s="268"/>
      <c r="E829" s="268"/>
      <c r="F829" s="268"/>
      <c r="G829" s="268"/>
      <c r="H829" s="389"/>
      <c r="I829" s="389"/>
      <c r="J829" s="389"/>
      <c r="K829" s="268"/>
      <c r="L829" s="268"/>
      <c r="M829" s="268"/>
      <c r="N829" s="310"/>
      <c r="O829" s="268"/>
      <c r="P829" s="309"/>
      <c r="Q829" s="381"/>
      <c r="R829" s="268"/>
      <c r="S829" s="313"/>
      <c r="T829" s="313"/>
      <c r="U829" s="268"/>
      <c r="V829" s="268"/>
      <c r="W829" s="268"/>
      <c r="X829" s="268"/>
      <c r="Y829" s="268"/>
      <c r="Z829" s="268"/>
    </row>
    <row r="830" spans="1:26" ht="24.75" customHeight="1">
      <c r="A830" s="268"/>
      <c r="B830" s="268"/>
      <c r="C830" s="268"/>
      <c r="D830" s="268"/>
      <c r="E830" s="268"/>
      <c r="F830" s="268"/>
      <c r="G830" s="268"/>
      <c r="H830" s="389"/>
      <c r="I830" s="389"/>
      <c r="J830" s="389"/>
      <c r="K830" s="268"/>
      <c r="L830" s="268"/>
      <c r="M830" s="268"/>
      <c r="N830" s="310"/>
      <c r="O830" s="268"/>
      <c r="P830" s="309"/>
      <c r="Q830" s="381"/>
      <c r="R830" s="268"/>
      <c r="S830" s="313"/>
      <c r="T830" s="313"/>
      <c r="U830" s="268"/>
      <c r="V830" s="268"/>
      <c r="W830" s="268"/>
      <c r="X830" s="268"/>
      <c r="Y830" s="268"/>
      <c r="Z830" s="268"/>
    </row>
    <row r="831" spans="1:26" ht="24.75" customHeight="1">
      <c r="A831" s="268"/>
      <c r="B831" s="268"/>
      <c r="C831" s="268"/>
      <c r="D831" s="268"/>
      <c r="E831" s="268"/>
      <c r="F831" s="268"/>
      <c r="G831" s="268"/>
      <c r="H831" s="389"/>
      <c r="I831" s="389"/>
      <c r="J831" s="389"/>
      <c r="K831" s="268"/>
      <c r="L831" s="268"/>
      <c r="M831" s="268"/>
      <c r="N831" s="310"/>
      <c r="O831" s="268"/>
      <c r="P831" s="309"/>
      <c r="Q831" s="381"/>
      <c r="R831" s="268"/>
      <c r="S831" s="313"/>
      <c r="T831" s="313"/>
      <c r="U831" s="268"/>
      <c r="V831" s="268"/>
      <c r="W831" s="268"/>
      <c r="X831" s="268"/>
      <c r="Y831" s="268"/>
      <c r="Z831" s="268"/>
    </row>
    <row r="832" spans="1:26" ht="24.75" customHeight="1">
      <c r="A832" s="268"/>
      <c r="B832" s="268"/>
      <c r="C832" s="268"/>
      <c r="D832" s="268"/>
      <c r="E832" s="268"/>
      <c r="F832" s="268"/>
      <c r="G832" s="268"/>
      <c r="H832" s="389"/>
      <c r="I832" s="389"/>
      <c r="J832" s="389"/>
      <c r="K832" s="268"/>
      <c r="L832" s="268"/>
      <c r="M832" s="268"/>
      <c r="N832" s="310"/>
      <c r="O832" s="268"/>
      <c r="P832" s="309"/>
      <c r="Q832" s="381"/>
      <c r="R832" s="268"/>
      <c r="S832" s="313"/>
      <c r="T832" s="313"/>
      <c r="U832" s="268"/>
      <c r="V832" s="268"/>
      <c r="W832" s="268"/>
      <c r="X832" s="268"/>
      <c r="Y832" s="268"/>
      <c r="Z832" s="268"/>
    </row>
    <row r="833" spans="1:26" ht="24.75" customHeight="1">
      <c r="A833" s="268"/>
      <c r="B833" s="268"/>
      <c r="C833" s="268"/>
      <c r="D833" s="268"/>
      <c r="E833" s="268"/>
      <c r="F833" s="268"/>
      <c r="G833" s="268"/>
      <c r="H833" s="389"/>
      <c r="I833" s="389"/>
      <c r="J833" s="389"/>
      <c r="K833" s="268"/>
      <c r="L833" s="268"/>
      <c r="M833" s="268"/>
      <c r="N833" s="310"/>
      <c r="O833" s="268"/>
      <c r="P833" s="309"/>
      <c r="Q833" s="381"/>
      <c r="R833" s="268"/>
      <c r="S833" s="313"/>
      <c r="T833" s="313"/>
      <c r="U833" s="268"/>
      <c r="V833" s="268"/>
      <c r="W833" s="268"/>
      <c r="X833" s="268"/>
      <c r="Y833" s="268"/>
      <c r="Z833" s="268"/>
    </row>
    <row r="834" spans="1:26" ht="24.75" customHeight="1">
      <c r="A834" s="268"/>
      <c r="B834" s="268"/>
      <c r="C834" s="268"/>
      <c r="D834" s="268"/>
      <c r="E834" s="268"/>
      <c r="F834" s="268"/>
      <c r="G834" s="268"/>
      <c r="H834" s="389"/>
      <c r="I834" s="389"/>
      <c r="J834" s="389"/>
      <c r="K834" s="268"/>
      <c r="L834" s="268"/>
      <c r="M834" s="268"/>
      <c r="N834" s="310"/>
      <c r="O834" s="268"/>
      <c r="P834" s="309"/>
      <c r="Q834" s="381"/>
      <c r="R834" s="268"/>
      <c r="S834" s="313"/>
      <c r="T834" s="313"/>
      <c r="U834" s="268"/>
      <c r="V834" s="268"/>
      <c r="W834" s="268"/>
      <c r="X834" s="268"/>
      <c r="Y834" s="268"/>
      <c r="Z834" s="268"/>
    </row>
    <row r="835" spans="1:26" ht="24.75" customHeight="1">
      <c r="A835" s="268"/>
      <c r="B835" s="268"/>
      <c r="C835" s="268"/>
      <c r="D835" s="268"/>
      <c r="E835" s="268"/>
      <c r="F835" s="268"/>
      <c r="G835" s="268"/>
      <c r="H835" s="389"/>
      <c r="I835" s="389"/>
      <c r="J835" s="389"/>
      <c r="K835" s="268"/>
      <c r="L835" s="268"/>
      <c r="M835" s="268"/>
      <c r="N835" s="310"/>
      <c r="O835" s="268"/>
      <c r="P835" s="309"/>
      <c r="Q835" s="381"/>
      <c r="R835" s="268"/>
      <c r="S835" s="313"/>
      <c r="T835" s="313"/>
      <c r="U835" s="268"/>
      <c r="V835" s="268"/>
      <c r="W835" s="268"/>
      <c r="X835" s="268"/>
      <c r="Y835" s="268"/>
      <c r="Z835" s="268"/>
    </row>
    <row r="836" spans="1:26" ht="24.75" customHeight="1">
      <c r="A836" s="268"/>
      <c r="B836" s="268"/>
      <c r="C836" s="268"/>
      <c r="D836" s="268"/>
      <c r="E836" s="268"/>
      <c r="F836" s="268"/>
      <c r="G836" s="268"/>
      <c r="H836" s="389"/>
      <c r="I836" s="389"/>
      <c r="J836" s="389"/>
      <c r="K836" s="268"/>
      <c r="L836" s="268"/>
      <c r="M836" s="268"/>
      <c r="N836" s="310"/>
      <c r="O836" s="268"/>
      <c r="P836" s="309"/>
      <c r="Q836" s="381"/>
      <c r="R836" s="268"/>
      <c r="S836" s="313"/>
      <c r="T836" s="313"/>
      <c r="U836" s="268"/>
      <c r="V836" s="268"/>
      <c r="W836" s="268"/>
      <c r="X836" s="268"/>
      <c r="Y836" s="268"/>
      <c r="Z836" s="268"/>
    </row>
    <row r="837" spans="1:26" ht="24.75" customHeight="1">
      <c r="A837" s="268"/>
      <c r="B837" s="268"/>
      <c r="C837" s="268"/>
      <c r="D837" s="268"/>
      <c r="E837" s="268"/>
      <c r="F837" s="268"/>
      <c r="G837" s="268"/>
      <c r="H837" s="389"/>
      <c r="I837" s="389"/>
      <c r="J837" s="389"/>
      <c r="K837" s="268"/>
      <c r="L837" s="268"/>
      <c r="M837" s="268"/>
      <c r="N837" s="310"/>
      <c r="O837" s="268"/>
      <c r="P837" s="309"/>
      <c r="Q837" s="381"/>
      <c r="R837" s="268"/>
      <c r="S837" s="313"/>
      <c r="T837" s="313"/>
      <c r="U837" s="268"/>
      <c r="V837" s="268"/>
      <c r="W837" s="268"/>
      <c r="X837" s="268"/>
      <c r="Y837" s="268"/>
      <c r="Z837" s="268"/>
    </row>
    <row r="838" spans="1:26" ht="24.75" customHeight="1">
      <c r="A838" s="268"/>
      <c r="B838" s="268"/>
      <c r="C838" s="268"/>
      <c r="D838" s="268"/>
      <c r="E838" s="268"/>
      <c r="F838" s="268"/>
      <c r="G838" s="268"/>
      <c r="H838" s="389"/>
      <c r="I838" s="389"/>
      <c r="J838" s="389"/>
      <c r="K838" s="268"/>
      <c r="L838" s="268"/>
      <c r="M838" s="268"/>
      <c r="N838" s="310"/>
      <c r="O838" s="268"/>
      <c r="P838" s="309"/>
      <c r="Q838" s="381"/>
      <c r="R838" s="268"/>
      <c r="S838" s="313"/>
      <c r="T838" s="313"/>
      <c r="U838" s="268"/>
      <c r="V838" s="268"/>
      <c r="W838" s="268"/>
      <c r="X838" s="268"/>
      <c r="Y838" s="268"/>
      <c r="Z838" s="268"/>
    </row>
    <row r="839" spans="1:26" ht="24.75" customHeight="1">
      <c r="A839" s="268"/>
      <c r="B839" s="268"/>
      <c r="C839" s="268"/>
      <c r="D839" s="268"/>
      <c r="E839" s="268"/>
      <c r="F839" s="268"/>
      <c r="G839" s="268"/>
      <c r="H839" s="389"/>
      <c r="I839" s="389"/>
      <c r="J839" s="389"/>
      <c r="K839" s="268"/>
      <c r="L839" s="268"/>
      <c r="M839" s="268"/>
      <c r="N839" s="310"/>
      <c r="O839" s="268"/>
      <c r="P839" s="309"/>
      <c r="Q839" s="381"/>
      <c r="R839" s="268"/>
      <c r="S839" s="313"/>
      <c r="T839" s="313"/>
      <c r="U839" s="268"/>
      <c r="V839" s="268"/>
      <c r="W839" s="268"/>
      <c r="X839" s="268"/>
      <c r="Y839" s="268"/>
      <c r="Z839" s="268"/>
    </row>
    <row r="840" spans="1:26" ht="24.75" customHeight="1">
      <c r="A840" s="268"/>
      <c r="B840" s="268"/>
      <c r="C840" s="268"/>
      <c r="D840" s="268"/>
      <c r="E840" s="268"/>
      <c r="F840" s="268"/>
      <c r="G840" s="268"/>
      <c r="H840" s="389"/>
      <c r="I840" s="389"/>
      <c r="J840" s="389"/>
      <c r="K840" s="268"/>
      <c r="L840" s="268"/>
      <c r="M840" s="268"/>
      <c r="N840" s="310"/>
      <c r="O840" s="268"/>
      <c r="P840" s="309"/>
      <c r="Q840" s="381"/>
      <c r="R840" s="268"/>
      <c r="S840" s="313"/>
      <c r="T840" s="313"/>
      <c r="U840" s="268"/>
      <c r="V840" s="268"/>
      <c r="W840" s="268"/>
      <c r="X840" s="268"/>
      <c r="Y840" s="268"/>
      <c r="Z840" s="268"/>
    </row>
    <row r="841" spans="1:26" ht="24.75" customHeight="1">
      <c r="A841" s="268"/>
      <c r="B841" s="268"/>
      <c r="C841" s="268"/>
      <c r="D841" s="268"/>
      <c r="E841" s="268"/>
      <c r="F841" s="268"/>
      <c r="G841" s="268"/>
      <c r="H841" s="389"/>
      <c r="I841" s="389"/>
      <c r="J841" s="389"/>
      <c r="K841" s="268"/>
      <c r="L841" s="268"/>
      <c r="M841" s="268"/>
      <c r="N841" s="310"/>
      <c r="O841" s="268"/>
      <c r="P841" s="309"/>
      <c r="Q841" s="381"/>
      <c r="R841" s="268"/>
      <c r="S841" s="313"/>
      <c r="T841" s="313"/>
      <c r="U841" s="268"/>
      <c r="V841" s="268"/>
      <c r="W841" s="268"/>
      <c r="X841" s="268"/>
      <c r="Y841" s="268"/>
      <c r="Z841" s="268"/>
    </row>
    <row r="842" spans="1:26" ht="24.75" customHeight="1">
      <c r="A842" s="268"/>
      <c r="B842" s="268"/>
      <c r="C842" s="268"/>
      <c r="D842" s="268"/>
      <c r="E842" s="268"/>
      <c r="F842" s="268"/>
      <c r="G842" s="268"/>
      <c r="H842" s="389"/>
      <c r="I842" s="389"/>
      <c r="J842" s="389"/>
      <c r="K842" s="268"/>
      <c r="L842" s="268"/>
      <c r="M842" s="268"/>
      <c r="N842" s="310"/>
      <c r="O842" s="268"/>
      <c r="P842" s="309"/>
      <c r="Q842" s="381"/>
      <c r="R842" s="268"/>
      <c r="S842" s="313"/>
      <c r="T842" s="313"/>
      <c r="U842" s="268"/>
      <c r="V842" s="268"/>
      <c r="W842" s="268"/>
      <c r="X842" s="268"/>
      <c r="Y842" s="268"/>
      <c r="Z842" s="268"/>
    </row>
    <row r="843" spans="1:26" ht="24.75" customHeight="1">
      <c r="A843" s="268"/>
      <c r="B843" s="268"/>
      <c r="C843" s="268"/>
      <c r="D843" s="268"/>
      <c r="E843" s="268"/>
      <c r="F843" s="268"/>
      <c r="G843" s="268"/>
      <c r="H843" s="389"/>
      <c r="I843" s="389"/>
      <c r="J843" s="389"/>
      <c r="K843" s="268"/>
      <c r="L843" s="268"/>
      <c r="M843" s="268"/>
      <c r="N843" s="310"/>
      <c r="O843" s="268"/>
      <c r="P843" s="309"/>
      <c r="Q843" s="381"/>
      <c r="R843" s="268"/>
      <c r="S843" s="313"/>
      <c r="T843" s="313"/>
      <c r="U843" s="268"/>
      <c r="V843" s="268"/>
      <c r="W843" s="268"/>
      <c r="X843" s="268"/>
      <c r="Y843" s="268"/>
      <c r="Z843" s="268"/>
    </row>
    <row r="844" spans="1:26" ht="24.75" customHeight="1">
      <c r="A844" s="268"/>
      <c r="B844" s="268"/>
      <c r="C844" s="268"/>
      <c r="D844" s="268"/>
      <c r="E844" s="268"/>
      <c r="F844" s="268"/>
      <c r="G844" s="268"/>
      <c r="H844" s="389"/>
      <c r="I844" s="389"/>
      <c r="J844" s="389"/>
      <c r="K844" s="268"/>
      <c r="L844" s="268"/>
      <c r="M844" s="268"/>
      <c r="N844" s="310"/>
      <c r="O844" s="268"/>
      <c r="P844" s="309"/>
      <c r="Q844" s="381"/>
      <c r="R844" s="268"/>
      <c r="S844" s="313"/>
      <c r="T844" s="313"/>
      <c r="U844" s="268"/>
      <c r="V844" s="268"/>
      <c r="W844" s="268"/>
      <c r="X844" s="268"/>
      <c r="Y844" s="268"/>
      <c r="Z844" s="268"/>
    </row>
    <row r="845" spans="1:26" ht="24.75" customHeight="1">
      <c r="A845" s="268"/>
      <c r="B845" s="268"/>
      <c r="C845" s="268"/>
      <c r="D845" s="268"/>
      <c r="E845" s="268"/>
      <c r="F845" s="268"/>
      <c r="G845" s="268"/>
      <c r="H845" s="389"/>
      <c r="I845" s="389"/>
      <c r="J845" s="389"/>
      <c r="K845" s="268"/>
      <c r="L845" s="268"/>
      <c r="M845" s="268"/>
      <c r="N845" s="310"/>
      <c r="O845" s="268"/>
      <c r="P845" s="309"/>
      <c r="Q845" s="381"/>
      <c r="R845" s="268"/>
      <c r="S845" s="313"/>
      <c r="T845" s="313"/>
      <c r="U845" s="268"/>
      <c r="V845" s="268"/>
      <c r="W845" s="268"/>
      <c r="X845" s="268"/>
      <c r="Y845" s="268"/>
      <c r="Z845" s="268"/>
    </row>
    <row r="846" spans="1:26" ht="24.75" customHeight="1">
      <c r="A846" s="268"/>
      <c r="B846" s="268"/>
      <c r="C846" s="268"/>
      <c r="D846" s="268"/>
      <c r="E846" s="268"/>
      <c r="F846" s="268"/>
      <c r="G846" s="268"/>
      <c r="H846" s="389"/>
      <c r="I846" s="389"/>
      <c r="J846" s="389"/>
      <c r="K846" s="268"/>
      <c r="L846" s="268"/>
      <c r="M846" s="268"/>
      <c r="N846" s="310"/>
      <c r="O846" s="268"/>
      <c r="P846" s="309"/>
      <c r="Q846" s="381"/>
      <c r="R846" s="268"/>
      <c r="S846" s="313"/>
      <c r="T846" s="313"/>
      <c r="U846" s="268"/>
      <c r="V846" s="268"/>
      <c r="W846" s="268"/>
      <c r="X846" s="268"/>
      <c r="Y846" s="268"/>
      <c r="Z846" s="268"/>
    </row>
    <row r="847" spans="1:26" ht="24.75" customHeight="1">
      <c r="A847" s="268"/>
      <c r="B847" s="268"/>
      <c r="C847" s="268"/>
      <c r="D847" s="268"/>
      <c r="E847" s="268"/>
      <c r="F847" s="268"/>
      <c r="G847" s="268"/>
      <c r="H847" s="389"/>
      <c r="I847" s="389"/>
      <c r="J847" s="389"/>
      <c r="K847" s="268"/>
      <c r="L847" s="268"/>
      <c r="M847" s="268"/>
      <c r="N847" s="310"/>
      <c r="O847" s="268"/>
      <c r="P847" s="309"/>
      <c r="Q847" s="381"/>
      <c r="R847" s="268"/>
      <c r="S847" s="313"/>
      <c r="T847" s="313"/>
      <c r="U847" s="268"/>
      <c r="V847" s="268"/>
      <c r="W847" s="268"/>
      <c r="X847" s="268"/>
      <c r="Y847" s="268"/>
      <c r="Z847" s="268"/>
    </row>
    <row r="848" spans="1:26" ht="24.75" customHeight="1">
      <c r="A848" s="268"/>
      <c r="B848" s="268"/>
      <c r="C848" s="268"/>
      <c r="D848" s="268"/>
      <c r="E848" s="268"/>
      <c r="F848" s="268"/>
      <c r="G848" s="268"/>
      <c r="H848" s="389"/>
      <c r="I848" s="389"/>
      <c r="J848" s="389"/>
      <c r="K848" s="268"/>
      <c r="L848" s="268"/>
      <c r="M848" s="268"/>
      <c r="N848" s="310"/>
      <c r="O848" s="268"/>
      <c r="P848" s="309"/>
      <c r="Q848" s="381"/>
      <c r="R848" s="268"/>
      <c r="S848" s="313"/>
      <c r="T848" s="313"/>
      <c r="U848" s="268"/>
      <c r="V848" s="268"/>
      <c r="W848" s="268"/>
      <c r="X848" s="268"/>
      <c r="Y848" s="268"/>
      <c r="Z848" s="268"/>
    </row>
    <row r="849" spans="1:26" ht="24.75" customHeight="1">
      <c r="A849" s="268"/>
      <c r="B849" s="268"/>
      <c r="C849" s="268"/>
      <c r="D849" s="268"/>
      <c r="E849" s="268"/>
      <c r="F849" s="268"/>
      <c r="G849" s="268"/>
      <c r="H849" s="389"/>
      <c r="I849" s="389"/>
      <c r="J849" s="389"/>
      <c r="K849" s="268"/>
      <c r="L849" s="268"/>
      <c r="M849" s="268"/>
      <c r="N849" s="310"/>
      <c r="O849" s="268"/>
      <c r="P849" s="309"/>
      <c r="Q849" s="381"/>
      <c r="R849" s="268"/>
      <c r="S849" s="313"/>
      <c r="T849" s="313"/>
      <c r="U849" s="268"/>
      <c r="V849" s="268"/>
      <c r="W849" s="268"/>
      <c r="X849" s="268"/>
      <c r="Y849" s="268"/>
      <c r="Z849" s="268"/>
    </row>
    <row r="850" spans="1:26" ht="24.75" customHeight="1">
      <c r="A850" s="268"/>
      <c r="B850" s="268"/>
      <c r="C850" s="268"/>
      <c r="D850" s="268"/>
      <c r="E850" s="268"/>
      <c r="F850" s="268"/>
      <c r="G850" s="268"/>
      <c r="H850" s="389"/>
      <c r="I850" s="389"/>
      <c r="J850" s="389"/>
      <c r="K850" s="268"/>
      <c r="L850" s="268"/>
      <c r="M850" s="268"/>
      <c r="N850" s="310"/>
      <c r="O850" s="268"/>
      <c r="P850" s="309"/>
      <c r="Q850" s="381"/>
      <c r="R850" s="268"/>
      <c r="S850" s="313"/>
      <c r="T850" s="313"/>
      <c r="U850" s="268"/>
      <c r="V850" s="268"/>
      <c r="W850" s="268"/>
      <c r="X850" s="268"/>
      <c r="Y850" s="268"/>
      <c r="Z850" s="268"/>
    </row>
    <row r="851" spans="1:26" ht="24.75" customHeight="1">
      <c r="A851" s="268"/>
      <c r="B851" s="268"/>
      <c r="C851" s="268"/>
      <c r="D851" s="268"/>
      <c r="E851" s="268"/>
      <c r="F851" s="268"/>
      <c r="G851" s="268"/>
      <c r="H851" s="389"/>
      <c r="I851" s="389"/>
      <c r="J851" s="389"/>
      <c r="K851" s="268"/>
      <c r="L851" s="268"/>
      <c r="M851" s="268"/>
      <c r="N851" s="310"/>
      <c r="O851" s="268"/>
      <c r="P851" s="309"/>
      <c r="Q851" s="381"/>
      <c r="R851" s="268"/>
      <c r="S851" s="313"/>
      <c r="T851" s="313"/>
      <c r="U851" s="268"/>
      <c r="V851" s="268"/>
      <c r="W851" s="268"/>
      <c r="X851" s="268"/>
      <c r="Y851" s="268"/>
      <c r="Z851" s="268"/>
    </row>
    <row r="852" spans="1:26" ht="24.75" customHeight="1">
      <c r="A852" s="268"/>
      <c r="B852" s="268"/>
      <c r="C852" s="268"/>
      <c r="D852" s="268"/>
      <c r="E852" s="268"/>
      <c r="F852" s="268"/>
      <c r="G852" s="268"/>
      <c r="H852" s="389"/>
      <c r="I852" s="389"/>
      <c r="J852" s="389"/>
      <c r="K852" s="268"/>
      <c r="L852" s="268"/>
      <c r="M852" s="268"/>
      <c r="N852" s="310"/>
      <c r="O852" s="268"/>
      <c r="P852" s="309"/>
      <c r="Q852" s="381"/>
      <c r="R852" s="268"/>
      <c r="S852" s="313"/>
      <c r="T852" s="313"/>
      <c r="U852" s="268"/>
      <c r="V852" s="268"/>
      <c r="W852" s="268"/>
      <c r="X852" s="268"/>
      <c r="Y852" s="268"/>
      <c r="Z852" s="268"/>
    </row>
    <row r="853" spans="1:26" ht="24.75" customHeight="1">
      <c r="A853" s="268"/>
      <c r="B853" s="268"/>
      <c r="C853" s="268"/>
      <c r="D853" s="268"/>
      <c r="E853" s="268"/>
      <c r="F853" s="268"/>
      <c r="G853" s="268"/>
      <c r="H853" s="389"/>
      <c r="I853" s="389"/>
      <c r="J853" s="389"/>
      <c r="K853" s="268"/>
      <c r="L853" s="268"/>
      <c r="M853" s="268"/>
      <c r="N853" s="310"/>
      <c r="O853" s="268"/>
      <c r="P853" s="309"/>
      <c r="Q853" s="381"/>
      <c r="R853" s="268"/>
      <c r="S853" s="313"/>
      <c r="T853" s="313"/>
      <c r="U853" s="268"/>
      <c r="V853" s="268"/>
      <c r="W853" s="268"/>
      <c r="X853" s="268"/>
      <c r="Y853" s="268"/>
      <c r="Z853" s="268"/>
    </row>
    <row r="854" spans="1:26" ht="24.75" customHeight="1">
      <c r="A854" s="268"/>
      <c r="B854" s="268"/>
      <c r="C854" s="268"/>
      <c r="D854" s="268"/>
      <c r="E854" s="268"/>
      <c r="F854" s="268"/>
      <c r="G854" s="268"/>
      <c r="H854" s="389"/>
      <c r="I854" s="389"/>
      <c r="J854" s="389"/>
      <c r="K854" s="268"/>
      <c r="L854" s="268"/>
      <c r="M854" s="268"/>
      <c r="N854" s="310"/>
      <c r="O854" s="268"/>
      <c r="P854" s="309"/>
      <c r="Q854" s="381"/>
      <c r="R854" s="268"/>
      <c r="S854" s="313"/>
      <c r="T854" s="313"/>
      <c r="U854" s="268"/>
      <c r="V854" s="268"/>
      <c r="W854" s="268"/>
      <c r="X854" s="268"/>
      <c r="Y854" s="268"/>
      <c r="Z854" s="268"/>
    </row>
    <row r="855" spans="1:26" ht="24.75" customHeight="1">
      <c r="A855" s="268"/>
      <c r="B855" s="268"/>
      <c r="C855" s="268"/>
      <c r="D855" s="268"/>
      <c r="E855" s="268"/>
      <c r="F855" s="268"/>
      <c r="G855" s="268"/>
      <c r="H855" s="389"/>
      <c r="I855" s="389"/>
      <c r="J855" s="389"/>
      <c r="K855" s="268"/>
      <c r="L855" s="268"/>
      <c r="M855" s="268"/>
      <c r="N855" s="310"/>
      <c r="O855" s="268"/>
      <c r="P855" s="309"/>
      <c r="Q855" s="381"/>
      <c r="R855" s="268"/>
      <c r="S855" s="313"/>
      <c r="T855" s="313"/>
      <c r="U855" s="268"/>
      <c r="V855" s="268"/>
      <c r="W855" s="268"/>
      <c r="X855" s="268"/>
      <c r="Y855" s="268"/>
      <c r="Z855" s="268"/>
    </row>
    <row r="856" spans="1:26" ht="24.75" customHeight="1">
      <c r="A856" s="268"/>
      <c r="B856" s="268"/>
      <c r="C856" s="268"/>
      <c r="D856" s="268"/>
      <c r="E856" s="268"/>
      <c r="F856" s="268"/>
      <c r="G856" s="268"/>
      <c r="H856" s="389"/>
      <c r="I856" s="389"/>
      <c r="J856" s="389"/>
      <c r="K856" s="268"/>
      <c r="L856" s="268"/>
      <c r="M856" s="268"/>
      <c r="N856" s="310"/>
      <c r="O856" s="268"/>
      <c r="P856" s="309"/>
      <c r="Q856" s="381"/>
      <c r="R856" s="268"/>
      <c r="S856" s="313"/>
      <c r="T856" s="313"/>
      <c r="U856" s="268"/>
      <c r="V856" s="268"/>
      <c r="W856" s="268"/>
      <c r="X856" s="268"/>
      <c r="Y856" s="268"/>
      <c r="Z856" s="268"/>
    </row>
    <row r="857" spans="1:26" ht="24.75" customHeight="1">
      <c r="A857" s="268"/>
      <c r="B857" s="268"/>
      <c r="C857" s="268"/>
      <c r="D857" s="268"/>
      <c r="E857" s="268"/>
      <c r="F857" s="268"/>
      <c r="G857" s="268"/>
      <c r="H857" s="389"/>
      <c r="I857" s="389"/>
      <c r="J857" s="389"/>
      <c r="K857" s="268"/>
      <c r="L857" s="268"/>
      <c r="M857" s="268"/>
      <c r="N857" s="310"/>
      <c r="O857" s="268"/>
      <c r="P857" s="309"/>
      <c r="Q857" s="381"/>
      <c r="R857" s="268"/>
      <c r="S857" s="313"/>
      <c r="T857" s="313"/>
      <c r="U857" s="268"/>
      <c r="V857" s="268"/>
      <c r="W857" s="268"/>
      <c r="X857" s="268"/>
      <c r="Y857" s="268"/>
      <c r="Z857" s="268"/>
    </row>
    <row r="858" spans="1:26" ht="24.75" customHeight="1">
      <c r="A858" s="268"/>
      <c r="B858" s="268"/>
      <c r="C858" s="268"/>
      <c r="D858" s="268"/>
      <c r="E858" s="268"/>
      <c r="F858" s="268"/>
      <c r="G858" s="268"/>
      <c r="H858" s="389"/>
      <c r="I858" s="389"/>
      <c r="J858" s="389"/>
      <c r="K858" s="268"/>
      <c r="L858" s="268"/>
      <c r="M858" s="268"/>
      <c r="N858" s="310"/>
      <c r="O858" s="268"/>
      <c r="P858" s="309"/>
      <c r="Q858" s="381"/>
      <c r="R858" s="268"/>
      <c r="S858" s="313"/>
      <c r="T858" s="313"/>
      <c r="U858" s="268"/>
      <c r="V858" s="268"/>
      <c r="W858" s="268"/>
      <c r="X858" s="268"/>
      <c r="Y858" s="268"/>
      <c r="Z858" s="268"/>
    </row>
    <row r="859" spans="1:26" ht="24.75" customHeight="1">
      <c r="A859" s="268"/>
      <c r="B859" s="268"/>
      <c r="C859" s="268"/>
      <c r="D859" s="268"/>
      <c r="E859" s="268"/>
      <c r="F859" s="268"/>
      <c r="G859" s="268"/>
      <c r="H859" s="389"/>
      <c r="I859" s="389"/>
      <c r="J859" s="389"/>
      <c r="K859" s="268"/>
      <c r="L859" s="268"/>
      <c r="M859" s="268"/>
      <c r="N859" s="310"/>
      <c r="O859" s="268"/>
      <c r="P859" s="309"/>
      <c r="Q859" s="381"/>
      <c r="R859" s="268"/>
      <c r="S859" s="313"/>
      <c r="T859" s="313"/>
      <c r="U859" s="268"/>
      <c r="V859" s="268"/>
      <c r="W859" s="268"/>
      <c r="X859" s="268"/>
      <c r="Y859" s="268"/>
      <c r="Z859" s="268"/>
    </row>
    <row r="860" spans="1:26" ht="24.75" customHeight="1">
      <c r="A860" s="268"/>
      <c r="B860" s="268"/>
      <c r="C860" s="268"/>
      <c r="D860" s="268"/>
      <c r="E860" s="268"/>
      <c r="F860" s="268"/>
      <c r="G860" s="268"/>
      <c r="H860" s="389"/>
      <c r="I860" s="389"/>
      <c r="J860" s="389"/>
      <c r="K860" s="268"/>
      <c r="L860" s="268"/>
      <c r="M860" s="268"/>
      <c r="N860" s="310"/>
      <c r="O860" s="268"/>
      <c r="P860" s="309"/>
      <c r="Q860" s="381"/>
      <c r="R860" s="268"/>
      <c r="S860" s="313"/>
      <c r="T860" s="313"/>
      <c r="U860" s="268"/>
      <c r="V860" s="268"/>
      <c r="W860" s="268"/>
      <c r="X860" s="268"/>
      <c r="Y860" s="268"/>
      <c r="Z860" s="268"/>
    </row>
    <row r="861" spans="1:26" ht="24.75" customHeight="1">
      <c r="A861" s="268"/>
      <c r="B861" s="268"/>
      <c r="C861" s="268"/>
      <c r="D861" s="268"/>
      <c r="E861" s="268"/>
      <c r="F861" s="268"/>
      <c r="G861" s="268"/>
      <c r="H861" s="389"/>
      <c r="I861" s="389"/>
      <c r="J861" s="389"/>
      <c r="K861" s="268"/>
      <c r="L861" s="268"/>
      <c r="M861" s="268"/>
      <c r="N861" s="310"/>
      <c r="O861" s="268"/>
      <c r="P861" s="309"/>
      <c r="Q861" s="381"/>
      <c r="R861" s="268"/>
      <c r="S861" s="313"/>
      <c r="T861" s="313"/>
      <c r="U861" s="268"/>
      <c r="V861" s="268"/>
      <c r="W861" s="268"/>
      <c r="X861" s="268"/>
      <c r="Y861" s="268"/>
      <c r="Z861" s="268"/>
    </row>
    <row r="862" spans="1:26" ht="24.75" customHeight="1">
      <c r="A862" s="268"/>
      <c r="B862" s="268"/>
      <c r="C862" s="268"/>
      <c r="D862" s="268"/>
      <c r="E862" s="268"/>
      <c r="F862" s="268"/>
      <c r="G862" s="268"/>
      <c r="H862" s="389"/>
      <c r="I862" s="389"/>
      <c r="J862" s="389"/>
      <c r="K862" s="268"/>
      <c r="L862" s="268"/>
      <c r="M862" s="268"/>
      <c r="N862" s="310"/>
      <c r="O862" s="268"/>
      <c r="P862" s="309"/>
      <c r="Q862" s="381"/>
      <c r="R862" s="268"/>
      <c r="S862" s="313"/>
      <c r="T862" s="313"/>
      <c r="U862" s="268"/>
      <c r="V862" s="268"/>
      <c r="W862" s="268"/>
      <c r="X862" s="268"/>
      <c r="Y862" s="268"/>
      <c r="Z862" s="268"/>
    </row>
    <row r="863" spans="1:26" ht="24.75" customHeight="1">
      <c r="A863" s="268"/>
      <c r="B863" s="268"/>
      <c r="C863" s="268"/>
      <c r="D863" s="268"/>
      <c r="E863" s="268"/>
      <c r="F863" s="268"/>
      <c r="G863" s="268"/>
      <c r="H863" s="389"/>
      <c r="I863" s="389"/>
      <c r="J863" s="389"/>
      <c r="K863" s="268"/>
      <c r="L863" s="268"/>
      <c r="M863" s="268"/>
      <c r="N863" s="310"/>
      <c r="O863" s="268"/>
      <c r="P863" s="309"/>
      <c r="Q863" s="381"/>
      <c r="R863" s="268"/>
      <c r="S863" s="313"/>
      <c r="T863" s="313"/>
      <c r="U863" s="268"/>
      <c r="V863" s="268"/>
      <c r="W863" s="268"/>
      <c r="X863" s="268"/>
      <c r="Y863" s="268"/>
      <c r="Z863" s="268"/>
    </row>
    <row r="864" spans="1:26" ht="24.75" customHeight="1">
      <c r="A864" s="268"/>
      <c r="B864" s="268"/>
      <c r="C864" s="268"/>
      <c r="D864" s="268"/>
      <c r="E864" s="268"/>
      <c r="F864" s="268"/>
      <c r="G864" s="268"/>
      <c r="H864" s="389"/>
      <c r="I864" s="389"/>
      <c r="J864" s="389"/>
      <c r="K864" s="268"/>
      <c r="L864" s="268"/>
      <c r="M864" s="268"/>
      <c r="N864" s="310"/>
      <c r="O864" s="268"/>
      <c r="P864" s="309"/>
      <c r="Q864" s="381"/>
      <c r="R864" s="268"/>
      <c r="S864" s="313"/>
      <c r="T864" s="313"/>
      <c r="U864" s="268"/>
      <c r="V864" s="268"/>
      <c r="W864" s="268"/>
      <c r="X864" s="268"/>
      <c r="Y864" s="268"/>
      <c r="Z864" s="268"/>
    </row>
    <row r="865" spans="1:26" ht="24.75" customHeight="1">
      <c r="A865" s="268"/>
      <c r="B865" s="268"/>
      <c r="C865" s="268"/>
      <c r="D865" s="268"/>
      <c r="E865" s="268"/>
      <c r="F865" s="268"/>
      <c r="G865" s="268"/>
      <c r="H865" s="389"/>
      <c r="I865" s="389"/>
      <c r="J865" s="389"/>
      <c r="K865" s="268"/>
      <c r="L865" s="268"/>
      <c r="M865" s="268"/>
      <c r="N865" s="310"/>
      <c r="O865" s="268"/>
      <c r="P865" s="309"/>
      <c r="Q865" s="381"/>
      <c r="R865" s="268"/>
      <c r="S865" s="313"/>
      <c r="T865" s="313"/>
      <c r="U865" s="268"/>
      <c r="V865" s="268"/>
      <c r="W865" s="268"/>
      <c r="X865" s="268"/>
      <c r="Y865" s="268"/>
      <c r="Z865" s="268"/>
    </row>
    <row r="866" spans="1:26" ht="24.75" customHeight="1">
      <c r="A866" s="268"/>
      <c r="B866" s="268"/>
      <c r="C866" s="268"/>
      <c r="D866" s="268"/>
      <c r="E866" s="268"/>
      <c r="F866" s="268"/>
      <c r="G866" s="268"/>
      <c r="H866" s="389"/>
      <c r="I866" s="389"/>
      <c r="J866" s="389"/>
      <c r="K866" s="268"/>
      <c r="L866" s="268"/>
      <c r="M866" s="268"/>
      <c r="N866" s="310"/>
      <c r="O866" s="268"/>
      <c r="P866" s="309"/>
      <c r="Q866" s="381"/>
      <c r="R866" s="268"/>
      <c r="S866" s="313"/>
      <c r="T866" s="313"/>
      <c r="U866" s="268"/>
      <c r="V866" s="268"/>
      <c r="W866" s="268"/>
      <c r="X866" s="268"/>
      <c r="Y866" s="268"/>
      <c r="Z866" s="268"/>
    </row>
    <row r="867" spans="1:26" ht="24.75" customHeight="1">
      <c r="A867" s="268"/>
      <c r="B867" s="268"/>
      <c r="C867" s="268"/>
      <c r="D867" s="268"/>
      <c r="E867" s="268"/>
      <c r="F867" s="268"/>
      <c r="G867" s="268"/>
      <c r="H867" s="389"/>
      <c r="I867" s="389"/>
      <c r="J867" s="389"/>
      <c r="K867" s="268"/>
      <c r="L867" s="268"/>
      <c r="M867" s="268"/>
      <c r="N867" s="310"/>
      <c r="O867" s="268"/>
      <c r="P867" s="309"/>
      <c r="Q867" s="381"/>
      <c r="R867" s="268"/>
      <c r="S867" s="313"/>
      <c r="T867" s="313"/>
      <c r="U867" s="268"/>
      <c r="V867" s="268"/>
      <c r="W867" s="268"/>
      <c r="X867" s="268"/>
      <c r="Y867" s="268"/>
      <c r="Z867" s="268"/>
    </row>
    <row r="868" spans="1:26" ht="24.75" customHeight="1">
      <c r="A868" s="268"/>
      <c r="B868" s="268"/>
      <c r="C868" s="268"/>
      <c r="D868" s="268"/>
      <c r="E868" s="268"/>
      <c r="F868" s="268"/>
      <c r="G868" s="268"/>
      <c r="H868" s="389"/>
      <c r="I868" s="389"/>
      <c r="J868" s="389"/>
      <c r="K868" s="268"/>
      <c r="L868" s="268"/>
      <c r="M868" s="268"/>
      <c r="N868" s="310"/>
      <c r="O868" s="268"/>
      <c r="P868" s="309"/>
      <c r="Q868" s="381"/>
      <c r="R868" s="268"/>
      <c r="S868" s="313"/>
      <c r="T868" s="313"/>
      <c r="U868" s="268"/>
      <c r="V868" s="268"/>
      <c r="W868" s="268"/>
      <c r="X868" s="268"/>
      <c r="Y868" s="268"/>
      <c r="Z868" s="268"/>
    </row>
    <row r="869" spans="1:26" ht="24.75" customHeight="1">
      <c r="A869" s="268"/>
      <c r="B869" s="268"/>
      <c r="C869" s="268"/>
      <c r="D869" s="268"/>
      <c r="E869" s="268"/>
      <c r="F869" s="268"/>
      <c r="G869" s="268"/>
      <c r="H869" s="389"/>
      <c r="I869" s="389"/>
      <c r="J869" s="389"/>
      <c r="K869" s="268"/>
      <c r="L869" s="268"/>
      <c r="M869" s="268"/>
      <c r="N869" s="310"/>
      <c r="O869" s="268"/>
      <c r="P869" s="309"/>
      <c r="Q869" s="381"/>
      <c r="R869" s="268"/>
      <c r="S869" s="313"/>
      <c r="T869" s="313"/>
      <c r="U869" s="268"/>
      <c r="V869" s="268"/>
      <c r="W869" s="268"/>
      <c r="X869" s="268"/>
      <c r="Y869" s="268"/>
      <c r="Z869" s="268"/>
    </row>
    <row r="870" spans="1:26" ht="24.75" customHeight="1">
      <c r="A870" s="268"/>
      <c r="B870" s="268"/>
      <c r="C870" s="268"/>
      <c r="D870" s="268"/>
      <c r="E870" s="268"/>
      <c r="F870" s="268"/>
      <c r="G870" s="268"/>
      <c r="H870" s="389"/>
      <c r="I870" s="389"/>
      <c r="J870" s="389"/>
      <c r="K870" s="268"/>
      <c r="L870" s="268"/>
      <c r="M870" s="268"/>
      <c r="N870" s="310"/>
      <c r="O870" s="268"/>
      <c r="P870" s="309"/>
      <c r="Q870" s="381"/>
      <c r="R870" s="268"/>
      <c r="S870" s="313"/>
      <c r="T870" s="313"/>
      <c r="U870" s="268"/>
      <c r="V870" s="268"/>
      <c r="W870" s="268"/>
      <c r="X870" s="268"/>
      <c r="Y870" s="268"/>
      <c r="Z870" s="268"/>
    </row>
    <row r="871" spans="1:26" ht="24.75" customHeight="1">
      <c r="A871" s="268"/>
      <c r="B871" s="268"/>
      <c r="C871" s="268"/>
      <c r="D871" s="268"/>
      <c r="E871" s="268"/>
      <c r="F871" s="268"/>
      <c r="G871" s="268"/>
      <c r="H871" s="389"/>
      <c r="I871" s="389"/>
      <c r="J871" s="389"/>
      <c r="K871" s="268"/>
      <c r="L871" s="268"/>
      <c r="M871" s="268"/>
      <c r="N871" s="310"/>
      <c r="O871" s="268"/>
      <c r="P871" s="309"/>
      <c r="Q871" s="381"/>
      <c r="R871" s="268"/>
      <c r="S871" s="313"/>
      <c r="T871" s="313"/>
      <c r="U871" s="268"/>
      <c r="V871" s="268"/>
      <c r="W871" s="268"/>
      <c r="X871" s="268"/>
      <c r="Y871" s="268"/>
      <c r="Z871" s="268"/>
    </row>
    <row r="872" spans="1:26" ht="24.75" customHeight="1">
      <c r="A872" s="268"/>
      <c r="B872" s="268"/>
      <c r="C872" s="268"/>
      <c r="D872" s="268"/>
      <c r="E872" s="268"/>
      <c r="F872" s="268"/>
      <c r="G872" s="268"/>
      <c r="H872" s="389"/>
      <c r="I872" s="389"/>
      <c r="J872" s="389"/>
      <c r="K872" s="268"/>
      <c r="L872" s="268"/>
      <c r="M872" s="268"/>
      <c r="N872" s="310"/>
      <c r="O872" s="268"/>
      <c r="P872" s="309"/>
      <c r="Q872" s="381"/>
      <c r="R872" s="268"/>
      <c r="S872" s="313"/>
      <c r="T872" s="313"/>
      <c r="U872" s="268"/>
      <c r="V872" s="268"/>
      <c r="W872" s="268"/>
      <c r="X872" s="268"/>
      <c r="Y872" s="268"/>
      <c r="Z872" s="268"/>
    </row>
    <row r="873" spans="1:26" ht="24.75" customHeight="1">
      <c r="A873" s="268"/>
      <c r="B873" s="268"/>
      <c r="C873" s="268"/>
      <c r="D873" s="268"/>
      <c r="E873" s="268"/>
      <c r="F873" s="268"/>
      <c r="G873" s="268"/>
      <c r="H873" s="389"/>
      <c r="I873" s="389"/>
      <c r="J873" s="389"/>
      <c r="K873" s="268"/>
      <c r="L873" s="268"/>
      <c r="M873" s="268"/>
      <c r="N873" s="310"/>
      <c r="O873" s="268"/>
      <c r="P873" s="309"/>
      <c r="Q873" s="381"/>
      <c r="R873" s="268"/>
      <c r="S873" s="313"/>
      <c r="T873" s="313"/>
      <c r="U873" s="268"/>
      <c r="V873" s="268"/>
      <c r="W873" s="268"/>
      <c r="X873" s="268"/>
      <c r="Y873" s="268"/>
      <c r="Z873" s="268"/>
    </row>
    <row r="874" spans="1:26" ht="24.75" customHeight="1">
      <c r="A874" s="268"/>
      <c r="B874" s="268"/>
      <c r="C874" s="268"/>
      <c r="D874" s="268"/>
      <c r="E874" s="268"/>
      <c r="F874" s="268"/>
      <c r="G874" s="268"/>
      <c r="H874" s="389"/>
      <c r="I874" s="389"/>
      <c r="J874" s="389"/>
      <c r="K874" s="268"/>
      <c r="L874" s="268"/>
      <c r="M874" s="268"/>
      <c r="N874" s="310"/>
      <c r="O874" s="268"/>
      <c r="P874" s="309"/>
      <c r="Q874" s="381"/>
      <c r="R874" s="268"/>
      <c r="S874" s="313"/>
      <c r="T874" s="313"/>
      <c r="U874" s="268"/>
      <c r="V874" s="268"/>
      <c r="W874" s="268"/>
      <c r="X874" s="268"/>
      <c r="Y874" s="268"/>
      <c r="Z874" s="268"/>
    </row>
    <row r="875" spans="1:26" ht="24.75" customHeight="1">
      <c r="A875" s="268"/>
      <c r="B875" s="268"/>
      <c r="C875" s="268"/>
      <c r="D875" s="268"/>
      <c r="E875" s="268"/>
      <c r="F875" s="268"/>
      <c r="G875" s="268"/>
      <c r="H875" s="389"/>
      <c r="I875" s="389"/>
      <c r="J875" s="389"/>
      <c r="K875" s="268"/>
      <c r="L875" s="268"/>
      <c r="M875" s="268"/>
      <c r="N875" s="310"/>
      <c r="O875" s="268"/>
      <c r="P875" s="309"/>
      <c r="Q875" s="381"/>
      <c r="R875" s="268"/>
      <c r="S875" s="313"/>
      <c r="T875" s="313"/>
      <c r="U875" s="268"/>
      <c r="V875" s="268"/>
      <c r="W875" s="268"/>
      <c r="X875" s="268"/>
      <c r="Y875" s="268"/>
      <c r="Z875" s="268"/>
    </row>
    <row r="876" spans="1:26" ht="24.75" customHeight="1">
      <c r="A876" s="268"/>
      <c r="B876" s="268"/>
      <c r="C876" s="268"/>
      <c r="D876" s="268"/>
      <c r="E876" s="268"/>
      <c r="F876" s="268"/>
      <c r="G876" s="268"/>
      <c r="H876" s="389"/>
      <c r="I876" s="389"/>
      <c r="J876" s="389"/>
      <c r="K876" s="268"/>
      <c r="L876" s="268"/>
      <c r="M876" s="268"/>
      <c r="N876" s="310"/>
      <c r="O876" s="268"/>
      <c r="P876" s="309"/>
      <c r="Q876" s="381"/>
      <c r="R876" s="268"/>
      <c r="S876" s="313"/>
      <c r="T876" s="313"/>
      <c r="U876" s="268"/>
      <c r="V876" s="268"/>
      <c r="W876" s="268"/>
      <c r="X876" s="268"/>
      <c r="Y876" s="268"/>
      <c r="Z876" s="268"/>
    </row>
    <row r="877" spans="1:26" ht="24.75" customHeight="1">
      <c r="A877" s="268"/>
      <c r="B877" s="268"/>
      <c r="C877" s="268"/>
      <c r="D877" s="268"/>
      <c r="E877" s="268"/>
      <c r="F877" s="268"/>
      <c r="G877" s="268"/>
      <c r="H877" s="389"/>
      <c r="I877" s="389"/>
      <c r="J877" s="389"/>
      <c r="K877" s="268"/>
      <c r="L877" s="268"/>
      <c r="M877" s="268"/>
      <c r="N877" s="310"/>
      <c r="O877" s="268"/>
      <c r="P877" s="309"/>
      <c r="Q877" s="381"/>
      <c r="R877" s="268"/>
      <c r="S877" s="313"/>
      <c r="T877" s="313"/>
      <c r="U877" s="268"/>
      <c r="V877" s="268"/>
      <c r="W877" s="268"/>
      <c r="X877" s="268"/>
      <c r="Y877" s="268"/>
      <c r="Z877" s="268"/>
    </row>
    <row r="878" spans="1:26" ht="24.75" customHeight="1">
      <c r="A878" s="268"/>
      <c r="B878" s="268"/>
      <c r="C878" s="268"/>
      <c r="D878" s="268"/>
      <c r="E878" s="268"/>
      <c r="F878" s="268"/>
      <c r="G878" s="268"/>
      <c r="H878" s="389"/>
      <c r="I878" s="389"/>
      <c r="J878" s="389"/>
      <c r="K878" s="268"/>
      <c r="L878" s="268"/>
      <c r="M878" s="268"/>
      <c r="N878" s="310"/>
      <c r="O878" s="268"/>
      <c r="P878" s="309"/>
      <c r="Q878" s="381"/>
      <c r="R878" s="268"/>
      <c r="S878" s="313"/>
      <c r="T878" s="313"/>
      <c r="U878" s="268"/>
      <c r="V878" s="268"/>
      <c r="W878" s="268"/>
      <c r="X878" s="268"/>
      <c r="Y878" s="268"/>
      <c r="Z878" s="268"/>
    </row>
    <row r="879" spans="1:26" ht="24.75" customHeight="1">
      <c r="A879" s="268"/>
      <c r="B879" s="268"/>
      <c r="C879" s="268"/>
      <c r="D879" s="268"/>
      <c r="E879" s="268"/>
      <c r="F879" s="268"/>
      <c r="G879" s="268"/>
      <c r="H879" s="389"/>
      <c r="I879" s="389"/>
      <c r="J879" s="389"/>
      <c r="K879" s="268"/>
      <c r="L879" s="268"/>
      <c r="M879" s="268"/>
      <c r="N879" s="310"/>
      <c r="O879" s="268"/>
      <c r="P879" s="309"/>
      <c r="Q879" s="381"/>
      <c r="R879" s="268"/>
      <c r="S879" s="313"/>
      <c r="T879" s="313"/>
      <c r="U879" s="268"/>
      <c r="V879" s="268"/>
      <c r="W879" s="268"/>
      <c r="X879" s="268"/>
      <c r="Y879" s="268"/>
      <c r="Z879" s="268"/>
    </row>
    <row r="880" spans="1:26" ht="24.75" customHeight="1">
      <c r="A880" s="268"/>
      <c r="B880" s="268"/>
      <c r="C880" s="268"/>
      <c r="D880" s="268"/>
      <c r="E880" s="268"/>
      <c r="F880" s="268"/>
      <c r="G880" s="268"/>
      <c r="H880" s="389"/>
      <c r="I880" s="389"/>
      <c r="J880" s="389"/>
      <c r="K880" s="268"/>
      <c r="L880" s="268"/>
      <c r="M880" s="268"/>
      <c r="N880" s="310"/>
      <c r="O880" s="268"/>
      <c r="P880" s="309"/>
      <c r="Q880" s="381"/>
      <c r="R880" s="268"/>
      <c r="S880" s="313"/>
      <c r="T880" s="313"/>
      <c r="U880" s="268"/>
      <c r="V880" s="268"/>
      <c r="W880" s="268"/>
      <c r="X880" s="268"/>
      <c r="Y880" s="268"/>
      <c r="Z880" s="268"/>
    </row>
    <row r="881" spans="1:26" ht="24.75" customHeight="1">
      <c r="A881" s="268"/>
      <c r="B881" s="268"/>
      <c r="C881" s="268"/>
      <c r="D881" s="268"/>
      <c r="E881" s="268"/>
      <c r="F881" s="268"/>
      <c r="G881" s="268"/>
      <c r="H881" s="389"/>
      <c r="I881" s="389"/>
      <c r="J881" s="389"/>
      <c r="K881" s="268"/>
      <c r="L881" s="268"/>
      <c r="M881" s="268"/>
      <c r="N881" s="310"/>
      <c r="O881" s="268"/>
      <c r="P881" s="309"/>
      <c r="Q881" s="381"/>
      <c r="R881" s="268"/>
      <c r="S881" s="313"/>
      <c r="T881" s="313"/>
      <c r="U881" s="268"/>
      <c r="V881" s="268"/>
      <c r="W881" s="268"/>
      <c r="X881" s="268"/>
      <c r="Y881" s="268"/>
      <c r="Z881" s="268"/>
    </row>
    <row r="882" spans="1:26" ht="24.75" customHeight="1">
      <c r="A882" s="268"/>
      <c r="B882" s="268"/>
      <c r="C882" s="268"/>
      <c r="D882" s="268"/>
      <c r="E882" s="268"/>
      <c r="F882" s="268"/>
      <c r="G882" s="268"/>
      <c r="H882" s="389"/>
      <c r="I882" s="389"/>
      <c r="J882" s="389"/>
      <c r="K882" s="268"/>
      <c r="L882" s="268"/>
      <c r="M882" s="268"/>
      <c r="N882" s="310"/>
      <c r="O882" s="268"/>
      <c r="P882" s="309"/>
      <c r="Q882" s="381"/>
      <c r="R882" s="268"/>
      <c r="S882" s="313"/>
      <c r="T882" s="313"/>
      <c r="U882" s="268"/>
      <c r="V882" s="268"/>
      <c r="W882" s="268"/>
      <c r="X882" s="268"/>
      <c r="Y882" s="268"/>
      <c r="Z882" s="268"/>
    </row>
    <row r="883" spans="1:26" ht="24.75" customHeight="1">
      <c r="A883" s="268"/>
      <c r="B883" s="268"/>
      <c r="C883" s="268"/>
      <c r="D883" s="268"/>
      <c r="E883" s="268"/>
      <c r="F883" s="268"/>
      <c r="G883" s="268"/>
      <c r="H883" s="389"/>
      <c r="I883" s="389"/>
      <c r="J883" s="389"/>
      <c r="K883" s="268"/>
      <c r="L883" s="268"/>
      <c r="M883" s="268"/>
      <c r="N883" s="310"/>
      <c r="O883" s="268"/>
      <c r="P883" s="309"/>
      <c r="Q883" s="381"/>
      <c r="R883" s="268"/>
      <c r="S883" s="313"/>
      <c r="T883" s="313"/>
      <c r="U883" s="268"/>
      <c r="V883" s="268"/>
      <c r="W883" s="268"/>
      <c r="X883" s="268"/>
      <c r="Y883" s="268"/>
      <c r="Z883" s="268"/>
    </row>
    <row r="884" spans="1:26" ht="24.75" customHeight="1">
      <c r="A884" s="268"/>
      <c r="B884" s="268"/>
      <c r="C884" s="268"/>
      <c r="D884" s="268"/>
      <c r="E884" s="268"/>
      <c r="F884" s="268"/>
      <c r="G884" s="268"/>
      <c r="H884" s="389"/>
      <c r="I884" s="389"/>
      <c r="J884" s="389"/>
      <c r="K884" s="268"/>
      <c r="L884" s="268"/>
      <c r="M884" s="268"/>
      <c r="N884" s="310"/>
      <c r="O884" s="268"/>
      <c r="P884" s="309"/>
      <c r="Q884" s="381"/>
      <c r="R884" s="268"/>
      <c r="S884" s="313"/>
      <c r="T884" s="313"/>
      <c r="U884" s="268"/>
      <c r="V884" s="268"/>
      <c r="W884" s="268"/>
      <c r="X884" s="268"/>
      <c r="Y884" s="268"/>
      <c r="Z884" s="268"/>
    </row>
    <row r="885" spans="1:26" ht="24.75" customHeight="1">
      <c r="A885" s="268"/>
      <c r="B885" s="268"/>
      <c r="C885" s="268"/>
      <c r="D885" s="268"/>
      <c r="E885" s="268"/>
      <c r="F885" s="268"/>
      <c r="G885" s="268"/>
      <c r="H885" s="389"/>
      <c r="I885" s="389"/>
      <c r="J885" s="389"/>
      <c r="K885" s="268"/>
      <c r="L885" s="268"/>
      <c r="M885" s="268"/>
      <c r="N885" s="310"/>
      <c r="O885" s="268"/>
      <c r="P885" s="309"/>
      <c r="Q885" s="381"/>
      <c r="R885" s="268"/>
      <c r="S885" s="313"/>
      <c r="T885" s="313"/>
      <c r="U885" s="268"/>
      <c r="V885" s="268"/>
      <c r="W885" s="268"/>
      <c r="X885" s="268"/>
      <c r="Y885" s="268"/>
      <c r="Z885" s="268"/>
    </row>
    <row r="886" spans="1:26" ht="24.75" customHeight="1">
      <c r="A886" s="268"/>
      <c r="B886" s="268"/>
      <c r="C886" s="268"/>
      <c r="D886" s="268"/>
      <c r="E886" s="268"/>
      <c r="F886" s="268"/>
      <c r="G886" s="268"/>
      <c r="H886" s="389"/>
      <c r="I886" s="389"/>
      <c r="J886" s="389"/>
      <c r="K886" s="268"/>
      <c r="L886" s="268"/>
      <c r="M886" s="268"/>
      <c r="N886" s="310"/>
      <c r="O886" s="268"/>
      <c r="P886" s="309"/>
      <c r="Q886" s="381"/>
      <c r="R886" s="268"/>
      <c r="S886" s="313"/>
      <c r="T886" s="313"/>
      <c r="U886" s="268"/>
      <c r="V886" s="268"/>
      <c r="W886" s="268"/>
      <c r="X886" s="268"/>
      <c r="Y886" s="268"/>
      <c r="Z886" s="268"/>
    </row>
    <row r="887" spans="1:26" ht="24.75" customHeight="1">
      <c r="A887" s="268"/>
      <c r="B887" s="268"/>
      <c r="C887" s="268"/>
      <c r="D887" s="268"/>
      <c r="E887" s="268"/>
      <c r="F887" s="268"/>
      <c r="G887" s="268"/>
      <c r="H887" s="389"/>
      <c r="I887" s="389"/>
      <c r="J887" s="389"/>
      <c r="K887" s="268"/>
      <c r="L887" s="268"/>
      <c r="M887" s="268"/>
      <c r="N887" s="310"/>
      <c r="O887" s="268"/>
      <c r="P887" s="309"/>
      <c r="Q887" s="381"/>
      <c r="R887" s="268"/>
      <c r="S887" s="313"/>
      <c r="T887" s="313"/>
      <c r="U887" s="268"/>
      <c r="V887" s="268"/>
      <c r="W887" s="268"/>
      <c r="X887" s="268"/>
      <c r="Y887" s="268"/>
      <c r="Z887" s="268"/>
    </row>
    <row r="888" spans="1:26" ht="24.75" customHeight="1">
      <c r="A888" s="268"/>
      <c r="B888" s="268"/>
      <c r="C888" s="268"/>
      <c r="D888" s="268"/>
      <c r="E888" s="268"/>
      <c r="F888" s="268"/>
      <c r="G888" s="268"/>
      <c r="H888" s="389"/>
      <c r="I888" s="389"/>
      <c r="J888" s="389"/>
      <c r="K888" s="268"/>
      <c r="L888" s="268"/>
      <c r="M888" s="268"/>
      <c r="N888" s="310"/>
      <c r="O888" s="268"/>
      <c r="P888" s="309"/>
      <c r="Q888" s="381"/>
      <c r="R888" s="268"/>
      <c r="S888" s="313"/>
      <c r="T888" s="313"/>
      <c r="U888" s="268"/>
      <c r="V888" s="268"/>
      <c r="W888" s="268"/>
      <c r="X888" s="268"/>
      <c r="Y888" s="268"/>
      <c r="Z888" s="268"/>
    </row>
    <row r="889" spans="1:26" ht="24.75" customHeight="1">
      <c r="A889" s="268"/>
      <c r="B889" s="268"/>
      <c r="C889" s="268"/>
      <c r="D889" s="268"/>
      <c r="E889" s="268"/>
      <c r="F889" s="268"/>
      <c r="G889" s="268"/>
      <c r="H889" s="389"/>
      <c r="I889" s="389"/>
      <c r="J889" s="389"/>
      <c r="K889" s="268"/>
      <c r="L889" s="268"/>
      <c r="M889" s="268"/>
      <c r="N889" s="310"/>
      <c r="O889" s="268"/>
      <c r="P889" s="309"/>
      <c r="Q889" s="381"/>
      <c r="R889" s="268"/>
      <c r="S889" s="313"/>
      <c r="T889" s="313"/>
      <c r="U889" s="268"/>
      <c r="V889" s="268"/>
      <c r="W889" s="268"/>
      <c r="X889" s="268"/>
      <c r="Y889" s="268"/>
      <c r="Z889" s="268"/>
    </row>
    <row r="890" spans="1:26" ht="24.75" customHeight="1">
      <c r="A890" s="268"/>
      <c r="B890" s="268"/>
      <c r="C890" s="268"/>
      <c r="D890" s="268"/>
      <c r="E890" s="268"/>
      <c r="F890" s="268"/>
      <c r="G890" s="268"/>
      <c r="H890" s="389"/>
      <c r="I890" s="389"/>
      <c r="J890" s="389"/>
      <c r="K890" s="268"/>
      <c r="L890" s="268"/>
      <c r="M890" s="268"/>
      <c r="N890" s="310"/>
      <c r="O890" s="268"/>
      <c r="P890" s="309"/>
      <c r="Q890" s="381"/>
      <c r="R890" s="268"/>
      <c r="S890" s="313"/>
      <c r="T890" s="313"/>
      <c r="U890" s="268"/>
      <c r="V890" s="268"/>
      <c r="W890" s="268"/>
      <c r="X890" s="268"/>
      <c r="Y890" s="268"/>
      <c r="Z890" s="268"/>
    </row>
    <row r="891" spans="1:26" ht="24.75" customHeight="1">
      <c r="A891" s="268"/>
      <c r="B891" s="268"/>
      <c r="C891" s="268"/>
      <c r="D891" s="268"/>
      <c r="E891" s="268"/>
      <c r="F891" s="268"/>
      <c r="G891" s="268"/>
      <c r="H891" s="389"/>
      <c r="I891" s="389"/>
      <c r="J891" s="389"/>
      <c r="K891" s="268"/>
      <c r="L891" s="268"/>
      <c r="M891" s="268"/>
      <c r="N891" s="310"/>
      <c r="O891" s="268"/>
      <c r="P891" s="309"/>
      <c r="Q891" s="381"/>
      <c r="R891" s="268"/>
      <c r="S891" s="313"/>
      <c r="T891" s="313"/>
      <c r="U891" s="268"/>
      <c r="V891" s="268"/>
      <c r="W891" s="268"/>
      <c r="X891" s="268"/>
      <c r="Y891" s="268"/>
      <c r="Z891" s="268"/>
    </row>
    <row r="892" spans="1:26" ht="24.75" customHeight="1">
      <c r="A892" s="268"/>
      <c r="B892" s="268"/>
      <c r="C892" s="268"/>
      <c r="D892" s="268"/>
      <c r="E892" s="268"/>
      <c r="F892" s="268"/>
      <c r="G892" s="268"/>
      <c r="H892" s="389"/>
      <c r="I892" s="389"/>
      <c r="J892" s="389"/>
      <c r="K892" s="268"/>
      <c r="L892" s="268"/>
      <c r="M892" s="268"/>
      <c r="N892" s="310"/>
      <c r="O892" s="268"/>
      <c r="P892" s="309"/>
      <c r="Q892" s="381"/>
      <c r="R892" s="268"/>
      <c r="S892" s="313"/>
      <c r="T892" s="313"/>
      <c r="U892" s="268"/>
      <c r="V892" s="268"/>
      <c r="W892" s="268"/>
      <c r="X892" s="268"/>
      <c r="Y892" s="268"/>
      <c r="Z892" s="268"/>
    </row>
    <row r="893" spans="1:26" ht="24.75" customHeight="1">
      <c r="A893" s="268"/>
      <c r="B893" s="268"/>
      <c r="C893" s="268"/>
      <c r="D893" s="268"/>
      <c r="E893" s="268"/>
      <c r="F893" s="268"/>
      <c r="G893" s="268"/>
      <c r="H893" s="389"/>
      <c r="I893" s="389"/>
      <c r="J893" s="389"/>
      <c r="K893" s="268"/>
      <c r="L893" s="268"/>
      <c r="M893" s="268"/>
      <c r="N893" s="310"/>
      <c r="O893" s="268"/>
      <c r="P893" s="309"/>
      <c r="Q893" s="381"/>
      <c r="R893" s="268"/>
      <c r="S893" s="313"/>
      <c r="T893" s="313"/>
      <c r="U893" s="268"/>
      <c r="V893" s="268"/>
      <c r="W893" s="268"/>
      <c r="X893" s="268"/>
      <c r="Y893" s="268"/>
      <c r="Z893" s="268"/>
    </row>
    <row r="894" spans="1:26" ht="24.75" customHeight="1">
      <c r="A894" s="268"/>
      <c r="B894" s="268"/>
      <c r="C894" s="268"/>
      <c r="D894" s="268"/>
      <c r="E894" s="268"/>
      <c r="F894" s="268"/>
      <c r="G894" s="268"/>
      <c r="H894" s="389"/>
      <c r="I894" s="389"/>
      <c r="J894" s="389"/>
      <c r="K894" s="268"/>
      <c r="L894" s="268"/>
      <c r="M894" s="268"/>
      <c r="N894" s="310"/>
      <c r="O894" s="268"/>
      <c r="P894" s="309"/>
      <c r="Q894" s="381"/>
      <c r="R894" s="268"/>
      <c r="S894" s="313"/>
      <c r="T894" s="313"/>
      <c r="U894" s="268"/>
      <c r="V894" s="268"/>
      <c r="W894" s="268"/>
      <c r="X894" s="268"/>
      <c r="Y894" s="268"/>
      <c r="Z894" s="268"/>
    </row>
    <row r="895" spans="1:26" ht="24.75" customHeight="1">
      <c r="A895" s="268"/>
      <c r="B895" s="268"/>
      <c r="C895" s="268"/>
      <c r="D895" s="268"/>
      <c r="E895" s="268"/>
      <c r="F895" s="268"/>
      <c r="G895" s="268"/>
      <c r="H895" s="389"/>
      <c r="I895" s="389"/>
      <c r="J895" s="389"/>
      <c r="K895" s="268"/>
      <c r="L895" s="268"/>
      <c r="M895" s="268"/>
      <c r="N895" s="310"/>
      <c r="O895" s="268"/>
      <c r="P895" s="309"/>
      <c r="Q895" s="381"/>
      <c r="R895" s="268"/>
      <c r="S895" s="313"/>
      <c r="T895" s="313"/>
      <c r="U895" s="268"/>
      <c r="V895" s="268"/>
      <c r="W895" s="268"/>
      <c r="X895" s="268"/>
      <c r="Y895" s="268"/>
      <c r="Z895" s="268"/>
    </row>
    <row r="896" spans="1:26" ht="24.75" customHeight="1">
      <c r="A896" s="268"/>
      <c r="B896" s="268"/>
      <c r="C896" s="268"/>
      <c r="D896" s="268"/>
      <c r="E896" s="268"/>
      <c r="F896" s="268"/>
      <c r="G896" s="268"/>
      <c r="H896" s="389"/>
      <c r="I896" s="389"/>
      <c r="J896" s="389"/>
      <c r="K896" s="268"/>
      <c r="L896" s="268"/>
      <c r="M896" s="268"/>
      <c r="N896" s="310"/>
      <c r="O896" s="268"/>
      <c r="P896" s="309"/>
      <c r="Q896" s="381"/>
      <c r="R896" s="268"/>
      <c r="S896" s="313"/>
      <c r="T896" s="313"/>
      <c r="U896" s="268"/>
      <c r="V896" s="268"/>
      <c r="W896" s="268"/>
      <c r="X896" s="268"/>
      <c r="Y896" s="268"/>
      <c r="Z896" s="268"/>
    </row>
    <row r="897" spans="1:26" ht="24.75" customHeight="1">
      <c r="A897" s="268"/>
      <c r="B897" s="268"/>
      <c r="C897" s="268"/>
      <c r="D897" s="268"/>
      <c r="E897" s="268"/>
      <c r="F897" s="268"/>
      <c r="G897" s="268"/>
      <c r="H897" s="389"/>
      <c r="I897" s="389"/>
      <c r="J897" s="389"/>
      <c r="K897" s="268"/>
      <c r="L897" s="268"/>
      <c r="M897" s="268"/>
      <c r="N897" s="310"/>
      <c r="O897" s="268"/>
      <c r="P897" s="309"/>
      <c r="Q897" s="381"/>
      <c r="R897" s="268"/>
      <c r="S897" s="313"/>
      <c r="T897" s="313"/>
      <c r="U897" s="268"/>
      <c r="V897" s="268"/>
      <c r="W897" s="268"/>
      <c r="X897" s="268"/>
      <c r="Y897" s="268"/>
      <c r="Z897" s="268"/>
    </row>
    <row r="898" spans="1:26" ht="24.75" customHeight="1">
      <c r="A898" s="268"/>
      <c r="B898" s="268"/>
      <c r="C898" s="268"/>
      <c r="D898" s="268"/>
      <c r="E898" s="268"/>
      <c r="F898" s="268"/>
      <c r="G898" s="268"/>
      <c r="H898" s="389"/>
      <c r="I898" s="389"/>
      <c r="J898" s="389"/>
      <c r="K898" s="268"/>
      <c r="L898" s="268"/>
      <c r="M898" s="268"/>
      <c r="N898" s="310"/>
      <c r="O898" s="268"/>
      <c r="P898" s="309"/>
      <c r="Q898" s="381"/>
      <c r="R898" s="268"/>
      <c r="S898" s="313"/>
      <c r="T898" s="313"/>
      <c r="U898" s="268"/>
      <c r="V898" s="268"/>
      <c r="W898" s="268"/>
      <c r="X898" s="268"/>
      <c r="Y898" s="268"/>
      <c r="Z898" s="268"/>
    </row>
    <row r="899" spans="1:26" ht="24.75" customHeight="1">
      <c r="A899" s="268"/>
      <c r="B899" s="268"/>
      <c r="C899" s="268"/>
      <c r="D899" s="268"/>
      <c r="E899" s="268"/>
      <c r="F899" s="268"/>
      <c r="G899" s="268"/>
      <c r="H899" s="389"/>
      <c r="I899" s="389"/>
      <c r="J899" s="389"/>
      <c r="K899" s="268"/>
      <c r="L899" s="268"/>
      <c r="M899" s="268"/>
      <c r="N899" s="310"/>
      <c r="O899" s="268"/>
      <c r="P899" s="309"/>
      <c r="Q899" s="381"/>
      <c r="R899" s="268"/>
      <c r="S899" s="313"/>
      <c r="T899" s="313"/>
      <c r="U899" s="268"/>
      <c r="V899" s="268"/>
      <c r="W899" s="268"/>
      <c r="X899" s="268"/>
      <c r="Y899" s="268"/>
      <c r="Z899" s="268"/>
    </row>
    <row r="900" spans="1:26" ht="24.75" customHeight="1">
      <c r="A900" s="268"/>
      <c r="B900" s="268"/>
      <c r="C900" s="268"/>
      <c r="D900" s="268"/>
      <c r="E900" s="268"/>
      <c r="F900" s="268"/>
      <c r="G900" s="268"/>
      <c r="H900" s="389"/>
      <c r="I900" s="389"/>
      <c r="J900" s="389"/>
      <c r="K900" s="268"/>
      <c r="L900" s="268"/>
      <c r="M900" s="268"/>
      <c r="N900" s="310"/>
      <c r="O900" s="268"/>
      <c r="P900" s="309"/>
      <c r="Q900" s="381"/>
      <c r="R900" s="268"/>
      <c r="S900" s="313"/>
      <c r="T900" s="313"/>
      <c r="U900" s="268"/>
      <c r="V900" s="268"/>
      <c r="W900" s="268"/>
      <c r="X900" s="268"/>
      <c r="Y900" s="268"/>
      <c r="Z900" s="268"/>
    </row>
    <row r="901" spans="1:26" ht="24.75" customHeight="1">
      <c r="A901" s="268"/>
      <c r="B901" s="268"/>
      <c r="C901" s="268"/>
      <c r="D901" s="268"/>
      <c r="E901" s="268"/>
      <c r="F901" s="268"/>
      <c r="G901" s="268"/>
      <c r="H901" s="389"/>
      <c r="I901" s="389"/>
      <c r="J901" s="389"/>
      <c r="K901" s="268"/>
      <c r="L901" s="268"/>
      <c r="M901" s="268"/>
      <c r="N901" s="310"/>
      <c r="O901" s="268"/>
      <c r="P901" s="309"/>
      <c r="Q901" s="381"/>
      <c r="R901" s="268"/>
      <c r="S901" s="313"/>
      <c r="T901" s="313"/>
      <c r="U901" s="268"/>
      <c r="V901" s="268"/>
      <c r="W901" s="268"/>
      <c r="X901" s="268"/>
      <c r="Y901" s="268"/>
      <c r="Z901" s="268"/>
    </row>
    <row r="902" spans="1:26" ht="24.75" customHeight="1">
      <c r="A902" s="268"/>
      <c r="B902" s="268"/>
      <c r="C902" s="268"/>
      <c r="D902" s="268"/>
      <c r="E902" s="268"/>
      <c r="F902" s="268"/>
      <c r="G902" s="268"/>
      <c r="H902" s="389"/>
      <c r="I902" s="389"/>
      <c r="J902" s="389"/>
      <c r="K902" s="268"/>
      <c r="L902" s="268"/>
      <c r="M902" s="268"/>
      <c r="N902" s="310"/>
      <c r="O902" s="268"/>
      <c r="P902" s="309"/>
      <c r="Q902" s="381"/>
      <c r="R902" s="268"/>
      <c r="S902" s="313"/>
      <c r="T902" s="313"/>
      <c r="U902" s="268"/>
      <c r="V902" s="268"/>
      <c r="W902" s="268"/>
      <c r="X902" s="268"/>
      <c r="Y902" s="268"/>
      <c r="Z902" s="268"/>
    </row>
    <row r="903" spans="1:26" ht="24.75" customHeight="1">
      <c r="A903" s="268"/>
      <c r="B903" s="268"/>
      <c r="C903" s="268"/>
      <c r="D903" s="268"/>
      <c r="E903" s="268"/>
      <c r="F903" s="268"/>
      <c r="G903" s="268"/>
      <c r="H903" s="389"/>
      <c r="I903" s="389"/>
      <c r="J903" s="389"/>
      <c r="K903" s="268"/>
      <c r="L903" s="268"/>
      <c r="M903" s="268"/>
      <c r="N903" s="310"/>
      <c r="O903" s="268"/>
      <c r="P903" s="309"/>
      <c r="Q903" s="381"/>
      <c r="R903" s="268"/>
      <c r="S903" s="313"/>
      <c r="T903" s="313"/>
      <c r="U903" s="268"/>
      <c r="V903" s="268"/>
      <c r="W903" s="268"/>
      <c r="X903" s="268"/>
      <c r="Y903" s="268"/>
      <c r="Z903" s="268"/>
    </row>
    <row r="904" spans="1:26" ht="24.75" customHeight="1">
      <c r="A904" s="268"/>
      <c r="B904" s="268"/>
      <c r="C904" s="268"/>
      <c r="D904" s="268"/>
      <c r="E904" s="268"/>
      <c r="F904" s="268"/>
      <c r="G904" s="268"/>
      <c r="H904" s="389"/>
      <c r="I904" s="389"/>
      <c r="J904" s="389"/>
      <c r="K904" s="268"/>
      <c r="L904" s="268"/>
      <c r="M904" s="268"/>
      <c r="N904" s="310"/>
      <c r="O904" s="268"/>
      <c r="P904" s="309"/>
      <c r="Q904" s="381"/>
      <c r="R904" s="268"/>
      <c r="S904" s="313"/>
      <c r="T904" s="313"/>
      <c r="U904" s="268"/>
      <c r="V904" s="268"/>
      <c r="W904" s="268"/>
      <c r="X904" s="268"/>
      <c r="Y904" s="268"/>
      <c r="Z904" s="268"/>
    </row>
    <row r="905" spans="1:26" ht="24.75" customHeight="1">
      <c r="A905" s="268"/>
      <c r="B905" s="268"/>
      <c r="C905" s="268"/>
      <c r="D905" s="268"/>
      <c r="E905" s="268"/>
      <c r="F905" s="268"/>
      <c r="G905" s="268"/>
      <c r="H905" s="389"/>
      <c r="I905" s="389"/>
      <c r="J905" s="389"/>
      <c r="K905" s="268"/>
      <c r="L905" s="268"/>
      <c r="M905" s="268"/>
      <c r="N905" s="310"/>
      <c r="O905" s="268"/>
      <c r="P905" s="309"/>
      <c r="Q905" s="381"/>
      <c r="R905" s="268"/>
      <c r="S905" s="313"/>
      <c r="T905" s="313"/>
      <c r="U905" s="268"/>
      <c r="V905" s="268"/>
      <c r="W905" s="268"/>
      <c r="X905" s="268"/>
      <c r="Y905" s="268"/>
      <c r="Z905" s="268"/>
    </row>
    <row r="906" spans="1:26" ht="24.75" customHeight="1">
      <c r="A906" s="268"/>
      <c r="B906" s="268"/>
      <c r="C906" s="268"/>
      <c r="D906" s="268"/>
      <c r="E906" s="268"/>
      <c r="F906" s="268"/>
      <c r="G906" s="268"/>
      <c r="H906" s="389"/>
      <c r="I906" s="389"/>
      <c r="J906" s="389"/>
      <c r="K906" s="268"/>
      <c r="L906" s="268"/>
      <c r="M906" s="268"/>
      <c r="N906" s="310"/>
      <c r="O906" s="268"/>
      <c r="P906" s="309"/>
      <c r="Q906" s="381"/>
      <c r="R906" s="268"/>
      <c r="S906" s="313"/>
      <c r="T906" s="313"/>
      <c r="U906" s="268"/>
      <c r="V906" s="268"/>
      <c r="W906" s="268"/>
      <c r="X906" s="268"/>
      <c r="Y906" s="268"/>
      <c r="Z906" s="268"/>
    </row>
    <row r="907" spans="1:26" ht="24.75" customHeight="1">
      <c r="A907" s="268"/>
      <c r="B907" s="268"/>
      <c r="C907" s="268"/>
      <c r="D907" s="268"/>
      <c r="E907" s="268"/>
      <c r="F907" s="268"/>
      <c r="G907" s="268"/>
      <c r="H907" s="389"/>
      <c r="I907" s="389"/>
      <c r="J907" s="389"/>
      <c r="K907" s="268"/>
      <c r="L907" s="268"/>
      <c r="M907" s="268"/>
      <c r="N907" s="310"/>
      <c r="O907" s="268"/>
      <c r="P907" s="309"/>
      <c r="Q907" s="381"/>
      <c r="R907" s="268"/>
      <c r="S907" s="313"/>
      <c r="T907" s="313"/>
      <c r="U907" s="268"/>
      <c r="V907" s="268"/>
      <c r="W907" s="268"/>
      <c r="X907" s="268"/>
      <c r="Y907" s="268"/>
      <c r="Z907" s="268"/>
    </row>
    <row r="908" spans="1:26" ht="24.75" customHeight="1">
      <c r="A908" s="268"/>
      <c r="B908" s="268"/>
      <c r="C908" s="268"/>
      <c r="D908" s="268"/>
      <c r="E908" s="268"/>
      <c r="F908" s="268"/>
      <c r="G908" s="268"/>
      <c r="H908" s="389"/>
      <c r="I908" s="389"/>
      <c r="J908" s="389"/>
      <c r="K908" s="268"/>
      <c r="L908" s="268"/>
      <c r="M908" s="268"/>
      <c r="N908" s="310"/>
      <c r="O908" s="268"/>
      <c r="P908" s="309"/>
      <c r="Q908" s="381"/>
      <c r="R908" s="268"/>
      <c r="S908" s="313"/>
      <c r="T908" s="313"/>
      <c r="U908" s="268"/>
      <c r="V908" s="268"/>
      <c r="W908" s="268"/>
      <c r="X908" s="268"/>
      <c r="Y908" s="268"/>
      <c r="Z908" s="268"/>
    </row>
    <row r="909" spans="1:26" ht="24.75" customHeight="1">
      <c r="A909" s="268"/>
      <c r="B909" s="268"/>
      <c r="C909" s="268"/>
      <c r="D909" s="268"/>
      <c r="E909" s="268"/>
      <c r="F909" s="268"/>
      <c r="G909" s="268"/>
      <c r="H909" s="389"/>
      <c r="I909" s="389"/>
      <c r="J909" s="389"/>
      <c r="K909" s="268"/>
      <c r="L909" s="268"/>
      <c r="M909" s="268"/>
      <c r="N909" s="310"/>
      <c r="O909" s="268"/>
      <c r="P909" s="309"/>
      <c r="Q909" s="381"/>
      <c r="R909" s="268"/>
      <c r="S909" s="313"/>
      <c r="T909" s="313"/>
      <c r="U909" s="268"/>
      <c r="V909" s="268"/>
      <c r="W909" s="268"/>
      <c r="X909" s="268"/>
      <c r="Y909" s="268"/>
      <c r="Z909" s="268"/>
    </row>
    <row r="910" spans="1:26" ht="24.75" customHeight="1">
      <c r="A910" s="268"/>
      <c r="B910" s="268"/>
      <c r="C910" s="268"/>
      <c r="D910" s="268"/>
      <c r="E910" s="268"/>
      <c r="F910" s="268"/>
      <c r="G910" s="268"/>
      <c r="H910" s="389"/>
      <c r="I910" s="389"/>
      <c r="J910" s="389"/>
      <c r="K910" s="268"/>
      <c r="L910" s="268"/>
      <c r="M910" s="268"/>
      <c r="N910" s="310"/>
      <c r="O910" s="268"/>
      <c r="P910" s="309"/>
      <c r="Q910" s="381"/>
      <c r="R910" s="268"/>
      <c r="S910" s="313"/>
      <c r="T910" s="313"/>
      <c r="U910" s="268"/>
      <c r="V910" s="268"/>
      <c r="W910" s="268"/>
      <c r="X910" s="268"/>
      <c r="Y910" s="268"/>
      <c r="Z910" s="268"/>
    </row>
    <row r="911" spans="1:26" ht="24.75" customHeight="1">
      <c r="A911" s="268"/>
      <c r="B911" s="268"/>
      <c r="C911" s="268"/>
      <c r="D911" s="268"/>
      <c r="E911" s="268"/>
      <c r="F911" s="268"/>
      <c r="G911" s="268"/>
      <c r="H911" s="389"/>
      <c r="I911" s="389"/>
      <c r="J911" s="389"/>
      <c r="K911" s="268"/>
      <c r="L911" s="268"/>
      <c r="M911" s="268"/>
      <c r="N911" s="310"/>
      <c r="O911" s="268"/>
      <c r="P911" s="309"/>
      <c r="Q911" s="381"/>
      <c r="R911" s="268"/>
      <c r="S911" s="313"/>
      <c r="T911" s="313"/>
      <c r="U911" s="268"/>
      <c r="V911" s="268"/>
      <c r="W911" s="268"/>
      <c r="X911" s="268"/>
      <c r="Y911" s="268"/>
      <c r="Z911" s="268"/>
    </row>
    <row r="912" spans="1:26" ht="24.75" customHeight="1">
      <c r="A912" s="268"/>
      <c r="B912" s="268"/>
      <c r="C912" s="268"/>
      <c r="D912" s="268"/>
      <c r="E912" s="268"/>
      <c r="F912" s="268"/>
      <c r="G912" s="268"/>
      <c r="H912" s="389"/>
      <c r="I912" s="389"/>
      <c r="J912" s="389"/>
      <c r="K912" s="268"/>
      <c r="L912" s="268"/>
      <c r="M912" s="268"/>
      <c r="N912" s="310"/>
      <c r="O912" s="268"/>
      <c r="P912" s="309"/>
      <c r="Q912" s="381"/>
      <c r="R912" s="268"/>
      <c r="S912" s="313"/>
      <c r="T912" s="313"/>
      <c r="U912" s="268"/>
      <c r="V912" s="268"/>
      <c r="W912" s="268"/>
      <c r="X912" s="268"/>
      <c r="Y912" s="268"/>
      <c r="Z912" s="268"/>
    </row>
    <row r="913" spans="1:26" ht="24.75" customHeight="1">
      <c r="A913" s="268"/>
      <c r="B913" s="268"/>
      <c r="C913" s="268"/>
      <c r="D913" s="268"/>
      <c r="E913" s="268"/>
      <c r="F913" s="268"/>
      <c r="G913" s="268"/>
      <c r="H913" s="389"/>
      <c r="I913" s="389"/>
      <c r="J913" s="389"/>
      <c r="K913" s="268"/>
      <c r="L913" s="268"/>
      <c r="M913" s="268"/>
      <c r="N913" s="310"/>
      <c r="O913" s="268"/>
      <c r="P913" s="309"/>
      <c r="Q913" s="381"/>
      <c r="R913" s="268"/>
      <c r="S913" s="313"/>
      <c r="T913" s="313"/>
      <c r="U913" s="268"/>
      <c r="V913" s="268"/>
      <c r="W913" s="268"/>
      <c r="X913" s="268"/>
      <c r="Y913" s="268"/>
      <c r="Z913" s="268"/>
    </row>
    <row r="914" spans="1:26" ht="24.75" customHeight="1">
      <c r="A914" s="268"/>
      <c r="B914" s="268"/>
      <c r="C914" s="268"/>
      <c r="D914" s="268"/>
      <c r="E914" s="268"/>
      <c r="F914" s="268"/>
      <c r="G914" s="268"/>
      <c r="H914" s="389"/>
      <c r="I914" s="389"/>
      <c r="J914" s="389"/>
      <c r="K914" s="268"/>
      <c r="L914" s="268"/>
      <c r="M914" s="268"/>
      <c r="N914" s="310"/>
      <c r="O914" s="268"/>
      <c r="P914" s="309"/>
      <c r="Q914" s="381"/>
      <c r="R914" s="268"/>
      <c r="S914" s="313"/>
      <c r="T914" s="313"/>
      <c r="U914" s="268"/>
      <c r="V914" s="268"/>
      <c r="W914" s="268"/>
      <c r="X914" s="268"/>
      <c r="Y914" s="268"/>
      <c r="Z914" s="268"/>
    </row>
    <row r="915" spans="1:26" ht="24.75" customHeight="1">
      <c r="A915" s="268"/>
      <c r="B915" s="268"/>
      <c r="C915" s="268"/>
      <c r="D915" s="268"/>
      <c r="E915" s="268"/>
      <c r="F915" s="268"/>
      <c r="G915" s="268"/>
      <c r="H915" s="389"/>
      <c r="I915" s="389"/>
      <c r="J915" s="389"/>
      <c r="K915" s="268"/>
      <c r="L915" s="268"/>
      <c r="M915" s="268"/>
      <c r="N915" s="310"/>
      <c r="O915" s="268"/>
      <c r="P915" s="309"/>
      <c r="Q915" s="381"/>
      <c r="R915" s="268"/>
      <c r="S915" s="313"/>
      <c r="T915" s="313"/>
      <c r="U915" s="268"/>
      <c r="V915" s="268"/>
      <c r="W915" s="268"/>
      <c r="X915" s="268"/>
      <c r="Y915" s="268"/>
      <c r="Z915" s="268"/>
    </row>
    <row r="916" spans="1:26" ht="24.75" customHeight="1">
      <c r="A916" s="268"/>
      <c r="B916" s="268"/>
      <c r="C916" s="268"/>
      <c r="D916" s="268"/>
      <c r="E916" s="268"/>
      <c r="F916" s="268"/>
      <c r="G916" s="268"/>
      <c r="H916" s="389"/>
      <c r="I916" s="389"/>
      <c r="J916" s="389"/>
      <c r="K916" s="268"/>
      <c r="L916" s="268"/>
      <c r="M916" s="268"/>
      <c r="N916" s="310"/>
      <c r="O916" s="268"/>
      <c r="P916" s="309"/>
      <c r="Q916" s="381"/>
      <c r="R916" s="268"/>
      <c r="S916" s="313"/>
      <c r="T916" s="313"/>
      <c r="U916" s="268"/>
      <c r="V916" s="268"/>
      <c r="W916" s="268"/>
      <c r="X916" s="268"/>
      <c r="Y916" s="268"/>
      <c r="Z916" s="268"/>
    </row>
    <row r="917" spans="1:26" ht="24.75" customHeight="1">
      <c r="A917" s="268"/>
      <c r="B917" s="268"/>
      <c r="C917" s="268"/>
      <c r="D917" s="268"/>
      <c r="E917" s="268"/>
      <c r="F917" s="268"/>
      <c r="G917" s="268"/>
      <c r="H917" s="389"/>
      <c r="I917" s="389"/>
      <c r="J917" s="389"/>
      <c r="K917" s="268"/>
      <c r="L917" s="268"/>
      <c r="M917" s="268"/>
      <c r="N917" s="310"/>
      <c r="O917" s="268"/>
      <c r="P917" s="309"/>
      <c r="Q917" s="381"/>
      <c r="R917" s="268"/>
      <c r="S917" s="313"/>
      <c r="T917" s="313"/>
      <c r="U917" s="268"/>
      <c r="V917" s="268"/>
      <c r="W917" s="268"/>
      <c r="X917" s="268"/>
      <c r="Y917" s="268"/>
      <c r="Z917" s="268"/>
    </row>
    <row r="918" spans="1:26" ht="24.75" customHeight="1">
      <c r="A918" s="268"/>
      <c r="B918" s="268"/>
      <c r="C918" s="268"/>
      <c r="D918" s="268"/>
      <c r="E918" s="268"/>
      <c r="F918" s="268"/>
      <c r="G918" s="268"/>
      <c r="H918" s="389"/>
      <c r="I918" s="389"/>
      <c r="J918" s="389"/>
      <c r="K918" s="268"/>
      <c r="L918" s="268"/>
      <c r="M918" s="268"/>
      <c r="N918" s="310"/>
      <c r="O918" s="268"/>
      <c r="P918" s="309"/>
      <c r="Q918" s="381"/>
      <c r="R918" s="268"/>
      <c r="S918" s="313"/>
      <c r="T918" s="313"/>
      <c r="U918" s="268"/>
      <c r="V918" s="268"/>
      <c r="W918" s="268"/>
      <c r="X918" s="268"/>
      <c r="Y918" s="268"/>
      <c r="Z918" s="268"/>
    </row>
    <row r="919" spans="1:26" ht="24.75" customHeight="1">
      <c r="A919" s="268"/>
      <c r="B919" s="268"/>
      <c r="C919" s="268"/>
      <c r="D919" s="268"/>
      <c r="E919" s="268"/>
      <c r="F919" s="268"/>
      <c r="G919" s="268"/>
      <c r="H919" s="389"/>
      <c r="I919" s="389"/>
      <c r="J919" s="389"/>
      <c r="K919" s="268"/>
      <c r="L919" s="268"/>
      <c r="M919" s="268"/>
      <c r="N919" s="310"/>
      <c r="O919" s="268"/>
      <c r="P919" s="309"/>
      <c r="Q919" s="381"/>
      <c r="R919" s="268"/>
      <c r="S919" s="313"/>
      <c r="T919" s="313"/>
      <c r="U919" s="268"/>
      <c r="V919" s="268"/>
      <c r="W919" s="268"/>
      <c r="X919" s="268"/>
      <c r="Y919" s="268"/>
      <c r="Z919" s="268"/>
    </row>
    <row r="920" spans="1:26" ht="24.75" customHeight="1">
      <c r="A920" s="268"/>
      <c r="B920" s="268"/>
      <c r="C920" s="268"/>
      <c r="D920" s="268"/>
      <c r="E920" s="268"/>
      <c r="F920" s="268"/>
      <c r="G920" s="268"/>
      <c r="H920" s="389"/>
      <c r="I920" s="389"/>
      <c r="J920" s="389"/>
      <c r="K920" s="268"/>
      <c r="L920" s="268"/>
      <c r="M920" s="268"/>
      <c r="N920" s="310"/>
      <c r="O920" s="268"/>
      <c r="P920" s="309"/>
      <c r="Q920" s="381"/>
      <c r="R920" s="268"/>
      <c r="S920" s="313"/>
      <c r="T920" s="313"/>
      <c r="U920" s="268"/>
      <c r="V920" s="268"/>
      <c r="W920" s="268"/>
      <c r="X920" s="268"/>
      <c r="Y920" s="268"/>
      <c r="Z920" s="268"/>
    </row>
    <row r="921" spans="1:26" ht="24.75" customHeight="1">
      <c r="A921" s="268"/>
      <c r="B921" s="268"/>
      <c r="C921" s="268"/>
      <c r="D921" s="268"/>
      <c r="E921" s="268"/>
      <c r="F921" s="268"/>
      <c r="G921" s="268"/>
      <c r="H921" s="389"/>
      <c r="I921" s="389"/>
      <c r="J921" s="389"/>
      <c r="K921" s="268"/>
      <c r="L921" s="268"/>
      <c r="M921" s="268"/>
      <c r="N921" s="310"/>
      <c r="O921" s="268"/>
      <c r="P921" s="309"/>
      <c r="Q921" s="381"/>
      <c r="R921" s="268"/>
      <c r="S921" s="313"/>
      <c r="T921" s="313"/>
      <c r="U921" s="268"/>
      <c r="V921" s="268"/>
      <c r="W921" s="268"/>
      <c r="X921" s="268"/>
      <c r="Y921" s="268"/>
      <c r="Z921" s="268"/>
    </row>
    <row r="922" spans="1:26" ht="24.75" customHeight="1">
      <c r="A922" s="268"/>
      <c r="B922" s="268"/>
      <c r="C922" s="268"/>
      <c r="D922" s="268"/>
      <c r="E922" s="268"/>
      <c r="F922" s="268"/>
      <c r="G922" s="268"/>
      <c r="H922" s="389"/>
      <c r="I922" s="389"/>
      <c r="J922" s="389"/>
      <c r="K922" s="268"/>
      <c r="L922" s="268"/>
      <c r="M922" s="268"/>
      <c r="N922" s="310"/>
      <c r="O922" s="268"/>
      <c r="P922" s="309"/>
      <c r="Q922" s="381"/>
      <c r="R922" s="268"/>
      <c r="S922" s="313"/>
      <c r="T922" s="313"/>
      <c r="U922" s="268"/>
      <c r="V922" s="268"/>
      <c r="W922" s="268"/>
      <c r="X922" s="268"/>
      <c r="Y922" s="268"/>
      <c r="Z922" s="268"/>
    </row>
    <row r="923" spans="1:26" ht="24.75" customHeight="1">
      <c r="A923" s="268"/>
      <c r="B923" s="268"/>
      <c r="C923" s="268"/>
      <c r="D923" s="268"/>
      <c r="E923" s="268"/>
      <c r="F923" s="268"/>
      <c r="G923" s="268"/>
      <c r="H923" s="389"/>
      <c r="I923" s="389"/>
      <c r="J923" s="389"/>
      <c r="K923" s="268"/>
      <c r="L923" s="268"/>
      <c r="M923" s="268"/>
      <c r="N923" s="310"/>
      <c r="O923" s="268"/>
      <c r="P923" s="309"/>
      <c r="Q923" s="381"/>
      <c r="R923" s="268"/>
      <c r="S923" s="313"/>
      <c r="T923" s="313"/>
      <c r="U923" s="268"/>
      <c r="V923" s="268"/>
      <c r="W923" s="268"/>
      <c r="X923" s="268"/>
      <c r="Y923" s="268"/>
      <c r="Z923" s="268"/>
    </row>
    <row r="924" spans="1:26" ht="24.75" customHeight="1">
      <c r="A924" s="268"/>
      <c r="B924" s="268"/>
      <c r="C924" s="268"/>
      <c r="D924" s="268"/>
      <c r="E924" s="268"/>
      <c r="F924" s="268"/>
      <c r="G924" s="268"/>
      <c r="H924" s="389"/>
      <c r="I924" s="389"/>
      <c r="J924" s="389"/>
      <c r="K924" s="268"/>
      <c r="L924" s="268"/>
      <c r="M924" s="268"/>
      <c r="N924" s="310"/>
      <c r="O924" s="268"/>
      <c r="P924" s="309"/>
      <c r="Q924" s="381"/>
      <c r="R924" s="268"/>
      <c r="S924" s="313"/>
      <c r="T924" s="313"/>
      <c r="U924" s="268"/>
      <c r="V924" s="268"/>
      <c r="W924" s="268"/>
      <c r="X924" s="268"/>
      <c r="Y924" s="268"/>
      <c r="Z924" s="268"/>
    </row>
    <row r="925" spans="1:26" ht="24.75" customHeight="1">
      <c r="A925" s="268"/>
      <c r="B925" s="268"/>
      <c r="C925" s="268"/>
      <c r="D925" s="268"/>
      <c r="E925" s="268"/>
      <c r="F925" s="268"/>
      <c r="G925" s="268"/>
      <c r="H925" s="389"/>
      <c r="I925" s="389"/>
      <c r="J925" s="389"/>
      <c r="K925" s="268"/>
      <c r="L925" s="268"/>
      <c r="M925" s="268"/>
      <c r="N925" s="310"/>
      <c r="O925" s="268"/>
      <c r="P925" s="309"/>
      <c r="Q925" s="381"/>
      <c r="R925" s="268"/>
      <c r="S925" s="313"/>
      <c r="T925" s="313"/>
      <c r="U925" s="268"/>
      <c r="V925" s="268"/>
      <c r="W925" s="268"/>
      <c r="X925" s="268"/>
      <c r="Y925" s="268"/>
      <c r="Z925" s="268"/>
    </row>
    <row r="926" spans="1:26" ht="24.75" customHeight="1">
      <c r="A926" s="268"/>
      <c r="B926" s="268"/>
      <c r="C926" s="268"/>
      <c r="D926" s="268"/>
      <c r="E926" s="268"/>
      <c r="F926" s="268"/>
      <c r="G926" s="268"/>
      <c r="H926" s="389"/>
      <c r="I926" s="389"/>
      <c r="J926" s="389"/>
      <c r="K926" s="268"/>
      <c r="L926" s="268"/>
      <c r="M926" s="268"/>
      <c r="N926" s="310"/>
      <c r="O926" s="268"/>
      <c r="P926" s="309"/>
      <c r="Q926" s="381"/>
      <c r="R926" s="268"/>
      <c r="S926" s="313"/>
      <c r="T926" s="313"/>
      <c r="U926" s="268"/>
      <c r="V926" s="268"/>
      <c r="W926" s="268"/>
      <c r="X926" s="268"/>
      <c r="Y926" s="268"/>
      <c r="Z926" s="268"/>
    </row>
    <row r="927" spans="1:26" ht="24.75" customHeight="1">
      <c r="A927" s="268"/>
      <c r="B927" s="268"/>
      <c r="C927" s="268"/>
      <c r="D927" s="268"/>
      <c r="E927" s="268"/>
      <c r="F927" s="268"/>
      <c r="G927" s="268"/>
      <c r="H927" s="389"/>
      <c r="I927" s="389"/>
      <c r="J927" s="389"/>
      <c r="K927" s="268"/>
      <c r="L927" s="268"/>
      <c r="M927" s="268"/>
      <c r="N927" s="310"/>
      <c r="O927" s="268"/>
      <c r="P927" s="309"/>
      <c r="Q927" s="381"/>
      <c r="R927" s="268"/>
      <c r="S927" s="313"/>
      <c r="T927" s="313"/>
      <c r="U927" s="268"/>
      <c r="V927" s="268"/>
      <c r="W927" s="268"/>
      <c r="X927" s="268"/>
      <c r="Y927" s="268"/>
      <c r="Z927" s="268"/>
    </row>
    <row r="928" spans="1:26" ht="24.75" customHeight="1">
      <c r="A928" s="268"/>
      <c r="B928" s="268"/>
      <c r="C928" s="268"/>
      <c r="D928" s="268"/>
      <c r="E928" s="268"/>
      <c r="F928" s="268"/>
      <c r="G928" s="268"/>
      <c r="H928" s="389"/>
      <c r="I928" s="389"/>
      <c r="J928" s="389"/>
      <c r="K928" s="268"/>
      <c r="L928" s="268"/>
      <c r="M928" s="268"/>
      <c r="N928" s="310"/>
      <c r="O928" s="268"/>
      <c r="P928" s="309"/>
      <c r="Q928" s="381"/>
      <c r="R928" s="268"/>
      <c r="S928" s="313"/>
      <c r="T928" s="313"/>
      <c r="U928" s="268"/>
      <c r="V928" s="268"/>
      <c r="W928" s="268"/>
      <c r="X928" s="268"/>
      <c r="Y928" s="268"/>
      <c r="Z928" s="268"/>
    </row>
    <row r="929" spans="1:26" ht="24.75" customHeight="1">
      <c r="A929" s="268"/>
      <c r="B929" s="268"/>
      <c r="C929" s="268"/>
      <c r="D929" s="268"/>
      <c r="E929" s="268"/>
      <c r="F929" s="268"/>
      <c r="G929" s="268"/>
      <c r="H929" s="389"/>
      <c r="I929" s="389"/>
      <c r="J929" s="389"/>
      <c r="K929" s="268"/>
      <c r="L929" s="268"/>
      <c r="M929" s="268"/>
      <c r="N929" s="310"/>
      <c r="O929" s="268"/>
      <c r="P929" s="309"/>
      <c r="Q929" s="381"/>
      <c r="R929" s="268"/>
      <c r="S929" s="313"/>
      <c r="T929" s="313"/>
      <c r="U929" s="268"/>
      <c r="V929" s="268"/>
      <c r="W929" s="268"/>
      <c r="X929" s="268"/>
      <c r="Y929" s="268"/>
      <c r="Z929" s="268"/>
    </row>
    <row r="930" spans="1:26" ht="24.75" customHeight="1">
      <c r="A930" s="268"/>
      <c r="B930" s="268"/>
      <c r="C930" s="268"/>
      <c r="D930" s="268"/>
      <c r="E930" s="268"/>
      <c r="F930" s="268"/>
      <c r="G930" s="268"/>
      <c r="H930" s="389"/>
      <c r="I930" s="389"/>
      <c r="J930" s="389"/>
      <c r="K930" s="268"/>
      <c r="L930" s="268"/>
      <c r="M930" s="268"/>
      <c r="N930" s="310"/>
      <c r="O930" s="268"/>
      <c r="P930" s="309"/>
      <c r="Q930" s="381"/>
      <c r="R930" s="268"/>
      <c r="S930" s="313"/>
      <c r="T930" s="313"/>
      <c r="U930" s="268"/>
      <c r="V930" s="268"/>
      <c r="W930" s="268"/>
      <c r="X930" s="268"/>
      <c r="Y930" s="268"/>
      <c r="Z930" s="268"/>
    </row>
    <row r="931" spans="1:26" ht="24.75" customHeight="1">
      <c r="A931" s="268"/>
      <c r="B931" s="268"/>
      <c r="C931" s="268"/>
      <c r="D931" s="268"/>
      <c r="E931" s="268"/>
      <c r="F931" s="268"/>
      <c r="G931" s="268"/>
      <c r="H931" s="389"/>
      <c r="I931" s="389"/>
      <c r="J931" s="389"/>
      <c r="K931" s="268"/>
      <c r="L931" s="268"/>
      <c r="M931" s="268"/>
      <c r="N931" s="310"/>
      <c r="O931" s="268"/>
      <c r="P931" s="309"/>
      <c r="Q931" s="381"/>
      <c r="R931" s="268"/>
      <c r="S931" s="313"/>
      <c r="T931" s="313"/>
      <c r="U931" s="268"/>
      <c r="V931" s="268"/>
      <c r="W931" s="268"/>
      <c r="X931" s="268"/>
      <c r="Y931" s="268"/>
      <c r="Z931" s="268"/>
    </row>
    <row r="932" spans="1:26" ht="24.75" customHeight="1">
      <c r="A932" s="268"/>
      <c r="B932" s="268"/>
      <c r="C932" s="268"/>
      <c r="D932" s="268"/>
      <c r="E932" s="268"/>
      <c r="F932" s="268"/>
      <c r="G932" s="268"/>
      <c r="H932" s="389"/>
      <c r="I932" s="389"/>
      <c r="J932" s="389"/>
      <c r="K932" s="268"/>
      <c r="L932" s="268"/>
      <c r="M932" s="268"/>
      <c r="N932" s="310"/>
      <c r="O932" s="268"/>
      <c r="P932" s="309"/>
      <c r="Q932" s="381"/>
      <c r="R932" s="268"/>
      <c r="S932" s="313"/>
      <c r="T932" s="313"/>
      <c r="U932" s="268"/>
      <c r="V932" s="268"/>
      <c r="W932" s="268"/>
      <c r="X932" s="268"/>
      <c r="Y932" s="268"/>
      <c r="Z932" s="268"/>
    </row>
    <row r="933" spans="1:26" ht="24.75" customHeight="1">
      <c r="A933" s="268"/>
      <c r="B933" s="268"/>
      <c r="C933" s="268"/>
      <c r="D933" s="268"/>
      <c r="E933" s="268"/>
      <c r="F933" s="268"/>
      <c r="G933" s="268"/>
      <c r="H933" s="389"/>
      <c r="I933" s="389"/>
      <c r="J933" s="389"/>
      <c r="K933" s="268"/>
      <c r="L933" s="268"/>
      <c r="M933" s="268"/>
      <c r="N933" s="310"/>
      <c r="O933" s="268"/>
      <c r="P933" s="309"/>
      <c r="Q933" s="381"/>
      <c r="R933" s="268"/>
      <c r="S933" s="313"/>
      <c r="T933" s="313"/>
      <c r="U933" s="268"/>
      <c r="V933" s="268"/>
      <c r="W933" s="268"/>
      <c r="X933" s="268"/>
      <c r="Y933" s="268"/>
      <c r="Z933" s="268"/>
    </row>
    <row r="934" spans="1:26" ht="24.75" customHeight="1">
      <c r="A934" s="268"/>
      <c r="B934" s="268"/>
      <c r="C934" s="268"/>
      <c r="D934" s="268"/>
      <c r="E934" s="268"/>
      <c r="F934" s="268"/>
      <c r="G934" s="268"/>
      <c r="H934" s="389"/>
      <c r="I934" s="389"/>
      <c r="J934" s="389"/>
      <c r="K934" s="268"/>
      <c r="L934" s="268"/>
      <c r="M934" s="268"/>
      <c r="N934" s="310"/>
      <c r="O934" s="268"/>
      <c r="P934" s="309"/>
      <c r="Q934" s="381"/>
      <c r="R934" s="268"/>
      <c r="S934" s="313"/>
      <c r="T934" s="313"/>
      <c r="U934" s="268"/>
      <c r="V934" s="268"/>
      <c r="W934" s="268"/>
      <c r="X934" s="268"/>
      <c r="Y934" s="268"/>
      <c r="Z934" s="268"/>
    </row>
    <row r="935" spans="1:26" ht="24.75" customHeight="1">
      <c r="A935" s="268"/>
      <c r="B935" s="268"/>
      <c r="C935" s="268"/>
      <c r="D935" s="268"/>
      <c r="E935" s="268"/>
      <c r="F935" s="268"/>
      <c r="G935" s="268"/>
      <c r="H935" s="389"/>
      <c r="I935" s="389"/>
      <c r="J935" s="389"/>
      <c r="K935" s="268"/>
      <c r="L935" s="268"/>
      <c r="M935" s="268"/>
      <c r="N935" s="310"/>
      <c r="O935" s="268"/>
      <c r="P935" s="309"/>
      <c r="Q935" s="381"/>
      <c r="R935" s="268"/>
      <c r="S935" s="313"/>
      <c r="T935" s="313"/>
      <c r="U935" s="268"/>
      <c r="V935" s="268"/>
      <c r="W935" s="268"/>
      <c r="X935" s="268"/>
      <c r="Y935" s="268"/>
      <c r="Z935" s="268"/>
    </row>
    <row r="936" spans="1:26" ht="24.75" customHeight="1">
      <c r="A936" s="268"/>
      <c r="B936" s="268"/>
      <c r="C936" s="268"/>
      <c r="D936" s="268"/>
      <c r="E936" s="268"/>
      <c r="F936" s="268"/>
      <c r="G936" s="268"/>
      <c r="H936" s="389"/>
      <c r="I936" s="389"/>
      <c r="J936" s="389"/>
      <c r="K936" s="268"/>
      <c r="L936" s="268"/>
      <c r="M936" s="268"/>
      <c r="N936" s="310"/>
      <c r="O936" s="268"/>
      <c r="P936" s="309"/>
      <c r="Q936" s="381"/>
      <c r="R936" s="268"/>
      <c r="S936" s="313"/>
      <c r="T936" s="313"/>
      <c r="U936" s="268"/>
      <c r="V936" s="268"/>
      <c r="W936" s="268"/>
      <c r="X936" s="268"/>
      <c r="Y936" s="268"/>
      <c r="Z936" s="268"/>
    </row>
    <row r="937" spans="1:26" ht="24.75" customHeight="1">
      <c r="A937" s="268"/>
      <c r="B937" s="268"/>
      <c r="C937" s="268"/>
      <c r="D937" s="268"/>
      <c r="E937" s="268"/>
      <c r="F937" s="268"/>
      <c r="G937" s="268"/>
      <c r="H937" s="389"/>
      <c r="I937" s="389"/>
      <c r="J937" s="389"/>
      <c r="K937" s="268"/>
      <c r="L937" s="268"/>
      <c r="M937" s="268"/>
      <c r="N937" s="310"/>
      <c r="O937" s="268"/>
      <c r="P937" s="309"/>
      <c r="Q937" s="381"/>
      <c r="R937" s="268"/>
      <c r="S937" s="313"/>
      <c r="T937" s="313"/>
      <c r="U937" s="268"/>
      <c r="V937" s="268"/>
      <c r="W937" s="268"/>
      <c r="X937" s="268"/>
      <c r="Y937" s="268"/>
      <c r="Z937" s="268"/>
    </row>
    <row r="938" spans="1:26" ht="24.75" customHeight="1">
      <c r="A938" s="268"/>
      <c r="B938" s="268"/>
      <c r="C938" s="268"/>
      <c r="D938" s="268"/>
      <c r="E938" s="268"/>
      <c r="F938" s="268"/>
      <c r="G938" s="268"/>
      <c r="H938" s="389"/>
      <c r="I938" s="389"/>
      <c r="J938" s="389"/>
      <c r="K938" s="268"/>
      <c r="L938" s="268"/>
      <c r="M938" s="268"/>
      <c r="N938" s="310"/>
      <c r="O938" s="268"/>
      <c r="P938" s="309"/>
      <c r="Q938" s="381"/>
      <c r="R938" s="268"/>
      <c r="S938" s="313"/>
      <c r="T938" s="313"/>
      <c r="U938" s="268"/>
      <c r="V938" s="268"/>
      <c r="W938" s="268"/>
      <c r="X938" s="268"/>
      <c r="Y938" s="268"/>
      <c r="Z938" s="268"/>
    </row>
    <row r="939" spans="1:26" ht="24.75" customHeight="1">
      <c r="A939" s="268"/>
      <c r="B939" s="268"/>
      <c r="C939" s="268"/>
      <c r="D939" s="268"/>
      <c r="E939" s="268"/>
      <c r="F939" s="268"/>
      <c r="G939" s="268"/>
      <c r="H939" s="389"/>
      <c r="I939" s="389"/>
      <c r="J939" s="389"/>
      <c r="K939" s="268"/>
      <c r="L939" s="268"/>
      <c r="M939" s="268"/>
      <c r="N939" s="310"/>
      <c r="O939" s="268"/>
      <c r="P939" s="309"/>
      <c r="Q939" s="381"/>
      <c r="R939" s="268"/>
      <c r="S939" s="313"/>
      <c r="T939" s="313"/>
      <c r="U939" s="268"/>
      <c r="V939" s="268"/>
      <c r="W939" s="268"/>
      <c r="X939" s="268"/>
      <c r="Y939" s="268"/>
      <c r="Z939" s="268"/>
    </row>
    <row r="940" spans="1:26" ht="24.75" customHeight="1">
      <c r="A940" s="268"/>
      <c r="B940" s="268"/>
      <c r="C940" s="268"/>
      <c r="D940" s="268"/>
      <c r="E940" s="268"/>
      <c r="F940" s="268"/>
      <c r="G940" s="268"/>
      <c r="H940" s="389"/>
      <c r="I940" s="389"/>
      <c r="J940" s="389"/>
      <c r="K940" s="268"/>
      <c r="L940" s="268"/>
      <c r="M940" s="268"/>
      <c r="N940" s="310"/>
      <c r="O940" s="268"/>
      <c r="P940" s="309"/>
      <c r="Q940" s="381"/>
      <c r="R940" s="268"/>
      <c r="S940" s="313"/>
      <c r="T940" s="313"/>
      <c r="U940" s="268"/>
      <c r="V940" s="268"/>
      <c r="W940" s="268"/>
      <c r="X940" s="268"/>
      <c r="Y940" s="268"/>
      <c r="Z940" s="268"/>
    </row>
    <row r="941" spans="1:26" ht="24.75" customHeight="1">
      <c r="A941" s="268"/>
      <c r="B941" s="268"/>
      <c r="C941" s="268"/>
      <c r="D941" s="268"/>
      <c r="E941" s="268"/>
      <c r="F941" s="268"/>
      <c r="G941" s="268"/>
      <c r="H941" s="389"/>
      <c r="I941" s="389"/>
      <c r="J941" s="389"/>
      <c r="K941" s="268"/>
      <c r="L941" s="268"/>
      <c r="M941" s="268"/>
      <c r="N941" s="310"/>
      <c r="O941" s="268"/>
      <c r="P941" s="309"/>
      <c r="Q941" s="381"/>
      <c r="R941" s="268"/>
      <c r="S941" s="313"/>
      <c r="T941" s="313"/>
      <c r="U941" s="268"/>
      <c r="V941" s="268"/>
      <c r="W941" s="268"/>
      <c r="X941" s="268"/>
      <c r="Y941" s="268"/>
      <c r="Z941" s="268"/>
    </row>
    <row r="942" spans="1:26" ht="24.75" customHeight="1">
      <c r="A942" s="268"/>
      <c r="B942" s="268"/>
      <c r="C942" s="268"/>
      <c r="D942" s="268"/>
      <c r="E942" s="268"/>
      <c r="F942" s="268"/>
      <c r="G942" s="268"/>
      <c r="H942" s="389"/>
      <c r="I942" s="389"/>
      <c r="J942" s="389"/>
      <c r="K942" s="268"/>
      <c r="L942" s="268"/>
      <c r="M942" s="268"/>
      <c r="N942" s="310"/>
      <c r="O942" s="268"/>
      <c r="P942" s="309"/>
      <c r="Q942" s="381"/>
      <c r="R942" s="268"/>
      <c r="S942" s="313"/>
      <c r="T942" s="313"/>
      <c r="U942" s="268"/>
      <c r="V942" s="268"/>
      <c r="W942" s="268"/>
      <c r="X942" s="268"/>
      <c r="Y942" s="268"/>
      <c r="Z942" s="268"/>
    </row>
    <row r="943" spans="1:26" ht="24.75" customHeight="1">
      <c r="A943" s="268"/>
      <c r="B943" s="268"/>
      <c r="C943" s="268"/>
      <c r="D943" s="268"/>
      <c r="E943" s="268"/>
      <c r="F943" s="268"/>
      <c r="G943" s="268"/>
      <c r="H943" s="389"/>
      <c r="I943" s="389"/>
      <c r="J943" s="389"/>
      <c r="K943" s="268"/>
      <c r="L943" s="268"/>
      <c r="M943" s="268"/>
      <c r="N943" s="310"/>
      <c r="O943" s="268"/>
      <c r="P943" s="309"/>
      <c r="Q943" s="381"/>
      <c r="R943" s="268"/>
      <c r="S943" s="313"/>
      <c r="T943" s="313"/>
      <c r="U943" s="268"/>
      <c r="V943" s="268"/>
      <c r="W943" s="268"/>
      <c r="X943" s="268"/>
      <c r="Y943" s="268"/>
      <c r="Z943" s="268"/>
    </row>
    <row r="944" spans="1:26" ht="24.75" customHeight="1">
      <c r="A944" s="268"/>
      <c r="B944" s="268"/>
      <c r="C944" s="268"/>
      <c r="D944" s="268"/>
      <c r="E944" s="268"/>
      <c r="F944" s="268"/>
      <c r="G944" s="268"/>
      <c r="H944" s="389"/>
      <c r="I944" s="389"/>
      <c r="J944" s="389"/>
      <c r="K944" s="268"/>
      <c r="L944" s="268"/>
      <c r="M944" s="268"/>
      <c r="N944" s="310"/>
      <c r="O944" s="268"/>
      <c r="P944" s="309"/>
      <c r="Q944" s="381"/>
      <c r="R944" s="268"/>
      <c r="S944" s="313"/>
      <c r="T944" s="313"/>
      <c r="U944" s="268"/>
      <c r="V944" s="268"/>
      <c r="W944" s="268"/>
      <c r="X944" s="268"/>
      <c r="Y944" s="268"/>
      <c r="Z944" s="268"/>
    </row>
    <row r="945" spans="1:26" ht="24.75" customHeight="1">
      <c r="A945" s="268"/>
      <c r="B945" s="268"/>
      <c r="C945" s="268"/>
      <c r="D945" s="268"/>
      <c r="E945" s="268"/>
      <c r="F945" s="268"/>
      <c r="G945" s="268"/>
      <c r="H945" s="389"/>
      <c r="I945" s="389"/>
      <c r="J945" s="389"/>
      <c r="K945" s="268"/>
      <c r="L945" s="268"/>
      <c r="M945" s="268"/>
      <c r="N945" s="310"/>
      <c r="O945" s="268"/>
      <c r="P945" s="309"/>
      <c r="Q945" s="381"/>
      <c r="R945" s="268"/>
      <c r="S945" s="313"/>
      <c r="T945" s="313"/>
      <c r="U945" s="268"/>
      <c r="V945" s="268"/>
      <c r="W945" s="268"/>
      <c r="X945" s="268"/>
      <c r="Y945" s="268"/>
      <c r="Z945" s="268"/>
    </row>
    <row r="946" spans="1:26" ht="24.75" customHeight="1">
      <c r="A946" s="268"/>
      <c r="B946" s="268"/>
      <c r="C946" s="268"/>
      <c r="D946" s="268"/>
      <c r="E946" s="268"/>
      <c r="F946" s="268"/>
      <c r="G946" s="268"/>
      <c r="H946" s="389"/>
      <c r="I946" s="389"/>
      <c r="J946" s="389"/>
      <c r="K946" s="268"/>
      <c r="L946" s="268"/>
      <c r="M946" s="268"/>
      <c r="N946" s="310"/>
      <c r="O946" s="268"/>
      <c r="P946" s="309"/>
      <c r="Q946" s="381"/>
      <c r="R946" s="268"/>
      <c r="S946" s="313"/>
      <c r="T946" s="313"/>
      <c r="U946" s="268"/>
      <c r="V946" s="268"/>
      <c r="W946" s="268"/>
      <c r="X946" s="268"/>
      <c r="Y946" s="268"/>
      <c r="Z946" s="268"/>
    </row>
    <row r="947" spans="1:26" ht="24.75" customHeight="1">
      <c r="A947" s="268"/>
      <c r="B947" s="268"/>
      <c r="C947" s="268"/>
      <c r="D947" s="268"/>
      <c r="E947" s="268"/>
      <c r="F947" s="268"/>
      <c r="G947" s="268"/>
      <c r="H947" s="389"/>
      <c r="I947" s="389"/>
      <c r="J947" s="389"/>
      <c r="K947" s="268"/>
      <c r="L947" s="268"/>
      <c r="M947" s="268"/>
      <c r="N947" s="310"/>
      <c r="O947" s="268"/>
      <c r="P947" s="309"/>
      <c r="Q947" s="381"/>
      <c r="R947" s="268"/>
      <c r="S947" s="313"/>
      <c r="T947" s="313"/>
      <c r="U947" s="268"/>
      <c r="V947" s="268"/>
      <c r="W947" s="268"/>
      <c r="X947" s="268"/>
      <c r="Y947" s="268"/>
      <c r="Z947" s="268"/>
    </row>
    <row r="948" spans="1:26" ht="24.75" customHeight="1">
      <c r="A948" s="268"/>
      <c r="B948" s="268"/>
      <c r="C948" s="268"/>
      <c r="D948" s="268"/>
      <c r="E948" s="268"/>
      <c r="F948" s="268"/>
      <c r="G948" s="268"/>
      <c r="H948" s="389"/>
      <c r="I948" s="389"/>
      <c r="J948" s="389"/>
      <c r="K948" s="268"/>
      <c r="L948" s="268"/>
      <c r="M948" s="268"/>
      <c r="N948" s="310"/>
      <c r="O948" s="268"/>
      <c r="P948" s="309"/>
      <c r="Q948" s="381"/>
      <c r="R948" s="268"/>
      <c r="S948" s="313"/>
      <c r="T948" s="313"/>
      <c r="U948" s="268"/>
      <c r="V948" s="268"/>
      <c r="W948" s="268"/>
      <c r="X948" s="268"/>
      <c r="Y948" s="268"/>
      <c r="Z948" s="268"/>
    </row>
    <row r="949" spans="1:26" ht="24.75" customHeight="1">
      <c r="A949" s="268"/>
      <c r="B949" s="268"/>
      <c r="C949" s="268"/>
      <c r="D949" s="268"/>
      <c r="E949" s="268"/>
      <c r="F949" s="268"/>
      <c r="G949" s="268"/>
      <c r="H949" s="389"/>
      <c r="I949" s="389"/>
      <c r="J949" s="389"/>
      <c r="K949" s="268"/>
      <c r="L949" s="268"/>
      <c r="M949" s="268"/>
      <c r="N949" s="310"/>
      <c r="O949" s="268"/>
      <c r="P949" s="309"/>
      <c r="Q949" s="381"/>
      <c r="R949" s="268"/>
      <c r="S949" s="313"/>
      <c r="T949" s="313"/>
      <c r="U949" s="268"/>
      <c r="V949" s="268"/>
      <c r="W949" s="268"/>
      <c r="X949" s="268"/>
      <c r="Y949" s="268"/>
      <c r="Z949" s="268"/>
    </row>
    <row r="950" spans="1:26" ht="24.75" customHeight="1">
      <c r="A950" s="268"/>
      <c r="B950" s="268"/>
      <c r="C950" s="268"/>
      <c r="D950" s="268"/>
      <c r="E950" s="268"/>
      <c r="F950" s="268"/>
      <c r="G950" s="268"/>
      <c r="H950" s="389"/>
      <c r="I950" s="389"/>
      <c r="J950" s="389"/>
      <c r="K950" s="268"/>
      <c r="L950" s="268"/>
      <c r="M950" s="268"/>
      <c r="N950" s="310"/>
      <c r="O950" s="268"/>
      <c r="P950" s="309"/>
      <c r="Q950" s="381"/>
      <c r="R950" s="268"/>
      <c r="S950" s="313"/>
      <c r="T950" s="313"/>
      <c r="U950" s="268"/>
      <c r="V950" s="268"/>
      <c r="W950" s="268"/>
      <c r="X950" s="268"/>
      <c r="Y950" s="268"/>
      <c r="Z950" s="268"/>
    </row>
    <row r="951" spans="1:26" ht="24.75" customHeight="1">
      <c r="A951" s="268"/>
      <c r="B951" s="268"/>
      <c r="C951" s="268"/>
      <c r="D951" s="268"/>
      <c r="E951" s="268"/>
      <c r="F951" s="268"/>
      <c r="G951" s="268"/>
      <c r="H951" s="389"/>
      <c r="I951" s="389"/>
      <c r="J951" s="389"/>
      <c r="K951" s="268"/>
      <c r="L951" s="268"/>
      <c r="M951" s="268"/>
      <c r="N951" s="310"/>
      <c r="O951" s="268"/>
      <c r="P951" s="309"/>
      <c r="Q951" s="381"/>
      <c r="R951" s="268"/>
      <c r="S951" s="313"/>
      <c r="T951" s="313"/>
      <c r="U951" s="268"/>
      <c r="V951" s="268"/>
      <c r="W951" s="268"/>
      <c r="X951" s="268"/>
      <c r="Y951" s="268"/>
      <c r="Z951" s="268"/>
    </row>
    <row r="952" spans="1:26" ht="24.75" customHeight="1">
      <c r="A952" s="268"/>
      <c r="B952" s="268"/>
      <c r="C952" s="268"/>
      <c r="D952" s="268"/>
      <c r="E952" s="268"/>
      <c r="F952" s="268"/>
      <c r="G952" s="268"/>
      <c r="H952" s="389"/>
      <c r="I952" s="389"/>
      <c r="J952" s="389"/>
      <c r="K952" s="268"/>
      <c r="L952" s="268"/>
      <c r="M952" s="268"/>
      <c r="N952" s="310"/>
      <c r="O952" s="268"/>
      <c r="P952" s="309"/>
      <c r="Q952" s="381"/>
      <c r="R952" s="268"/>
      <c r="S952" s="313"/>
      <c r="T952" s="313"/>
      <c r="U952" s="268"/>
      <c r="V952" s="268"/>
      <c r="W952" s="268"/>
      <c r="X952" s="268"/>
      <c r="Y952" s="268"/>
      <c r="Z952" s="268"/>
    </row>
    <row r="953" spans="1:26" ht="24.75" customHeight="1">
      <c r="A953" s="268"/>
      <c r="B953" s="268"/>
      <c r="C953" s="268"/>
      <c r="D953" s="268"/>
      <c r="E953" s="268"/>
      <c r="F953" s="268"/>
      <c r="G953" s="268"/>
      <c r="H953" s="389"/>
      <c r="I953" s="389"/>
      <c r="J953" s="389"/>
      <c r="K953" s="268"/>
      <c r="L953" s="268"/>
      <c r="M953" s="268"/>
      <c r="N953" s="310"/>
      <c r="O953" s="268"/>
      <c r="P953" s="309"/>
      <c r="Q953" s="381"/>
      <c r="R953" s="268"/>
      <c r="S953" s="313"/>
      <c r="T953" s="313"/>
      <c r="U953" s="268"/>
      <c r="V953" s="268"/>
      <c r="W953" s="268"/>
      <c r="X953" s="268"/>
      <c r="Y953" s="268"/>
      <c r="Z953" s="268"/>
    </row>
    <row r="954" spans="1:26" ht="24.75" customHeight="1">
      <c r="A954" s="268"/>
      <c r="B954" s="268"/>
      <c r="C954" s="268"/>
      <c r="D954" s="268"/>
      <c r="E954" s="268"/>
      <c r="F954" s="268"/>
      <c r="G954" s="268"/>
      <c r="H954" s="389"/>
      <c r="I954" s="389"/>
      <c r="J954" s="389"/>
      <c r="K954" s="268"/>
      <c r="L954" s="268"/>
      <c r="M954" s="268"/>
      <c r="N954" s="310"/>
      <c r="O954" s="268"/>
      <c r="P954" s="309"/>
      <c r="Q954" s="381"/>
      <c r="R954" s="268"/>
      <c r="S954" s="313"/>
      <c r="T954" s="313"/>
      <c r="U954" s="268"/>
      <c r="V954" s="268"/>
      <c r="W954" s="268"/>
      <c r="X954" s="268"/>
      <c r="Y954" s="268"/>
      <c r="Z954" s="268"/>
    </row>
    <row r="955" spans="1:26" ht="24.75" customHeight="1">
      <c r="A955" s="268"/>
      <c r="B955" s="268"/>
      <c r="C955" s="268"/>
      <c r="D955" s="268"/>
      <c r="E955" s="268"/>
      <c r="F955" s="268"/>
      <c r="G955" s="268"/>
      <c r="H955" s="389"/>
      <c r="I955" s="389"/>
      <c r="J955" s="389"/>
      <c r="K955" s="268"/>
      <c r="L955" s="268"/>
      <c r="M955" s="268"/>
      <c r="N955" s="310"/>
      <c r="O955" s="268"/>
      <c r="P955" s="309"/>
      <c r="Q955" s="381"/>
      <c r="R955" s="268"/>
      <c r="S955" s="313"/>
      <c r="T955" s="313"/>
      <c r="U955" s="268"/>
      <c r="V955" s="268"/>
      <c r="W955" s="268"/>
      <c r="X955" s="268"/>
      <c r="Y955" s="268"/>
      <c r="Z955" s="268"/>
    </row>
    <row r="956" spans="1:26" ht="24.75" customHeight="1">
      <c r="A956" s="268"/>
      <c r="B956" s="268"/>
      <c r="C956" s="268"/>
      <c r="D956" s="268"/>
      <c r="E956" s="268"/>
      <c r="F956" s="268"/>
      <c r="G956" s="268"/>
      <c r="H956" s="389"/>
      <c r="I956" s="389"/>
      <c r="J956" s="389"/>
      <c r="K956" s="268"/>
      <c r="L956" s="268"/>
      <c r="M956" s="268"/>
      <c r="N956" s="310"/>
      <c r="O956" s="268"/>
      <c r="P956" s="309"/>
      <c r="Q956" s="381"/>
      <c r="R956" s="268"/>
      <c r="S956" s="313"/>
      <c r="T956" s="313"/>
      <c r="U956" s="268"/>
      <c r="V956" s="268"/>
      <c r="W956" s="268"/>
      <c r="X956" s="268"/>
      <c r="Y956" s="268"/>
      <c r="Z956" s="268"/>
    </row>
    <row r="957" spans="1:26" ht="24.75" customHeight="1">
      <c r="A957" s="268"/>
      <c r="B957" s="268"/>
      <c r="C957" s="268"/>
      <c r="D957" s="268"/>
      <c r="E957" s="268"/>
      <c r="F957" s="268"/>
      <c r="G957" s="268"/>
      <c r="H957" s="389"/>
      <c r="I957" s="389"/>
      <c r="J957" s="389"/>
      <c r="K957" s="268"/>
      <c r="L957" s="268"/>
      <c r="M957" s="268"/>
      <c r="N957" s="310"/>
      <c r="O957" s="268"/>
      <c r="P957" s="309"/>
      <c r="Q957" s="381"/>
      <c r="R957" s="268"/>
      <c r="S957" s="313"/>
      <c r="T957" s="313"/>
      <c r="U957" s="268"/>
      <c r="V957" s="268"/>
      <c r="W957" s="268"/>
      <c r="X957" s="268"/>
      <c r="Y957" s="268"/>
      <c r="Z957" s="268"/>
    </row>
    <row r="958" spans="1:26" ht="24.75" customHeight="1">
      <c r="A958" s="268"/>
      <c r="B958" s="268"/>
      <c r="C958" s="268"/>
      <c r="D958" s="268"/>
      <c r="E958" s="268"/>
      <c r="F958" s="268"/>
      <c r="G958" s="268"/>
      <c r="H958" s="389"/>
      <c r="I958" s="389"/>
      <c r="J958" s="389"/>
      <c r="K958" s="268"/>
      <c r="L958" s="268"/>
      <c r="M958" s="268"/>
      <c r="N958" s="310"/>
      <c r="O958" s="268"/>
      <c r="P958" s="309"/>
      <c r="Q958" s="381"/>
      <c r="R958" s="268"/>
      <c r="S958" s="313"/>
      <c r="T958" s="313"/>
      <c r="U958" s="268"/>
      <c r="V958" s="268"/>
      <c r="W958" s="268"/>
      <c r="X958" s="268"/>
      <c r="Y958" s="268"/>
      <c r="Z958" s="268"/>
    </row>
    <row r="959" spans="1:26" ht="24.75" customHeight="1">
      <c r="A959" s="268"/>
      <c r="B959" s="268"/>
      <c r="C959" s="268"/>
      <c r="D959" s="268"/>
      <c r="E959" s="268"/>
      <c r="F959" s="268"/>
      <c r="G959" s="268"/>
      <c r="H959" s="389"/>
      <c r="I959" s="389"/>
      <c r="J959" s="389"/>
      <c r="K959" s="268"/>
      <c r="L959" s="268"/>
      <c r="M959" s="268"/>
      <c r="N959" s="310"/>
      <c r="O959" s="268"/>
      <c r="P959" s="309"/>
      <c r="Q959" s="381"/>
      <c r="R959" s="268"/>
      <c r="S959" s="313"/>
      <c r="T959" s="313"/>
      <c r="U959" s="268"/>
      <c r="V959" s="268"/>
      <c r="W959" s="268"/>
      <c r="X959" s="268"/>
      <c r="Y959" s="268"/>
      <c r="Z959" s="268"/>
    </row>
    <row r="960" spans="1:26" ht="24.75" customHeight="1">
      <c r="A960" s="268"/>
      <c r="B960" s="268"/>
      <c r="C960" s="268"/>
      <c r="D960" s="268"/>
      <c r="E960" s="268"/>
      <c r="F960" s="268"/>
      <c r="G960" s="268"/>
      <c r="H960" s="389"/>
      <c r="I960" s="389"/>
      <c r="J960" s="389"/>
      <c r="K960" s="268"/>
      <c r="L960" s="268"/>
      <c r="M960" s="268"/>
      <c r="N960" s="310"/>
      <c r="O960" s="268"/>
      <c r="P960" s="309"/>
      <c r="Q960" s="381"/>
      <c r="R960" s="268"/>
      <c r="S960" s="313"/>
      <c r="T960" s="313"/>
      <c r="U960" s="268"/>
      <c r="V960" s="268"/>
      <c r="W960" s="268"/>
      <c r="X960" s="268"/>
      <c r="Y960" s="268"/>
      <c r="Z960" s="268"/>
    </row>
    <row r="961" spans="1:26" ht="24.75" customHeight="1">
      <c r="A961" s="268"/>
      <c r="B961" s="268"/>
      <c r="C961" s="268"/>
      <c r="D961" s="268"/>
      <c r="E961" s="268"/>
      <c r="F961" s="268"/>
      <c r="G961" s="268"/>
      <c r="H961" s="389"/>
      <c r="I961" s="389"/>
      <c r="J961" s="389"/>
      <c r="K961" s="268"/>
      <c r="L961" s="268"/>
      <c r="M961" s="268"/>
      <c r="N961" s="310"/>
      <c r="O961" s="268"/>
      <c r="P961" s="309"/>
      <c r="Q961" s="381"/>
      <c r="R961" s="268"/>
      <c r="S961" s="313"/>
      <c r="T961" s="313"/>
      <c r="U961" s="268"/>
      <c r="V961" s="268"/>
      <c r="W961" s="268"/>
      <c r="X961" s="268"/>
      <c r="Y961" s="268"/>
      <c r="Z961" s="268"/>
    </row>
    <row r="962" spans="1:26" ht="24.75" customHeight="1">
      <c r="A962" s="268"/>
      <c r="B962" s="268"/>
      <c r="C962" s="268"/>
      <c r="D962" s="268"/>
      <c r="E962" s="268"/>
      <c r="F962" s="268"/>
      <c r="G962" s="268"/>
      <c r="H962" s="389"/>
      <c r="I962" s="389"/>
      <c r="J962" s="389"/>
      <c r="K962" s="268"/>
      <c r="L962" s="268"/>
      <c r="M962" s="268"/>
      <c r="N962" s="310"/>
      <c r="O962" s="268"/>
      <c r="P962" s="309"/>
      <c r="Q962" s="381"/>
      <c r="R962" s="268"/>
      <c r="S962" s="313"/>
      <c r="T962" s="313"/>
      <c r="U962" s="268"/>
      <c r="V962" s="268"/>
      <c r="W962" s="268"/>
      <c r="X962" s="268"/>
      <c r="Y962" s="268"/>
      <c r="Z962" s="268"/>
    </row>
    <row r="963" spans="1:26" ht="24.75" customHeight="1">
      <c r="A963" s="268"/>
      <c r="B963" s="268"/>
      <c r="C963" s="268"/>
      <c r="D963" s="268"/>
      <c r="E963" s="268"/>
      <c r="F963" s="268"/>
      <c r="G963" s="268"/>
      <c r="H963" s="389"/>
      <c r="I963" s="389"/>
      <c r="J963" s="389"/>
      <c r="K963" s="268"/>
      <c r="L963" s="268"/>
      <c r="M963" s="268"/>
      <c r="N963" s="310"/>
      <c r="O963" s="268"/>
      <c r="P963" s="309"/>
      <c r="Q963" s="381"/>
      <c r="R963" s="268"/>
      <c r="S963" s="313"/>
      <c r="T963" s="313"/>
      <c r="U963" s="268"/>
      <c r="V963" s="268"/>
      <c r="W963" s="268"/>
      <c r="X963" s="268"/>
      <c r="Y963" s="268"/>
      <c r="Z963" s="268"/>
    </row>
    <row r="964" spans="1:26" ht="24.75" customHeight="1">
      <c r="A964" s="268"/>
      <c r="B964" s="268"/>
      <c r="C964" s="268"/>
      <c r="D964" s="268"/>
      <c r="E964" s="268"/>
      <c r="F964" s="268"/>
      <c r="G964" s="268"/>
      <c r="H964" s="389"/>
      <c r="I964" s="389"/>
      <c r="J964" s="389"/>
      <c r="K964" s="268"/>
      <c r="L964" s="268"/>
      <c r="M964" s="268"/>
      <c r="N964" s="310"/>
      <c r="O964" s="268"/>
      <c r="P964" s="309"/>
      <c r="Q964" s="381"/>
      <c r="R964" s="268"/>
      <c r="S964" s="313"/>
      <c r="T964" s="313"/>
      <c r="U964" s="268"/>
      <c r="V964" s="268"/>
      <c r="W964" s="268"/>
      <c r="X964" s="268"/>
      <c r="Y964" s="268"/>
      <c r="Z964" s="268"/>
    </row>
    <row r="965" spans="1:26" ht="24.75" customHeight="1">
      <c r="A965" s="268"/>
      <c r="B965" s="268"/>
      <c r="C965" s="268"/>
      <c r="D965" s="268"/>
      <c r="E965" s="268"/>
      <c r="F965" s="268"/>
      <c r="G965" s="268"/>
      <c r="H965" s="389"/>
      <c r="I965" s="389"/>
      <c r="J965" s="389"/>
      <c r="K965" s="268"/>
      <c r="L965" s="268"/>
      <c r="M965" s="268"/>
      <c r="N965" s="310"/>
      <c r="O965" s="268"/>
      <c r="P965" s="309"/>
      <c r="Q965" s="381"/>
      <c r="R965" s="268"/>
      <c r="S965" s="313"/>
      <c r="T965" s="313"/>
      <c r="U965" s="268"/>
      <c r="V965" s="268"/>
      <c r="W965" s="268"/>
      <c r="X965" s="268"/>
      <c r="Y965" s="268"/>
      <c r="Z965" s="268"/>
    </row>
    <row r="966" spans="1:26" ht="24.75" customHeight="1">
      <c r="A966" s="268"/>
      <c r="B966" s="268"/>
      <c r="C966" s="268"/>
      <c r="D966" s="268"/>
      <c r="E966" s="268"/>
      <c r="F966" s="268"/>
      <c r="G966" s="268"/>
      <c r="H966" s="389"/>
      <c r="I966" s="389"/>
      <c r="J966" s="389"/>
      <c r="K966" s="268"/>
      <c r="L966" s="268"/>
      <c r="M966" s="268"/>
      <c r="N966" s="310"/>
      <c r="O966" s="268"/>
      <c r="P966" s="309"/>
      <c r="Q966" s="381"/>
      <c r="R966" s="268"/>
      <c r="S966" s="313"/>
      <c r="T966" s="313"/>
      <c r="U966" s="268"/>
      <c r="V966" s="268"/>
      <c r="W966" s="268"/>
      <c r="X966" s="268"/>
      <c r="Y966" s="268"/>
      <c r="Z966" s="268"/>
    </row>
    <row r="967" spans="1:26" ht="24.75" customHeight="1">
      <c r="A967" s="268"/>
      <c r="B967" s="268"/>
      <c r="C967" s="268"/>
      <c r="D967" s="268"/>
      <c r="E967" s="268"/>
      <c r="F967" s="268"/>
      <c r="G967" s="268"/>
      <c r="H967" s="389"/>
      <c r="I967" s="389"/>
      <c r="J967" s="389"/>
      <c r="K967" s="268"/>
      <c r="L967" s="268"/>
      <c r="M967" s="268"/>
      <c r="N967" s="310"/>
      <c r="O967" s="268"/>
      <c r="P967" s="309"/>
      <c r="Q967" s="381"/>
      <c r="R967" s="268"/>
      <c r="S967" s="313"/>
      <c r="T967" s="313"/>
      <c r="U967" s="268"/>
      <c r="V967" s="268"/>
      <c r="W967" s="268"/>
      <c r="X967" s="268"/>
      <c r="Y967" s="268"/>
      <c r="Z967" s="268"/>
    </row>
    <row r="968" spans="1:26" ht="24.75" customHeight="1">
      <c r="A968" s="268"/>
      <c r="B968" s="268"/>
      <c r="C968" s="268"/>
      <c r="D968" s="268"/>
      <c r="E968" s="268"/>
      <c r="F968" s="268"/>
      <c r="G968" s="268"/>
      <c r="H968" s="389"/>
      <c r="I968" s="389"/>
      <c r="J968" s="389"/>
      <c r="K968" s="268"/>
      <c r="L968" s="268"/>
      <c r="M968" s="268"/>
      <c r="N968" s="310"/>
      <c r="O968" s="268"/>
      <c r="P968" s="309"/>
      <c r="Q968" s="381"/>
      <c r="R968" s="268"/>
      <c r="S968" s="313"/>
      <c r="T968" s="313"/>
      <c r="U968" s="268"/>
      <c r="V968" s="268"/>
      <c r="W968" s="268"/>
      <c r="X968" s="268"/>
      <c r="Y968" s="268"/>
      <c r="Z968" s="268"/>
    </row>
    <row r="969" spans="1:26" ht="24.75" customHeight="1">
      <c r="A969" s="268"/>
      <c r="B969" s="268"/>
      <c r="C969" s="268"/>
      <c r="D969" s="268"/>
      <c r="E969" s="268"/>
      <c r="F969" s="268"/>
      <c r="G969" s="268"/>
      <c r="H969" s="389"/>
      <c r="I969" s="389"/>
      <c r="J969" s="389"/>
      <c r="K969" s="268"/>
      <c r="L969" s="268"/>
      <c r="M969" s="268"/>
      <c r="N969" s="310"/>
      <c r="O969" s="268"/>
      <c r="P969" s="309"/>
      <c r="Q969" s="381"/>
      <c r="R969" s="268"/>
      <c r="S969" s="313"/>
      <c r="T969" s="313"/>
      <c r="U969" s="268"/>
      <c r="V969" s="268"/>
      <c r="W969" s="268"/>
      <c r="X969" s="268"/>
      <c r="Y969" s="268"/>
      <c r="Z969" s="268"/>
    </row>
    <row r="970" spans="1:26" ht="24.75" customHeight="1">
      <c r="A970" s="268"/>
      <c r="B970" s="268"/>
      <c r="C970" s="268"/>
      <c r="D970" s="268"/>
      <c r="E970" s="268"/>
      <c r="F970" s="268"/>
      <c r="G970" s="268"/>
      <c r="H970" s="389"/>
      <c r="I970" s="389"/>
      <c r="J970" s="389"/>
      <c r="K970" s="268"/>
      <c r="L970" s="268"/>
      <c r="M970" s="268"/>
      <c r="N970" s="310"/>
      <c r="O970" s="268"/>
      <c r="P970" s="309"/>
      <c r="Q970" s="381"/>
      <c r="R970" s="268"/>
      <c r="S970" s="313"/>
      <c r="T970" s="313"/>
      <c r="U970" s="268"/>
      <c r="V970" s="268"/>
      <c r="W970" s="268"/>
      <c r="X970" s="268"/>
      <c r="Y970" s="268"/>
      <c r="Z970" s="268"/>
    </row>
    <row r="971" spans="1:26" ht="24.75" customHeight="1">
      <c r="A971" s="268"/>
      <c r="B971" s="268"/>
      <c r="C971" s="268"/>
      <c r="D971" s="268"/>
      <c r="E971" s="268"/>
      <c r="F971" s="268"/>
      <c r="G971" s="268"/>
      <c r="H971" s="389"/>
      <c r="I971" s="389"/>
      <c r="J971" s="389"/>
      <c r="K971" s="268"/>
      <c r="L971" s="268"/>
      <c r="M971" s="268"/>
      <c r="N971" s="310"/>
      <c r="O971" s="268"/>
      <c r="P971" s="309"/>
      <c r="Q971" s="381"/>
      <c r="R971" s="268"/>
      <c r="S971" s="313"/>
      <c r="T971" s="313"/>
      <c r="U971" s="268"/>
      <c r="V971" s="268"/>
      <c r="W971" s="268"/>
      <c r="X971" s="268"/>
      <c r="Y971" s="268"/>
      <c r="Z971" s="268"/>
    </row>
    <row r="972" spans="1:26" ht="24.75" customHeight="1">
      <c r="A972" s="268"/>
      <c r="B972" s="268"/>
      <c r="C972" s="268"/>
      <c r="D972" s="268"/>
      <c r="E972" s="268"/>
      <c r="F972" s="268"/>
      <c r="G972" s="268"/>
      <c r="H972" s="389"/>
      <c r="I972" s="389"/>
      <c r="J972" s="389"/>
      <c r="K972" s="268"/>
      <c r="L972" s="268"/>
      <c r="M972" s="268"/>
      <c r="N972" s="310"/>
      <c r="O972" s="268"/>
      <c r="P972" s="309"/>
      <c r="Q972" s="381"/>
      <c r="R972" s="268"/>
      <c r="S972" s="313"/>
      <c r="T972" s="313"/>
      <c r="U972" s="268"/>
      <c r="V972" s="268"/>
      <c r="W972" s="268"/>
      <c r="X972" s="268"/>
      <c r="Y972" s="268"/>
      <c r="Z972" s="268"/>
    </row>
    <row r="973" spans="1:26" ht="24.75" customHeight="1">
      <c r="A973" s="268"/>
      <c r="B973" s="268"/>
      <c r="C973" s="268"/>
      <c r="D973" s="268"/>
      <c r="E973" s="268"/>
      <c r="F973" s="268"/>
      <c r="G973" s="268"/>
      <c r="H973" s="389"/>
      <c r="I973" s="389"/>
      <c r="J973" s="389"/>
      <c r="K973" s="268"/>
      <c r="L973" s="268"/>
      <c r="M973" s="268"/>
      <c r="N973" s="310"/>
      <c r="O973" s="268"/>
      <c r="P973" s="309"/>
      <c r="Q973" s="381"/>
      <c r="R973" s="268"/>
      <c r="S973" s="313"/>
      <c r="T973" s="313"/>
      <c r="U973" s="268"/>
      <c r="V973" s="268"/>
      <c r="W973" s="268"/>
      <c r="X973" s="268"/>
      <c r="Y973" s="268"/>
      <c r="Z973" s="268"/>
    </row>
    <row r="974" spans="1:26" ht="24.75" customHeight="1">
      <c r="A974" s="268"/>
      <c r="B974" s="268"/>
      <c r="C974" s="268"/>
      <c r="D974" s="268"/>
      <c r="E974" s="268"/>
      <c r="F974" s="268"/>
      <c r="G974" s="268"/>
      <c r="H974" s="389"/>
      <c r="I974" s="389"/>
      <c r="J974" s="389"/>
      <c r="K974" s="268"/>
      <c r="L974" s="268"/>
      <c r="M974" s="268"/>
      <c r="N974" s="310"/>
      <c r="O974" s="268"/>
      <c r="P974" s="309"/>
      <c r="Q974" s="381"/>
      <c r="R974" s="268"/>
      <c r="S974" s="313"/>
      <c r="T974" s="313"/>
      <c r="U974" s="268"/>
      <c r="V974" s="268"/>
      <c r="W974" s="268"/>
      <c r="X974" s="268"/>
      <c r="Y974" s="268"/>
      <c r="Z974" s="268"/>
    </row>
    <row r="975" spans="1:26" ht="24.75" customHeight="1">
      <c r="A975" s="268"/>
      <c r="B975" s="268"/>
      <c r="C975" s="268"/>
      <c r="D975" s="268"/>
      <c r="E975" s="268"/>
      <c r="F975" s="268"/>
      <c r="G975" s="268"/>
      <c r="H975" s="389"/>
      <c r="I975" s="389"/>
      <c r="J975" s="389"/>
      <c r="K975" s="268"/>
      <c r="L975" s="268"/>
      <c r="M975" s="268"/>
      <c r="N975" s="310"/>
      <c r="O975" s="268"/>
      <c r="P975" s="309"/>
      <c r="Q975" s="381"/>
      <c r="R975" s="268"/>
      <c r="S975" s="313"/>
      <c r="T975" s="313"/>
      <c r="U975" s="268"/>
      <c r="V975" s="268"/>
      <c r="W975" s="268"/>
      <c r="X975" s="268"/>
      <c r="Y975" s="268"/>
      <c r="Z975" s="268"/>
    </row>
    <row r="976" spans="1:26" ht="24.75" customHeight="1">
      <c r="A976" s="268"/>
      <c r="B976" s="268"/>
      <c r="C976" s="268"/>
      <c r="D976" s="268"/>
      <c r="E976" s="268"/>
      <c r="F976" s="268"/>
      <c r="G976" s="268"/>
      <c r="H976" s="389"/>
      <c r="I976" s="389"/>
      <c r="J976" s="389"/>
      <c r="K976" s="268"/>
      <c r="L976" s="268"/>
      <c r="M976" s="268"/>
      <c r="N976" s="310"/>
      <c r="O976" s="268"/>
      <c r="P976" s="309"/>
      <c r="Q976" s="381"/>
      <c r="R976" s="268"/>
      <c r="S976" s="313"/>
      <c r="T976" s="313"/>
      <c r="U976" s="268"/>
      <c r="V976" s="268"/>
      <c r="W976" s="268"/>
      <c r="X976" s="268"/>
      <c r="Y976" s="268"/>
      <c r="Z976" s="268"/>
    </row>
    <row r="977" spans="1:26" ht="24.75" customHeight="1">
      <c r="A977" s="268"/>
      <c r="B977" s="268"/>
      <c r="C977" s="268"/>
      <c r="D977" s="268"/>
      <c r="E977" s="268"/>
      <c r="F977" s="268"/>
      <c r="G977" s="268"/>
      <c r="H977" s="389"/>
      <c r="I977" s="389"/>
      <c r="J977" s="389"/>
      <c r="K977" s="268"/>
      <c r="L977" s="268"/>
      <c r="M977" s="268"/>
      <c r="N977" s="310"/>
      <c r="O977" s="268"/>
      <c r="P977" s="309"/>
      <c r="Q977" s="381"/>
      <c r="R977" s="268"/>
      <c r="S977" s="313"/>
      <c r="T977" s="313"/>
      <c r="U977" s="268"/>
      <c r="V977" s="268"/>
      <c r="W977" s="268"/>
      <c r="X977" s="268"/>
      <c r="Y977" s="268"/>
      <c r="Z977" s="268"/>
    </row>
    <row r="978" spans="1:26" ht="24.75" customHeight="1">
      <c r="A978" s="268"/>
      <c r="B978" s="268"/>
      <c r="C978" s="268"/>
      <c r="D978" s="268"/>
      <c r="E978" s="268"/>
      <c r="F978" s="268"/>
      <c r="G978" s="268"/>
      <c r="H978" s="389"/>
      <c r="I978" s="389"/>
      <c r="J978" s="389"/>
      <c r="K978" s="268"/>
      <c r="L978" s="268"/>
      <c r="M978" s="268"/>
      <c r="N978" s="310"/>
      <c r="O978" s="268"/>
      <c r="P978" s="309"/>
      <c r="Q978" s="381"/>
      <c r="R978" s="268"/>
      <c r="S978" s="313"/>
      <c r="T978" s="313"/>
      <c r="U978" s="268"/>
      <c r="V978" s="268"/>
      <c r="W978" s="268"/>
      <c r="X978" s="268"/>
      <c r="Y978" s="268"/>
      <c r="Z978" s="268"/>
    </row>
    <row r="979" spans="1:26" ht="24.75" customHeight="1">
      <c r="A979" s="268"/>
      <c r="B979" s="268"/>
      <c r="C979" s="268"/>
      <c r="D979" s="268"/>
      <c r="E979" s="268"/>
      <c r="F979" s="268"/>
      <c r="G979" s="268"/>
      <c r="H979" s="389"/>
      <c r="I979" s="389"/>
      <c r="J979" s="389"/>
      <c r="K979" s="268"/>
      <c r="L979" s="268"/>
      <c r="M979" s="268"/>
      <c r="N979" s="310"/>
      <c r="O979" s="268"/>
      <c r="P979" s="309"/>
      <c r="Q979" s="381"/>
      <c r="R979" s="268"/>
      <c r="S979" s="313"/>
      <c r="T979" s="313"/>
      <c r="U979" s="268"/>
      <c r="V979" s="268"/>
      <c r="W979" s="268"/>
      <c r="X979" s="268"/>
      <c r="Y979" s="268"/>
      <c r="Z979" s="268"/>
    </row>
    <row r="980" spans="1:26" ht="24.75" customHeight="1">
      <c r="A980" s="268"/>
      <c r="B980" s="268"/>
      <c r="C980" s="268"/>
      <c r="D980" s="268"/>
      <c r="E980" s="268"/>
      <c r="F980" s="268"/>
      <c r="G980" s="268"/>
      <c r="H980" s="389"/>
      <c r="I980" s="389"/>
      <c r="J980" s="389"/>
      <c r="K980" s="268"/>
      <c r="L980" s="268"/>
      <c r="M980" s="268"/>
      <c r="N980" s="310"/>
      <c r="O980" s="268"/>
      <c r="P980" s="309"/>
      <c r="Q980" s="381"/>
      <c r="R980" s="268"/>
      <c r="S980" s="313"/>
      <c r="T980" s="313"/>
      <c r="U980" s="268"/>
      <c r="V980" s="268"/>
      <c r="W980" s="268"/>
      <c r="X980" s="268"/>
      <c r="Y980" s="268"/>
      <c r="Z980" s="268"/>
    </row>
    <row r="981" spans="1:26" ht="24.75" customHeight="1">
      <c r="A981" s="268"/>
      <c r="B981" s="268"/>
      <c r="C981" s="268"/>
      <c r="D981" s="268"/>
      <c r="E981" s="268"/>
      <c r="F981" s="268"/>
      <c r="G981" s="268"/>
      <c r="H981" s="389"/>
      <c r="I981" s="389"/>
      <c r="J981" s="389"/>
      <c r="K981" s="268"/>
      <c r="L981" s="268"/>
      <c r="M981" s="268"/>
      <c r="N981" s="310"/>
      <c r="O981" s="268"/>
      <c r="P981" s="309"/>
      <c r="Q981" s="381"/>
      <c r="R981" s="268"/>
      <c r="S981" s="313"/>
      <c r="T981" s="313"/>
      <c r="U981" s="268"/>
      <c r="V981" s="268"/>
      <c r="W981" s="268"/>
      <c r="X981" s="268"/>
      <c r="Y981" s="268"/>
      <c r="Z981" s="268"/>
    </row>
    <row r="982" spans="1:26" ht="24.75" customHeight="1">
      <c r="A982" s="268"/>
      <c r="B982" s="268"/>
      <c r="C982" s="268"/>
      <c r="D982" s="268"/>
      <c r="E982" s="268"/>
      <c r="F982" s="268"/>
      <c r="G982" s="268"/>
      <c r="H982" s="389"/>
      <c r="I982" s="389"/>
      <c r="J982" s="389"/>
      <c r="K982" s="268"/>
      <c r="L982" s="268"/>
      <c r="M982" s="268"/>
      <c r="N982" s="310"/>
      <c r="O982" s="268"/>
      <c r="P982" s="309"/>
      <c r="Q982" s="381"/>
      <c r="R982" s="268"/>
      <c r="S982" s="313"/>
      <c r="T982" s="313"/>
      <c r="U982" s="268"/>
      <c r="V982" s="268"/>
      <c r="W982" s="268"/>
      <c r="X982" s="268"/>
      <c r="Y982" s="268"/>
      <c r="Z982" s="268"/>
    </row>
    <row r="983" spans="1:26" ht="24.75" customHeight="1">
      <c r="A983" s="268"/>
      <c r="B983" s="268"/>
      <c r="C983" s="268"/>
      <c r="D983" s="268"/>
      <c r="E983" s="268"/>
      <c r="F983" s="268"/>
      <c r="G983" s="268"/>
      <c r="H983" s="389"/>
      <c r="I983" s="389"/>
      <c r="J983" s="389"/>
      <c r="K983" s="268"/>
      <c r="L983" s="268"/>
      <c r="M983" s="268"/>
      <c r="N983" s="310"/>
      <c r="O983" s="268"/>
      <c r="P983" s="309"/>
      <c r="Q983" s="381"/>
      <c r="R983" s="268"/>
      <c r="S983" s="313"/>
      <c r="T983" s="313"/>
      <c r="U983" s="268"/>
      <c r="V983" s="268"/>
      <c r="W983" s="268"/>
      <c r="X983" s="268"/>
      <c r="Y983" s="268"/>
      <c r="Z983" s="268"/>
    </row>
    <row r="984" spans="1:26" ht="24.75" customHeight="1">
      <c r="A984" s="268"/>
      <c r="B984" s="268"/>
      <c r="C984" s="268"/>
      <c r="D984" s="268"/>
      <c r="E984" s="268"/>
      <c r="F984" s="268"/>
      <c r="G984" s="268"/>
      <c r="H984" s="389"/>
      <c r="I984" s="389"/>
      <c r="J984" s="389"/>
      <c r="K984" s="268"/>
      <c r="L984" s="268"/>
      <c r="M984" s="268"/>
      <c r="N984" s="310"/>
      <c r="O984" s="268"/>
      <c r="P984" s="309"/>
      <c r="Q984" s="381"/>
      <c r="R984" s="268"/>
      <c r="S984" s="313"/>
      <c r="T984" s="313"/>
      <c r="U984" s="268"/>
      <c r="V984" s="268"/>
      <c r="W984" s="268"/>
      <c r="X984" s="268"/>
      <c r="Y984" s="268"/>
      <c r="Z984" s="268"/>
    </row>
    <row r="985" spans="1:26" ht="24.75" customHeight="1">
      <c r="A985" s="268"/>
      <c r="B985" s="268"/>
      <c r="C985" s="268"/>
      <c r="D985" s="268"/>
      <c r="E985" s="268"/>
      <c r="F985" s="268"/>
      <c r="G985" s="268"/>
      <c r="H985" s="389"/>
      <c r="I985" s="389"/>
      <c r="J985" s="389"/>
      <c r="K985" s="268"/>
      <c r="L985" s="268"/>
      <c r="M985" s="268"/>
      <c r="N985" s="310"/>
      <c r="O985" s="268"/>
      <c r="P985" s="309"/>
      <c r="Q985" s="381"/>
      <c r="R985" s="268"/>
      <c r="S985" s="313"/>
      <c r="T985" s="313"/>
      <c r="U985" s="268"/>
      <c r="V985" s="268"/>
      <c r="W985" s="268"/>
      <c r="X985" s="268"/>
      <c r="Y985" s="268"/>
      <c r="Z985" s="268"/>
    </row>
    <row r="986" spans="1:26" ht="24.75" customHeight="1">
      <c r="A986" s="268"/>
      <c r="B986" s="268"/>
      <c r="C986" s="268"/>
      <c r="D986" s="268"/>
      <c r="E986" s="268"/>
      <c r="F986" s="268"/>
      <c r="G986" s="268"/>
      <c r="H986" s="389"/>
      <c r="I986" s="389"/>
      <c r="J986" s="389"/>
      <c r="K986" s="268"/>
      <c r="L986" s="268"/>
      <c r="M986" s="268"/>
      <c r="N986" s="310"/>
      <c r="O986" s="268"/>
      <c r="P986" s="309"/>
      <c r="Q986" s="381"/>
      <c r="R986" s="268"/>
      <c r="S986" s="313"/>
      <c r="T986" s="313"/>
      <c r="U986" s="268"/>
      <c r="V986" s="268"/>
      <c r="W986" s="268"/>
      <c r="X986" s="268"/>
      <c r="Y986" s="268"/>
      <c r="Z986" s="268"/>
    </row>
    <row r="987" spans="1:26" ht="24.75" customHeight="1">
      <c r="A987" s="268"/>
      <c r="B987" s="268"/>
      <c r="C987" s="268"/>
      <c r="D987" s="268"/>
      <c r="E987" s="268"/>
      <c r="F987" s="268"/>
      <c r="G987" s="268"/>
      <c r="H987" s="389"/>
      <c r="I987" s="389"/>
      <c r="J987" s="389"/>
      <c r="K987" s="268"/>
      <c r="L987" s="268"/>
      <c r="M987" s="268"/>
      <c r="N987" s="310"/>
      <c r="O987" s="268"/>
      <c r="P987" s="309"/>
      <c r="Q987" s="381"/>
      <c r="R987" s="268"/>
      <c r="S987" s="313"/>
      <c r="T987" s="313"/>
      <c r="U987" s="268"/>
      <c r="V987" s="268"/>
      <c r="W987" s="268"/>
      <c r="X987" s="268"/>
      <c r="Y987" s="268"/>
      <c r="Z987" s="268"/>
    </row>
    <row r="988" spans="1:26" ht="24.75" customHeight="1">
      <c r="A988" s="268"/>
      <c r="B988" s="268"/>
      <c r="C988" s="268"/>
      <c r="D988" s="268"/>
      <c r="E988" s="268"/>
      <c r="F988" s="268"/>
      <c r="G988" s="268"/>
      <c r="H988" s="389"/>
      <c r="I988" s="389"/>
      <c r="J988" s="389"/>
      <c r="K988" s="268"/>
      <c r="L988" s="268"/>
      <c r="M988" s="268"/>
      <c r="N988" s="310"/>
      <c r="O988" s="268"/>
      <c r="P988" s="309"/>
      <c r="Q988" s="381"/>
      <c r="R988" s="268"/>
      <c r="S988" s="313"/>
      <c r="T988" s="313"/>
      <c r="U988" s="268"/>
      <c r="V988" s="268"/>
      <c r="W988" s="268"/>
      <c r="X988" s="268"/>
      <c r="Y988" s="268"/>
      <c r="Z988" s="268"/>
    </row>
    <row r="989" spans="1:26" ht="24.75" customHeight="1">
      <c r="A989" s="268"/>
      <c r="B989" s="268"/>
      <c r="C989" s="268"/>
      <c r="D989" s="268"/>
      <c r="E989" s="268"/>
      <c r="F989" s="268"/>
      <c r="G989" s="268"/>
      <c r="H989" s="389"/>
      <c r="I989" s="389"/>
      <c r="J989" s="389"/>
      <c r="K989" s="268"/>
      <c r="L989" s="268"/>
      <c r="M989" s="268"/>
      <c r="N989" s="310"/>
      <c r="O989" s="268"/>
      <c r="P989" s="309"/>
      <c r="Q989" s="381"/>
      <c r="R989" s="268"/>
      <c r="S989" s="313"/>
      <c r="T989" s="313"/>
      <c r="U989" s="268"/>
      <c r="V989" s="268"/>
      <c r="W989" s="268"/>
      <c r="X989" s="268"/>
      <c r="Y989" s="268"/>
      <c r="Z989" s="268"/>
    </row>
    <row r="990" spans="1:26" ht="24.75" customHeight="1">
      <c r="A990" s="268"/>
      <c r="B990" s="268"/>
      <c r="C990" s="268"/>
      <c r="D990" s="268"/>
      <c r="E990" s="268"/>
      <c r="F990" s="268"/>
      <c r="G990" s="268"/>
      <c r="H990" s="389"/>
      <c r="I990" s="389"/>
      <c r="J990" s="389"/>
      <c r="K990" s="268"/>
      <c r="L990" s="268"/>
      <c r="M990" s="268"/>
      <c r="N990" s="310"/>
      <c r="O990" s="268"/>
      <c r="P990" s="309"/>
      <c r="Q990" s="381"/>
      <c r="R990" s="268"/>
      <c r="S990" s="313"/>
      <c r="T990" s="313"/>
      <c r="U990" s="268"/>
      <c r="V990" s="268"/>
      <c r="W990" s="268"/>
      <c r="X990" s="268"/>
      <c r="Y990" s="268"/>
      <c r="Z990" s="268"/>
    </row>
    <row r="991" spans="1:26" ht="24.75" customHeight="1">
      <c r="A991" s="268"/>
      <c r="B991" s="268"/>
      <c r="C991" s="268"/>
      <c r="D991" s="268"/>
      <c r="E991" s="268"/>
      <c r="F991" s="268"/>
      <c r="G991" s="268"/>
      <c r="H991" s="389"/>
      <c r="I991" s="389"/>
      <c r="J991" s="389"/>
      <c r="K991" s="268"/>
      <c r="L991" s="268"/>
      <c r="M991" s="268"/>
      <c r="N991" s="310"/>
      <c r="O991" s="268"/>
      <c r="P991" s="309"/>
      <c r="Q991" s="381"/>
      <c r="R991" s="268"/>
      <c r="S991" s="313"/>
      <c r="T991" s="313"/>
      <c r="U991" s="268"/>
      <c r="V991" s="268"/>
      <c r="W991" s="268"/>
      <c r="X991" s="268"/>
      <c r="Y991" s="268"/>
      <c r="Z991" s="268"/>
    </row>
    <row r="992" spans="1:26" ht="24.75" customHeight="1">
      <c r="A992" s="268"/>
      <c r="B992" s="268"/>
      <c r="C992" s="268"/>
      <c r="D992" s="268"/>
      <c r="E992" s="268"/>
      <c r="F992" s="268"/>
      <c r="G992" s="268"/>
      <c r="H992" s="389"/>
      <c r="I992" s="389"/>
      <c r="J992" s="389"/>
      <c r="K992" s="268"/>
      <c r="L992" s="268"/>
      <c r="M992" s="268"/>
      <c r="N992" s="310"/>
      <c r="O992" s="268"/>
      <c r="P992" s="309"/>
      <c r="Q992" s="381"/>
      <c r="R992" s="268"/>
      <c r="S992" s="313"/>
      <c r="T992" s="313"/>
      <c r="U992" s="268"/>
      <c r="V992" s="268"/>
      <c r="W992" s="268"/>
      <c r="X992" s="268"/>
      <c r="Y992" s="268"/>
      <c r="Z992" s="268"/>
    </row>
    <row r="993" spans="1:26" ht="24.75" customHeight="1">
      <c r="A993" s="268"/>
      <c r="B993" s="268"/>
      <c r="C993" s="268"/>
      <c r="D993" s="268"/>
      <c r="E993" s="268"/>
      <c r="F993" s="268"/>
      <c r="G993" s="268"/>
      <c r="H993" s="389"/>
      <c r="I993" s="389"/>
      <c r="J993" s="389"/>
      <c r="K993" s="268"/>
      <c r="L993" s="268"/>
      <c r="M993" s="268"/>
      <c r="N993" s="310"/>
      <c r="O993" s="268"/>
      <c r="P993" s="309"/>
      <c r="Q993" s="381"/>
      <c r="R993" s="268"/>
      <c r="S993" s="313"/>
      <c r="T993" s="313"/>
      <c r="U993" s="268"/>
      <c r="V993" s="268"/>
      <c r="W993" s="268"/>
      <c r="X993" s="268"/>
      <c r="Y993" s="268"/>
      <c r="Z993" s="268"/>
    </row>
    <row r="994" spans="1:26" ht="24.75" customHeight="1">
      <c r="A994" s="268"/>
      <c r="B994" s="268"/>
      <c r="C994" s="268"/>
      <c r="D994" s="268"/>
      <c r="E994" s="268"/>
      <c r="F994" s="268"/>
      <c r="G994" s="268"/>
      <c r="H994" s="389"/>
      <c r="I994" s="389"/>
      <c r="J994" s="389"/>
      <c r="K994" s="268"/>
      <c r="L994" s="268"/>
      <c r="M994" s="268"/>
      <c r="N994" s="310"/>
      <c r="O994" s="268"/>
      <c r="P994" s="309"/>
      <c r="Q994" s="381"/>
      <c r="R994" s="268"/>
      <c r="S994" s="313"/>
      <c r="T994" s="313"/>
      <c r="U994" s="268"/>
      <c r="V994" s="268"/>
      <c r="W994" s="268"/>
      <c r="X994" s="268"/>
      <c r="Y994" s="268"/>
      <c r="Z994" s="268"/>
    </row>
    <row r="995" spans="1:26" ht="24.75" customHeight="1">
      <c r="A995" s="268"/>
      <c r="B995" s="268"/>
      <c r="C995" s="268"/>
      <c r="D995" s="268"/>
      <c r="E995" s="268"/>
      <c r="F995" s="268"/>
      <c r="G995" s="268"/>
      <c r="H995" s="389"/>
      <c r="I995" s="389"/>
      <c r="J995" s="389"/>
      <c r="K995" s="268"/>
      <c r="L995" s="268"/>
      <c r="M995" s="268"/>
      <c r="N995" s="310"/>
      <c r="O995" s="268"/>
      <c r="P995" s="309"/>
      <c r="Q995" s="381"/>
      <c r="R995" s="268"/>
      <c r="S995" s="313"/>
      <c r="T995" s="313"/>
      <c r="U995" s="268"/>
      <c r="V995" s="268"/>
      <c r="W995" s="268"/>
      <c r="X995" s="268"/>
      <c r="Y995" s="268"/>
      <c r="Z995" s="268"/>
    </row>
    <row r="996" spans="1:26" ht="24.75" customHeight="1">
      <c r="A996" s="268"/>
      <c r="B996" s="268"/>
      <c r="C996" s="268"/>
      <c r="D996" s="268"/>
      <c r="E996" s="268"/>
      <c r="F996" s="268"/>
      <c r="G996" s="268"/>
      <c r="H996" s="389"/>
      <c r="I996" s="389"/>
      <c r="J996" s="389"/>
      <c r="K996" s="268"/>
      <c r="L996" s="268"/>
      <c r="M996" s="268"/>
      <c r="N996" s="310"/>
      <c r="O996" s="268"/>
      <c r="P996" s="309"/>
      <c r="Q996" s="381"/>
      <c r="R996" s="268"/>
      <c r="S996" s="313"/>
      <c r="T996" s="313"/>
      <c r="U996" s="268"/>
      <c r="V996" s="268"/>
      <c r="W996" s="268"/>
      <c r="X996" s="268"/>
      <c r="Y996" s="268"/>
      <c r="Z996" s="268"/>
    </row>
    <row r="997" spans="1:26" ht="24.75" customHeight="1">
      <c r="A997" s="268"/>
      <c r="B997" s="268"/>
      <c r="C997" s="268"/>
      <c r="D997" s="268"/>
      <c r="E997" s="268"/>
      <c r="F997" s="268"/>
      <c r="G997" s="268"/>
      <c r="H997" s="389"/>
      <c r="I997" s="389"/>
      <c r="J997" s="389"/>
      <c r="K997" s="268"/>
      <c r="L997" s="268"/>
      <c r="M997" s="268"/>
      <c r="N997" s="310"/>
      <c r="O997" s="268"/>
      <c r="P997" s="309"/>
      <c r="Q997" s="381"/>
      <c r="R997" s="268"/>
      <c r="S997" s="313"/>
      <c r="T997" s="313"/>
      <c r="U997" s="268"/>
      <c r="V997" s="268"/>
      <c r="W997" s="268"/>
      <c r="X997" s="268"/>
      <c r="Y997" s="268"/>
      <c r="Z997" s="268"/>
    </row>
    <row r="998" spans="1:26" ht="24.75" customHeight="1">
      <c r="A998" s="268"/>
      <c r="B998" s="268"/>
      <c r="C998" s="268"/>
      <c r="D998" s="268"/>
      <c r="E998" s="268"/>
      <c r="F998" s="268"/>
      <c r="G998" s="268"/>
      <c r="H998" s="389"/>
      <c r="I998" s="389"/>
      <c r="J998" s="389"/>
      <c r="K998" s="268"/>
      <c r="L998" s="268"/>
      <c r="M998" s="268"/>
      <c r="N998" s="310"/>
      <c r="O998" s="268"/>
      <c r="P998" s="309"/>
      <c r="Q998" s="381"/>
      <c r="R998" s="268"/>
      <c r="S998" s="313"/>
      <c r="T998" s="313"/>
      <c r="U998" s="268"/>
      <c r="V998" s="268"/>
      <c r="W998" s="268"/>
      <c r="X998" s="268"/>
      <c r="Y998" s="268"/>
      <c r="Z998" s="268"/>
    </row>
    <row r="999" spans="1:26" ht="24.75" customHeight="1">
      <c r="A999" s="268"/>
      <c r="B999" s="268"/>
      <c r="C999" s="268"/>
      <c r="D999" s="268"/>
      <c r="E999" s="268"/>
      <c r="F999" s="268"/>
      <c r="G999" s="268"/>
      <c r="H999" s="389"/>
      <c r="I999" s="389"/>
      <c r="J999" s="389"/>
      <c r="K999" s="268"/>
      <c r="L999" s="268"/>
      <c r="M999" s="268"/>
      <c r="N999" s="310"/>
      <c r="O999" s="268"/>
      <c r="P999" s="309"/>
      <c r="Q999" s="381"/>
      <c r="R999" s="268"/>
      <c r="S999" s="313"/>
      <c r="T999" s="313"/>
      <c r="U999" s="268"/>
      <c r="V999" s="268"/>
      <c r="W999" s="268"/>
      <c r="X999" s="268"/>
      <c r="Y999" s="268"/>
      <c r="Z999" s="268"/>
    </row>
    <row r="1000" spans="1:26" ht="24.75" customHeight="1">
      <c r="A1000" s="268"/>
      <c r="B1000" s="268"/>
      <c r="C1000" s="268"/>
      <c r="D1000" s="268"/>
      <c r="E1000" s="268"/>
      <c r="F1000" s="268"/>
      <c r="G1000" s="268"/>
      <c r="H1000" s="389"/>
      <c r="I1000" s="389"/>
      <c r="J1000" s="389"/>
      <c r="K1000" s="268"/>
      <c r="L1000" s="268"/>
      <c r="M1000" s="268"/>
      <c r="N1000" s="310"/>
      <c r="O1000" s="268"/>
      <c r="P1000" s="309"/>
      <c r="Q1000" s="381"/>
      <c r="R1000" s="268"/>
      <c r="S1000" s="313"/>
      <c r="T1000" s="313"/>
      <c r="U1000" s="268"/>
      <c r="V1000" s="268"/>
      <c r="W1000" s="268"/>
      <c r="X1000" s="268"/>
      <c r="Y1000" s="268"/>
      <c r="Z1000" s="268"/>
    </row>
  </sheetData>
  <mergeCells count="2">
    <mergeCell ref="B1:Q1"/>
    <mergeCell ref="S1:T1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"/>
  <sheetViews>
    <sheetView workbookViewId="0"/>
  </sheetViews>
  <sheetFormatPr baseColWidth="10" defaultColWidth="11.28515625" defaultRowHeight="15" customHeight="1" x14ac:dyDescent="0"/>
  <cols>
    <col min="1" max="1" width="4.7109375" customWidth="1"/>
    <col min="2" max="2" width="9.42578125" customWidth="1"/>
    <col min="3" max="3" width="8.85546875" customWidth="1"/>
    <col min="4" max="5" width="10.85546875" customWidth="1"/>
    <col min="6" max="6" width="17.85546875" customWidth="1"/>
    <col min="7" max="7" width="15.140625" customWidth="1"/>
    <col min="8" max="13" width="17.85546875" customWidth="1"/>
    <col min="14" max="14" width="14.5703125" customWidth="1"/>
    <col min="15" max="15" width="19.5703125" customWidth="1"/>
    <col min="16" max="16" width="14.85546875" customWidth="1"/>
    <col min="17" max="17" width="29.28515625" customWidth="1"/>
    <col min="18" max="18" width="7" customWidth="1"/>
    <col min="19" max="19" width="18.85546875" customWidth="1"/>
    <col min="20" max="20" width="4.7109375" customWidth="1"/>
    <col min="21" max="26" width="17.85546875" hidden="1" customWidth="1"/>
    <col min="27" max="29" width="7" customWidth="1"/>
  </cols>
  <sheetData>
    <row r="1" spans="1:29" ht="24.75" customHeight="1">
      <c r="A1" s="268"/>
      <c r="B1" s="268"/>
      <c r="C1" s="448" t="s">
        <v>5381</v>
      </c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268"/>
      <c r="S1" s="443" t="s">
        <v>4780</v>
      </c>
      <c r="T1" s="439"/>
      <c r="U1" s="296"/>
      <c r="V1" s="296"/>
      <c r="W1" s="296"/>
      <c r="X1" s="296"/>
      <c r="Y1" s="296"/>
      <c r="Z1" s="296"/>
      <c r="AA1" s="268"/>
      <c r="AB1" s="268"/>
      <c r="AC1" s="268"/>
    </row>
    <row r="2" spans="1:29" ht="46.5" customHeight="1">
      <c r="A2" s="297" t="s">
        <v>7</v>
      </c>
      <c r="B2" s="298" t="s">
        <v>9</v>
      </c>
      <c r="C2" s="232" t="s">
        <v>11</v>
      </c>
      <c r="D2" s="299" t="s">
        <v>13</v>
      </c>
      <c r="E2" s="299" t="s">
        <v>4573</v>
      </c>
      <c r="F2" s="300" t="s">
        <v>4574</v>
      </c>
      <c r="G2" s="301" t="s">
        <v>19</v>
      </c>
      <c r="H2" s="301" t="s">
        <v>4782</v>
      </c>
      <c r="I2" s="301" t="s">
        <v>4576</v>
      </c>
      <c r="J2" s="302" t="s">
        <v>1</v>
      </c>
      <c r="K2" s="299" t="s">
        <v>24</v>
      </c>
      <c r="L2" s="302" t="s">
        <v>34</v>
      </c>
      <c r="M2" s="302" t="s">
        <v>4783</v>
      </c>
      <c r="N2" s="302" t="s">
        <v>4784</v>
      </c>
      <c r="O2" s="304" t="s">
        <v>4577</v>
      </c>
      <c r="P2" s="302" t="s">
        <v>4578</v>
      </c>
      <c r="Q2" s="302" t="s">
        <v>44</v>
      </c>
      <c r="R2" s="268"/>
      <c r="S2" s="303" t="s">
        <v>4579</v>
      </c>
      <c r="T2" s="303" t="s">
        <v>4580</v>
      </c>
      <c r="U2" s="302" t="s">
        <v>4785</v>
      </c>
      <c r="V2" s="302" t="s">
        <v>4786</v>
      </c>
      <c r="W2" s="304" t="s">
        <v>4787</v>
      </c>
      <c r="X2" s="302" t="s">
        <v>4788</v>
      </c>
      <c r="Y2" s="302" t="s">
        <v>4789</v>
      </c>
      <c r="Z2" s="302" t="s">
        <v>4790</v>
      </c>
      <c r="AA2" s="268"/>
      <c r="AB2" s="268"/>
      <c r="AC2" s="268"/>
    </row>
    <row r="3" spans="1:29" ht="24.75" customHeight="1">
      <c r="A3" s="386" t="s">
        <v>5382</v>
      </c>
      <c r="B3" s="268"/>
      <c r="C3" s="286" t="s">
        <v>5383</v>
      </c>
      <c r="D3" s="230" t="s">
        <v>5384</v>
      </c>
      <c r="E3" s="230"/>
      <c r="F3" s="230"/>
      <c r="G3" s="387" t="s">
        <v>5385</v>
      </c>
      <c r="H3" s="230"/>
      <c r="I3" s="230"/>
      <c r="J3" s="230"/>
      <c r="K3" s="230"/>
      <c r="L3" s="230"/>
      <c r="M3" s="230"/>
      <c r="N3" s="230"/>
      <c r="O3" s="230"/>
      <c r="P3" s="230"/>
      <c r="Q3" s="370" t="s">
        <v>5386</v>
      </c>
      <c r="R3" s="268"/>
      <c r="S3" s="308" t="s">
        <v>4585</v>
      </c>
      <c r="T3" s="303">
        <v>0</v>
      </c>
      <c r="U3" s="245">
        <v>29125</v>
      </c>
      <c r="V3" s="246" t="s">
        <v>4799</v>
      </c>
      <c r="W3" s="247" t="s">
        <v>4800</v>
      </c>
      <c r="X3" s="248">
        <v>157</v>
      </c>
      <c r="Y3" s="248">
        <v>59</v>
      </c>
      <c r="Z3" s="248">
        <v>23.94</v>
      </c>
      <c r="AA3" s="268" t="s">
        <v>5387</v>
      </c>
      <c r="AB3" s="268" t="s">
        <v>5388</v>
      </c>
      <c r="AC3" s="268" t="s">
        <v>5389</v>
      </c>
    </row>
    <row r="4" spans="1:29" ht="24.75" customHeight="1">
      <c r="A4" s="268"/>
      <c r="B4" s="268"/>
      <c r="C4" s="268"/>
      <c r="D4" s="268"/>
      <c r="E4" s="268"/>
      <c r="F4" s="268"/>
      <c r="G4" s="268"/>
      <c r="H4" s="268"/>
      <c r="I4" s="268"/>
      <c r="J4" s="268"/>
      <c r="K4" s="268"/>
      <c r="L4" s="268"/>
      <c r="M4" s="268"/>
      <c r="N4" s="268"/>
      <c r="O4" s="268"/>
      <c r="P4" s="268"/>
      <c r="Q4" s="268"/>
      <c r="R4" s="268"/>
      <c r="S4" s="388" t="s">
        <v>4811</v>
      </c>
      <c r="T4" s="303">
        <v>0</v>
      </c>
      <c r="U4" s="245">
        <v>25409</v>
      </c>
      <c r="V4" s="246" t="s">
        <v>5161</v>
      </c>
      <c r="W4" s="247" t="s">
        <v>5162</v>
      </c>
      <c r="X4" s="248">
        <v>158</v>
      </c>
      <c r="Y4" s="248">
        <v>63</v>
      </c>
      <c r="Z4" s="248">
        <v>25.24</v>
      </c>
      <c r="AA4" s="268"/>
      <c r="AB4" s="268"/>
      <c r="AC4" s="268"/>
    </row>
    <row r="5" spans="1:29" ht="24.75" customHeight="1">
      <c r="A5" s="268"/>
      <c r="B5" s="268"/>
      <c r="C5" s="268"/>
      <c r="D5" s="268"/>
      <c r="E5" s="268"/>
      <c r="F5" s="268"/>
      <c r="G5" s="268"/>
      <c r="H5" s="268"/>
      <c r="I5" s="268"/>
      <c r="J5" s="268"/>
      <c r="K5" s="268"/>
      <c r="L5" s="268"/>
      <c r="M5" s="268"/>
      <c r="N5" s="268"/>
      <c r="O5" s="268"/>
      <c r="P5" s="268"/>
      <c r="Q5" s="268"/>
      <c r="R5" s="268"/>
      <c r="S5" s="365" t="s">
        <v>4815</v>
      </c>
      <c r="T5" s="303">
        <v>0</v>
      </c>
      <c r="U5" s="245">
        <v>27925</v>
      </c>
      <c r="V5" s="246" t="s">
        <v>4827</v>
      </c>
      <c r="W5" s="247" t="s">
        <v>4828</v>
      </c>
      <c r="X5" s="248">
        <v>157</v>
      </c>
      <c r="Y5" s="248">
        <v>72</v>
      </c>
      <c r="Z5" s="248">
        <v>29.21</v>
      </c>
      <c r="AA5" s="268"/>
      <c r="AB5" s="268"/>
      <c r="AC5" s="268"/>
    </row>
    <row r="6" spans="1:29" ht="24.75" customHeight="1">
      <c r="A6" s="268"/>
      <c r="B6" s="268"/>
      <c r="C6" s="268"/>
      <c r="D6" s="268"/>
      <c r="E6" s="268"/>
      <c r="F6" s="268"/>
      <c r="G6" s="268"/>
      <c r="H6" s="268"/>
      <c r="I6" s="268"/>
      <c r="J6" s="268"/>
      <c r="K6" s="268"/>
      <c r="L6" s="268"/>
      <c r="M6" s="268"/>
      <c r="N6" s="268"/>
      <c r="O6" s="268"/>
      <c r="P6" s="268"/>
      <c r="Q6" s="268"/>
      <c r="R6" s="268"/>
      <c r="S6" s="390" t="s">
        <v>4821</v>
      </c>
      <c r="T6" s="303">
        <v>0</v>
      </c>
      <c r="U6" s="288">
        <v>25278</v>
      </c>
      <c r="V6" s="246" t="s">
        <v>5159</v>
      </c>
      <c r="W6" s="247" t="s">
        <v>5160</v>
      </c>
      <c r="X6" s="248">
        <v>160</v>
      </c>
      <c r="Y6" s="248">
        <v>70.7</v>
      </c>
      <c r="Z6" s="248">
        <v>27.62</v>
      </c>
      <c r="AA6" s="268" t="s">
        <v>5387</v>
      </c>
      <c r="AB6" s="268" t="s">
        <v>5388</v>
      </c>
      <c r="AC6" s="268" t="s">
        <v>5389</v>
      </c>
    </row>
    <row r="7" spans="1:29" ht="24.75" customHeight="1">
      <c r="A7" s="268"/>
      <c r="B7" s="268"/>
      <c r="C7" s="268"/>
      <c r="D7" s="268"/>
      <c r="E7" s="268"/>
      <c r="F7" s="268"/>
      <c r="G7" s="268"/>
      <c r="H7" s="268"/>
      <c r="I7" s="268"/>
      <c r="J7" s="268"/>
      <c r="K7" s="268"/>
      <c r="L7" s="268"/>
      <c r="M7" s="268"/>
      <c r="N7" s="268"/>
      <c r="O7" s="268"/>
      <c r="P7" s="268"/>
      <c r="Q7" s="268"/>
      <c r="R7" s="268"/>
      <c r="S7" s="317" t="s">
        <v>4833</v>
      </c>
      <c r="T7" s="303">
        <v>0</v>
      </c>
      <c r="U7" s="288">
        <v>24312</v>
      </c>
      <c r="V7" s="253" t="s">
        <v>5163</v>
      </c>
      <c r="W7" s="254" t="s">
        <v>5164</v>
      </c>
      <c r="X7" s="248">
        <v>161</v>
      </c>
      <c r="Y7" s="248">
        <v>68.5</v>
      </c>
      <c r="Z7" s="248">
        <v>26.43</v>
      </c>
      <c r="AA7" s="268"/>
      <c r="AB7" s="268"/>
      <c r="AC7" s="268"/>
    </row>
    <row r="8" spans="1:29" ht="24.75" customHeight="1">
      <c r="A8" s="268"/>
      <c r="B8" s="268"/>
      <c r="C8" s="268"/>
      <c r="D8" s="268"/>
      <c r="E8" s="268"/>
      <c r="F8" s="268"/>
      <c r="G8" s="268"/>
      <c r="H8" s="268"/>
      <c r="I8" s="268"/>
      <c r="J8" s="268"/>
      <c r="K8" s="268"/>
      <c r="L8" s="268"/>
      <c r="M8" s="268"/>
      <c r="N8" s="268"/>
      <c r="O8" s="268"/>
      <c r="P8" s="268"/>
      <c r="Q8" s="268"/>
      <c r="R8" s="268"/>
      <c r="S8" s="335" t="s">
        <v>4840</v>
      </c>
      <c r="T8" s="319" t="s">
        <v>4795</v>
      </c>
      <c r="U8" s="288">
        <v>28464</v>
      </c>
      <c r="V8" s="246" t="s">
        <v>5165</v>
      </c>
      <c r="W8" s="254" t="s">
        <v>5166</v>
      </c>
      <c r="X8" s="248">
        <v>158</v>
      </c>
      <c r="Y8" s="248">
        <v>64</v>
      </c>
      <c r="Z8" s="248">
        <v>25.64</v>
      </c>
      <c r="AA8" s="268"/>
      <c r="AB8" s="268"/>
      <c r="AC8" s="268"/>
    </row>
    <row r="9" spans="1:29" ht="24.75" customHeight="1">
      <c r="A9" s="268" t="s">
        <v>5390</v>
      </c>
      <c r="B9" s="268"/>
      <c r="C9" s="268"/>
      <c r="D9" s="268"/>
      <c r="E9" s="268"/>
      <c r="F9" s="268"/>
      <c r="G9" s="238" t="s">
        <v>5391</v>
      </c>
      <c r="H9" s="241" t="s">
        <v>4585</v>
      </c>
      <c r="I9" s="263" t="s">
        <v>62</v>
      </c>
      <c r="J9" s="268"/>
      <c r="K9" s="268"/>
      <c r="L9" s="309"/>
      <c r="M9" s="268"/>
      <c r="N9" s="268"/>
      <c r="O9" s="310"/>
      <c r="P9" s="268"/>
      <c r="Q9" s="309"/>
      <c r="R9" s="268"/>
      <c r="S9" s="335" t="s">
        <v>5196</v>
      </c>
      <c r="T9" s="319" t="s">
        <v>4795</v>
      </c>
      <c r="U9" s="288">
        <v>26964</v>
      </c>
      <c r="V9" s="246" t="s">
        <v>5167</v>
      </c>
      <c r="W9" s="254" t="s">
        <v>5168</v>
      </c>
      <c r="X9" s="248">
        <v>150</v>
      </c>
      <c r="Y9" s="248">
        <v>84</v>
      </c>
      <c r="Z9" s="248">
        <v>37.33</v>
      </c>
      <c r="AA9" s="268"/>
      <c r="AB9" s="268"/>
      <c r="AC9" s="268"/>
    </row>
    <row r="10" spans="1:29" ht="24.75" customHeight="1">
      <c r="A10" s="268" t="s">
        <v>5382</v>
      </c>
      <c r="B10" s="268"/>
      <c r="C10" s="268"/>
      <c r="D10" s="268"/>
      <c r="E10" s="268"/>
      <c r="F10" s="268"/>
      <c r="G10" s="238" t="s">
        <v>5392</v>
      </c>
      <c r="H10" s="241" t="s">
        <v>4585</v>
      </c>
      <c r="I10" s="268"/>
      <c r="J10" s="268"/>
      <c r="K10" s="268"/>
      <c r="L10" s="309"/>
      <c r="M10" s="268"/>
      <c r="N10" s="268"/>
      <c r="O10" s="310"/>
      <c r="P10" s="268"/>
      <c r="Q10" s="309"/>
      <c r="R10" s="268"/>
      <c r="S10" s="336" t="s">
        <v>4878</v>
      </c>
      <c r="T10" s="266">
        <v>0</v>
      </c>
      <c r="U10" s="288">
        <v>25180</v>
      </c>
      <c r="V10" s="246" t="s">
        <v>4899</v>
      </c>
      <c r="W10" s="254" t="s">
        <v>4900</v>
      </c>
      <c r="X10" s="248">
        <v>160</v>
      </c>
      <c r="Y10" s="248">
        <v>66</v>
      </c>
      <c r="Z10" s="248">
        <v>25.78</v>
      </c>
      <c r="AA10" s="268" t="s">
        <v>5387</v>
      </c>
      <c r="AB10" s="268"/>
      <c r="AC10" s="268"/>
    </row>
    <row r="11" spans="1:29" ht="24.75" customHeight="1">
      <c r="A11" s="268" t="s">
        <v>5393</v>
      </c>
      <c r="B11" s="268"/>
      <c r="C11" s="268"/>
      <c r="D11" s="268"/>
      <c r="E11" s="268"/>
      <c r="F11" s="268"/>
      <c r="G11" s="230" t="s">
        <v>5394</v>
      </c>
      <c r="H11" s="241" t="s">
        <v>4585</v>
      </c>
      <c r="I11" s="263" t="s">
        <v>62</v>
      </c>
      <c r="J11" s="268"/>
      <c r="K11" s="268"/>
      <c r="L11" s="268"/>
      <c r="M11" s="268"/>
      <c r="N11" s="268"/>
      <c r="O11" s="268"/>
      <c r="P11" s="268"/>
      <c r="Q11" s="268"/>
      <c r="R11" s="268"/>
      <c r="S11" s="313"/>
      <c r="T11" s="268"/>
      <c r="U11" s="288">
        <v>28905</v>
      </c>
      <c r="V11" s="253" t="s">
        <v>4806</v>
      </c>
      <c r="W11" s="254" t="s">
        <v>4807</v>
      </c>
      <c r="X11" s="248">
        <v>175</v>
      </c>
      <c r="Y11" s="248">
        <v>80</v>
      </c>
      <c r="Z11" s="248">
        <v>26.12</v>
      </c>
      <c r="AA11" s="268"/>
      <c r="AB11" s="268"/>
      <c r="AC11" s="268"/>
    </row>
    <row r="12" spans="1:29" ht="24.75" customHeight="1">
      <c r="A12" s="268"/>
      <c r="B12" s="268"/>
      <c r="C12" s="268"/>
      <c r="D12" s="268"/>
      <c r="E12" s="268"/>
      <c r="F12" s="268"/>
      <c r="G12" s="268"/>
      <c r="H12" s="268"/>
      <c r="I12" s="268"/>
      <c r="J12" s="268"/>
      <c r="K12" s="268"/>
      <c r="L12" s="309"/>
      <c r="M12" s="268"/>
      <c r="N12" s="268"/>
      <c r="O12" s="310"/>
      <c r="P12" s="268"/>
      <c r="Q12" s="309"/>
      <c r="R12" s="268"/>
      <c r="S12" s="313"/>
      <c r="T12" s="313"/>
      <c r="U12" s="230"/>
      <c r="V12" s="256"/>
      <c r="W12" s="257"/>
      <c r="X12" s="230"/>
      <c r="Y12" s="230"/>
      <c r="Z12" s="230"/>
      <c r="AA12" s="268"/>
      <c r="AB12" s="268"/>
      <c r="AC12" s="268"/>
    </row>
    <row r="13" spans="1:29" ht="24.75" customHeight="1">
      <c r="A13" s="268"/>
      <c r="B13" s="268"/>
      <c r="C13" s="268"/>
      <c r="D13" s="268"/>
      <c r="E13" s="268"/>
      <c r="F13" s="268"/>
      <c r="G13" s="268"/>
      <c r="H13" s="268"/>
      <c r="I13" s="268"/>
      <c r="J13" s="268"/>
      <c r="K13" s="268"/>
      <c r="L13" s="268"/>
      <c r="M13" s="268"/>
      <c r="N13" s="268"/>
      <c r="O13" s="268"/>
      <c r="P13" s="268"/>
      <c r="Q13" s="268"/>
      <c r="R13" s="268"/>
      <c r="S13" s="313"/>
      <c r="T13" s="313"/>
      <c r="U13" s="288">
        <v>27171</v>
      </c>
      <c r="V13" s="253" t="s">
        <v>5169</v>
      </c>
      <c r="W13" s="254" t="s">
        <v>5170</v>
      </c>
      <c r="X13" s="248">
        <v>151</v>
      </c>
      <c r="Y13" s="248">
        <v>48</v>
      </c>
      <c r="Z13" s="248">
        <v>21.05</v>
      </c>
      <c r="AA13" s="268"/>
      <c r="AB13" s="268"/>
      <c r="AC13" s="268"/>
    </row>
    <row r="14" spans="1:29" ht="24.75" customHeight="1">
      <c r="A14" s="268"/>
      <c r="B14" s="268"/>
      <c r="C14" s="268"/>
      <c r="D14" s="268"/>
      <c r="E14" s="268"/>
      <c r="F14" s="268"/>
      <c r="G14" s="268"/>
      <c r="H14" s="268"/>
      <c r="I14" s="268"/>
      <c r="J14" s="268"/>
      <c r="K14" s="268"/>
      <c r="L14" s="268"/>
      <c r="M14" s="268"/>
      <c r="N14" s="268"/>
      <c r="O14" s="268"/>
      <c r="P14" s="268"/>
      <c r="Q14" s="268"/>
      <c r="R14" s="268"/>
      <c r="S14" s="313"/>
      <c r="T14" s="313"/>
      <c r="U14" s="268"/>
      <c r="V14" s="309"/>
      <c r="W14" s="310"/>
      <c r="X14" s="268"/>
      <c r="Y14" s="268"/>
      <c r="Z14" s="268"/>
      <c r="AA14" s="268"/>
      <c r="AB14" s="268"/>
      <c r="AC14" s="268"/>
    </row>
    <row r="15" spans="1:29" ht="24.75" customHeight="1">
      <c r="A15" s="268"/>
      <c r="B15" s="268"/>
      <c r="C15" s="268"/>
      <c r="D15" s="268"/>
      <c r="E15" s="268"/>
      <c r="F15" s="268"/>
      <c r="G15" s="268"/>
      <c r="H15" s="268"/>
      <c r="I15" s="268"/>
      <c r="J15" s="268"/>
      <c r="K15" s="268"/>
      <c r="L15" s="268"/>
      <c r="M15" s="268"/>
      <c r="N15" s="268"/>
      <c r="O15" s="268"/>
      <c r="P15" s="268"/>
      <c r="Q15" s="268"/>
      <c r="R15" s="268"/>
      <c r="S15" s="313"/>
      <c r="T15" s="313"/>
      <c r="U15" s="268"/>
      <c r="V15" s="309"/>
      <c r="W15" s="310"/>
      <c r="X15" s="268"/>
      <c r="Y15" s="268"/>
      <c r="Z15" s="268"/>
      <c r="AA15" s="268"/>
      <c r="AB15" s="268"/>
      <c r="AC15" s="268"/>
    </row>
    <row r="16" spans="1:29" ht="24.75" customHeight="1">
      <c r="A16" s="268"/>
      <c r="B16" s="268"/>
      <c r="C16" s="268"/>
      <c r="D16" s="268"/>
      <c r="E16" s="268"/>
      <c r="F16" s="268"/>
      <c r="G16" s="268"/>
      <c r="H16" s="268"/>
      <c r="I16" s="268"/>
      <c r="J16" s="268"/>
      <c r="K16" s="268"/>
      <c r="L16" s="268"/>
      <c r="M16" s="268"/>
      <c r="N16" s="268"/>
      <c r="O16" s="268"/>
      <c r="P16" s="268"/>
      <c r="Q16" s="268"/>
      <c r="R16" s="268"/>
      <c r="S16" s="313"/>
      <c r="T16" s="313"/>
      <c r="U16" s="268"/>
      <c r="V16" s="309"/>
      <c r="W16" s="310"/>
      <c r="X16" s="268"/>
      <c r="Y16" s="268"/>
      <c r="Z16" s="268"/>
      <c r="AA16" s="268"/>
      <c r="AB16" s="268"/>
      <c r="AC16" s="268"/>
    </row>
    <row r="17" spans="1:29" ht="24.75" customHeight="1">
      <c r="A17" s="268"/>
      <c r="B17" s="268"/>
      <c r="C17" s="268"/>
      <c r="D17" s="268"/>
      <c r="E17" s="268"/>
      <c r="F17" s="268"/>
      <c r="G17" s="268"/>
      <c r="H17" s="268"/>
      <c r="I17" s="268"/>
      <c r="J17" s="268"/>
      <c r="K17" s="268"/>
      <c r="L17" s="268"/>
      <c r="M17" s="268"/>
      <c r="N17" s="268"/>
      <c r="O17" s="268"/>
      <c r="P17" s="268"/>
      <c r="Q17" s="268"/>
      <c r="R17" s="268"/>
      <c r="S17" s="313"/>
      <c r="T17" s="313"/>
      <c r="U17" s="268"/>
      <c r="V17" s="309"/>
      <c r="W17" s="310"/>
      <c r="X17" s="268"/>
      <c r="Y17" s="268"/>
      <c r="Z17" s="268"/>
      <c r="AA17" s="268"/>
      <c r="AB17" s="268"/>
      <c r="AC17" s="268"/>
    </row>
    <row r="18" spans="1:29" ht="24.75" customHeight="1">
      <c r="A18" s="268"/>
      <c r="B18" s="268"/>
      <c r="C18" s="268"/>
      <c r="D18" s="268"/>
      <c r="E18" s="268"/>
      <c r="F18" s="268"/>
      <c r="G18" s="268"/>
      <c r="H18" s="268"/>
      <c r="I18" s="268"/>
      <c r="J18" s="268"/>
      <c r="K18" s="268"/>
      <c r="L18" s="268"/>
      <c r="M18" s="268"/>
      <c r="N18" s="268"/>
      <c r="O18" s="268"/>
      <c r="P18" s="268"/>
      <c r="Q18" s="268"/>
      <c r="R18" s="268"/>
      <c r="S18" s="313"/>
      <c r="T18" s="313"/>
      <c r="U18" s="268"/>
      <c r="V18" s="309"/>
      <c r="W18" s="310"/>
      <c r="X18" s="268"/>
      <c r="Y18" s="268"/>
      <c r="Z18" s="268"/>
      <c r="AA18" s="268"/>
      <c r="AB18" s="268"/>
      <c r="AC18" s="268"/>
    </row>
    <row r="19" spans="1:29" ht="24.75" customHeight="1">
      <c r="A19" s="268"/>
      <c r="B19" s="268"/>
      <c r="C19" s="268"/>
      <c r="D19" s="268"/>
      <c r="E19" s="268"/>
      <c r="F19" s="268"/>
      <c r="G19" s="268"/>
      <c r="H19" s="268"/>
      <c r="I19" s="268"/>
      <c r="J19" s="268"/>
      <c r="K19" s="268"/>
      <c r="L19" s="268"/>
      <c r="M19" s="268"/>
      <c r="N19" s="268"/>
      <c r="O19" s="268"/>
      <c r="P19" s="268"/>
      <c r="Q19" s="268"/>
      <c r="R19" s="268"/>
      <c r="S19" s="313"/>
      <c r="T19" s="313"/>
      <c r="U19" s="268"/>
      <c r="V19" s="309"/>
      <c r="W19" s="310"/>
      <c r="X19" s="268"/>
      <c r="Y19" s="268"/>
      <c r="Z19" s="268"/>
      <c r="AA19" s="268"/>
      <c r="AB19" s="268"/>
      <c r="AC19" s="268"/>
    </row>
    <row r="20" spans="1:29" ht="24.75" customHeight="1">
      <c r="A20" s="268"/>
      <c r="B20" s="268"/>
      <c r="C20" s="268"/>
      <c r="D20" s="268"/>
      <c r="E20" s="268"/>
      <c r="F20" s="268"/>
      <c r="G20" s="268"/>
      <c r="H20" s="268"/>
      <c r="I20" s="268"/>
      <c r="J20" s="268"/>
      <c r="K20" s="268"/>
      <c r="L20" s="268"/>
      <c r="M20" s="268"/>
      <c r="N20" s="268"/>
      <c r="O20" s="268"/>
      <c r="P20" s="268"/>
      <c r="Q20" s="268"/>
      <c r="R20" s="268"/>
      <c r="S20" s="313"/>
      <c r="T20" s="313"/>
      <c r="U20" s="268"/>
      <c r="V20" s="309"/>
      <c r="W20" s="310"/>
      <c r="X20" s="268"/>
      <c r="Y20" s="268"/>
      <c r="Z20" s="268"/>
      <c r="AA20" s="268"/>
      <c r="AB20" s="268"/>
      <c r="AC20" s="268"/>
    </row>
    <row r="21" spans="1:29" ht="24.75" customHeight="1">
      <c r="A21" s="268"/>
      <c r="B21" s="268"/>
      <c r="C21" s="268"/>
      <c r="D21" s="268"/>
      <c r="E21" s="268"/>
      <c r="F21" s="268"/>
      <c r="G21" s="268"/>
      <c r="H21" s="268"/>
      <c r="I21" s="268"/>
      <c r="J21" s="268"/>
      <c r="K21" s="268"/>
      <c r="L21" s="268"/>
      <c r="M21" s="268"/>
      <c r="N21" s="268"/>
      <c r="O21" s="268"/>
      <c r="P21" s="268"/>
      <c r="Q21" s="268"/>
      <c r="R21" s="268"/>
      <c r="S21" s="313"/>
      <c r="T21" s="268"/>
      <c r="U21" s="288">
        <v>24454</v>
      </c>
      <c r="V21" s="253" t="s">
        <v>5171</v>
      </c>
      <c r="W21" s="254" t="s">
        <v>5172</v>
      </c>
      <c r="X21" s="248">
        <v>155</v>
      </c>
      <c r="Y21" s="248">
        <v>59</v>
      </c>
      <c r="Z21" s="248">
        <v>24.56</v>
      </c>
      <c r="AA21" s="268"/>
      <c r="AB21" s="268"/>
      <c r="AC21" s="268"/>
    </row>
    <row r="22" spans="1:29" ht="24.75" customHeight="1">
      <c r="A22" s="268"/>
      <c r="B22" s="268"/>
      <c r="C22" s="268"/>
      <c r="D22" s="268"/>
      <c r="E22" s="268"/>
      <c r="F22" s="268"/>
      <c r="G22" s="268"/>
      <c r="H22" s="268"/>
      <c r="I22" s="268"/>
      <c r="J22" s="268"/>
      <c r="K22" s="268"/>
      <c r="L22" s="268"/>
      <c r="M22" s="268"/>
      <c r="N22" s="268"/>
      <c r="O22" s="268"/>
      <c r="P22" s="268"/>
      <c r="Q22" s="268"/>
      <c r="R22" s="268"/>
      <c r="S22" s="313"/>
      <c r="T22" s="313"/>
      <c r="U22" s="268"/>
      <c r="V22" s="309"/>
      <c r="W22" s="310"/>
      <c r="X22" s="268"/>
      <c r="Y22" s="268"/>
      <c r="Z22" s="268"/>
      <c r="AA22" s="268"/>
      <c r="AB22" s="268"/>
      <c r="AC22" s="268"/>
    </row>
    <row r="23" spans="1:29" ht="24.75" customHeight="1">
      <c r="A23" s="268"/>
      <c r="B23" s="268"/>
      <c r="C23" s="268"/>
      <c r="D23" s="268"/>
      <c r="E23" s="268"/>
      <c r="F23" s="268"/>
      <c r="G23" s="268"/>
      <c r="H23" s="268"/>
      <c r="I23" s="268"/>
      <c r="J23" s="268"/>
      <c r="K23" s="268"/>
      <c r="L23" s="268"/>
      <c r="M23" s="268"/>
      <c r="N23" s="268"/>
      <c r="O23" s="268"/>
      <c r="P23" s="268"/>
      <c r="Q23" s="268"/>
      <c r="R23" s="268"/>
      <c r="S23" s="313"/>
      <c r="T23" s="268"/>
      <c r="U23" s="288">
        <v>24454</v>
      </c>
      <c r="V23" s="253" t="s">
        <v>5171</v>
      </c>
      <c r="W23" s="254" t="s">
        <v>5172</v>
      </c>
      <c r="X23" s="248">
        <v>155</v>
      </c>
      <c r="Y23" s="248">
        <v>59</v>
      </c>
      <c r="Z23" s="248">
        <v>24.56</v>
      </c>
      <c r="AA23" s="268"/>
      <c r="AB23" s="268"/>
      <c r="AC23" s="268"/>
    </row>
    <row r="24" spans="1:29" ht="24.75" customHeight="1">
      <c r="A24" s="268"/>
      <c r="B24" s="268"/>
      <c r="C24" s="268"/>
      <c r="D24" s="268"/>
      <c r="E24" s="268"/>
      <c r="F24" s="268"/>
      <c r="G24" s="268"/>
      <c r="H24" s="268"/>
      <c r="I24" s="268"/>
      <c r="J24" s="268"/>
      <c r="K24" s="268"/>
      <c r="L24" s="268"/>
      <c r="M24" s="268"/>
      <c r="N24" s="268"/>
      <c r="O24" s="268"/>
      <c r="P24" s="268"/>
      <c r="Q24" s="268"/>
      <c r="R24" s="268"/>
      <c r="S24" s="313"/>
      <c r="T24" s="313"/>
      <c r="U24" s="268"/>
      <c r="V24" s="309"/>
      <c r="W24" s="310"/>
      <c r="X24" s="268"/>
      <c r="Y24" s="268"/>
      <c r="Z24" s="268"/>
      <c r="AA24" s="268"/>
      <c r="AB24" s="268"/>
      <c r="AC24" s="268"/>
    </row>
    <row r="25" spans="1:29" ht="24.75" customHeight="1">
      <c r="A25" s="268"/>
      <c r="B25" s="268"/>
      <c r="C25" s="268"/>
      <c r="D25" s="268"/>
      <c r="E25" s="268"/>
      <c r="F25" s="268"/>
      <c r="G25" s="268"/>
      <c r="H25" s="268"/>
      <c r="I25" s="268"/>
      <c r="J25" s="268"/>
      <c r="K25" s="268"/>
      <c r="L25" s="268"/>
      <c r="M25" s="268"/>
      <c r="N25" s="268"/>
      <c r="O25" s="268"/>
      <c r="P25" s="268"/>
      <c r="Q25" s="268"/>
      <c r="R25" s="268"/>
      <c r="S25" s="313"/>
      <c r="T25" s="268"/>
      <c r="U25" s="288">
        <v>24454</v>
      </c>
      <c r="V25" s="253" t="s">
        <v>5171</v>
      </c>
      <c r="W25" s="254" t="s">
        <v>5172</v>
      </c>
      <c r="X25" s="248">
        <v>155</v>
      </c>
      <c r="Y25" s="248">
        <v>59</v>
      </c>
      <c r="Z25" s="248">
        <v>24.56</v>
      </c>
      <c r="AA25" s="268"/>
      <c r="AB25" s="268"/>
      <c r="AC25" s="268"/>
    </row>
    <row r="26" spans="1:29" ht="24.75" customHeight="1">
      <c r="A26" s="268"/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268"/>
      <c r="M26" s="268"/>
      <c r="N26" s="268"/>
      <c r="O26" s="268"/>
      <c r="P26" s="268"/>
      <c r="Q26" s="268"/>
      <c r="R26" s="268"/>
      <c r="S26" s="313"/>
      <c r="T26" s="313"/>
      <c r="U26" s="288">
        <v>24329</v>
      </c>
      <c r="V26" s="253" t="s">
        <v>5173</v>
      </c>
      <c r="W26" s="254" t="s">
        <v>5174</v>
      </c>
      <c r="X26" s="248">
        <v>175</v>
      </c>
      <c r="Y26" s="248">
        <v>105</v>
      </c>
      <c r="Z26" s="248">
        <v>34.29</v>
      </c>
      <c r="AA26" s="268"/>
      <c r="AB26" s="268"/>
      <c r="AC26" s="268"/>
    </row>
    <row r="27" spans="1:29" ht="24.75" customHeight="1">
      <c r="A27" s="268"/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268"/>
      <c r="M27" s="268"/>
      <c r="N27" s="268"/>
      <c r="O27" s="268"/>
      <c r="P27" s="268"/>
      <c r="Q27" s="268"/>
      <c r="R27" s="268"/>
      <c r="S27" s="313"/>
      <c r="T27" s="268"/>
      <c r="U27" s="288">
        <v>19933</v>
      </c>
      <c r="V27" s="253" t="s">
        <v>5175</v>
      </c>
      <c r="W27" s="254" t="s">
        <v>5176</v>
      </c>
      <c r="X27" s="248">
        <v>158</v>
      </c>
      <c r="Y27" s="248">
        <v>59</v>
      </c>
      <c r="Z27" s="248">
        <v>23.63</v>
      </c>
      <c r="AA27" s="268"/>
      <c r="AB27" s="268"/>
      <c r="AC27" s="268"/>
    </row>
    <row r="28" spans="1:29" ht="24.75" customHeight="1">
      <c r="A28" s="268"/>
      <c r="B28" s="268"/>
      <c r="C28" s="268"/>
      <c r="D28" s="268"/>
      <c r="E28" s="268"/>
      <c r="F28" s="268"/>
      <c r="G28" s="268"/>
      <c r="H28" s="268"/>
      <c r="I28" s="268"/>
      <c r="J28" s="268"/>
      <c r="K28" s="268"/>
      <c r="L28" s="268"/>
      <c r="M28" s="268"/>
      <c r="N28" s="268"/>
      <c r="O28" s="268"/>
      <c r="P28" s="268"/>
      <c r="Q28" s="268"/>
      <c r="R28" s="268"/>
      <c r="S28" s="313"/>
      <c r="T28" s="313"/>
      <c r="U28" s="288">
        <v>31235</v>
      </c>
      <c r="V28" s="253" t="s">
        <v>5177</v>
      </c>
      <c r="W28" s="254" t="s">
        <v>5178</v>
      </c>
      <c r="X28" s="248">
        <v>153</v>
      </c>
      <c r="Y28" s="248">
        <v>59</v>
      </c>
      <c r="Z28" s="248">
        <v>25.2</v>
      </c>
      <c r="AA28" s="268"/>
      <c r="AB28" s="268"/>
      <c r="AC28" s="268"/>
    </row>
    <row r="29" spans="1:29" ht="24.75" customHeight="1">
      <c r="A29" s="268"/>
      <c r="B29" s="268"/>
      <c r="C29" s="268"/>
      <c r="D29" s="268"/>
      <c r="E29" s="268"/>
      <c r="F29" s="268"/>
      <c r="G29" s="268"/>
      <c r="H29" s="268"/>
      <c r="I29" s="268"/>
      <c r="J29" s="268"/>
      <c r="K29" s="268"/>
      <c r="L29" s="268"/>
      <c r="M29" s="268"/>
      <c r="N29" s="268"/>
      <c r="O29" s="268"/>
      <c r="P29" s="268"/>
      <c r="Q29" s="268"/>
      <c r="R29" s="268"/>
      <c r="S29" s="313"/>
      <c r="T29" s="313"/>
      <c r="U29" s="288">
        <v>24692</v>
      </c>
      <c r="V29" s="253" t="s">
        <v>5395</v>
      </c>
      <c r="W29" s="254" t="s">
        <v>5396</v>
      </c>
      <c r="X29" s="248">
        <v>152</v>
      </c>
      <c r="Y29" s="248">
        <v>82</v>
      </c>
      <c r="Z29" s="248">
        <v>35.49</v>
      </c>
      <c r="AA29" s="268"/>
      <c r="AB29" s="268"/>
      <c r="AC29" s="268"/>
    </row>
    <row r="30" spans="1:29" ht="24.75" customHeight="1">
      <c r="A30" s="268"/>
      <c r="B30" s="268"/>
      <c r="C30" s="268"/>
      <c r="D30" s="268"/>
      <c r="E30" s="268"/>
      <c r="F30" s="268"/>
      <c r="G30" s="268"/>
      <c r="H30" s="268"/>
      <c r="I30" s="268"/>
      <c r="J30" s="268"/>
      <c r="K30" s="268"/>
      <c r="L30" s="268"/>
      <c r="M30" s="268"/>
      <c r="N30" s="268"/>
      <c r="O30" s="268"/>
      <c r="P30" s="268"/>
      <c r="Q30" s="268"/>
      <c r="R30" s="268"/>
      <c r="S30" s="313"/>
      <c r="T30" s="313"/>
      <c r="U30" s="268"/>
      <c r="V30" s="309"/>
      <c r="W30" s="310"/>
      <c r="X30" s="268"/>
      <c r="Y30" s="268"/>
      <c r="Z30" s="268"/>
      <c r="AA30" s="268"/>
      <c r="AB30" s="268"/>
      <c r="AC30" s="268"/>
    </row>
    <row r="31" spans="1:29" ht="24.75" customHeight="1">
      <c r="A31" s="268"/>
      <c r="B31" s="268"/>
      <c r="C31" s="268"/>
      <c r="D31" s="268"/>
      <c r="E31" s="268"/>
      <c r="F31" s="268"/>
      <c r="G31" s="268"/>
      <c r="H31" s="268"/>
      <c r="I31" s="268"/>
      <c r="J31" s="268"/>
      <c r="K31" s="268"/>
      <c r="L31" s="268"/>
      <c r="M31" s="268"/>
      <c r="N31" s="268"/>
      <c r="O31" s="268"/>
      <c r="P31" s="268"/>
      <c r="Q31" s="268"/>
      <c r="R31" s="268"/>
      <c r="S31" s="313"/>
      <c r="T31" s="313"/>
      <c r="U31" s="268"/>
      <c r="V31" s="309"/>
      <c r="W31" s="310"/>
      <c r="X31" s="268"/>
      <c r="Y31" s="268"/>
      <c r="Z31" s="268"/>
      <c r="AA31" s="268"/>
      <c r="AB31" s="268"/>
      <c r="AC31" s="268"/>
    </row>
    <row r="32" spans="1:29" ht="24.75" customHeight="1">
      <c r="A32" s="268"/>
      <c r="B32" s="268"/>
      <c r="C32" s="268"/>
      <c r="D32" s="268"/>
      <c r="E32" s="268"/>
      <c r="F32" s="268"/>
      <c r="G32" s="268"/>
      <c r="H32" s="268"/>
      <c r="I32" s="268"/>
      <c r="J32" s="268"/>
      <c r="K32" s="268"/>
      <c r="L32" s="268"/>
      <c r="M32" s="268"/>
      <c r="N32" s="268"/>
      <c r="O32" s="268"/>
      <c r="P32" s="268"/>
      <c r="Q32" s="268"/>
      <c r="R32" s="268"/>
      <c r="S32" s="313"/>
      <c r="T32" s="313"/>
      <c r="U32" s="268"/>
      <c r="V32" s="309"/>
      <c r="W32" s="310"/>
      <c r="X32" s="268"/>
      <c r="Y32" s="268"/>
      <c r="Z32" s="268"/>
      <c r="AA32" s="268"/>
      <c r="AB32" s="268"/>
      <c r="AC32" s="268"/>
    </row>
    <row r="33" spans="1:29" ht="24.75" customHeight="1">
      <c r="A33" s="268"/>
      <c r="B33" s="268"/>
      <c r="C33" s="268"/>
      <c r="D33" s="268"/>
      <c r="E33" s="268"/>
      <c r="F33" s="268"/>
      <c r="G33" s="268"/>
      <c r="H33" s="268"/>
      <c r="I33" s="268"/>
      <c r="J33" s="268"/>
      <c r="K33" s="268"/>
      <c r="L33" s="268"/>
      <c r="M33" s="268"/>
      <c r="N33" s="268"/>
      <c r="O33" s="268"/>
      <c r="P33" s="268"/>
      <c r="Q33" s="268"/>
      <c r="R33" s="268"/>
      <c r="S33" s="313"/>
      <c r="T33" s="313"/>
      <c r="U33" s="268"/>
      <c r="V33" s="309"/>
      <c r="W33" s="310"/>
      <c r="X33" s="268"/>
      <c r="Y33" s="268"/>
      <c r="Z33" s="268"/>
      <c r="AA33" s="268"/>
      <c r="AB33" s="268"/>
      <c r="AC33" s="268"/>
    </row>
    <row r="34" spans="1:29" ht="24.75" customHeight="1">
      <c r="A34" s="268"/>
      <c r="B34" s="268"/>
      <c r="C34" s="268"/>
      <c r="D34" s="268"/>
      <c r="E34" s="268"/>
      <c r="F34" s="268"/>
      <c r="G34" s="268"/>
      <c r="H34" s="268"/>
      <c r="I34" s="268"/>
      <c r="J34" s="268"/>
      <c r="K34" s="268"/>
      <c r="L34" s="268"/>
      <c r="M34" s="268"/>
      <c r="N34" s="268"/>
      <c r="O34" s="268"/>
      <c r="P34" s="268"/>
      <c r="Q34" s="268"/>
      <c r="R34" s="268"/>
      <c r="S34" s="313"/>
      <c r="T34" s="313"/>
      <c r="U34" s="268"/>
      <c r="V34" s="309"/>
      <c r="W34" s="310"/>
      <c r="X34" s="268"/>
      <c r="Y34" s="268"/>
      <c r="Z34" s="268"/>
      <c r="AA34" s="268"/>
      <c r="AB34" s="268"/>
      <c r="AC34" s="268"/>
    </row>
    <row r="35" spans="1:29" ht="24.75" customHeight="1">
      <c r="A35" s="268"/>
      <c r="B35" s="268"/>
      <c r="C35" s="268"/>
      <c r="D35" s="268"/>
      <c r="E35" s="268"/>
      <c r="F35" s="268"/>
      <c r="G35" s="268"/>
      <c r="H35" s="268"/>
      <c r="I35" s="268"/>
      <c r="J35" s="268"/>
      <c r="K35" s="268"/>
      <c r="L35" s="268"/>
      <c r="M35" s="268"/>
      <c r="N35" s="268"/>
      <c r="O35" s="268"/>
      <c r="P35" s="268"/>
      <c r="Q35" s="268"/>
      <c r="R35" s="268"/>
      <c r="S35" s="313"/>
      <c r="T35" s="313"/>
      <c r="U35" s="268"/>
      <c r="V35" s="309"/>
      <c r="W35" s="310"/>
      <c r="X35" s="268"/>
      <c r="Y35" s="268"/>
      <c r="Z35" s="268"/>
      <c r="AA35" s="268"/>
      <c r="AB35" s="268"/>
      <c r="AC35" s="268"/>
    </row>
    <row r="36" spans="1:29" ht="24.75" customHeight="1">
      <c r="A36" s="268"/>
      <c r="B36" s="268"/>
      <c r="C36" s="268"/>
      <c r="D36" s="268"/>
      <c r="E36" s="268"/>
      <c r="F36" s="268"/>
      <c r="G36" s="268"/>
      <c r="H36" s="268"/>
      <c r="I36" s="268"/>
      <c r="J36" s="268"/>
      <c r="K36" s="268"/>
      <c r="L36" s="268"/>
      <c r="M36" s="268"/>
      <c r="N36" s="268"/>
      <c r="O36" s="268"/>
      <c r="P36" s="268"/>
      <c r="Q36" s="268"/>
      <c r="R36" s="268"/>
      <c r="S36" s="313"/>
      <c r="T36" s="313"/>
      <c r="U36" s="268"/>
      <c r="V36" s="309"/>
      <c r="W36" s="310"/>
      <c r="X36" s="268"/>
      <c r="Y36" s="268"/>
      <c r="Z36" s="268"/>
      <c r="AA36" s="268"/>
      <c r="AB36" s="268"/>
      <c r="AC36" s="268"/>
    </row>
    <row r="37" spans="1:29" ht="24.75" customHeight="1">
      <c r="A37" s="268"/>
      <c r="B37" s="268"/>
      <c r="C37" s="268"/>
      <c r="D37" s="268"/>
      <c r="E37" s="268"/>
      <c r="F37" s="268"/>
      <c r="G37" s="268"/>
      <c r="H37" s="268"/>
      <c r="I37" s="268"/>
      <c r="J37" s="268"/>
      <c r="K37" s="268"/>
      <c r="L37" s="268"/>
      <c r="M37" s="268"/>
      <c r="N37" s="268"/>
      <c r="O37" s="268"/>
      <c r="P37" s="268"/>
      <c r="Q37" s="268"/>
      <c r="R37" s="268"/>
      <c r="S37" s="313"/>
      <c r="T37" s="313"/>
      <c r="U37" s="248"/>
      <c r="V37" s="253"/>
      <c r="W37" s="254"/>
      <c r="X37" s="248"/>
      <c r="Y37" s="248"/>
      <c r="Z37" s="248"/>
      <c r="AA37" s="268"/>
      <c r="AB37" s="268"/>
      <c r="AC37" s="268"/>
    </row>
    <row r="38" spans="1:29" ht="24.75" customHeight="1">
      <c r="A38" s="268"/>
      <c r="B38" s="268"/>
      <c r="C38" s="268"/>
      <c r="D38" s="268"/>
      <c r="E38" s="268"/>
      <c r="F38" s="268"/>
      <c r="G38" s="268"/>
      <c r="H38" s="268"/>
      <c r="I38" s="268"/>
      <c r="J38" s="268"/>
      <c r="K38" s="268"/>
      <c r="L38" s="268"/>
      <c r="M38" s="268"/>
      <c r="N38" s="268"/>
      <c r="O38" s="268"/>
      <c r="P38" s="268"/>
      <c r="Q38" s="268"/>
      <c r="R38" s="268"/>
      <c r="S38" s="313"/>
      <c r="T38" s="313"/>
      <c r="U38" s="268"/>
      <c r="V38" s="309"/>
      <c r="W38" s="310"/>
      <c r="X38" s="268"/>
      <c r="Y38" s="268"/>
      <c r="Z38" s="268"/>
      <c r="AA38" s="268"/>
      <c r="AB38" s="268"/>
      <c r="AC38" s="268"/>
    </row>
    <row r="39" spans="1:29" ht="24.75" customHeight="1">
      <c r="A39" s="268"/>
      <c r="B39" s="268"/>
      <c r="C39" s="268"/>
      <c r="D39" s="268"/>
      <c r="E39" s="268"/>
      <c r="F39" s="268"/>
      <c r="G39" s="268"/>
      <c r="H39" s="268"/>
      <c r="I39" s="268"/>
      <c r="J39" s="268"/>
      <c r="K39" s="268"/>
      <c r="L39" s="268"/>
      <c r="M39" s="268"/>
      <c r="N39" s="268"/>
      <c r="O39" s="268"/>
      <c r="P39" s="268"/>
      <c r="Q39" s="268"/>
      <c r="R39" s="268"/>
      <c r="S39" s="313"/>
      <c r="T39" s="313"/>
      <c r="U39" s="268"/>
      <c r="V39" s="309"/>
      <c r="W39" s="310"/>
      <c r="X39" s="268"/>
      <c r="Y39" s="268"/>
      <c r="Z39" s="268"/>
      <c r="AA39" s="268"/>
      <c r="AB39" s="268"/>
      <c r="AC39" s="268"/>
    </row>
    <row r="40" spans="1:29" ht="24.75" customHeight="1">
      <c r="A40" s="268"/>
      <c r="B40" s="268"/>
      <c r="C40" s="268"/>
      <c r="D40" s="268"/>
      <c r="E40" s="268"/>
      <c r="F40" s="268"/>
      <c r="G40" s="268"/>
      <c r="H40" s="268"/>
      <c r="I40" s="268"/>
      <c r="J40" s="268"/>
      <c r="K40" s="268"/>
      <c r="L40" s="268"/>
      <c r="M40" s="268"/>
      <c r="N40" s="268"/>
      <c r="O40" s="268"/>
      <c r="P40" s="268"/>
      <c r="Q40" s="268"/>
      <c r="R40" s="268"/>
      <c r="S40" s="313"/>
      <c r="T40" s="313"/>
      <c r="U40" s="268"/>
      <c r="V40" s="309"/>
      <c r="W40" s="310"/>
      <c r="X40" s="268"/>
      <c r="Y40" s="268"/>
      <c r="Z40" s="268"/>
      <c r="AA40" s="268"/>
      <c r="AB40" s="268"/>
      <c r="AC40" s="268"/>
    </row>
    <row r="41" spans="1:29" ht="24.75" customHeight="1">
      <c r="A41" s="268"/>
      <c r="B41" s="268"/>
      <c r="C41" s="268"/>
      <c r="D41" s="268"/>
      <c r="E41" s="268"/>
      <c r="F41" s="268"/>
      <c r="G41" s="268"/>
      <c r="H41" s="268"/>
      <c r="I41" s="268"/>
      <c r="J41" s="268"/>
      <c r="K41" s="268"/>
      <c r="L41" s="268"/>
      <c r="M41" s="268"/>
      <c r="N41" s="268"/>
      <c r="O41" s="268"/>
      <c r="P41" s="268"/>
      <c r="Q41" s="268"/>
      <c r="R41" s="268"/>
      <c r="S41" s="313"/>
      <c r="T41" s="313"/>
      <c r="U41" s="230"/>
      <c r="V41" s="256"/>
      <c r="W41" s="257"/>
      <c r="X41" s="230"/>
      <c r="Y41" s="230"/>
      <c r="Z41" s="230"/>
      <c r="AA41" s="268"/>
      <c r="AB41" s="268"/>
      <c r="AC41" s="268"/>
    </row>
    <row r="42" spans="1:29" ht="24.75" customHeight="1">
      <c r="A42" s="268"/>
      <c r="B42" s="268"/>
      <c r="C42" s="268"/>
      <c r="D42" s="268"/>
      <c r="E42" s="268"/>
      <c r="F42" s="268"/>
      <c r="G42" s="268"/>
      <c r="H42" s="268"/>
      <c r="I42" s="268"/>
      <c r="J42" s="268"/>
      <c r="K42" s="268"/>
      <c r="L42" s="268"/>
      <c r="M42" s="268"/>
      <c r="N42" s="268"/>
      <c r="O42" s="268"/>
      <c r="P42" s="268"/>
      <c r="Q42" s="268"/>
      <c r="R42" s="268"/>
      <c r="S42" s="313"/>
      <c r="T42" s="313"/>
      <c r="U42" s="268"/>
      <c r="V42" s="309"/>
      <c r="W42" s="310"/>
      <c r="X42" s="268"/>
      <c r="Y42" s="268"/>
      <c r="Z42" s="268"/>
      <c r="AA42" s="268"/>
      <c r="AB42" s="268"/>
      <c r="AC42" s="268"/>
    </row>
    <row r="43" spans="1:29" ht="24.75" customHeight="1">
      <c r="A43" s="268"/>
      <c r="B43" s="268"/>
      <c r="C43" s="268"/>
      <c r="D43" s="268"/>
      <c r="E43" s="268"/>
      <c r="F43" s="268"/>
      <c r="G43" s="268"/>
      <c r="H43" s="268"/>
      <c r="I43" s="268"/>
      <c r="J43" s="268"/>
      <c r="K43" s="268"/>
      <c r="L43" s="309"/>
      <c r="M43" s="268"/>
      <c r="N43" s="268"/>
      <c r="O43" s="310"/>
      <c r="P43" s="268"/>
      <c r="Q43" s="309"/>
      <c r="R43" s="268"/>
      <c r="S43" s="313"/>
      <c r="T43" s="313"/>
      <c r="U43" s="268"/>
      <c r="V43" s="309"/>
      <c r="W43" s="310"/>
      <c r="X43" s="268"/>
      <c r="Y43" s="268"/>
      <c r="Z43" s="268"/>
      <c r="AA43" s="268"/>
      <c r="AB43" s="268"/>
      <c r="AC43" s="268"/>
    </row>
    <row r="44" spans="1:29" ht="24.75" customHeight="1">
      <c r="A44" s="268"/>
      <c r="B44" s="268"/>
      <c r="C44" s="268"/>
      <c r="D44" s="268"/>
      <c r="E44" s="268"/>
      <c r="F44" s="268"/>
      <c r="G44" s="268"/>
      <c r="H44" s="268"/>
      <c r="I44" s="268"/>
      <c r="J44" s="268"/>
      <c r="K44" s="268"/>
      <c r="L44" s="309"/>
      <c r="M44" s="268"/>
      <c r="N44" s="268"/>
      <c r="O44" s="310"/>
      <c r="P44" s="268"/>
      <c r="Q44" s="309"/>
      <c r="R44" s="268"/>
      <c r="S44" s="313"/>
      <c r="T44" s="313"/>
      <c r="U44" s="268"/>
      <c r="V44" s="309"/>
      <c r="W44" s="310"/>
      <c r="X44" s="268"/>
      <c r="Y44" s="268"/>
      <c r="Z44" s="268"/>
      <c r="AA44" s="268"/>
      <c r="AB44" s="268"/>
      <c r="AC44" s="268"/>
    </row>
    <row r="45" spans="1:29" ht="24.75" customHeight="1">
      <c r="A45" s="268"/>
      <c r="B45" s="268"/>
      <c r="C45" s="268"/>
      <c r="D45" s="268"/>
      <c r="E45" s="268"/>
      <c r="F45" s="268"/>
      <c r="G45" s="268"/>
      <c r="H45" s="268"/>
      <c r="I45" s="268"/>
      <c r="J45" s="268"/>
      <c r="K45" s="268"/>
      <c r="L45" s="309"/>
      <c r="M45" s="268"/>
      <c r="N45" s="268"/>
      <c r="O45" s="310"/>
      <c r="P45" s="268"/>
      <c r="Q45" s="309"/>
      <c r="R45" s="268"/>
      <c r="S45" s="313"/>
      <c r="T45" s="313"/>
      <c r="U45" s="268"/>
      <c r="V45" s="309"/>
      <c r="W45" s="310"/>
      <c r="X45" s="268"/>
      <c r="Y45" s="268"/>
      <c r="Z45" s="268"/>
      <c r="AA45" s="268"/>
      <c r="AB45" s="268"/>
      <c r="AC45" s="268"/>
    </row>
    <row r="46" spans="1:29" ht="24.75" customHeight="1">
      <c r="A46" s="268"/>
      <c r="B46" s="268"/>
      <c r="C46" s="268"/>
      <c r="D46" s="268"/>
      <c r="E46" s="268"/>
      <c r="F46" s="268"/>
      <c r="G46" s="268"/>
      <c r="H46" s="268"/>
      <c r="I46" s="268"/>
      <c r="J46" s="268"/>
      <c r="K46" s="268"/>
      <c r="L46" s="309"/>
      <c r="M46" s="268"/>
      <c r="N46" s="268"/>
      <c r="O46" s="310"/>
      <c r="P46" s="268"/>
      <c r="Q46" s="309"/>
      <c r="R46" s="268"/>
      <c r="S46" s="313"/>
      <c r="T46" s="313"/>
      <c r="U46" s="289"/>
      <c r="V46" s="290"/>
      <c r="W46" s="291"/>
      <c r="X46" s="289"/>
      <c r="Y46" s="289"/>
      <c r="Z46" s="289"/>
      <c r="AA46" s="268"/>
      <c r="AB46" s="268"/>
      <c r="AC46" s="268"/>
    </row>
    <row r="47" spans="1:29" ht="24.75" customHeight="1">
      <c r="A47" s="268"/>
      <c r="B47" s="268"/>
      <c r="C47" s="268"/>
      <c r="D47" s="268"/>
      <c r="E47" s="268"/>
      <c r="F47" s="268"/>
      <c r="G47" s="268"/>
      <c r="H47" s="268"/>
      <c r="I47" s="268"/>
      <c r="J47" s="268"/>
      <c r="K47" s="268"/>
      <c r="L47" s="309"/>
      <c r="M47" s="268"/>
      <c r="N47" s="268"/>
      <c r="O47" s="310"/>
      <c r="P47" s="268"/>
      <c r="Q47" s="309"/>
      <c r="R47" s="268"/>
      <c r="S47" s="313"/>
      <c r="T47" s="313"/>
      <c r="U47" s="268"/>
      <c r="V47" s="309"/>
      <c r="W47" s="310"/>
      <c r="X47" s="268"/>
      <c r="Y47" s="268"/>
      <c r="Z47" s="268"/>
      <c r="AA47" s="268"/>
      <c r="AB47" s="268"/>
      <c r="AC47" s="268"/>
    </row>
    <row r="48" spans="1:29" ht="24.75" customHeight="1">
      <c r="A48" s="268"/>
      <c r="B48" s="268"/>
      <c r="C48" s="268"/>
      <c r="D48" s="268"/>
      <c r="E48" s="268"/>
      <c r="F48" s="268"/>
      <c r="G48" s="268"/>
      <c r="H48" s="268"/>
      <c r="I48" s="268"/>
      <c r="J48" s="268"/>
      <c r="K48" s="268"/>
      <c r="L48" s="309"/>
      <c r="M48" s="268"/>
      <c r="N48" s="268"/>
      <c r="O48" s="310"/>
      <c r="P48" s="268"/>
      <c r="Q48" s="309"/>
      <c r="R48" s="268"/>
      <c r="S48" s="313"/>
      <c r="T48" s="313"/>
      <c r="U48" s="268"/>
      <c r="V48" s="309"/>
      <c r="W48" s="310"/>
      <c r="X48" s="268"/>
      <c r="Y48" s="268"/>
      <c r="Z48" s="268"/>
      <c r="AA48" s="268"/>
      <c r="AB48" s="268"/>
      <c r="AC48" s="268"/>
    </row>
    <row r="49" spans="1:29" ht="24.75" customHeight="1">
      <c r="A49" s="268"/>
      <c r="B49" s="268"/>
      <c r="C49" s="268"/>
      <c r="D49" s="268"/>
      <c r="E49" s="268"/>
      <c r="F49" s="268"/>
      <c r="G49" s="268"/>
      <c r="H49" s="268"/>
      <c r="I49" s="268"/>
      <c r="J49" s="268"/>
      <c r="K49" s="268"/>
      <c r="L49" s="309"/>
      <c r="M49" s="268"/>
      <c r="N49" s="268"/>
      <c r="O49" s="310"/>
      <c r="P49" s="268"/>
      <c r="Q49" s="309"/>
      <c r="R49" s="268"/>
      <c r="S49" s="313"/>
      <c r="T49" s="313"/>
      <c r="U49" s="268"/>
      <c r="V49" s="309"/>
      <c r="W49" s="310"/>
      <c r="X49" s="268"/>
      <c r="Y49" s="268"/>
      <c r="Z49" s="268"/>
      <c r="AA49" s="268"/>
      <c r="AB49" s="268"/>
      <c r="AC49" s="268"/>
    </row>
    <row r="50" spans="1:29" ht="24.75" customHeight="1">
      <c r="A50" s="268"/>
      <c r="B50" s="268"/>
      <c r="C50" s="268"/>
      <c r="D50" s="268"/>
      <c r="E50" s="268"/>
      <c r="F50" s="268"/>
      <c r="G50" s="268"/>
      <c r="H50" s="268"/>
      <c r="I50" s="268"/>
      <c r="J50" s="268"/>
      <c r="K50" s="268"/>
      <c r="L50" s="309"/>
      <c r="M50" s="268"/>
      <c r="N50" s="268"/>
      <c r="O50" s="310"/>
      <c r="P50" s="268"/>
      <c r="Q50" s="309"/>
      <c r="R50" s="268"/>
      <c r="S50" s="313"/>
      <c r="T50" s="313"/>
      <c r="U50" s="268"/>
      <c r="V50" s="309"/>
      <c r="W50" s="310"/>
      <c r="X50" s="268"/>
      <c r="Y50" s="268"/>
      <c r="Z50" s="268"/>
      <c r="AA50" s="268"/>
      <c r="AB50" s="268"/>
      <c r="AC50" s="268"/>
    </row>
    <row r="51" spans="1:29" ht="24.75" customHeight="1">
      <c r="A51" s="268"/>
      <c r="B51" s="268"/>
      <c r="C51" s="268"/>
      <c r="D51" s="268"/>
      <c r="E51" s="268"/>
      <c r="F51" s="268"/>
      <c r="G51" s="268"/>
      <c r="H51" s="268"/>
      <c r="I51" s="268"/>
      <c r="J51" s="268"/>
      <c r="K51" s="268"/>
      <c r="L51" s="309"/>
      <c r="M51" s="268"/>
      <c r="N51" s="268"/>
      <c r="O51" s="310"/>
      <c r="P51" s="268"/>
      <c r="Q51" s="309"/>
      <c r="R51" s="268"/>
      <c r="S51" s="313"/>
      <c r="T51" s="313"/>
      <c r="U51" s="230"/>
      <c r="V51" s="256"/>
      <c r="W51" s="257"/>
      <c r="X51" s="230"/>
      <c r="Y51" s="230"/>
      <c r="Z51" s="230"/>
      <c r="AA51" s="268"/>
      <c r="AB51" s="268"/>
      <c r="AC51" s="268"/>
    </row>
    <row r="52" spans="1:29" ht="24.75" customHeight="1">
      <c r="A52" s="268"/>
      <c r="B52" s="268"/>
      <c r="C52" s="268"/>
      <c r="D52" s="268"/>
      <c r="E52" s="268"/>
      <c r="F52" s="268"/>
      <c r="G52" s="268"/>
      <c r="H52" s="268"/>
      <c r="I52" s="268"/>
      <c r="J52" s="268"/>
      <c r="K52" s="268"/>
      <c r="L52" s="309"/>
      <c r="M52" s="268"/>
      <c r="N52" s="268"/>
      <c r="O52" s="310"/>
      <c r="P52" s="268"/>
      <c r="Q52" s="309"/>
      <c r="R52" s="268"/>
      <c r="S52" s="313"/>
      <c r="T52" s="313"/>
      <c r="U52" s="268"/>
      <c r="V52" s="309"/>
      <c r="W52" s="310"/>
      <c r="X52" s="268"/>
      <c r="Y52" s="268"/>
      <c r="Z52" s="268"/>
      <c r="AA52" s="268"/>
      <c r="AB52" s="268"/>
      <c r="AC52" s="268"/>
    </row>
    <row r="53" spans="1:29" ht="24.75" customHeight="1">
      <c r="A53" s="268"/>
      <c r="B53" s="268"/>
      <c r="C53" s="268"/>
      <c r="D53" s="268"/>
      <c r="E53" s="268"/>
      <c r="F53" s="268"/>
      <c r="G53" s="268"/>
      <c r="H53" s="268"/>
      <c r="I53" s="268"/>
      <c r="J53" s="268"/>
      <c r="K53" s="268"/>
      <c r="L53" s="309"/>
      <c r="M53" s="268"/>
      <c r="N53" s="268"/>
      <c r="O53" s="310"/>
      <c r="P53" s="268"/>
      <c r="Q53" s="309"/>
      <c r="R53" s="268"/>
      <c r="S53" s="313"/>
      <c r="T53" s="313"/>
      <c r="U53" s="268"/>
      <c r="V53" s="309"/>
      <c r="W53" s="310"/>
      <c r="X53" s="268"/>
      <c r="Y53" s="268"/>
      <c r="Z53" s="268"/>
      <c r="AA53" s="268"/>
      <c r="AB53" s="268"/>
      <c r="AC53" s="268"/>
    </row>
    <row r="54" spans="1:29" ht="24.75" customHeight="1">
      <c r="A54" s="268"/>
      <c r="B54" s="268"/>
      <c r="C54" s="268"/>
      <c r="D54" s="268"/>
      <c r="E54" s="268"/>
      <c r="F54" s="268"/>
      <c r="G54" s="268"/>
      <c r="H54" s="268"/>
      <c r="I54" s="268"/>
      <c r="J54" s="268"/>
      <c r="K54" s="268"/>
      <c r="L54" s="309"/>
      <c r="M54" s="268"/>
      <c r="N54" s="268"/>
      <c r="O54" s="310"/>
      <c r="P54" s="268"/>
      <c r="Q54" s="309"/>
      <c r="R54" s="268"/>
      <c r="S54" s="313"/>
      <c r="T54" s="313"/>
      <c r="U54" s="230"/>
      <c r="V54" s="256"/>
      <c r="W54" s="257"/>
      <c r="X54" s="230"/>
      <c r="Y54" s="230"/>
      <c r="Z54" s="230"/>
      <c r="AA54" s="268"/>
      <c r="AB54" s="268"/>
      <c r="AC54" s="268"/>
    </row>
    <row r="55" spans="1:29" ht="24.75" customHeight="1">
      <c r="A55" s="268"/>
      <c r="B55" s="268"/>
      <c r="C55" s="268"/>
      <c r="D55" s="268"/>
      <c r="E55" s="268"/>
      <c r="F55" s="268"/>
      <c r="G55" s="268"/>
      <c r="H55" s="268"/>
      <c r="I55" s="268"/>
      <c r="J55" s="268"/>
      <c r="K55" s="268"/>
      <c r="L55" s="309"/>
      <c r="M55" s="268"/>
      <c r="N55" s="268"/>
      <c r="O55" s="310"/>
      <c r="P55" s="268"/>
      <c r="Q55" s="309"/>
      <c r="R55" s="268"/>
      <c r="S55" s="313"/>
      <c r="T55" s="313"/>
      <c r="U55" s="230"/>
      <c r="V55" s="256"/>
      <c r="W55" s="257"/>
      <c r="X55" s="230"/>
      <c r="Y55" s="230"/>
      <c r="Z55" s="230"/>
      <c r="AA55" s="268"/>
      <c r="AB55" s="268"/>
      <c r="AC55" s="268"/>
    </row>
    <row r="56" spans="1:29" ht="24.75" customHeight="1">
      <c r="A56" s="268"/>
      <c r="B56" s="268"/>
      <c r="C56" s="268"/>
      <c r="D56" s="268"/>
      <c r="E56" s="268"/>
      <c r="F56" s="268"/>
      <c r="G56" s="268"/>
      <c r="H56" s="268"/>
      <c r="I56" s="268"/>
      <c r="J56" s="268"/>
      <c r="K56" s="268"/>
      <c r="L56" s="309"/>
      <c r="M56" s="268"/>
      <c r="N56" s="268"/>
      <c r="O56" s="310"/>
      <c r="P56" s="268"/>
      <c r="Q56" s="309"/>
      <c r="R56" s="268"/>
      <c r="S56" s="313"/>
      <c r="T56" s="313"/>
      <c r="U56" s="268"/>
      <c r="V56" s="309"/>
      <c r="W56" s="310"/>
      <c r="X56" s="268"/>
      <c r="Y56" s="268"/>
      <c r="Z56" s="268"/>
      <c r="AA56" s="268"/>
      <c r="AB56" s="268"/>
      <c r="AC56" s="268"/>
    </row>
    <row r="57" spans="1:29" ht="24.75" customHeight="1">
      <c r="A57" s="268"/>
      <c r="B57" s="268"/>
      <c r="C57" s="268"/>
      <c r="D57" s="268"/>
      <c r="E57" s="268"/>
      <c r="F57" s="268"/>
      <c r="G57" s="268"/>
      <c r="H57" s="268"/>
      <c r="I57" s="268"/>
      <c r="J57" s="268"/>
      <c r="K57" s="268"/>
      <c r="L57" s="309"/>
      <c r="M57" s="268"/>
      <c r="N57" s="268"/>
      <c r="O57" s="310"/>
      <c r="P57" s="268"/>
      <c r="Q57" s="309"/>
      <c r="R57" s="268"/>
      <c r="S57" s="313"/>
      <c r="T57" s="313"/>
      <c r="U57" s="268"/>
      <c r="V57" s="309"/>
      <c r="W57" s="310"/>
      <c r="X57" s="268"/>
      <c r="Y57" s="268"/>
      <c r="Z57" s="268"/>
      <c r="AA57" s="268"/>
      <c r="AB57" s="268"/>
      <c r="AC57" s="268"/>
    </row>
    <row r="58" spans="1:29" ht="24.75" customHeight="1">
      <c r="A58" s="268"/>
      <c r="B58" s="268"/>
      <c r="C58" s="268"/>
      <c r="D58" s="268"/>
      <c r="E58" s="268"/>
      <c r="F58" s="268"/>
      <c r="G58" s="268"/>
      <c r="H58" s="268"/>
      <c r="I58" s="268"/>
      <c r="J58" s="268"/>
      <c r="K58" s="268"/>
      <c r="L58" s="309"/>
      <c r="M58" s="268"/>
      <c r="N58" s="268"/>
      <c r="O58" s="310"/>
      <c r="P58" s="268"/>
      <c r="Q58" s="309"/>
      <c r="R58" s="268"/>
      <c r="S58" s="313"/>
      <c r="T58" s="313"/>
      <c r="U58" s="230"/>
      <c r="V58" s="256"/>
      <c r="W58" s="257"/>
      <c r="X58" s="230"/>
      <c r="Y58" s="230"/>
      <c r="Z58" s="230"/>
      <c r="AA58" s="268"/>
      <c r="AB58" s="268"/>
      <c r="AC58" s="268"/>
    </row>
    <row r="59" spans="1:29" ht="24.75" customHeight="1">
      <c r="A59" s="268"/>
      <c r="B59" s="268"/>
      <c r="C59" s="268"/>
      <c r="D59" s="268"/>
      <c r="E59" s="268"/>
      <c r="F59" s="268"/>
      <c r="G59" s="268"/>
      <c r="H59" s="268"/>
      <c r="I59" s="268"/>
      <c r="J59" s="268"/>
      <c r="K59" s="268"/>
      <c r="L59" s="309"/>
      <c r="M59" s="268"/>
      <c r="N59" s="268"/>
      <c r="O59" s="310"/>
      <c r="P59" s="268"/>
      <c r="Q59" s="309"/>
      <c r="R59" s="268"/>
      <c r="S59" s="313"/>
      <c r="T59" s="313"/>
      <c r="U59" s="268"/>
      <c r="V59" s="309"/>
      <c r="W59" s="310"/>
      <c r="X59" s="268"/>
      <c r="Y59" s="268"/>
      <c r="Z59" s="268"/>
      <c r="AA59" s="268"/>
      <c r="AB59" s="268"/>
      <c r="AC59" s="268"/>
    </row>
    <row r="60" spans="1:29" ht="24.75" customHeight="1">
      <c r="A60" s="268"/>
      <c r="B60" s="268"/>
      <c r="C60" s="268"/>
      <c r="D60" s="268"/>
      <c r="E60" s="268"/>
      <c r="F60" s="268"/>
      <c r="G60" s="268"/>
      <c r="H60" s="268"/>
      <c r="I60" s="268"/>
      <c r="J60" s="268"/>
      <c r="K60" s="268"/>
      <c r="L60" s="309"/>
      <c r="M60" s="268"/>
      <c r="N60" s="268"/>
      <c r="O60" s="310"/>
      <c r="P60" s="268"/>
      <c r="Q60" s="309"/>
      <c r="R60" s="268"/>
      <c r="S60" s="313"/>
      <c r="T60" s="313"/>
      <c r="U60" s="230"/>
      <c r="V60" s="256"/>
      <c r="W60" s="257"/>
      <c r="X60" s="230"/>
      <c r="Y60" s="230"/>
      <c r="Z60" s="230"/>
      <c r="AA60" s="268"/>
      <c r="AB60" s="268"/>
      <c r="AC60" s="268"/>
    </row>
    <row r="61" spans="1:29" ht="24.75" customHeight="1">
      <c r="A61" s="268"/>
      <c r="B61" s="268"/>
      <c r="C61" s="268"/>
      <c r="D61" s="268"/>
      <c r="E61" s="268"/>
      <c r="F61" s="268"/>
      <c r="G61" s="268"/>
      <c r="H61" s="268"/>
      <c r="I61" s="268"/>
      <c r="J61" s="268"/>
      <c r="K61" s="268"/>
      <c r="L61" s="309"/>
      <c r="M61" s="268"/>
      <c r="N61" s="268"/>
      <c r="O61" s="310"/>
      <c r="P61" s="268"/>
      <c r="Q61" s="309"/>
      <c r="R61" s="268"/>
      <c r="S61" s="313"/>
      <c r="T61" s="313"/>
      <c r="U61" s="268"/>
      <c r="V61" s="309"/>
      <c r="W61" s="310"/>
      <c r="X61" s="268"/>
      <c r="Y61" s="268"/>
      <c r="Z61" s="268"/>
      <c r="AA61" s="268"/>
      <c r="AB61" s="268"/>
      <c r="AC61" s="268"/>
    </row>
    <row r="62" spans="1:29" ht="24.75" customHeight="1">
      <c r="A62" s="268"/>
      <c r="B62" s="268"/>
      <c r="C62" s="268"/>
      <c r="D62" s="268"/>
      <c r="E62" s="268"/>
      <c r="F62" s="268"/>
      <c r="G62" s="268"/>
      <c r="H62" s="268"/>
      <c r="I62" s="268"/>
      <c r="J62" s="268"/>
      <c r="K62" s="268"/>
      <c r="L62" s="309"/>
      <c r="M62" s="268"/>
      <c r="N62" s="268"/>
      <c r="O62" s="310"/>
      <c r="P62" s="268"/>
      <c r="Q62" s="309"/>
      <c r="R62" s="268"/>
      <c r="S62" s="313"/>
      <c r="T62" s="313"/>
      <c r="U62" s="268"/>
      <c r="V62" s="309"/>
      <c r="W62" s="310"/>
      <c r="X62" s="268"/>
      <c r="Y62" s="268"/>
      <c r="Z62" s="268"/>
      <c r="AA62" s="268"/>
      <c r="AB62" s="268"/>
      <c r="AC62" s="268"/>
    </row>
    <row r="63" spans="1:29" ht="24.75" customHeight="1">
      <c r="A63" s="268" t="s">
        <v>5397</v>
      </c>
      <c r="B63" s="268"/>
      <c r="C63" s="268"/>
      <c r="D63" s="268"/>
      <c r="E63" s="268"/>
      <c r="F63" s="268"/>
      <c r="G63" s="268"/>
      <c r="H63" s="268"/>
      <c r="I63" s="268"/>
      <c r="J63" s="268"/>
      <c r="K63" s="268"/>
      <c r="L63" s="309"/>
      <c r="M63" s="268"/>
      <c r="N63" s="268"/>
      <c r="O63" s="310"/>
      <c r="P63" s="268"/>
      <c r="Q63" s="309"/>
      <c r="R63" s="268"/>
      <c r="S63" s="313"/>
      <c r="T63" s="313"/>
      <c r="U63" s="248"/>
      <c r="V63" s="253"/>
      <c r="W63" s="254"/>
      <c r="X63" s="248"/>
      <c r="Y63" s="248"/>
      <c r="Z63" s="248"/>
      <c r="AA63" s="268"/>
      <c r="AB63" s="268"/>
      <c r="AC63" s="268"/>
    </row>
    <row r="64" spans="1:29" ht="24.75" customHeight="1">
      <c r="A64" s="268" t="s">
        <v>5397</v>
      </c>
      <c r="B64" s="268"/>
      <c r="C64" s="268"/>
      <c r="D64" s="268"/>
      <c r="E64" s="268"/>
      <c r="F64" s="268"/>
      <c r="G64" s="268"/>
      <c r="H64" s="268"/>
      <c r="I64" s="268"/>
      <c r="J64" s="268"/>
      <c r="K64" s="268"/>
      <c r="L64" s="309"/>
      <c r="M64" s="268"/>
      <c r="N64" s="268"/>
      <c r="O64" s="310"/>
      <c r="P64" s="268"/>
      <c r="Q64" s="309"/>
      <c r="R64" s="268"/>
      <c r="S64" s="313"/>
      <c r="T64" s="313"/>
      <c r="U64" s="268"/>
      <c r="V64" s="309"/>
      <c r="W64" s="310"/>
      <c r="X64" s="268"/>
      <c r="Y64" s="268"/>
      <c r="Z64" s="268"/>
      <c r="AA64" s="268"/>
      <c r="AB64" s="268"/>
      <c r="AC64" s="268"/>
    </row>
    <row r="65" spans="1:29" ht="24.75" customHeight="1">
      <c r="A65" s="268"/>
      <c r="B65" s="268"/>
      <c r="C65" s="268"/>
      <c r="D65" s="268"/>
      <c r="E65" s="268"/>
      <c r="F65" s="268"/>
      <c r="G65" s="268"/>
      <c r="H65" s="268"/>
      <c r="I65" s="268"/>
      <c r="J65" s="268"/>
      <c r="K65" s="268"/>
      <c r="L65" s="309"/>
      <c r="M65" s="268"/>
      <c r="N65" s="268"/>
      <c r="O65" s="310"/>
      <c r="P65" s="268"/>
      <c r="Q65" s="309"/>
      <c r="R65" s="268"/>
      <c r="S65" s="313"/>
      <c r="T65" s="313"/>
      <c r="U65" s="268"/>
      <c r="V65" s="309"/>
      <c r="W65" s="310"/>
      <c r="X65" s="268"/>
      <c r="Y65" s="268"/>
      <c r="Z65" s="268"/>
      <c r="AA65" s="268"/>
      <c r="AB65" s="268"/>
      <c r="AC65" s="268"/>
    </row>
    <row r="66" spans="1:29" ht="24.75" customHeight="1">
      <c r="A66" s="268"/>
      <c r="B66" s="268"/>
      <c r="C66" s="268"/>
      <c r="D66" s="268"/>
      <c r="E66" s="268"/>
      <c r="F66" s="268"/>
      <c r="G66" s="268"/>
      <c r="H66" s="268"/>
      <c r="I66" s="268"/>
      <c r="J66" s="268"/>
      <c r="K66" s="268"/>
      <c r="L66" s="309"/>
      <c r="M66" s="268"/>
      <c r="N66" s="268"/>
      <c r="O66" s="310"/>
      <c r="P66" s="268"/>
      <c r="Q66" s="309"/>
      <c r="R66" s="268"/>
      <c r="S66" s="313"/>
      <c r="T66" s="313"/>
      <c r="U66" s="268"/>
      <c r="V66" s="309"/>
      <c r="W66" s="310"/>
      <c r="X66" s="268"/>
      <c r="Y66" s="268"/>
      <c r="Z66" s="268"/>
      <c r="AA66" s="268"/>
      <c r="AB66" s="268"/>
      <c r="AC66" s="268"/>
    </row>
    <row r="67" spans="1:29" ht="24.75" customHeight="1">
      <c r="A67" s="268"/>
      <c r="B67" s="268"/>
      <c r="C67" s="268"/>
      <c r="D67" s="268"/>
      <c r="E67" s="268"/>
      <c r="F67" s="268"/>
      <c r="G67" s="268"/>
      <c r="H67" s="268"/>
      <c r="I67" s="268"/>
      <c r="J67" s="268"/>
      <c r="K67" s="268"/>
      <c r="L67" s="309"/>
      <c r="M67" s="268"/>
      <c r="N67" s="268"/>
      <c r="O67" s="310"/>
      <c r="P67" s="268"/>
      <c r="Q67" s="309"/>
      <c r="R67" s="268"/>
      <c r="S67" s="313"/>
      <c r="T67" s="313"/>
      <c r="U67" s="268"/>
      <c r="V67" s="309"/>
      <c r="W67" s="310"/>
      <c r="X67" s="268"/>
      <c r="Y67" s="268"/>
      <c r="Z67" s="268"/>
      <c r="AA67" s="268"/>
      <c r="AB67" s="268"/>
      <c r="AC67" s="268"/>
    </row>
    <row r="68" spans="1:29" ht="24.75" customHeight="1">
      <c r="A68" s="268"/>
      <c r="B68" s="268"/>
      <c r="C68" s="268"/>
      <c r="D68" s="268"/>
      <c r="E68" s="268"/>
      <c r="F68" s="268"/>
      <c r="G68" s="268"/>
      <c r="H68" s="268"/>
      <c r="I68" s="268"/>
      <c r="J68" s="268"/>
      <c r="K68" s="268"/>
      <c r="L68" s="309"/>
      <c r="M68" s="268"/>
      <c r="N68" s="268"/>
      <c r="O68" s="310"/>
      <c r="P68" s="268"/>
      <c r="Q68" s="309"/>
      <c r="R68" s="268"/>
      <c r="S68" s="313"/>
      <c r="T68" s="313"/>
      <c r="U68" s="248"/>
      <c r="V68" s="253"/>
      <c r="W68" s="254"/>
      <c r="X68" s="248"/>
      <c r="Y68" s="248"/>
      <c r="Z68" s="248"/>
      <c r="AA68" s="268"/>
      <c r="AB68" s="268"/>
      <c r="AC68" s="268"/>
    </row>
    <row r="69" spans="1:29" ht="24.75" customHeight="1">
      <c r="A69" s="268"/>
      <c r="B69" s="268"/>
      <c r="C69" s="268"/>
      <c r="D69" s="268"/>
      <c r="E69" s="268"/>
      <c r="F69" s="268"/>
      <c r="G69" s="268"/>
      <c r="H69" s="268"/>
      <c r="I69" s="268"/>
      <c r="J69" s="268"/>
      <c r="K69" s="268"/>
      <c r="L69" s="309"/>
      <c r="M69" s="268"/>
      <c r="N69" s="268"/>
      <c r="O69" s="310"/>
      <c r="P69" s="268"/>
      <c r="Q69" s="309"/>
      <c r="R69" s="268"/>
      <c r="S69" s="313"/>
      <c r="T69" s="313"/>
      <c r="U69" s="268"/>
      <c r="V69" s="309"/>
      <c r="W69" s="310"/>
      <c r="X69" s="268"/>
      <c r="Y69" s="268"/>
      <c r="Z69" s="268"/>
      <c r="AA69" s="268"/>
      <c r="AB69" s="268"/>
      <c r="AC69" s="268"/>
    </row>
    <row r="70" spans="1:29" ht="24.75" customHeight="1">
      <c r="A70" s="268"/>
      <c r="B70" s="268"/>
      <c r="C70" s="268"/>
      <c r="D70" s="268"/>
      <c r="E70" s="268"/>
      <c r="F70" s="268"/>
      <c r="G70" s="268"/>
      <c r="H70" s="268"/>
      <c r="I70" s="268"/>
      <c r="J70" s="268"/>
      <c r="K70" s="268"/>
      <c r="L70" s="309"/>
      <c r="M70" s="268"/>
      <c r="N70" s="268"/>
      <c r="O70" s="310"/>
      <c r="P70" s="268"/>
      <c r="Q70" s="309"/>
      <c r="R70" s="268"/>
      <c r="S70" s="313"/>
      <c r="T70" s="313"/>
      <c r="U70" s="268"/>
      <c r="V70" s="309"/>
      <c r="W70" s="310"/>
      <c r="X70" s="268"/>
      <c r="Y70" s="268"/>
      <c r="Z70" s="268"/>
      <c r="AA70" s="268"/>
      <c r="AB70" s="268"/>
      <c r="AC70" s="268"/>
    </row>
    <row r="71" spans="1:29" ht="24.75" customHeight="1">
      <c r="A71" s="268"/>
      <c r="B71" s="268"/>
      <c r="C71" s="268"/>
      <c r="D71" s="268"/>
      <c r="E71" s="268"/>
      <c r="F71" s="268"/>
      <c r="G71" s="268"/>
      <c r="H71" s="268"/>
      <c r="I71" s="268"/>
      <c r="J71" s="268"/>
      <c r="K71" s="268"/>
      <c r="L71" s="309"/>
      <c r="M71" s="268"/>
      <c r="N71" s="268"/>
      <c r="O71" s="310"/>
      <c r="P71" s="268"/>
      <c r="Q71" s="309"/>
      <c r="R71" s="268"/>
      <c r="S71" s="313"/>
      <c r="T71" s="313"/>
      <c r="U71" s="268"/>
      <c r="V71" s="309"/>
      <c r="W71" s="310"/>
      <c r="X71" s="268"/>
      <c r="Y71" s="268"/>
      <c r="Z71" s="268"/>
      <c r="AA71" s="268"/>
      <c r="AB71" s="268"/>
      <c r="AC71" s="268"/>
    </row>
    <row r="72" spans="1:29" ht="24.75" customHeight="1">
      <c r="A72" s="268"/>
      <c r="B72" s="268"/>
      <c r="C72" s="268"/>
      <c r="D72" s="268"/>
      <c r="E72" s="268"/>
      <c r="F72" s="268"/>
      <c r="G72" s="268"/>
      <c r="H72" s="268"/>
      <c r="I72" s="268"/>
      <c r="J72" s="268"/>
      <c r="K72" s="268"/>
      <c r="L72" s="309"/>
      <c r="M72" s="268"/>
      <c r="N72" s="268"/>
      <c r="O72" s="310"/>
      <c r="P72" s="268"/>
      <c r="Q72" s="309"/>
      <c r="R72" s="268"/>
      <c r="S72" s="313"/>
      <c r="T72" s="313"/>
      <c r="U72" s="268"/>
      <c r="V72" s="309"/>
      <c r="W72" s="310"/>
      <c r="X72" s="268"/>
      <c r="Y72" s="268"/>
      <c r="Z72" s="268"/>
      <c r="AA72" s="268"/>
      <c r="AB72" s="268"/>
      <c r="AC72" s="268"/>
    </row>
    <row r="73" spans="1:29" ht="24.75" customHeight="1">
      <c r="A73" s="268"/>
      <c r="B73" s="268"/>
      <c r="C73" s="268"/>
      <c r="D73" s="268"/>
      <c r="E73" s="268"/>
      <c r="F73" s="268"/>
      <c r="G73" s="268"/>
      <c r="H73" s="268"/>
      <c r="I73" s="268"/>
      <c r="J73" s="268"/>
      <c r="K73" s="268"/>
      <c r="L73" s="309"/>
      <c r="M73" s="268"/>
      <c r="N73" s="268"/>
      <c r="O73" s="310"/>
      <c r="P73" s="268"/>
      <c r="Q73" s="309"/>
      <c r="R73" s="268"/>
      <c r="S73" s="313"/>
      <c r="T73" s="313"/>
      <c r="U73" s="268"/>
      <c r="V73" s="309"/>
      <c r="W73" s="310"/>
      <c r="X73" s="268"/>
      <c r="Y73" s="268"/>
      <c r="Z73" s="268"/>
      <c r="AA73" s="268"/>
      <c r="AB73" s="268"/>
      <c r="AC73" s="268"/>
    </row>
    <row r="74" spans="1:29" ht="24.75" customHeight="1">
      <c r="A74" s="268"/>
      <c r="B74" s="268"/>
      <c r="C74" s="268"/>
      <c r="D74" s="268"/>
      <c r="E74" s="268"/>
      <c r="F74" s="268"/>
      <c r="G74" s="268"/>
      <c r="H74" s="268"/>
      <c r="I74" s="268"/>
      <c r="J74" s="268"/>
      <c r="K74" s="268"/>
      <c r="L74" s="309"/>
      <c r="M74" s="268"/>
      <c r="N74" s="268"/>
      <c r="O74" s="310"/>
      <c r="P74" s="268"/>
      <c r="Q74" s="309"/>
      <c r="R74" s="268"/>
      <c r="S74" s="313"/>
      <c r="T74" s="313"/>
      <c r="U74" s="268"/>
      <c r="V74" s="309"/>
      <c r="W74" s="310"/>
      <c r="X74" s="268"/>
      <c r="Y74" s="268"/>
      <c r="Z74" s="268"/>
      <c r="AA74" s="268"/>
      <c r="AB74" s="268"/>
      <c r="AC74" s="268"/>
    </row>
    <row r="75" spans="1:29" ht="24.75" customHeight="1">
      <c r="A75" s="268"/>
      <c r="B75" s="268"/>
      <c r="C75" s="268"/>
      <c r="D75" s="268"/>
      <c r="E75" s="268"/>
      <c r="F75" s="268"/>
      <c r="G75" s="268"/>
      <c r="H75" s="268"/>
      <c r="I75" s="268"/>
      <c r="J75" s="268"/>
      <c r="K75" s="268"/>
      <c r="L75" s="309"/>
      <c r="M75" s="268"/>
      <c r="N75" s="268"/>
      <c r="O75" s="310"/>
      <c r="P75" s="268"/>
      <c r="Q75" s="309"/>
      <c r="R75" s="268"/>
      <c r="S75" s="313"/>
      <c r="T75" s="313"/>
      <c r="U75" s="268"/>
      <c r="V75" s="309"/>
      <c r="W75" s="310"/>
      <c r="X75" s="268"/>
      <c r="Y75" s="268"/>
      <c r="Z75" s="268"/>
      <c r="AA75" s="268"/>
      <c r="AB75" s="268"/>
      <c r="AC75" s="268"/>
    </row>
    <row r="76" spans="1:29" ht="24.75" customHeight="1">
      <c r="A76" s="268"/>
      <c r="B76" s="268"/>
      <c r="C76" s="268"/>
      <c r="D76" s="268"/>
      <c r="E76" s="268"/>
      <c r="F76" s="268"/>
      <c r="G76" s="268"/>
      <c r="H76" s="268"/>
      <c r="I76" s="268"/>
      <c r="J76" s="268"/>
      <c r="K76" s="268"/>
      <c r="L76" s="309"/>
      <c r="M76" s="268"/>
      <c r="N76" s="268"/>
      <c r="O76" s="310"/>
      <c r="P76" s="268"/>
      <c r="Q76" s="309"/>
      <c r="R76" s="268"/>
      <c r="S76" s="313"/>
      <c r="T76" s="313"/>
      <c r="U76" s="268"/>
      <c r="V76" s="309"/>
      <c r="W76" s="310"/>
      <c r="X76" s="268"/>
      <c r="Y76" s="268"/>
      <c r="Z76" s="268"/>
      <c r="AA76" s="268"/>
      <c r="AB76" s="268"/>
      <c r="AC76" s="268"/>
    </row>
    <row r="77" spans="1:29" ht="24.75" customHeight="1">
      <c r="A77" s="268" t="s">
        <v>5397</v>
      </c>
      <c r="B77" s="268"/>
      <c r="C77" s="268"/>
      <c r="D77" s="268"/>
      <c r="E77" s="268"/>
      <c r="F77" s="268"/>
      <c r="G77" s="268"/>
      <c r="H77" s="268"/>
      <c r="I77" s="268"/>
      <c r="J77" s="268"/>
      <c r="K77" s="268"/>
      <c r="L77" s="309"/>
      <c r="M77" s="268"/>
      <c r="N77" s="268"/>
      <c r="O77" s="310"/>
      <c r="P77" s="268"/>
      <c r="Q77" s="309"/>
      <c r="R77" s="268"/>
      <c r="S77" s="313"/>
      <c r="T77" s="313"/>
      <c r="U77" s="268"/>
      <c r="V77" s="309"/>
      <c r="W77" s="310"/>
      <c r="X77" s="268"/>
      <c r="Y77" s="268"/>
      <c r="Z77" s="268"/>
      <c r="AA77" s="268"/>
      <c r="AB77" s="268"/>
      <c r="AC77" s="268"/>
    </row>
    <row r="78" spans="1:29" ht="24.75" customHeight="1">
      <c r="A78" s="268" t="s">
        <v>5397</v>
      </c>
      <c r="B78" s="268"/>
      <c r="C78" s="268"/>
      <c r="D78" s="268"/>
      <c r="E78" s="268"/>
      <c r="F78" s="268"/>
      <c r="G78" s="268"/>
      <c r="H78" s="268"/>
      <c r="I78" s="268"/>
      <c r="J78" s="268"/>
      <c r="K78" s="268"/>
      <c r="L78" s="309"/>
      <c r="M78" s="268"/>
      <c r="N78" s="268"/>
      <c r="O78" s="310"/>
      <c r="P78" s="268"/>
      <c r="Q78" s="309"/>
      <c r="R78" s="268"/>
      <c r="S78" s="313"/>
      <c r="T78" s="313"/>
      <c r="U78" s="268"/>
      <c r="V78" s="309"/>
      <c r="W78" s="310"/>
      <c r="X78" s="268"/>
      <c r="Y78" s="268"/>
      <c r="Z78" s="268"/>
      <c r="AA78" s="268"/>
      <c r="AB78" s="268"/>
      <c r="AC78" s="268"/>
    </row>
    <row r="79" spans="1:29" ht="24.75" customHeight="1">
      <c r="A79" s="268" t="s">
        <v>5397</v>
      </c>
      <c r="B79" s="268"/>
      <c r="C79" s="268"/>
      <c r="D79" s="268"/>
      <c r="E79" s="268"/>
      <c r="F79" s="268"/>
      <c r="G79" s="268"/>
      <c r="H79" s="268"/>
      <c r="I79" s="268"/>
      <c r="J79" s="268"/>
      <c r="K79" s="268"/>
      <c r="L79" s="309"/>
      <c r="M79" s="268"/>
      <c r="N79" s="268"/>
      <c r="O79" s="310"/>
      <c r="P79" s="268"/>
      <c r="Q79" s="309"/>
      <c r="R79" s="268"/>
      <c r="S79" s="313"/>
      <c r="T79" s="313"/>
      <c r="U79" s="268"/>
      <c r="V79" s="309"/>
      <c r="W79" s="310"/>
      <c r="X79" s="268"/>
      <c r="Y79" s="268"/>
      <c r="Z79" s="268"/>
      <c r="AA79" s="268"/>
      <c r="AB79" s="268"/>
      <c r="AC79" s="268"/>
    </row>
    <row r="80" spans="1:29" ht="24.75" customHeight="1">
      <c r="A80" s="268" t="s">
        <v>5397</v>
      </c>
      <c r="B80" s="268"/>
      <c r="C80" s="268"/>
      <c r="D80" s="268"/>
      <c r="E80" s="268"/>
      <c r="F80" s="268"/>
      <c r="G80" s="268"/>
      <c r="H80" s="268"/>
      <c r="I80" s="268"/>
      <c r="J80" s="268"/>
      <c r="K80" s="268"/>
      <c r="L80" s="309"/>
      <c r="M80" s="268"/>
      <c r="N80" s="268"/>
      <c r="O80" s="310"/>
      <c r="P80" s="268"/>
      <c r="Q80" s="309"/>
      <c r="R80" s="268"/>
      <c r="S80" s="313"/>
      <c r="T80" s="313"/>
      <c r="U80" s="268"/>
      <c r="V80" s="309"/>
      <c r="W80" s="310"/>
      <c r="X80" s="268"/>
      <c r="Y80" s="268"/>
      <c r="Z80" s="268"/>
      <c r="AA80" s="268"/>
      <c r="AB80" s="268"/>
      <c r="AC80" s="268"/>
    </row>
    <row r="81" spans="1:29" ht="24.75" customHeight="1">
      <c r="A81" s="268"/>
      <c r="B81" s="268"/>
      <c r="C81" s="268"/>
      <c r="D81" s="268"/>
      <c r="E81" s="268"/>
      <c r="F81" s="268"/>
      <c r="G81" s="268"/>
      <c r="H81" s="268"/>
      <c r="I81" s="268"/>
      <c r="J81" s="268"/>
      <c r="K81" s="268"/>
      <c r="L81" s="309"/>
      <c r="M81" s="268"/>
      <c r="N81" s="268"/>
      <c r="O81" s="310"/>
      <c r="P81" s="268"/>
      <c r="Q81" s="309"/>
      <c r="R81" s="268"/>
      <c r="S81" s="313"/>
      <c r="T81" s="313"/>
      <c r="U81" s="268"/>
      <c r="V81" s="309"/>
      <c r="W81" s="310"/>
      <c r="X81" s="268"/>
      <c r="Y81" s="268"/>
      <c r="Z81" s="268"/>
      <c r="AA81" s="268"/>
      <c r="AB81" s="268"/>
      <c r="AC81" s="268"/>
    </row>
    <row r="82" spans="1:29" ht="24.75" customHeight="1">
      <c r="A82" s="268"/>
      <c r="B82" s="268"/>
      <c r="C82" s="268"/>
      <c r="D82" s="268"/>
      <c r="E82" s="268"/>
      <c r="F82" s="268"/>
      <c r="G82" s="268"/>
      <c r="H82" s="268"/>
      <c r="I82" s="268"/>
      <c r="J82" s="268"/>
      <c r="K82" s="268"/>
      <c r="L82" s="309"/>
      <c r="M82" s="268"/>
      <c r="N82" s="268"/>
      <c r="O82" s="310"/>
      <c r="P82" s="268"/>
      <c r="Q82" s="309"/>
      <c r="R82" s="268"/>
      <c r="S82" s="313"/>
      <c r="T82" s="313"/>
      <c r="U82" s="268"/>
      <c r="V82" s="309"/>
      <c r="W82" s="310"/>
      <c r="X82" s="268"/>
      <c r="Y82" s="268"/>
      <c r="Z82" s="268"/>
      <c r="AA82" s="268"/>
      <c r="AB82" s="268"/>
      <c r="AC82" s="268"/>
    </row>
    <row r="83" spans="1:29" ht="24.75" customHeight="1">
      <c r="A83" s="268"/>
      <c r="B83" s="268"/>
      <c r="C83" s="268"/>
      <c r="D83" s="268"/>
      <c r="E83" s="268"/>
      <c r="F83" s="268"/>
      <c r="G83" s="268"/>
      <c r="H83" s="268"/>
      <c r="I83" s="268"/>
      <c r="J83" s="268"/>
      <c r="K83" s="268"/>
      <c r="L83" s="309"/>
      <c r="M83" s="268"/>
      <c r="N83" s="268"/>
      <c r="O83" s="310"/>
      <c r="P83" s="268"/>
      <c r="Q83" s="309"/>
      <c r="R83" s="268"/>
      <c r="S83" s="313"/>
      <c r="T83" s="313"/>
      <c r="U83" s="268"/>
      <c r="V83" s="309"/>
      <c r="W83" s="310"/>
      <c r="X83" s="268"/>
      <c r="Y83" s="268"/>
      <c r="Z83" s="268"/>
      <c r="AA83" s="268"/>
      <c r="AB83" s="268"/>
      <c r="AC83" s="268"/>
    </row>
    <row r="84" spans="1:29" ht="24.75" customHeight="1">
      <c r="A84" s="268"/>
      <c r="B84" s="268"/>
      <c r="C84" s="268"/>
      <c r="D84" s="268"/>
      <c r="E84" s="268"/>
      <c r="F84" s="268"/>
      <c r="G84" s="268"/>
      <c r="H84" s="268"/>
      <c r="I84" s="268"/>
      <c r="J84" s="268"/>
      <c r="K84" s="268"/>
      <c r="L84" s="309"/>
      <c r="M84" s="268"/>
      <c r="N84" s="268"/>
      <c r="O84" s="310"/>
      <c r="P84" s="268"/>
      <c r="Q84" s="309"/>
      <c r="R84" s="268"/>
      <c r="S84" s="313"/>
      <c r="T84" s="313"/>
      <c r="U84" s="268"/>
      <c r="V84" s="309"/>
      <c r="W84" s="310"/>
      <c r="X84" s="268"/>
      <c r="Y84" s="268"/>
      <c r="Z84" s="268"/>
      <c r="AA84" s="268"/>
      <c r="AB84" s="268"/>
      <c r="AC84" s="268"/>
    </row>
    <row r="85" spans="1:29" ht="24.75" customHeight="1">
      <c r="A85" s="268"/>
      <c r="B85" s="268"/>
      <c r="C85" s="268"/>
      <c r="D85" s="268"/>
      <c r="E85" s="268"/>
      <c r="F85" s="268"/>
      <c r="G85" s="268"/>
      <c r="H85" s="268"/>
      <c r="I85" s="268"/>
      <c r="J85" s="268"/>
      <c r="K85" s="268"/>
      <c r="L85" s="309"/>
      <c r="M85" s="268"/>
      <c r="N85" s="268"/>
      <c r="O85" s="310"/>
      <c r="P85" s="268"/>
      <c r="Q85" s="309"/>
      <c r="R85" s="268"/>
      <c r="S85" s="313"/>
      <c r="T85" s="313"/>
      <c r="U85" s="268"/>
      <c r="V85" s="309"/>
      <c r="W85" s="310"/>
      <c r="X85" s="268"/>
      <c r="Y85" s="268"/>
      <c r="Z85" s="268"/>
      <c r="AA85" s="268"/>
      <c r="AB85" s="268"/>
      <c r="AC85" s="268"/>
    </row>
    <row r="86" spans="1:29" ht="24.75" customHeight="1">
      <c r="A86" s="268"/>
      <c r="B86" s="268"/>
      <c r="C86" s="268"/>
      <c r="D86" s="268"/>
      <c r="E86" s="268"/>
      <c r="F86" s="268"/>
      <c r="G86" s="268"/>
      <c r="H86" s="268"/>
      <c r="I86" s="268"/>
      <c r="J86" s="268"/>
      <c r="K86" s="268"/>
      <c r="L86" s="309"/>
      <c r="M86" s="268"/>
      <c r="N86" s="268"/>
      <c r="O86" s="310"/>
      <c r="P86" s="268"/>
      <c r="Q86" s="309"/>
      <c r="R86" s="268"/>
      <c r="S86" s="313"/>
      <c r="T86" s="313"/>
      <c r="U86" s="268"/>
      <c r="V86" s="309"/>
      <c r="W86" s="310"/>
      <c r="X86" s="268"/>
      <c r="Y86" s="268"/>
      <c r="Z86" s="268"/>
      <c r="AA86" s="268"/>
      <c r="AB86" s="268"/>
      <c r="AC86" s="268"/>
    </row>
    <row r="87" spans="1:29" ht="24.75" customHeight="1">
      <c r="A87" s="268"/>
      <c r="B87" s="268"/>
      <c r="C87" s="268"/>
      <c r="D87" s="268"/>
      <c r="E87" s="268"/>
      <c r="F87" s="268"/>
      <c r="G87" s="268"/>
      <c r="H87" s="268"/>
      <c r="I87" s="268"/>
      <c r="J87" s="268"/>
      <c r="K87" s="268"/>
      <c r="L87" s="309"/>
      <c r="M87" s="268"/>
      <c r="N87" s="268"/>
      <c r="O87" s="310"/>
      <c r="P87" s="268"/>
      <c r="Q87" s="309"/>
      <c r="R87" s="268"/>
      <c r="S87" s="313"/>
      <c r="T87" s="313"/>
      <c r="U87" s="268"/>
      <c r="V87" s="309"/>
      <c r="W87" s="310"/>
      <c r="X87" s="268"/>
      <c r="Y87" s="268"/>
      <c r="Z87" s="268"/>
      <c r="AA87" s="268"/>
      <c r="AB87" s="268"/>
      <c r="AC87" s="268"/>
    </row>
    <row r="88" spans="1:29" ht="24.75" customHeight="1">
      <c r="A88" s="268"/>
      <c r="B88" s="268"/>
      <c r="C88" s="268"/>
      <c r="D88" s="268"/>
      <c r="E88" s="268"/>
      <c r="F88" s="268"/>
      <c r="G88" s="268"/>
      <c r="H88" s="268"/>
      <c r="I88" s="268"/>
      <c r="J88" s="268"/>
      <c r="K88" s="268"/>
      <c r="L88" s="309"/>
      <c r="M88" s="268"/>
      <c r="N88" s="268"/>
      <c r="O88" s="310"/>
      <c r="P88" s="268"/>
      <c r="Q88" s="309"/>
      <c r="R88" s="268"/>
      <c r="S88" s="313"/>
      <c r="T88" s="313"/>
      <c r="U88" s="268"/>
      <c r="V88" s="309"/>
      <c r="W88" s="310"/>
      <c r="X88" s="268"/>
      <c r="Y88" s="268"/>
      <c r="Z88" s="268"/>
      <c r="AA88" s="268"/>
      <c r="AB88" s="268"/>
      <c r="AC88" s="268"/>
    </row>
    <row r="89" spans="1:29" ht="24.75" customHeight="1">
      <c r="A89" s="268"/>
      <c r="B89" s="268"/>
      <c r="C89" s="268"/>
      <c r="D89" s="268"/>
      <c r="E89" s="268"/>
      <c r="F89" s="268"/>
      <c r="G89" s="268"/>
      <c r="H89" s="268"/>
      <c r="I89" s="268"/>
      <c r="J89" s="268"/>
      <c r="K89" s="268"/>
      <c r="L89" s="309"/>
      <c r="M89" s="268"/>
      <c r="N89" s="268"/>
      <c r="O89" s="310"/>
      <c r="P89" s="268"/>
      <c r="Q89" s="309"/>
      <c r="R89" s="268"/>
      <c r="S89" s="313"/>
      <c r="T89" s="313"/>
      <c r="U89" s="268"/>
      <c r="V89" s="309"/>
      <c r="W89" s="310"/>
      <c r="X89" s="268"/>
      <c r="Y89" s="268"/>
      <c r="Z89" s="268"/>
      <c r="AA89" s="268"/>
      <c r="AB89" s="268"/>
      <c r="AC89" s="268"/>
    </row>
    <row r="90" spans="1:29" ht="24.75" customHeight="1">
      <c r="A90" s="268"/>
      <c r="B90" s="268"/>
      <c r="C90" s="268"/>
      <c r="D90" s="268"/>
      <c r="E90" s="268"/>
      <c r="F90" s="268"/>
      <c r="G90" s="268"/>
      <c r="H90" s="268"/>
      <c r="I90" s="268"/>
      <c r="J90" s="268"/>
      <c r="K90" s="268"/>
      <c r="L90" s="309"/>
      <c r="M90" s="268"/>
      <c r="N90" s="268"/>
      <c r="O90" s="310"/>
      <c r="P90" s="268"/>
      <c r="Q90" s="309"/>
      <c r="R90" s="268"/>
      <c r="S90" s="313"/>
      <c r="T90" s="313"/>
      <c r="U90" s="268"/>
      <c r="V90" s="309"/>
      <c r="W90" s="310"/>
      <c r="X90" s="268"/>
      <c r="Y90" s="268"/>
      <c r="Z90" s="268"/>
      <c r="AA90" s="268"/>
      <c r="AB90" s="268"/>
      <c r="AC90" s="268"/>
    </row>
    <row r="91" spans="1:29" ht="24.75" customHeight="1">
      <c r="A91" s="268"/>
      <c r="B91" s="268"/>
      <c r="C91" s="268"/>
      <c r="D91" s="268"/>
      <c r="E91" s="268"/>
      <c r="F91" s="268"/>
      <c r="G91" s="268"/>
      <c r="H91" s="268"/>
      <c r="I91" s="268"/>
      <c r="J91" s="268"/>
      <c r="K91" s="268"/>
      <c r="L91" s="309"/>
      <c r="M91" s="268"/>
      <c r="N91" s="268"/>
      <c r="O91" s="310"/>
      <c r="P91" s="268"/>
      <c r="Q91" s="309"/>
      <c r="R91" s="268"/>
      <c r="S91" s="313"/>
      <c r="T91" s="313"/>
      <c r="U91" s="268"/>
      <c r="V91" s="309"/>
      <c r="W91" s="310"/>
      <c r="X91" s="268"/>
      <c r="Y91" s="268"/>
      <c r="Z91" s="268"/>
      <c r="AA91" s="268"/>
      <c r="AB91" s="268"/>
      <c r="AC91" s="268"/>
    </row>
    <row r="92" spans="1:29" ht="24.75" customHeight="1">
      <c r="A92" s="268"/>
      <c r="B92" s="268"/>
      <c r="C92" s="268"/>
      <c r="D92" s="268"/>
      <c r="E92" s="268"/>
      <c r="F92" s="268"/>
      <c r="G92" s="268"/>
      <c r="H92" s="268"/>
      <c r="I92" s="268"/>
      <c r="J92" s="268"/>
      <c r="K92" s="268"/>
      <c r="L92" s="309"/>
      <c r="M92" s="268"/>
      <c r="N92" s="268"/>
      <c r="O92" s="310"/>
      <c r="P92" s="268"/>
      <c r="Q92" s="309"/>
      <c r="R92" s="268"/>
      <c r="S92" s="313"/>
      <c r="T92" s="313"/>
      <c r="U92" s="268"/>
      <c r="V92" s="309"/>
      <c r="W92" s="310"/>
      <c r="X92" s="268"/>
      <c r="Y92" s="268"/>
      <c r="Z92" s="268"/>
      <c r="AA92" s="268"/>
      <c r="AB92" s="268"/>
      <c r="AC92" s="268"/>
    </row>
    <row r="93" spans="1:29" ht="24.75" customHeight="1">
      <c r="A93" s="268"/>
      <c r="B93" s="268"/>
      <c r="C93" s="268"/>
      <c r="D93" s="268"/>
      <c r="E93" s="268"/>
      <c r="F93" s="268"/>
      <c r="G93" s="268"/>
      <c r="H93" s="268"/>
      <c r="I93" s="268"/>
      <c r="J93" s="268"/>
      <c r="K93" s="268"/>
      <c r="L93" s="309"/>
      <c r="M93" s="268"/>
      <c r="N93" s="268"/>
      <c r="O93" s="310"/>
      <c r="P93" s="268"/>
      <c r="Q93" s="309"/>
      <c r="R93" s="268"/>
      <c r="S93" s="313"/>
      <c r="T93" s="313"/>
      <c r="U93" s="248"/>
      <c r="V93" s="253"/>
      <c r="W93" s="254"/>
      <c r="X93" s="248"/>
      <c r="Y93" s="248"/>
      <c r="Z93" s="248"/>
      <c r="AA93" s="268"/>
      <c r="AB93" s="268"/>
      <c r="AC93" s="268"/>
    </row>
    <row r="94" spans="1:29" ht="24.75" customHeight="1">
      <c r="A94" s="268"/>
      <c r="B94" s="268"/>
      <c r="C94" s="268"/>
      <c r="D94" s="268"/>
      <c r="E94" s="268"/>
      <c r="F94" s="268"/>
      <c r="G94" s="268"/>
      <c r="H94" s="268"/>
      <c r="I94" s="268"/>
      <c r="J94" s="268"/>
      <c r="K94" s="268"/>
      <c r="L94" s="309"/>
      <c r="M94" s="268"/>
      <c r="N94" s="268"/>
      <c r="O94" s="310"/>
      <c r="P94" s="268"/>
      <c r="Q94" s="309"/>
      <c r="R94" s="268"/>
      <c r="S94" s="313"/>
      <c r="T94" s="313"/>
      <c r="U94" s="268"/>
      <c r="V94" s="309"/>
      <c r="W94" s="310"/>
      <c r="X94" s="268"/>
      <c r="Y94" s="268"/>
      <c r="Z94" s="268"/>
      <c r="AA94" s="268"/>
      <c r="AB94" s="268"/>
      <c r="AC94" s="268"/>
    </row>
    <row r="95" spans="1:29" ht="24.75" customHeight="1">
      <c r="A95" s="268"/>
      <c r="B95" s="268"/>
      <c r="C95" s="268"/>
      <c r="D95" s="268"/>
      <c r="E95" s="268"/>
      <c r="F95" s="268"/>
      <c r="G95" s="268"/>
      <c r="H95" s="268"/>
      <c r="I95" s="268"/>
      <c r="J95" s="268"/>
      <c r="K95" s="268"/>
      <c r="L95" s="309"/>
      <c r="M95" s="268"/>
      <c r="N95" s="268"/>
      <c r="O95" s="310"/>
      <c r="P95" s="268"/>
      <c r="Q95" s="309"/>
      <c r="R95" s="268"/>
      <c r="S95" s="313"/>
      <c r="T95" s="313"/>
      <c r="U95" s="268"/>
      <c r="V95" s="309"/>
      <c r="W95" s="310"/>
      <c r="X95" s="268"/>
      <c r="Y95" s="268"/>
      <c r="Z95" s="268"/>
      <c r="AA95" s="268"/>
      <c r="AB95" s="268"/>
      <c r="AC95" s="268"/>
    </row>
    <row r="96" spans="1:29" ht="24.75" customHeight="1">
      <c r="A96" s="268"/>
      <c r="B96" s="268"/>
      <c r="C96" s="268"/>
      <c r="D96" s="268"/>
      <c r="E96" s="268"/>
      <c r="F96" s="268"/>
      <c r="G96" s="268"/>
      <c r="H96" s="268"/>
      <c r="I96" s="268"/>
      <c r="J96" s="268"/>
      <c r="K96" s="268"/>
      <c r="L96" s="309"/>
      <c r="M96" s="268"/>
      <c r="N96" s="268"/>
      <c r="O96" s="310"/>
      <c r="P96" s="268"/>
      <c r="Q96" s="309"/>
      <c r="R96" s="268"/>
      <c r="S96" s="313"/>
      <c r="T96" s="313"/>
      <c r="U96" s="268"/>
      <c r="V96" s="309"/>
      <c r="W96" s="310"/>
      <c r="X96" s="268"/>
      <c r="Y96" s="268"/>
      <c r="Z96" s="268"/>
      <c r="AA96" s="268"/>
      <c r="AB96" s="268"/>
      <c r="AC96" s="268"/>
    </row>
    <row r="97" spans="1:29" ht="24.75" customHeight="1">
      <c r="A97" s="268"/>
      <c r="B97" s="268"/>
      <c r="C97" s="268"/>
      <c r="D97" s="268"/>
      <c r="E97" s="268"/>
      <c r="F97" s="268"/>
      <c r="G97" s="268"/>
      <c r="H97" s="268"/>
      <c r="I97" s="268"/>
      <c r="J97" s="268"/>
      <c r="K97" s="268"/>
      <c r="L97" s="309"/>
      <c r="M97" s="268"/>
      <c r="N97" s="268"/>
      <c r="O97" s="310"/>
      <c r="P97" s="268"/>
      <c r="Q97" s="309"/>
      <c r="R97" s="268"/>
      <c r="S97" s="313"/>
      <c r="T97" s="313"/>
      <c r="U97" s="268"/>
      <c r="V97" s="309"/>
      <c r="W97" s="310"/>
      <c r="X97" s="268"/>
      <c r="Y97" s="268"/>
      <c r="Z97" s="268"/>
      <c r="AA97" s="268"/>
      <c r="AB97" s="268"/>
      <c r="AC97" s="268"/>
    </row>
    <row r="98" spans="1:29" ht="24.75" customHeight="1">
      <c r="A98" s="268"/>
      <c r="B98" s="268"/>
      <c r="C98" s="268"/>
      <c r="D98" s="268"/>
      <c r="E98" s="268"/>
      <c r="F98" s="268"/>
      <c r="G98" s="268"/>
      <c r="H98" s="268"/>
      <c r="I98" s="268"/>
      <c r="J98" s="268"/>
      <c r="K98" s="268"/>
      <c r="L98" s="309"/>
      <c r="M98" s="268"/>
      <c r="N98" s="268"/>
      <c r="O98" s="310"/>
      <c r="P98" s="268"/>
      <c r="Q98" s="309"/>
      <c r="R98" s="268"/>
      <c r="S98" s="313"/>
      <c r="T98" s="313"/>
      <c r="U98" s="268"/>
      <c r="V98" s="309"/>
      <c r="W98" s="310"/>
      <c r="X98" s="268"/>
      <c r="Y98" s="268"/>
      <c r="Z98" s="268"/>
      <c r="AA98" s="268"/>
      <c r="AB98" s="268"/>
      <c r="AC98" s="268"/>
    </row>
    <row r="99" spans="1:29" ht="24.75" customHeight="1">
      <c r="A99" s="268"/>
      <c r="B99" s="268"/>
      <c r="C99" s="268"/>
      <c r="D99" s="268"/>
      <c r="E99" s="268"/>
      <c r="F99" s="268"/>
      <c r="G99" s="268"/>
      <c r="H99" s="268"/>
      <c r="I99" s="268"/>
      <c r="J99" s="268"/>
      <c r="K99" s="268"/>
      <c r="L99" s="309"/>
      <c r="M99" s="268"/>
      <c r="N99" s="268"/>
      <c r="O99" s="310"/>
      <c r="P99" s="268"/>
      <c r="Q99" s="309"/>
      <c r="R99" s="268"/>
      <c r="S99" s="313"/>
      <c r="T99" s="313"/>
      <c r="U99" s="268"/>
      <c r="V99" s="309"/>
      <c r="W99" s="310"/>
      <c r="X99" s="268"/>
      <c r="Y99" s="268"/>
      <c r="Z99" s="268"/>
      <c r="AA99" s="268"/>
      <c r="AB99" s="268"/>
      <c r="AC99" s="268"/>
    </row>
    <row r="100" spans="1:29" ht="24.75" customHeight="1">
      <c r="A100" s="268"/>
      <c r="B100" s="268"/>
      <c r="C100" s="268"/>
      <c r="D100" s="268"/>
      <c r="E100" s="268"/>
      <c r="F100" s="268"/>
      <c r="G100" s="268"/>
      <c r="H100" s="268"/>
      <c r="I100" s="268"/>
      <c r="J100" s="268"/>
      <c r="K100" s="268"/>
      <c r="L100" s="309"/>
      <c r="M100" s="268"/>
      <c r="N100" s="268"/>
      <c r="O100" s="310"/>
      <c r="P100" s="268"/>
      <c r="Q100" s="309"/>
      <c r="R100" s="268"/>
      <c r="S100" s="313"/>
      <c r="T100" s="313"/>
      <c r="U100" s="268"/>
      <c r="V100" s="309"/>
      <c r="W100" s="310"/>
      <c r="X100" s="268"/>
      <c r="Y100" s="268"/>
      <c r="Z100" s="268"/>
      <c r="AA100" s="268"/>
      <c r="AB100" s="268"/>
      <c r="AC100" s="268"/>
    </row>
    <row r="101" spans="1:29" ht="24.75" customHeight="1">
      <c r="A101" s="268"/>
      <c r="B101" s="268"/>
      <c r="C101" s="268"/>
      <c r="D101" s="268"/>
      <c r="E101" s="268"/>
      <c r="F101" s="268"/>
      <c r="G101" s="268"/>
      <c r="H101" s="268"/>
      <c r="I101" s="268"/>
      <c r="J101" s="268"/>
      <c r="K101" s="268"/>
      <c r="L101" s="309"/>
      <c r="M101" s="268"/>
      <c r="N101" s="268"/>
      <c r="O101" s="310"/>
      <c r="P101" s="268"/>
      <c r="Q101" s="309"/>
      <c r="R101" s="268"/>
      <c r="S101" s="313"/>
      <c r="T101" s="313"/>
      <c r="U101" s="268"/>
      <c r="V101" s="309"/>
      <c r="W101" s="310"/>
      <c r="X101" s="268"/>
      <c r="Y101" s="268"/>
      <c r="Z101" s="268"/>
      <c r="AA101" s="268"/>
      <c r="AB101" s="268"/>
      <c r="AC101" s="268"/>
    </row>
    <row r="102" spans="1:29" ht="24.75" customHeight="1">
      <c r="A102" s="268"/>
      <c r="B102" s="268"/>
      <c r="C102" s="268"/>
      <c r="D102" s="268"/>
      <c r="E102" s="268"/>
      <c r="F102" s="268"/>
      <c r="G102" s="268"/>
      <c r="H102" s="268"/>
      <c r="I102" s="268"/>
      <c r="J102" s="268"/>
      <c r="K102" s="268"/>
      <c r="L102" s="309"/>
      <c r="M102" s="268"/>
      <c r="N102" s="268"/>
      <c r="O102" s="310"/>
      <c r="P102" s="268"/>
      <c r="Q102" s="309"/>
      <c r="R102" s="268"/>
      <c r="S102" s="313"/>
      <c r="T102" s="313"/>
      <c r="U102" s="248"/>
      <c r="V102" s="253"/>
      <c r="W102" s="254"/>
      <c r="X102" s="248"/>
      <c r="Y102" s="248"/>
      <c r="Z102" s="248"/>
      <c r="AA102" s="268"/>
      <c r="AB102" s="268"/>
      <c r="AC102" s="268"/>
    </row>
    <row r="103" spans="1:29" ht="24.75" customHeight="1">
      <c r="A103" s="268"/>
      <c r="B103" s="268"/>
      <c r="C103" s="268"/>
      <c r="D103" s="268"/>
      <c r="E103" s="268"/>
      <c r="F103" s="268"/>
      <c r="G103" s="268"/>
      <c r="H103" s="268"/>
      <c r="I103" s="268"/>
      <c r="J103" s="268"/>
      <c r="K103" s="268"/>
      <c r="L103" s="309"/>
      <c r="M103" s="268"/>
      <c r="N103" s="268"/>
      <c r="O103" s="310"/>
      <c r="P103" s="268"/>
      <c r="Q103" s="309"/>
      <c r="R103" s="268"/>
      <c r="S103" s="313"/>
      <c r="T103" s="313"/>
      <c r="U103" s="268"/>
      <c r="V103" s="309"/>
      <c r="W103" s="310"/>
      <c r="X103" s="268"/>
      <c r="Y103" s="268"/>
      <c r="Z103" s="268"/>
      <c r="AA103" s="268"/>
      <c r="AB103" s="268"/>
      <c r="AC103" s="268"/>
    </row>
    <row r="104" spans="1:29" ht="24.75" customHeight="1">
      <c r="A104" s="268"/>
      <c r="B104" s="268"/>
      <c r="C104" s="268"/>
      <c r="D104" s="268"/>
      <c r="E104" s="268"/>
      <c r="F104" s="268"/>
      <c r="G104" s="268"/>
      <c r="H104" s="268"/>
      <c r="I104" s="268"/>
      <c r="J104" s="268"/>
      <c r="K104" s="268"/>
      <c r="L104" s="309"/>
      <c r="M104" s="268"/>
      <c r="N104" s="268"/>
      <c r="O104" s="310"/>
      <c r="P104" s="268"/>
      <c r="Q104" s="309"/>
      <c r="R104" s="268"/>
      <c r="S104" s="313"/>
      <c r="T104" s="313"/>
      <c r="U104" s="248"/>
      <c r="V104" s="253"/>
      <c r="W104" s="254"/>
      <c r="X104" s="248"/>
      <c r="Y104" s="248"/>
      <c r="Z104" s="248"/>
      <c r="AA104" s="268"/>
      <c r="AB104" s="268"/>
      <c r="AC104" s="268"/>
    </row>
    <row r="105" spans="1:29" ht="24.75" customHeight="1">
      <c r="A105" s="268"/>
      <c r="B105" s="268"/>
      <c r="C105" s="268"/>
      <c r="D105" s="268"/>
      <c r="E105" s="268"/>
      <c r="F105" s="268"/>
      <c r="G105" s="268"/>
      <c r="H105" s="268"/>
      <c r="I105" s="268"/>
      <c r="J105" s="268"/>
      <c r="K105" s="268"/>
      <c r="L105" s="309"/>
      <c r="M105" s="268"/>
      <c r="N105" s="268"/>
      <c r="O105" s="310"/>
      <c r="P105" s="268"/>
      <c r="Q105" s="309"/>
      <c r="R105" s="268"/>
      <c r="S105" s="313"/>
      <c r="T105" s="313"/>
      <c r="U105" s="268"/>
      <c r="V105" s="309"/>
      <c r="W105" s="310"/>
      <c r="X105" s="268"/>
      <c r="Y105" s="268"/>
      <c r="Z105" s="268"/>
      <c r="AA105" s="268"/>
      <c r="AB105" s="268"/>
      <c r="AC105" s="268"/>
    </row>
    <row r="106" spans="1:29" ht="24.75" customHeight="1">
      <c r="A106" s="268"/>
      <c r="B106" s="268"/>
      <c r="C106" s="268"/>
      <c r="D106" s="268"/>
      <c r="E106" s="268"/>
      <c r="F106" s="268"/>
      <c r="G106" s="268"/>
      <c r="H106" s="268"/>
      <c r="I106" s="268"/>
      <c r="J106" s="268"/>
      <c r="K106" s="268"/>
      <c r="L106" s="309"/>
      <c r="M106" s="268"/>
      <c r="N106" s="268"/>
      <c r="O106" s="310"/>
      <c r="P106" s="268"/>
      <c r="Q106" s="309"/>
      <c r="R106" s="268"/>
      <c r="S106" s="313"/>
      <c r="T106" s="313"/>
      <c r="U106" s="268"/>
      <c r="V106" s="309"/>
      <c r="W106" s="310"/>
      <c r="X106" s="268"/>
      <c r="Y106" s="268"/>
      <c r="Z106" s="268"/>
      <c r="AA106" s="268"/>
      <c r="AB106" s="268"/>
      <c r="AC106" s="268"/>
    </row>
    <row r="107" spans="1:29" ht="24.75" customHeight="1">
      <c r="A107" s="268"/>
      <c r="B107" s="268"/>
      <c r="C107" s="268"/>
      <c r="D107" s="268"/>
      <c r="E107" s="268"/>
      <c r="F107" s="268"/>
      <c r="G107" s="268"/>
      <c r="H107" s="268"/>
      <c r="I107" s="268"/>
      <c r="J107" s="268"/>
      <c r="K107" s="268"/>
      <c r="L107" s="309"/>
      <c r="M107" s="268"/>
      <c r="N107" s="268"/>
      <c r="O107" s="310"/>
      <c r="P107" s="268"/>
      <c r="Q107" s="309"/>
      <c r="R107" s="268"/>
      <c r="S107" s="263"/>
      <c r="T107" s="313"/>
      <c r="U107" s="313"/>
      <c r="V107" s="263"/>
      <c r="W107" s="263"/>
      <c r="X107" s="263"/>
      <c r="Y107" s="263"/>
      <c r="Z107" s="263"/>
      <c r="AA107" s="263"/>
      <c r="AB107" s="263"/>
      <c r="AC107" s="263"/>
    </row>
    <row r="108" spans="1:29" ht="24.75" customHeight="1">
      <c r="A108" s="268"/>
      <c r="B108" s="268"/>
      <c r="C108" s="268"/>
      <c r="D108" s="268"/>
      <c r="E108" s="268"/>
      <c r="F108" s="268"/>
      <c r="G108" s="268"/>
      <c r="H108" s="268"/>
      <c r="I108" s="268"/>
      <c r="J108" s="268"/>
      <c r="K108" s="268"/>
      <c r="L108" s="309"/>
      <c r="M108" s="268"/>
      <c r="N108" s="268"/>
      <c r="O108" s="310"/>
      <c r="P108" s="268"/>
      <c r="Q108" s="309"/>
      <c r="R108" s="268"/>
      <c r="S108" s="263"/>
      <c r="T108" s="313"/>
      <c r="U108" s="313"/>
      <c r="V108" s="263"/>
      <c r="W108" s="263"/>
      <c r="X108" s="263"/>
      <c r="Y108" s="263"/>
      <c r="Z108" s="263"/>
      <c r="AA108" s="263"/>
      <c r="AB108" s="263"/>
      <c r="AC108" s="263"/>
    </row>
    <row r="109" spans="1:29" ht="24.75" customHeight="1">
      <c r="A109" s="268"/>
      <c r="B109" s="268"/>
      <c r="C109" s="268"/>
      <c r="D109" s="268"/>
      <c r="E109" s="268"/>
      <c r="F109" s="268"/>
      <c r="G109" s="268"/>
      <c r="H109" s="268"/>
      <c r="I109" s="268"/>
      <c r="J109" s="268"/>
      <c r="K109" s="268"/>
      <c r="L109" s="309"/>
      <c r="M109" s="268"/>
      <c r="N109" s="268"/>
      <c r="O109" s="310"/>
      <c r="P109" s="268"/>
      <c r="Q109" s="309"/>
      <c r="R109" s="268"/>
      <c r="S109" s="263"/>
      <c r="T109" s="263"/>
      <c r="U109" s="263"/>
      <c r="V109" s="263"/>
      <c r="W109" s="263"/>
      <c r="X109" s="263"/>
      <c r="Y109" s="263"/>
      <c r="Z109" s="263"/>
      <c r="AA109" s="263"/>
      <c r="AB109" s="263"/>
      <c r="AC109" s="263"/>
    </row>
    <row r="110" spans="1:29" ht="24.75" customHeight="1">
      <c r="A110" s="268"/>
      <c r="B110" s="268"/>
      <c r="C110" s="268"/>
      <c r="D110" s="268"/>
      <c r="E110" s="268"/>
      <c r="F110" s="268"/>
      <c r="G110" s="268"/>
      <c r="H110" s="268"/>
      <c r="I110" s="268"/>
      <c r="J110" s="268"/>
      <c r="K110" s="268"/>
      <c r="L110" s="309"/>
      <c r="M110" s="268"/>
      <c r="N110" s="268"/>
      <c r="O110" s="310"/>
      <c r="P110" s="268"/>
      <c r="Q110" s="309"/>
      <c r="R110" s="268"/>
      <c r="S110" s="263"/>
      <c r="T110" s="263"/>
      <c r="U110" s="263"/>
      <c r="V110" s="263"/>
      <c r="W110" s="263"/>
      <c r="X110" s="263"/>
      <c r="Y110" s="263"/>
      <c r="Z110" s="263"/>
      <c r="AA110" s="263"/>
      <c r="AB110" s="263"/>
      <c r="AC110" s="263"/>
    </row>
    <row r="111" spans="1:29" ht="24.75" customHeight="1">
      <c r="A111" s="268"/>
      <c r="B111" s="268"/>
      <c r="C111" s="268"/>
      <c r="D111" s="268"/>
      <c r="E111" s="268"/>
      <c r="F111" s="268"/>
      <c r="G111" s="268"/>
      <c r="H111" s="268"/>
      <c r="I111" s="268"/>
      <c r="J111" s="268"/>
      <c r="K111" s="268"/>
      <c r="L111" s="309"/>
      <c r="M111" s="268"/>
      <c r="N111" s="268"/>
      <c r="O111" s="310"/>
      <c r="P111" s="268"/>
      <c r="Q111" s="309"/>
      <c r="R111" s="268"/>
      <c r="S111" s="263"/>
      <c r="T111" s="313"/>
      <c r="U111" s="313"/>
      <c r="V111" s="263"/>
      <c r="W111" s="263"/>
      <c r="X111" s="263"/>
      <c r="Y111" s="263"/>
      <c r="Z111" s="263"/>
      <c r="AA111" s="263"/>
      <c r="AB111" s="263"/>
      <c r="AC111" s="263"/>
    </row>
    <row r="112" spans="1:29" ht="24.75" customHeight="1">
      <c r="A112" s="268"/>
      <c r="B112" s="268"/>
      <c r="C112" s="268"/>
      <c r="D112" s="268"/>
      <c r="E112" s="268"/>
      <c r="F112" s="268"/>
      <c r="G112" s="268"/>
      <c r="H112" s="268"/>
      <c r="I112" s="268"/>
      <c r="J112" s="268"/>
      <c r="K112" s="268"/>
      <c r="L112" s="309"/>
      <c r="M112" s="268"/>
      <c r="N112" s="268"/>
      <c r="O112" s="310"/>
      <c r="P112" s="268"/>
      <c r="Q112" s="309"/>
      <c r="R112" s="268"/>
      <c r="S112" s="313"/>
      <c r="T112" s="313"/>
      <c r="U112" s="230"/>
      <c r="V112" s="256"/>
      <c r="W112" s="257"/>
      <c r="X112" s="230"/>
      <c r="Y112" s="230"/>
      <c r="Z112" s="230"/>
      <c r="AA112" s="268"/>
      <c r="AB112" s="268"/>
      <c r="AC112" s="268"/>
    </row>
    <row r="113" spans="1:29" ht="24.75" customHeight="1">
      <c r="A113" s="268"/>
      <c r="B113" s="268"/>
      <c r="C113" s="268"/>
      <c r="D113" s="268"/>
      <c r="E113" s="268"/>
      <c r="F113" s="268"/>
      <c r="G113" s="268"/>
      <c r="H113" s="268"/>
      <c r="I113" s="268"/>
      <c r="J113" s="268"/>
      <c r="K113" s="268"/>
      <c r="L113" s="309"/>
      <c r="M113" s="268"/>
      <c r="N113" s="268"/>
      <c r="O113" s="310"/>
      <c r="P113" s="268"/>
      <c r="Q113" s="309"/>
      <c r="R113" s="268"/>
      <c r="S113" s="313"/>
      <c r="T113" s="313"/>
      <c r="U113" s="268"/>
      <c r="V113" s="309"/>
      <c r="W113" s="310"/>
      <c r="X113" s="268"/>
      <c r="Y113" s="268"/>
      <c r="Z113" s="268"/>
      <c r="AA113" s="268"/>
      <c r="AB113" s="268"/>
      <c r="AC113" s="268"/>
    </row>
    <row r="114" spans="1:29" ht="24.75" customHeight="1">
      <c r="A114" s="268"/>
      <c r="B114" s="268"/>
      <c r="C114" s="268"/>
      <c r="D114" s="268"/>
      <c r="E114" s="268"/>
      <c r="F114" s="268"/>
      <c r="G114" s="268"/>
      <c r="H114" s="268"/>
      <c r="I114" s="268"/>
      <c r="J114" s="268"/>
      <c r="K114" s="268"/>
      <c r="L114" s="309"/>
      <c r="M114" s="268"/>
      <c r="N114" s="268"/>
      <c r="O114" s="310"/>
      <c r="P114" s="268"/>
      <c r="Q114" s="309"/>
      <c r="R114" s="268"/>
      <c r="S114" s="313"/>
      <c r="T114" s="313"/>
      <c r="U114" s="230"/>
      <c r="V114" s="256"/>
      <c r="W114" s="257"/>
      <c r="X114" s="230"/>
      <c r="Y114" s="230"/>
      <c r="Z114" s="230"/>
      <c r="AA114" s="268"/>
      <c r="AB114" s="268"/>
      <c r="AC114" s="268"/>
    </row>
    <row r="115" spans="1:29" ht="24.75" customHeight="1">
      <c r="A115" s="268"/>
      <c r="B115" s="268"/>
      <c r="C115" s="268"/>
      <c r="D115" s="268"/>
      <c r="E115" s="268"/>
      <c r="F115" s="268"/>
      <c r="G115" s="268"/>
      <c r="H115" s="268"/>
      <c r="I115" s="268"/>
      <c r="J115" s="268"/>
      <c r="K115" s="268"/>
      <c r="L115" s="309"/>
      <c r="M115" s="268"/>
      <c r="N115" s="268"/>
      <c r="O115" s="310"/>
      <c r="P115" s="268"/>
      <c r="Q115" s="309"/>
      <c r="R115" s="268"/>
      <c r="S115" s="313"/>
      <c r="T115" s="313"/>
      <c r="U115" s="248"/>
      <c r="V115" s="253"/>
      <c r="W115" s="254"/>
      <c r="X115" s="248"/>
      <c r="Y115" s="248"/>
      <c r="Z115" s="248"/>
      <c r="AA115" s="268"/>
      <c r="AB115" s="268"/>
      <c r="AC115" s="268"/>
    </row>
    <row r="116" spans="1:29" ht="24.75" customHeight="1">
      <c r="A116" s="268"/>
      <c r="B116" s="268"/>
      <c r="C116" s="268"/>
      <c r="D116" s="268"/>
      <c r="E116" s="268"/>
      <c r="F116" s="268"/>
      <c r="G116" s="268"/>
      <c r="H116" s="268"/>
      <c r="I116" s="268"/>
      <c r="J116" s="268"/>
      <c r="K116" s="268"/>
      <c r="L116" s="309"/>
      <c r="M116" s="268"/>
      <c r="N116" s="268"/>
      <c r="O116" s="310"/>
      <c r="P116" s="268"/>
      <c r="Q116" s="309"/>
      <c r="R116" s="268"/>
      <c r="S116" s="313"/>
      <c r="T116" s="313"/>
      <c r="U116" s="230"/>
      <c r="V116" s="256"/>
      <c r="W116" s="257"/>
      <c r="X116" s="230"/>
      <c r="Y116" s="230"/>
      <c r="Z116" s="230"/>
      <c r="AA116" s="268"/>
      <c r="AB116" s="268"/>
      <c r="AC116" s="268"/>
    </row>
    <row r="117" spans="1:29" ht="24.75" customHeight="1">
      <c r="A117" s="268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309"/>
      <c r="M117" s="268"/>
      <c r="N117" s="268"/>
      <c r="O117" s="310"/>
      <c r="P117" s="268"/>
      <c r="Q117" s="309"/>
      <c r="R117" s="268"/>
      <c r="S117" s="313"/>
      <c r="T117" s="313"/>
      <c r="U117" s="230"/>
      <c r="V117" s="256"/>
      <c r="W117" s="257"/>
      <c r="X117" s="230"/>
      <c r="Y117" s="230"/>
      <c r="Z117" s="230"/>
      <c r="AA117" s="268"/>
      <c r="AB117" s="268"/>
      <c r="AC117" s="268"/>
    </row>
    <row r="118" spans="1:29" ht="24.75" customHeight="1">
      <c r="A118" s="268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309"/>
      <c r="M118" s="268"/>
      <c r="N118" s="268"/>
      <c r="O118" s="310"/>
      <c r="P118" s="268"/>
      <c r="Q118" s="309"/>
      <c r="R118" s="268"/>
      <c r="S118" s="313"/>
      <c r="T118" s="313"/>
      <c r="U118" s="230"/>
      <c r="V118" s="256"/>
      <c r="W118" s="257"/>
      <c r="X118" s="230"/>
      <c r="Y118" s="230"/>
      <c r="Z118" s="230"/>
      <c r="AA118" s="268"/>
      <c r="AB118" s="268"/>
      <c r="AC118" s="268"/>
    </row>
    <row r="119" spans="1:29" ht="24.75" customHeight="1">
      <c r="A119" s="268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309"/>
      <c r="M119" s="268"/>
      <c r="N119" s="268"/>
      <c r="O119" s="310"/>
      <c r="P119" s="268"/>
      <c r="Q119" s="309"/>
      <c r="R119" s="268"/>
      <c r="S119" s="313"/>
      <c r="T119" s="313"/>
      <c r="U119" s="268"/>
      <c r="V119" s="309"/>
      <c r="W119" s="310"/>
      <c r="X119" s="268"/>
      <c r="Y119" s="268"/>
      <c r="Z119" s="268"/>
      <c r="AA119" s="268"/>
      <c r="AB119" s="268"/>
      <c r="AC119" s="268"/>
    </row>
    <row r="120" spans="1:29" ht="24.75" customHeight="1">
      <c r="A120" s="268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309"/>
      <c r="M120" s="268"/>
      <c r="N120" s="268"/>
      <c r="O120" s="310"/>
      <c r="P120" s="268"/>
      <c r="Q120" s="309"/>
      <c r="R120" s="268"/>
      <c r="S120" s="313"/>
      <c r="T120" s="313"/>
      <c r="U120" s="230"/>
      <c r="V120" s="256"/>
      <c r="W120" s="257"/>
      <c r="X120" s="230"/>
      <c r="Y120" s="230"/>
      <c r="Z120" s="230"/>
      <c r="AA120" s="268"/>
      <c r="AB120" s="268"/>
      <c r="AC120" s="268"/>
    </row>
    <row r="121" spans="1:29" ht="24.75" customHeight="1">
      <c r="A121" s="268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309"/>
      <c r="M121" s="268"/>
      <c r="N121" s="268"/>
      <c r="O121" s="310"/>
      <c r="P121" s="268"/>
      <c r="Q121" s="309"/>
      <c r="R121" s="268"/>
      <c r="S121" s="313"/>
      <c r="T121" s="313"/>
      <c r="U121" s="268"/>
      <c r="V121" s="309"/>
      <c r="W121" s="310"/>
      <c r="X121" s="268"/>
      <c r="Y121" s="268"/>
      <c r="Z121" s="268"/>
      <c r="AA121" s="268"/>
      <c r="AB121" s="268"/>
      <c r="AC121" s="268"/>
    </row>
    <row r="122" spans="1:29" ht="24.75" customHeight="1">
      <c r="A122" s="268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309"/>
      <c r="M122" s="268"/>
      <c r="N122" s="268"/>
      <c r="O122" s="310"/>
      <c r="P122" s="268"/>
      <c r="Q122" s="309"/>
      <c r="R122" s="268"/>
      <c r="S122" s="313"/>
      <c r="T122" s="313"/>
      <c r="U122" s="292"/>
      <c r="V122" s="293"/>
      <c r="W122" s="294"/>
      <c r="X122" s="292"/>
      <c r="Y122" s="292"/>
      <c r="Z122" s="292"/>
      <c r="AA122" s="268"/>
      <c r="AB122" s="268"/>
      <c r="AC122" s="268"/>
    </row>
    <row r="123" spans="1:29" ht="24.75" customHeight="1">
      <c r="A123" s="268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309"/>
      <c r="M123" s="268"/>
      <c r="N123" s="268"/>
      <c r="O123" s="310"/>
      <c r="P123" s="268"/>
      <c r="Q123" s="309"/>
      <c r="R123" s="268"/>
      <c r="S123" s="313"/>
      <c r="T123" s="313"/>
      <c r="U123" s="292"/>
      <c r="V123" s="293"/>
      <c r="W123" s="294"/>
      <c r="X123" s="292"/>
      <c r="Y123" s="292"/>
      <c r="Z123" s="292"/>
      <c r="AA123" s="268"/>
      <c r="AB123" s="268"/>
      <c r="AC123" s="268"/>
    </row>
    <row r="124" spans="1:29" ht="24.75" customHeight="1">
      <c r="A124" s="268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309"/>
      <c r="M124" s="268"/>
      <c r="N124" s="268"/>
      <c r="O124" s="310"/>
      <c r="P124" s="268"/>
      <c r="Q124" s="309"/>
      <c r="R124" s="268"/>
      <c r="S124" s="313"/>
      <c r="T124" s="313"/>
      <c r="U124" s="292"/>
      <c r="V124" s="293"/>
      <c r="W124" s="294"/>
      <c r="X124" s="292"/>
      <c r="Y124" s="292"/>
      <c r="Z124" s="292"/>
      <c r="AA124" s="268"/>
      <c r="AB124" s="268"/>
      <c r="AC124" s="268"/>
    </row>
    <row r="125" spans="1:29" ht="24.75" customHeight="1">
      <c r="A125" s="268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309"/>
      <c r="M125" s="268"/>
      <c r="N125" s="268"/>
      <c r="O125" s="310"/>
      <c r="P125" s="268"/>
      <c r="Q125" s="309"/>
      <c r="R125" s="268"/>
      <c r="S125" s="313"/>
      <c r="T125" s="313"/>
      <c r="U125" s="248"/>
      <c r="V125" s="253"/>
      <c r="W125" s="254"/>
      <c r="X125" s="248"/>
      <c r="Y125" s="248"/>
      <c r="Z125" s="248"/>
      <c r="AA125" s="268"/>
      <c r="AB125" s="268"/>
      <c r="AC125" s="268"/>
    </row>
    <row r="126" spans="1:29" ht="24.75" customHeight="1">
      <c r="A126" s="268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309"/>
      <c r="M126" s="268"/>
      <c r="N126" s="268"/>
      <c r="O126" s="310"/>
      <c r="P126" s="268"/>
      <c r="Q126" s="309"/>
      <c r="R126" s="268"/>
      <c r="S126" s="313"/>
      <c r="T126" s="313"/>
      <c r="U126" s="248"/>
      <c r="V126" s="253"/>
      <c r="W126" s="254"/>
      <c r="X126" s="248"/>
      <c r="Y126" s="248"/>
      <c r="Z126" s="248"/>
      <c r="AA126" s="268"/>
      <c r="AB126" s="268"/>
      <c r="AC126" s="268"/>
    </row>
    <row r="127" spans="1:29" ht="24.75" customHeight="1">
      <c r="A127" s="268"/>
      <c r="B127" s="268"/>
      <c r="C127" s="268"/>
      <c r="D127" s="268"/>
      <c r="E127" s="268"/>
      <c r="F127" s="268"/>
      <c r="G127" s="268"/>
      <c r="H127" s="268"/>
      <c r="I127" s="268"/>
      <c r="J127" s="268"/>
      <c r="K127" s="268"/>
      <c r="L127" s="309"/>
      <c r="M127" s="268"/>
      <c r="N127" s="268"/>
      <c r="O127" s="310"/>
      <c r="P127" s="268"/>
      <c r="Q127" s="309"/>
      <c r="R127" s="268"/>
      <c r="S127" s="313"/>
      <c r="T127" s="313"/>
      <c r="U127" s="268"/>
      <c r="V127" s="309"/>
      <c r="W127" s="310"/>
      <c r="X127" s="268"/>
      <c r="Y127" s="268"/>
      <c r="Z127" s="268"/>
      <c r="AA127" s="268"/>
      <c r="AB127" s="268"/>
      <c r="AC127" s="268"/>
    </row>
    <row r="128" spans="1:29" ht="24.75" customHeight="1">
      <c r="A128" s="268"/>
      <c r="B128" s="268"/>
      <c r="C128" s="268"/>
      <c r="D128" s="268"/>
      <c r="E128" s="268"/>
      <c r="F128" s="268"/>
      <c r="G128" s="268"/>
      <c r="H128" s="268"/>
      <c r="I128" s="268"/>
      <c r="J128" s="268"/>
      <c r="K128" s="268"/>
      <c r="L128" s="309"/>
      <c r="M128" s="268"/>
      <c r="N128" s="268"/>
      <c r="O128" s="310"/>
      <c r="P128" s="268"/>
      <c r="Q128" s="309"/>
      <c r="R128" s="268"/>
      <c r="S128" s="313"/>
      <c r="T128" s="313"/>
      <c r="U128" s="292"/>
      <c r="V128" s="293"/>
      <c r="W128" s="294"/>
      <c r="X128" s="292"/>
      <c r="Y128" s="292"/>
      <c r="Z128" s="292"/>
      <c r="AA128" s="268"/>
      <c r="AB128" s="268"/>
      <c r="AC128" s="268"/>
    </row>
    <row r="129" spans="1:29" ht="24.75" customHeight="1">
      <c r="A129" s="268"/>
      <c r="B129" s="268"/>
      <c r="C129" s="268"/>
      <c r="D129" s="268"/>
      <c r="E129" s="268"/>
      <c r="F129" s="268"/>
      <c r="G129" s="268"/>
      <c r="H129" s="268"/>
      <c r="I129" s="268"/>
      <c r="J129" s="268"/>
      <c r="K129" s="268"/>
      <c r="L129" s="309"/>
      <c r="M129" s="268"/>
      <c r="N129" s="268"/>
      <c r="O129" s="310"/>
      <c r="P129" s="268"/>
      <c r="Q129" s="309"/>
      <c r="R129" s="268"/>
      <c r="S129" s="313"/>
      <c r="T129" s="313"/>
      <c r="U129" s="248"/>
      <c r="V129" s="253"/>
      <c r="W129" s="254"/>
      <c r="X129" s="248"/>
      <c r="Y129" s="248"/>
      <c r="Z129" s="248"/>
      <c r="AA129" s="268"/>
      <c r="AB129" s="268"/>
      <c r="AC129" s="268"/>
    </row>
    <row r="130" spans="1:29" ht="24.75" customHeight="1">
      <c r="A130" s="268"/>
      <c r="B130" s="268"/>
      <c r="C130" s="268"/>
      <c r="D130" s="268"/>
      <c r="E130" s="268"/>
      <c r="F130" s="268"/>
      <c r="G130" s="268"/>
      <c r="H130" s="268"/>
      <c r="I130" s="268"/>
      <c r="J130" s="268"/>
      <c r="K130" s="268"/>
      <c r="L130" s="309"/>
      <c r="M130" s="268"/>
      <c r="N130" s="268"/>
      <c r="O130" s="310"/>
      <c r="P130" s="268"/>
      <c r="Q130" s="309"/>
      <c r="R130" s="268"/>
      <c r="S130" s="313"/>
      <c r="T130" s="313"/>
      <c r="U130" s="230"/>
      <c r="V130" s="256"/>
      <c r="W130" s="257"/>
      <c r="X130" s="230"/>
      <c r="Y130" s="230"/>
      <c r="Z130" s="230"/>
      <c r="AA130" s="268"/>
      <c r="AB130" s="268"/>
      <c r="AC130" s="268"/>
    </row>
    <row r="131" spans="1:29" ht="24.75" customHeight="1">
      <c r="A131" s="268"/>
      <c r="B131" s="268"/>
      <c r="C131" s="268"/>
      <c r="D131" s="268"/>
      <c r="E131" s="268"/>
      <c r="F131" s="268"/>
      <c r="G131" s="268"/>
      <c r="H131" s="268"/>
      <c r="I131" s="268"/>
      <c r="J131" s="268"/>
      <c r="K131" s="268"/>
      <c r="L131" s="309"/>
      <c r="M131" s="268"/>
      <c r="N131" s="268"/>
      <c r="O131" s="310"/>
      <c r="P131" s="268"/>
      <c r="Q131" s="309"/>
      <c r="R131" s="268"/>
      <c r="S131" s="313"/>
      <c r="T131" s="313"/>
      <c r="U131" s="230"/>
      <c r="V131" s="256"/>
      <c r="W131" s="257"/>
      <c r="X131" s="230"/>
      <c r="Y131" s="230"/>
      <c r="Z131" s="230"/>
      <c r="AA131" s="268"/>
      <c r="AB131" s="268"/>
      <c r="AC131" s="268"/>
    </row>
    <row r="132" spans="1:29" ht="24.75" customHeight="1">
      <c r="A132" s="268"/>
      <c r="B132" s="268"/>
      <c r="C132" s="268"/>
      <c r="D132" s="268"/>
      <c r="E132" s="268"/>
      <c r="F132" s="268"/>
      <c r="G132" s="268"/>
      <c r="H132" s="268"/>
      <c r="I132" s="268"/>
      <c r="J132" s="268"/>
      <c r="K132" s="268"/>
      <c r="L132" s="309"/>
      <c r="M132" s="268"/>
      <c r="N132" s="268"/>
      <c r="O132" s="310"/>
      <c r="P132" s="268"/>
      <c r="Q132" s="309"/>
      <c r="R132" s="268"/>
      <c r="S132" s="313"/>
      <c r="T132" s="313"/>
      <c r="U132" s="268"/>
      <c r="V132" s="309"/>
      <c r="W132" s="310"/>
      <c r="X132" s="268"/>
      <c r="Y132" s="268"/>
      <c r="Z132" s="268"/>
      <c r="AA132" s="268"/>
      <c r="AB132" s="268"/>
      <c r="AC132" s="268"/>
    </row>
    <row r="133" spans="1:29" ht="24.75" customHeight="1">
      <c r="A133" s="268"/>
      <c r="B133" s="268"/>
      <c r="C133" s="268"/>
      <c r="D133" s="268"/>
      <c r="E133" s="268"/>
      <c r="F133" s="268"/>
      <c r="G133" s="268"/>
      <c r="H133" s="268"/>
      <c r="I133" s="268"/>
      <c r="J133" s="268"/>
      <c r="K133" s="268"/>
      <c r="L133" s="309"/>
      <c r="M133" s="268"/>
      <c r="N133" s="268"/>
      <c r="O133" s="310"/>
      <c r="P133" s="268"/>
      <c r="Q133" s="309"/>
      <c r="R133" s="268"/>
      <c r="S133" s="313"/>
      <c r="T133" s="313"/>
      <c r="U133" s="268"/>
      <c r="V133" s="309"/>
      <c r="W133" s="310"/>
      <c r="X133" s="268"/>
      <c r="Y133" s="268"/>
      <c r="Z133" s="268"/>
      <c r="AA133" s="268"/>
      <c r="AB133" s="268"/>
      <c r="AC133" s="268"/>
    </row>
    <row r="134" spans="1:29" ht="24.75" customHeight="1">
      <c r="A134" s="268"/>
      <c r="B134" s="268"/>
      <c r="C134" s="268"/>
      <c r="D134" s="268"/>
      <c r="E134" s="268"/>
      <c r="F134" s="268"/>
      <c r="G134" s="268"/>
      <c r="H134" s="268"/>
      <c r="I134" s="268"/>
      <c r="J134" s="268"/>
      <c r="K134" s="268"/>
      <c r="L134" s="309"/>
      <c r="M134" s="268"/>
      <c r="N134" s="268"/>
      <c r="O134" s="310"/>
      <c r="P134" s="268"/>
      <c r="Q134" s="309"/>
      <c r="R134" s="268"/>
      <c r="S134" s="313"/>
      <c r="T134" s="313"/>
      <c r="U134" s="268"/>
      <c r="V134" s="309"/>
      <c r="W134" s="310"/>
      <c r="X134" s="268"/>
      <c r="Y134" s="268"/>
      <c r="Z134" s="268"/>
      <c r="AA134" s="268"/>
      <c r="AB134" s="268"/>
      <c r="AC134" s="268"/>
    </row>
    <row r="135" spans="1:29" ht="24.75" customHeight="1">
      <c r="A135" s="268"/>
      <c r="B135" s="268"/>
      <c r="C135" s="268"/>
      <c r="D135" s="268"/>
      <c r="E135" s="268"/>
      <c r="F135" s="268"/>
      <c r="G135" s="268"/>
      <c r="H135" s="268"/>
      <c r="I135" s="268"/>
      <c r="J135" s="268"/>
      <c r="K135" s="268"/>
      <c r="L135" s="309"/>
      <c r="M135" s="268"/>
      <c r="N135" s="268"/>
      <c r="O135" s="310"/>
      <c r="P135" s="268"/>
      <c r="Q135" s="309"/>
      <c r="R135" s="268"/>
      <c r="S135" s="313"/>
      <c r="T135" s="313"/>
      <c r="U135" s="268"/>
      <c r="V135" s="309"/>
      <c r="W135" s="310"/>
      <c r="X135" s="268"/>
      <c r="Y135" s="268"/>
      <c r="Z135" s="268"/>
      <c r="AA135" s="268"/>
      <c r="AB135" s="268"/>
      <c r="AC135" s="268"/>
    </row>
    <row r="136" spans="1:29" ht="24.75" customHeight="1">
      <c r="A136" s="268"/>
      <c r="B136" s="268"/>
      <c r="C136" s="268"/>
      <c r="D136" s="268"/>
      <c r="E136" s="268"/>
      <c r="F136" s="268"/>
      <c r="G136" s="268"/>
      <c r="H136" s="268"/>
      <c r="I136" s="268"/>
      <c r="J136" s="268"/>
      <c r="K136" s="268"/>
      <c r="L136" s="309"/>
      <c r="M136" s="268"/>
      <c r="N136" s="268"/>
      <c r="O136" s="310"/>
      <c r="P136" s="268"/>
      <c r="Q136" s="309"/>
      <c r="R136" s="268"/>
      <c r="S136" s="313"/>
      <c r="T136" s="313"/>
      <c r="U136" s="268"/>
      <c r="V136" s="309"/>
      <c r="W136" s="310"/>
      <c r="X136" s="268"/>
      <c r="Y136" s="268"/>
      <c r="Z136" s="268"/>
      <c r="AA136" s="268"/>
      <c r="AB136" s="268"/>
      <c r="AC136" s="268"/>
    </row>
    <row r="137" spans="1:29" ht="24.75" customHeight="1">
      <c r="A137" s="268"/>
      <c r="B137" s="268"/>
      <c r="C137" s="268"/>
      <c r="D137" s="268"/>
      <c r="E137" s="268"/>
      <c r="F137" s="268"/>
      <c r="G137" s="268"/>
      <c r="H137" s="268"/>
      <c r="I137" s="268"/>
      <c r="J137" s="268"/>
      <c r="K137" s="268"/>
      <c r="L137" s="309"/>
      <c r="M137" s="268"/>
      <c r="N137" s="268"/>
      <c r="O137" s="310"/>
      <c r="P137" s="268"/>
      <c r="Q137" s="309"/>
      <c r="R137" s="268"/>
      <c r="S137" s="313"/>
      <c r="T137" s="313"/>
      <c r="U137" s="248"/>
      <c r="V137" s="253"/>
      <c r="W137" s="254"/>
      <c r="X137" s="248"/>
      <c r="Y137" s="248"/>
      <c r="Z137" s="248"/>
      <c r="AA137" s="268"/>
      <c r="AB137" s="268"/>
      <c r="AC137" s="268"/>
    </row>
    <row r="138" spans="1:29" ht="24.75" customHeight="1">
      <c r="A138" s="268"/>
      <c r="B138" s="268"/>
      <c r="C138" s="268"/>
      <c r="D138" s="268"/>
      <c r="E138" s="268"/>
      <c r="F138" s="268"/>
      <c r="G138" s="268"/>
      <c r="H138" s="268"/>
      <c r="I138" s="268"/>
      <c r="J138" s="268"/>
      <c r="K138" s="268"/>
      <c r="L138" s="309"/>
      <c r="M138" s="268"/>
      <c r="N138" s="268"/>
      <c r="O138" s="310"/>
      <c r="P138" s="268"/>
      <c r="Q138" s="309"/>
      <c r="R138" s="268"/>
      <c r="S138" s="313"/>
      <c r="T138" s="313"/>
      <c r="U138" s="268"/>
      <c r="V138" s="309"/>
      <c r="W138" s="310"/>
      <c r="X138" s="268"/>
      <c r="Y138" s="268"/>
      <c r="Z138" s="268"/>
      <c r="AA138" s="268"/>
      <c r="AB138" s="268"/>
      <c r="AC138" s="268"/>
    </row>
    <row r="139" spans="1:29" ht="24.75" customHeight="1">
      <c r="A139" s="268"/>
      <c r="B139" s="268"/>
      <c r="C139" s="268"/>
      <c r="D139" s="268"/>
      <c r="E139" s="268"/>
      <c r="F139" s="268"/>
      <c r="G139" s="268"/>
      <c r="H139" s="268"/>
      <c r="I139" s="268"/>
      <c r="J139" s="268"/>
      <c r="K139" s="268"/>
      <c r="L139" s="309"/>
      <c r="M139" s="268"/>
      <c r="N139" s="268"/>
      <c r="O139" s="310"/>
      <c r="P139" s="268"/>
      <c r="Q139" s="309"/>
      <c r="R139" s="268"/>
      <c r="S139" s="313"/>
      <c r="T139" s="313"/>
      <c r="U139" s="268"/>
      <c r="V139" s="309"/>
      <c r="W139" s="310"/>
      <c r="X139" s="268"/>
      <c r="Y139" s="268"/>
      <c r="Z139" s="268"/>
      <c r="AA139" s="268"/>
      <c r="AB139" s="268"/>
      <c r="AC139" s="268"/>
    </row>
    <row r="140" spans="1:29" ht="24.75" customHeight="1">
      <c r="A140" s="268"/>
      <c r="B140" s="268"/>
      <c r="C140" s="268"/>
      <c r="D140" s="268"/>
      <c r="E140" s="268"/>
      <c r="F140" s="268"/>
      <c r="G140" s="268"/>
      <c r="H140" s="268"/>
      <c r="I140" s="268"/>
      <c r="J140" s="268"/>
      <c r="K140" s="268"/>
      <c r="L140" s="309"/>
      <c r="M140" s="268"/>
      <c r="N140" s="268"/>
      <c r="O140" s="310"/>
      <c r="P140" s="268"/>
      <c r="Q140" s="309"/>
      <c r="R140" s="268"/>
      <c r="S140" s="313"/>
      <c r="T140" s="313"/>
      <c r="U140" s="268"/>
      <c r="V140" s="309"/>
      <c r="W140" s="310"/>
      <c r="X140" s="268"/>
      <c r="Y140" s="268"/>
      <c r="Z140" s="268"/>
      <c r="AA140" s="268"/>
      <c r="AB140" s="268"/>
      <c r="AC140" s="268"/>
    </row>
    <row r="141" spans="1:29" ht="24.75" customHeight="1">
      <c r="A141" s="268"/>
      <c r="B141" s="268"/>
      <c r="C141" s="268"/>
      <c r="D141" s="268"/>
      <c r="E141" s="268"/>
      <c r="F141" s="268"/>
      <c r="G141" s="268"/>
      <c r="H141" s="268"/>
      <c r="I141" s="268"/>
      <c r="J141" s="268"/>
      <c r="K141" s="268"/>
      <c r="L141" s="309"/>
      <c r="M141" s="268"/>
      <c r="N141" s="268"/>
      <c r="O141" s="310"/>
      <c r="P141" s="268"/>
      <c r="Q141" s="309"/>
      <c r="R141" s="268"/>
      <c r="S141" s="313"/>
      <c r="T141" s="313"/>
      <c r="U141" s="268"/>
      <c r="V141" s="309"/>
      <c r="W141" s="310"/>
      <c r="X141" s="268"/>
      <c r="Y141" s="268"/>
      <c r="Z141" s="268"/>
      <c r="AA141" s="268"/>
      <c r="AB141" s="268"/>
      <c r="AC141" s="268"/>
    </row>
    <row r="142" spans="1:29" ht="24.75" customHeight="1">
      <c r="A142" s="268"/>
      <c r="B142" s="268"/>
      <c r="C142" s="268"/>
      <c r="D142" s="268"/>
      <c r="E142" s="268"/>
      <c r="F142" s="268"/>
      <c r="G142" s="268"/>
      <c r="H142" s="268"/>
      <c r="I142" s="268"/>
      <c r="J142" s="268"/>
      <c r="K142" s="268"/>
      <c r="L142" s="309"/>
      <c r="M142" s="268"/>
      <c r="N142" s="268"/>
      <c r="O142" s="310"/>
      <c r="P142" s="268"/>
      <c r="Q142" s="309"/>
      <c r="R142" s="268"/>
      <c r="S142" s="313"/>
      <c r="T142" s="313"/>
      <c r="U142" s="268"/>
      <c r="V142" s="309"/>
      <c r="W142" s="310"/>
      <c r="X142" s="268"/>
      <c r="Y142" s="268"/>
      <c r="Z142" s="268"/>
      <c r="AA142" s="268"/>
      <c r="AB142" s="268"/>
      <c r="AC142" s="268"/>
    </row>
    <row r="143" spans="1:29" ht="24.75" customHeight="1">
      <c r="A143" s="268"/>
      <c r="B143" s="268"/>
      <c r="C143" s="268"/>
      <c r="D143" s="268"/>
      <c r="E143" s="268"/>
      <c r="F143" s="268"/>
      <c r="G143" s="268"/>
      <c r="H143" s="268"/>
      <c r="I143" s="268"/>
      <c r="J143" s="268"/>
      <c r="K143" s="268"/>
      <c r="L143" s="309"/>
      <c r="M143" s="268"/>
      <c r="N143" s="268"/>
      <c r="O143" s="310"/>
      <c r="P143" s="268"/>
      <c r="Q143" s="309"/>
      <c r="R143" s="268"/>
      <c r="S143" s="313"/>
      <c r="T143" s="313"/>
      <c r="U143" s="268"/>
      <c r="V143" s="309"/>
      <c r="W143" s="310"/>
      <c r="X143" s="268"/>
      <c r="Y143" s="268"/>
      <c r="Z143" s="268"/>
      <c r="AA143" s="268"/>
      <c r="AB143" s="268"/>
      <c r="AC143" s="268"/>
    </row>
    <row r="144" spans="1:29" ht="24.75" customHeight="1">
      <c r="A144" s="268"/>
      <c r="B144" s="268"/>
      <c r="C144" s="268"/>
      <c r="D144" s="268"/>
      <c r="E144" s="268"/>
      <c r="F144" s="268"/>
      <c r="G144" s="268"/>
      <c r="H144" s="268"/>
      <c r="I144" s="268"/>
      <c r="J144" s="268"/>
      <c r="K144" s="268"/>
      <c r="L144" s="309"/>
      <c r="M144" s="268"/>
      <c r="N144" s="268"/>
      <c r="O144" s="310"/>
      <c r="P144" s="268"/>
      <c r="Q144" s="309"/>
      <c r="R144" s="268"/>
      <c r="S144" s="313"/>
      <c r="T144" s="313"/>
      <c r="U144" s="268"/>
      <c r="V144" s="309"/>
      <c r="W144" s="310"/>
      <c r="X144" s="268"/>
      <c r="Y144" s="268"/>
      <c r="Z144" s="268"/>
      <c r="AA144" s="268"/>
      <c r="AB144" s="268"/>
      <c r="AC144" s="268"/>
    </row>
    <row r="145" spans="1:29" ht="24.75" customHeight="1">
      <c r="A145" s="268"/>
      <c r="B145" s="268"/>
      <c r="C145" s="268"/>
      <c r="D145" s="268"/>
      <c r="E145" s="268"/>
      <c r="F145" s="268"/>
      <c r="G145" s="268"/>
      <c r="H145" s="268"/>
      <c r="I145" s="268"/>
      <c r="J145" s="268"/>
      <c r="K145" s="268"/>
      <c r="L145" s="309"/>
      <c r="M145" s="268"/>
      <c r="N145" s="268"/>
      <c r="O145" s="310"/>
      <c r="P145" s="268"/>
      <c r="Q145" s="309"/>
      <c r="R145" s="268"/>
      <c r="S145" s="313"/>
      <c r="T145" s="313"/>
      <c r="U145" s="268"/>
      <c r="V145" s="309"/>
      <c r="W145" s="310"/>
      <c r="X145" s="268"/>
      <c r="Y145" s="268"/>
      <c r="Z145" s="268"/>
      <c r="AA145" s="268"/>
      <c r="AB145" s="268"/>
      <c r="AC145" s="268"/>
    </row>
    <row r="146" spans="1:29" ht="24.75" customHeight="1">
      <c r="A146" s="268"/>
      <c r="B146" s="268"/>
      <c r="C146" s="268"/>
      <c r="D146" s="268"/>
      <c r="E146" s="268"/>
      <c r="F146" s="268"/>
      <c r="G146" s="268"/>
      <c r="H146" s="268"/>
      <c r="I146" s="268"/>
      <c r="J146" s="268"/>
      <c r="K146" s="268"/>
      <c r="L146" s="309"/>
      <c r="M146" s="268"/>
      <c r="N146" s="268"/>
      <c r="O146" s="310"/>
      <c r="P146" s="268"/>
      <c r="Q146" s="309"/>
      <c r="R146" s="268"/>
      <c r="S146" s="313"/>
      <c r="T146" s="313"/>
      <c r="U146" s="268"/>
      <c r="V146" s="309"/>
      <c r="W146" s="310"/>
      <c r="X146" s="268"/>
      <c r="Y146" s="268"/>
      <c r="Z146" s="268"/>
      <c r="AA146" s="268"/>
      <c r="AB146" s="268"/>
      <c r="AC146" s="268"/>
    </row>
    <row r="147" spans="1:29" ht="24.75" customHeight="1">
      <c r="A147" s="268"/>
      <c r="B147" s="268"/>
      <c r="C147" s="268"/>
      <c r="D147" s="268"/>
      <c r="E147" s="268"/>
      <c r="F147" s="268"/>
      <c r="G147" s="268"/>
      <c r="H147" s="268"/>
      <c r="I147" s="268"/>
      <c r="J147" s="268"/>
      <c r="K147" s="268"/>
      <c r="L147" s="309"/>
      <c r="M147" s="268"/>
      <c r="N147" s="268"/>
      <c r="O147" s="310"/>
      <c r="P147" s="268"/>
      <c r="Q147" s="309"/>
      <c r="R147" s="268"/>
      <c r="S147" s="313"/>
      <c r="T147" s="313"/>
      <c r="U147" s="268"/>
      <c r="V147" s="309"/>
      <c r="W147" s="310"/>
      <c r="X147" s="268"/>
      <c r="Y147" s="268"/>
      <c r="Z147" s="268"/>
      <c r="AA147" s="268"/>
      <c r="AB147" s="268"/>
      <c r="AC147" s="268"/>
    </row>
    <row r="148" spans="1:29" ht="24.75" customHeight="1">
      <c r="A148" s="268"/>
      <c r="B148" s="268"/>
      <c r="C148" s="268"/>
      <c r="D148" s="268"/>
      <c r="E148" s="268"/>
      <c r="F148" s="268"/>
      <c r="G148" s="268"/>
      <c r="H148" s="268"/>
      <c r="I148" s="268"/>
      <c r="J148" s="268"/>
      <c r="K148" s="268"/>
      <c r="L148" s="309"/>
      <c r="M148" s="268"/>
      <c r="N148" s="268"/>
      <c r="O148" s="310"/>
      <c r="P148" s="268"/>
      <c r="Q148" s="309"/>
      <c r="R148" s="268"/>
      <c r="S148" s="313"/>
      <c r="T148" s="313"/>
      <c r="U148" s="268"/>
      <c r="V148" s="309"/>
      <c r="W148" s="310"/>
      <c r="X148" s="268"/>
      <c r="Y148" s="268"/>
      <c r="Z148" s="268"/>
      <c r="AA148" s="268"/>
      <c r="AB148" s="268"/>
      <c r="AC148" s="268"/>
    </row>
    <row r="149" spans="1:29" ht="24.75" customHeight="1">
      <c r="A149" s="268"/>
      <c r="B149" s="268"/>
      <c r="C149" s="268"/>
      <c r="D149" s="268"/>
      <c r="E149" s="268"/>
      <c r="F149" s="268"/>
      <c r="G149" s="268"/>
      <c r="H149" s="268"/>
      <c r="I149" s="268"/>
      <c r="J149" s="268"/>
      <c r="K149" s="268"/>
      <c r="L149" s="309"/>
      <c r="M149" s="268"/>
      <c r="N149" s="268"/>
      <c r="O149" s="310"/>
      <c r="P149" s="268"/>
      <c r="Q149" s="309"/>
      <c r="R149" s="268"/>
      <c r="S149" s="313"/>
      <c r="T149" s="313"/>
      <c r="U149" s="268"/>
      <c r="V149" s="309"/>
      <c r="W149" s="310"/>
      <c r="X149" s="268"/>
      <c r="Y149" s="268"/>
      <c r="Z149" s="268"/>
      <c r="AA149" s="268"/>
      <c r="AB149" s="268"/>
      <c r="AC149" s="268"/>
    </row>
    <row r="150" spans="1:29" ht="24.75" customHeight="1">
      <c r="A150" s="268"/>
      <c r="B150" s="268"/>
      <c r="C150" s="268"/>
      <c r="D150" s="268"/>
      <c r="E150" s="268"/>
      <c r="F150" s="268"/>
      <c r="G150" s="268"/>
      <c r="H150" s="268"/>
      <c r="I150" s="268"/>
      <c r="J150" s="268"/>
      <c r="K150" s="268"/>
      <c r="L150" s="309"/>
      <c r="M150" s="268"/>
      <c r="N150" s="268"/>
      <c r="O150" s="310"/>
      <c r="P150" s="268"/>
      <c r="Q150" s="309"/>
      <c r="R150" s="268"/>
      <c r="S150" s="313"/>
      <c r="T150" s="313"/>
      <c r="U150" s="230"/>
      <c r="V150" s="256"/>
      <c r="W150" s="257"/>
      <c r="X150" s="230"/>
      <c r="Y150" s="230"/>
      <c r="Z150" s="230"/>
      <c r="AA150" s="268"/>
      <c r="AB150" s="268"/>
      <c r="AC150" s="268"/>
    </row>
    <row r="151" spans="1:29" ht="24.75" customHeight="1">
      <c r="A151" s="268"/>
      <c r="B151" s="268"/>
      <c r="C151" s="268"/>
      <c r="D151" s="268"/>
      <c r="E151" s="268"/>
      <c r="F151" s="268"/>
      <c r="G151" s="268"/>
      <c r="H151" s="268"/>
      <c r="I151" s="268"/>
      <c r="J151" s="268"/>
      <c r="K151" s="268"/>
      <c r="L151" s="309"/>
      <c r="M151" s="268"/>
      <c r="N151" s="268"/>
      <c r="O151" s="310"/>
      <c r="P151" s="268"/>
      <c r="Q151" s="309"/>
      <c r="R151" s="268"/>
      <c r="S151" s="313"/>
      <c r="T151" s="313"/>
      <c r="U151" s="230"/>
      <c r="V151" s="256"/>
      <c r="W151" s="257"/>
      <c r="X151" s="230"/>
      <c r="Y151" s="230"/>
      <c r="Z151" s="230"/>
      <c r="AA151" s="268"/>
      <c r="AB151" s="268"/>
      <c r="AC151" s="268"/>
    </row>
    <row r="152" spans="1:29" ht="24.75" customHeight="1">
      <c r="A152" s="268"/>
      <c r="B152" s="268"/>
      <c r="C152" s="268"/>
      <c r="D152" s="268"/>
      <c r="E152" s="268"/>
      <c r="F152" s="268"/>
      <c r="G152" s="268"/>
      <c r="H152" s="268"/>
      <c r="I152" s="268"/>
      <c r="J152" s="268"/>
      <c r="K152" s="268"/>
      <c r="L152" s="309"/>
      <c r="M152" s="268"/>
      <c r="N152" s="268"/>
      <c r="O152" s="310"/>
      <c r="P152" s="268"/>
      <c r="Q152" s="309"/>
      <c r="R152" s="268"/>
      <c r="S152" s="313"/>
      <c r="T152" s="313"/>
      <c r="U152" s="230"/>
      <c r="V152" s="256"/>
      <c r="W152" s="257"/>
      <c r="X152" s="230"/>
      <c r="Y152" s="230"/>
      <c r="Z152" s="230"/>
      <c r="AA152" s="268"/>
      <c r="AB152" s="268"/>
      <c r="AC152" s="268"/>
    </row>
    <row r="153" spans="1:29" ht="24.75" customHeight="1">
      <c r="A153" s="268"/>
      <c r="B153" s="268"/>
      <c r="C153" s="268"/>
      <c r="D153" s="268"/>
      <c r="E153" s="268"/>
      <c r="F153" s="268"/>
      <c r="G153" s="268"/>
      <c r="H153" s="268"/>
      <c r="I153" s="268"/>
      <c r="J153" s="268"/>
      <c r="K153" s="268"/>
      <c r="L153" s="309"/>
      <c r="M153" s="268"/>
      <c r="N153" s="268"/>
      <c r="O153" s="310"/>
      <c r="P153" s="268"/>
      <c r="Q153" s="309"/>
      <c r="R153" s="268"/>
      <c r="S153" s="313"/>
      <c r="T153" s="313"/>
      <c r="U153" s="268"/>
      <c r="V153" s="309"/>
      <c r="W153" s="310"/>
      <c r="X153" s="268"/>
      <c r="Y153" s="268"/>
      <c r="Z153" s="268"/>
      <c r="AA153" s="268"/>
      <c r="AB153" s="268"/>
      <c r="AC153" s="268"/>
    </row>
    <row r="154" spans="1:29" ht="24.75" customHeight="1">
      <c r="A154" s="268"/>
      <c r="B154" s="268"/>
      <c r="C154" s="268"/>
      <c r="D154" s="268"/>
      <c r="E154" s="268"/>
      <c r="F154" s="268"/>
      <c r="G154" s="268"/>
      <c r="H154" s="268"/>
      <c r="I154" s="268"/>
      <c r="J154" s="268"/>
      <c r="K154" s="268"/>
      <c r="L154" s="309"/>
      <c r="M154" s="268"/>
      <c r="N154" s="268"/>
      <c r="O154" s="310"/>
      <c r="P154" s="268"/>
      <c r="Q154" s="309"/>
      <c r="R154" s="268"/>
      <c r="S154" s="313"/>
      <c r="T154" s="313"/>
      <c r="U154" s="248"/>
      <c r="V154" s="253"/>
      <c r="W154" s="254"/>
      <c r="X154" s="248"/>
      <c r="Y154" s="248"/>
      <c r="Z154" s="248"/>
      <c r="AA154" s="268"/>
      <c r="AB154" s="268"/>
      <c r="AC154" s="268"/>
    </row>
    <row r="155" spans="1:29" ht="24.75" customHeight="1">
      <c r="A155" s="268"/>
      <c r="B155" s="268"/>
      <c r="C155" s="268"/>
      <c r="D155" s="268"/>
      <c r="E155" s="268"/>
      <c r="F155" s="268"/>
      <c r="G155" s="268"/>
      <c r="H155" s="268"/>
      <c r="I155" s="268"/>
      <c r="J155" s="268"/>
      <c r="K155" s="268"/>
      <c r="L155" s="309"/>
      <c r="M155" s="268"/>
      <c r="N155" s="268"/>
      <c r="O155" s="310"/>
      <c r="P155" s="268"/>
      <c r="Q155" s="309"/>
      <c r="R155" s="268"/>
      <c r="S155" s="313"/>
      <c r="T155" s="313"/>
      <c r="U155" s="248"/>
      <c r="V155" s="253"/>
      <c r="W155" s="254"/>
      <c r="X155" s="248"/>
      <c r="Y155" s="248"/>
      <c r="Z155" s="248"/>
      <c r="AA155" s="268"/>
      <c r="AB155" s="268"/>
      <c r="AC155" s="268"/>
    </row>
    <row r="156" spans="1:29" ht="24.75" customHeight="1">
      <c r="A156" s="268"/>
      <c r="B156" s="268"/>
      <c r="C156" s="268"/>
      <c r="D156" s="268"/>
      <c r="E156" s="268"/>
      <c r="F156" s="268"/>
      <c r="G156" s="268"/>
      <c r="H156" s="268"/>
      <c r="I156" s="268"/>
      <c r="J156" s="268"/>
      <c r="K156" s="268"/>
      <c r="L156" s="309"/>
      <c r="M156" s="268"/>
      <c r="N156" s="268"/>
      <c r="O156" s="310"/>
      <c r="P156" s="268"/>
      <c r="Q156" s="309"/>
      <c r="R156" s="268"/>
      <c r="S156" s="313"/>
      <c r="T156" s="313"/>
      <c r="U156" s="268"/>
      <c r="V156" s="309"/>
      <c r="W156" s="310"/>
      <c r="X156" s="268"/>
      <c r="Y156" s="268"/>
      <c r="Z156" s="268"/>
      <c r="AA156" s="268"/>
      <c r="AB156" s="268"/>
      <c r="AC156" s="268"/>
    </row>
    <row r="157" spans="1:29" ht="24.75" customHeight="1">
      <c r="A157" s="268"/>
      <c r="B157" s="268"/>
      <c r="C157" s="268"/>
      <c r="D157" s="268"/>
      <c r="E157" s="268"/>
      <c r="F157" s="268"/>
      <c r="G157" s="268"/>
      <c r="H157" s="268"/>
      <c r="I157" s="268"/>
      <c r="J157" s="268"/>
      <c r="K157" s="268"/>
      <c r="L157" s="309"/>
      <c r="M157" s="268"/>
      <c r="N157" s="268"/>
      <c r="O157" s="310"/>
      <c r="P157" s="268"/>
      <c r="Q157" s="309"/>
      <c r="R157" s="268"/>
      <c r="S157" s="313"/>
      <c r="T157" s="313"/>
      <c r="U157" s="248"/>
      <c r="V157" s="253"/>
      <c r="W157" s="254"/>
      <c r="X157" s="248"/>
      <c r="Y157" s="248"/>
      <c r="Z157" s="248"/>
      <c r="AA157" s="268"/>
      <c r="AB157" s="268"/>
      <c r="AC157" s="268"/>
    </row>
    <row r="158" spans="1:29" ht="24.75" customHeight="1">
      <c r="A158" s="268"/>
      <c r="B158" s="268"/>
      <c r="C158" s="268"/>
      <c r="D158" s="268"/>
      <c r="E158" s="268"/>
      <c r="F158" s="268"/>
      <c r="G158" s="268"/>
      <c r="H158" s="268"/>
      <c r="I158" s="268"/>
      <c r="J158" s="268"/>
      <c r="K158" s="268"/>
      <c r="L158" s="309"/>
      <c r="M158" s="268"/>
      <c r="N158" s="268"/>
      <c r="O158" s="310"/>
      <c r="P158" s="268"/>
      <c r="Q158" s="309"/>
      <c r="R158" s="268"/>
      <c r="S158" s="313"/>
      <c r="T158" s="313"/>
      <c r="U158" s="248"/>
      <c r="V158" s="253"/>
      <c r="W158" s="254"/>
      <c r="X158" s="248"/>
      <c r="Y158" s="248"/>
      <c r="Z158" s="248"/>
      <c r="AA158" s="268"/>
      <c r="AB158" s="268"/>
      <c r="AC158" s="268"/>
    </row>
    <row r="159" spans="1:29" ht="24.75" customHeight="1">
      <c r="A159" s="268"/>
      <c r="B159" s="268"/>
      <c r="C159" s="268"/>
      <c r="D159" s="268"/>
      <c r="E159" s="268"/>
      <c r="F159" s="268"/>
      <c r="G159" s="268"/>
      <c r="H159" s="268"/>
      <c r="I159" s="268"/>
      <c r="J159" s="268"/>
      <c r="K159" s="268"/>
      <c r="L159" s="309"/>
      <c r="M159" s="268"/>
      <c r="N159" s="268"/>
      <c r="O159" s="310"/>
      <c r="P159" s="268"/>
      <c r="Q159" s="309"/>
      <c r="R159" s="268"/>
      <c r="S159" s="313"/>
      <c r="T159" s="313"/>
      <c r="U159" s="248"/>
      <c r="V159" s="253"/>
      <c r="W159" s="254"/>
      <c r="X159" s="248"/>
      <c r="Y159" s="248"/>
      <c r="Z159" s="248"/>
      <c r="AA159" s="268"/>
      <c r="AB159" s="268"/>
      <c r="AC159" s="268"/>
    </row>
    <row r="160" spans="1:29" ht="24.75" customHeight="1">
      <c r="A160" s="268"/>
      <c r="B160" s="268"/>
      <c r="C160" s="268"/>
      <c r="D160" s="268"/>
      <c r="E160" s="268"/>
      <c r="F160" s="268"/>
      <c r="G160" s="268"/>
      <c r="H160" s="268"/>
      <c r="I160" s="268"/>
      <c r="J160" s="268"/>
      <c r="K160" s="268"/>
      <c r="L160" s="309"/>
      <c r="M160" s="268"/>
      <c r="N160" s="268"/>
      <c r="O160" s="310"/>
      <c r="P160" s="268"/>
      <c r="Q160" s="309"/>
      <c r="R160" s="268"/>
      <c r="S160" s="313"/>
      <c r="T160" s="313"/>
      <c r="U160" s="268"/>
      <c r="V160" s="309"/>
      <c r="W160" s="310"/>
      <c r="X160" s="268"/>
      <c r="Y160" s="268"/>
      <c r="Z160" s="268"/>
      <c r="AA160" s="268"/>
      <c r="AB160" s="268"/>
      <c r="AC160" s="268"/>
    </row>
    <row r="161" spans="1:29" ht="24.75" customHeight="1">
      <c r="A161" s="268"/>
      <c r="B161" s="268"/>
      <c r="C161" s="268"/>
      <c r="D161" s="268"/>
      <c r="E161" s="268"/>
      <c r="F161" s="268"/>
      <c r="G161" s="268"/>
      <c r="H161" s="268"/>
      <c r="I161" s="268"/>
      <c r="J161" s="268"/>
      <c r="K161" s="268"/>
      <c r="L161" s="309"/>
      <c r="M161" s="268"/>
      <c r="N161" s="268"/>
      <c r="O161" s="310"/>
      <c r="P161" s="268"/>
      <c r="Q161" s="309"/>
      <c r="R161" s="268"/>
      <c r="S161" s="313"/>
      <c r="T161" s="313"/>
      <c r="U161" s="248"/>
      <c r="V161" s="253"/>
      <c r="W161" s="254"/>
      <c r="X161" s="248"/>
      <c r="Y161" s="248"/>
      <c r="Z161" s="248"/>
      <c r="AA161" s="268"/>
      <c r="AB161" s="268"/>
      <c r="AC161" s="268"/>
    </row>
    <row r="162" spans="1:29" ht="24.75" customHeight="1">
      <c r="A162" s="268"/>
      <c r="B162" s="268"/>
      <c r="C162" s="268"/>
      <c r="D162" s="268"/>
      <c r="E162" s="268"/>
      <c r="F162" s="268"/>
      <c r="G162" s="268"/>
      <c r="H162" s="268"/>
      <c r="I162" s="268"/>
      <c r="J162" s="268"/>
      <c r="K162" s="268"/>
      <c r="L162" s="309"/>
      <c r="M162" s="268"/>
      <c r="N162" s="268"/>
      <c r="O162" s="310"/>
      <c r="P162" s="268"/>
      <c r="Q162" s="309"/>
      <c r="R162" s="268"/>
      <c r="S162" s="313"/>
      <c r="T162" s="313"/>
      <c r="U162" s="248"/>
      <c r="V162" s="253"/>
      <c r="W162" s="254"/>
      <c r="X162" s="248"/>
      <c r="Y162" s="248"/>
      <c r="Z162" s="248"/>
      <c r="AA162" s="268"/>
      <c r="AB162" s="268"/>
      <c r="AC162" s="268"/>
    </row>
    <row r="163" spans="1:29" ht="24.75" customHeight="1">
      <c r="A163" s="268"/>
      <c r="B163" s="268"/>
      <c r="C163" s="268"/>
      <c r="D163" s="268"/>
      <c r="E163" s="268"/>
      <c r="F163" s="268"/>
      <c r="G163" s="268"/>
      <c r="H163" s="268"/>
      <c r="I163" s="268"/>
      <c r="J163" s="268"/>
      <c r="K163" s="268"/>
      <c r="L163" s="309"/>
      <c r="M163" s="268"/>
      <c r="N163" s="268"/>
      <c r="O163" s="310"/>
      <c r="P163" s="268"/>
      <c r="Q163" s="309"/>
      <c r="R163" s="268"/>
      <c r="S163" s="313"/>
      <c r="T163" s="313"/>
      <c r="U163" s="268"/>
      <c r="V163" s="309"/>
      <c r="W163" s="310"/>
      <c r="X163" s="268"/>
      <c r="Y163" s="268"/>
      <c r="Z163" s="268"/>
      <c r="AA163" s="268"/>
      <c r="AB163" s="268"/>
      <c r="AC163" s="268"/>
    </row>
    <row r="164" spans="1:29" ht="24.75" customHeight="1">
      <c r="A164" s="268"/>
      <c r="B164" s="268"/>
      <c r="C164" s="268"/>
      <c r="D164" s="268"/>
      <c r="E164" s="268"/>
      <c r="F164" s="268"/>
      <c r="G164" s="268"/>
      <c r="H164" s="268"/>
      <c r="I164" s="268"/>
      <c r="J164" s="268"/>
      <c r="K164" s="268"/>
      <c r="L164" s="309"/>
      <c r="M164" s="268"/>
      <c r="N164" s="268"/>
      <c r="O164" s="310"/>
      <c r="P164" s="268"/>
      <c r="Q164" s="309"/>
      <c r="R164" s="268"/>
      <c r="S164" s="313"/>
      <c r="T164" s="313"/>
      <c r="U164" s="248"/>
      <c r="V164" s="253"/>
      <c r="W164" s="254"/>
      <c r="X164" s="248"/>
      <c r="Y164" s="248"/>
      <c r="Z164" s="248"/>
      <c r="AA164" s="268"/>
      <c r="AB164" s="268"/>
      <c r="AC164" s="268"/>
    </row>
    <row r="165" spans="1:29" ht="24.75" customHeight="1">
      <c r="A165" s="268"/>
      <c r="B165" s="268"/>
      <c r="C165" s="268"/>
      <c r="D165" s="268"/>
      <c r="E165" s="268"/>
      <c r="F165" s="268"/>
      <c r="G165" s="268"/>
      <c r="H165" s="268"/>
      <c r="I165" s="268"/>
      <c r="J165" s="268"/>
      <c r="K165" s="268"/>
      <c r="L165" s="309"/>
      <c r="M165" s="268"/>
      <c r="N165" s="268"/>
      <c r="O165" s="310"/>
      <c r="P165" s="268"/>
      <c r="Q165" s="309"/>
      <c r="R165" s="268"/>
      <c r="S165" s="313"/>
      <c r="T165" s="313"/>
      <c r="U165" s="248"/>
      <c r="V165" s="253"/>
      <c r="W165" s="254"/>
      <c r="X165" s="248"/>
      <c r="Y165" s="248"/>
      <c r="Z165" s="248"/>
      <c r="AA165" s="268"/>
      <c r="AB165" s="268"/>
      <c r="AC165" s="268"/>
    </row>
    <row r="166" spans="1:29" ht="24.75" customHeight="1">
      <c r="A166" s="268"/>
      <c r="B166" s="268"/>
      <c r="C166" s="268"/>
      <c r="D166" s="268"/>
      <c r="E166" s="268"/>
      <c r="F166" s="268"/>
      <c r="G166" s="268"/>
      <c r="H166" s="268"/>
      <c r="I166" s="268"/>
      <c r="J166" s="268"/>
      <c r="K166" s="268"/>
      <c r="L166" s="309"/>
      <c r="M166" s="268"/>
      <c r="N166" s="268"/>
      <c r="O166" s="310"/>
      <c r="P166" s="268"/>
      <c r="Q166" s="309"/>
      <c r="R166" s="268"/>
      <c r="S166" s="313"/>
      <c r="T166" s="313"/>
      <c r="U166" s="248"/>
      <c r="V166" s="253"/>
      <c r="W166" s="254"/>
      <c r="X166" s="248"/>
      <c r="Y166" s="248"/>
      <c r="Z166" s="248"/>
      <c r="AA166" s="268"/>
      <c r="AB166" s="268"/>
      <c r="AC166" s="268"/>
    </row>
    <row r="167" spans="1:29" ht="24.75" customHeight="1">
      <c r="A167" s="268"/>
      <c r="B167" s="268"/>
      <c r="C167" s="268"/>
      <c r="D167" s="268"/>
      <c r="E167" s="268"/>
      <c r="F167" s="268"/>
      <c r="G167" s="268"/>
      <c r="H167" s="268"/>
      <c r="I167" s="268"/>
      <c r="J167" s="268"/>
      <c r="K167" s="268"/>
      <c r="L167" s="309"/>
      <c r="M167" s="268"/>
      <c r="N167" s="268"/>
      <c r="O167" s="310"/>
      <c r="P167" s="268"/>
      <c r="Q167" s="309"/>
      <c r="R167" s="268"/>
      <c r="S167" s="313"/>
      <c r="T167" s="313"/>
      <c r="U167" s="248"/>
      <c r="V167" s="253"/>
      <c r="W167" s="254"/>
      <c r="X167" s="248"/>
      <c r="Y167" s="248"/>
      <c r="Z167" s="248"/>
      <c r="AA167" s="268"/>
      <c r="AB167" s="268"/>
      <c r="AC167" s="268"/>
    </row>
    <row r="168" spans="1:29" ht="24.75" customHeight="1">
      <c r="A168" s="268"/>
      <c r="B168" s="268"/>
      <c r="C168" s="268"/>
      <c r="D168" s="268"/>
      <c r="E168" s="268"/>
      <c r="F168" s="268"/>
      <c r="G168" s="268"/>
      <c r="H168" s="268"/>
      <c r="I168" s="268"/>
      <c r="J168" s="268"/>
      <c r="K168" s="268"/>
      <c r="L168" s="309"/>
      <c r="M168" s="268"/>
      <c r="N168" s="268"/>
      <c r="O168" s="310"/>
      <c r="P168" s="268"/>
      <c r="Q168" s="309"/>
      <c r="R168" s="268"/>
      <c r="S168" s="313"/>
      <c r="T168" s="313"/>
      <c r="U168" s="268"/>
      <c r="V168" s="309"/>
      <c r="W168" s="310"/>
      <c r="X168" s="268"/>
      <c r="Y168" s="268"/>
      <c r="Z168" s="268"/>
      <c r="AA168" s="268"/>
      <c r="AB168" s="268"/>
      <c r="AC168" s="268"/>
    </row>
    <row r="169" spans="1:29" ht="24.75" customHeight="1">
      <c r="A169" s="268"/>
      <c r="B169" s="268"/>
      <c r="C169" s="268"/>
      <c r="D169" s="268"/>
      <c r="E169" s="268"/>
      <c r="F169" s="268"/>
      <c r="G169" s="268"/>
      <c r="H169" s="268"/>
      <c r="I169" s="268"/>
      <c r="J169" s="268"/>
      <c r="K169" s="268"/>
      <c r="L169" s="309"/>
      <c r="M169" s="268"/>
      <c r="N169" s="268"/>
      <c r="O169" s="310"/>
      <c r="P169" s="268"/>
      <c r="Q169" s="309"/>
      <c r="R169" s="268"/>
      <c r="S169" s="313"/>
      <c r="T169" s="313"/>
      <c r="U169" s="248"/>
      <c r="V169" s="253"/>
      <c r="W169" s="254"/>
      <c r="X169" s="248"/>
      <c r="Y169" s="248"/>
      <c r="Z169" s="248"/>
      <c r="AA169" s="268"/>
      <c r="AB169" s="268"/>
      <c r="AC169" s="268"/>
    </row>
    <row r="170" spans="1:29" ht="24.75" customHeight="1">
      <c r="A170" s="268"/>
      <c r="B170" s="268"/>
      <c r="C170" s="268"/>
      <c r="D170" s="268"/>
      <c r="E170" s="268"/>
      <c r="F170" s="268"/>
      <c r="G170" s="268"/>
      <c r="H170" s="268"/>
      <c r="I170" s="268"/>
      <c r="J170" s="268"/>
      <c r="K170" s="268"/>
      <c r="L170" s="309"/>
      <c r="M170" s="268"/>
      <c r="N170" s="268"/>
      <c r="O170" s="310"/>
      <c r="P170" s="268"/>
      <c r="Q170" s="309"/>
      <c r="R170" s="268"/>
      <c r="S170" s="313"/>
      <c r="T170" s="313"/>
      <c r="U170" s="248"/>
      <c r="V170" s="253"/>
      <c r="W170" s="254"/>
      <c r="X170" s="248"/>
      <c r="Y170" s="248"/>
      <c r="Z170" s="248"/>
      <c r="AA170" s="268"/>
      <c r="AB170" s="268"/>
      <c r="AC170" s="268"/>
    </row>
    <row r="171" spans="1:29" ht="24.75" customHeight="1">
      <c r="A171" s="268"/>
      <c r="B171" s="268"/>
      <c r="C171" s="268"/>
      <c r="D171" s="268"/>
      <c r="E171" s="268"/>
      <c r="F171" s="268"/>
      <c r="G171" s="268"/>
      <c r="H171" s="268"/>
      <c r="I171" s="268"/>
      <c r="J171" s="268"/>
      <c r="K171" s="268"/>
      <c r="L171" s="309"/>
      <c r="M171" s="268"/>
      <c r="N171" s="268"/>
      <c r="O171" s="310"/>
      <c r="P171" s="268"/>
      <c r="Q171" s="309"/>
      <c r="R171" s="268"/>
      <c r="S171" s="313"/>
      <c r="T171" s="313"/>
      <c r="U171" s="268"/>
      <c r="V171" s="309"/>
      <c r="W171" s="310"/>
      <c r="X171" s="268"/>
      <c r="Y171" s="268"/>
      <c r="Z171" s="268"/>
      <c r="AA171" s="268"/>
      <c r="AB171" s="268"/>
      <c r="AC171" s="268"/>
    </row>
    <row r="172" spans="1:29" ht="24.75" customHeight="1">
      <c r="A172" s="268"/>
      <c r="B172" s="268"/>
      <c r="C172" s="268"/>
      <c r="D172" s="268"/>
      <c r="E172" s="268"/>
      <c r="F172" s="268"/>
      <c r="G172" s="268"/>
      <c r="H172" s="268"/>
      <c r="I172" s="268"/>
      <c r="J172" s="268"/>
      <c r="K172" s="268"/>
      <c r="L172" s="309"/>
      <c r="M172" s="268"/>
      <c r="N172" s="268"/>
      <c r="O172" s="310"/>
      <c r="P172" s="268"/>
      <c r="Q172" s="309"/>
      <c r="R172" s="268"/>
      <c r="S172" s="313"/>
      <c r="T172" s="313"/>
      <c r="U172" s="248"/>
      <c r="V172" s="253"/>
      <c r="W172" s="254"/>
      <c r="X172" s="248"/>
      <c r="Y172" s="248"/>
      <c r="Z172" s="248"/>
      <c r="AA172" s="268"/>
      <c r="AB172" s="268"/>
      <c r="AC172" s="268"/>
    </row>
    <row r="173" spans="1:29" ht="24.75" customHeight="1">
      <c r="A173" s="268"/>
      <c r="B173" s="268"/>
      <c r="C173" s="268"/>
      <c r="D173" s="268"/>
      <c r="E173" s="268"/>
      <c r="F173" s="268"/>
      <c r="G173" s="268"/>
      <c r="H173" s="268"/>
      <c r="I173" s="268"/>
      <c r="J173" s="268"/>
      <c r="K173" s="268"/>
      <c r="L173" s="309"/>
      <c r="M173" s="268"/>
      <c r="N173" s="268"/>
      <c r="O173" s="310"/>
      <c r="P173" s="268"/>
      <c r="Q173" s="309"/>
      <c r="R173" s="268"/>
      <c r="S173" s="313"/>
      <c r="T173" s="313"/>
      <c r="U173" s="248"/>
      <c r="V173" s="253"/>
      <c r="W173" s="254"/>
      <c r="X173" s="248"/>
      <c r="Y173" s="248"/>
      <c r="Z173" s="248"/>
      <c r="AA173" s="268"/>
      <c r="AB173" s="268"/>
      <c r="AC173" s="268"/>
    </row>
    <row r="174" spans="1:29" ht="24.75" customHeight="1">
      <c r="A174" s="268"/>
      <c r="B174" s="268"/>
      <c r="C174" s="268"/>
      <c r="D174" s="268"/>
      <c r="E174" s="268"/>
      <c r="F174" s="268"/>
      <c r="G174" s="268"/>
      <c r="H174" s="268"/>
      <c r="I174" s="268"/>
      <c r="J174" s="268"/>
      <c r="K174" s="268"/>
      <c r="L174" s="309"/>
      <c r="M174" s="268"/>
      <c r="N174" s="268"/>
      <c r="O174" s="310"/>
      <c r="P174" s="268"/>
      <c r="Q174" s="309"/>
      <c r="R174" s="268"/>
      <c r="S174" s="313"/>
      <c r="T174" s="313"/>
      <c r="U174" s="248"/>
      <c r="V174" s="253"/>
      <c r="W174" s="254"/>
      <c r="X174" s="248"/>
      <c r="Y174" s="248"/>
      <c r="Z174" s="248"/>
      <c r="AA174" s="268"/>
      <c r="AB174" s="268"/>
      <c r="AC174" s="268"/>
    </row>
    <row r="175" spans="1:29" ht="24.75" customHeight="1">
      <c r="A175" s="268"/>
      <c r="B175" s="268"/>
      <c r="C175" s="268"/>
      <c r="D175" s="268"/>
      <c r="E175" s="268"/>
      <c r="F175" s="268"/>
      <c r="G175" s="268"/>
      <c r="H175" s="268"/>
      <c r="I175" s="268"/>
      <c r="J175" s="268"/>
      <c r="K175" s="268"/>
      <c r="L175" s="309"/>
      <c r="M175" s="268"/>
      <c r="N175" s="268"/>
      <c r="O175" s="310"/>
      <c r="P175" s="268"/>
      <c r="Q175" s="309"/>
      <c r="R175" s="268"/>
      <c r="S175" s="313"/>
      <c r="T175" s="313"/>
      <c r="U175" s="268"/>
      <c r="V175" s="309"/>
      <c r="W175" s="310"/>
      <c r="X175" s="268"/>
      <c r="Y175" s="268"/>
      <c r="Z175" s="268"/>
      <c r="AA175" s="268"/>
      <c r="AB175" s="268"/>
      <c r="AC175" s="268"/>
    </row>
    <row r="176" spans="1:29" ht="24.75" customHeight="1">
      <c r="A176" s="268"/>
      <c r="B176" s="268"/>
      <c r="C176" s="268"/>
      <c r="D176" s="268"/>
      <c r="E176" s="268"/>
      <c r="F176" s="268"/>
      <c r="G176" s="268"/>
      <c r="H176" s="268"/>
      <c r="I176" s="268"/>
      <c r="J176" s="268"/>
      <c r="K176" s="268"/>
      <c r="L176" s="309"/>
      <c r="M176" s="268"/>
      <c r="N176" s="268"/>
      <c r="O176" s="310"/>
      <c r="P176" s="268"/>
      <c r="Q176" s="309"/>
      <c r="R176" s="268"/>
      <c r="S176" s="313"/>
      <c r="T176" s="313"/>
      <c r="U176" s="248"/>
      <c r="V176" s="253"/>
      <c r="W176" s="254"/>
      <c r="X176" s="248"/>
      <c r="Y176" s="248"/>
      <c r="Z176" s="248"/>
      <c r="AA176" s="268"/>
      <c r="AB176" s="268"/>
      <c r="AC176" s="268"/>
    </row>
    <row r="177" spans="1:29" ht="24.75" customHeight="1">
      <c r="A177" s="268"/>
      <c r="B177" s="268"/>
      <c r="C177" s="268"/>
      <c r="D177" s="268"/>
      <c r="E177" s="268"/>
      <c r="F177" s="268"/>
      <c r="G177" s="268"/>
      <c r="H177" s="268"/>
      <c r="I177" s="268"/>
      <c r="J177" s="268"/>
      <c r="K177" s="268"/>
      <c r="L177" s="309"/>
      <c r="M177" s="268"/>
      <c r="N177" s="268"/>
      <c r="O177" s="310"/>
      <c r="P177" s="268"/>
      <c r="Q177" s="309"/>
      <c r="R177" s="268"/>
      <c r="S177" s="313"/>
      <c r="T177" s="313"/>
      <c r="U177" s="248"/>
      <c r="V177" s="253"/>
      <c r="W177" s="254"/>
      <c r="X177" s="248"/>
      <c r="Y177" s="248"/>
      <c r="Z177" s="248"/>
      <c r="AA177" s="268"/>
      <c r="AB177" s="268"/>
      <c r="AC177" s="268"/>
    </row>
    <row r="178" spans="1:29" ht="24.75" customHeight="1">
      <c r="A178" s="268"/>
      <c r="B178" s="268"/>
      <c r="C178" s="268"/>
      <c r="D178" s="268"/>
      <c r="E178" s="268"/>
      <c r="F178" s="268"/>
      <c r="G178" s="268"/>
      <c r="H178" s="268"/>
      <c r="I178" s="268"/>
      <c r="J178" s="268"/>
      <c r="K178" s="268"/>
      <c r="L178" s="309"/>
      <c r="M178" s="268"/>
      <c r="N178" s="268"/>
      <c r="O178" s="310"/>
      <c r="P178" s="268"/>
      <c r="Q178" s="309"/>
      <c r="R178" s="268"/>
      <c r="S178" s="313"/>
      <c r="T178" s="313"/>
      <c r="U178" s="268"/>
      <c r="V178" s="309"/>
      <c r="W178" s="310"/>
      <c r="X178" s="268"/>
      <c r="Y178" s="268"/>
      <c r="Z178" s="268"/>
      <c r="AA178" s="268"/>
      <c r="AB178" s="268"/>
      <c r="AC178" s="268"/>
    </row>
    <row r="179" spans="1:29" ht="24.75" customHeight="1">
      <c r="A179" s="268"/>
      <c r="B179" s="268"/>
      <c r="C179" s="268"/>
      <c r="D179" s="268"/>
      <c r="E179" s="268"/>
      <c r="F179" s="268"/>
      <c r="G179" s="268"/>
      <c r="H179" s="268"/>
      <c r="I179" s="268"/>
      <c r="J179" s="268"/>
      <c r="K179" s="268"/>
      <c r="L179" s="309"/>
      <c r="M179" s="268"/>
      <c r="N179" s="268"/>
      <c r="O179" s="310"/>
      <c r="P179" s="268"/>
      <c r="Q179" s="309"/>
      <c r="R179" s="268"/>
      <c r="S179" s="313"/>
      <c r="T179" s="313"/>
      <c r="U179" s="248"/>
      <c r="V179" s="253"/>
      <c r="W179" s="254"/>
      <c r="X179" s="248"/>
      <c r="Y179" s="248"/>
      <c r="Z179" s="248"/>
      <c r="AA179" s="268"/>
      <c r="AB179" s="268"/>
      <c r="AC179" s="268"/>
    </row>
    <row r="180" spans="1:29" ht="24.75" customHeight="1">
      <c r="A180" s="268"/>
      <c r="B180" s="268"/>
      <c r="C180" s="268"/>
      <c r="D180" s="268"/>
      <c r="E180" s="268"/>
      <c r="F180" s="268"/>
      <c r="G180" s="268"/>
      <c r="H180" s="268"/>
      <c r="I180" s="268"/>
      <c r="J180" s="268"/>
      <c r="K180" s="268"/>
      <c r="L180" s="309"/>
      <c r="M180" s="268"/>
      <c r="N180" s="268"/>
      <c r="O180" s="310"/>
      <c r="P180" s="268"/>
      <c r="Q180" s="309"/>
      <c r="R180" s="268"/>
      <c r="S180" s="313"/>
      <c r="T180" s="313"/>
      <c r="U180" s="248"/>
      <c r="V180" s="253"/>
      <c r="W180" s="254"/>
      <c r="X180" s="248"/>
      <c r="Y180" s="248"/>
      <c r="Z180" s="248"/>
      <c r="AA180" s="268"/>
      <c r="AB180" s="268"/>
      <c r="AC180" s="268"/>
    </row>
    <row r="181" spans="1:29" ht="24.75" customHeight="1">
      <c r="A181" s="268"/>
      <c r="B181" s="268"/>
      <c r="C181" s="268"/>
      <c r="D181" s="268"/>
      <c r="E181" s="268"/>
      <c r="F181" s="268"/>
      <c r="G181" s="268"/>
      <c r="H181" s="268"/>
      <c r="I181" s="268"/>
      <c r="J181" s="268"/>
      <c r="K181" s="268"/>
      <c r="L181" s="309"/>
      <c r="M181" s="268"/>
      <c r="N181" s="268"/>
      <c r="O181" s="310"/>
      <c r="P181" s="268"/>
      <c r="Q181" s="309"/>
      <c r="R181" s="268"/>
      <c r="S181" s="313"/>
      <c r="T181" s="313"/>
      <c r="U181" s="230"/>
      <c r="V181" s="256"/>
      <c r="W181" s="257"/>
      <c r="X181" s="230"/>
      <c r="Y181" s="230"/>
      <c r="Z181" s="230"/>
      <c r="AA181" s="268"/>
      <c r="AB181" s="268"/>
      <c r="AC181" s="268"/>
    </row>
    <row r="182" spans="1:29" ht="24.75" customHeight="1">
      <c r="A182" s="268"/>
      <c r="B182" s="268"/>
      <c r="C182" s="268"/>
      <c r="D182" s="268"/>
      <c r="E182" s="268"/>
      <c r="F182" s="268"/>
      <c r="G182" s="268"/>
      <c r="H182" s="268"/>
      <c r="I182" s="268"/>
      <c r="J182" s="268"/>
      <c r="K182" s="268"/>
      <c r="L182" s="309"/>
      <c r="M182" s="268"/>
      <c r="N182" s="268"/>
      <c r="O182" s="310"/>
      <c r="P182" s="268"/>
      <c r="Q182" s="309"/>
      <c r="R182" s="268"/>
      <c r="S182" s="313"/>
      <c r="T182" s="313"/>
      <c r="U182" s="248"/>
      <c r="V182" s="253"/>
      <c r="W182" s="254"/>
      <c r="X182" s="248"/>
      <c r="Y182" s="248"/>
      <c r="Z182" s="248"/>
      <c r="AA182" s="268"/>
      <c r="AB182" s="268"/>
      <c r="AC182" s="268"/>
    </row>
    <row r="183" spans="1:29" ht="24.75" customHeight="1">
      <c r="A183" s="268"/>
      <c r="B183" s="268"/>
      <c r="C183" s="268"/>
      <c r="D183" s="268"/>
      <c r="E183" s="268"/>
      <c r="F183" s="268"/>
      <c r="G183" s="268"/>
      <c r="H183" s="268"/>
      <c r="I183" s="268"/>
      <c r="J183" s="268"/>
      <c r="K183" s="268"/>
      <c r="L183" s="309"/>
      <c r="M183" s="268"/>
      <c r="N183" s="268"/>
      <c r="O183" s="310"/>
      <c r="P183" s="268"/>
      <c r="Q183" s="309"/>
      <c r="R183" s="268"/>
      <c r="S183" s="313"/>
      <c r="T183" s="313"/>
      <c r="U183" s="248"/>
      <c r="V183" s="253"/>
      <c r="W183" s="254"/>
      <c r="X183" s="248"/>
      <c r="Y183" s="248"/>
      <c r="Z183" s="248"/>
      <c r="AA183" s="268"/>
      <c r="AB183" s="268"/>
      <c r="AC183" s="268"/>
    </row>
    <row r="184" spans="1:29" ht="24.75" customHeight="1">
      <c r="A184" s="268"/>
      <c r="B184" s="268"/>
      <c r="C184" s="268"/>
      <c r="D184" s="268"/>
      <c r="E184" s="268"/>
      <c r="F184" s="268"/>
      <c r="G184" s="268"/>
      <c r="H184" s="268"/>
      <c r="I184" s="268"/>
      <c r="J184" s="268"/>
      <c r="K184" s="268"/>
      <c r="L184" s="309"/>
      <c r="M184" s="268"/>
      <c r="N184" s="268"/>
      <c r="O184" s="310"/>
      <c r="P184" s="268"/>
      <c r="Q184" s="309"/>
      <c r="R184" s="268"/>
      <c r="S184" s="313"/>
      <c r="T184" s="313"/>
      <c r="U184" s="268"/>
      <c r="V184" s="309"/>
      <c r="W184" s="310"/>
      <c r="X184" s="268"/>
      <c r="Y184" s="268"/>
      <c r="Z184" s="268"/>
      <c r="AA184" s="268"/>
      <c r="AB184" s="268"/>
      <c r="AC184" s="268"/>
    </row>
    <row r="185" spans="1:29" ht="24.75" customHeight="1">
      <c r="A185" s="268"/>
      <c r="B185" s="268"/>
      <c r="C185" s="268"/>
      <c r="D185" s="268"/>
      <c r="E185" s="268"/>
      <c r="F185" s="268"/>
      <c r="G185" s="268"/>
      <c r="H185" s="268"/>
      <c r="I185" s="268"/>
      <c r="J185" s="268"/>
      <c r="K185" s="268"/>
      <c r="L185" s="309"/>
      <c r="M185" s="268"/>
      <c r="N185" s="268"/>
      <c r="O185" s="310"/>
      <c r="P185" s="268"/>
      <c r="Q185" s="309"/>
      <c r="R185" s="268"/>
      <c r="S185" s="313"/>
      <c r="T185" s="313"/>
      <c r="U185" s="248"/>
      <c r="V185" s="253"/>
      <c r="W185" s="254"/>
      <c r="X185" s="248"/>
      <c r="Y185" s="248"/>
      <c r="Z185" s="248"/>
      <c r="AA185" s="268"/>
      <c r="AB185" s="268"/>
      <c r="AC185" s="268"/>
    </row>
    <row r="186" spans="1:29" ht="24.75" customHeight="1">
      <c r="A186" s="268"/>
      <c r="B186" s="268"/>
      <c r="C186" s="268"/>
      <c r="D186" s="268"/>
      <c r="E186" s="268"/>
      <c r="F186" s="268"/>
      <c r="G186" s="268"/>
      <c r="H186" s="268"/>
      <c r="I186" s="268"/>
      <c r="J186" s="268"/>
      <c r="K186" s="268"/>
      <c r="L186" s="309"/>
      <c r="M186" s="268"/>
      <c r="N186" s="268"/>
      <c r="O186" s="310"/>
      <c r="P186" s="268"/>
      <c r="Q186" s="309"/>
      <c r="R186" s="268"/>
      <c r="S186" s="313"/>
      <c r="T186" s="313"/>
      <c r="U186" s="230"/>
      <c r="V186" s="256"/>
      <c r="W186" s="257"/>
      <c r="X186" s="230"/>
      <c r="Y186" s="230"/>
      <c r="Z186" s="230"/>
      <c r="AA186" s="268"/>
      <c r="AB186" s="268"/>
      <c r="AC186" s="268"/>
    </row>
    <row r="187" spans="1:29" ht="24.75" customHeight="1">
      <c r="A187" s="268"/>
      <c r="B187" s="268"/>
      <c r="C187" s="268"/>
      <c r="D187" s="268"/>
      <c r="E187" s="268"/>
      <c r="F187" s="268"/>
      <c r="G187" s="268"/>
      <c r="H187" s="268"/>
      <c r="I187" s="268"/>
      <c r="J187" s="268"/>
      <c r="K187" s="268"/>
      <c r="L187" s="309"/>
      <c r="M187" s="268"/>
      <c r="N187" s="268"/>
      <c r="O187" s="310"/>
      <c r="P187" s="268"/>
      <c r="Q187" s="309"/>
      <c r="R187" s="268"/>
      <c r="S187" s="313"/>
      <c r="T187" s="313"/>
      <c r="U187" s="230"/>
      <c r="V187" s="256"/>
      <c r="W187" s="257"/>
      <c r="X187" s="230"/>
      <c r="Y187" s="230"/>
      <c r="Z187" s="230"/>
      <c r="AA187" s="268"/>
      <c r="AB187" s="268"/>
      <c r="AC187" s="268"/>
    </row>
    <row r="188" spans="1:29" ht="24.75" customHeight="1">
      <c r="A188" s="268"/>
      <c r="B188" s="268"/>
      <c r="C188" s="268"/>
      <c r="D188" s="268"/>
      <c r="E188" s="268"/>
      <c r="F188" s="268"/>
      <c r="G188" s="268"/>
      <c r="H188" s="268"/>
      <c r="I188" s="268"/>
      <c r="J188" s="268"/>
      <c r="K188" s="268"/>
      <c r="L188" s="309"/>
      <c r="M188" s="268"/>
      <c r="N188" s="268"/>
      <c r="O188" s="310"/>
      <c r="P188" s="268"/>
      <c r="Q188" s="309"/>
      <c r="R188" s="268"/>
      <c r="S188" s="313"/>
      <c r="T188" s="313"/>
      <c r="U188" s="230"/>
      <c r="V188" s="256"/>
      <c r="W188" s="257"/>
      <c r="X188" s="230"/>
      <c r="Y188" s="230"/>
      <c r="Z188" s="230"/>
      <c r="AA188" s="268"/>
      <c r="AB188" s="268"/>
      <c r="AC188" s="268"/>
    </row>
    <row r="189" spans="1:29" ht="24.75" customHeight="1">
      <c r="A189" s="268"/>
      <c r="B189" s="268"/>
      <c r="C189" s="268"/>
      <c r="D189" s="268"/>
      <c r="E189" s="268"/>
      <c r="F189" s="268"/>
      <c r="G189" s="268"/>
      <c r="H189" s="268"/>
      <c r="I189" s="268"/>
      <c r="J189" s="268"/>
      <c r="K189" s="268"/>
      <c r="L189" s="309"/>
      <c r="M189" s="268"/>
      <c r="N189" s="268"/>
      <c r="O189" s="310"/>
      <c r="P189" s="268"/>
      <c r="Q189" s="309"/>
      <c r="R189" s="268"/>
      <c r="S189" s="313"/>
      <c r="T189" s="313"/>
      <c r="U189" s="230"/>
      <c r="V189" s="256"/>
      <c r="W189" s="257"/>
      <c r="X189" s="230"/>
      <c r="Y189" s="230"/>
      <c r="Z189" s="230"/>
      <c r="AA189" s="268"/>
      <c r="AB189" s="268"/>
      <c r="AC189" s="268"/>
    </row>
    <row r="190" spans="1:29" ht="24.75" customHeight="1">
      <c r="A190" s="268"/>
      <c r="B190" s="268"/>
      <c r="C190" s="268"/>
      <c r="D190" s="268"/>
      <c r="E190" s="268"/>
      <c r="F190" s="268"/>
      <c r="G190" s="268"/>
      <c r="H190" s="268"/>
      <c r="I190" s="268"/>
      <c r="J190" s="268"/>
      <c r="K190" s="268"/>
      <c r="L190" s="309"/>
      <c r="M190" s="268"/>
      <c r="N190" s="268"/>
      <c r="O190" s="310"/>
      <c r="P190" s="268"/>
      <c r="Q190" s="309"/>
      <c r="R190" s="268"/>
      <c r="S190" s="313"/>
      <c r="T190" s="313"/>
      <c r="U190" s="230"/>
      <c r="V190" s="256"/>
      <c r="W190" s="257"/>
      <c r="X190" s="230"/>
      <c r="Y190" s="230"/>
      <c r="Z190" s="230"/>
      <c r="AA190" s="268"/>
      <c r="AB190" s="268"/>
      <c r="AC190" s="268"/>
    </row>
    <row r="191" spans="1:29" ht="24.75" customHeight="1">
      <c r="A191" s="268"/>
      <c r="B191" s="268"/>
      <c r="C191" s="268"/>
      <c r="D191" s="268"/>
      <c r="E191" s="268"/>
      <c r="F191" s="268"/>
      <c r="G191" s="268"/>
      <c r="H191" s="268"/>
      <c r="I191" s="268"/>
      <c r="J191" s="268"/>
      <c r="K191" s="268"/>
      <c r="L191" s="309"/>
      <c r="M191" s="268"/>
      <c r="N191" s="268"/>
      <c r="O191" s="310"/>
      <c r="P191" s="268"/>
      <c r="Q191" s="309"/>
      <c r="R191" s="268"/>
      <c r="S191" s="313"/>
      <c r="T191" s="313"/>
      <c r="U191" s="230"/>
      <c r="V191" s="256"/>
      <c r="W191" s="257"/>
      <c r="X191" s="230"/>
      <c r="Y191" s="230"/>
      <c r="Z191" s="230"/>
      <c r="AA191" s="268"/>
      <c r="AB191" s="268"/>
      <c r="AC191" s="268"/>
    </row>
    <row r="192" spans="1:29" ht="24.75" customHeight="1">
      <c r="A192" s="268"/>
      <c r="B192" s="268"/>
      <c r="C192" s="268"/>
      <c r="D192" s="268"/>
      <c r="E192" s="268"/>
      <c r="F192" s="268"/>
      <c r="G192" s="268"/>
      <c r="H192" s="268"/>
      <c r="I192" s="268"/>
      <c r="J192" s="268"/>
      <c r="K192" s="268"/>
      <c r="L192" s="309"/>
      <c r="M192" s="268"/>
      <c r="N192" s="268"/>
      <c r="O192" s="310"/>
      <c r="P192" s="268"/>
      <c r="Q192" s="309"/>
      <c r="R192" s="268"/>
      <c r="S192" s="313"/>
      <c r="T192" s="313"/>
      <c r="U192" s="230"/>
      <c r="V192" s="256"/>
      <c r="W192" s="257"/>
      <c r="X192" s="230"/>
      <c r="Y192" s="230"/>
      <c r="Z192" s="230"/>
      <c r="AA192" s="268"/>
      <c r="AB192" s="268"/>
      <c r="AC192" s="268"/>
    </row>
    <row r="193" spans="1:29" ht="24.75" customHeight="1">
      <c r="A193" s="268"/>
      <c r="B193" s="268"/>
      <c r="C193" s="268"/>
      <c r="D193" s="268"/>
      <c r="E193" s="268"/>
      <c r="F193" s="268"/>
      <c r="G193" s="268"/>
      <c r="H193" s="268"/>
      <c r="I193" s="268"/>
      <c r="J193" s="268"/>
      <c r="K193" s="268"/>
      <c r="L193" s="309"/>
      <c r="M193" s="268"/>
      <c r="N193" s="268"/>
      <c r="O193" s="310"/>
      <c r="P193" s="268"/>
      <c r="Q193" s="309"/>
      <c r="R193" s="268"/>
      <c r="S193" s="313"/>
      <c r="T193" s="313"/>
      <c r="U193" s="230"/>
      <c r="V193" s="256"/>
      <c r="W193" s="257"/>
      <c r="X193" s="230"/>
      <c r="Y193" s="230"/>
      <c r="Z193" s="230"/>
      <c r="AA193" s="268"/>
      <c r="AB193" s="268"/>
      <c r="AC193" s="268"/>
    </row>
    <row r="194" spans="1:29" ht="24.75" customHeight="1">
      <c r="A194" s="268"/>
      <c r="B194" s="268"/>
      <c r="C194" s="268"/>
      <c r="D194" s="268"/>
      <c r="E194" s="268"/>
      <c r="F194" s="268"/>
      <c r="G194" s="268"/>
      <c r="H194" s="268"/>
      <c r="I194" s="268"/>
      <c r="J194" s="268"/>
      <c r="K194" s="268"/>
      <c r="L194" s="309"/>
      <c r="M194" s="268"/>
      <c r="N194" s="268"/>
      <c r="O194" s="310"/>
      <c r="P194" s="268"/>
      <c r="Q194" s="309"/>
      <c r="R194" s="268"/>
      <c r="S194" s="313"/>
      <c r="T194" s="313"/>
      <c r="U194" s="230"/>
      <c r="V194" s="256"/>
      <c r="W194" s="257"/>
      <c r="X194" s="230"/>
      <c r="Y194" s="230"/>
      <c r="Z194" s="230"/>
      <c r="AA194" s="268"/>
      <c r="AB194" s="268"/>
      <c r="AC194" s="268"/>
    </row>
    <row r="195" spans="1:29" ht="24.75" customHeight="1">
      <c r="A195" s="268"/>
      <c r="B195" s="268"/>
      <c r="C195" s="268"/>
      <c r="D195" s="268"/>
      <c r="E195" s="268"/>
      <c r="F195" s="268"/>
      <c r="G195" s="268"/>
      <c r="H195" s="268"/>
      <c r="I195" s="268"/>
      <c r="J195" s="268"/>
      <c r="K195" s="268"/>
      <c r="L195" s="309"/>
      <c r="M195" s="268"/>
      <c r="N195" s="268"/>
      <c r="O195" s="310"/>
      <c r="P195" s="268"/>
      <c r="Q195" s="309"/>
      <c r="R195" s="268"/>
      <c r="S195" s="313"/>
      <c r="T195" s="313"/>
      <c r="U195" s="248"/>
      <c r="V195" s="253"/>
      <c r="W195" s="254"/>
      <c r="X195" s="248"/>
      <c r="Y195" s="248"/>
      <c r="Z195" s="248"/>
      <c r="AA195" s="268"/>
      <c r="AB195" s="268"/>
      <c r="AC195" s="268"/>
    </row>
    <row r="196" spans="1:29" ht="24.75" customHeight="1">
      <c r="A196" s="268"/>
      <c r="B196" s="268"/>
      <c r="C196" s="268"/>
      <c r="D196" s="268"/>
      <c r="E196" s="268"/>
      <c r="F196" s="268"/>
      <c r="G196" s="268"/>
      <c r="H196" s="268"/>
      <c r="I196" s="268"/>
      <c r="J196" s="268"/>
      <c r="K196" s="268"/>
      <c r="L196" s="309"/>
      <c r="M196" s="268"/>
      <c r="N196" s="268"/>
      <c r="O196" s="310"/>
      <c r="P196" s="268"/>
      <c r="Q196" s="309"/>
      <c r="R196" s="268"/>
      <c r="S196" s="313"/>
      <c r="T196" s="313"/>
      <c r="U196" s="230"/>
      <c r="V196" s="256"/>
      <c r="W196" s="257"/>
      <c r="X196" s="230"/>
      <c r="Y196" s="230"/>
      <c r="Z196" s="230"/>
      <c r="AA196" s="268"/>
      <c r="AB196" s="268"/>
      <c r="AC196" s="268"/>
    </row>
    <row r="197" spans="1:29" ht="24.75" customHeight="1">
      <c r="A197" s="268"/>
      <c r="B197" s="268"/>
      <c r="C197" s="268"/>
      <c r="D197" s="268"/>
      <c r="E197" s="268"/>
      <c r="F197" s="268"/>
      <c r="G197" s="268"/>
      <c r="H197" s="268"/>
      <c r="I197" s="268"/>
      <c r="J197" s="268"/>
      <c r="K197" s="268"/>
      <c r="L197" s="309"/>
      <c r="M197" s="268"/>
      <c r="N197" s="268"/>
      <c r="O197" s="310"/>
      <c r="P197" s="268"/>
      <c r="Q197" s="309"/>
      <c r="R197" s="268"/>
      <c r="S197" s="313"/>
      <c r="T197" s="313"/>
      <c r="U197" s="268"/>
      <c r="V197" s="309"/>
      <c r="W197" s="310"/>
      <c r="X197" s="268"/>
      <c r="Y197" s="268"/>
      <c r="Z197" s="268"/>
      <c r="AA197" s="268"/>
      <c r="AB197" s="268"/>
      <c r="AC197" s="268"/>
    </row>
    <row r="198" spans="1:29" ht="24.75" customHeight="1">
      <c r="A198" s="268"/>
      <c r="B198" s="268"/>
      <c r="C198" s="268"/>
      <c r="D198" s="268"/>
      <c r="E198" s="268"/>
      <c r="F198" s="268"/>
      <c r="G198" s="268"/>
      <c r="H198" s="268"/>
      <c r="I198" s="268"/>
      <c r="J198" s="268"/>
      <c r="K198" s="268"/>
      <c r="L198" s="309"/>
      <c r="M198" s="268"/>
      <c r="N198" s="268"/>
      <c r="O198" s="310"/>
      <c r="P198" s="268"/>
      <c r="Q198" s="309"/>
      <c r="R198" s="268"/>
      <c r="S198" s="313"/>
      <c r="T198" s="313"/>
      <c r="U198" s="230"/>
      <c r="V198" s="256"/>
      <c r="W198" s="257"/>
      <c r="X198" s="230"/>
      <c r="Y198" s="230"/>
      <c r="Z198" s="230"/>
      <c r="AA198" s="268"/>
      <c r="AB198" s="268"/>
      <c r="AC198" s="268"/>
    </row>
    <row r="199" spans="1:29" ht="24.75" customHeight="1">
      <c r="A199" s="268"/>
      <c r="B199" s="268"/>
      <c r="C199" s="268"/>
      <c r="D199" s="268"/>
      <c r="E199" s="268"/>
      <c r="F199" s="268"/>
      <c r="G199" s="268"/>
      <c r="H199" s="268"/>
      <c r="I199" s="268"/>
      <c r="J199" s="268"/>
      <c r="K199" s="268"/>
      <c r="L199" s="309"/>
      <c r="M199" s="268"/>
      <c r="N199" s="268"/>
      <c r="O199" s="310"/>
      <c r="P199" s="268"/>
      <c r="Q199" s="309"/>
      <c r="R199" s="268"/>
      <c r="S199" s="313"/>
      <c r="T199" s="313"/>
      <c r="U199" s="268"/>
      <c r="V199" s="309"/>
      <c r="W199" s="310"/>
      <c r="X199" s="268"/>
      <c r="Y199" s="268"/>
      <c r="Z199" s="268"/>
      <c r="AA199" s="268"/>
      <c r="AB199" s="268"/>
      <c r="AC199" s="268"/>
    </row>
    <row r="200" spans="1:29" ht="24.75" customHeight="1">
      <c r="A200" s="437"/>
      <c r="B200" s="268"/>
      <c r="C200" s="268"/>
      <c r="D200" s="268"/>
      <c r="E200" s="268"/>
      <c r="F200" s="268"/>
      <c r="G200" s="268"/>
      <c r="H200" s="268"/>
      <c r="I200" s="268"/>
      <c r="J200" s="268"/>
      <c r="K200" s="268"/>
      <c r="L200" s="309"/>
      <c r="M200" s="268"/>
      <c r="N200" s="268"/>
      <c r="O200" s="310"/>
      <c r="P200" s="268"/>
      <c r="Q200" s="309"/>
      <c r="R200" s="268"/>
      <c r="S200" s="313"/>
      <c r="T200" s="313"/>
      <c r="U200" s="248"/>
      <c r="V200" s="253"/>
      <c r="W200" s="254"/>
      <c r="X200" s="248"/>
      <c r="Y200" s="248"/>
      <c r="Z200" s="248"/>
      <c r="AA200" s="268"/>
      <c r="AB200" s="268"/>
      <c r="AC200" s="268"/>
    </row>
    <row r="201" spans="1:29" ht="24.75" customHeight="1">
      <c r="A201" s="437"/>
      <c r="B201" s="268"/>
      <c r="C201" s="268"/>
      <c r="D201" s="268"/>
      <c r="E201" s="268"/>
      <c r="F201" s="268"/>
      <c r="G201" s="268"/>
      <c r="H201" s="268"/>
      <c r="I201" s="268"/>
      <c r="J201" s="268"/>
      <c r="K201" s="268"/>
      <c r="L201" s="309"/>
      <c r="M201" s="268"/>
      <c r="N201" s="268"/>
      <c r="O201" s="310"/>
      <c r="P201" s="268"/>
      <c r="Q201" s="309"/>
      <c r="R201" s="268"/>
      <c r="S201" s="313"/>
      <c r="T201" s="313"/>
      <c r="U201" s="230"/>
      <c r="V201" s="256"/>
      <c r="W201" s="257"/>
      <c r="X201" s="230"/>
      <c r="Y201" s="230"/>
      <c r="Z201" s="230"/>
      <c r="AA201" s="268"/>
      <c r="AB201" s="268"/>
      <c r="AC201" s="268"/>
    </row>
    <row r="202" spans="1:29" ht="24.75" customHeight="1">
      <c r="A202" s="437"/>
      <c r="B202" s="268"/>
      <c r="C202" s="268"/>
      <c r="D202" s="268"/>
      <c r="E202" s="268"/>
      <c r="F202" s="268"/>
      <c r="G202" s="268"/>
      <c r="H202" s="268"/>
      <c r="I202" s="268"/>
      <c r="J202" s="268"/>
      <c r="K202" s="268"/>
      <c r="L202" s="309"/>
      <c r="M202" s="268"/>
      <c r="N202" s="268"/>
      <c r="O202" s="310"/>
      <c r="P202" s="268"/>
      <c r="Q202" s="309"/>
      <c r="R202" s="268"/>
      <c r="S202" s="313"/>
      <c r="T202" s="313"/>
      <c r="U202" s="248"/>
      <c r="V202" s="253"/>
      <c r="W202" s="254"/>
      <c r="X202" s="248"/>
      <c r="Y202" s="248"/>
      <c r="Z202" s="248"/>
      <c r="AA202" s="268"/>
      <c r="AB202" s="268"/>
      <c r="AC202" s="268"/>
    </row>
    <row r="203" spans="1:29" ht="24.75" customHeight="1">
      <c r="A203" s="437"/>
      <c r="B203" s="268"/>
      <c r="C203" s="268"/>
      <c r="D203" s="268"/>
      <c r="E203" s="268"/>
      <c r="F203" s="268"/>
      <c r="G203" s="268"/>
      <c r="H203" s="268"/>
      <c r="I203" s="268"/>
      <c r="J203" s="268"/>
      <c r="K203" s="268"/>
      <c r="L203" s="309"/>
      <c r="M203" s="268"/>
      <c r="N203" s="268"/>
      <c r="O203" s="310"/>
      <c r="P203" s="268"/>
      <c r="Q203" s="309"/>
      <c r="R203" s="268"/>
      <c r="S203" s="313"/>
      <c r="T203" s="313"/>
      <c r="U203" s="248"/>
      <c r="V203" s="253"/>
      <c r="W203" s="254"/>
      <c r="X203" s="248"/>
      <c r="Y203" s="248"/>
      <c r="Z203" s="248"/>
      <c r="AA203" s="268"/>
      <c r="AB203" s="268"/>
      <c r="AC203" s="268"/>
    </row>
    <row r="204" spans="1:29" ht="24.75" customHeight="1">
      <c r="A204" s="437"/>
      <c r="B204" s="268"/>
      <c r="C204" s="268"/>
      <c r="D204" s="268"/>
      <c r="E204" s="268"/>
      <c r="F204" s="268"/>
      <c r="G204" s="268"/>
      <c r="H204" s="268"/>
      <c r="I204" s="268"/>
      <c r="J204" s="268"/>
      <c r="K204" s="268"/>
      <c r="L204" s="309"/>
      <c r="M204" s="268"/>
      <c r="N204" s="268"/>
      <c r="O204" s="310"/>
      <c r="P204" s="268"/>
      <c r="Q204" s="309"/>
      <c r="R204" s="268"/>
      <c r="S204" s="313"/>
      <c r="T204" s="313"/>
      <c r="U204" s="268"/>
      <c r="V204" s="309"/>
      <c r="W204" s="310"/>
      <c r="X204" s="268"/>
      <c r="Y204" s="268"/>
      <c r="Z204" s="268"/>
      <c r="AA204" s="268"/>
      <c r="AB204" s="268"/>
      <c r="AC204" s="268"/>
    </row>
    <row r="205" spans="1:29" ht="24.75" customHeight="1">
      <c r="A205" s="268"/>
      <c r="B205" s="268"/>
      <c r="C205" s="268"/>
      <c r="D205" s="268"/>
      <c r="E205" s="268"/>
      <c r="F205" s="268"/>
      <c r="G205" s="268"/>
      <c r="H205" s="268"/>
      <c r="I205" s="268"/>
      <c r="J205" s="268"/>
      <c r="K205" s="268"/>
      <c r="L205" s="309"/>
      <c r="M205" s="268"/>
      <c r="N205" s="268"/>
      <c r="O205" s="310"/>
      <c r="P205" s="268"/>
      <c r="Q205" s="309"/>
      <c r="R205" s="268"/>
      <c r="S205" s="313"/>
      <c r="T205" s="313"/>
      <c r="U205" s="292"/>
      <c r="V205" s="293"/>
      <c r="W205" s="294"/>
      <c r="X205" s="292"/>
      <c r="Y205" s="292"/>
      <c r="Z205" s="292"/>
      <c r="AA205" s="268"/>
      <c r="AB205" s="268"/>
      <c r="AC205" s="268"/>
    </row>
    <row r="206" spans="1:29" ht="24.75" customHeight="1">
      <c r="A206" s="268"/>
      <c r="B206" s="268"/>
      <c r="C206" s="268"/>
      <c r="D206" s="268"/>
      <c r="E206" s="268"/>
      <c r="F206" s="268"/>
      <c r="G206" s="268"/>
      <c r="H206" s="268"/>
      <c r="I206" s="268"/>
      <c r="J206" s="268"/>
      <c r="K206" s="268"/>
      <c r="L206" s="309"/>
      <c r="M206" s="268"/>
      <c r="N206" s="268"/>
      <c r="O206" s="310"/>
      <c r="P206" s="268"/>
      <c r="Q206" s="309"/>
      <c r="R206" s="268"/>
      <c r="S206" s="313"/>
      <c r="T206" s="313"/>
      <c r="U206" s="230"/>
      <c r="V206" s="256"/>
      <c r="W206" s="257"/>
      <c r="X206" s="230"/>
      <c r="Y206" s="230"/>
      <c r="Z206" s="230"/>
      <c r="AA206" s="268"/>
      <c r="AB206" s="268"/>
      <c r="AC206" s="268"/>
    </row>
    <row r="207" spans="1:29" ht="24.75" customHeight="1">
      <c r="A207" s="268"/>
      <c r="B207" s="268"/>
      <c r="C207" s="268"/>
      <c r="D207" s="268"/>
      <c r="E207" s="268"/>
      <c r="F207" s="268"/>
      <c r="G207" s="268"/>
      <c r="H207" s="268"/>
      <c r="I207" s="268"/>
      <c r="J207" s="268"/>
      <c r="K207" s="268"/>
      <c r="L207" s="309"/>
      <c r="M207" s="268"/>
      <c r="N207" s="268"/>
      <c r="O207" s="310"/>
      <c r="P207" s="268"/>
      <c r="Q207" s="309"/>
      <c r="R207" s="268"/>
      <c r="S207" s="313"/>
      <c r="T207" s="313"/>
      <c r="U207" s="268"/>
      <c r="V207" s="309"/>
      <c r="W207" s="310"/>
      <c r="X207" s="268"/>
      <c r="Y207" s="268"/>
      <c r="Z207" s="268"/>
      <c r="AA207" s="268"/>
      <c r="AB207" s="268"/>
      <c r="AC207" s="268"/>
    </row>
    <row r="208" spans="1:29" ht="24.75" customHeight="1">
      <c r="A208" s="268"/>
      <c r="B208" s="268"/>
      <c r="C208" s="268"/>
      <c r="D208" s="268"/>
      <c r="E208" s="268"/>
      <c r="F208" s="268"/>
      <c r="G208" s="268"/>
      <c r="H208" s="268"/>
      <c r="I208" s="268"/>
      <c r="J208" s="268"/>
      <c r="K208" s="268"/>
      <c r="L208" s="309"/>
      <c r="M208" s="268"/>
      <c r="N208" s="268"/>
      <c r="O208" s="310"/>
      <c r="P208" s="268"/>
      <c r="Q208" s="309"/>
      <c r="R208" s="268"/>
      <c r="S208" s="313"/>
      <c r="T208" s="313"/>
      <c r="U208" s="268"/>
      <c r="V208" s="309"/>
      <c r="W208" s="310"/>
      <c r="X208" s="268"/>
      <c r="Y208" s="268"/>
      <c r="Z208" s="268"/>
      <c r="AA208" s="268"/>
      <c r="AB208" s="268"/>
      <c r="AC208" s="268"/>
    </row>
    <row r="209" spans="1:29" ht="24.75" customHeight="1">
      <c r="A209" s="268"/>
      <c r="B209" s="268"/>
      <c r="C209" s="268"/>
      <c r="D209" s="268"/>
      <c r="E209" s="268"/>
      <c r="F209" s="268"/>
      <c r="G209" s="268"/>
      <c r="H209" s="268"/>
      <c r="I209" s="268"/>
      <c r="J209" s="268"/>
      <c r="K209" s="268"/>
      <c r="L209" s="309"/>
      <c r="M209" s="268"/>
      <c r="N209" s="268"/>
      <c r="O209" s="310"/>
      <c r="P209" s="268"/>
      <c r="Q209" s="309"/>
      <c r="R209" s="268"/>
      <c r="S209" s="313"/>
      <c r="T209" s="313"/>
      <c r="U209" s="230"/>
      <c r="V209" s="256"/>
      <c r="W209" s="257"/>
      <c r="X209" s="230"/>
      <c r="Y209" s="230"/>
      <c r="Z209" s="230"/>
      <c r="AA209" s="268"/>
      <c r="AB209" s="268"/>
      <c r="AC209" s="268"/>
    </row>
    <row r="210" spans="1:29" ht="24.75" customHeight="1">
      <c r="A210" s="268"/>
      <c r="B210" s="268"/>
      <c r="C210" s="268"/>
      <c r="D210" s="268"/>
      <c r="E210" s="268"/>
      <c r="F210" s="268"/>
      <c r="G210" s="268"/>
      <c r="H210" s="268"/>
      <c r="I210" s="268"/>
      <c r="J210" s="268"/>
      <c r="K210" s="268"/>
      <c r="L210" s="309"/>
      <c r="M210" s="268"/>
      <c r="N210" s="268"/>
      <c r="O210" s="310"/>
      <c r="P210" s="268"/>
      <c r="Q210" s="309"/>
      <c r="R210" s="268"/>
      <c r="S210" s="313"/>
      <c r="T210" s="313"/>
      <c r="U210" s="230"/>
      <c r="V210" s="256"/>
      <c r="W210" s="257"/>
      <c r="X210" s="230"/>
      <c r="Y210" s="230"/>
      <c r="Z210" s="230"/>
      <c r="AA210" s="268"/>
      <c r="AB210" s="268"/>
      <c r="AC210" s="268"/>
    </row>
    <row r="211" spans="1:29" ht="24.75" customHeight="1">
      <c r="A211" s="268"/>
      <c r="B211" s="268"/>
      <c r="C211" s="268"/>
      <c r="D211" s="268"/>
      <c r="E211" s="268"/>
      <c r="F211" s="268"/>
      <c r="G211" s="268"/>
      <c r="H211" s="268"/>
      <c r="I211" s="268"/>
      <c r="J211" s="268"/>
      <c r="K211" s="268"/>
      <c r="L211" s="309"/>
      <c r="M211" s="268"/>
      <c r="N211" s="268"/>
      <c r="O211" s="310"/>
      <c r="P211" s="268"/>
      <c r="Q211" s="309"/>
      <c r="R211" s="268"/>
      <c r="S211" s="313"/>
      <c r="T211" s="313"/>
      <c r="U211" s="268"/>
      <c r="V211" s="309"/>
      <c r="W211" s="310"/>
      <c r="X211" s="268"/>
      <c r="Y211" s="268"/>
      <c r="Z211" s="268"/>
      <c r="AA211" s="268"/>
      <c r="AB211" s="268"/>
      <c r="AC211" s="268"/>
    </row>
    <row r="212" spans="1:29" ht="24.75" customHeight="1">
      <c r="A212" s="268"/>
      <c r="B212" s="268"/>
      <c r="C212" s="268"/>
      <c r="D212" s="268"/>
      <c r="E212" s="268"/>
      <c r="F212" s="268"/>
      <c r="G212" s="268"/>
      <c r="H212" s="268"/>
      <c r="I212" s="268"/>
      <c r="J212" s="268"/>
      <c r="K212" s="268"/>
      <c r="L212" s="309"/>
      <c r="M212" s="268"/>
      <c r="N212" s="268"/>
      <c r="O212" s="310"/>
      <c r="P212" s="268"/>
      <c r="Q212" s="309"/>
      <c r="R212" s="268"/>
      <c r="S212" s="313"/>
      <c r="T212" s="313"/>
      <c r="U212" s="268"/>
      <c r="V212" s="309"/>
      <c r="W212" s="310"/>
      <c r="X212" s="268"/>
      <c r="Y212" s="268"/>
      <c r="Z212" s="268"/>
      <c r="AA212" s="268"/>
      <c r="AB212" s="268"/>
      <c r="AC212" s="268"/>
    </row>
    <row r="213" spans="1:29" ht="24.75" customHeight="1">
      <c r="A213" s="268"/>
      <c r="B213" s="268"/>
      <c r="C213" s="268"/>
      <c r="D213" s="268"/>
      <c r="E213" s="268"/>
      <c r="F213" s="268"/>
      <c r="G213" s="268"/>
      <c r="H213" s="268"/>
      <c r="I213" s="268"/>
      <c r="J213" s="268"/>
      <c r="K213" s="268"/>
      <c r="L213" s="309"/>
      <c r="M213" s="268"/>
      <c r="N213" s="268"/>
      <c r="O213" s="310"/>
      <c r="P213" s="268"/>
      <c r="Q213" s="309"/>
      <c r="R213" s="268"/>
      <c r="S213" s="313"/>
      <c r="T213" s="313"/>
      <c r="U213" s="268"/>
      <c r="V213" s="309"/>
      <c r="W213" s="310"/>
      <c r="X213" s="268"/>
      <c r="Y213" s="268"/>
      <c r="Z213" s="268"/>
      <c r="AA213" s="268"/>
      <c r="AB213" s="268"/>
      <c r="AC213" s="268"/>
    </row>
    <row r="214" spans="1:29" ht="24.75" customHeight="1">
      <c r="A214" s="268"/>
      <c r="B214" s="268"/>
      <c r="C214" s="268"/>
      <c r="D214" s="268"/>
      <c r="E214" s="268"/>
      <c r="F214" s="268"/>
      <c r="G214" s="268"/>
      <c r="H214" s="268"/>
      <c r="I214" s="268"/>
      <c r="J214" s="268"/>
      <c r="K214" s="268"/>
      <c r="L214" s="309"/>
      <c r="M214" s="268"/>
      <c r="N214" s="268"/>
      <c r="O214" s="310"/>
      <c r="P214" s="268"/>
      <c r="Q214" s="309"/>
      <c r="R214" s="268"/>
      <c r="S214" s="313"/>
      <c r="T214" s="313"/>
      <c r="U214" s="248"/>
      <c r="V214" s="253"/>
      <c r="W214" s="254"/>
      <c r="X214" s="248"/>
      <c r="Y214" s="248"/>
      <c r="Z214" s="248"/>
      <c r="AA214" s="268"/>
      <c r="AB214" s="268"/>
      <c r="AC214" s="268"/>
    </row>
    <row r="215" spans="1:29" ht="24.75" customHeight="1">
      <c r="A215" s="268"/>
      <c r="B215" s="268"/>
      <c r="C215" s="268"/>
      <c r="D215" s="268"/>
      <c r="E215" s="268"/>
      <c r="F215" s="268"/>
      <c r="G215" s="268"/>
      <c r="H215" s="268"/>
      <c r="I215" s="268"/>
      <c r="J215" s="268"/>
      <c r="K215" s="268"/>
      <c r="L215" s="309"/>
      <c r="M215" s="268"/>
      <c r="N215" s="268"/>
      <c r="O215" s="310"/>
      <c r="P215" s="268"/>
      <c r="Q215" s="309"/>
      <c r="R215" s="268"/>
      <c r="S215" s="313"/>
      <c r="T215" s="313"/>
      <c r="U215" s="268"/>
      <c r="V215" s="309"/>
      <c r="W215" s="310"/>
      <c r="X215" s="268"/>
      <c r="Y215" s="268"/>
      <c r="Z215" s="268"/>
      <c r="AA215" s="268"/>
      <c r="AB215" s="268"/>
      <c r="AC215" s="268"/>
    </row>
    <row r="216" spans="1:29" ht="24.75" customHeight="1">
      <c r="A216" s="268"/>
      <c r="B216" s="268"/>
      <c r="C216" s="268"/>
      <c r="D216" s="268"/>
      <c r="E216" s="268"/>
      <c r="F216" s="268"/>
      <c r="G216" s="268"/>
      <c r="H216" s="268"/>
      <c r="I216" s="268"/>
      <c r="J216" s="268"/>
      <c r="K216" s="268"/>
      <c r="L216" s="309"/>
      <c r="M216" s="268"/>
      <c r="N216" s="268"/>
      <c r="O216" s="310"/>
      <c r="P216" s="268"/>
      <c r="Q216" s="309"/>
      <c r="R216" s="268"/>
      <c r="S216" s="313"/>
      <c r="T216" s="313"/>
      <c r="U216" s="268"/>
      <c r="V216" s="309"/>
      <c r="W216" s="310"/>
      <c r="X216" s="268"/>
      <c r="Y216" s="268"/>
      <c r="Z216" s="268"/>
      <c r="AA216" s="268"/>
      <c r="AB216" s="268"/>
      <c r="AC216" s="268"/>
    </row>
    <row r="217" spans="1:29" ht="24.75" customHeight="1">
      <c r="A217" s="268" t="s">
        <v>5398</v>
      </c>
      <c r="B217" s="268"/>
      <c r="C217" s="268"/>
      <c r="D217" s="268"/>
      <c r="E217" s="268"/>
      <c r="F217" s="268"/>
      <c r="G217" s="268"/>
      <c r="H217" s="268"/>
      <c r="I217" s="268"/>
      <c r="J217" s="268"/>
      <c r="K217" s="268"/>
      <c r="L217" s="309"/>
      <c r="M217" s="268"/>
      <c r="N217" s="268"/>
      <c r="O217" s="310"/>
      <c r="P217" s="268"/>
      <c r="Q217" s="309"/>
      <c r="R217" s="268"/>
      <c r="S217" s="313"/>
      <c r="T217" s="313"/>
      <c r="U217" s="292"/>
      <c r="V217" s="293"/>
      <c r="W217" s="294"/>
      <c r="X217" s="292"/>
      <c r="Y217" s="292"/>
      <c r="Z217" s="292"/>
      <c r="AA217" s="268"/>
      <c r="AB217" s="268"/>
      <c r="AC217" s="268"/>
    </row>
    <row r="218" spans="1:29" ht="24.75" customHeight="1">
      <c r="A218" s="268" t="s">
        <v>5398</v>
      </c>
      <c r="B218" s="268"/>
      <c r="C218" s="268"/>
      <c r="D218" s="268"/>
      <c r="E218" s="268"/>
      <c r="F218" s="268"/>
      <c r="G218" s="268"/>
      <c r="H218" s="268"/>
      <c r="I218" s="268"/>
      <c r="J218" s="268"/>
      <c r="K218" s="268"/>
      <c r="L218" s="309"/>
      <c r="M218" s="268"/>
      <c r="N218" s="268"/>
      <c r="O218" s="310"/>
      <c r="P218" s="268"/>
      <c r="Q218" s="309"/>
      <c r="R218" s="268"/>
      <c r="S218" s="313"/>
      <c r="T218" s="313"/>
      <c r="U218" s="268"/>
      <c r="V218" s="309"/>
      <c r="W218" s="310"/>
      <c r="X218" s="268"/>
      <c r="Y218" s="268"/>
      <c r="Z218" s="268"/>
      <c r="AA218" s="268"/>
      <c r="AB218" s="268"/>
      <c r="AC218" s="268"/>
    </row>
    <row r="219" spans="1:29" ht="24.75" customHeight="1">
      <c r="A219" s="268" t="s">
        <v>5399</v>
      </c>
      <c r="B219" s="268"/>
      <c r="C219" s="268"/>
      <c r="D219" s="268"/>
      <c r="E219" s="268"/>
      <c r="F219" s="268"/>
      <c r="G219" s="268"/>
      <c r="H219" s="268"/>
      <c r="I219" s="268"/>
      <c r="J219" s="268"/>
      <c r="K219" s="268"/>
      <c r="L219" s="309"/>
      <c r="M219" s="268"/>
      <c r="N219" s="268"/>
      <c r="O219" s="310"/>
      <c r="P219" s="268"/>
      <c r="Q219" s="309"/>
      <c r="R219" s="268"/>
      <c r="S219" s="313"/>
      <c r="T219" s="313"/>
      <c r="U219" s="248"/>
      <c r="V219" s="253"/>
      <c r="W219" s="254"/>
      <c r="X219" s="248"/>
      <c r="Y219" s="248"/>
      <c r="Z219" s="248"/>
      <c r="AA219" s="268"/>
      <c r="AB219" s="268"/>
      <c r="AC219" s="268"/>
    </row>
    <row r="220" spans="1:29" ht="24.75" customHeight="1">
      <c r="A220" s="268" t="s">
        <v>5399</v>
      </c>
      <c r="B220" s="268"/>
      <c r="C220" s="268"/>
      <c r="D220" s="268"/>
      <c r="E220" s="268"/>
      <c r="F220" s="268"/>
      <c r="G220" s="268"/>
      <c r="H220" s="268"/>
      <c r="I220" s="268"/>
      <c r="J220" s="268"/>
      <c r="K220" s="268"/>
      <c r="L220" s="309"/>
      <c r="M220" s="268"/>
      <c r="N220" s="268"/>
      <c r="O220" s="310"/>
      <c r="P220" s="268"/>
      <c r="Q220" s="309"/>
      <c r="R220" s="268"/>
      <c r="S220" s="313"/>
      <c r="T220" s="313"/>
      <c r="U220" s="248"/>
      <c r="V220" s="253"/>
      <c r="W220" s="254"/>
      <c r="X220" s="248"/>
      <c r="Y220" s="248"/>
      <c r="Z220" s="248"/>
      <c r="AA220" s="268"/>
      <c r="AB220" s="268"/>
      <c r="AC220" s="268"/>
    </row>
    <row r="221" spans="1:29" ht="24.75" customHeight="1">
      <c r="A221" s="268" t="s">
        <v>5399</v>
      </c>
      <c r="B221" s="268"/>
      <c r="C221" s="268"/>
      <c r="D221" s="268"/>
      <c r="E221" s="268"/>
      <c r="F221" s="268"/>
      <c r="G221" s="268"/>
      <c r="H221" s="268"/>
      <c r="I221" s="268"/>
      <c r="J221" s="268"/>
      <c r="K221" s="268"/>
      <c r="L221" s="309"/>
      <c r="M221" s="268"/>
      <c r="N221" s="268"/>
      <c r="O221" s="310"/>
      <c r="P221" s="268"/>
      <c r="Q221" s="309"/>
      <c r="R221" s="268"/>
      <c r="S221" s="313"/>
      <c r="T221" s="313"/>
      <c r="U221" s="268"/>
      <c r="V221" s="309"/>
      <c r="W221" s="310"/>
      <c r="X221" s="268"/>
      <c r="Y221" s="268"/>
      <c r="Z221" s="268"/>
      <c r="AA221" s="268"/>
      <c r="AB221" s="268"/>
      <c r="AC221" s="268"/>
    </row>
    <row r="222" spans="1:29" ht="24.75" customHeight="1">
      <c r="A222" s="268"/>
      <c r="B222" s="268"/>
      <c r="C222" s="268"/>
      <c r="D222" s="268"/>
      <c r="E222" s="268"/>
      <c r="F222" s="268"/>
      <c r="G222" s="268"/>
      <c r="H222" s="268"/>
      <c r="I222" s="268"/>
      <c r="J222" s="268"/>
      <c r="K222" s="268"/>
      <c r="L222" s="309"/>
      <c r="M222" s="268"/>
      <c r="N222" s="268"/>
      <c r="O222" s="310"/>
      <c r="P222" s="268"/>
      <c r="Q222" s="309"/>
      <c r="R222" s="268"/>
      <c r="S222" s="313"/>
      <c r="T222" s="313"/>
      <c r="U222" s="230"/>
      <c r="V222" s="256"/>
      <c r="W222" s="257"/>
      <c r="X222" s="230"/>
      <c r="Y222" s="230"/>
      <c r="Z222" s="230"/>
      <c r="AA222" s="268"/>
      <c r="AB222" s="268"/>
      <c r="AC222" s="268"/>
    </row>
    <row r="223" spans="1:29" ht="24.75" customHeight="1">
      <c r="A223" s="268"/>
      <c r="B223" s="268"/>
      <c r="C223" s="268"/>
      <c r="D223" s="268"/>
      <c r="E223" s="268"/>
      <c r="F223" s="268"/>
      <c r="G223" s="268"/>
      <c r="H223" s="268"/>
      <c r="I223" s="268"/>
      <c r="J223" s="268"/>
      <c r="K223" s="268"/>
      <c r="L223" s="309"/>
      <c r="M223" s="268"/>
      <c r="N223" s="268"/>
      <c r="O223" s="310"/>
      <c r="P223" s="268"/>
      <c r="Q223" s="309"/>
      <c r="R223" s="268"/>
      <c r="S223" s="313"/>
      <c r="T223" s="313"/>
      <c r="U223" s="268"/>
      <c r="V223" s="309"/>
      <c r="W223" s="310"/>
      <c r="X223" s="268"/>
      <c r="Y223" s="268"/>
      <c r="Z223" s="268"/>
      <c r="AA223" s="268"/>
      <c r="AB223" s="268"/>
      <c r="AC223" s="268"/>
    </row>
    <row r="224" spans="1:29" ht="24.75" customHeight="1">
      <c r="A224" s="268"/>
      <c r="B224" s="268"/>
      <c r="C224" s="268"/>
      <c r="D224" s="268"/>
      <c r="E224" s="268"/>
      <c r="F224" s="268"/>
      <c r="G224" s="268"/>
      <c r="H224" s="268"/>
      <c r="I224" s="268"/>
      <c r="J224" s="268"/>
      <c r="K224" s="268"/>
      <c r="L224" s="309"/>
      <c r="M224" s="268"/>
      <c r="N224" s="268"/>
      <c r="O224" s="310"/>
      <c r="P224" s="268"/>
      <c r="Q224" s="309"/>
      <c r="R224" s="268"/>
      <c r="S224" s="313"/>
      <c r="T224" s="313"/>
      <c r="U224" s="268"/>
      <c r="V224" s="309"/>
      <c r="W224" s="310"/>
      <c r="X224" s="268"/>
      <c r="Y224" s="268"/>
      <c r="Z224" s="268"/>
      <c r="AA224" s="268"/>
      <c r="AB224" s="268"/>
      <c r="AC224" s="268"/>
    </row>
    <row r="225" spans="1:29" ht="24.75" customHeight="1">
      <c r="A225" s="268"/>
      <c r="B225" s="268"/>
      <c r="C225" s="268"/>
      <c r="D225" s="268"/>
      <c r="E225" s="268"/>
      <c r="F225" s="268"/>
      <c r="G225" s="268"/>
      <c r="H225" s="268"/>
      <c r="I225" s="268"/>
      <c r="J225" s="268"/>
      <c r="K225" s="268"/>
      <c r="L225" s="309"/>
      <c r="M225" s="268"/>
      <c r="N225" s="268"/>
      <c r="O225" s="310"/>
      <c r="P225" s="268"/>
      <c r="Q225" s="309"/>
      <c r="R225" s="268"/>
      <c r="S225" s="313"/>
      <c r="T225" s="313"/>
      <c r="U225" s="268"/>
      <c r="V225" s="309"/>
      <c r="W225" s="310"/>
      <c r="X225" s="268"/>
      <c r="Y225" s="268"/>
      <c r="Z225" s="268"/>
      <c r="AA225" s="268"/>
      <c r="AB225" s="268"/>
      <c r="AC225" s="268"/>
    </row>
    <row r="226" spans="1:29" ht="24.75" customHeight="1">
      <c r="A226" s="268"/>
      <c r="B226" s="268"/>
      <c r="C226" s="268"/>
      <c r="D226" s="268"/>
      <c r="E226" s="268"/>
      <c r="F226" s="268"/>
      <c r="G226" s="268"/>
      <c r="H226" s="268"/>
      <c r="I226" s="268"/>
      <c r="J226" s="268"/>
      <c r="K226" s="268"/>
      <c r="L226" s="309"/>
      <c r="M226" s="268"/>
      <c r="N226" s="268"/>
      <c r="O226" s="310"/>
      <c r="P226" s="268"/>
      <c r="Q226" s="309"/>
      <c r="R226" s="268"/>
      <c r="S226" s="313"/>
      <c r="T226" s="313"/>
      <c r="U226" s="268"/>
      <c r="V226" s="309"/>
      <c r="W226" s="310"/>
      <c r="X226" s="268"/>
      <c r="Y226" s="268"/>
      <c r="Z226" s="268"/>
      <c r="AA226" s="268"/>
      <c r="AB226" s="268"/>
      <c r="AC226" s="268"/>
    </row>
    <row r="227" spans="1:29" ht="24.75" customHeight="1">
      <c r="A227" s="268"/>
      <c r="B227" s="268"/>
      <c r="C227" s="268"/>
      <c r="D227" s="268"/>
      <c r="E227" s="268"/>
      <c r="F227" s="268"/>
      <c r="G227" s="268"/>
      <c r="H227" s="268"/>
      <c r="I227" s="268"/>
      <c r="J227" s="268"/>
      <c r="K227" s="268"/>
      <c r="L227" s="309"/>
      <c r="M227" s="268"/>
      <c r="N227" s="268"/>
      <c r="O227" s="310"/>
      <c r="P227" s="268"/>
      <c r="Q227" s="309"/>
      <c r="R227" s="268"/>
      <c r="S227" s="313"/>
      <c r="T227" s="313"/>
      <c r="U227" s="268"/>
      <c r="V227" s="309"/>
      <c r="W227" s="310"/>
      <c r="X227" s="268"/>
      <c r="Y227" s="268"/>
      <c r="Z227" s="268"/>
      <c r="AA227" s="268"/>
      <c r="AB227" s="268"/>
      <c r="AC227" s="268"/>
    </row>
    <row r="228" spans="1:29" ht="24.75" customHeight="1">
      <c r="A228" s="268"/>
      <c r="B228" s="268"/>
      <c r="C228" s="268"/>
      <c r="D228" s="268"/>
      <c r="E228" s="268"/>
      <c r="F228" s="268"/>
      <c r="G228" s="268"/>
      <c r="H228" s="268"/>
      <c r="I228" s="268"/>
      <c r="J228" s="268"/>
      <c r="K228" s="268"/>
      <c r="L228" s="309"/>
      <c r="M228" s="268"/>
      <c r="N228" s="268"/>
      <c r="O228" s="310"/>
      <c r="P228" s="268"/>
      <c r="Q228" s="309"/>
      <c r="R228" s="268"/>
      <c r="S228" s="313"/>
      <c r="T228" s="313"/>
      <c r="U228" s="268"/>
      <c r="V228" s="309"/>
      <c r="W228" s="310"/>
      <c r="X228" s="268"/>
      <c r="Y228" s="268"/>
      <c r="Z228" s="268"/>
      <c r="AA228" s="268"/>
      <c r="AB228" s="268"/>
      <c r="AC228" s="268"/>
    </row>
    <row r="229" spans="1:29" ht="24.75" customHeight="1">
      <c r="A229" s="268"/>
      <c r="B229" s="268"/>
      <c r="C229" s="268"/>
      <c r="D229" s="268"/>
      <c r="E229" s="268"/>
      <c r="F229" s="268"/>
      <c r="G229" s="268"/>
      <c r="H229" s="268"/>
      <c r="I229" s="268"/>
      <c r="J229" s="268"/>
      <c r="K229" s="268"/>
      <c r="L229" s="309"/>
      <c r="M229" s="268"/>
      <c r="N229" s="268"/>
      <c r="O229" s="310"/>
      <c r="P229" s="268"/>
      <c r="Q229" s="309"/>
      <c r="R229" s="268"/>
      <c r="S229" s="313"/>
      <c r="T229" s="313"/>
      <c r="U229" s="230"/>
      <c r="V229" s="256"/>
      <c r="W229" s="257"/>
      <c r="X229" s="230"/>
      <c r="Y229" s="230"/>
      <c r="Z229" s="230"/>
      <c r="AA229" s="268"/>
      <c r="AB229" s="268"/>
      <c r="AC229" s="268"/>
    </row>
    <row r="230" spans="1:29" ht="24.75" customHeight="1">
      <c r="A230" s="268"/>
      <c r="B230" s="268"/>
      <c r="C230" s="268"/>
      <c r="D230" s="268"/>
      <c r="E230" s="268"/>
      <c r="F230" s="268"/>
      <c r="G230" s="268"/>
      <c r="H230" s="268"/>
      <c r="I230" s="268"/>
      <c r="J230" s="268"/>
      <c r="K230" s="268"/>
      <c r="L230" s="309"/>
      <c r="M230" s="268"/>
      <c r="N230" s="268"/>
      <c r="O230" s="310"/>
      <c r="P230" s="268"/>
      <c r="Q230" s="309"/>
      <c r="R230" s="268"/>
      <c r="S230" s="313"/>
      <c r="T230" s="313"/>
      <c r="U230" s="230"/>
      <c r="V230" s="256"/>
      <c r="W230" s="257"/>
      <c r="X230" s="230"/>
      <c r="Y230" s="230"/>
      <c r="Z230" s="230"/>
      <c r="AA230" s="268"/>
      <c r="AB230" s="268"/>
      <c r="AC230" s="268"/>
    </row>
    <row r="231" spans="1:29" ht="24.75" customHeight="1">
      <c r="A231" s="268"/>
      <c r="B231" s="268"/>
      <c r="C231" s="268"/>
      <c r="D231" s="268"/>
      <c r="E231" s="268"/>
      <c r="F231" s="268"/>
      <c r="G231" s="268"/>
      <c r="H231" s="268"/>
      <c r="I231" s="268"/>
      <c r="J231" s="268"/>
      <c r="K231" s="268"/>
      <c r="L231" s="309"/>
      <c r="M231" s="268"/>
      <c r="N231" s="268"/>
      <c r="O231" s="310"/>
      <c r="P231" s="268"/>
      <c r="Q231" s="309"/>
      <c r="R231" s="268"/>
      <c r="S231" s="313"/>
      <c r="T231" s="313"/>
      <c r="U231" s="268"/>
      <c r="V231" s="309"/>
      <c r="W231" s="310"/>
      <c r="X231" s="268"/>
      <c r="Y231" s="268"/>
      <c r="Z231" s="268"/>
      <c r="AA231" s="268"/>
      <c r="AB231" s="268"/>
      <c r="AC231" s="268"/>
    </row>
    <row r="232" spans="1:29" ht="24.75" customHeight="1">
      <c r="A232" s="268"/>
      <c r="B232" s="268"/>
      <c r="C232" s="268"/>
      <c r="D232" s="268"/>
      <c r="E232" s="268"/>
      <c r="F232" s="268"/>
      <c r="G232" s="268"/>
      <c r="H232" s="268"/>
      <c r="I232" s="268"/>
      <c r="J232" s="268"/>
      <c r="K232" s="268"/>
      <c r="L232" s="309"/>
      <c r="M232" s="268"/>
      <c r="N232" s="268"/>
      <c r="O232" s="310"/>
      <c r="P232" s="268"/>
      <c r="Q232" s="309"/>
      <c r="R232" s="268"/>
      <c r="S232" s="313"/>
      <c r="T232" s="313"/>
      <c r="U232" s="268"/>
      <c r="V232" s="309"/>
      <c r="W232" s="310"/>
      <c r="X232" s="268"/>
      <c r="Y232" s="268"/>
      <c r="Z232" s="268"/>
      <c r="AA232" s="268"/>
      <c r="AB232" s="268"/>
      <c r="AC232" s="268"/>
    </row>
    <row r="233" spans="1:29" ht="24.75" customHeight="1">
      <c r="A233" s="268"/>
      <c r="B233" s="268"/>
      <c r="C233" s="268"/>
      <c r="D233" s="268"/>
      <c r="E233" s="268"/>
      <c r="F233" s="268"/>
      <c r="G233" s="268"/>
      <c r="H233" s="268"/>
      <c r="I233" s="268"/>
      <c r="J233" s="268"/>
      <c r="K233" s="268"/>
      <c r="L233" s="309"/>
      <c r="M233" s="268"/>
      <c r="N233" s="268"/>
      <c r="O233" s="310"/>
      <c r="P233" s="268"/>
      <c r="Q233" s="309"/>
      <c r="R233" s="268"/>
      <c r="S233" s="313"/>
      <c r="T233" s="313"/>
      <c r="U233" s="268"/>
      <c r="V233" s="309"/>
      <c r="W233" s="310"/>
      <c r="X233" s="268"/>
      <c r="Y233" s="268"/>
      <c r="Z233" s="268"/>
      <c r="AA233" s="268"/>
      <c r="AB233" s="268"/>
      <c r="AC233" s="268"/>
    </row>
    <row r="234" spans="1:29" ht="24.75" customHeight="1">
      <c r="A234" s="268"/>
      <c r="B234" s="268"/>
      <c r="C234" s="268"/>
      <c r="D234" s="268"/>
      <c r="E234" s="268"/>
      <c r="F234" s="268"/>
      <c r="G234" s="268"/>
      <c r="H234" s="268"/>
      <c r="I234" s="268"/>
      <c r="J234" s="268"/>
      <c r="K234" s="268"/>
      <c r="L234" s="309"/>
      <c r="M234" s="268"/>
      <c r="N234" s="268"/>
      <c r="O234" s="310"/>
      <c r="P234" s="268"/>
      <c r="Q234" s="309"/>
      <c r="R234" s="268"/>
      <c r="S234" s="313"/>
      <c r="T234" s="313"/>
      <c r="U234" s="268"/>
      <c r="V234" s="309"/>
      <c r="W234" s="310"/>
      <c r="X234" s="268"/>
      <c r="Y234" s="268"/>
      <c r="Z234" s="268"/>
      <c r="AA234" s="268"/>
      <c r="AB234" s="268"/>
      <c r="AC234" s="268"/>
    </row>
    <row r="235" spans="1:29" ht="24.75" customHeight="1">
      <c r="A235" s="268"/>
      <c r="B235" s="268"/>
      <c r="C235" s="268"/>
      <c r="D235" s="268"/>
      <c r="E235" s="268"/>
      <c r="F235" s="268"/>
      <c r="G235" s="268"/>
      <c r="H235" s="268"/>
      <c r="I235" s="268"/>
      <c r="J235" s="268"/>
      <c r="K235" s="268"/>
      <c r="L235" s="309"/>
      <c r="M235" s="268"/>
      <c r="N235" s="268"/>
      <c r="O235" s="310"/>
      <c r="P235" s="268"/>
      <c r="Q235" s="309"/>
      <c r="R235" s="268"/>
      <c r="S235" s="313"/>
      <c r="T235" s="313"/>
      <c r="U235" s="268"/>
      <c r="V235" s="309"/>
      <c r="W235" s="310"/>
      <c r="X235" s="268"/>
      <c r="Y235" s="268"/>
      <c r="Z235" s="268"/>
      <c r="AA235" s="268"/>
      <c r="AB235" s="268"/>
      <c r="AC235" s="268"/>
    </row>
    <row r="236" spans="1:29" ht="24.75" customHeight="1">
      <c r="A236" s="268"/>
      <c r="B236" s="268"/>
      <c r="C236" s="268"/>
      <c r="D236" s="268"/>
      <c r="E236" s="268"/>
      <c r="F236" s="268"/>
      <c r="G236" s="268"/>
      <c r="H236" s="268"/>
      <c r="I236" s="268"/>
      <c r="J236" s="268"/>
      <c r="K236" s="268"/>
      <c r="L236" s="309"/>
      <c r="M236" s="268"/>
      <c r="N236" s="268"/>
      <c r="O236" s="310"/>
      <c r="P236" s="268"/>
      <c r="Q236" s="309"/>
      <c r="R236" s="268"/>
      <c r="S236" s="313"/>
      <c r="T236" s="313"/>
      <c r="U236" s="268"/>
      <c r="V236" s="309"/>
      <c r="W236" s="310"/>
      <c r="X236" s="268"/>
      <c r="Y236" s="268"/>
      <c r="Z236" s="268"/>
      <c r="AA236" s="268"/>
      <c r="AB236" s="268"/>
      <c r="AC236" s="268"/>
    </row>
    <row r="237" spans="1:29" ht="24.75" customHeight="1">
      <c r="A237" s="268"/>
      <c r="B237" s="268"/>
      <c r="C237" s="268"/>
      <c r="D237" s="268"/>
      <c r="E237" s="268"/>
      <c r="F237" s="268"/>
      <c r="G237" s="268"/>
      <c r="H237" s="268"/>
      <c r="I237" s="268"/>
      <c r="J237" s="268"/>
      <c r="K237" s="268"/>
      <c r="L237" s="309"/>
      <c r="M237" s="268"/>
      <c r="N237" s="268"/>
      <c r="O237" s="310"/>
      <c r="P237" s="268"/>
      <c r="Q237" s="309"/>
      <c r="R237" s="268"/>
      <c r="S237" s="313"/>
      <c r="T237" s="313"/>
      <c r="U237" s="268"/>
      <c r="V237" s="309"/>
      <c r="W237" s="310"/>
      <c r="X237" s="268"/>
      <c r="Y237" s="268"/>
      <c r="Z237" s="268"/>
      <c r="AA237" s="268"/>
      <c r="AB237" s="268"/>
      <c r="AC237" s="268"/>
    </row>
    <row r="238" spans="1:29" ht="24.75" customHeight="1">
      <c r="A238" s="268"/>
      <c r="B238" s="268"/>
      <c r="C238" s="268"/>
      <c r="D238" s="268"/>
      <c r="E238" s="268"/>
      <c r="F238" s="268"/>
      <c r="G238" s="268"/>
      <c r="H238" s="268"/>
      <c r="I238" s="268"/>
      <c r="J238" s="268"/>
      <c r="K238" s="268"/>
      <c r="L238" s="309"/>
      <c r="M238" s="268"/>
      <c r="N238" s="268"/>
      <c r="O238" s="310"/>
      <c r="P238" s="268"/>
      <c r="Q238" s="309"/>
      <c r="R238" s="268"/>
      <c r="S238" s="313"/>
      <c r="T238" s="313"/>
      <c r="U238" s="268"/>
      <c r="V238" s="309"/>
      <c r="W238" s="310"/>
      <c r="X238" s="268"/>
      <c r="Y238" s="268"/>
      <c r="Z238" s="268"/>
      <c r="AA238" s="268"/>
      <c r="AB238" s="268"/>
      <c r="AC238" s="268"/>
    </row>
    <row r="239" spans="1:29" ht="24.75" customHeight="1">
      <c r="A239" s="268"/>
      <c r="B239" s="268"/>
      <c r="C239" s="268"/>
      <c r="D239" s="268"/>
      <c r="E239" s="268"/>
      <c r="F239" s="268"/>
      <c r="G239" s="268"/>
      <c r="H239" s="268"/>
      <c r="I239" s="268"/>
      <c r="J239" s="268"/>
      <c r="K239" s="268"/>
      <c r="L239" s="309"/>
      <c r="M239" s="268"/>
      <c r="N239" s="268"/>
      <c r="O239" s="310"/>
      <c r="P239" s="268"/>
      <c r="Q239" s="309"/>
      <c r="R239" s="268"/>
      <c r="S239" s="313"/>
      <c r="T239" s="313"/>
      <c r="U239" s="268"/>
      <c r="V239" s="309"/>
      <c r="W239" s="310"/>
      <c r="X239" s="268"/>
      <c r="Y239" s="268"/>
      <c r="Z239" s="268"/>
      <c r="AA239" s="268"/>
      <c r="AB239" s="268"/>
      <c r="AC239" s="268"/>
    </row>
    <row r="240" spans="1:29" ht="24.75" customHeight="1">
      <c r="A240" s="268"/>
      <c r="B240" s="268"/>
      <c r="C240" s="268"/>
      <c r="D240" s="268"/>
      <c r="E240" s="268"/>
      <c r="F240" s="268"/>
      <c r="G240" s="268"/>
      <c r="H240" s="268"/>
      <c r="I240" s="268"/>
      <c r="J240" s="268"/>
      <c r="K240" s="268"/>
      <c r="L240" s="309"/>
      <c r="M240" s="268"/>
      <c r="N240" s="268"/>
      <c r="O240" s="310"/>
      <c r="P240" s="268"/>
      <c r="Q240" s="309"/>
      <c r="R240" s="268"/>
      <c r="S240" s="313"/>
      <c r="T240" s="313"/>
      <c r="U240" s="268"/>
      <c r="V240" s="309"/>
      <c r="W240" s="310"/>
      <c r="X240" s="268"/>
      <c r="Y240" s="268"/>
      <c r="Z240" s="268"/>
      <c r="AA240" s="268"/>
      <c r="AB240" s="268"/>
      <c r="AC240" s="268"/>
    </row>
    <row r="241" spans="1:29" ht="24.75" customHeight="1">
      <c r="A241" s="268"/>
      <c r="B241" s="268"/>
      <c r="C241" s="268"/>
      <c r="D241" s="268"/>
      <c r="E241" s="268"/>
      <c r="F241" s="268"/>
      <c r="G241" s="268"/>
      <c r="H241" s="268"/>
      <c r="I241" s="268"/>
      <c r="J241" s="268"/>
      <c r="K241" s="268"/>
      <c r="L241" s="309"/>
      <c r="M241" s="268"/>
      <c r="N241" s="268"/>
      <c r="O241" s="310"/>
      <c r="P241" s="268"/>
      <c r="Q241" s="309"/>
      <c r="R241" s="268"/>
      <c r="S241" s="313"/>
      <c r="T241" s="313"/>
      <c r="U241" s="268"/>
      <c r="V241" s="309"/>
      <c r="W241" s="310"/>
      <c r="X241" s="268"/>
      <c r="Y241" s="268"/>
      <c r="Z241" s="268"/>
      <c r="AA241" s="268"/>
      <c r="AB241" s="268"/>
      <c r="AC241" s="268"/>
    </row>
    <row r="242" spans="1:29" ht="24.75" customHeight="1">
      <c r="A242" s="268"/>
      <c r="B242" s="268"/>
      <c r="C242" s="268"/>
      <c r="D242" s="268"/>
      <c r="E242" s="268"/>
      <c r="F242" s="268"/>
      <c r="G242" s="268"/>
      <c r="H242" s="268"/>
      <c r="I242" s="268"/>
      <c r="J242" s="268"/>
      <c r="K242" s="268"/>
      <c r="L242" s="309"/>
      <c r="M242" s="268"/>
      <c r="N242" s="268"/>
      <c r="O242" s="310"/>
      <c r="P242" s="268"/>
      <c r="Q242" s="309"/>
      <c r="R242" s="268"/>
      <c r="S242" s="313"/>
      <c r="T242" s="313"/>
      <c r="U242" s="268"/>
      <c r="V242" s="309"/>
      <c r="W242" s="310"/>
      <c r="X242" s="268"/>
      <c r="Y242" s="268"/>
      <c r="Z242" s="268"/>
      <c r="AA242" s="268"/>
      <c r="AB242" s="268"/>
      <c r="AC242" s="268"/>
    </row>
    <row r="243" spans="1:29" ht="24.75" customHeight="1">
      <c r="A243" s="268"/>
      <c r="B243" s="268"/>
      <c r="C243" s="268"/>
      <c r="D243" s="268"/>
      <c r="E243" s="268"/>
      <c r="F243" s="268"/>
      <c r="G243" s="268"/>
      <c r="H243" s="268"/>
      <c r="I243" s="268"/>
      <c r="J243" s="268"/>
      <c r="K243" s="268"/>
      <c r="L243" s="309"/>
      <c r="M243" s="268"/>
      <c r="N243" s="268"/>
      <c r="O243" s="310"/>
      <c r="P243" s="268"/>
      <c r="Q243" s="309"/>
      <c r="R243" s="268"/>
      <c r="S243" s="313"/>
      <c r="T243" s="313"/>
      <c r="U243" s="268"/>
      <c r="V243" s="309"/>
      <c r="W243" s="310"/>
      <c r="X243" s="268"/>
      <c r="Y243" s="268"/>
      <c r="Z243" s="268"/>
      <c r="AA243" s="268"/>
      <c r="AB243" s="268"/>
      <c r="AC243" s="268"/>
    </row>
    <row r="244" spans="1:29" ht="24.75" customHeight="1">
      <c r="A244" s="268"/>
      <c r="B244" s="268"/>
      <c r="C244" s="268"/>
      <c r="D244" s="268"/>
      <c r="E244" s="268"/>
      <c r="F244" s="268"/>
      <c r="G244" s="268"/>
      <c r="H244" s="268"/>
      <c r="I244" s="268"/>
      <c r="J244" s="268"/>
      <c r="K244" s="268"/>
      <c r="L244" s="309"/>
      <c r="M244" s="268"/>
      <c r="N244" s="268"/>
      <c r="O244" s="310"/>
      <c r="P244" s="268"/>
      <c r="Q244" s="309"/>
      <c r="R244" s="268"/>
      <c r="S244" s="313"/>
      <c r="T244" s="313"/>
      <c r="U244" s="268"/>
      <c r="V244" s="309"/>
      <c r="W244" s="310"/>
      <c r="X244" s="268"/>
      <c r="Y244" s="268"/>
      <c r="Z244" s="268"/>
      <c r="AA244" s="268"/>
      <c r="AB244" s="268"/>
      <c r="AC244" s="268"/>
    </row>
    <row r="245" spans="1:29" ht="24.75" customHeight="1">
      <c r="A245" s="268"/>
      <c r="B245" s="268"/>
      <c r="C245" s="268"/>
      <c r="D245" s="268"/>
      <c r="E245" s="268"/>
      <c r="F245" s="268"/>
      <c r="G245" s="268"/>
      <c r="H245" s="268"/>
      <c r="I245" s="268"/>
      <c r="J245" s="268"/>
      <c r="K245" s="268"/>
      <c r="L245" s="309"/>
      <c r="M245" s="268"/>
      <c r="N245" s="268"/>
      <c r="O245" s="310"/>
      <c r="P245" s="268"/>
      <c r="Q245" s="309"/>
      <c r="R245" s="268"/>
      <c r="S245" s="313"/>
      <c r="T245" s="313"/>
      <c r="U245" s="268"/>
      <c r="V245" s="309"/>
      <c r="W245" s="310"/>
      <c r="X245" s="268"/>
      <c r="Y245" s="268"/>
      <c r="Z245" s="268"/>
      <c r="AA245" s="268"/>
      <c r="AB245" s="268"/>
      <c r="AC245" s="268"/>
    </row>
    <row r="246" spans="1:29" ht="24.75" customHeight="1">
      <c r="A246" s="268"/>
      <c r="B246" s="268"/>
      <c r="C246" s="268"/>
      <c r="D246" s="268"/>
      <c r="E246" s="268"/>
      <c r="F246" s="268"/>
      <c r="G246" s="268"/>
      <c r="H246" s="268"/>
      <c r="I246" s="268"/>
      <c r="J246" s="268"/>
      <c r="K246" s="268"/>
      <c r="L246" s="309"/>
      <c r="M246" s="268"/>
      <c r="N246" s="268"/>
      <c r="O246" s="310"/>
      <c r="P246" s="268"/>
      <c r="Q246" s="309"/>
      <c r="R246" s="268"/>
      <c r="S246" s="313"/>
      <c r="T246" s="313"/>
      <c r="U246" s="268"/>
      <c r="V246" s="309"/>
      <c r="W246" s="310"/>
      <c r="X246" s="268"/>
      <c r="Y246" s="268"/>
      <c r="Z246" s="268"/>
      <c r="AA246" s="268"/>
      <c r="AB246" s="268"/>
      <c r="AC246" s="268"/>
    </row>
    <row r="247" spans="1:29" ht="24.75" customHeight="1">
      <c r="A247" s="268"/>
      <c r="B247" s="268"/>
      <c r="C247" s="268"/>
      <c r="D247" s="268"/>
      <c r="E247" s="268"/>
      <c r="F247" s="268"/>
      <c r="G247" s="268"/>
      <c r="H247" s="268"/>
      <c r="I247" s="268"/>
      <c r="J247" s="268"/>
      <c r="K247" s="268"/>
      <c r="L247" s="309"/>
      <c r="M247" s="268"/>
      <c r="N247" s="268"/>
      <c r="O247" s="310"/>
      <c r="P247" s="268"/>
      <c r="Q247" s="309"/>
      <c r="R247" s="268"/>
      <c r="S247" s="313"/>
      <c r="T247" s="313"/>
      <c r="U247" s="268"/>
      <c r="V247" s="309"/>
      <c r="W247" s="310"/>
      <c r="X247" s="268"/>
      <c r="Y247" s="268"/>
      <c r="Z247" s="268"/>
      <c r="AA247" s="268"/>
      <c r="AB247" s="268"/>
      <c r="AC247" s="268"/>
    </row>
    <row r="248" spans="1:29" ht="24.75" customHeight="1">
      <c r="A248" s="268"/>
      <c r="B248" s="268"/>
      <c r="C248" s="268"/>
      <c r="D248" s="268"/>
      <c r="E248" s="268"/>
      <c r="F248" s="268"/>
      <c r="G248" s="268"/>
      <c r="H248" s="268"/>
      <c r="I248" s="268"/>
      <c r="J248" s="268"/>
      <c r="K248" s="268"/>
      <c r="L248" s="309"/>
      <c r="M248" s="268"/>
      <c r="N248" s="268"/>
      <c r="O248" s="310"/>
      <c r="P248" s="268"/>
      <c r="Q248" s="309"/>
      <c r="R248" s="268"/>
      <c r="S248" s="313"/>
      <c r="T248" s="313"/>
      <c r="U248" s="248"/>
      <c r="V248" s="253"/>
      <c r="W248" s="254"/>
      <c r="X248" s="248"/>
      <c r="Y248" s="248"/>
      <c r="Z248" s="248"/>
      <c r="AA248" s="268"/>
      <c r="AB248" s="268"/>
      <c r="AC248" s="268"/>
    </row>
    <row r="249" spans="1:29" ht="24.75" customHeight="1">
      <c r="A249" s="268"/>
      <c r="B249" s="268"/>
      <c r="C249" s="268"/>
      <c r="D249" s="268"/>
      <c r="E249" s="268"/>
      <c r="F249" s="268"/>
      <c r="G249" s="268"/>
      <c r="H249" s="268"/>
      <c r="I249" s="268"/>
      <c r="J249" s="268"/>
      <c r="K249" s="268"/>
      <c r="L249" s="309"/>
      <c r="M249" s="268"/>
      <c r="N249" s="268"/>
      <c r="O249" s="310"/>
      <c r="P249" s="268"/>
      <c r="Q249" s="309"/>
      <c r="R249" s="268"/>
      <c r="S249" s="313"/>
      <c r="T249" s="313"/>
      <c r="U249" s="230"/>
      <c r="V249" s="256"/>
      <c r="W249" s="257"/>
      <c r="X249" s="230"/>
      <c r="Y249" s="230"/>
      <c r="Z249" s="230"/>
      <c r="AA249" s="268"/>
      <c r="AB249" s="268"/>
      <c r="AC249" s="268"/>
    </row>
    <row r="250" spans="1:29" ht="24.75" customHeight="1">
      <c r="A250" s="268"/>
      <c r="B250" s="268"/>
      <c r="C250" s="268"/>
      <c r="D250" s="268"/>
      <c r="E250" s="268"/>
      <c r="F250" s="268"/>
      <c r="G250" s="268"/>
      <c r="H250" s="268"/>
      <c r="I250" s="268"/>
      <c r="J250" s="268"/>
      <c r="K250" s="268"/>
      <c r="L250" s="309"/>
      <c r="M250" s="268"/>
      <c r="N250" s="268"/>
      <c r="O250" s="310"/>
      <c r="P250" s="268"/>
      <c r="Q250" s="309"/>
      <c r="R250" s="268"/>
      <c r="S250" s="313"/>
      <c r="T250" s="313"/>
      <c r="U250" s="268"/>
      <c r="V250" s="309"/>
      <c r="W250" s="310"/>
      <c r="X250" s="268"/>
      <c r="Y250" s="268"/>
      <c r="Z250" s="268"/>
      <c r="AA250" s="268"/>
      <c r="AB250" s="268"/>
      <c r="AC250" s="268"/>
    </row>
    <row r="251" spans="1:29" ht="24.75" customHeight="1">
      <c r="A251" s="268"/>
      <c r="B251" s="268"/>
      <c r="C251" s="268"/>
      <c r="D251" s="268"/>
      <c r="E251" s="268"/>
      <c r="F251" s="268"/>
      <c r="G251" s="268"/>
      <c r="H251" s="268"/>
      <c r="I251" s="268"/>
      <c r="J251" s="268"/>
      <c r="K251" s="268"/>
      <c r="L251" s="309"/>
      <c r="M251" s="268"/>
      <c r="N251" s="268"/>
      <c r="O251" s="310"/>
      <c r="P251" s="268"/>
      <c r="Q251" s="309"/>
      <c r="R251" s="268"/>
      <c r="S251" s="313"/>
      <c r="T251" s="313"/>
      <c r="U251" s="248"/>
      <c r="V251" s="253"/>
      <c r="W251" s="254"/>
      <c r="X251" s="248"/>
      <c r="Y251" s="248"/>
      <c r="Z251" s="248"/>
      <c r="AA251" s="268"/>
      <c r="AB251" s="268"/>
      <c r="AC251" s="268"/>
    </row>
    <row r="252" spans="1:29" ht="24.75" customHeight="1">
      <c r="A252" s="268"/>
      <c r="B252" s="268"/>
      <c r="C252" s="268"/>
      <c r="D252" s="268"/>
      <c r="E252" s="268"/>
      <c r="F252" s="268"/>
      <c r="G252" s="268"/>
      <c r="H252" s="268"/>
      <c r="I252" s="268"/>
      <c r="J252" s="268"/>
      <c r="K252" s="268"/>
      <c r="L252" s="309"/>
      <c r="M252" s="268"/>
      <c r="N252" s="268"/>
      <c r="O252" s="310"/>
      <c r="P252" s="268"/>
      <c r="Q252" s="309"/>
      <c r="R252" s="268"/>
      <c r="S252" s="313"/>
      <c r="T252" s="313"/>
      <c r="U252" s="268"/>
      <c r="V252" s="309"/>
      <c r="W252" s="310"/>
      <c r="X252" s="268"/>
      <c r="Y252" s="268"/>
      <c r="Z252" s="268"/>
      <c r="AA252" s="268"/>
      <c r="AB252" s="268"/>
      <c r="AC252" s="268"/>
    </row>
    <row r="253" spans="1:29" ht="24.75" customHeight="1">
      <c r="A253" s="268"/>
      <c r="B253" s="268"/>
      <c r="C253" s="268"/>
      <c r="D253" s="268"/>
      <c r="E253" s="268"/>
      <c r="F253" s="268"/>
      <c r="G253" s="268"/>
      <c r="H253" s="268"/>
      <c r="I253" s="268"/>
      <c r="J253" s="268"/>
      <c r="K253" s="268"/>
      <c r="L253" s="309"/>
      <c r="M253" s="268"/>
      <c r="N253" s="268"/>
      <c r="O253" s="310"/>
      <c r="P253" s="268"/>
      <c r="Q253" s="309"/>
      <c r="R253" s="268"/>
      <c r="S253" s="313"/>
      <c r="T253" s="313"/>
      <c r="U253" s="248"/>
      <c r="V253" s="253"/>
      <c r="W253" s="254"/>
      <c r="X253" s="248"/>
      <c r="Y253" s="248"/>
      <c r="Z253" s="248"/>
      <c r="AA253" s="268"/>
      <c r="AB253" s="268"/>
      <c r="AC253" s="268"/>
    </row>
    <row r="254" spans="1:29" ht="24.75" customHeight="1">
      <c r="A254" s="268"/>
      <c r="B254" s="268"/>
      <c r="C254" s="268"/>
      <c r="D254" s="268"/>
      <c r="E254" s="268"/>
      <c r="F254" s="268"/>
      <c r="G254" s="268"/>
      <c r="H254" s="268"/>
      <c r="I254" s="268"/>
      <c r="J254" s="268"/>
      <c r="K254" s="268"/>
      <c r="L254" s="309"/>
      <c r="M254" s="268"/>
      <c r="N254" s="268"/>
      <c r="O254" s="310"/>
      <c r="P254" s="268"/>
      <c r="Q254" s="309"/>
      <c r="R254" s="268"/>
      <c r="S254" s="313"/>
      <c r="T254" s="313"/>
      <c r="U254" s="230"/>
      <c r="V254" s="256"/>
      <c r="W254" s="257"/>
      <c r="X254" s="230"/>
      <c r="Y254" s="230"/>
      <c r="Z254" s="230"/>
      <c r="AA254" s="268"/>
      <c r="AB254" s="268"/>
      <c r="AC254" s="268"/>
    </row>
    <row r="255" spans="1:29" ht="24.75" customHeight="1">
      <c r="A255" s="268"/>
      <c r="B255" s="268"/>
      <c r="C255" s="268"/>
      <c r="D255" s="268"/>
      <c r="E255" s="268"/>
      <c r="F255" s="268"/>
      <c r="G255" s="268"/>
      <c r="H255" s="268"/>
      <c r="I255" s="268"/>
      <c r="J255" s="268"/>
      <c r="K255" s="268"/>
      <c r="L255" s="309"/>
      <c r="M255" s="268"/>
      <c r="N255" s="268"/>
      <c r="O255" s="310"/>
      <c r="P255" s="268"/>
      <c r="Q255" s="309"/>
      <c r="R255" s="268"/>
      <c r="S255" s="313"/>
      <c r="T255" s="313"/>
      <c r="U255" s="268"/>
      <c r="V255" s="309"/>
      <c r="W255" s="310"/>
      <c r="X255" s="268"/>
      <c r="Y255" s="268"/>
      <c r="Z255" s="268"/>
      <c r="AA255" s="268"/>
      <c r="AB255" s="268"/>
      <c r="AC255" s="268"/>
    </row>
    <row r="256" spans="1:29" ht="24.75" customHeight="1">
      <c r="A256" s="268"/>
      <c r="B256" s="268"/>
      <c r="C256" s="268"/>
      <c r="D256" s="268"/>
      <c r="E256" s="268"/>
      <c r="F256" s="268"/>
      <c r="G256" s="268"/>
      <c r="H256" s="268"/>
      <c r="I256" s="268"/>
      <c r="J256" s="268"/>
      <c r="K256" s="268"/>
      <c r="L256" s="309"/>
      <c r="M256" s="268"/>
      <c r="N256" s="268"/>
      <c r="O256" s="310"/>
      <c r="P256" s="268"/>
      <c r="Q256" s="309"/>
      <c r="R256" s="268"/>
      <c r="S256" s="313"/>
      <c r="T256" s="313"/>
      <c r="U256" s="230"/>
      <c r="V256" s="256"/>
      <c r="W256" s="257"/>
      <c r="X256" s="230"/>
      <c r="Y256" s="230"/>
      <c r="Z256" s="230"/>
      <c r="AA256" s="268"/>
      <c r="AB256" s="268"/>
      <c r="AC256" s="268"/>
    </row>
    <row r="257" spans="1:29" ht="24.75" customHeight="1">
      <c r="A257" s="268"/>
      <c r="B257" s="268"/>
      <c r="C257" s="268"/>
      <c r="D257" s="268"/>
      <c r="E257" s="268"/>
      <c r="F257" s="268"/>
      <c r="G257" s="268"/>
      <c r="H257" s="268"/>
      <c r="I257" s="268"/>
      <c r="J257" s="268"/>
      <c r="K257" s="268"/>
      <c r="L257" s="309"/>
      <c r="M257" s="268"/>
      <c r="N257" s="268"/>
      <c r="O257" s="310"/>
      <c r="P257" s="268"/>
      <c r="Q257" s="309"/>
      <c r="R257" s="268"/>
      <c r="S257" s="313"/>
      <c r="T257" s="313"/>
      <c r="U257" s="230"/>
      <c r="V257" s="256"/>
      <c r="W257" s="257"/>
      <c r="X257" s="230"/>
      <c r="Y257" s="230"/>
      <c r="Z257" s="230"/>
      <c r="AA257" s="268"/>
      <c r="AB257" s="268"/>
      <c r="AC257" s="268"/>
    </row>
    <row r="258" spans="1:29" ht="24.75" customHeight="1">
      <c r="A258" s="268"/>
      <c r="B258" s="268"/>
      <c r="C258" s="268"/>
      <c r="D258" s="268"/>
      <c r="E258" s="268"/>
      <c r="F258" s="268"/>
      <c r="G258" s="268"/>
      <c r="H258" s="268"/>
      <c r="I258" s="268"/>
      <c r="J258" s="268"/>
      <c r="K258" s="268"/>
      <c r="L258" s="309"/>
      <c r="M258" s="268"/>
      <c r="N258" s="268"/>
      <c r="O258" s="310"/>
      <c r="P258" s="268"/>
      <c r="Q258" s="309"/>
      <c r="R258" s="268"/>
      <c r="S258" s="313"/>
      <c r="T258" s="313"/>
      <c r="U258" s="268"/>
      <c r="V258" s="309"/>
      <c r="W258" s="310"/>
      <c r="X258" s="268"/>
      <c r="Y258" s="268"/>
      <c r="Z258" s="268"/>
      <c r="AA258" s="268"/>
      <c r="AB258" s="268"/>
      <c r="AC258" s="268"/>
    </row>
    <row r="259" spans="1:29" ht="24.75" customHeight="1">
      <c r="A259" s="268"/>
      <c r="B259" s="268"/>
      <c r="C259" s="268"/>
      <c r="D259" s="268"/>
      <c r="E259" s="268"/>
      <c r="F259" s="268"/>
      <c r="G259" s="268"/>
      <c r="H259" s="268"/>
      <c r="I259" s="268"/>
      <c r="J259" s="268"/>
      <c r="K259" s="268"/>
      <c r="L259" s="309"/>
      <c r="M259" s="268"/>
      <c r="N259" s="268"/>
      <c r="O259" s="310"/>
      <c r="P259" s="268"/>
      <c r="Q259" s="309"/>
      <c r="R259" s="268"/>
      <c r="S259" s="313"/>
      <c r="T259" s="313"/>
      <c r="U259" s="268"/>
      <c r="V259" s="309"/>
      <c r="W259" s="310"/>
      <c r="X259" s="268"/>
      <c r="Y259" s="268"/>
      <c r="Z259" s="268"/>
      <c r="AA259" s="268"/>
      <c r="AB259" s="268"/>
      <c r="AC259" s="268"/>
    </row>
    <row r="260" spans="1:29" ht="24.75" customHeight="1">
      <c r="A260" s="268"/>
      <c r="B260" s="268"/>
      <c r="C260" s="268"/>
      <c r="D260" s="268"/>
      <c r="E260" s="268"/>
      <c r="F260" s="268"/>
      <c r="G260" s="268"/>
      <c r="H260" s="268"/>
      <c r="I260" s="268"/>
      <c r="J260" s="268"/>
      <c r="K260" s="268"/>
      <c r="L260" s="309"/>
      <c r="M260" s="268"/>
      <c r="N260" s="268"/>
      <c r="O260" s="310"/>
      <c r="P260" s="268"/>
      <c r="Q260" s="309"/>
      <c r="R260" s="268"/>
      <c r="S260" s="313"/>
      <c r="T260" s="313"/>
      <c r="U260" s="248"/>
      <c r="V260" s="253"/>
      <c r="W260" s="254"/>
      <c r="X260" s="248"/>
      <c r="Y260" s="248"/>
      <c r="Z260" s="248"/>
      <c r="AA260" s="268"/>
      <c r="AB260" s="268"/>
      <c r="AC260" s="268"/>
    </row>
    <row r="261" spans="1:29" ht="24.75" customHeight="1">
      <c r="A261" s="268"/>
      <c r="B261" s="268"/>
      <c r="C261" s="268"/>
      <c r="D261" s="268"/>
      <c r="E261" s="268"/>
      <c r="F261" s="268"/>
      <c r="G261" s="268"/>
      <c r="H261" s="268"/>
      <c r="I261" s="268"/>
      <c r="J261" s="268"/>
      <c r="K261" s="268"/>
      <c r="L261" s="309"/>
      <c r="M261" s="268"/>
      <c r="N261" s="268"/>
      <c r="O261" s="310"/>
      <c r="P261" s="268"/>
      <c r="Q261" s="309"/>
      <c r="R261" s="268"/>
      <c r="S261" s="313"/>
      <c r="T261" s="313"/>
      <c r="U261" s="268"/>
      <c r="V261" s="309"/>
      <c r="W261" s="310"/>
      <c r="X261" s="268"/>
      <c r="Y261" s="268"/>
      <c r="Z261" s="268"/>
      <c r="AA261" s="268"/>
      <c r="AB261" s="268"/>
      <c r="AC261" s="268"/>
    </row>
    <row r="262" spans="1:29" ht="24.75" customHeight="1">
      <c r="A262" s="268"/>
      <c r="B262" s="268"/>
      <c r="C262" s="268"/>
      <c r="D262" s="268"/>
      <c r="E262" s="268"/>
      <c r="F262" s="268"/>
      <c r="G262" s="268"/>
      <c r="H262" s="268"/>
      <c r="I262" s="268"/>
      <c r="J262" s="268"/>
      <c r="K262" s="268"/>
      <c r="L262" s="309"/>
      <c r="M262" s="268"/>
      <c r="N262" s="268"/>
      <c r="O262" s="310"/>
      <c r="P262" s="268"/>
      <c r="Q262" s="309"/>
      <c r="R262" s="268"/>
      <c r="S262" s="313"/>
      <c r="T262" s="313"/>
      <c r="U262" s="230"/>
      <c r="V262" s="256"/>
      <c r="W262" s="257"/>
      <c r="X262" s="230"/>
      <c r="Y262" s="230"/>
      <c r="Z262" s="230"/>
      <c r="AA262" s="268"/>
      <c r="AB262" s="268"/>
      <c r="AC262" s="268"/>
    </row>
    <row r="263" spans="1:29" ht="24.75" customHeight="1">
      <c r="A263" s="268"/>
      <c r="B263" s="268"/>
      <c r="C263" s="268"/>
      <c r="D263" s="268"/>
      <c r="E263" s="268"/>
      <c r="F263" s="268"/>
      <c r="G263" s="268"/>
      <c r="H263" s="268"/>
      <c r="I263" s="268"/>
      <c r="J263" s="268"/>
      <c r="K263" s="268"/>
      <c r="L263" s="309"/>
      <c r="M263" s="268"/>
      <c r="N263" s="268"/>
      <c r="O263" s="310"/>
      <c r="P263" s="268"/>
      <c r="Q263" s="309"/>
      <c r="R263" s="268"/>
      <c r="S263" s="313"/>
      <c r="T263" s="313"/>
      <c r="U263" s="268"/>
      <c r="V263" s="309"/>
      <c r="W263" s="310"/>
      <c r="X263" s="268"/>
      <c r="Y263" s="268"/>
      <c r="Z263" s="268"/>
      <c r="AA263" s="268"/>
      <c r="AB263" s="268"/>
      <c r="AC263" s="268"/>
    </row>
    <row r="264" spans="1:29" ht="24.75" customHeight="1">
      <c r="A264" s="268"/>
      <c r="B264" s="268"/>
      <c r="C264" s="268"/>
      <c r="D264" s="268"/>
      <c r="E264" s="268"/>
      <c r="F264" s="268"/>
      <c r="G264" s="268"/>
      <c r="H264" s="268"/>
      <c r="I264" s="268"/>
      <c r="J264" s="268"/>
      <c r="K264" s="268"/>
      <c r="L264" s="309"/>
      <c r="M264" s="268"/>
      <c r="N264" s="268"/>
      <c r="O264" s="310"/>
      <c r="P264" s="268"/>
      <c r="Q264" s="309"/>
      <c r="R264" s="268"/>
      <c r="S264" s="313"/>
      <c r="T264" s="313"/>
      <c r="U264" s="268"/>
      <c r="V264" s="309"/>
      <c r="W264" s="310"/>
      <c r="X264" s="268"/>
      <c r="Y264" s="268"/>
      <c r="Z264" s="268"/>
      <c r="AA264" s="268"/>
      <c r="AB264" s="268"/>
      <c r="AC264" s="268"/>
    </row>
    <row r="265" spans="1:29" ht="24.75" customHeight="1">
      <c r="A265" s="268"/>
      <c r="B265" s="268"/>
      <c r="C265" s="268"/>
      <c r="D265" s="268"/>
      <c r="E265" s="268"/>
      <c r="F265" s="268"/>
      <c r="G265" s="268"/>
      <c r="H265" s="268"/>
      <c r="I265" s="268"/>
      <c r="J265" s="268"/>
      <c r="K265" s="268"/>
      <c r="L265" s="309"/>
      <c r="M265" s="268"/>
      <c r="N265" s="268"/>
      <c r="O265" s="310"/>
      <c r="P265" s="268"/>
      <c r="Q265" s="309"/>
      <c r="R265" s="268"/>
      <c r="S265" s="313"/>
      <c r="T265" s="313"/>
      <c r="U265" s="268"/>
      <c r="V265" s="309"/>
      <c r="W265" s="310"/>
      <c r="X265" s="268"/>
      <c r="Y265" s="268"/>
      <c r="Z265" s="268"/>
      <c r="AA265" s="268"/>
      <c r="AB265" s="268"/>
      <c r="AC265" s="268"/>
    </row>
    <row r="266" spans="1:29" ht="24.75" customHeight="1">
      <c r="A266" s="268"/>
      <c r="B266" s="268"/>
      <c r="C266" s="268"/>
      <c r="D266" s="268"/>
      <c r="E266" s="268"/>
      <c r="F266" s="268"/>
      <c r="G266" s="268"/>
      <c r="H266" s="268"/>
      <c r="I266" s="268"/>
      <c r="J266" s="268"/>
      <c r="K266" s="268"/>
      <c r="L266" s="309"/>
      <c r="M266" s="268"/>
      <c r="N266" s="268"/>
      <c r="O266" s="310"/>
      <c r="P266" s="268"/>
      <c r="Q266" s="309"/>
      <c r="R266" s="268"/>
      <c r="S266" s="313"/>
      <c r="T266" s="313"/>
      <c r="U266" s="268"/>
      <c r="V266" s="309"/>
      <c r="W266" s="310"/>
      <c r="X266" s="268"/>
      <c r="Y266" s="268"/>
      <c r="Z266" s="268"/>
      <c r="AA266" s="268"/>
      <c r="AB266" s="268"/>
      <c r="AC266" s="268"/>
    </row>
    <row r="267" spans="1:29" ht="24.75" customHeight="1">
      <c r="A267" s="268"/>
      <c r="B267" s="268"/>
      <c r="C267" s="268"/>
      <c r="D267" s="268"/>
      <c r="E267" s="268"/>
      <c r="F267" s="268"/>
      <c r="G267" s="268"/>
      <c r="H267" s="268"/>
      <c r="I267" s="268"/>
      <c r="J267" s="268"/>
      <c r="K267" s="268"/>
      <c r="L267" s="309"/>
      <c r="M267" s="268"/>
      <c r="N267" s="268"/>
      <c r="O267" s="310"/>
      <c r="P267" s="268"/>
      <c r="Q267" s="309"/>
      <c r="R267" s="268"/>
      <c r="S267" s="313"/>
      <c r="T267" s="313"/>
      <c r="U267" s="268"/>
      <c r="V267" s="309"/>
      <c r="W267" s="310"/>
      <c r="X267" s="268"/>
      <c r="Y267" s="268"/>
      <c r="Z267" s="268"/>
      <c r="AA267" s="268"/>
      <c r="AB267" s="268"/>
      <c r="AC267" s="268"/>
    </row>
    <row r="268" spans="1:29" ht="24.75" customHeight="1">
      <c r="A268" s="268"/>
      <c r="B268" s="268"/>
      <c r="C268" s="268"/>
      <c r="D268" s="268"/>
      <c r="E268" s="268"/>
      <c r="F268" s="268"/>
      <c r="G268" s="268"/>
      <c r="H268" s="268"/>
      <c r="I268" s="268"/>
      <c r="J268" s="268"/>
      <c r="K268" s="268"/>
      <c r="L268" s="309"/>
      <c r="M268" s="268"/>
      <c r="N268" s="268"/>
      <c r="O268" s="310"/>
      <c r="P268" s="268"/>
      <c r="Q268" s="309"/>
      <c r="R268" s="268"/>
      <c r="S268" s="313"/>
      <c r="T268" s="313"/>
      <c r="U268" s="268"/>
      <c r="V268" s="309"/>
      <c r="W268" s="310"/>
      <c r="X268" s="268"/>
      <c r="Y268" s="268"/>
      <c r="Z268" s="268"/>
      <c r="AA268" s="268"/>
      <c r="AB268" s="268"/>
      <c r="AC268" s="268"/>
    </row>
    <row r="269" spans="1:29" ht="24.75" customHeight="1">
      <c r="A269" s="268"/>
      <c r="B269" s="268"/>
      <c r="C269" s="268"/>
      <c r="D269" s="268"/>
      <c r="E269" s="268"/>
      <c r="F269" s="268"/>
      <c r="G269" s="268"/>
      <c r="H269" s="268"/>
      <c r="I269" s="268"/>
      <c r="J269" s="268"/>
      <c r="K269" s="268"/>
      <c r="L269" s="309"/>
      <c r="M269" s="268"/>
      <c r="N269" s="268"/>
      <c r="O269" s="310"/>
      <c r="P269" s="268"/>
      <c r="Q269" s="309"/>
      <c r="R269" s="268"/>
      <c r="S269" s="313"/>
      <c r="T269" s="313"/>
      <c r="U269" s="268"/>
      <c r="V269" s="309"/>
      <c r="W269" s="310"/>
      <c r="X269" s="268"/>
      <c r="Y269" s="268"/>
      <c r="Z269" s="268"/>
      <c r="AA269" s="268"/>
      <c r="AB269" s="268"/>
      <c r="AC269" s="268"/>
    </row>
    <row r="270" spans="1:29" ht="24.75" customHeight="1">
      <c r="A270" s="268"/>
      <c r="B270" s="268"/>
      <c r="C270" s="268"/>
      <c r="D270" s="268"/>
      <c r="E270" s="268"/>
      <c r="F270" s="268"/>
      <c r="G270" s="268"/>
      <c r="H270" s="268"/>
      <c r="I270" s="268"/>
      <c r="J270" s="268"/>
      <c r="K270" s="268"/>
      <c r="L270" s="309"/>
      <c r="M270" s="268"/>
      <c r="N270" s="268"/>
      <c r="O270" s="310"/>
      <c r="P270" s="268"/>
      <c r="Q270" s="309"/>
      <c r="R270" s="268"/>
      <c r="S270" s="313"/>
      <c r="T270" s="313"/>
      <c r="U270" s="268"/>
      <c r="V270" s="309"/>
      <c r="W270" s="310"/>
      <c r="X270" s="268"/>
      <c r="Y270" s="268"/>
      <c r="Z270" s="268"/>
      <c r="AA270" s="268"/>
      <c r="AB270" s="268"/>
      <c r="AC270" s="268"/>
    </row>
    <row r="271" spans="1:29" ht="24.75" customHeight="1">
      <c r="A271" s="268"/>
      <c r="B271" s="268"/>
      <c r="C271" s="268"/>
      <c r="D271" s="268"/>
      <c r="E271" s="268"/>
      <c r="F271" s="268"/>
      <c r="G271" s="268"/>
      <c r="H271" s="268"/>
      <c r="I271" s="268"/>
      <c r="J271" s="268"/>
      <c r="K271" s="268"/>
      <c r="L271" s="309"/>
      <c r="M271" s="268"/>
      <c r="N271" s="268"/>
      <c r="O271" s="310"/>
      <c r="P271" s="268"/>
      <c r="Q271" s="309"/>
      <c r="R271" s="268"/>
      <c r="S271" s="313"/>
      <c r="T271" s="313"/>
      <c r="U271" s="230"/>
      <c r="V271" s="256"/>
      <c r="W271" s="257"/>
      <c r="X271" s="230"/>
      <c r="Y271" s="230"/>
      <c r="Z271" s="230"/>
      <c r="AA271" s="268"/>
      <c r="AB271" s="268"/>
      <c r="AC271" s="268"/>
    </row>
    <row r="272" spans="1:29" ht="24.75" customHeight="1">
      <c r="A272" s="268"/>
      <c r="B272" s="268"/>
      <c r="C272" s="268"/>
      <c r="D272" s="268"/>
      <c r="E272" s="268"/>
      <c r="F272" s="268"/>
      <c r="G272" s="268"/>
      <c r="H272" s="268"/>
      <c r="I272" s="268"/>
      <c r="J272" s="268"/>
      <c r="K272" s="268"/>
      <c r="L272" s="309"/>
      <c r="M272" s="268"/>
      <c r="N272" s="268"/>
      <c r="O272" s="310"/>
      <c r="P272" s="268"/>
      <c r="Q272" s="309"/>
      <c r="R272" s="268"/>
      <c r="S272" s="313"/>
      <c r="T272" s="313"/>
      <c r="U272" s="268"/>
      <c r="V272" s="309"/>
      <c r="W272" s="310"/>
      <c r="X272" s="268"/>
      <c r="Y272" s="268"/>
      <c r="Z272" s="268"/>
      <c r="AA272" s="268"/>
      <c r="AB272" s="268"/>
      <c r="AC272" s="268"/>
    </row>
    <row r="273" spans="1:29" ht="24.75" customHeight="1">
      <c r="A273" s="268"/>
      <c r="B273" s="268"/>
      <c r="C273" s="268"/>
      <c r="D273" s="268"/>
      <c r="E273" s="268"/>
      <c r="F273" s="268"/>
      <c r="G273" s="268"/>
      <c r="H273" s="268"/>
      <c r="I273" s="268"/>
      <c r="J273" s="268"/>
      <c r="K273" s="268"/>
      <c r="L273" s="309"/>
      <c r="M273" s="268"/>
      <c r="N273" s="268"/>
      <c r="O273" s="310"/>
      <c r="P273" s="268"/>
      <c r="Q273" s="309"/>
      <c r="R273" s="268"/>
      <c r="S273" s="313"/>
      <c r="T273" s="313"/>
      <c r="U273" s="268"/>
      <c r="V273" s="309"/>
      <c r="W273" s="310"/>
      <c r="X273" s="268"/>
      <c r="Y273" s="268"/>
      <c r="Z273" s="268"/>
      <c r="AA273" s="268"/>
      <c r="AB273" s="268"/>
      <c r="AC273" s="268"/>
    </row>
    <row r="274" spans="1:29" ht="24.75" customHeight="1">
      <c r="A274" s="268"/>
      <c r="B274" s="268"/>
      <c r="C274" s="268"/>
      <c r="D274" s="268"/>
      <c r="E274" s="268"/>
      <c r="F274" s="268"/>
      <c r="G274" s="268"/>
      <c r="H274" s="268"/>
      <c r="I274" s="268"/>
      <c r="J274" s="268"/>
      <c r="K274" s="268"/>
      <c r="L274" s="309"/>
      <c r="M274" s="268"/>
      <c r="N274" s="268"/>
      <c r="O274" s="310"/>
      <c r="P274" s="268"/>
      <c r="Q274" s="309"/>
      <c r="R274" s="268"/>
      <c r="S274" s="313"/>
      <c r="T274" s="313"/>
      <c r="U274" s="268"/>
      <c r="V274" s="309"/>
      <c r="W274" s="310"/>
      <c r="X274" s="268"/>
      <c r="Y274" s="268"/>
      <c r="Z274" s="268"/>
      <c r="AA274" s="268"/>
      <c r="AB274" s="268"/>
      <c r="AC274" s="268"/>
    </row>
    <row r="275" spans="1:29" ht="24.75" customHeight="1">
      <c r="A275" s="268"/>
      <c r="B275" s="268"/>
      <c r="C275" s="268"/>
      <c r="D275" s="268"/>
      <c r="E275" s="268"/>
      <c r="F275" s="268"/>
      <c r="G275" s="268"/>
      <c r="H275" s="268"/>
      <c r="I275" s="268"/>
      <c r="J275" s="268"/>
      <c r="K275" s="268"/>
      <c r="L275" s="309"/>
      <c r="M275" s="268"/>
      <c r="N275" s="268"/>
      <c r="O275" s="310"/>
      <c r="P275" s="268"/>
      <c r="Q275" s="309"/>
      <c r="R275" s="268"/>
      <c r="S275" s="313"/>
      <c r="T275" s="313"/>
      <c r="U275" s="268"/>
      <c r="V275" s="309"/>
      <c r="W275" s="310"/>
      <c r="X275" s="268"/>
      <c r="Y275" s="268"/>
      <c r="Z275" s="268"/>
      <c r="AA275" s="268"/>
      <c r="AB275" s="268"/>
      <c r="AC275" s="268"/>
    </row>
    <row r="276" spans="1:29" ht="24.75" customHeight="1">
      <c r="A276" s="268"/>
      <c r="B276" s="268"/>
      <c r="C276" s="268"/>
      <c r="D276" s="268"/>
      <c r="E276" s="268"/>
      <c r="F276" s="268"/>
      <c r="G276" s="268"/>
      <c r="H276" s="268"/>
      <c r="I276" s="268"/>
      <c r="J276" s="268"/>
      <c r="K276" s="268"/>
      <c r="L276" s="309"/>
      <c r="M276" s="268"/>
      <c r="N276" s="268"/>
      <c r="O276" s="310"/>
      <c r="P276" s="268"/>
      <c r="Q276" s="309"/>
      <c r="R276" s="268"/>
      <c r="S276" s="313"/>
      <c r="T276" s="313"/>
      <c r="U276" s="268"/>
      <c r="V276" s="309"/>
      <c r="W276" s="310"/>
      <c r="X276" s="268"/>
      <c r="Y276" s="268"/>
      <c r="Z276" s="268"/>
      <c r="AA276" s="268"/>
      <c r="AB276" s="268"/>
      <c r="AC276" s="268"/>
    </row>
    <row r="277" spans="1:29" ht="24.75" customHeight="1">
      <c r="A277" s="268"/>
      <c r="B277" s="268"/>
      <c r="C277" s="268"/>
      <c r="D277" s="268"/>
      <c r="E277" s="268"/>
      <c r="F277" s="268"/>
      <c r="G277" s="268"/>
      <c r="H277" s="268"/>
      <c r="I277" s="268"/>
      <c r="J277" s="268"/>
      <c r="K277" s="268"/>
      <c r="L277" s="309"/>
      <c r="M277" s="268"/>
      <c r="N277" s="268"/>
      <c r="O277" s="310"/>
      <c r="P277" s="268"/>
      <c r="Q277" s="309"/>
      <c r="R277" s="268"/>
      <c r="S277" s="313"/>
      <c r="T277" s="313"/>
      <c r="U277" s="268"/>
      <c r="V277" s="309"/>
      <c r="W277" s="310"/>
      <c r="X277" s="268"/>
      <c r="Y277" s="268"/>
      <c r="Z277" s="268"/>
      <c r="AA277" s="268"/>
      <c r="AB277" s="268"/>
      <c r="AC277" s="268"/>
    </row>
    <row r="278" spans="1:29" ht="24.75" customHeight="1">
      <c r="A278" s="268"/>
      <c r="B278" s="268"/>
      <c r="C278" s="268"/>
      <c r="D278" s="268"/>
      <c r="E278" s="268"/>
      <c r="F278" s="268"/>
      <c r="G278" s="268"/>
      <c r="H278" s="268"/>
      <c r="I278" s="268"/>
      <c r="J278" s="268"/>
      <c r="K278" s="268"/>
      <c r="L278" s="309"/>
      <c r="M278" s="268"/>
      <c r="N278" s="268"/>
      <c r="O278" s="310"/>
      <c r="P278" s="268"/>
      <c r="Q278" s="309"/>
      <c r="R278" s="268"/>
      <c r="S278" s="313"/>
      <c r="T278" s="313"/>
      <c r="U278" s="268"/>
      <c r="V278" s="309"/>
      <c r="W278" s="310"/>
      <c r="X278" s="268"/>
      <c r="Y278" s="268"/>
      <c r="Z278" s="268"/>
      <c r="AA278" s="268"/>
      <c r="AB278" s="268"/>
      <c r="AC278" s="268"/>
    </row>
    <row r="279" spans="1:29" ht="24.75" customHeight="1">
      <c r="A279" s="268"/>
      <c r="B279" s="268"/>
      <c r="C279" s="268"/>
      <c r="D279" s="268"/>
      <c r="E279" s="268"/>
      <c r="F279" s="268"/>
      <c r="G279" s="268"/>
      <c r="H279" s="268"/>
      <c r="I279" s="268"/>
      <c r="J279" s="268"/>
      <c r="K279" s="268"/>
      <c r="L279" s="309"/>
      <c r="M279" s="268"/>
      <c r="N279" s="268"/>
      <c r="O279" s="310"/>
      <c r="P279" s="268"/>
      <c r="Q279" s="309"/>
      <c r="R279" s="268"/>
      <c r="S279" s="313"/>
      <c r="T279" s="313"/>
      <c r="U279" s="268"/>
      <c r="V279" s="309"/>
      <c r="W279" s="310"/>
      <c r="X279" s="268"/>
      <c r="Y279" s="268"/>
      <c r="Z279" s="268"/>
      <c r="AA279" s="268"/>
      <c r="AB279" s="268"/>
      <c r="AC279" s="268"/>
    </row>
    <row r="280" spans="1:29" ht="24.75" customHeight="1">
      <c r="A280" s="268"/>
      <c r="B280" s="268"/>
      <c r="C280" s="268"/>
      <c r="D280" s="268"/>
      <c r="E280" s="268"/>
      <c r="F280" s="268"/>
      <c r="G280" s="268"/>
      <c r="H280" s="268"/>
      <c r="I280" s="268"/>
      <c r="J280" s="268"/>
      <c r="K280" s="268"/>
      <c r="L280" s="309"/>
      <c r="M280" s="268"/>
      <c r="N280" s="268"/>
      <c r="O280" s="310"/>
      <c r="P280" s="268"/>
      <c r="Q280" s="309"/>
      <c r="R280" s="268"/>
      <c r="S280" s="313"/>
      <c r="T280" s="313"/>
      <c r="U280" s="268"/>
      <c r="V280" s="309"/>
      <c r="W280" s="310"/>
      <c r="X280" s="268"/>
      <c r="Y280" s="268"/>
      <c r="Z280" s="268"/>
      <c r="AA280" s="268"/>
      <c r="AB280" s="268"/>
      <c r="AC280" s="268"/>
    </row>
    <row r="281" spans="1:29" ht="24.75" customHeight="1">
      <c r="A281" s="268"/>
      <c r="B281" s="268"/>
      <c r="C281" s="268"/>
      <c r="D281" s="268"/>
      <c r="E281" s="268"/>
      <c r="F281" s="268"/>
      <c r="G281" s="268"/>
      <c r="H281" s="268"/>
      <c r="I281" s="268"/>
      <c r="J281" s="268"/>
      <c r="K281" s="268"/>
      <c r="L281" s="309"/>
      <c r="M281" s="268"/>
      <c r="N281" s="268"/>
      <c r="O281" s="310"/>
      <c r="P281" s="268"/>
      <c r="Q281" s="309"/>
      <c r="R281" s="268"/>
      <c r="S281" s="313"/>
      <c r="T281" s="313"/>
      <c r="U281" s="268"/>
      <c r="V281" s="309"/>
      <c r="W281" s="310"/>
      <c r="X281" s="268"/>
      <c r="Y281" s="268"/>
      <c r="Z281" s="268"/>
      <c r="AA281" s="268"/>
      <c r="AB281" s="268"/>
      <c r="AC281" s="268"/>
    </row>
    <row r="282" spans="1:29" ht="24.75" customHeight="1">
      <c r="A282" s="268"/>
      <c r="B282" s="268"/>
      <c r="C282" s="268"/>
      <c r="D282" s="268"/>
      <c r="E282" s="268"/>
      <c r="F282" s="268"/>
      <c r="G282" s="268"/>
      <c r="H282" s="268"/>
      <c r="I282" s="268"/>
      <c r="J282" s="268"/>
      <c r="K282" s="268"/>
      <c r="L282" s="309"/>
      <c r="M282" s="268"/>
      <c r="N282" s="268"/>
      <c r="O282" s="310"/>
      <c r="P282" s="268"/>
      <c r="Q282" s="309"/>
      <c r="R282" s="268"/>
      <c r="S282" s="313"/>
      <c r="T282" s="313"/>
      <c r="U282" s="268"/>
      <c r="V282" s="309"/>
      <c r="W282" s="310"/>
      <c r="X282" s="268"/>
      <c r="Y282" s="268"/>
      <c r="Z282" s="268"/>
      <c r="AA282" s="268"/>
      <c r="AB282" s="268"/>
      <c r="AC282" s="268"/>
    </row>
    <row r="283" spans="1:29" ht="24.75" customHeight="1">
      <c r="A283" s="268"/>
      <c r="B283" s="268"/>
      <c r="C283" s="268"/>
      <c r="D283" s="268"/>
      <c r="E283" s="268"/>
      <c r="F283" s="268"/>
      <c r="G283" s="268"/>
      <c r="H283" s="268"/>
      <c r="I283" s="268"/>
      <c r="J283" s="268"/>
      <c r="K283" s="268"/>
      <c r="L283" s="309"/>
      <c r="M283" s="268"/>
      <c r="N283" s="268"/>
      <c r="O283" s="310"/>
      <c r="P283" s="268"/>
      <c r="Q283" s="309"/>
      <c r="R283" s="268"/>
      <c r="S283" s="313"/>
      <c r="T283" s="313"/>
      <c r="U283" s="268"/>
      <c r="V283" s="309"/>
      <c r="W283" s="310"/>
      <c r="X283" s="268"/>
      <c r="Y283" s="268"/>
      <c r="Z283" s="268"/>
      <c r="AA283" s="268"/>
      <c r="AB283" s="268"/>
      <c r="AC283" s="268"/>
    </row>
    <row r="284" spans="1:29" ht="24.75" customHeight="1">
      <c r="A284" s="268"/>
      <c r="B284" s="268"/>
      <c r="C284" s="268"/>
      <c r="D284" s="268"/>
      <c r="E284" s="268"/>
      <c r="F284" s="268"/>
      <c r="G284" s="268"/>
      <c r="H284" s="268"/>
      <c r="I284" s="268"/>
      <c r="J284" s="268"/>
      <c r="K284" s="268"/>
      <c r="L284" s="309"/>
      <c r="M284" s="268"/>
      <c r="N284" s="268"/>
      <c r="O284" s="310"/>
      <c r="P284" s="268"/>
      <c r="Q284" s="309"/>
      <c r="R284" s="268"/>
      <c r="S284" s="313"/>
      <c r="T284" s="313"/>
      <c r="U284" s="268"/>
      <c r="V284" s="309"/>
      <c r="W284" s="310"/>
      <c r="X284" s="268"/>
      <c r="Y284" s="268"/>
      <c r="Z284" s="268"/>
      <c r="AA284" s="268"/>
      <c r="AB284" s="268"/>
      <c r="AC284" s="268"/>
    </row>
    <row r="285" spans="1:29" ht="24.75" customHeight="1">
      <c r="A285" s="268"/>
      <c r="B285" s="268"/>
      <c r="C285" s="268"/>
      <c r="D285" s="268"/>
      <c r="E285" s="268"/>
      <c r="F285" s="268"/>
      <c r="G285" s="268"/>
      <c r="H285" s="268"/>
      <c r="I285" s="268"/>
      <c r="J285" s="268"/>
      <c r="K285" s="268"/>
      <c r="L285" s="309"/>
      <c r="M285" s="268"/>
      <c r="N285" s="268"/>
      <c r="O285" s="310"/>
      <c r="P285" s="268"/>
      <c r="Q285" s="309"/>
      <c r="R285" s="268"/>
      <c r="S285" s="313"/>
      <c r="T285" s="313"/>
      <c r="U285" s="268"/>
      <c r="V285" s="309"/>
      <c r="W285" s="310"/>
      <c r="X285" s="268"/>
      <c r="Y285" s="268"/>
      <c r="Z285" s="268"/>
      <c r="AA285" s="268"/>
      <c r="AB285" s="268"/>
      <c r="AC285" s="268"/>
    </row>
    <row r="286" spans="1:29" ht="24.75" customHeight="1">
      <c r="A286" s="268"/>
      <c r="B286" s="268"/>
      <c r="C286" s="268"/>
      <c r="D286" s="268"/>
      <c r="E286" s="268"/>
      <c r="F286" s="268"/>
      <c r="G286" s="268"/>
      <c r="H286" s="268"/>
      <c r="I286" s="268"/>
      <c r="J286" s="268"/>
      <c r="K286" s="268"/>
      <c r="L286" s="309"/>
      <c r="M286" s="268"/>
      <c r="N286" s="268"/>
      <c r="O286" s="310"/>
      <c r="P286" s="268"/>
      <c r="Q286" s="309"/>
      <c r="R286" s="268"/>
      <c r="S286" s="313"/>
      <c r="T286" s="313"/>
      <c r="U286" s="268"/>
      <c r="V286" s="309"/>
      <c r="W286" s="310"/>
      <c r="X286" s="268"/>
      <c r="Y286" s="268"/>
      <c r="Z286" s="268"/>
      <c r="AA286" s="268"/>
      <c r="AB286" s="268"/>
      <c r="AC286" s="268"/>
    </row>
    <row r="287" spans="1:29" ht="24.75" customHeight="1">
      <c r="A287" s="268"/>
      <c r="B287" s="268"/>
      <c r="C287" s="268"/>
      <c r="D287" s="268"/>
      <c r="E287" s="268"/>
      <c r="F287" s="268"/>
      <c r="G287" s="268"/>
      <c r="H287" s="268"/>
      <c r="I287" s="268"/>
      <c r="J287" s="268"/>
      <c r="K287" s="268"/>
      <c r="L287" s="309"/>
      <c r="M287" s="268"/>
      <c r="N287" s="268"/>
      <c r="O287" s="310"/>
      <c r="P287" s="268"/>
      <c r="Q287" s="309"/>
      <c r="R287" s="268"/>
      <c r="S287" s="313"/>
      <c r="T287" s="313"/>
      <c r="U287" s="268"/>
      <c r="V287" s="309"/>
      <c r="W287" s="310"/>
      <c r="X287" s="268"/>
      <c r="Y287" s="268"/>
      <c r="Z287" s="268"/>
      <c r="AA287" s="268"/>
      <c r="AB287" s="268"/>
      <c r="AC287" s="268"/>
    </row>
    <row r="288" spans="1:29" ht="24.75" customHeight="1">
      <c r="A288" s="268"/>
      <c r="B288" s="268"/>
      <c r="C288" s="268"/>
      <c r="D288" s="268"/>
      <c r="E288" s="268"/>
      <c r="F288" s="268"/>
      <c r="G288" s="268"/>
      <c r="H288" s="268"/>
      <c r="I288" s="268"/>
      <c r="J288" s="268"/>
      <c r="K288" s="268"/>
      <c r="L288" s="309"/>
      <c r="M288" s="268"/>
      <c r="N288" s="268"/>
      <c r="O288" s="310"/>
      <c r="P288" s="268"/>
      <c r="Q288" s="309"/>
      <c r="R288" s="268"/>
      <c r="S288" s="313"/>
      <c r="T288" s="313"/>
      <c r="U288" s="268"/>
      <c r="V288" s="309"/>
      <c r="W288" s="310"/>
      <c r="X288" s="268"/>
      <c r="Y288" s="268"/>
      <c r="Z288" s="268"/>
      <c r="AA288" s="268"/>
      <c r="AB288" s="268"/>
      <c r="AC288" s="268"/>
    </row>
    <row r="289" spans="1:29" ht="24.75" customHeight="1">
      <c r="A289" s="268"/>
      <c r="B289" s="268"/>
      <c r="C289" s="268"/>
      <c r="D289" s="268"/>
      <c r="E289" s="268"/>
      <c r="F289" s="268"/>
      <c r="G289" s="268"/>
      <c r="H289" s="268"/>
      <c r="I289" s="268"/>
      <c r="J289" s="268"/>
      <c r="K289" s="268"/>
      <c r="L289" s="309"/>
      <c r="M289" s="268"/>
      <c r="N289" s="268"/>
      <c r="O289" s="310"/>
      <c r="P289" s="268"/>
      <c r="Q289" s="309"/>
      <c r="R289" s="268"/>
      <c r="S289" s="313"/>
      <c r="T289" s="313"/>
      <c r="U289" s="268"/>
      <c r="V289" s="309"/>
      <c r="W289" s="310"/>
      <c r="X289" s="268"/>
      <c r="Y289" s="268"/>
      <c r="Z289" s="268"/>
      <c r="AA289" s="268"/>
      <c r="AB289" s="268"/>
      <c r="AC289" s="268"/>
    </row>
    <row r="290" spans="1:29" ht="24.75" customHeight="1">
      <c r="A290" s="268"/>
      <c r="B290" s="268"/>
      <c r="C290" s="268"/>
      <c r="D290" s="268"/>
      <c r="E290" s="268"/>
      <c r="F290" s="268"/>
      <c r="G290" s="268"/>
      <c r="H290" s="268"/>
      <c r="I290" s="268"/>
      <c r="J290" s="268"/>
      <c r="K290" s="268"/>
      <c r="L290" s="309"/>
      <c r="M290" s="268"/>
      <c r="N290" s="268"/>
      <c r="O290" s="310"/>
      <c r="P290" s="268"/>
      <c r="Q290" s="309"/>
      <c r="R290" s="268"/>
      <c r="S290" s="313"/>
      <c r="T290" s="313"/>
      <c r="U290" s="268"/>
      <c r="V290" s="309"/>
      <c r="W290" s="310"/>
      <c r="X290" s="268"/>
      <c r="Y290" s="268"/>
      <c r="Z290" s="268"/>
      <c r="AA290" s="268"/>
      <c r="AB290" s="268"/>
      <c r="AC290" s="268"/>
    </row>
    <row r="291" spans="1:29" ht="24.75" customHeight="1">
      <c r="A291" s="268"/>
      <c r="B291" s="268"/>
      <c r="C291" s="268"/>
      <c r="D291" s="268"/>
      <c r="E291" s="268"/>
      <c r="F291" s="268"/>
      <c r="G291" s="268"/>
      <c r="H291" s="268"/>
      <c r="I291" s="268"/>
      <c r="J291" s="268"/>
      <c r="K291" s="268"/>
      <c r="L291" s="309"/>
      <c r="M291" s="268"/>
      <c r="N291" s="268"/>
      <c r="O291" s="310"/>
      <c r="P291" s="268"/>
      <c r="Q291" s="309"/>
      <c r="R291" s="268"/>
      <c r="S291" s="313"/>
      <c r="T291" s="313"/>
      <c r="U291" s="268"/>
      <c r="V291" s="309"/>
      <c r="W291" s="310"/>
      <c r="X291" s="268"/>
      <c r="Y291" s="268"/>
      <c r="Z291" s="268"/>
      <c r="AA291" s="268"/>
      <c r="AB291" s="268"/>
      <c r="AC291" s="268"/>
    </row>
    <row r="292" spans="1:29" ht="24.75" customHeight="1">
      <c r="A292" s="268"/>
      <c r="B292" s="268"/>
      <c r="C292" s="268"/>
      <c r="D292" s="268"/>
      <c r="E292" s="268"/>
      <c r="F292" s="268"/>
      <c r="G292" s="268"/>
      <c r="H292" s="268"/>
      <c r="I292" s="268"/>
      <c r="J292" s="268"/>
      <c r="K292" s="268"/>
      <c r="L292" s="309"/>
      <c r="M292" s="268"/>
      <c r="N292" s="268"/>
      <c r="O292" s="310"/>
      <c r="P292" s="268"/>
      <c r="Q292" s="309"/>
      <c r="R292" s="268"/>
      <c r="S292" s="313"/>
      <c r="T292" s="313"/>
      <c r="U292" s="268"/>
      <c r="V292" s="309"/>
      <c r="W292" s="310"/>
      <c r="X292" s="268"/>
      <c r="Y292" s="268"/>
      <c r="Z292" s="268"/>
      <c r="AA292" s="268"/>
      <c r="AB292" s="268"/>
      <c r="AC292" s="268"/>
    </row>
    <row r="293" spans="1:29" ht="24.75" customHeight="1">
      <c r="A293" s="268"/>
      <c r="B293" s="268"/>
      <c r="C293" s="268"/>
      <c r="D293" s="268"/>
      <c r="E293" s="268"/>
      <c r="F293" s="268"/>
      <c r="G293" s="268"/>
      <c r="H293" s="268"/>
      <c r="I293" s="268"/>
      <c r="J293" s="268"/>
      <c r="K293" s="268"/>
      <c r="L293" s="309"/>
      <c r="M293" s="268"/>
      <c r="N293" s="268"/>
      <c r="O293" s="310"/>
      <c r="P293" s="268"/>
      <c r="Q293" s="309"/>
      <c r="R293" s="268"/>
      <c r="S293" s="313"/>
      <c r="T293" s="313"/>
      <c r="U293" s="268"/>
      <c r="V293" s="309"/>
      <c r="W293" s="310"/>
      <c r="X293" s="268"/>
      <c r="Y293" s="268"/>
      <c r="Z293" s="268"/>
      <c r="AA293" s="268"/>
      <c r="AB293" s="268"/>
      <c r="AC293" s="268"/>
    </row>
    <row r="294" spans="1:29" ht="24.75" customHeight="1">
      <c r="A294" s="268"/>
      <c r="B294" s="268"/>
      <c r="C294" s="268"/>
      <c r="D294" s="268"/>
      <c r="E294" s="268"/>
      <c r="F294" s="268"/>
      <c r="G294" s="268"/>
      <c r="H294" s="268"/>
      <c r="I294" s="268"/>
      <c r="J294" s="268"/>
      <c r="K294" s="268"/>
      <c r="L294" s="309"/>
      <c r="M294" s="268"/>
      <c r="N294" s="268"/>
      <c r="O294" s="310"/>
      <c r="P294" s="268"/>
      <c r="Q294" s="309"/>
      <c r="R294" s="268"/>
      <c r="S294" s="313"/>
      <c r="T294" s="313"/>
      <c r="U294" s="268"/>
      <c r="V294" s="309"/>
      <c r="W294" s="310"/>
      <c r="X294" s="268"/>
      <c r="Y294" s="268"/>
      <c r="Z294" s="268"/>
      <c r="AA294" s="268"/>
      <c r="AB294" s="268"/>
      <c r="AC294" s="268"/>
    </row>
    <row r="295" spans="1:29" ht="24.75" customHeight="1">
      <c r="A295" s="268"/>
      <c r="B295" s="268"/>
      <c r="C295" s="268"/>
      <c r="D295" s="268"/>
      <c r="E295" s="268"/>
      <c r="F295" s="268"/>
      <c r="G295" s="268"/>
      <c r="H295" s="268"/>
      <c r="I295" s="268"/>
      <c r="J295" s="268"/>
      <c r="K295" s="268"/>
      <c r="L295" s="309"/>
      <c r="M295" s="268"/>
      <c r="N295" s="268"/>
      <c r="O295" s="310"/>
      <c r="P295" s="268"/>
      <c r="Q295" s="309"/>
      <c r="R295" s="268"/>
      <c r="S295" s="313"/>
      <c r="T295" s="313"/>
      <c r="U295" s="268"/>
      <c r="V295" s="309"/>
      <c r="W295" s="310"/>
      <c r="X295" s="268"/>
      <c r="Y295" s="268"/>
      <c r="Z295" s="268"/>
      <c r="AA295" s="268"/>
      <c r="AB295" s="268"/>
      <c r="AC295" s="268"/>
    </row>
    <row r="296" spans="1:29" ht="24.75" customHeight="1">
      <c r="A296" s="268"/>
      <c r="B296" s="268"/>
      <c r="C296" s="268"/>
      <c r="D296" s="268"/>
      <c r="E296" s="268"/>
      <c r="F296" s="268"/>
      <c r="G296" s="268"/>
      <c r="H296" s="268"/>
      <c r="I296" s="268"/>
      <c r="J296" s="268"/>
      <c r="K296" s="268"/>
      <c r="L296" s="309"/>
      <c r="M296" s="268"/>
      <c r="N296" s="268"/>
      <c r="O296" s="310"/>
      <c r="P296" s="268"/>
      <c r="Q296" s="309"/>
      <c r="R296" s="268"/>
      <c r="S296" s="313"/>
      <c r="T296" s="313"/>
      <c r="U296" s="268"/>
      <c r="V296" s="309"/>
      <c r="W296" s="310"/>
      <c r="X296" s="268"/>
      <c r="Y296" s="268"/>
      <c r="Z296" s="268"/>
      <c r="AA296" s="268"/>
      <c r="AB296" s="268"/>
      <c r="AC296" s="268"/>
    </row>
    <row r="297" spans="1:29" ht="24.75" customHeight="1">
      <c r="A297" s="268"/>
      <c r="B297" s="268"/>
      <c r="C297" s="268"/>
      <c r="D297" s="268"/>
      <c r="E297" s="268"/>
      <c r="F297" s="268"/>
      <c r="G297" s="268"/>
      <c r="H297" s="268"/>
      <c r="I297" s="268"/>
      <c r="J297" s="268"/>
      <c r="K297" s="268"/>
      <c r="L297" s="309"/>
      <c r="M297" s="268"/>
      <c r="N297" s="268"/>
      <c r="O297" s="310"/>
      <c r="P297" s="268"/>
      <c r="Q297" s="309"/>
      <c r="R297" s="268"/>
      <c r="S297" s="313"/>
      <c r="T297" s="313"/>
      <c r="U297" s="268"/>
      <c r="V297" s="309"/>
      <c r="W297" s="310"/>
      <c r="X297" s="268"/>
      <c r="Y297" s="268"/>
      <c r="Z297" s="268"/>
      <c r="AA297" s="268"/>
      <c r="AB297" s="268"/>
      <c r="AC297" s="268"/>
    </row>
    <row r="298" spans="1:29" ht="24.75" customHeight="1">
      <c r="A298" s="268"/>
      <c r="B298" s="268"/>
      <c r="C298" s="268"/>
      <c r="D298" s="268"/>
      <c r="E298" s="268"/>
      <c r="F298" s="268"/>
      <c r="G298" s="268"/>
      <c r="H298" s="268"/>
      <c r="I298" s="268"/>
      <c r="J298" s="268"/>
      <c r="K298" s="268"/>
      <c r="L298" s="309"/>
      <c r="M298" s="268"/>
      <c r="N298" s="268"/>
      <c r="O298" s="310"/>
      <c r="P298" s="268"/>
      <c r="Q298" s="309"/>
      <c r="R298" s="268"/>
      <c r="S298" s="313"/>
      <c r="T298" s="313"/>
      <c r="U298" s="268"/>
      <c r="V298" s="309"/>
      <c r="W298" s="310"/>
      <c r="X298" s="268"/>
      <c r="Y298" s="268"/>
      <c r="Z298" s="268"/>
      <c r="AA298" s="268"/>
      <c r="AB298" s="268"/>
      <c r="AC298" s="268"/>
    </row>
    <row r="299" spans="1:29" ht="24.75" customHeight="1">
      <c r="A299" s="268"/>
      <c r="B299" s="268"/>
      <c r="C299" s="268"/>
      <c r="D299" s="268"/>
      <c r="E299" s="268"/>
      <c r="F299" s="268"/>
      <c r="G299" s="268"/>
      <c r="H299" s="268"/>
      <c r="I299" s="268"/>
      <c r="J299" s="268"/>
      <c r="K299" s="268"/>
      <c r="L299" s="309"/>
      <c r="M299" s="268"/>
      <c r="N299" s="268"/>
      <c r="O299" s="310"/>
      <c r="P299" s="268"/>
      <c r="Q299" s="309"/>
      <c r="R299" s="268"/>
      <c r="S299" s="313"/>
      <c r="T299" s="313"/>
      <c r="U299" s="268"/>
      <c r="V299" s="309"/>
      <c r="W299" s="310"/>
      <c r="X299" s="268"/>
      <c r="Y299" s="268"/>
      <c r="Z299" s="268"/>
      <c r="AA299" s="268"/>
      <c r="AB299" s="268"/>
      <c r="AC299" s="268"/>
    </row>
    <row r="300" spans="1:29" ht="24.75" customHeight="1">
      <c r="A300" s="268"/>
      <c r="B300" s="268"/>
      <c r="C300" s="268"/>
      <c r="D300" s="268"/>
      <c r="E300" s="268"/>
      <c r="F300" s="268"/>
      <c r="G300" s="268"/>
      <c r="H300" s="268"/>
      <c r="I300" s="268"/>
      <c r="J300" s="268"/>
      <c r="K300" s="268"/>
      <c r="L300" s="309"/>
      <c r="M300" s="268"/>
      <c r="N300" s="268"/>
      <c r="O300" s="310"/>
      <c r="P300" s="268"/>
      <c r="Q300" s="309"/>
      <c r="R300" s="268"/>
      <c r="S300" s="313"/>
      <c r="T300" s="313"/>
      <c r="U300" s="268"/>
      <c r="V300" s="309"/>
      <c r="W300" s="310"/>
      <c r="X300" s="268"/>
      <c r="Y300" s="268"/>
      <c r="Z300" s="268"/>
      <c r="AA300" s="268"/>
      <c r="AB300" s="268"/>
      <c r="AC300" s="268"/>
    </row>
    <row r="301" spans="1:29" ht="24.75" customHeight="1">
      <c r="A301" s="268"/>
      <c r="B301" s="268"/>
      <c r="C301" s="268"/>
      <c r="D301" s="268"/>
      <c r="E301" s="268"/>
      <c r="F301" s="268"/>
      <c r="G301" s="268"/>
      <c r="H301" s="268"/>
      <c r="I301" s="268"/>
      <c r="J301" s="268"/>
      <c r="K301" s="268"/>
      <c r="L301" s="309"/>
      <c r="M301" s="268"/>
      <c r="N301" s="268"/>
      <c r="O301" s="310"/>
      <c r="P301" s="268"/>
      <c r="Q301" s="309"/>
      <c r="R301" s="268"/>
      <c r="S301" s="313"/>
      <c r="T301" s="313"/>
      <c r="U301" s="248"/>
      <c r="V301" s="253"/>
      <c r="W301" s="254"/>
      <c r="X301" s="248"/>
      <c r="Y301" s="248"/>
      <c r="Z301" s="248"/>
      <c r="AA301" s="268"/>
      <c r="AB301" s="268"/>
      <c r="AC301" s="268"/>
    </row>
    <row r="302" spans="1:29" ht="24.75" customHeight="1">
      <c r="A302" s="268"/>
      <c r="B302" s="268"/>
      <c r="C302" s="268"/>
      <c r="D302" s="268"/>
      <c r="E302" s="268"/>
      <c r="F302" s="268"/>
      <c r="G302" s="268"/>
      <c r="H302" s="268"/>
      <c r="I302" s="268"/>
      <c r="J302" s="268"/>
      <c r="K302" s="268"/>
      <c r="L302" s="309"/>
      <c r="M302" s="268"/>
      <c r="N302" s="268"/>
      <c r="O302" s="310"/>
      <c r="P302" s="268"/>
      <c r="Q302" s="309"/>
      <c r="R302" s="268"/>
      <c r="S302" s="313"/>
      <c r="T302" s="313"/>
      <c r="U302" s="248"/>
      <c r="V302" s="253"/>
      <c r="W302" s="254"/>
      <c r="X302" s="248"/>
      <c r="Y302" s="248"/>
      <c r="Z302" s="248"/>
      <c r="AA302" s="268"/>
      <c r="AB302" s="268"/>
      <c r="AC302" s="268"/>
    </row>
    <row r="303" spans="1:29" ht="24.75" customHeight="1">
      <c r="A303" s="268"/>
      <c r="B303" s="268"/>
      <c r="C303" s="268"/>
      <c r="D303" s="268"/>
      <c r="E303" s="268"/>
      <c r="F303" s="268"/>
      <c r="G303" s="268"/>
      <c r="H303" s="268"/>
      <c r="I303" s="268"/>
      <c r="J303" s="268"/>
      <c r="K303" s="268"/>
      <c r="L303" s="309"/>
      <c r="M303" s="268"/>
      <c r="N303" s="268"/>
      <c r="O303" s="310"/>
      <c r="P303" s="268"/>
      <c r="Q303" s="309"/>
      <c r="R303" s="268"/>
      <c r="S303" s="313"/>
      <c r="T303" s="313"/>
      <c r="U303" s="248"/>
      <c r="V303" s="253"/>
      <c r="W303" s="254"/>
      <c r="X303" s="248"/>
      <c r="Y303" s="248"/>
      <c r="Z303" s="248"/>
      <c r="AA303" s="268"/>
      <c r="AB303" s="268"/>
      <c r="AC303" s="268"/>
    </row>
    <row r="304" spans="1:29" ht="24.75" customHeight="1">
      <c r="A304" s="268"/>
      <c r="B304" s="268"/>
      <c r="C304" s="268"/>
      <c r="D304" s="268"/>
      <c r="E304" s="268"/>
      <c r="F304" s="268"/>
      <c r="G304" s="268"/>
      <c r="H304" s="268"/>
      <c r="I304" s="268"/>
      <c r="J304" s="268"/>
      <c r="K304" s="268"/>
      <c r="L304" s="309"/>
      <c r="M304" s="268"/>
      <c r="N304" s="268"/>
      <c r="O304" s="310"/>
      <c r="P304" s="268"/>
      <c r="Q304" s="309"/>
      <c r="R304" s="268"/>
      <c r="S304" s="313"/>
      <c r="T304" s="313"/>
      <c r="U304" s="248"/>
      <c r="V304" s="253"/>
      <c r="W304" s="254"/>
      <c r="X304" s="248"/>
      <c r="Y304" s="248"/>
      <c r="Z304" s="248"/>
      <c r="AA304" s="268"/>
      <c r="AB304" s="268"/>
      <c r="AC304" s="268"/>
    </row>
    <row r="305" spans="1:29" ht="24.75" customHeight="1">
      <c r="A305" s="268"/>
      <c r="B305" s="268"/>
      <c r="C305" s="268"/>
      <c r="D305" s="268"/>
      <c r="E305" s="268"/>
      <c r="F305" s="268"/>
      <c r="G305" s="268"/>
      <c r="H305" s="268"/>
      <c r="I305" s="268"/>
      <c r="J305" s="268"/>
      <c r="K305" s="268"/>
      <c r="L305" s="309"/>
      <c r="M305" s="268"/>
      <c r="N305" s="268"/>
      <c r="O305" s="310"/>
      <c r="P305" s="268"/>
      <c r="Q305" s="309"/>
      <c r="R305" s="268"/>
      <c r="S305" s="313"/>
      <c r="T305" s="313"/>
      <c r="U305" s="248"/>
      <c r="V305" s="253"/>
      <c r="W305" s="254"/>
      <c r="X305" s="248"/>
      <c r="Y305" s="248"/>
      <c r="Z305" s="248"/>
      <c r="AA305" s="268"/>
      <c r="AB305" s="268"/>
      <c r="AC305" s="268"/>
    </row>
    <row r="306" spans="1:29" ht="24.75" customHeight="1">
      <c r="A306" s="268"/>
      <c r="B306" s="268"/>
      <c r="C306" s="268"/>
      <c r="D306" s="268"/>
      <c r="E306" s="268"/>
      <c r="F306" s="268"/>
      <c r="G306" s="268"/>
      <c r="H306" s="268"/>
      <c r="I306" s="268"/>
      <c r="J306" s="268"/>
      <c r="K306" s="268"/>
      <c r="L306" s="309"/>
      <c r="M306" s="268"/>
      <c r="N306" s="268"/>
      <c r="O306" s="310"/>
      <c r="P306" s="268"/>
      <c r="Q306" s="309"/>
      <c r="R306" s="268"/>
      <c r="S306" s="313"/>
      <c r="T306" s="313"/>
      <c r="U306" s="248"/>
      <c r="V306" s="253"/>
      <c r="W306" s="254"/>
      <c r="X306" s="248"/>
      <c r="Y306" s="248"/>
      <c r="Z306" s="248"/>
      <c r="AA306" s="268"/>
      <c r="AB306" s="268"/>
      <c r="AC306" s="268"/>
    </row>
    <row r="307" spans="1:29" ht="24.75" customHeight="1">
      <c r="A307" s="268"/>
      <c r="B307" s="268"/>
      <c r="C307" s="268"/>
      <c r="D307" s="268"/>
      <c r="E307" s="268"/>
      <c r="F307" s="268"/>
      <c r="G307" s="268"/>
      <c r="H307" s="268"/>
      <c r="I307" s="268"/>
      <c r="J307" s="268"/>
      <c r="K307" s="268"/>
      <c r="L307" s="309"/>
      <c r="M307" s="268"/>
      <c r="N307" s="268"/>
      <c r="O307" s="310"/>
      <c r="P307" s="268"/>
      <c r="Q307" s="309"/>
      <c r="R307" s="268"/>
      <c r="S307" s="313"/>
      <c r="T307" s="313"/>
      <c r="U307" s="248"/>
      <c r="V307" s="253"/>
      <c r="W307" s="254"/>
      <c r="X307" s="248"/>
      <c r="Y307" s="248"/>
      <c r="Z307" s="248"/>
      <c r="AA307" s="268"/>
      <c r="AB307" s="268"/>
      <c r="AC307" s="268"/>
    </row>
    <row r="308" spans="1:29" ht="24.75" customHeight="1">
      <c r="A308" s="268"/>
      <c r="B308" s="268"/>
      <c r="C308" s="268"/>
      <c r="D308" s="268"/>
      <c r="E308" s="268"/>
      <c r="F308" s="268"/>
      <c r="G308" s="268"/>
      <c r="H308" s="268"/>
      <c r="I308" s="268"/>
      <c r="J308" s="268"/>
      <c r="K308" s="268"/>
      <c r="L308" s="309"/>
      <c r="M308" s="268"/>
      <c r="N308" s="268"/>
      <c r="O308" s="310"/>
      <c r="P308" s="268"/>
      <c r="Q308" s="309"/>
      <c r="R308" s="268"/>
      <c r="S308" s="313"/>
      <c r="T308" s="313"/>
      <c r="U308" s="248"/>
      <c r="V308" s="253"/>
      <c r="W308" s="254"/>
      <c r="X308" s="248"/>
      <c r="Y308" s="248"/>
      <c r="Z308" s="248"/>
      <c r="AA308" s="268"/>
      <c r="AB308" s="268"/>
      <c r="AC308" s="268"/>
    </row>
    <row r="309" spans="1:29" ht="24.75" customHeight="1">
      <c r="A309" s="268"/>
      <c r="B309" s="268"/>
      <c r="C309" s="268"/>
      <c r="D309" s="268"/>
      <c r="E309" s="268"/>
      <c r="F309" s="268"/>
      <c r="G309" s="268"/>
      <c r="H309" s="268"/>
      <c r="I309" s="268"/>
      <c r="J309" s="268"/>
      <c r="K309" s="268"/>
      <c r="L309" s="309"/>
      <c r="M309" s="268"/>
      <c r="N309" s="268"/>
      <c r="O309" s="310"/>
      <c r="P309" s="268"/>
      <c r="Q309" s="309"/>
      <c r="R309" s="268"/>
      <c r="S309" s="313"/>
      <c r="T309" s="313"/>
      <c r="U309" s="248"/>
      <c r="V309" s="253"/>
      <c r="W309" s="254"/>
      <c r="X309" s="248"/>
      <c r="Y309" s="248"/>
      <c r="Z309" s="248"/>
      <c r="AA309" s="268"/>
      <c r="AB309" s="268"/>
      <c r="AC309" s="268"/>
    </row>
    <row r="310" spans="1:29" ht="24.75" customHeight="1">
      <c r="A310" s="268"/>
      <c r="B310" s="268"/>
      <c r="C310" s="268"/>
      <c r="D310" s="268"/>
      <c r="E310" s="268"/>
      <c r="F310" s="268"/>
      <c r="G310" s="268"/>
      <c r="H310" s="268"/>
      <c r="I310" s="268"/>
      <c r="J310" s="268"/>
      <c r="K310" s="268"/>
      <c r="L310" s="309"/>
      <c r="M310" s="268"/>
      <c r="N310" s="268"/>
      <c r="O310" s="310"/>
      <c r="P310" s="268"/>
      <c r="Q310" s="309"/>
      <c r="R310" s="268"/>
      <c r="S310" s="313"/>
      <c r="T310" s="313"/>
      <c r="U310" s="248"/>
      <c r="V310" s="253"/>
      <c r="W310" s="254"/>
      <c r="X310" s="248"/>
      <c r="Y310" s="248"/>
      <c r="Z310" s="248"/>
      <c r="AA310" s="268"/>
      <c r="AB310" s="268"/>
      <c r="AC310" s="268"/>
    </row>
    <row r="311" spans="1:29" ht="24.75" customHeight="1">
      <c r="A311" s="268"/>
      <c r="B311" s="268"/>
      <c r="C311" s="268"/>
      <c r="D311" s="268"/>
      <c r="E311" s="268"/>
      <c r="F311" s="268"/>
      <c r="G311" s="268"/>
      <c r="H311" s="268"/>
      <c r="I311" s="268"/>
      <c r="J311" s="268"/>
      <c r="K311" s="268"/>
      <c r="L311" s="309"/>
      <c r="M311" s="268"/>
      <c r="N311" s="268"/>
      <c r="O311" s="310"/>
      <c r="P311" s="268"/>
      <c r="Q311" s="309"/>
      <c r="R311" s="268"/>
      <c r="S311" s="313"/>
      <c r="T311" s="313"/>
      <c r="U311" s="248"/>
      <c r="V311" s="253"/>
      <c r="W311" s="254"/>
      <c r="X311" s="248"/>
      <c r="Y311" s="248"/>
      <c r="Z311" s="248"/>
      <c r="AA311" s="268"/>
      <c r="AB311" s="268"/>
      <c r="AC311" s="268"/>
    </row>
    <row r="312" spans="1:29" ht="24.75" customHeight="1">
      <c r="A312" s="268"/>
      <c r="B312" s="268"/>
      <c r="C312" s="268"/>
      <c r="D312" s="268"/>
      <c r="E312" s="268"/>
      <c r="F312" s="268"/>
      <c r="G312" s="268"/>
      <c r="H312" s="268"/>
      <c r="I312" s="268"/>
      <c r="J312" s="268"/>
      <c r="K312" s="268"/>
      <c r="L312" s="309"/>
      <c r="M312" s="268"/>
      <c r="N312" s="268"/>
      <c r="O312" s="310"/>
      <c r="P312" s="268"/>
      <c r="Q312" s="309"/>
      <c r="R312" s="268"/>
      <c r="S312" s="313"/>
      <c r="T312" s="313"/>
      <c r="U312" s="230"/>
      <c r="V312" s="256"/>
      <c r="W312" s="257"/>
      <c r="X312" s="230"/>
      <c r="Y312" s="230"/>
      <c r="Z312" s="230"/>
      <c r="AA312" s="268"/>
      <c r="AB312" s="268"/>
      <c r="AC312" s="268"/>
    </row>
    <row r="313" spans="1:29" ht="24.75" customHeight="1">
      <c r="A313" s="268"/>
      <c r="B313" s="268"/>
      <c r="C313" s="268"/>
      <c r="D313" s="268"/>
      <c r="E313" s="268"/>
      <c r="F313" s="268"/>
      <c r="G313" s="268"/>
      <c r="H313" s="268"/>
      <c r="I313" s="268"/>
      <c r="J313" s="268"/>
      <c r="K313" s="268"/>
      <c r="L313" s="309"/>
      <c r="M313" s="268"/>
      <c r="N313" s="268"/>
      <c r="O313" s="310"/>
      <c r="P313" s="268"/>
      <c r="Q313" s="309"/>
      <c r="R313" s="268"/>
      <c r="S313" s="313"/>
      <c r="T313" s="313"/>
      <c r="U313" s="292"/>
      <c r="V313" s="293"/>
      <c r="W313" s="294"/>
      <c r="X313" s="292"/>
      <c r="Y313" s="292"/>
      <c r="Z313" s="292"/>
      <c r="AA313" s="268"/>
      <c r="AB313" s="268"/>
      <c r="AC313" s="268"/>
    </row>
    <row r="314" spans="1:29" ht="24.75" customHeight="1">
      <c r="A314" s="268"/>
      <c r="B314" s="268"/>
      <c r="C314" s="268"/>
      <c r="D314" s="268"/>
      <c r="E314" s="268"/>
      <c r="F314" s="268"/>
      <c r="G314" s="268"/>
      <c r="H314" s="268"/>
      <c r="I314" s="268"/>
      <c r="J314" s="268"/>
      <c r="K314" s="268"/>
      <c r="L314" s="309"/>
      <c r="M314" s="268"/>
      <c r="N314" s="268"/>
      <c r="O314" s="310"/>
      <c r="P314" s="268"/>
      <c r="Q314" s="309"/>
      <c r="R314" s="268"/>
      <c r="S314" s="313"/>
      <c r="T314" s="313"/>
      <c r="U314" s="292"/>
      <c r="V314" s="293"/>
      <c r="W314" s="294"/>
      <c r="X314" s="292"/>
      <c r="Y314" s="292"/>
      <c r="Z314" s="292"/>
      <c r="AA314" s="268"/>
      <c r="AB314" s="268"/>
      <c r="AC314" s="268"/>
    </row>
    <row r="315" spans="1:29" ht="24.75" customHeight="1">
      <c r="A315" s="268"/>
      <c r="B315" s="268"/>
      <c r="C315" s="268"/>
      <c r="D315" s="268"/>
      <c r="E315" s="268"/>
      <c r="F315" s="268"/>
      <c r="G315" s="268"/>
      <c r="H315" s="268"/>
      <c r="I315" s="268"/>
      <c r="J315" s="268"/>
      <c r="K315" s="268"/>
      <c r="L315" s="309"/>
      <c r="M315" s="268"/>
      <c r="N315" s="268"/>
      <c r="O315" s="310"/>
      <c r="P315" s="268"/>
      <c r="Q315" s="309"/>
      <c r="R315" s="268"/>
      <c r="S315" s="313"/>
      <c r="T315" s="313"/>
      <c r="U315" s="230"/>
      <c r="V315" s="256"/>
      <c r="W315" s="257"/>
      <c r="X315" s="230"/>
      <c r="Y315" s="230"/>
      <c r="Z315" s="230"/>
      <c r="AA315" s="268"/>
      <c r="AB315" s="268"/>
      <c r="AC315" s="268"/>
    </row>
    <row r="316" spans="1:29" ht="24.75" customHeight="1">
      <c r="A316" s="268"/>
      <c r="B316" s="268"/>
      <c r="C316" s="268"/>
      <c r="D316" s="268"/>
      <c r="E316" s="268"/>
      <c r="F316" s="268"/>
      <c r="G316" s="268"/>
      <c r="H316" s="268"/>
      <c r="I316" s="268"/>
      <c r="J316" s="268"/>
      <c r="K316" s="268"/>
      <c r="L316" s="309"/>
      <c r="M316" s="268"/>
      <c r="N316" s="268"/>
      <c r="O316" s="310"/>
      <c r="P316" s="268"/>
      <c r="Q316" s="309"/>
      <c r="R316" s="268"/>
      <c r="S316" s="313"/>
      <c r="T316" s="313"/>
      <c r="U316" s="230"/>
      <c r="V316" s="256"/>
      <c r="W316" s="257"/>
      <c r="X316" s="230"/>
      <c r="Y316" s="230"/>
      <c r="Z316" s="230"/>
      <c r="AA316" s="268"/>
      <c r="AB316" s="268"/>
      <c r="AC316" s="268"/>
    </row>
    <row r="317" spans="1:29" ht="24.75" customHeight="1">
      <c r="A317" s="268"/>
      <c r="B317" s="268"/>
      <c r="C317" s="268"/>
      <c r="D317" s="268"/>
      <c r="E317" s="268"/>
      <c r="F317" s="268"/>
      <c r="G317" s="268"/>
      <c r="H317" s="268"/>
      <c r="I317" s="268"/>
      <c r="J317" s="268"/>
      <c r="K317" s="268"/>
      <c r="L317" s="309"/>
      <c r="M317" s="268"/>
      <c r="N317" s="268"/>
      <c r="O317" s="310"/>
      <c r="P317" s="268"/>
      <c r="Q317" s="309"/>
      <c r="R317" s="268"/>
      <c r="S317" s="313"/>
      <c r="T317" s="313"/>
      <c r="U317" s="268"/>
      <c r="V317" s="309"/>
      <c r="W317" s="310"/>
      <c r="X317" s="268"/>
      <c r="Y317" s="268"/>
      <c r="Z317" s="268"/>
      <c r="AA317" s="268"/>
      <c r="AB317" s="268"/>
      <c r="AC317" s="268"/>
    </row>
    <row r="318" spans="1:29" ht="24.75" customHeight="1">
      <c r="A318" s="268"/>
      <c r="B318" s="268"/>
      <c r="C318" s="268"/>
      <c r="D318" s="268"/>
      <c r="E318" s="268"/>
      <c r="F318" s="268"/>
      <c r="G318" s="268"/>
      <c r="H318" s="268"/>
      <c r="I318" s="268"/>
      <c r="J318" s="268"/>
      <c r="K318" s="268"/>
      <c r="L318" s="309"/>
      <c r="M318" s="268"/>
      <c r="N318" s="268"/>
      <c r="O318" s="310"/>
      <c r="P318" s="268"/>
      <c r="Q318" s="309"/>
      <c r="R318" s="268"/>
      <c r="S318" s="313"/>
      <c r="T318" s="313"/>
      <c r="U318" s="292"/>
      <c r="V318" s="293"/>
      <c r="W318" s="294"/>
      <c r="X318" s="292"/>
      <c r="Y318" s="292"/>
      <c r="Z318" s="292"/>
      <c r="AA318" s="268"/>
      <c r="AB318" s="268"/>
      <c r="AC318" s="268"/>
    </row>
    <row r="319" spans="1:29" ht="24.75" customHeight="1">
      <c r="A319" s="268"/>
      <c r="B319" s="268"/>
      <c r="C319" s="268"/>
      <c r="D319" s="268"/>
      <c r="E319" s="268"/>
      <c r="F319" s="268"/>
      <c r="G319" s="268"/>
      <c r="H319" s="268"/>
      <c r="I319" s="268"/>
      <c r="J319" s="268"/>
      <c r="K319" s="268"/>
      <c r="L319" s="309"/>
      <c r="M319" s="268"/>
      <c r="N319" s="268"/>
      <c r="O319" s="310"/>
      <c r="P319" s="268"/>
      <c r="Q319" s="309"/>
      <c r="R319" s="268"/>
      <c r="S319" s="313"/>
      <c r="T319" s="313"/>
      <c r="U319" s="292"/>
      <c r="V319" s="293"/>
      <c r="W319" s="294"/>
      <c r="X319" s="292"/>
      <c r="Y319" s="292"/>
      <c r="Z319" s="292"/>
      <c r="AA319" s="268"/>
      <c r="AB319" s="268"/>
      <c r="AC319" s="268"/>
    </row>
    <row r="320" spans="1:29" ht="24.75" customHeight="1">
      <c r="A320" s="268"/>
      <c r="B320" s="268"/>
      <c r="C320" s="268"/>
      <c r="D320" s="268"/>
      <c r="E320" s="268"/>
      <c r="F320" s="268"/>
      <c r="G320" s="268"/>
      <c r="H320" s="268"/>
      <c r="I320" s="268"/>
      <c r="J320" s="268"/>
      <c r="K320" s="268"/>
      <c r="L320" s="309"/>
      <c r="M320" s="268"/>
      <c r="N320" s="268"/>
      <c r="O320" s="310"/>
      <c r="P320" s="268"/>
      <c r="Q320" s="309"/>
      <c r="R320" s="268"/>
      <c r="S320" s="313"/>
      <c r="T320" s="313"/>
      <c r="U320" s="292"/>
      <c r="V320" s="293"/>
      <c r="W320" s="294"/>
      <c r="X320" s="292"/>
      <c r="Y320" s="292"/>
      <c r="Z320" s="292"/>
      <c r="AA320" s="268"/>
      <c r="AB320" s="268"/>
      <c r="AC320" s="268"/>
    </row>
    <row r="321" spans="1:29" ht="24.75" customHeight="1">
      <c r="A321" s="268"/>
      <c r="B321" s="268"/>
      <c r="C321" s="268"/>
      <c r="D321" s="268"/>
      <c r="E321" s="268"/>
      <c r="F321" s="268"/>
      <c r="G321" s="268"/>
      <c r="H321" s="268"/>
      <c r="I321" s="268"/>
      <c r="J321" s="268"/>
      <c r="K321" s="268"/>
      <c r="L321" s="309"/>
      <c r="M321" s="268"/>
      <c r="N321" s="268"/>
      <c r="O321" s="310"/>
      <c r="P321" s="268"/>
      <c r="Q321" s="309"/>
      <c r="R321" s="268"/>
      <c r="S321" s="313"/>
      <c r="T321" s="313"/>
      <c r="U321" s="292"/>
      <c r="V321" s="293"/>
      <c r="W321" s="294"/>
      <c r="X321" s="292"/>
      <c r="Y321" s="292"/>
      <c r="Z321" s="292"/>
      <c r="AA321" s="268"/>
      <c r="AB321" s="268"/>
      <c r="AC321" s="268"/>
    </row>
    <row r="322" spans="1:29" ht="24.75" customHeight="1">
      <c r="A322" s="268"/>
      <c r="B322" s="268"/>
      <c r="C322" s="268"/>
      <c r="D322" s="268"/>
      <c r="E322" s="268"/>
      <c r="F322" s="268"/>
      <c r="G322" s="268"/>
      <c r="H322" s="268"/>
      <c r="I322" s="268"/>
      <c r="J322" s="268"/>
      <c r="K322" s="268"/>
      <c r="L322" s="309"/>
      <c r="M322" s="268"/>
      <c r="N322" s="268"/>
      <c r="O322" s="310"/>
      <c r="P322" s="268"/>
      <c r="Q322" s="309"/>
      <c r="R322" s="268"/>
      <c r="S322" s="313"/>
      <c r="T322" s="313"/>
      <c r="U322" s="292"/>
      <c r="V322" s="293"/>
      <c r="W322" s="294"/>
      <c r="X322" s="292"/>
      <c r="Y322" s="292"/>
      <c r="Z322" s="292"/>
      <c r="AA322" s="268"/>
      <c r="AB322" s="268"/>
      <c r="AC322" s="268"/>
    </row>
    <row r="323" spans="1:29" ht="24.75" customHeight="1">
      <c r="A323" s="268"/>
      <c r="B323" s="268"/>
      <c r="C323" s="268"/>
      <c r="D323" s="268"/>
      <c r="E323" s="268"/>
      <c r="F323" s="268"/>
      <c r="G323" s="268"/>
      <c r="H323" s="268"/>
      <c r="I323" s="268"/>
      <c r="J323" s="268"/>
      <c r="K323" s="268"/>
      <c r="L323" s="309"/>
      <c r="M323" s="268"/>
      <c r="N323" s="268"/>
      <c r="O323" s="310"/>
      <c r="P323" s="268"/>
      <c r="Q323" s="309"/>
      <c r="R323" s="268"/>
      <c r="S323" s="313"/>
      <c r="T323" s="313"/>
      <c r="U323" s="268"/>
      <c r="V323" s="309"/>
      <c r="W323" s="310"/>
      <c r="X323" s="268"/>
      <c r="Y323" s="268"/>
      <c r="Z323" s="268"/>
      <c r="AA323" s="268"/>
      <c r="AB323" s="268"/>
      <c r="AC323" s="268"/>
    </row>
    <row r="324" spans="1:29" ht="24.75" customHeight="1">
      <c r="A324" s="268"/>
      <c r="B324" s="268"/>
      <c r="C324" s="268"/>
      <c r="D324" s="268"/>
      <c r="E324" s="268"/>
      <c r="F324" s="268"/>
      <c r="G324" s="268"/>
      <c r="H324" s="268"/>
      <c r="I324" s="268"/>
      <c r="J324" s="268"/>
      <c r="K324" s="268"/>
      <c r="L324" s="309"/>
      <c r="M324" s="268"/>
      <c r="N324" s="268"/>
      <c r="O324" s="310"/>
      <c r="P324" s="268"/>
      <c r="Q324" s="309"/>
      <c r="R324" s="268"/>
      <c r="S324" s="313"/>
      <c r="T324" s="313"/>
      <c r="U324" s="268"/>
      <c r="V324" s="309"/>
      <c r="W324" s="310"/>
      <c r="X324" s="268"/>
      <c r="Y324" s="268"/>
      <c r="Z324" s="268"/>
      <c r="AA324" s="268"/>
      <c r="AB324" s="268"/>
      <c r="AC324" s="268"/>
    </row>
    <row r="325" spans="1:29" ht="24.75" customHeight="1">
      <c r="A325" s="268"/>
      <c r="B325" s="268"/>
      <c r="C325" s="268"/>
      <c r="D325" s="268"/>
      <c r="E325" s="268"/>
      <c r="F325" s="268"/>
      <c r="G325" s="268"/>
      <c r="H325" s="268"/>
      <c r="I325" s="268"/>
      <c r="J325" s="268"/>
      <c r="K325" s="268"/>
      <c r="L325" s="309"/>
      <c r="M325" s="268"/>
      <c r="N325" s="268"/>
      <c r="O325" s="310"/>
      <c r="P325" s="268"/>
      <c r="Q325" s="309"/>
      <c r="R325" s="268"/>
      <c r="S325" s="313"/>
      <c r="T325" s="313"/>
      <c r="U325" s="230"/>
      <c r="V325" s="256"/>
      <c r="W325" s="257"/>
      <c r="X325" s="230"/>
      <c r="Y325" s="230"/>
      <c r="Z325" s="230"/>
      <c r="AA325" s="268"/>
      <c r="AB325" s="268"/>
      <c r="AC325" s="268"/>
    </row>
    <row r="326" spans="1:29" ht="24.75" customHeight="1">
      <c r="A326" s="268"/>
      <c r="B326" s="268"/>
      <c r="C326" s="268"/>
      <c r="D326" s="268"/>
      <c r="E326" s="268"/>
      <c r="F326" s="268"/>
      <c r="G326" s="268"/>
      <c r="H326" s="268"/>
      <c r="I326" s="268"/>
      <c r="J326" s="268"/>
      <c r="K326" s="268"/>
      <c r="L326" s="309"/>
      <c r="M326" s="268"/>
      <c r="N326" s="268"/>
      <c r="O326" s="310"/>
      <c r="P326" s="268"/>
      <c r="Q326" s="309"/>
      <c r="R326" s="268"/>
      <c r="S326" s="313"/>
      <c r="T326" s="313"/>
      <c r="U326" s="230"/>
      <c r="V326" s="256"/>
      <c r="W326" s="257"/>
      <c r="X326" s="230"/>
      <c r="Y326" s="230"/>
      <c r="Z326" s="230"/>
      <c r="AA326" s="268"/>
      <c r="AB326" s="268"/>
      <c r="AC326" s="268"/>
    </row>
    <row r="327" spans="1:29" ht="24.75" customHeight="1">
      <c r="A327" s="268"/>
      <c r="B327" s="268"/>
      <c r="C327" s="268"/>
      <c r="D327" s="268"/>
      <c r="E327" s="268"/>
      <c r="F327" s="268"/>
      <c r="G327" s="268"/>
      <c r="H327" s="268"/>
      <c r="I327" s="268"/>
      <c r="J327" s="268"/>
      <c r="K327" s="268"/>
      <c r="L327" s="309"/>
      <c r="M327" s="268"/>
      <c r="N327" s="268"/>
      <c r="O327" s="310"/>
      <c r="P327" s="268"/>
      <c r="Q327" s="309"/>
      <c r="R327" s="268"/>
      <c r="S327" s="313"/>
      <c r="T327" s="313"/>
      <c r="U327" s="230"/>
      <c r="V327" s="256"/>
      <c r="W327" s="257"/>
      <c r="X327" s="230"/>
      <c r="Y327" s="230"/>
      <c r="Z327" s="230"/>
      <c r="AA327" s="268"/>
      <c r="AB327" s="268"/>
      <c r="AC327" s="268"/>
    </row>
    <row r="328" spans="1:29" ht="24.75" customHeight="1">
      <c r="A328" s="268"/>
      <c r="B328" s="268"/>
      <c r="C328" s="268"/>
      <c r="D328" s="268"/>
      <c r="E328" s="268"/>
      <c r="F328" s="268"/>
      <c r="G328" s="268"/>
      <c r="H328" s="268"/>
      <c r="I328" s="268"/>
      <c r="J328" s="268"/>
      <c r="K328" s="268"/>
      <c r="L328" s="309"/>
      <c r="M328" s="268"/>
      <c r="N328" s="268"/>
      <c r="O328" s="310"/>
      <c r="P328" s="268"/>
      <c r="Q328" s="309"/>
      <c r="R328" s="268"/>
      <c r="S328" s="313"/>
      <c r="T328" s="313"/>
      <c r="U328" s="268"/>
      <c r="V328" s="309"/>
      <c r="W328" s="310"/>
      <c r="X328" s="268"/>
      <c r="Y328" s="268"/>
      <c r="Z328" s="268"/>
      <c r="AA328" s="268"/>
      <c r="AB328" s="268"/>
      <c r="AC328" s="268"/>
    </row>
    <row r="329" spans="1:29" ht="24.75" customHeight="1">
      <c r="A329" s="268"/>
      <c r="B329" s="268"/>
      <c r="C329" s="268"/>
      <c r="D329" s="268"/>
      <c r="E329" s="268"/>
      <c r="F329" s="268"/>
      <c r="G329" s="268"/>
      <c r="H329" s="268"/>
      <c r="I329" s="268"/>
      <c r="J329" s="268"/>
      <c r="K329" s="268"/>
      <c r="L329" s="309"/>
      <c r="M329" s="268"/>
      <c r="N329" s="268"/>
      <c r="O329" s="310"/>
      <c r="P329" s="268"/>
      <c r="Q329" s="309"/>
      <c r="R329" s="268"/>
      <c r="S329" s="313"/>
      <c r="T329" s="313"/>
      <c r="U329" s="230"/>
      <c r="V329" s="256"/>
      <c r="W329" s="257"/>
      <c r="X329" s="230"/>
      <c r="Y329" s="230"/>
      <c r="Z329" s="230"/>
      <c r="AA329" s="268"/>
      <c r="AB329" s="268"/>
      <c r="AC329" s="268"/>
    </row>
    <row r="330" spans="1:29" ht="24.75" customHeight="1">
      <c r="A330" s="268"/>
      <c r="B330" s="268"/>
      <c r="C330" s="268"/>
      <c r="D330" s="268"/>
      <c r="E330" s="268"/>
      <c r="F330" s="268"/>
      <c r="G330" s="268"/>
      <c r="H330" s="268"/>
      <c r="I330" s="268"/>
      <c r="J330" s="268"/>
      <c r="K330" s="268"/>
      <c r="L330" s="309"/>
      <c r="M330" s="268"/>
      <c r="N330" s="268"/>
      <c r="O330" s="310"/>
      <c r="P330" s="268"/>
      <c r="Q330" s="309"/>
      <c r="R330" s="268"/>
      <c r="S330" s="313"/>
      <c r="T330" s="313"/>
      <c r="U330" s="268"/>
      <c r="V330" s="309"/>
      <c r="W330" s="310"/>
      <c r="X330" s="268"/>
      <c r="Y330" s="268"/>
      <c r="Z330" s="268"/>
      <c r="AA330" s="268"/>
      <c r="AB330" s="268"/>
      <c r="AC330" s="268"/>
    </row>
    <row r="331" spans="1:29" ht="24.75" customHeight="1">
      <c r="A331" s="268"/>
      <c r="B331" s="268"/>
      <c r="C331" s="268"/>
      <c r="D331" s="268"/>
      <c r="E331" s="268"/>
      <c r="F331" s="268"/>
      <c r="G331" s="268"/>
      <c r="H331" s="268"/>
      <c r="I331" s="268"/>
      <c r="J331" s="268"/>
      <c r="K331" s="268"/>
      <c r="L331" s="309"/>
      <c r="M331" s="268"/>
      <c r="N331" s="268"/>
      <c r="O331" s="310"/>
      <c r="P331" s="268"/>
      <c r="Q331" s="309"/>
      <c r="R331" s="268"/>
      <c r="S331" s="313"/>
      <c r="T331" s="313"/>
      <c r="U331" s="230"/>
      <c r="V331" s="256"/>
      <c r="W331" s="257"/>
      <c r="X331" s="230"/>
      <c r="Y331" s="230"/>
      <c r="Z331" s="230"/>
      <c r="AA331" s="268"/>
      <c r="AB331" s="268"/>
      <c r="AC331" s="268"/>
    </row>
    <row r="332" spans="1:29" ht="24.75" customHeight="1">
      <c r="A332" s="268"/>
      <c r="B332" s="268"/>
      <c r="C332" s="268"/>
      <c r="D332" s="268"/>
      <c r="E332" s="268"/>
      <c r="F332" s="268"/>
      <c r="G332" s="268"/>
      <c r="H332" s="268"/>
      <c r="I332" s="268"/>
      <c r="J332" s="268"/>
      <c r="K332" s="268"/>
      <c r="L332" s="309"/>
      <c r="M332" s="268"/>
      <c r="N332" s="268"/>
      <c r="O332" s="310"/>
      <c r="P332" s="268"/>
      <c r="Q332" s="309"/>
      <c r="R332" s="268"/>
      <c r="S332" s="313"/>
      <c r="T332" s="313"/>
      <c r="U332" s="292"/>
      <c r="V332" s="293"/>
      <c r="W332" s="294"/>
      <c r="X332" s="292"/>
      <c r="Y332" s="292"/>
      <c r="Z332" s="292"/>
      <c r="AA332" s="268"/>
      <c r="AB332" s="268"/>
      <c r="AC332" s="268"/>
    </row>
    <row r="333" spans="1:29" ht="24.75" customHeight="1">
      <c r="A333" s="268"/>
      <c r="B333" s="268"/>
      <c r="C333" s="268"/>
      <c r="D333" s="268"/>
      <c r="E333" s="268"/>
      <c r="F333" s="268"/>
      <c r="G333" s="268"/>
      <c r="H333" s="268"/>
      <c r="I333" s="268"/>
      <c r="J333" s="268"/>
      <c r="K333" s="268"/>
      <c r="L333" s="309"/>
      <c r="M333" s="268"/>
      <c r="N333" s="268"/>
      <c r="O333" s="310"/>
      <c r="P333" s="268"/>
      <c r="Q333" s="309"/>
      <c r="R333" s="268"/>
      <c r="S333" s="313"/>
      <c r="T333" s="313"/>
      <c r="U333" s="292"/>
      <c r="V333" s="293"/>
      <c r="W333" s="294"/>
      <c r="X333" s="292"/>
      <c r="Y333" s="292"/>
      <c r="Z333" s="292"/>
      <c r="AA333" s="268"/>
      <c r="AB333" s="268"/>
      <c r="AC333" s="268"/>
    </row>
    <row r="334" spans="1:29" ht="24.75" customHeight="1">
      <c r="A334" s="268"/>
      <c r="B334" s="268"/>
      <c r="C334" s="268"/>
      <c r="D334" s="268"/>
      <c r="E334" s="268"/>
      <c r="F334" s="268"/>
      <c r="G334" s="268"/>
      <c r="H334" s="268"/>
      <c r="I334" s="268"/>
      <c r="J334" s="268"/>
      <c r="K334" s="268"/>
      <c r="L334" s="309"/>
      <c r="M334" s="268"/>
      <c r="N334" s="268"/>
      <c r="O334" s="310"/>
      <c r="P334" s="268"/>
      <c r="Q334" s="309"/>
      <c r="R334" s="268"/>
      <c r="S334" s="313"/>
      <c r="T334" s="313"/>
      <c r="U334" s="268"/>
      <c r="V334" s="309"/>
      <c r="W334" s="310"/>
      <c r="X334" s="268"/>
      <c r="Y334" s="268"/>
      <c r="Z334" s="268"/>
      <c r="AA334" s="268"/>
      <c r="AB334" s="268"/>
      <c r="AC334" s="268"/>
    </row>
    <row r="335" spans="1:29" ht="24.75" customHeight="1">
      <c r="A335" s="268"/>
      <c r="B335" s="268"/>
      <c r="C335" s="268"/>
      <c r="D335" s="268"/>
      <c r="E335" s="268"/>
      <c r="F335" s="268"/>
      <c r="G335" s="268"/>
      <c r="H335" s="268"/>
      <c r="I335" s="268"/>
      <c r="J335" s="268"/>
      <c r="K335" s="268"/>
      <c r="L335" s="309"/>
      <c r="M335" s="268"/>
      <c r="N335" s="268"/>
      <c r="O335" s="310"/>
      <c r="P335" s="268"/>
      <c r="Q335" s="309"/>
      <c r="R335" s="268"/>
      <c r="S335" s="313"/>
      <c r="T335" s="313"/>
      <c r="U335" s="268"/>
      <c r="V335" s="309"/>
      <c r="W335" s="310"/>
      <c r="X335" s="268"/>
      <c r="Y335" s="268"/>
      <c r="Z335" s="268"/>
      <c r="AA335" s="268"/>
      <c r="AB335" s="268"/>
      <c r="AC335" s="268"/>
    </row>
    <row r="336" spans="1:29" ht="24.75" customHeight="1">
      <c r="A336" s="268"/>
      <c r="B336" s="268"/>
      <c r="C336" s="268"/>
      <c r="D336" s="268"/>
      <c r="E336" s="268"/>
      <c r="F336" s="268"/>
      <c r="G336" s="268"/>
      <c r="H336" s="268"/>
      <c r="I336" s="268"/>
      <c r="J336" s="268"/>
      <c r="K336" s="268"/>
      <c r="L336" s="309"/>
      <c r="M336" s="268"/>
      <c r="N336" s="268"/>
      <c r="O336" s="310"/>
      <c r="P336" s="268"/>
      <c r="Q336" s="309"/>
      <c r="R336" s="268"/>
      <c r="S336" s="313"/>
      <c r="T336" s="313"/>
      <c r="U336" s="268"/>
      <c r="V336" s="309"/>
      <c r="W336" s="310"/>
      <c r="X336" s="268"/>
      <c r="Y336" s="268"/>
      <c r="Z336" s="268"/>
      <c r="AA336" s="268"/>
      <c r="AB336" s="268"/>
      <c r="AC336" s="268"/>
    </row>
    <row r="337" spans="1:29" ht="24.75" customHeight="1">
      <c r="A337" s="268"/>
      <c r="B337" s="268"/>
      <c r="C337" s="268"/>
      <c r="D337" s="268"/>
      <c r="E337" s="268"/>
      <c r="F337" s="268"/>
      <c r="G337" s="268"/>
      <c r="H337" s="268"/>
      <c r="I337" s="268"/>
      <c r="J337" s="268"/>
      <c r="K337" s="268"/>
      <c r="L337" s="309"/>
      <c r="M337" s="268"/>
      <c r="N337" s="268"/>
      <c r="O337" s="310"/>
      <c r="P337" s="268"/>
      <c r="Q337" s="309"/>
      <c r="R337" s="268"/>
      <c r="S337" s="313"/>
      <c r="T337" s="313"/>
      <c r="U337" s="268"/>
      <c r="V337" s="309"/>
      <c r="W337" s="310"/>
      <c r="X337" s="268"/>
      <c r="Y337" s="268"/>
      <c r="Z337" s="268"/>
      <c r="AA337" s="268"/>
      <c r="AB337" s="268"/>
      <c r="AC337" s="268"/>
    </row>
    <row r="338" spans="1:29" ht="24.75" customHeight="1">
      <c r="A338" s="268"/>
      <c r="B338" s="268"/>
      <c r="C338" s="268"/>
      <c r="D338" s="268"/>
      <c r="E338" s="268"/>
      <c r="F338" s="268"/>
      <c r="G338" s="268"/>
      <c r="H338" s="268"/>
      <c r="I338" s="268"/>
      <c r="J338" s="268"/>
      <c r="K338" s="268"/>
      <c r="L338" s="309"/>
      <c r="M338" s="268"/>
      <c r="N338" s="268"/>
      <c r="O338" s="310"/>
      <c r="P338" s="268"/>
      <c r="Q338" s="309"/>
      <c r="R338" s="268"/>
      <c r="S338" s="313"/>
      <c r="T338" s="313"/>
      <c r="U338" s="268"/>
      <c r="V338" s="309"/>
      <c r="W338" s="310"/>
      <c r="X338" s="268"/>
      <c r="Y338" s="268"/>
      <c r="Z338" s="268"/>
      <c r="AA338" s="268"/>
      <c r="AB338" s="268"/>
      <c r="AC338" s="268"/>
    </row>
    <row r="339" spans="1:29" ht="24.75" customHeight="1">
      <c r="A339" s="268"/>
      <c r="B339" s="268"/>
      <c r="C339" s="268"/>
      <c r="D339" s="268"/>
      <c r="E339" s="268"/>
      <c r="F339" s="268"/>
      <c r="G339" s="268"/>
      <c r="H339" s="268"/>
      <c r="I339" s="268"/>
      <c r="J339" s="268"/>
      <c r="K339" s="268"/>
      <c r="L339" s="309"/>
      <c r="M339" s="268"/>
      <c r="N339" s="268"/>
      <c r="O339" s="310"/>
      <c r="P339" s="268"/>
      <c r="Q339" s="309"/>
      <c r="R339" s="268"/>
      <c r="S339" s="313"/>
      <c r="T339" s="313"/>
      <c r="U339" s="230"/>
      <c r="V339" s="256"/>
      <c r="W339" s="257"/>
      <c r="X339" s="230"/>
      <c r="Y339" s="230"/>
      <c r="Z339" s="230"/>
      <c r="AA339" s="268"/>
      <c r="AB339" s="268"/>
      <c r="AC339" s="268"/>
    </row>
    <row r="340" spans="1:29" ht="24.75" customHeight="1">
      <c r="A340" s="268"/>
      <c r="B340" s="268"/>
      <c r="C340" s="268"/>
      <c r="D340" s="268"/>
      <c r="E340" s="268"/>
      <c r="F340" s="268"/>
      <c r="G340" s="268"/>
      <c r="H340" s="268"/>
      <c r="I340" s="268"/>
      <c r="J340" s="268"/>
      <c r="K340" s="268"/>
      <c r="L340" s="309"/>
      <c r="M340" s="268"/>
      <c r="N340" s="268"/>
      <c r="O340" s="310"/>
      <c r="P340" s="268"/>
      <c r="Q340" s="309"/>
      <c r="R340" s="268"/>
      <c r="S340" s="313"/>
      <c r="T340" s="313"/>
      <c r="U340" s="268"/>
      <c r="V340" s="309"/>
      <c r="W340" s="310"/>
      <c r="X340" s="268"/>
      <c r="Y340" s="268"/>
      <c r="Z340" s="268"/>
      <c r="AA340" s="268"/>
      <c r="AB340" s="268"/>
      <c r="AC340" s="268"/>
    </row>
    <row r="341" spans="1:29" ht="24.75" customHeight="1">
      <c r="A341" s="268"/>
      <c r="B341" s="268"/>
      <c r="C341" s="268"/>
      <c r="D341" s="268"/>
      <c r="E341" s="268"/>
      <c r="F341" s="268"/>
      <c r="G341" s="268"/>
      <c r="H341" s="268"/>
      <c r="I341" s="268"/>
      <c r="J341" s="268"/>
      <c r="K341" s="268"/>
      <c r="L341" s="309"/>
      <c r="M341" s="268"/>
      <c r="N341" s="268"/>
      <c r="O341" s="310"/>
      <c r="P341" s="268"/>
      <c r="Q341" s="309"/>
      <c r="R341" s="268"/>
      <c r="S341" s="313"/>
      <c r="T341" s="313"/>
      <c r="U341" s="268"/>
      <c r="V341" s="309"/>
      <c r="W341" s="310"/>
      <c r="X341" s="268"/>
      <c r="Y341" s="268"/>
      <c r="Z341" s="268"/>
      <c r="AA341" s="268"/>
      <c r="AB341" s="268"/>
      <c r="AC341" s="268"/>
    </row>
    <row r="342" spans="1:29" ht="24.75" customHeight="1">
      <c r="A342" s="268"/>
      <c r="B342" s="268"/>
      <c r="C342" s="268"/>
      <c r="D342" s="268"/>
      <c r="E342" s="268"/>
      <c r="F342" s="268"/>
      <c r="G342" s="268"/>
      <c r="H342" s="268"/>
      <c r="I342" s="268"/>
      <c r="J342" s="268"/>
      <c r="K342" s="268"/>
      <c r="L342" s="309"/>
      <c r="M342" s="268"/>
      <c r="N342" s="268"/>
      <c r="O342" s="310"/>
      <c r="P342" s="268"/>
      <c r="Q342" s="309"/>
      <c r="R342" s="268"/>
      <c r="S342" s="313"/>
      <c r="T342" s="313"/>
      <c r="U342" s="230"/>
      <c r="V342" s="256"/>
      <c r="W342" s="257"/>
      <c r="X342" s="230"/>
      <c r="Y342" s="230"/>
      <c r="Z342" s="230"/>
      <c r="AA342" s="268"/>
      <c r="AB342" s="268"/>
      <c r="AC342" s="268"/>
    </row>
    <row r="343" spans="1:29" ht="24.75" customHeight="1">
      <c r="A343" s="268"/>
      <c r="B343" s="268"/>
      <c r="C343" s="268"/>
      <c r="D343" s="268"/>
      <c r="E343" s="268"/>
      <c r="F343" s="268"/>
      <c r="G343" s="268"/>
      <c r="H343" s="268"/>
      <c r="I343" s="268"/>
      <c r="J343" s="268"/>
      <c r="K343" s="268"/>
      <c r="L343" s="309"/>
      <c r="M343" s="268"/>
      <c r="N343" s="268"/>
      <c r="O343" s="310"/>
      <c r="P343" s="268"/>
      <c r="Q343" s="309"/>
      <c r="R343" s="268"/>
      <c r="S343" s="313"/>
      <c r="T343" s="313"/>
      <c r="U343" s="268"/>
      <c r="V343" s="309"/>
      <c r="W343" s="310"/>
      <c r="X343" s="268"/>
      <c r="Y343" s="268"/>
      <c r="Z343" s="268"/>
      <c r="AA343" s="268"/>
      <c r="AB343" s="268"/>
      <c r="AC343" s="268"/>
    </row>
    <row r="344" spans="1:29" ht="24.75" customHeight="1">
      <c r="A344" s="268"/>
      <c r="B344" s="268"/>
      <c r="C344" s="268"/>
      <c r="D344" s="268"/>
      <c r="E344" s="268"/>
      <c r="F344" s="268"/>
      <c r="G344" s="268"/>
      <c r="H344" s="268"/>
      <c r="I344" s="268"/>
      <c r="J344" s="268"/>
      <c r="K344" s="268"/>
      <c r="L344" s="309"/>
      <c r="M344" s="268"/>
      <c r="N344" s="268"/>
      <c r="O344" s="310"/>
      <c r="P344" s="268"/>
      <c r="Q344" s="309"/>
      <c r="R344" s="268"/>
      <c r="S344" s="313"/>
      <c r="T344" s="313"/>
      <c r="U344" s="268"/>
      <c r="V344" s="309"/>
      <c r="W344" s="310"/>
      <c r="X344" s="268"/>
      <c r="Y344" s="268"/>
      <c r="Z344" s="268"/>
      <c r="AA344" s="268"/>
      <c r="AB344" s="268"/>
      <c r="AC344" s="268"/>
    </row>
    <row r="345" spans="1:29" ht="24.75" customHeight="1">
      <c r="A345" s="268"/>
      <c r="B345" s="268"/>
      <c r="C345" s="268"/>
      <c r="D345" s="268"/>
      <c r="E345" s="268"/>
      <c r="F345" s="268"/>
      <c r="G345" s="268"/>
      <c r="H345" s="268"/>
      <c r="I345" s="268"/>
      <c r="J345" s="268"/>
      <c r="K345" s="268"/>
      <c r="L345" s="309"/>
      <c r="M345" s="268"/>
      <c r="N345" s="268"/>
      <c r="O345" s="310"/>
      <c r="P345" s="268"/>
      <c r="Q345" s="309"/>
      <c r="R345" s="268"/>
      <c r="S345" s="313"/>
      <c r="T345" s="313"/>
      <c r="U345" s="230"/>
      <c r="V345" s="256"/>
      <c r="W345" s="257"/>
      <c r="X345" s="230"/>
      <c r="Y345" s="230"/>
      <c r="Z345" s="230"/>
      <c r="AA345" s="268"/>
      <c r="AB345" s="268"/>
      <c r="AC345" s="268"/>
    </row>
    <row r="346" spans="1:29" ht="24.75" customHeight="1">
      <c r="A346" s="268"/>
      <c r="B346" s="268"/>
      <c r="C346" s="268"/>
      <c r="D346" s="268"/>
      <c r="E346" s="268"/>
      <c r="F346" s="268"/>
      <c r="G346" s="268"/>
      <c r="H346" s="268"/>
      <c r="I346" s="268"/>
      <c r="J346" s="268"/>
      <c r="K346" s="268"/>
      <c r="L346" s="309"/>
      <c r="M346" s="268"/>
      <c r="N346" s="268"/>
      <c r="O346" s="310"/>
      <c r="P346" s="268"/>
      <c r="Q346" s="309"/>
      <c r="R346" s="268"/>
      <c r="S346" s="313"/>
      <c r="T346" s="313"/>
      <c r="U346" s="268"/>
      <c r="V346" s="309"/>
      <c r="W346" s="310"/>
      <c r="X346" s="268"/>
      <c r="Y346" s="268"/>
      <c r="Z346" s="268"/>
      <c r="AA346" s="268"/>
      <c r="AB346" s="268"/>
      <c r="AC346" s="268"/>
    </row>
    <row r="347" spans="1:29" ht="24.75" customHeight="1">
      <c r="A347" s="268"/>
      <c r="B347" s="268"/>
      <c r="C347" s="268"/>
      <c r="D347" s="268"/>
      <c r="E347" s="268"/>
      <c r="F347" s="268"/>
      <c r="G347" s="268"/>
      <c r="H347" s="268"/>
      <c r="I347" s="268"/>
      <c r="J347" s="268"/>
      <c r="K347" s="268"/>
      <c r="L347" s="309"/>
      <c r="M347" s="268"/>
      <c r="N347" s="268"/>
      <c r="O347" s="310"/>
      <c r="P347" s="268"/>
      <c r="Q347" s="309"/>
      <c r="R347" s="268"/>
      <c r="S347" s="313"/>
      <c r="T347" s="313"/>
      <c r="U347" s="268"/>
      <c r="V347" s="309"/>
      <c r="W347" s="310"/>
      <c r="X347" s="268"/>
      <c r="Y347" s="268"/>
      <c r="Z347" s="268"/>
      <c r="AA347" s="268"/>
      <c r="AB347" s="268"/>
      <c r="AC347" s="268"/>
    </row>
    <row r="348" spans="1:29" ht="24.75" customHeight="1">
      <c r="A348" s="268"/>
      <c r="B348" s="268"/>
      <c r="C348" s="268"/>
      <c r="D348" s="268"/>
      <c r="E348" s="268"/>
      <c r="F348" s="268"/>
      <c r="G348" s="268"/>
      <c r="H348" s="268"/>
      <c r="I348" s="268"/>
      <c r="J348" s="268"/>
      <c r="K348" s="268"/>
      <c r="L348" s="309"/>
      <c r="M348" s="268"/>
      <c r="N348" s="268"/>
      <c r="O348" s="310"/>
      <c r="P348" s="268"/>
      <c r="Q348" s="309"/>
      <c r="R348" s="268"/>
      <c r="S348" s="313"/>
      <c r="T348" s="313"/>
      <c r="U348" s="230"/>
      <c r="V348" s="256"/>
      <c r="W348" s="257"/>
      <c r="X348" s="230"/>
      <c r="Y348" s="230"/>
      <c r="Z348" s="230"/>
      <c r="AA348" s="268"/>
      <c r="AB348" s="268"/>
      <c r="AC348" s="268"/>
    </row>
    <row r="349" spans="1:29" ht="24.75" customHeight="1">
      <c r="A349" s="268"/>
      <c r="B349" s="268"/>
      <c r="C349" s="268"/>
      <c r="D349" s="268"/>
      <c r="E349" s="268"/>
      <c r="F349" s="268"/>
      <c r="G349" s="268"/>
      <c r="H349" s="268"/>
      <c r="I349" s="268"/>
      <c r="J349" s="268"/>
      <c r="K349" s="268"/>
      <c r="L349" s="309"/>
      <c r="M349" s="268"/>
      <c r="N349" s="268"/>
      <c r="O349" s="310"/>
      <c r="P349" s="268"/>
      <c r="Q349" s="309"/>
      <c r="R349" s="268"/>
      <c r="S349" s="313"/>
      <c r="T349" s="313"/>
      <c r="U349" s="248"/>
      <c r="V349" s="253"/>
      <c r="W349" s="254"/>
      <c r="X349" s="248"/>
      <c r="Y349" s="248"/>
      <c r="Z349" s="248"/>
      <c r="AA349" s="268"/>
      <c r="AB349" s="268"/>
      <c r="AC349" s="268"/>
    </row>
    <row r="350" spans="1:29" ht="24.75" customHeight="1">
      <c r="A350" s="268"/>
      <c r="B350" s="268"/>
      <c r="C350" s="268"/>
      <c r="D350" s="268"/>
      <c r="E350" s="268"/>
      <c r="F350" s="268"/>
      <c r="G350" s="268"/>
      <c r="H350" s="268"/>
      <c r="I350" s="268"/>
      <c r="J350" s="268"/>
      <c r="K350" s="268"/>
      <c r="L350" s="309"/>
      <c r="M350" s="268"/>
      <c r="N350" s="268"/>
      <c r="O350" s="310"/>
      <c r="P350" s="268"/>
      <c r="Q350" s="309"/>
      <c r="R350" s="268"/>
      <c r="S350" s="313"/>
      <c r="T350" s="313"/>
      <c r="U350" s="268"/>
      <c r="V350" s="309"/>
      <c r="W350" s="310"/>
      <c r="X350" s="268"/>
      <c r="Y350" s="268"/>
      <c r="Z350" s="268"/>
      <c r="AA350" s="268"/>
      <c r="AB350" s="268"/>
      <c r="AC350" s="268"/>
    </row>
    <row r="351" spans="1:29" ht="24.75" customHeight="1">
      <c r="A351" s="268"/>
      <c r="B351" s="268"/>
      <c r="C351" s="268"/>
      <c r="D351" s="268"/>
      <c r="E351" s="268"/>
      <c r="F351" s="268"/>
      <c r="G351" s="268"/>
      <c r="H351" s="268"/>
      <c r="I351" s="268"/>
      <c r="J351" s="268"/>
      <c r="K351" s="268"/>
      <c r="L351" s="309"/>
      <c r="M351" s="268"/>
      <c r="N351" s="268"/>
      <c r="O351" s="310"/>
      <c r="P351" s="268"/>
      <c r="Q351" s="309"/>
      <c r="R351" s="268"/>
      <c r="S351" s="313"/>
      <c r="T351" s="313"/>
      <c r="U351" s="268"/>
      <c r="V351" s="309"/>
      <c r="W351" s="310"/>
      <c r="X351" s="268"/>
      <c r="Y351" s="268"/>
      <c r="Z351" s="268"/>
      <c r="AA351" s="268"/>
      <c r="AB351" s="268"/>
      <c r="AC351" s="268"/>
    </row>
    <row r="352" spans="1:29" ht="24.75" customHeight="1">
      <c r="A352" s="268"/>
      <c r="B352" s="268"/>
      <c r="C352" s="268"/>
      <c r="D352" s="268"/>
      <c r="E352" s="268"/>
      <c r="F352" s="268"/>
      <c r="G352" s="268"/>
      <c r="H352" s="268"/>
      <c r="I352" s="268"/>
      <c r="J352" s="268"/>
      <c r="K352" s="268"/>
      <c r="L352" s="309"/>
      <c r="M352" s="268"/>
      <c r="N352" s="268"/>
      <c r="O352" s="310"/>
      <c r="P352" s="268"/>
      <c r="Q352" s="309"/>
      <c r="R352" s="268"/>
      <c r="S352" s="313"/>
      <c r="T352" s="313"/>
      <c r="U352" s="248"/>
      <c r="V352" s="253"/>
      <c r="W352" s="254"/>
      <c r="X352" s="248"/>
      <c r="Y352" s="248"/>
      <c r="Z352" s="248"/>
      <c r="AA352" s="268"/>
      <c r="AB352" s="268"/>
      <c r="AC352" s="268"/>
    </row>
    <row r="353" spans="1:29" ht="24.75" customHeight="1">
      <c r="A353" s="268"/>
      <c r="B353" s="268"/>
      <c r="C353" s="268"/>
      <c r="D353" s="268"/>
      <c r="E353" s="268"/>
      <c r="F353" s="268"/>
      <c r="G353" s="268"/>
      <c r="H353" s="268"/>
      <c r="I353" s="268"/>
      <c r="J353" s="268"/>
      <c r="K353" s="268"/>
      <c r="L353" s="309"/>
      <c r="M353" s="268"/>
      <c r="N353" s="268"/>
      <c r="O353" s="310"/>
      <c r="P353" s="268"/>
      <c r="Q353" s="309"/>
      <c r="R353" s="268"/>
      <c r="S353" s="313"/>
      <c r="T353" s="313"/>
      <c r="U353" s="268"/>
      <c r="V353" s="309"/>
      <c r="W353" s="310"/>
      <c r="X353" s="268"/>
      <c r="Y353" s="268"/>
      <c r="Z353" s="268"/>
      <c r="AA353" s="268"/>
      <c r="AB353" s="268"/>
      <c r="AC353" s="268"/>
    </row>
    <row r="354" spans="1:29" ht="24.75" customHeight="1">
      <c r="A354" s="268"/>
      <c r="B354" s="268"/>
      <c r="C354" s="268"/>
      <c r="D354" s="268"/>
      <c r="E354" s="268"/>
      <c r="F354" s="268"/>
      <c r="G354" s="268"/>
      <c r="H354" s="268"/>
      <c r="I354" s="268"/>
      <c r="J354" s="268"/>
      <c r="K354" s="268"/>
      <c r="L354" s="309"/>
      <c r="M354" s="268"/>
      <c r="N354" s="268"/>
      <c r="O354" s="310"/>
      <c r="P354" s="268"/>
      <c r="Q354" s="309"/>
      <c r="R354" s="268"/>
      <c r="S354" s="313"/>
      <c r="T354" s="313"/>
      <c r="U354" s="248"/>
      <c r="V354" s="253"/>
      <c r="W354" s="254"/>
      <c r="X354" s="248"/>
      <c r="Y354" s="248"/>
      <c r="Z354" s="248"/>
      <c r="AA354" s="268"/>
      <c r="AB354" s="268"/>
      <c r="AC354" s="268"/>
    </row>
    <row r="355" spans="1:29" ht="24.75" customHeight="1">
      <c r="A355" s="268"/>
      <c r="B355" s="268"/>
      <c r="C355" s="268"/>
      <c r="D355" s="268"/>
      <c r="E355" s="268"/>
      <c r="F355" s="268"/>
      <c r="G355" s="268"/>
      <c r="H355" s="268"/>
      <c r="I355" s="268"/>
      <c r="J355" s="268"/>
      <c r="K355" s="268"/>
      <c r="L355" s="309"/>
      <c r="M355" s="268"/>
      <c r="N355" s="268"/>
      <c r="O355" s="310"/>
      <c r="P355" s="268"/>
      <c r="Q355" s="309"/>
      <c r="R355" s="268"/>
      <c r="S355" s="313"/>
      <c r="T355" s="313"/>
      <c r="U355" s="248"/>
      <c r="V355" s="253"/>
      <c r="W355" s="254"/>
      <c r="X355" s="248"/>
      <c r="Y355" s="248"/>
      <c r="Z355" s="248"/>
      <c r="AA355" s="268"/>
      <c r="AB355" s="268"/>
      <c r="AC355" s="268"/>
    </row>
    <row r="356" spans="1:29" ht="24.75" customHeight="1">
      <c r="A356" s="268"/>
      <c r="B356" s="268"/>
      <c r="C356" s="268"/>
      <c r="D356" s="268"/>
      <c r="E356" s="268"/>
      <c r="F356" s="268"/>
      <c r="G356" s="268"/>
      <c r="H356" s="268"/>
      <c r="I356" s="268"/>
      <c r="J356" s="268"/>
      <c r="K356" s="268"/>
      <c r="L356" s="309"/>
      <c r="M356" s="268"/>
      <c r="N356" s="268"/>
      <c r="O356" s="310"/>
      <c r="P356" s="268"/>
      <c r="Q356" s="309"/>
      <c r="R356" s="268"/>
      <c r="S356" s="313"/>
      <c r="T356" s="313"/>
      <c r="U356" s="268"/>
      <c r="V356" s="309"/>
      <c r="W356" s="310"/>
      <c r="X356" s="268"/>
      <c r="Y356" s="268"/>
      <c r="Z356" s="268"/>
      <c r="AA356" s="268"/>
      <c r="AB356" s="268"/>
      <c r="AC356" s="268"/>
    </row>
    <row r="357" spans="1:29" ht="24.75" customHeight="1">
      <c r="A357" s="268"/>
      <c r="B357" s="268"/>
      <c r="C357" s="268"/>
      <c r="D357" s="268"/>
      <c r="E357" s="268"/>
      <c r="F357" s="268"/>
      <c r="G357" s="268"/>
      <c r="H357" s="268"/>
      <c r="I357" s="268"/>
      <c r="J357" s="268"/>
      <c r="K357" s="268"/>
      <c r="L357" s="309"/>
      <c r="M357" s="268"/>
      <c r="N357" s="268"/>
      <c r="O357" s="310"/>
      <c r="P357" s="268"/>
      <c r="Q357" s="309"/>
      <c r="R357" s="268"/>
      <c r="S357" s="313"/>
      <c r="T357" s="313"/>
      <c r="U357" s="268"/>
      <c r="V357" s="309"/>
      <c r="W357" s="310"/>
      <c r="X357" s="268"/>
      <c r="Y357" s="268"/>
      <c r="Z357" s="268"/>
      <c r="AA357" s="268"/>
      <c r="AB357" s="268"/>
      <c r="AC357" s="268"/>
    </row>
    <row r="358" spans="1:29" ht="24.75" customHeight="1">
      <c r="A358" s="268"/>
      <c r="B358" s="268"/>
      <c r="C358" s="268"/>
      <c r="D358" s="268"/>
      <c r="E358" s="268"/>
      <c r="F358" s="268"/>
      <c r="G358" s="268"/>
      <c r="H358" s="268"/>
      <c r="I358" s="268"/>
      <c r="J358" s="268"/>
      <c r="K358" s="268"/>
      <c r="L358" s="309"/>
      <c r="M358" s="268"/>
      <c r="N358" s="268"/>
      <c r="O358" s="310"/>
      <c r="P358" s="268"/>
      <c r="Q358" s="309"/>
      <c r="R358" s="268"/>
      <c r="S358" s="313"/>
      <c r="T358" s="313"/>
      <c r="U358" s="248"/>
      <c r="V358" s="253"/>
      <c r="W358" s="254"/>
      <c r="X358" s="248"/>
      <c r="Y358" s="248"/>
      <c r="Z358" s="248"/>
      <c r="AA358" s="268"/>
      <c r="AB358" s="268"/>
      <c r="AC358" s="268"/>
    </row>
    <row r="359" spans="1:29" ht="24.75" customHeight="1">
      <c r="A359" s="268"/>
      <c r="B359" s="268"/>
      <c r="C359" s="268"/>
      <c r="D359" s="268"/>
      <c r="E359" s="268"/>
      <c r="F359" s="268"/>
      <c r="G359" s="268"/>
      <c r="H359" s="268"/>
      <c r="I359" s="268"/>
      <c r="J359" s="268"/>
      <c r="K359" s="268"/>
      <c r="L359" s="309"/>
      <c r="M359" s="268"/>
      <c r="N359" s="268"/>
      <c r="O359" s="310"/>
      <c r="P359" s="268"/>
      <c r="Q359" s="309"/>
      <c r="R359" s="268"/>
      <c r="S359" s="313"/>
      <c r="T359" s="313"/>
      <c r="U359" s="268"/>
      <c r="V359" s="309"/>
      <c r="W359" s="310"/>
      <c r="X359" s="268"/>
      <c r="Y359" s="268"/>
      <c r="Z359" s="268"/>
      <c r="AA359" s="268"/>
      <c r="AB359" s="268"/>
      <c r="AC359" s="268"/>
    </row>
    <row r="360" spans="1:29" ht="24.75" customHeight="1">
      <c r="A360" s="268"/>
      <c r="B360" s="268"/>
      <c r="C360" s="268"/>
      <c r="D360" s="268"/>
      <c r="E360" s="268"/>
      <c r="F360" s="268"/>
      <c r="G360" s="268"/>
      <c r="H360" s="268"/>
      <c r="I360" s="268"/>
      <c r="J360" s="268"/>
      <c r="K360" s="268"/>
      <c r="L360" s="309"/>
      <c r="M360" s="268"/>
      <c r="N360" s="268"/>
      <c r="O360" s="310"/>
      <c r="P360" s="268"/>
      <c r="Q360" s="309"/>
      <c r="R360" s="268"/>
      <c r="S360" s="313"/>
      <c r="T360" s="313"/>
      <c r="U360" s="248"/>
      <c r="V360" s="253"/>
      <c r="W360" s="254"/>
      <c r="X360" s="248"/>
      <c r="Y360" s="248"/>
      <c r="Z360" s="248"/>
      <c r="AA360" s="268"/>
      <c r="AB360" s="268"/>
      <c r="AC360" s="268"/>
    </row>
    <row r="361" spans="1:29" ht="24.75" customHeight="1">
      <c r="A361" s="268"/>
      <c r="B361" s="268"/>
      <c r="C361" s="268"/>
      <c r="D361" s="268"/>
      <c r="E361" s="268"/>
      <c r="F361" s="268"/>
      <c r="G361" s="268"/>
      <c r="H361" s="268"/>
      <c r="I361" s="268"/>
      <c r="J361" s="268"/>
      <c r="K361" s="268"/>
      <c r="L361" s="309"/>
      <c r="M361" s="268"/>
      <c r="N361" s="268"/>
      <c r="O361" s="310"/>
      <c r="P361" s="268"/>
      <c r="Q361" s="309"/>
      <c r="R361" s="268"/>
      <c r="S361" s="313"/>
      <c r="T361" s="313"/>
      <c r="U361" s="268"/>
      <c r="V361" s="309"/>
      <c r="W361" s="310"/>
      <c r="X361" s="268"/>
      <c r="Y361" s="268"/>
      <c r="Z361" s="268"/>
      <c r="AA361" s="268"/>
      <c r="AB361" s="268"/>
      <c r="AC361" s="268"/>
    </row>
    <row r="362" spans="1:29" ht="24.75" customHeight="1">
      <c r="A362" s="268"/>
      <c r="B362" s="268"/>
      <c r="C362" s="268"/>
      <c r="D362" s="268"/>
      <c r="E362" s="268"/>
      <c r="F362" s="268"/>
      <c r="G362" s="268"/>
      <c r="H362" s="268"/>
      <c r="I362" s="268"/>
      <c r="J362" s="268"/>
      <c r="K362" s="268"/>
      <c r="L362" s="309"/>
      <c r="M362" s="268"/>
      <c r="N362" s="268"/>
      <c r="O362" s="310"/>
      <c r="P362" s="268"/>
      <c r="Q362" s="309"/>
      <c r="R362" s="268"/>
      <c r="S362" s="313"/>
      <c r="T362" s="313"/>
      <c r="U362" s="268"/>
      <c r="V362" s="309"/>
      <c r="W362" s="310"/>
      <c r="X362" s="268"/>
      <c r="Y362" s="268"/>
      <c r="Z362" s="268"/>
      <c r="AA362" s="268"/>
      <c r="AB362" s="268"/>
      <c r="AC362" s="268"/>
    </row>
    <row r="363" spans="1:29" ht="24.75" customHeight="1">
      <c r="A363" s="268"/>
      <c r="B363" s="268"/>
      <c r="C363" s="268"/>
      <c r="D363" s="268"/>
      <c r="E363" s="268"/>
      <c r="F363" s="268"/>
      <c r="G363" s="268"/>
      <c r="H363" s="268"/>
      <c r="I363" s="268"/>
      <c r="J363" s="268"/>
      <c r="K363" s="268"/>
      <c r="L363" s="309"/>
      <c r="M363" s="268"/>
      <c r="N363" s="268"/>
      <c r="O363" s="310"/>
      <c r="P363" s="268"/>
      <c r="Q363" s="309"/>
      <c r="R363" s="268"/>
      <c r="S363" s="313"/>
      <c r="T363" s="313"/>
      <c r="U363" s="248"/>
      <c r="V363" s="253"/>
      <c r="W363" s="254"/>
      <c r="X363" s="248"/>
      <c r="Y363" s="248"/>
      <c r="Z363" s="248"/>
      <c r="AA363" s="268"/>
      <c r="AB363" s="268"/>
      <c r="AC363" s="268"/>
    </row>
    <row r="364" spans="1:29" ht="24.75" customHeight="1">
      <c r="A364" s="268"/>
      <c r="B364" s="268"/>
      <c r="C364" s="268"/>
      <c r="D364" s="268"/>
      <c r="E364" s="268"/>
      <c r="F364" s="268"/>
      <c r="G364" s="268"/>
      <c r="H364" s="268"/>
      <c r="I364" s="268"/>
      <c r="J364" s="268"/>
      <c r="K364" s="268"/>
      <c r="L364" s="309"/>
      <c r="M364" s="268"/>
      <c r="N364" s="268"/>
      <c r="O364" s="310"/>
      <c r="P364" s="268"/>
      <c r="Q364" s="309"/>
      <c r="R364" s="268"/>
      <c r="S364" s="313"/>
      <c r="T364" s="313"/>
      <c r="U364" s="230"/>
      <c r="V364" s="256"/>
      <c r="W364" s="257"/>
      <c r="X364" s="230"/>
      <c r="Y364" s="230"/>
      <c r="Z364" s="230"/>
      <c r="AA364" s="268"/>
      <c r="AB364" s="268"/>
      <c r="AC364" s="268"/>
    </row>
    <row r="365" spans="1:29" ht="24.75" customHeight="1">
      <c r="A365" s="268"/>
      <c r="B365" s="268"/>
      <c r="C365" s="268"/>
      <c r="D365" s="268"/>
      <c r="E365" s="268"/>
      <c r="F365" s="268"/>
      <c r="G365" s="268"/>
      <c r="H365" s="268"/>
      <c r="I365" s="268"/>
      <c r="J365" s="268"/>
      <c r="K365" s="268"/>
      <c r="L365" s="309"/>
      <c r="M365" s="268"/>
      <c r="N365" s="268"/>
      <c r="O365" s="310"/>
      <c r="P365" s="268"/>
      <c r="Q365" s="309"/>
      <c r="R365" s="268"/>
      <c r="S365" s="313"/>
      <c r="T365" s="313"/>
      <c r="U365" s="230"/>
      <c r="V365" s="256"/>
      <c r="W365" s="257"/>
      <c r="X365" s="230"/>
      <c r="Y365" s="230"/>
      <c r="Z365" s="230"/>
      <c r="AA365" s="268"/>
      <c r="AB365" s="268"/>
      <c r="AC365" s="268"/>
    </row>
    <row r="366" spans="1:29" ht="24.75" customHeight="1">
      <c r="A366" s="268"/>
      <c r="B366" s="268"/>
      <c r="C366" s="268"/>
      <c r="D366" s="268"/>
      <c r="E366" s="268"/>
      <c r="F366" s="268"/>
      <c r="G366" s="268"/>
      <c r="H366" s="268"/>
      <c r="I366" s="268"/>
      <c r="J366" s="268"/>
      <c r="K366" s="268"/>
      <c r="L366" s="309"/>
      <c r="M366" s="268"/>
      <c r="N366" s="268"/>
      <c r="O366" s="310"/>
      <c r="P366" s="268"/>
      <c r="Q366" s="309"/>
      <c r="R366" s="268"/>
      <c r="S366" s="313"/>
      <c r="T366" s="313"/>
      <c r="U366" s="248"/>
      <c r="V366" s="253"/>
      <c r="W366" s="254"/>
      <c r="X366" s="248"/>
      <c r="Y366" s="248"/>
      <c r="Z366" s="248"/>
      <c r="AA366" s="268"/>
      <c r="AB366" s="268"/>
      <c r="AC366" s="268"/>
    </row>
    <row r="367" spans="1:29" ht="24.75" customHeight="1">
      <c r="A367" s="268"/>
      <c r="B367" s="268"/>
      <c r="C367" s="268"/>
      <c r="D367" s="268"/>
      <c r="E367" s="268"/>
      <c r="F367" s="268"/>
      <c r="G367" s="268"/>
      <c r="H367" s="268"/>
      <c r="I367" s="268"/>
      <c r="J367" s="268"/>
      <c r="K367" s="268"/>
      <c r="L367" s="309"/>
      <c r="M367" s="268"/>
      <c r="N367" s="268"/>
      <c r="O367" s="310"/>
      <c r="P367" s="268"/>
      <c r="Q367" s="309"/>
      <c r="R367" s="268"/>
      <c r="S367" s="313"/>
      <c r="T367" s="313"/>
      <c r="U367" s="248"/>
      <c r="V367" s="253"/>
      <c r="W367" s="254"/>
      <c r="X367" s="248"/>
      <c r="Y367" s="248"/>
      <c r="Z367" s="248"/>
      <c r="AA367" s="268"/>
      <c r="AB367" s="268"/>
      <c r="AC367" s="268"/>
    </row>
    <row r="368" spans="1:29" ht="24.75" customHeight="1">
      <c r="A368" s="268"/>
      <c r="B368" s="268"/>
      <c r="C368" s="268"/>
      <c r="D368" s="268"/>
      <c r="E368" s="268"/>
      <c r="F368" s="268"/>
      <c r="G368" s="268"/>
      <c r="H368" s="268"/>
      <c r="I368" s="268"/>
      <c r="J368" s="268"/>
      <c r="K368" s="268"/>
      <c r="L368" s="309"/>
      <c r="M368" s="268"/>
      <c r="N368" s="268"/>
      <c r="O368" s="310"/>
      <c r="P368" s="268"/>
      <c r="Q368" s="309"/>
      <c r="R368" s="268"/>
      <c r="S368" s="313"/>
      <c r="T368" s="313"/>
      <c r="U368" s="230"/>
      <c r="V368" s="256"/>
      <c r="W368" s="257"/>
      <c r="X368" s="230"/>
      <c r="Y368" s="230"/>
      <c r="Z368" s="230"/>
      <c r="AA368" s="268"/>
      <c r="AB368" s="268"/>
      <c r="AC368" s="268"/>
    </row>
    <row r="369" spans="1:29" ht="24.75" customHeight="1">
      <c r="A369" s="268"/>
      <c r="B369" s="268"/>
      <c r="C369" s="268"/>
      <c r="D369" s="268"/>
      <c r="E369" s="268"/>
      <c r="F369" s="268"/>
      <c r="G369" s="268"/>
      <c r="H369" s="268"/>
      <c r="I369" s="268"/>
      <c r="J369" s="268"/>
      <c r="K369" s="268"/>
      <c r="L369" s="309"/>
      <c r="M369" s="268"/>
      <c r="N369" s="268"/>
      <c r="O369" s="310"/>
      <c r="P369" s="268"/>
      <c r="Q369" s="309"/>
      <c r="R369" s="268"/>
      <c r="S369" s="313"/>
      <c r="T369" s="313"/>
      <c r="U369" s="268"/>
      <c r="V369" s="309"/>
      <c r="W369" s="310"/>
      <c r="X369" s="268"/>
      <c r="Y369" s="268"/>
      <c r="Z369" s="268"/>
      <c r="AA369" s="268"/>
      <c r="AB369" s="268"/>
      <c r="AC369" s="268"/>
    </row>
    <row r="370" spans="1:29" ht="24.75" customHeight="1">
      <c r="A370" s="268"/>
      <c r="B370" s="268"/>
      <c r="C370" s="268"/>
      <c r="D370" s="268"/>
      <c r="E370" s="268"/>
      <c r="F370" s="268"/>
      <c r="G370" s="268"/>
      <c r="H370" s="268"/>
      <c r="I370" s="268"/>
      <c r="J370" s="268"/>
      <c r="K370" s="268"/>
      <c r="L370" s="309"/>
      <c r="M370" s="268"/>
      <c r="N370" s="268"/>
      <c r="O370" s="310"/>
      <c r="P370" s="268"/>
      <c r="Q370" s="309"/>
      <c r="R370" s="268"/>
      <c r="S370" s="313"/>
      <c r="T370" s="313"/>
      <c r="U370" s="230"/>
      <c r="V370" s="256"/>
      <c r="W370" s="257"/>
      <c r="X370" s="230"/>
      <c r="Y370" s="230"/>
      <c r="Z370" s="230"/>
      <c r="AA370" s="268"/>
      <c r="AB370" s="268"/>
      <c r="AC370" s="268"/>
    </row>
    <row r="371" spans="1:29" ht="24.75" customHeight="1">
      <c r="A371" s="268"/>
      <c r="B371" s="268"/>
      <c r="C371" s="268"/>
      <c r="D371" s="268"/>
      <c r="E371" s="268"/>
      <c r="F371" s="268"/>
      <c r="G371" s="268"/>
      <c r="H371" s="268"/>
      <c r="I371" s="268"/>
      <c r="J371" s="268"/>
      <c r="K371" s="268"/>
      <c r="L371" s="309"/>
      <c r="M371" s="268"/>
      <c r="N371" s="268"/>
      <c r="O371" s="310"/>
      <c r="P371" s="268"/>
      <c r="Q371" s="309"/>
      <c r="R371" s="268"/>
      <c r="S371" s="313"/>
      <c r="T371" s="313"/>
      <c r="U371" s="268"/>
      <c r="V371" s="309"/>
      <c r="W371" s="310"/>
      <c r="X371" s="268"/>
      <c r="Y371" s="268"/>
      <c r="Z371" s="268"/>
      <c r="AA371" s="268"/>
      <c r="AB371" s="268"/>
      <c r="AC371" s="268"/>
    </row>
    <row r="372" spans="1:29" ht="24.75" customHeight="1">
      <c r="A372" s="268"/>
      <c r="B372" s="268"/>
      <c r="C372" s="268"/>
      <c r="D372" s="268"/>
      <c r="E372" s="268"/>
      <c r="F372" s="268"/>
      <c r="G372" s="268"/>
      <c r="H372" s="268"/>
      <c r="I372" s="268"/>
      <c r="J372" s="268"/>
      <c r="K372" s="268"/>
      <c r="L372" s="309"/>
      <c r="M372" s="268"/>
      <c r="N372" s="268"/>
      <c r="O372" s="310"/>
      <c r="P372" s="268"/>
      <c r="Q372" s="309"/>
      <c r="R372" s="268"/>
      <c r="S372" s="313"/>
      <c r="T372" s="313"/>
      <c r="U372" s="268"/>
      <c r="V372" s="309"/>
      <c r="W372" s="310"/>
      <c r="X372" s="268"/>
      <c r="Y372" s="268"/>
      <c r="Z372" s="268"/>
      <c r="AA372" s="268"/>
      <c r="AB372" s="268"/>
      <c r="AC372" s="268"/>
    </row>
    <row r="373" spans="1:29" ht="24.75" customHeight="1">
      <c r="A373" s="268"/>
      <c r="B373" s="268"/>
      <c r="C373" s="268"/>
      <c r="D373" s="268"/>
      <c r="E373" s="268"/>
      <c r="F373" s="268"/>
      <c r="G373" s="268"/>
      <c r="H373" s="268"/>
      <c r="I373" s="268"/>
      <c r="J373" s="268"/>
      <c r="K373" s="268"/>
      <c r="L373" s="309"/>
      <c r="M373" s="268"/>
      <c r="N373" s="268"/>
      <c r="O373" s="310"/>
      <c r="P373" s="268"/>
      <c r="Q373" s="309"/>
      <c r="R373" s="268"/>
      <c r="S373" s="313"/>
      <c r="T373" s="313"/>
      <c r="U373" s="268"/>
      <c r="V373" s="309"/>
      <c r="W373" s="310"/>
      <c r="X373" s="268"/>
      <c r="Y373" s="268"/>
      <c r="Z373" s="268"/>
      <c r="AA373" s="268"/>
      <c r="AB373" s="268"/>
      <c r="AC373" s="268"/>
    </row>
    <row r="374" spans="1:29" ht="24.75" customHeight="1">
      <c r="A374" s="268"/>
      <c r="B374" s="268"/>
      <c r="C374" s="268"/>
      <c r="D374" s="268"/>
      <c r="E374" s="268"/>
      <c r="F374" s="268"/>
      <c r="G374" s="268"/>
      <c r="H374" s="268"/>
      <c r="I374" s="268"/>
      <c r="J374" s="268"/>
      <c r="K374" s="268"/>
      <c r="L374" s="309"/>
      <c r="M374" s="268"/>
      <c r="N374" s="268"/>
      <c r="O374" s="310"/>
      <c r="P374" s="268"/>
      <c r="Q374" s="309"/>
      <c r="R374" s="268"/>
      <c r="S374" s="313"/>
      <c r="T374" s="313"/>
      <c r="U374" s="292"/>
      <c r="V374" s="293"/>
      <c r="W374" s="294"/>
      <c r="X374" s="292"/>
      <c r="Y374" s="292"/>
      <c r="Z374" s="292"/>
      <c r="AA374" s="268"/>
      <c r="AB374" s="268"/>
      <c r="AC374" s="268"/>
    </row>
    <row r="375" spans="1:29" ht="24.75" customHeight="1">
      <c r="A375" s="268"/>
      <c r="B375" s="268"/>
      <c r="C375" s="268"/>
      <c r="D375" s="268"/>
      <c r="E375" s="268"/>
      <c r="F375" s="268"/>
      <c r="G375" s="268"/>
      <c r="H375" s="268"/>
      <c r="I375" s="268"/>
      <c r="J375" s="268"/>
      <c r="K375" s="268"/>
      <c r="L375" s="309"/>
      <c r="M375" s="268"/>
      <c r="N375" s="268"/>
      <c r="O375" s="310"/>
      <c r="P375" s="268"/>
      <c r="Q375" s="309"/>
      <c r="R375" s="268"/>
      <c r="S375" s="313"/>
      <c r="T375" s="313"/>
      <c r="U375" s="268"/>
      <c r="V375" s="309"/>
      <c r="W375" s="310"/>
      <c r="X375" s="268"/>
      <c r="Y375" s="268"/>
      <c r="Z375" s="268"/>
      <c r="AA375" s="268"/>
      <c r="AB375" s="268"/>
      <c r="AC375" s="268"/>
    </row>
    <row r="376" spans="1:29" ht="24.75" customHeight="1">
      <c r="A376" s="268"/>
      <c r="B376" s="268"/>
      <c r="C376" s="268"/>
      <c r="D376" s="268"/>
      <c r="E376" s="268"/>
      <c r="F376" s="268"/>
      <c r="G376" s="268"/>
      <c r="H376" s="268"/>
      <c r="I376" s="268"/>
      <c r="J376" s="268"/>
      <c r="K376" s="268"/>
      <c r="L376" s="309"/>
      <c r="M376" s="268"/>
      <c r="N376" s="268"/>
      <c r="O376" s="310"/>
      <c r="P376" s="268"/>
      <c r="Q376" s="309"/>
      <c r="R376" s="268"/>
      <c r="S376" s="313"/>
      <c r="T376" s="313"/>
      <c r="U376" s="248"/>
      <c r="V376" s="253"/>
      <c r="W376" s="254"/>
      <c r="X376" s="248"/>
      <c r="Y376" s="248"/>
      <c r="Z376" s="248"/>
      <c r="AA376" s="268"/>
      <c r="AB376" s="268"/>
      <c r="AC376" s="268"/>
    </row>
    <row r="377" spans="1:29" ht="24.75" customHeight="1">
      <c r="A377" s="268"/>
      <c r="B377" s="268"/>
      <c r="C377" s="268"/>
      <c r="D377" s="268"/>
      <c r="E377" s="268"/>
      <c r="F377" s="268"/>
      <c r="G377" s="268"/>
      <c r="H377" s="268"/>
      <c r="I377" s="268"/>
      <c r="J377" s="268"/>
      <c r="K377" s="268"/>
      <c r="L377" s="309"/>
      <c r="M377" s="268"/>
      <c r="N377" s="268"/>
      <c r="O377" s="310"/>
      <c r="P377" s="268"/>
      <c r="Q377" s="309"/>
      <c r="R377" s="268"/>
      <c r="S377" s="313"/>
      <c r="T377" s="313"/>
      <c r="U377" s="230"/>
      <c r="V377" s="256"/>
      <c r="W377" s="257"/>
      <c r="X377" s="230"/>
      <c r="Y377" s="230"/>
      <c r="Z377" s="230"/>
      <c r="AA377" s="268"/>
      <c r="AB377" s="268"/>
      <c r="AC377" s="268"/>
    </row>
    <row r="378" spans="1:29" ht="24.75" customHeight="1">
      <c r="A378" s="268"/>
      <c r="B378" s="268"/>
      <c r="C378" s="268"/>
      <c r="D378" s="268"/>
      <c r="E378" s="268"/>
      <c r="F378" s="268"/>
      <c r="G378" s="268"/>
      <c r="H378" s="268"/>
      <c r="I378" s="268"/>
      <c r="J378" s="268"/>
      <c r="K378" s="268"/>
      <c r="L378" s="309"/>
      <c r="M378" s="268"/>
      <c r="N378" s="268"/>
      <c r="O378" s="310"/>
      <c r="P378" s="268"/>
      <c r="Q378" s="309"/>
      <c r="R378" s="268"/>
      <c r="S378" s="313"/>
      <c r="T378" s="313"/>
      <c r="U378" s="230"/>
      <c r="V378" s="256"/>
      <c r="W378" s="257"/>
      <c r="X378" s="230"/>
      <c r="Y378" s="230"/>
      <c r="Z378" s="230"/>
      <c r="AA378" s="268"/>
      <c r="AB378" s="268"/>
      <c r="AC378" s="268"/>
    </row>
    <row r="379" spans="1:29" ht="24.75" customHeight="1">
      <c r="A379" s="268"/>
      <c r="B379" s="268"/>
      <c r="C379" s="268"/>
      <c r="D379" s="268"/>
      <c r="E379" s="268"/>
      <c r="F379" s="268"/>
      <c r="G379" s="268"/>
      <c r="H379" s="268"/>
      <c r="I379" s="268"/>
      <c r="J379" s="268"/>
      <c r="K379" s="268"/>
      <c r="L379" s="309"/>
      <c r="M379" s="268"/>
      <c r="N379" s="268"/>
      <c r="O379" s="310"/>
      <c r="P379" s="268"/>
      <c r="Q379" s="309"/>
      <c r="R379" s="268"/>
      <c r="S379" s="313"/>
      <c r="T379" s="313"/>
      <c r="U379" s="268"/>
      <c r="V379" s="309"/>
      <c r="W379" s="310"/>
      <c r="X379" s="268"/>
      <c r="Y379" s="268"/>
      <c r="Z379" s="268"/>
      <c r="AA379" s="268"/>
      <c r="AB379" s="268"/>
      <c r="AC379" s="268"/>
    </row>
    <row r="380" spans="1:29" ht="24.75" customHeight="1">
      <c r="A380" s="268"/>
      <c r="B380" s="268"/>
      <c r="C380" s="268"/>
      <c r="D380" s="268"/>
      <c r="E380" s="268"/>
      <c r="F380" s="268"/>
      <c r="G380" s="268"/>
      <c r="H380" s="268"/>
      <c r="I380" s="268"/>
      <c r="J380" s="268"/>
      <c r="K380" s="268"/>
      <c r="L380" s="309"/>
      <c r="M380" s="268"/>
      <c r="N380" s="268"/>
      <c r="O380" s="310"/>
      <c r="P380" s="268"/>
      <c r="Q380" s="309"/>
      <c r="R380" s="268"/>
      <c r="S380" s="313"/>
      <c r="T380" s="313"/>
      <c r="U380" s="268"/>
      <c r="V380" s="309"/>
      <c r="W380" s="310"/>
      <c r="X380" s="268"/>
      <c r="Y380" s="268"/>
      <c r="Z380" s="268"/>
      <c r="AA380" s="268"/>
      <c r="AB380" s="268"/>
      <c r="AC380" s="268"/>
    </row>
    <row r="381" spans="1:29" ht="24.75" customHeight="1">
      <c r="A381" s="268"/>
      <c r="B381" s="268"/>
      <c r="C381" s="268"/>
      <c r="D381" s="268"/>
      <c r="E381" s="268"/>
      <c r="F381" s="268"/>
      <c r="G381" s="268"/>
      <c r="H381" s="268"/>
      <c r="I381" s="268"/>
      <c r="J381" s="268"/>
      <c r="K381" s="268"/>
      <c r="L381" s="309"/>
      <c r="M381" s="268"/>
      <c r="N381" s="268"/>
      <c r="O381" s="310"/>
      <c r="P381" s="268"/>
      <c r="Q381" s="309"/>
      <c r="R381" s="268"/>
      <c r="S381" s="313"/>
      <c r="T381" s="313"/>
      <c r="U381" s="268"/>
      <c r="V381" s="309"/>
      <c r="W381" s="310"/>
      <c r="X381" s="268"/>
      <c r="Y381" s="268"/>
      <c r="Z381" s="268"/>
      <c r="AA381" s="268"/>
      <c r="AB381" s="268"/>
      <c r="AC381" s="268"/>
    </row>
    <row r="382" spans="1:29" ht="24.75" customHeight="1">
      <c r="A382" s="268"/>
      <c r="B382" s="268"/>
      <c r="C382" s="268"/>
      <c r="D382" s="268"/>
      <c r="E382" s="268"/>
      <c r="F382" s="268"/>
      <c r="G382" s="268"/>
      <c r="H382" s="268"/>
      <c r="I382" s="268"/>
      <c r="J382" s="268"/>
      <c r="K382" s="268"/>
      <c r="L382" s="309"/>
      <c r="M382" s="268"/>
      <c r="N382" s="268"/>
      <c r="O382" s="310"/>
      <c r="P382" s="268"/>
      <c r="Q382" s="309"/>
      <c r="R382" s="268"/>
      <c r="S382" s="313"/>
      <c r="T382" s="313"/>
      <c r="U382" s="268"/>
      <c r="V382" s="309"/>
      <c r="W382" s="310"/>
      <c r="X382" s="268"/>
      <c r="Y382" s="268"/>
      <c r="Z382" s="268"/>
      <c r="AA382" s="268"/>
      <c r="AB382" s="268"/>
      <c r="AC382" s="268"/>
    </row>
    <row r="383" spans="1:29" ht="24.75" customHeight="1">
      <c r="A383" s="268"/>
      <c r="B383" s="268"/>
      <c r="C383" s="268"/>
      <c r="D383" s="268"/>
      <c r="E383" s="268"/>
      <c r="F383" s="268"/>
      <c r="G383" s="268"/>
      <c r="H383" s="268"/>
      <c r="I383" s="268"/>
      <c r="J383" s="268"/>
      <c r="K383" s="268"/>
      <c r="L383" s="309"/>
      <c r="M383" s="268"/>
      <c r="N383" s="268"/>
      <c r="O383" s="310"/>
      <c r="P383" s="268"/>
      <c r="Q383" s="309"/>
      <c r="R383" s="268"/>
      <c r="S383" s="313"/>
      <c r="T383" s="313"/>
      <c r="U383" s="268"/>
      <c r="V383" s="309"/>
      <c r="W383" s="310"/>
      <c r="X383" s="268"/>
      <c r="Y383" s="268"/>
      <c r="Z383" s="268"/>
      <c r="AA383" s="268"/>
      <c r="AB383" s="268"/>
      <c r="AC383" s="268"/>
    </row>
    <row r="384" spans="1:29" ht="24.75" customHeight="1">
      <c r="A384" s="268"/>
      <c r="B384" s="268"/>
      <c r="C384" s="268"/>
      <c r="D384" s="268"/>
      <c r="E384" s="268"/>
      <c r="F384" s="268"/>
      <c r="G384" s="268"/>
      <c r="H384" s="268"/>
      <c r="I384" s="268"/>
      <c r="J384" s="268"/>
      <c r="K384" s="268"/>
      <c r="L384" s="309"/>
      <c r="M384" s="268"/>
      <c r="N384" s="268"/>
      <c r="O384" s="310"/>
      <c r="P384" s="268"/>
      <c r="Q384" s="309"/>
      <c r="R384" s="268"/>
      <c r="S384" s="313"/>
      <c r="T384" s="313"/>
      <c r="U384" s="268"/>
      <c r="V384" s="309"/>
      <c r="W384" s="310"/>
      <c r="X384" s="268"/>
      <c r="Y384" s="268"/>
      <c r="Z384" s="268"/>
      <c r="AA384" s="268"/>
      <c r="AB384" s="268"/>
      <c r="AC384" s="268"/>
    </row>
    <row r="385" spans="1:29" ht="24.75" customHeight="1">
      <c r="A385" s="268"/>
      <c r="B385" s="268"/>
      <c r="C385" s="268"/>
      <c r="D385" s="268"/>
      <c r="E385" s="268"/>
      <c r="F385" s="268"/>
      <c r="G385" s="268"/>
      <c r="H385" s="268"/>
      <c r="I385" s="268"/>
      <c r="J385" s="268"/>
      <c r="K385" s="268"/>
      <c r="L385" s="309"/>
      <c r="M385" s="268"/>
      <c r="N385" s="268"/>
      <c r="O385" s="310"/>
      <c r="P385" s="268"/>
      <c r="Q385" s="309"/>
      <c r="R385" s="268"/>
      <c r="S385" s="313"/>
      <c r="T385" s="313"/>
      <c r="U385" s="268"/>
      <c r="V385" s="309"/>
      <c r="W385" s="310"/>
      <c r="X385" s="268"/>
      <c r="Y385" s="268"/>
      <c r="Z385" s="268"/>
      <c r="AA385" s="268"/>
      <c r="AB385" s="268"/>
      <c r="AC385" s="268"/>
    </row>
    <row r="386" spans="1:29" ht="24.75" customHeight="1">
      <c r="A386" s="268"/>
      <c r="B386" s="268"/>
      <c r="C386" s="268"/>
      <c r="D386" s="268"/>
      <c r="E386" s="268"/>
      <c r="F386" s="268"/>
      <c r="G386" s="268"/>
      <c r="H386" s="268"/>
      <c r="I386" s="268"/>
      <c r="J386" s="268"/>
      <c r="K386" s="268"/>
      <c r="L386" s="309"/>
      <c r="M386" s="268"/>
      <c r="N386" s="268"/>
      <c r="O386" s="310"/>
      <c r="P386" s="268"/>
      <c r="Q386" s="309"/>
      <c r="R386" s="268"/>
      <c r="S386" s="313"/>
      <c r="T386" s="313"/>
      <c r="U386" s="268"/>
      <c r="V386" s="309"/>
      <c r="W386" s="310"/>
      <c r="X386" s="268"/>
      <c r="Y386" s="268"/>
      <c r="Z386" s="268"/>
      <c r="AA386" s="268"/>
      <c r="AB386" s="268"/>
      <c r="AC386" s="268"/>
    </row>
    <row r="387" spans="1:29" ht="24.75" customHeight="1">
      <c r="A387" s="268"/>
      <c r="B387" s="268"/>
      <c r="C387" s="268"/>
      <c r="D387" s="268"/>
      <c r="E387" s="268"/>
      <c r="F387" s="268"/>
      <c r="G387" s="268"/>
      <c r="H387" s="268"/>
      <c r="I387" s="268"/>
      <c r="J387" s="268"/>
      <c r="K387" s="268"/>
      <c r="L387" s="309"/>
      <c r="M387" s="268"/>
      <c r="N387" s="268"/>
      <c r="O387" s="310"/>
      <c r="P387" s="268"/>
      <c r="Q387" s="309"/>
      <c r="R387" s="268"/>
      <c r="S387" s="313"/>
      <c r="T387" s="313"/>
      <c r="U387" s="268"/>
      <c r="V387" s="309"/>
      <c r="W387" s="310"/>
      <c r="X387" s="268"/>
      <c r="Y387" s="268"/>
      <c r="Z387" s="268"/>
      <c r="AA387" s="268"/>
      <c r="AB387" s="268"/>
      <c r="AC387" s="268"/>
    </row>
    <row r="388" spans="1:29" ht="24.75" customHeight="1">
      <c r="A388" s="268"/>
      <c r="B388" s="268"/>
      <c r="C388" s="268"/>
      <c r="D388" s="268"/>
      <c r="E388" s="268"/>
      <c r="F388" s="268"/>
      <c r="G388" s="268"/>
      <c r="H388" s="268"/>
      <c r="I388" s="268"/>
      <c r="J388" s="268"/>
      <c r="K388" s="268"/>
      <c r="L388" s="309"/>
      <c r="M388" s="268"/>
      <c r="N388" s="268"/>
      <c r="O388" s="310"/>
      <c r="P388" s="268"/>
      <c r="Q388" s="309"/>
      <c r="R388" s="268"/>
      <c r="S388" s="313"/>
      <c r="T388" s="313"/>
      <c r="U388" s="268"/>
      <c r="V388" s="309"/>
      <c r="W388" s="310"/>
      <c r="X388" s="268"/>
      <c r="Y388" s="268"/>
      <c r="Z388" s="268"/>
      <c r="AA388" s="268"/>
      <c r="AB388" s="268"/>
      <c r="AC388" s="268"/>
    </row>
    <row r="389" spans="1:29" ht="24.75" customHeight="1">
      <c r="A389" s="268"/>
      <c r="B389" s="268"/>
      <c r="C389" s="268"/>
      <c r="D389" s="268"/>
      <c r="E389" s="268"/>
      <c r="F389" s="268"/>
      <c r="G389" s="268"/>
      <c r="H389" s="268"/>
      <c r="I389" s="268"/>
      <c r="J389" s="268"/>
      <c r="K389" s="268"/>
      <c r="L389" s="309"/>
      <c r="M389" s="268"/>
      <c r="N389" s="268"/>
      <c r="O389" s="310"/>
      <c r="P389" s="268"/>
      <c r="Q389" s="309"/>
      <c r="R389" s="268"/>
      <c r="S389" s="313"/>
      <c r="T389" s="313"/>
      <c r="U389" s="268"/>
      <c r="V389" s="309"/>
      <c r="W389" s="310"/>
      <c r="X389" s="268"/>
      <c r="Y389" s="268"/>
      <c r="Z389" s="268"/>
      <c r="AA389" s="268"/>
      <c r="AB389" s="268"/>
      <c r="AC389" s="268"/>
    </row>
    <row r="390" spans="1:29" ht="24.75" customHeight="1">
      <c r="A390" s="268"/>
      <c r="B390" s="268"/>
      <c r="C390" s="268"/>
      <c r="D390" s="268"/>
      <c r="E390" s="268"/>
      <c r="F390" s="268"/>
      <c r="G390" s="268"/>
      <c r="H390" s="268"/>
      <c r="I390" s="268"/>
      <c r="J390" s="268"/>
      <c r="K390" s="268"/>
      <c r="L390" s="309"/>
      <c r="M390" s="268"/>
      <c r="N390" s="268"/>
      <c r="O390" s="310"/>
      <c r="P390" s="268"/>
      <c r="Q390" s="309"/>
      <c r="R390" s="268"/>
      <c r="S390" s="313"/>
      <c r="T390" s="313"/>
      <c r="U390" s="268"/>
      <c r="V390" s="309"/>
      <c r="W390" s="310"/>
      <c r="X390" s="268"/>
      <c r="Y390" s="268"/>
      <c r="Z390" s="268"/>
      <c r="AA390" s="268"/>
      <c r="AB390" s="268"/>
      <c r="AC390" s="268"/>
    </row>
    <row r="391" spans="1:29" ht="24.75" customHeight="1">
      <c r="A391" s="268"/>
      <c r="B391" s="268"/>
      <c r="C391" s="268"/>
      <c r="D391" s="268"/>
      <c r="E391" s="268"/>
      <c r="F391" s="268"/>
      <c r="G391" s="268"/>
      <c r="H391" s="268"/>
      <c r="I391" s="268"/>
      <c r="J391" s="268"/>
      <c r="K391" s="268"/>
      <c r="L391" s="309"/>
      <c r="M391" s="268"/>
      <c r="N391" s="268"/>
      <c r="O391" s="310"/>
      <c r="P391" s="268"/>
      <c r="Q391" s="309"/>
      <c r="R391" s="268"/>
      <c r="S391" s="313"/>
      <c r="T391" s="313"/>
      <c r="U391" s="268"/>
      <c r="V391" s="309"/>
      <c r="W391" s="310"/>
      <c r="X391" s="268"/>
      <c r="Y391" s="268"/>
      <c r="Z391" s="268"/>
      <c r="AA391" s="268"/>
      <c r="AB391" s="268"/>
      <c r="AC391" s="268"/>
    </row>
    <row r="392" spans="1:29" ht="24.75" customHeight="1">
      <c r="A392" s="268"/>
      <c r="B392" s="268"/>
      <c r="C392" s="268"/>
      <c r="D392" s="268"/>
      <c r="E392" s="268"/>
      <c r="F392" s="268"/>
      <c r="G392" s="268"/>
      <c r="H392" s="268"/>
      <c r="I392" s="268"/>
      <c r="J392" s="268"/>
      <c r="K392" s="268"/>
      <c r="L392" s="309"/>
      <c r="M392" s="268"/>
      <c r="N392" s="268"/>
      <c r="O392" s="310"/>
      <c r="P392" s="268"/>
      <c r="Q392" s="309"/>
      <c r="R392" s="268"/>
      <c r="S392" s="313"/>
      <c r="T392" s="313"/>
      <c r="U392" s="268"/>
      <c r="V392" s="309"/>
      <c r="W392" s="310"/>
      <c r="X392" s="268"/>
      <c r="Y392" s="268"/>
      <c r="Z392" s="268"/>
      <c r="AA392" s="268"/>
      <c r="AB392" s="268"/>
      <c r="AC392" s="268"/>
    </row>
    <row r="393" spans="1:29" ht="24.75" customHeight="1">
      <c r="A393" s="268"/>
      <c r="B393" s="268"/>
      <c r="C393" s="268"/>
      <c r="D393" s="268"/>
      <c r="E393" s="268"/>
      <c r="F393" s="268"/>
      <c r="G393" s="268"/>
      <c r="H393" s="268"/>
      <c r="I393" s="268"/>
      <c r="J393" s="268"/>
      <c r="K393" s="268"/>
      <c r="L393" s="309"/>
      <c r="M393" s="268"/>
      <c r="N393" s="268"/>
      <c r="O393" s="310"/>
      <c r="P393" s="268"/>
      <c r="Q393" s="309"/>
      <c r="R393" s="268"/>
      <c r="S393" s="313"/>
      <c r="T393" s="313"/>
      <c r="U393" s="268"/>
      <c r="V393" s="309"/>
      <c r="W393" s="310"/>
      <c r="X393" s="268"/>
      <c r="Y393" s="268"/>
      <c r="Z393" s="268"/>
      <c r="AA393" s="268"/>
      <c r="AB393" s="268"/>
      <c r="AC393" s="268"/>
    </row>
    <row r="394" spans="1:29" ht="24.75" customHeight="1">
      <c r="A394" s="268"/>
      <c r="B394" s="268"/>
      <c r="C394" s="268"/>
      <c r="D394" s="268"/>
      <c r="E394" s="268"/>
      <c r="F394" s="268"/>
      <c r="G394" s="268"/>
      <c r="H394" s="268"/>
      <c r="I394" s="268"/>
      <c r="J394" s="268"/>
      <c r="K394" s="268"/>
      <c r="L394" s="309"/>
      <c r="M394" s="268"/>
      <c r="N394" s="268"/>
      <c r="O394" s="310"/>
      <c r="P394" s="268"/>
      <c r="Q394" s="309"/>
      <c r="R394" s="268"/>
      <c r="S394" s="313"/>
      <c r="T394" s="313"/>
      <c r="U394" s="268"/>
      <c r="V394" s="309"/>
      <c r="W394" s="310"/>
      <c r="X394" s="268"/>
      <c r="Y394" s="268"/>
      <c r="Z394" s="268"/>
      <c r="AA394" s="268"/>
      <c r="AB394" s="268"/>
      <c r="AC394" s="268"/>
    </row>
    <row r="395" spans="1:29" ht="24.75" customHeight="1">
      <c r="A395" s="268"/>
      <c r="B395" s="268"/>
      <c r="C395" s="268"/>
      <c r="D395" s="268"/>
      <c r="E395" s="268"/>
      <c r="F395" s="268"/>
      <c r="G395" s="268"/>
      <c r="H395" s="268"/>
      <c r="I395" s="268"/>
      <c r="J395" s="268"/>
      <c r="K395" s="268"/>
      <c r="L395" s="309"/>
      <c r="M395" s="268"/>
      <c r="N395" s="268"/>
      <c r="O395" s="310"/>
      <c r="P395" s="268"/>
      <c r="Q395" s="309"/>
      <c r="R395" s="268"/>
      <c r="S395" s="313"/>
      <c r="T395" s="313"/>
      <c r="U395" s="268"/>
      <c r="V395" s="309"/>
      <c r="W395" s="310"/>
      <c r="X395" s="268"/>
      <c r="Y395" s="268"/>
      <c r="Z395" s="268"/>
      <c r="AA395" s="268"/>
      <c r="AB395" s="268"/>
      <c r="AC395" s="268"/>
    </row>
    <row r="396" spans="1:29" ht="24.75" customHeight="1">
      <c r="A396" s="268"/>
      <c r="B396" s="268"/>
      <c r="C396" s="268"/>
      <c r="D396" s="268"/>
      <c r="E396" s="268"/>
      <c r="F396" s="268"/>
      <c r="G396" s="268"/>
      <c r="H396" s="268"/>
      <c r="I396" s="268"/>
      <c r="J396" s="268"/>
      <c r="K396" s="268"/>
      <c r="L396" s="309"/>
      <c r="M396" s="268"/>
      <c r="N396" s="268"/>
      <c r="O396" s="310"/>
      <c r="P396" s="268"/>
      <c r="Q396" s="309"/>
      <c r="R396" s="268"/>
      <c r="S396" s="313"/>
      <c r="T396" s="313"/>
      <c r="U396" s="268"/>
      <c r="V396" s="309"/>
      <c r="W396" s="310"/>
      <c r="X396" s="268"/>
      <c r="Y396" s="268"/>
      <c r="Z396" s="268"/>
      <c r="AA396" s="268"/>
      <c r="AB396" s="268"/>
      <c r="AC396" s="268"/>
    </row>
    <row r="397" spans="1:29" ht="24.75" customHeight="1">
      <c r="A397" s="268"/>
      <c r="B397" s="268"/>
      <c r="C397" s="268"/>
      <c r="D397" s="268"/>
      <c r="E397" s="268"/>
      <c r="F397" s="268"/>
      <c r="G397" s="268"/>
      <c r="H397" s="268"/>
      <c r="I397" s="268"/>
      <c r="J397" s="268"/>
      <c r="K397" s="268"/>
      <c r="L397" s="309"/>
      <c r="M397" s="268"/>
      <c r="N397" s="268"/>
      <c r="O397" s="310"/>
      <c r="P397" s="268"/>
      <c r="Q397" s="309"/>
      <c r="R397" s="268"/>
      <c r="S397" s="313"/>
      <c r="T397" s="313"/>
      <c r="U397" s="268"/>
      <c r="V397" s="309"/>
      <c r="W397" s="310"/>
      <c r="X397" s="268"/>
      <c r="Y397" s="268"/>
      <c r="Z397" s="268"/>
      <c r="AA397" s="268"/>
      <c r="AB397" s="268"/>
      <c r="AC397" s="268"/>
    </row>
    <row r="398" spans="1:29" ht="24.75" customHeight="1">
      <c r="A398" s="268"/>
      <c r="B398" s="268"/>
      <c r="C398" s="268"/>
      <c r="D398" s="268"/>
      <c r="E398" s="268"/>
      <c r="F398" s="268"/>
      <c r="G398" s="268"/>
      <c r="H398" s="268"/>
      <c r="I398" s="268"/>
      <c r="J398" s="268"/>
      <c r="K398" s="268"/>
      <c r="L398" s="309"/>
      <c r="M398" s="268"/>
      <c r="N398" s="268"/>
      <c r="O398" s="310"/>
      <c r="P398" s="268"/>
      <c r="Q398" s="309"/>
      <c r="R398" s="268"/>
      <c r="S398" s="313"/>
      <c r="T398" s="313"/>
      <c r="U398" s="268"/>
      <c r="V398" s="309"/>
      <c r="W398" s="310"/>
      <c r="X398" s="268"/>
      <c r="Y398" s="268"/>
      <c r="Z398" s="268"/>
      <c r="AA398" s="268"/>
      <c r="AB398" s="268"/>
      <c r="AC398" s="268"/>
    </row>
    <row r="399" spans="1:29" ht="24.75" customHeight="1">
      <c r="A399" s="268"/>
      <c r="B399" s="268"/>
      <c r="C399" s="268"/>
      <c r="D399" s="268"/>
      <c r="E399" s="268"/>
      <c r="F399" s="268"/>
      <c r="G399" s="268"/>
      <c r="H399" s="268"/>
      <c r="I399" s="268"/>
      <c r="J399" s="268"/>
      <c r="K399" s="268"/>
      <c r="L399" s="309"/>
      <c r="M399" s="268"/>
      <c r="N399" s="268"/>
      <c r="O399" s="310"/>
      <c r="P399" s="268"/>
      <c r="Q399" s="309"/>
      <c r="R399" s="268"/>
      <c r="S399" s="313"/>
      <c r="T399" s="313"/>
      <c r="U399" s="268"/>
      <c r="V399" s="309"/>
      <c r="W399" s="310"/>
      <c r="X399" s="268"/>
      <c r="Y399" s="268"/>
      <c r="Z399" s="268"/>
      <c r="AA399" s="268"/>
      <c r="AB399" s="268"/>
      <c r="AC399" s="268"/>
    </row>
    <row r="400" spans="1:29" ht="24.75" customHeight="1">
      <c r="A400" s="268"/>
      <c r="B400" s="268"/>
      <c r="C400" s="268"/>
      <c r="D400" s="268"/>
      <c r="E400" s="268"/>
      <c r="F400" s="268"/>
      <c r="G400" s="268"/>
      <c r="H400" s="268"/>
      <c r="I400" s="268"/>
      <c r="J400" s="268"/>
      <c r="K400" s="268"/>
      <c r="L400" s="309"/>
      <c r="M400" s="268"/>
      <c r="N400" s="268"/>
      <c r="O400" s="310"/>
      <c r="P400" s="268"/>
      <c r="Q400" s="309"/>
      <c r="R400" s="268"/>
      <c r="S400" s="313"/>
      <c r="T400" s="313"/>
      <c r="U400" s="268"/>
      <c r="V400" s="309"/>
      <c r="W400" s="310"/>
      <c r="X400" s="268"/>
      <c r="Y400" s="268"/>
      <c r="Z400" s="268"/>
      <c r="AA400" s="268"/>
      <c r="AB400" s="268"/>
      <c r="AC400" s="268"/>
    </row>
    <row r="401" spans="1:29" ht="24.75" customHeight="1">
      <c r="A401" s="268"/>
      <c r="B401" s="268"/>
      <c r="C401" s="268"/>
      <c r="D401" s="268"/>
      <c r="E401" s="268"/>
      <c r="F401" s="268"/>
      <c r="G401" s="268"/>
      <c r="H401" s="268"/>
      <c r="I401" s="268"/>
      <c r="J401" s="268"/>
      <c r="K401" s="268"/>
      <c r="L401" s="309"/>
      <c r="M401" s="268"/>
      <c r="N401" s="268"/>
      <c r="O401" s="310"/>
      <c r="P401" s="268"/>
      <c r="Q401" s="309"/>
      <c r="R401" s="268"/>
      <c r="S401" s="313"/>
      <c r="T401" s="313"/>
      <c r="U401" s="268"/>
      <c r="V401" s="309"/>
      <c r="W401" s="310"/>
      <c r="X401" s="268"/>
      <c r="Y401" s="268"/>
      <c r="Z401" s="268"/>
      <c r="AA401" s="268"/>
      <c r="AB401" s="268"/>
      <c r="AC401" s="268"/>
    </row>
    <row r="402" spans="1:29" ht="24.75" customHeight="1">
      <c r="A402" s="268"/>
      <c r="B402" s="268"/>
      <c r="C402" s="268"/>
      <c r="D402" s="268"/>
      <c r="E402" s="268"/>
      <c r="F402" s="268"/>
      <c r="G402" s="268"/>
      <c r="H402" s="268"/>
      <c r="I402" s="268"/>
      <c r="J402" s="268"/>
      <c r="K402" s="268"/>
      <c r="L402" s="309"/>
      <c r="M402" s="268"/>
      <c r="N402" s="268"/>
      <c r="O402" s="310"/>
      <c r="P402" s="268"/>
      <c r="Q402" s="309"/>
      <c r="R402" s="268"/>
      <c r="S402" s="313"/>
      <c r="T402" s="313"/>
      <c r="U402" s="268"/>
      <c r="V402" s="309"/>
      <c r="W402" s="310"/>
      <c r="X402" s="268"/>
      <c r="Y402" s="268"/>
      <c r="Z402" s="268"/>
      <c r="AA402" s="268"/>
      <c r="AB402" s="268"/>
      <c r="AC402" s="268"/>
    </row>
    <row r="403" spans="1:29" ht="24.75" customHeight="1">
      <c r="A403" s="268"/>
      <c r="B403" s="268"/>
      <c r="C403" s="268"/>
      <c r="D403" s="268"/>
      <c r="E403" s="268"/>
      <c r="F403" s="268"/>
      <c r="G403" s="268"/>
      <c r="H403" s="268"/>
      <c r="I403" s="268"/>
      <c r="J403" s="268"/>
      <c r="K403" s="268"/>
      <c r="L403" s="309"/>
      <c r="M403" s="268"/>
      <c r="N403" s="268"/>
      <c r="O403" s="310"/>
      <c r="P403" s="268"/>
      <c r="Q403" s="309"/>
      <c r="R403" s="268"/>
      <c r="S403" s="313"/>
      <c r="T403" s="313"/>
      <c r="U403" s="268"/>
      <c r="V403" s="309"/>
      <c r="W403" s="310"/>
      <c r="X403" s="268"/>
      <c r="Y403" s="268"/>
      <c r="Z403" s="268"/>
      <c r="AA403" s="268"/>
      <c r="AB403" s="268"/>
      <c r="AC403" s="268"/>
    </row>
    <row r="404" spans="1:29" ht="24.75" customHeight="1">
      <c r="A404" s="268"/>
      <c r="B404" s="268"/>
      <c r="C404" s="268"/>
      <c r="D404" s="268"/>
      <c r="E404" s="268"/>
      <c r="F404" s="268"/>
      <c r="G404" s="268"/>
      <c r="H404" s="268"/>
      <c r="I404" s="268"/>
      <c r="J404" s="268"/>
      <c r="K404" s="268"/>
      <c r="L404" s="309"/>
      <c r="M404" s="268"/>
      <c r="N404" s="268"/>
      <c r="O404" s="310"/>
      <c r="P404" s="268"/>
      <c r="Q404" s="309"/>
      <c r="R404" s="268"/>
      <c r="S404" s="313"/>
      <c r="T404" s="313"/>
      <c r="U404" s="268"/>
      <c r="V404" s="309"/>
      <c r="W404" s="310"/>
      <c r="X404" s="268"/>
      <c r="Y404" s="268"/>
      <c r="Z404" s="268"/>
      <c r="AA404" s="268"/>
      <c r="AB404" s="268"/>
      <c r="AC404" s="268"/>
    </row>
    <row r="405" spans="1:29" ht="24.75" customHeight="1">
      <c r="A405" s="268"/>
      <c r="B405" s="268"/>
      <c r="C405" s="268"/>
      <c r="D405" s="268"/>
      <c r="E405" s="268"/>
      <c r="F405" s="268"/>
      <c r="G405" s="268"/>
      <c r="H405" s="268"/>
      <c r="I405" s="268"/>
      <c r="J405" s="268"/>
      <c r="K405" s="268"/>
      <c r="L405" s="309"/>
      <c r="M405" s="268"/>
      <c r="N405" s="268"/>
      <c r="O405" s="310"/>
      <c r="P405" s="268"/>
      <c r="Q405" s="309"/>
      <c r="R405" s="268"/>
      <c r="S405" s="313"/>
      <c r="T405" s="313"/>
      <c r="U405" s="268"/>
      <c r="V405" s="309"/>
      <c r="W405" s="310"/>
      <c r="X405" s="268"/>
      <c r="Y405" s="268"/>
      <c r="Z405" s="268"/>
      <c r="AA405" s="268"/>
      <c r="AB405" s="268"/>
      <c r="AC405" s="268"/>
    </row>
    <row r="406" spans="1:29" ht="24.75" customHeight="1">
      <c r="A406" s="268"/>
      <c r="B406" s="268"/>
      <c r="C406" s="268"/>
      <c r="D406" s="268"/>
      <c r="E406" s="268"/>
      <c r="F406" s="268"/>
      <c r="G406" s="268"/>
      <c r="H406" s="268"/>
      <c r="I406" s="268"/>
      <c r="J406" s="268"/>
      <c r="K406" s="268"/>
      <c r="L406" s="309"/>
      <c r="M406" s="268"/>
      <c r="N406" s="268"/>
      <c r="O406" s="310"/>
      <c r="P406" s="268"/>
      <c r="Q406" s="309"/>
      <c r="R406" s="268"/>
      <c r="S406" s="313"/>
      <c r="T406" s="313"/>
      <c r="U406" s="268"/>
      <c r="V406" s="309"/>
      <c r="W406" s="310"/>
      <c r="X406" s="268"/>
      <c r="Y406" s="268"/>
      <c r="Z406" s="268"/>
      <c r="AA406" s="268"/>
      <c r="AB406" s="268"/>
      <c r="AC406" s="268"/>
    </row>
    <row r="407" spans="1:29" ht="24.75" customHeight="1">
      <c r="A407" s="268"/>
      <c r="B407" s="268"/>
      <c r="C407" s="268"/>
      <c r="D407" s="268"/>
      <c r="E407" s="268"/>
      <c r="F407" s="268"/>
      <c r="G407" s="268"/>
      <c r="H407" s="268"/>
      <c r="I407" s="268"/>
      <c r="J407" s="268"/>
      <c r="K407" s="268"/>
      <c r="L407" s="309"/>
      <c r="M407" s="268"/>
      <c r="N407" s="268"/>
      <c r="O407" s="310"/>
      <c r="P407" s="268"/>
      <c r="Q407" s="309"/>
      <c r="R407" s="268"/>
      <c r="S407" s="313"/>
      <c r="T407" s="313"/>
      <c r="U407" s="268"/>
      <c r="V407" s="309"/>
      <c r="W407" s="310"/>
      <c r="X407" s="268"/>
      <c r="Y407" s="268"/>
      <c r="Z407" s="268"/>
      <c r="AA407" s="268"/>
      <c r="AB407" s="268"/>
      <c r="AC407" s="268"/>
    </row>
    <row r="408" spans="1:29" ht="24.75" customHeight="1">
      <c r="A408" s="268"/>
      <c r="B408" s="268"/>
      <c r="C408" s="268"/>
      <c r="D408" s="268"/>
      <c r="E408" s="268"/>
      <c r="F408" s="268"/>
      <c r="G408" s="268"/>
      <c r="H408" s="268"/>
      <c r="I408" s="268"/>
      <c r="J408" s="268"/>
      <c r="K408" s="268"/>
      <c r="L408" s="309"/>
      <c r="M408" s="268"/>
      <c r="N408" s="268"/>
      <c r="O408" s="310"/>
      <c r="P408" s="268"/>
      <c r="Q408" s="309"/>
      <c r="R408" s="268"/>
      <c r="S408" s="313"/>
      <c r="T408" s="313"/>
      <c r="U408" s="268"/>
      <c r="V408" s="309"/>
      <c r="W408" s="310"/>
      <c r="X408" s="268"/>
      <c r="Y408" s="268"/>
      <c r="Z408" s="268"/>
      <c r="AA408" s="268"/>
      <c r="AB408" s="268"/>
      <c r="AC408" s="268"/>
    </row>
    <row r="409" spans="1:29" ht="24.75" customHeight="1">
      <c r="A409" s="268"/>
      <c r="B409" s="268"/>
      <c r="C409" s="268"/>
      <c r="D409" s="268"/>
      <c r="E409" s="268"/>
      <c r="F409" s="268"/>
      <c r="G409" s="268"/>
      <c r="H409" s="268"/>
      <c r="I409" s="268"/>
      <c r="J409" s="268"/>
      <c r="K409" s="268"/>
      <c r="L409" s="309"/>
      <c r="M409" s="268"/>
      <c r="N409" s="268"/>
      <c r="O409" s="310"/>
      <c r="P409" s="268"/>
      <c r="Q409" s="309"/>
      <c r="R409" s="268"/>
      <c r="S409" s="313"/>
      <c r="T409" s="313"/>
      <c r="U409" s="268"/>
      <c r="V409" s="309"/>
      <c r="W409" s="310"/>
      <c r="X409" s="268"/>
      <c r="Y409" s="268"/>
      <c r="Z409" s="268"/>
      <c r="AA409" s="268"/>
      <c r="AB409" s="268"/>
      <c r="AC409" s="268"/>
    </row>
    <row r="410" spans="1:29" ht="24.75" customHeight="1">
      <c r="A410" s="268"/>
      <c r="B410" s="268"/>
      <c r="C410" s="268"/>
      <c r="D410" s="268"/>
      <c r="E410" s="268"/>
      <c r="F410" s="268"/>
      <c r="G410" s="268"/>
      <c r="H410" s="268"/>
      <c r="I410" s="268"/>
      <c r="J410" s="268"/>
      <c r="K410" s="268"/>
      <c r="L410" s="309"/>
      <c r="M410" s="268"/>
      <c r="N410" s="268"/>
      <c r="O410" s="310"/>
      <c r="P410" s="268"/>
      <c r="Q410" s="309"/>
      <c r="R410" s="268"/>
      <c r="S410" s="313"/>
      <c r="T410" s="313"/>
      <c r="U410" s="268"/>
      <c r="V410" s="309"/>
      <c r="W410" s="310"/>
      <c r="X410" s="268"/>
      <c r="Y410" s="268"/>
      <c r="Z410" s="268"/>
      <c r="AA410" s="268"/>
      <c r="AB410" s="268"/>
      <c r="AC410" s="268"/>
    </row>
    <row r="411" spans="1:29" ht="24.75" customHeight="1">
      <c r="A411" s="268"/>
      <c r="B411" s="268"/>
      <c r="C411" s="268"/>
      <c r="D411" s="268"/>
      <c r="E411" s="268"/>
      <c r="F411" s="268"/>
      <c r="G411" s="268"/>
      <c r="H411" s="268"/>
      <c r="I411" s="268"/>
      <c r="J411" s="268"/>
      <c r="K411" s="268"/>
      <c r="L411" s="309"/>
      <c r="M411" s="268"/>
      <c r="N411" s="268"/>
      <c r="O411" s="310"/>
      <c r="P411" s="268"/>
      <c r="Q411" s="309"/>
      <c r="R411" s="268"/>
      <c r="S411" s="313"/>
      <c r="T411" s="313"/>
      <c r="U411" s="268"/>
      <c r="V411" s="309"/>
      <c r="W411" s="310"/>
      <c r="X411" s="268"/>
      <c r="Y411" s="268"/>
      <c r="Z411" s="268"/>
      <c r="AA411" s="268"/>
      <c r="AB411" s="268"/>
      <c r="AC411" s="268"/>
    </row>
    <row r="412" spans="1:29" ht="24.75" customHeight="1">
      <c r="A412" s="268"/>
      <c r="B412" s="268"/>
      <c r="C412" s="268"/>
      <c r="D412" s="268"/>
      <c r="E412" s="268"/>
      <c r="F412" s="268"/>
      <c r="G412" s="268"/>
      <c r="H412" s="268"/>
      <c r="I412" s="268"/>
      <c r="J412" s="268"/>
      <c r="K412" s="268"/>
      <c r="L412" s="309"/>
      <c r="M412" s="268"/>
      <c r="N412" s="268"/>
      <c r="O412" s="310"/>
      <c r="P412" s="268"/>
      <c r="Q412" s="309"/>
      <c r="R412" s="268"/>
      <c r="S412" s="313"/>
      <c r="T412" s="313"/>
      <c r="U412" s="268"/>
      <c r="V412" s="309"/>
      <c r="W412" s="310"/>
      <c r="X412" s="268"/>
      <c r="Y412" s="268"/>
      <c r="Z412" s="268"/>
      <c r="AA412" s="268"/>
      <c r="AB412" s="268"/>
      <c r="AC412" s="268"/>
    </row>
    <row r="413" spans="1:29" ht="24.75" customHeight="1">
      <c r="A413" s="268"/>
      <c r="B413" s="268"/>
      <c r="C413" s="268"/>
      <c r="D413" s="268"/>
      <c r="E413" s="268"/>
      <c r="F413" s="268"/>
      <c r="G413" s="268"/>
      <c r="H413" s="268"/>
      <c r="I413" s="268"/>
      <c r="J413" s="268"/>
      <c r="K413" s="268"/>
      <c r="L413" s="309"/>
      <c r="M413" s="268"/>
      <c r="N413" s="268"/>
      <c r="O413" s="310"/>
      <c r="P413" s="268"/>
      <c r="Q413" s="309"/>
      <c r="R413" s="268"/>
      <c r="S413" s="313"/>
      <c r="T413" s="313"/>
      <c r="U413" s="268"/>
      <c r="V413" s="309"/>
      <c r="W413" s="310"/>
      <c r="X413" s="268"/>
      <c r="Y413" s="268"/>
      <c r="Z413" s="268"/>
      <c r="AA413" s="268"/>
      <c r="AB413" s="268"/>
      <c r="AC413" s="268"/>
    </row>
    <row r="414" spans="1:29" ht="24.75" customHeight="1">
      <c r="A414" s="268"/>
      <c r="B414" s="268"/>
      <c r="C414" s="268"/>
      <c r="D414" s="268"/>
      <c r="E414" s="268"/>
      <c r="F414" s="268"/>
      <c r="G414" s="268"/>
      <c r="H414" s="268"/>
      <c r="I414" s="268"/>
      <c r="J414" s="268"/>
      <c r="K414" s="268"/>
      <c r="L414" s="309"/>
      <c r="M414" s="268"/>
      <c r="N414" s="268"/>
      <c r="O414" s="310"/>
      <c r="P414" s="268"/>
      <c r="Q414" s="309"/>
      <c r="R414" s="268"/>
      <c r="S414" s="313"/>
      <c r="T414" s="313"/>
      <c r="U414" s="268"/>
      <c r="V414" s="309"/>
      <c r="W414" s="310"/>
      <c r="X414" s="268"/>
      <c r="Y414" s="268"/>
      <c r="Z414" s="268"/>
      <c r="AA414" s="268"/>
      <c r="AB414" s="268"/>
      <c r="AC414" s="268"/>
    </row>
    <row r="415" spans="1:29" ht="24.75" customHeight="1">
      <c r="A415" s="268"/>
      <c r="B415" s="268"/>
      <c r="C415" s="268"/>
      <c r="D415" s="268"/>
      <c r="E415" s="268"/>
      <c r="F415" s="268"/>
      <c r="G415" s="268"/>
      <c r="H415" s="268"/>
      <c r="I415" s="268"/>
      <c r="J415" s="268"/>
      <c r="K415" s="268"/>
      <c r="L415" s="309"/>
      <c r="M415" s="268"/>
      <c r="N415" s="268"/>
      <c r="O415" s="310"/>
      <c r="P415" s="268"/>
      <c r="Q415" s="309"/>
      <c r="R415" s="268"/>
      <c r="S415" s="313"/>
      <c r="T415" s="313"/>
      <c r="U415" s="268"/>
      <c r="V415" s="309"/>
      <c r="W415" s="310"/>
      <c r="X415" s="268"/>
      <c r="Y415" s="268"/>
      <c r="Z415" s="268"/>
      <c r="AA415" s="268"/>
      <c r="AB415" s="268"/>
      <c r="AC415" s="268"/>
    </row>
    <row r="416" spans="1:29" ht="24.75" customHeight="1">
      <c r="A416" s="268"/>
      <c r="B416" s="268"/>
      <c r="C416" s="268"/>
      <c r="D416" s="268"/>
      <c r="E416" s="268"/>
      <c r="F416" s="268"/>
      <c r="G416" s="268"/>
      <c r="H416" s="268"/>
      <c r="I416" s="268"/>
      <c r="J416" s="268"/>
      <c r="K416" s="268"/>
      <c r="L416" s="309"/>
      <c r="M416" s="268"/>
      <c r="N416" s="268"/>
      <c r="O416" s="310"/>
      <c r="P416" s="268"/>
      <c r="Q416" s="309"/>
      <c r="R416" s="268"/>
      <c r="S416" s="313"/>
      <c r="T416" s="313"/>
      <c r="U416" s="230"/>
      <c r="V416" s="256"/>
      <c r="W416" s="257"/>
      <c r="X416" s="230"/>
      <c r="Y416" s="230"/>
      <c r="Z416" s="230"/>
      <c r="AA416" s="268"/>
      <c r="AB416" s="268"/>
      <c r="AC416" s="268"/>
    </row>
    <row r="417" spans="1:29" ht="24.75" customHeight="1">
      <c r="A417" s="268"/>
      <c r="B417" s="268"/>
      <c r="C417" s="268"/>
      <c r="D417" s="268"/>
      <c r="E417" s="268"/>
      <c r="F417" s="268"/>
      <c r="G417" s="268"/>
      <c r="H417" s="268"/>
      <c r="I417" s="268"/>
      <c r="J417" s="268"/>
      <c r="K417" s="268"/>
      <c r="L417" s="309"/>
      <c r="M417" s="268"/>
      <c r="N417" s="268"/>
      <c r="O417" s="310"/>
      <c r="P417" s="268"/>
      <c r="Q417" s="309"/>
      <c r="R417" s="268"/>
      <c r="S417" s="313"/>
      <c r="T417" s="313"/>
      <c r="U417" s="230"/>
      <c r="V417" s="256"/>
      <c r="W417" s="257"/>
      <c r="X417" s="230"/>
      <c r="Y417" s="230"/>
      <c r="Z417" s="230"/>
      <c r="AA417" s="268"/>
      <c r="AB417" s="268"/>
      <c r="AC417" s="268"/>
    </row>
    <row r="418" spans="1:29" ht="24.75" customHeight="1">
      <c r="A418" s="268"/>
      <c r="B418" s="268"/>
      <c r="C418" s="268"/>
      <c r="D418" s="268"/>
      <c r="E418" s="268"/>
      <c r="F418" s="268"/>
      <c r="G418" s="268"/>
      <c r="H418" s="268"/>
      <c r="I418" s="268"/>
      <c r="J418" s="268"/>
      <c r="K418" s="268"/>
      <c r="L418" s="309"/>
      <c r="M418" s="268"/>
      <c r="N418" s="268"/>
      <c r="O418" s="310"/>
      <c r="P418" s="268"/>
      <c r="Q418" s="309"/>
      <c r="R418" s="268"/>
      <c r="S418" s="313"/>
      <c r="T418" s="313"/>
      <c r="U418" s="230"/>
      <c r="V418" s="256"/>
      <c r="W418" s="257"/>
      <c r="X418" s="230"/>
      <c r="Y418" s="230"/>
      <c r="Z418" s="230"/>
      <c r="AA418" s="268"/>
      <c r="AB418" s="268"/>
      <c r="AC418" s="268"/>
    </row>
    <row r="419" spans="1:29" ht="24.75" customHeight="1">
      <c r="A419" s="268"/>
      <c r="B419" s="268"/>
      <c r="C419" s="268"/>
      <c r="D419" s="268"/>
      <c r="E419" s="268"/>
      <c r="F419" s="268"/>
      <c r="G419" s="268"/>
      <c r="H419" s="268"/>
      <c r="I419" s="268"/>
      <c r="J419" s="268"/>
      <c r="K419" s="268"/>
      <c r="L419" s="309"/>
      <c r="M419" s="268"/>
      <c r="N419" s="268"/>
      <c r="O419" s="310"/>
      <c r="P419" s="268"/>
      <c r="Q419" s="309"/>
      <c r="R419" s="268"/>
      <c r="S419" s="313"/>
      <c r="T419" s="313"/>
      <c r="U419" s="248"/>
      <c r="V419" s="253"/>
      <c r="W419" s="254"/>
      <c r="X419" s="248"/>
      <c r="Y419" s="248"/>
      <c r="Z419" s="248"/>
      <c r="AA419" s="268"/>
      <c r="AB419" s="268"/>
      <c r="AC419" s="268"/>
    </row>
    <row r="420" spans="1:29" ht="24.75" customHeight="1">
      <c r="A420" s="268"/>
      <c r="B420" s="268"/>
      <c r="C420" s="268"/>
      <c r="D420" s="268"/>
      <c r="E420" s="268"/>
      <c r="F420" s="268"/>
      <c r="G420" s="268"/>
      <c r="H420" s="268"/>
      <c r="I420" s="268"/>
      <c r="J420" s="268"/>
      <c r="K420" s="268"/>
      <c r="L420" s="309"/>
      <c r="M420" s="268"/>
      <c r="N420" s="268"/>
      <c r="O420" s="310"/>
      <c r="P420" s="268"/>
      <c r="Q420" s="309"/>
      <c r="R420" s="268"/>
      <c r="S420" s="313"/>
      <c r="T420" s="313"/>
      <c r="U420" s="230"/>
      <c r="V420" s="256"/>
      <c r="W420" s="257"/>
      <c r="X420" s="230"/>
      <c r="Y420" s="230"/>
      <c r="Z420" s="230"/>
      <c r="AA420" s="268"/>
      <c r="AB420" s="268"/>
      <c r="AC420" s="268"/>
    </row>
    <row r="421" spans="1:29" ht="24.75" customHeight="1">
      <c r="A421" s="268"/>
      <c r="B421" s="268"/>
      <c r="C421" s="268"/>
      <c r="D421" s="268"/>
      <c r="E421" s="268"/>
      <c r="F421" s="268"/>
      <c r="G421" s="268"/>
      <c r="H421" s="268"/>
      <c r="I421" s="268"/>
      <c r="J421" s="268"/>
      <c r="K421" s="268"/>
      <c r="L421" s="309"/>
      <c r="M421" s="268"/>
      <c r="N421" s="268"/>
      <c r="O421" s="310"/>
      <c r="P421" s="268"/>
      <c r="Q421" s="309"/>
      <c r="R421" s="268"/>
      <c r="S421" s="313"/>
      <c r="T421" s="313"/>
      <c r="U421" s="230"/>
      <c r="V421" s="256"/>
      <c r="W421" s="257"/>
      <c r="X421" s="230"/>
      <c r="Y421" s="230"/>
      <c r="Z421" s="230"/>
      <c r="AA421" s="268"/>
      <c r="AB421" s="268"/>
      <c r="AC421" s="268"/>
    </row>
    <row r="422" spans="1:29" ht="24.75" customHeight="1">
      <c r="A422" s="268"/>
      <c r="B422" s="268"/>
      <c r="C422" s="268"/>
      <c r="D422" s="268"/>
      <c r="E422" s="268"/>
      <c r="F422" s="268"/>
      <c r="G422" s="268"/>
      <c r="H422" s="268"/>
      <c r="I422" s="268"/>
      <c r="J422" s="268"/>
      <c r="K422" s="268"/>
      <c r="L422" s="309"/>
      <c r="M422" s="268"/>
      <c r="N422" s="268"/>
      <c r="O422" s="310"/>
      <c r="P422" s="268"/>
      <c r="Q422" s="309"/>
      <c r="R422" s="268"/>
      <c r="S422" s="313"/>
      <c r="T422" s="313"/>
      <c r="U422" s="268"/>
      <c r="V422" s="309"/>
      <c r="W422" s="310"/>
      <c r="X422" s="268"/>
      <c r="Y422" s="268"/>
      <c r="Z422" s="268"/>
      <c r="AA422" s="268"/>
      <c r="AB422" s="268"/>
      <c r="AC422" s="268"/>
    </row>
    <row r="423" spans="1:29" ht="24.75" customHeight="1">
      <c r="A423" s="268"/>
      <c r="B423" s="268"/>
      <c r="C423" s="268"/>
      <c r="D423" s="268"/>
      <c r="E423" s="268"/>
      <c r="F423" s="268"/>
      <c r="G423" s="268"/>
      <c r="H423" s="268"/>
      <c r="I423" s="268"/>
      <c r="J423" s="268"/>
      <c r="K423" s="268"/>
      <c r="L423" s="309"/>
      <c r="M423" s="268"/>
      <c r="N423" s="268"/>
      <c r="O423" s="310"/>
      <c r="P423" s="268"/>
      <c r="Q423" s="309"/>
      <c r="R423" s="268"/>
      <c r="S423" s="313"/>
      <c r="T423" s="313"/>
      <c r="U423" s="268"/>
      <c r="V423" s="309"/>
      <c r="W423" s="310"/>
      <c r="X423" s="268"/>
      <c r="Y423" s="268"/>
      <c r="Z423" s="268"/>
      <c r="AA423" s="268"/>
      <c r="AB423" s="268"/>
      <c r="AC423" s="268"/>
    </row>
    <row r="424" spans="1:29" ht="24.75" customHeight="1">
      <c r="A424" s="268"/>
      <c r="B424" s="268"/>
      <c r="C424" s="268"/>
      <c r="D424" s="268"/>
      <c r="E424" s="268"/>
      <c r="F424" s="268"/>
      <c r="G424" s="268"/>
      <c r="H424" s="268"/>
      <c r="I424" s="268"/>
      <c r="J424" s="268"/>
      <c r="K424" s="268"/>
      <c r="L424" s="309"/>
      <c r="M424" s="268"/>
      <c r="N424" s="268"/>
      <c r="O424" s="310"/>
      <c r="P424" s="268"/>
      <c r="Q424" s="309"/>
      <c r="R424" s="268"/>
      <c r="S424" s="313"/>
      <c r="T424" s="313"/>
      <c r="U424" s="268"/>
      <c r="V424" s="309"/>
      <c r="W424" s="310"/>
      <c r="X424" s="268"/>
      <c r="Y424" s="268"/>
      <c r="Z424" s="268"/>
      <c r="AA424" s="268"/>
      <c r="AB424" s="268"/>
      <c r="AC424" s="268"/>
    </row>
    <row r="425" spans="1:29" ht="24.75" customHeight="1">
      <c r="A425" s="268"/>
      <c r="B425" s="268"/>
      <c r="C425" s="268"/>
      <c r="D425" s="268"/>
      <c r="E425" s="268"/>
      <c r="F425" s="268"/>
      <c r="G425" s="268"/>
      <c r="H425" s="268"/>
      <c r="I425" s="268"/>
      <c r="J425" s="268"/>
      <c r="K425" s="268"/>
      <c r="L425" s="309"/>
      <c r="M425" s="268"/>
      <c r="N425" s="268"/>
      <c r="O425" s="310"/>
      <c r="P425" s="268"/>
      <c r="Q425" s="309"/>
      <c r="R425" s="268"/>
      <c r="S425" s="313"/>
      <c r="T425" s="313"/>
      <c r="U425" s="268"/>
      <c r="V425" s="309"/>
      <c r="W425" s="310"/>
      <c r="X425" s="268"/>
      <c r="Y425" s="268"/>
      <c r="Z425" s="268"/>
      <c r="AA425" s="268"/>
      <c r="AB425" s="268"/>
      <c r="AC425" s="268"/>
    </row>
    <row r="426" spans="1:29" ht="24.75" customHeight="1">
      <c r="A426" s="268"/>
      <c r="B426" s="268"/>
      <c r="C426" s="268"/>
      <c r="D426" s="268"/>
      <c r="E426" s="268"/>
      <c r="F426" s="268"/>
      <c r="G426" s="268"/>
      <c r="H426" s="268"/>
      <c r="I426" s="268"/>
      <c r="J426" s="268"/>
      <c r="K426" s="268"/>
      <c r="L426" s="309"/>
      <c r="M426" s="268"/>
      <c r="N426" s="268"/>
      <c r="O426" s="310"/>
      <c r="P426" s="268"/>
      <c r="Q426" s="309"/>
      <c r="R426" s="268"/>
      <c r="S426" s="313"/>
      <c r="T426" s="313"/>
      <c r="U426" s="268"/>
      <c r="V426" s="309"/>
      <c r="W426" s="310"/>
      <c r="X426" s="268"/>
      <c r="Y426" s="268"/>
      <c r="Z426" s="268"/>
      <c r="AA426" s="268"/>
      <c r="AB426" s="268"/>
      <c r="AC426" s="268"/>
    </row>
    <row r="427" spans="1:29" ht="24.75" customHeight="1">
      <c r="A427" s="268"/>
      <c r="B427" s="268"/>
      <c r="C427" s="268"/>
      <c r="D427" s="268"/>
      <c r="E427" s="268"/>
      <c r="F427" s="268"/>
      <c r="G427" s="268"/>
      <c r="H427" s="268"/>
      <c r="I427" s="268"/>
      <c r="J427" s="268"/>
      <c r="K427" s="268"/>
      <c r="L427" s="309"/>
      <c r="M427" s="268"/>
      <c r="N427" s="268"/>
      <c r="O427" s="310"/>
      <c r="P427" s="268"/>
      <c r="Q427" s="309"/>
      <c r="R427" s="268"/>
      <c r="S427" s="313"/>
      <c r="T427" s="313"/>
      <c r="U427" s="268"/>
      <c r="V427" s="309"/>
      <c r="W427" s="310"/>
      <c r="X427" s="268"/>
      <c r="Y427" s="268"/>
      <c r="Z427" s="268"/>
      <c r="AA427" s="268"/>
      <c r="AB427" s="268"/>
      <c r="AC427" s="268"/>
    </row>
    <row r="428" spans="1:29" ht="24.75" customHeight="1">
      <c r="A428" s="268"/>
      <c r="B428" s="268"/>
      <c r="C428" s="268"/>
      <c r="D428" s="268"/>
      <c r="E428" s="268"/>
      <c r="F428" s="268"/>
      <c r="G428" s="268"/>
      <c r="H428" s="268"/>
      <c r="I428" s="268"/>
      <c r="J428" s="268"/>
      <c r="K428" s="268"/>
      <c r="L428" s="309"/>
      <c r="M428" s="268"/>
      <c r="N428" s="268"/>
      <c r="O428" s="310"/>
      <c r="P428" s="268"/>
      <c r="Q428" s="309"/>
      <c r="R428" s="268"/>
      <c r="S428" s="313"/>
      <c r="T428" s="313"/>
      <c r="U428" s="268"/>
      <c r="V428" s="309"/>
      <c r="W428" s="310"/>
      <c r="X428" s="268"/>
      <c r="Y428" s="268"/>
      <c r="Z428" s="268"/>
      <c r="AA428" s="268"/>
      <c r="AB428" s="268"/>
      <c r="AC428" s="268"/>
    </row>
    <row r="429" spans="1:29" ht="24.75" customHeight="1">
      <c r="A429" s="268"/>
      <c r="B429" s="268"/>
      <c r="C429" s="268"/>
      <c r="D429" s="268"/>
      <c r="E429" s="268"/>
      <c r="F429" s="268"/>
      <c r="G429" s="268"/>
      <c r="H429" s="268"/>
      <c r="I429" s="268"/>
      <c r="J429" s="268"/>
      <c r="K429" s="268"/>
      <c r="L429" s="309"/>
      <c r="M429" s="268"/>
      <c r="N429" s="268"/>
      <c r="O429" s="310"/>
      <c r="P429" s="268"/>
      <c r="Q429" s="309"/>
      <c r="R429" s="268"/>
      <c r="S429" s="313"/>
      <c r="T429" s="313"/>
      <c r="U429" s="268"/>
      <c r="V429" s="309"/>
      <c r="W429" s="310"/>
      <c r="X429" s="268"/>
      <c r="Y429" s="268"/>
      <c r="Z429" s="268"/>
      <c r="AA429" s="268"/>
      <c r="AB429" s="268"/>
      <c r="AC429" s="268"/>
    </row>
    <row r="430" spans="1:29" ht="24.75" customHeight="1">
      <c r="A430" s="268"/>
      <c r="B430" s="268"/>
      <c r="C430" s="268"/>
      <c r="D430" s="268"/>
      <c r="E430" s="268"/>
      <c r="F430" s="268"/>
      <c r="G430" s="268"/>
      <c r="H430" s="268"/>
      <c r="I430" s="268"/>
      <c r="J430" s="268"/>
      <c r="K430" s="268"/>
      <c r="L430" s="309"/>
      <c r="M430" s="268"/>
      <c r="N430" s="268"/>
      <c r="O430" s="310"/>
      <c r="P430" s="268"/>
      <c r="Q430" s="309"/>
      <c r="R430" s="268"/>
      <c r="S430" s="313"/>
      <c r="T430" s="313"/>
      <c r="U430" s="268"/>
      <c r="V430" s="309"/>
      <c r="W430" s="310"/>
      <c r="X430" s="268"/>
      <c r="Y430" s="268"/>
      <c r="Z430" s="268"/>
      <c r="AA430" s="268"/>
      <c r="AB430" s="268"/>
      <c r="AC430" s="268"/>
    </row>
    <row r="431" spans="1:29" ht="24.75" customHeight="1">
      <c r="A431" s="268"/>
      <c r="B431" s="268"/>
      <c r="C431" s="268"/>
      <c r="D431" s="268"/>
      <c r="E431" s="268"/>
      <c r="F431" s="268"/>
      <c r="G431" s="268"/>
      <c r="H431" s="268"/>
      <c r="I431" s="268"/>
      <c r="J431" s="268"/>
      <c r="K431" s="268"/>
      <c r="L431" s="309"/>
      <c r="M431" s="268"/>
      <c r="N431" s="268"/>
      <c r="O431" s="310"/>
      <c r="P431" s="268"/>
      <c r="Q431" s="309"/>
      <c r="R431" s="268"/>
      <c r="S431" s="313"/>
      <c r="T431" s="313"/>
      <c r="U431" s="268"/>
      <c r="V431" s="309"/>
      <c r="W431" s="310"/>
      <c r="X431" s="268"/>
      <c r="Y431" s="268"/>
      <c r="Z431" s="268"/>
      <c r="AA431" s="268"/>
      <c r="AB431" s="268"/>
      <c r="AC431" s="268"/>
    </row>
    <row r="432" spans="1:29" ht="24.75" customHeight="1">
      <c r="A432" s="268"/>
      <c r="B432" s="268"/>
      <c r="C432" s="268"/>
      <c r="D432" s="268"/>
      <c r="E432" s="268"/>
      <c r="F432" s="268"/>
      <c r="G432" s="268"/>
      <c r="H432" s="268"/>
      <c r="I432" s="268"/>
      <c r="J432" s="268"/>
      <c r="K432" s="268"/>
      <c r="L432" s="309"/>
      <c r="M432" s="268"/>
      <c r="N432" s="268"/>
      <c r="O432" s="310"/>
      <c r="P432" s="268"/>
      <c r="Q432" s="309"/>
      <c r="R432" s="268"/>
      <c r="S432" s="313"/>
      <c r="T432" s="313"/>
      <c r="U432" s="268"/>
      <c r="V432" s="309"/>
      <c r="W432" s="310"/>
      <c r="X432" s="268"/>
      <c r="Y432" s="268"/>
      <c r="Z432" s="268"/>
      <c r="AA432" s="268"/>
      <c r="AB432" s="268"/>
      <c r="AC432" s="268"/>
    </row>
    <row r="433" spans="1:29" ht="24.75" customHeight="1">
      <c r="A433" s="268"/>
      <c r="B433" s="268"/>
      <c r="C433" s="268"/>
      <c r="D433" s="268"/>
      <c r="E433" s="268"/>
      <c r="F433" s="268"/>
      <c r="G433" s="268"/>
      <c r="H433" s="268"/>
      <c r="I433" s="268"/>
      <c r="J433" s="268"/>
      <c r="K433" s="268"/>
      <c r="L433" s="309"/>
      <c r="M433" s="268"/>
      <c r="N433" s="268"/>
      <c r="O433" s="310"/>
      <c r="P433" s="268"/>
      <c r="Q433" s="309"/>
      <c r="R433" s="268"/>
      <c r="S433" s="313"/>
      <c r="T433" s="313"/>
      <c r="U433" s="268"/>
      <c r="V433" s="309"/>
      <c r="W433" s="310"/>
      <c r="X433" s="268"/>
      <c r="Y433" s="268"/>
      <c r="Z433" s="268"/>
      <c r="AA433" s="268"/>
      <c r="AB433" s="268"/>
      <c r="AC433" s="268"/>
    </row>
    <row r="434" spans="1:29" ht="24.75" customHeight="1">
      <c r="A434" s="268"/>
      <c r="B434" s="268"/>
      <c r="C434" s="268"/>
      <c r="D434" s="268"/>
      <c r="E434" s="268"/>
      <c r="F434" s="268"/>
      <c r="G434" s="268"/>
      <c r="H434" s="268"/>
      <c r="I434" s="268"/>
      <c r="J434" s="268"/>
      <c r="K434" s="268"/>
      <c r="L434" s="309"/>
      <c r="M434" s="268"/>
      <c r="N434" s="268"/>
      <c r="O434" s="310"/>
      <c r="P434" s="268"/>
      <c r="Q434" s="309"/>
      <c r="R434" s="268"/>
      <c r="S434" s="313"/>
      <c r="T434" s="313"/>
      <c r="U434" s="268"/>
      <c r="V434" s="309"/>
      <c r="W434" s="310"/>
      <c r="X434" s="268"/>
      <c r="Y434" s="268"/>
      <c r="Z434" s="268"/>
      <c r="AA434" s="268"/>
      <c r="AB434" s="268"/>
      <c r="AC434" s="268"/>
    </row>
    <row r="435" spans="1:29" ht="24.75" customHeight="1">
      <c r="A435" s="268"/>
      <c r="B435" s="268"/>
      <c r="C435" s="268"/>
      <c r="D435" s="268"/>
      <c r="E435" s="268"/>
      <c r="F435" s="268"/>
      <c r="G435" s="268"/>
      <c r="H435" s="268"/>
      <c r="I435" s="268"/>
      <c r="J435" s="268"/>
      <c r="K435" s="268"/>
      <c r="L435" s="309"/>
      <c r="M435" s="268"/>
      <c r="N435" s="268"/>
      <c r="O435" s="310"/>
      <c r="P435" s="268"/>
      <c r="Q435" s="309"/>
      <c r="R435" s="268"/>
      <c r="S435" s="313"/>
      <c r="T435" s="313"/>
      <c r="U435" s="268"/>
      <c r="V435" s="309"/>
      <c r="W435" s="310"/>
      <c r="X435" s="268"/>
      <c r="Y435" s="268"/>
      <c r="Z435" s="268"/>
      <c r="AA435" s="268"/>
      <c r="AB435" s="268"/>
      <c r="AC435" s="268"/>
    </row>
    <row r="436" spans="1:29" ht="24.75" customHeight="1">
      <c r="A436" s="268"/>
      <c r="B436" s="268"/>
      <c r="C436" s="268"/>
      <c r="D436" s="268"/>
      <c r="E436" s="268"/>
      <c r="F436" s="268"/>
      <c r="G436" s="268"/>
      <c r="H436" s="268"/>
      <c r="I436" s="268"/>
      <c r="J436" s="268"/>
      <c r="K436" s="268"/>
      <c r="L436" s="309"/>
      <c r="M436" s="268"/>
      <c r="N436" s="268"/>
      <c r="O436" s="310"/>
      <c r="P436" s="268"/>
      <c r="Q436" s="309"/>
      <c r="R436" s="268"/>
      <c r="S436" s="313"/>
      <c r="T436" s="313"/>
      <c r="U436" s="268"/>
      <c r="V436" s="309"/>
      <c r="W436" s="310"/>
      <c r="X436" s="268"/>
      <c r="Y436" s="268"/>
      <c r="Z436" s="268"/>
      <c r="AA436" s="268"/>
      <c r="AB436" s="268"/>
      <c r="AC436" s="268"/>
    </row>
    <row r="437" spans="1:29" ht="24.75" customHeight="1">
      <c r="A437" s="268"/>
      <c r="B437" s="268"/>
      <c r="C437" s="268"/>
      <c r="D437" s="268"/>
      <c r="E437" s="268"/>
      <c r="F437" s="268"/>
      <c r="G437" s="268"/>
      <c r="H437" s="268"/>
      <c r="I437" s="268"/>
      <c r="J437" s="268"/>
      <c r="K437" s="268"/>
      <c r="L437" s="309"/>
      <c r="M437" s="268"/>
      <c r="N437" s="268"/>
      <c r="O437" s="310"/>
      <c r="P437" s="268"/>
      <c r="Q437" s="309"/>
      <c r="R437" s="268"/>
      <c r="S437" s="313"/>
      <c r="T437" s="313"/>
      <c r="U437" s="268"/>
      <c r="V437" s="309"/>
      <c r="W437" s="310"/>
      <c r="X437" s="268"/>
      <c r="Y437" s="268"/>
      <c r="Z437" s="268"/>
      <c r="AA437" s="268"/>
      <c r="AB437" s="268"/>
      <c r="AC437" s="268"/>
    </row>
    <row r="438" spans="1:29" ht="24.75" customHeight="1">
      <c r="A438" s="268"/>
      <c r="B438" s="268"/>
      <c r="C438" s="268"/>
      <c r="D438" s="268"/>
      <c r="E438" s="268"/>
      <c r="F438" s="268"/>
      <c r="G438" s="268"/>
      <c r="H438" s="268"/>
      <c r="I438" s="268"/>
      <c r="J438" s="268"/>
      <c r="K438" s="268"/>
      <c r="L438" s="309"/>
      <c r="M438" s="268"/>
      <c r="N438" s="268"/>
      <c r="O438" s="310"/>
      <c r="P438" s="268"/>
      <c r="Q438" s="309"/>
      <c r="R438" s="268"/>
      <c r="S438" s="313"/>
      <c r="T438" s="313"/>
      <c r="U438" s="268"/>
      <c r="V438" s="309"/>
      <c r="W438" s="310"/>
      <c r="X438" s="268"/>
      <c r="Y438" s="268"/>
      <c r="Z438" s="268"/>
      <c r="AA438" s="268"/>
      <c r="AB438" s="268"/>
      <c r="AC438" s="268"/>
    </row>
    <row r="439" spans="1:29" ht="24.75" customHeight="1">
      <c r="A439" s="268"/>
      <c r="B439" s="268"/>
      <c r="C439" s="268"/>
      <c r="D439" s="268"/>
      <c r="E439" s="268"/>
      <c r="F439" s="268"/>
      <c r="G439" s="268"/>
      <c r="H439" s="268"/>
      <c r="I439" s="268"/>
      <c r="J439" s="268"/>
      <c r="K439" s="268"/>
      <c r="L439" s="309"/>
      <c r="M439" s="268"/>
      <c r="N439" s="268"/>
      <c r="O439" s="310"/>
      <c r="P439" s="268"/>
      <c r="Q439" s="309"/>
      <c r="R439" s="268"/>
      <c r="S439" s="313"/>
      <c r="T439" s="313"/>
      <c r="U439" s="268"/>
      <c r="V439" s="309"/>
      <c r="W439" s="310"/>
      <c r="X439" s="268"/>
      <c r="Y439" s="268"/>
      <c r="Z439" s="268"/>
      <c r="AA439" s="268"/>
      <c r="AB439" s="268"/>
      <c r="AC439" s="268"/>
    </row>
    <row r="440" spans="1:29" ht="24.75" customHeight="1">
      <c r="A440" s="268"/>
      <c r="B440" s="268"/>
      <c r="C440" s="268"/>
      <c r="D440" s="268"/>
      <c r="E440" s="268"/>
      <c r="F440" s="268"/>
      <c r="G440" s="268"/>
      <c r="H440" s="268"/>
      <c r="I440" s="268"/>
      <c r="J440" s="268"/>
      <c r="K440" s="268"/>
      <c r="L440" s="309"/>
      <c r="M440" s="268"/>
      <c r="N440" s="268"/>
      <c r="O440" s="310"/>
      <c r="P440" s="268"/>
      <c r="Q440" s="309"/>
      <c r="R440" s="268"/>
      <c r="S440" s="313"/>
      <c r="T440" s="313"/>
      <c r="U440" s="268"/>
      <c r="V440" s="309"/>
      <c r="W440" s="310"/>
      <c r="X440" s="268"/>
      <c r="Y440" s="268"/>
      <c r="Z440" s="268"/>
      <c r="AA440" s="268"/>
      <c r="AB440" s="268"/>
      <c r="AC440" s="268"/>
    </row>
    <row r="441" spans="1:29" ht="24.75" customHeight="1">
      <c r="A441" s="268"/>
      <c r="B441" s="268"/>
      <c r="C441" s="268"/>
      <c r="D441" s="268"/>
      <c r="E441" s="268"/>
      <c r="F441" s="268"/>
      <c r="G441" s="268"/>
      <c r="H441" s="268"/>
      <c r="I441" s="268"/>
      <c r="J441" s="268"/>
      <c r="K441" s="268"/>
      <c r="L441" s="309"/>
      <c r="M441" s="268"/>
      <c r="N441" s="268"/>
      <c r="O441" s="310"/>
      <c r="P441" s="268"/>
      <c r="Q441" s="309"/>
      <c r="R441" s="268"/>
      <c r="S441" s="313"/>
      <c r="T441" s="313"/>
      <c r="U441" s="268"/>
      <c r="V441" s="309"/>
      <c r="W441" s="310"/>
      <c r="X441" s="268"/>
      <c r="Y441" s="268"/>
      <c r="Z441" s="268"/>
      <c r="AA441" s="268"/>
      <c r="AB441" s="268"/>
      <c r="AC441" s="268"/>
    </row>
    <row r="442" spans="1:29" ht="24.75" customHeight="1">
      <c r="A442" s="268"/>
      <c r="B442" s="268"/>
      <c r="C442" s="268"/>
      <c r="D442" s="268"/>
      <c r="E442" s="268"/>
      <c r="F442" s="268"/>
      <c r="G442" s="268"/>
      <c r="H442" s="268"/>
      <c r="I442" s="268"/>
      <c r="J442" s="268"/>
      <c r="K442" s="268"/>
      <c r="L442" s="309"/>
      <c r="M442" s="268"/>
      <c r="N442" s="268"/>
      <c r="O442" s="310"/>
      <c r="P442" s="268"/>
      <c r="Q442" s="309"/>
      <c r="R442" s="268"/>
      <c r="S442" s="313"/>
      <c r="T442" s="313"/>
      <c r="U442" s="268"/>
      <c r="V442" s="309"/>
      <c r="W442" s="310"/>
      <c r="X442" s="268"/>
      <c r="Y442" s="268"/>
      <c r="Z442" s="268"/>
      <c r="AA442" s="268"/>
      <c r="AB442" s="268"/>
      <c r="AC442" s="268"/>
    </row>
    <row r="443" spans="1:29" ht="24.75" customHeight="1">
      <c r="A443" s="268"/>
      <c r="B443" s="268"/>
      <c r="C443" s="268"/>
      <c r="D443" s="268"/>
      <c r="E443" s="268"/>
      <c r="F443" s="268"/>
      <c r="G443" s="268"/>
      <c r="H443" s="268"/>
      <c r="I443" s="268"/>
      <c r="J443" s="268"/>
      <c r="K443" s="268"/>
      <c r="L443" s="309"/>
      <c r="M443" s="268"/>
      <c r="N443" s="268"/>
      <c r="O443" s="310"/>
      <c r="P443" s="268"/>
      <c r="Q443" s="309"/>
      <c r="R443" s="268"/>
      <c r="S443" s="313"/>
      <c r="T443" s="313"/>
      <c r="U443" s="268"/>
      <c r="V443" s="309"/>
      <c r="W443" s="310"/>
      <c r="X443" s="268"/>
      <c r="Y443" s="268"/>
      <c r="Z443" s="268"/>
      <c r="AA443" s="268"/>
      <c r="AB443" s="268"/>
      <c r="AC443" s="268"/>
    </row>
    <row r="444" spans="1:29" ht="24.75" customHeight="1">
      <c r="A444" s="268"/>
      <c r="B444" s="268"/>
      <c r="C444" s="268"/>
      <c r="D444" s="268"/>
      <c r="E444" s="268"/>
      <c r="F444" s="268"/>
      <c r="G444" s="268"/>
      <c r="H444" s="268"/>
      <c r="I444" s="268"/>
      <c r="J444" s="268"/>
      <c r="K444" s="268"/>
      <c r="L444" s="309"/>
      <c r="M444" s="268"/>
      <c r="N444" s="268"/>
      <c r="O444" s="310"/>
      <c r="P444" s="268"/>
      <c r="Q444" s="309"/>
      <c r="R444" s="268"/>
      <c r="S444" s="313"/>
      <c r="T444" s="313"/>
      <c r="U444" s="268"/>
      <c r="V444" s="309"/>
      <c r="W444" s="310"/>
      <c r="X444" s="268"/>
      <c r="Y444" s="268"/>
      <c r="Z444" s="268"/>
      <c r="AA444" s="268"/>
      <c r="AB444" s="268"/>
      <c r="AC444" s="268"/>
    </row>
    <row r="445" spans="1:29" ht="24.75" customHeight="1">
      <c r="A445" s="268"/>
      <c r="B445" s="268"/>
      <c r="C445" s="268"/>
      <c r="D445" s="268"/>
      <c r="E445" s="268"/>
      <c r="F445" s="268"/>
      <c r="G445" s="268"/>
      <c r="H445" s="268"/>
      <c r="I445" s="268"/>
      <c r="J445" s="268"/>
      <c r="K445" s="268"/>
      <c r="L445" s="309"/>
      <c r="M445" s="268"/>
      <c r="N445" s="268"/>
      <c r="O445" s="310"/>
      <c r="P445" s="268"/>
      <c r="Q445" s="309"/>
      <c r="R445" s="268"/>
      <c r="S445" s="313"/>
      <c r="T445" s="313"/>
      <c r="U445" s="268"/>
      <c r="V445" s="309"/>
      <c r="W445" s="310"/>
      <c r="X445" s="268"/>
      <c r="Y445" s="268"/>
      <c r="Z445" s="268"/>
      <c r="AA445" s="268"/>
      <c r="AB445" s="268"/>
      <c r="AC445" s="268"/>
    </row>
    <row r="446" spans="1:29" ht="24.75" customHeight="1">
      <c r="A446" s="268"/>
      <c r="B446" s="268"/>
      <c r="C446" s="268"/>
      <c r="D446" s="268"/>
      <c r="E446" s="268"/>
      <c r="F446" s="268"/>
      <c r="G446" s="268"/>
      <c r="H446" s="268"/>
      <c r="I446" s="268"/>
      <c r="J446" s="268"/>
      <c r="K446" s="268"/>
      <c r="L446" s="309"/>
      <c r="M446" s="268"/>
      <c r="N446" s="268"/>
      <c r="O446" s="310"/>
      <c r="P446" s="268"/>
      <c r="Q446" s="309"/>
      <c r="R446" s="268"/>
      <c r="S446" s="313"/>
      <c r="T446" s="313"/>
      <c r="U446" s="268"/>
      <c r="V446" s="309"/>
      <c r="W446" s="310"/>
      <c r="X446" s="268"/>
      <c r="Y446" s="268"/>
      <c r="Z446" s="268"/>
      <c r="AA446" s="268"/>
      <c r="AB446" s="268"/>
      <c r="AC446" s="268"/>
    </row>
    <row r="447" spans="1:29" ht="24.75" customHeight="1">
      <c r="A447" s="268"/>
      <c r="B447" s="268"/>
      <c r="C447" s="268"/>
      <c r="D447" s="268"/>
      <c r="E447" s="268"/>
      <c r="F447" s="268"/>
      <c r="G447" s="268"/>
      <c r="H447" s="268"/>
      <c r="I447" s="268"/>
      <c r="J447" s="268"/>
      <c r="K447" s="268"/>
      <c r="L447" s="309"/>
      <c r="M447" s="268"/>
      <c r="N447" s="268"/>
      <c r="O447" s="310"/>
      <c r="P447" s="268"/>
      <c r="Q447" s="309"/>
      <c r="R447" s="268"/>
      <c r="S447" s="313"/>
      <c r="T447" s="313"/>
      <c r="U447" s="268"/>
      <c r="V447" s="309"/>
      <c r="W447" s="310"/>
      <c r="X447" s="268"/>
      <c r="Y447" s="268"/>
      <c r="Z447" s="268"/>
      <c r="AA447" s="268"/>
      <c r="AB447" s="268"/>
      <c r="AC447" s="268"/>
    </row>
    <row r="448" spans="1:29" ht="24.75" customHeight="1">
      <c r="A448" s="268"/>
      <c r="B448" s="268"/>
      <c r="C448" s="268"/>
      <c r="D448" s="268"/>
      <c r="E448" s="268"/>
      <c r="F448" s="268"/>
      <c r="G448" s="268"/>
      <c r="H448" s="268"/>
      <c r="I448" s="268"/>
      <c r="J448" s="268"/>
      <c r="K448" s="268"/>
      <c r="L448" s="309"/>
      <c r="M448" s="268"/>
      <c r="N448" s="268"/>
      <c r="O448" s="310"/>
      <c r="P448" s="268"/>
      <c r="Q448" s="309"/>
      <c r="R448" s="268"/>
      <c r="S448" s="313"/>
      <c r="T448" s="313"/>
      <c r="U448" s="268"/>
      <c r="V448" s="309"/>
      <c r="W448" s="310"/>
      <c r="X448" s="268"/>
      <c r="Y448" s="268"/>
      <c r="Z448" s="268"/>
      <c r="AA448" s="268"/>
      <c r="AB448" s="268"/>
      <c r="AC448" s="268"/>
    </row>
    <row r="449" spans="1:29" ht="24.75" customHeight="1">
      <c r="A449" s="268"/>
      <c r="B449" s="268"/>
      <c r="C449" s="268"/>
      <c r="D449" s="268"/>
      <c r="E449" s="268"/>
      <c r="F449" s="268"/>
      <c r="G449" s="268"/>
      <c r="H449" s="268"/>
      <c r="I449" s="268"/>
      <c r="J449" s="268"/>
      <c r="K449" s="268"/>
      <c r="L449" s="309"/>
      <c r="M449" s="268"/>
      <c r="N449" s="268"/>
      <c r="O449" s="310"/>
      <c r="P449" s="268"/>
      <c r="Q449" s="309"/>
      <c r="R449" s="268"/>
      <c r="S449" s="313"/>
      <c r="T449" s="313"/>
      <c r="U449" s="268"/>
      <c r="V449" s="309"/>
      <c r="W449" s="310"/>
      <c r="X449" s="268"/>
      <c r="Y449" s="268"/>
      <c r="Z449" s="268"/>
      <c r="AA449" s="268"/>
      <c r="AB449" s="268"/>
      <c r="AC449" s="268"/>
    </row>
    <row r="450" spans="1:29" ht="24.75" customHeight="1">
      <c r="A450" s="268"/>
      <c r="B450" s="268"/>
      <c r="C450" s="268"/>
      <c r="D450" s="268"/>
      <c r="E450" s="268"/>
      <c r="F450" s="268"/>
      <c r="G450" s="268"/>
      <c r="H450" s="268"/>
      <c r="I450" s="268"/>
      <c r="J450" s="268"/>
      <c r="K450" s="268"/>
      <c r="L450" s="309"/>
      <c r="M450" s="268"/>
      <c r="N450" s="268"/>
      <c r="O450" s="310"/>
      <c r="P450" s="268"/>
      <c r="Q450" s="309"/>
      <c r="R450" s="268"/>
      <c r="S450" s="313"/>
      <c r="T450" s="313"/>
      <c r="U450" s="268"/>
      <c r="V450" s="309"/>
      <c r="W450" s="310"/>
      <c r="X450" s="268"/>
      <c r="Y450" s="268"/>
      <c r="Z450" s="268"/>
      <c r="AA450" s="268"/>
      <c r="AB450" s="268"/>
      <c r="AC450" s="268"/>
    </row>
    <row r="451" spans="1:29" ht="24.75" customHeight="1">
      <c r="A451" s="268"/>
      <c r="B451" s="268"/>
      <c r="C451" s="268"/>
      <c r="D451" s="268"/>
      <c r="E451" s="268"/>
      <c r="F451" s="268"/>
      <c r="G451" s="268"/>
      <c r="H451" s="268"/>
      <c r="I451" s="268"/>
      <c r="J451" s="268"/>
      <c r="K451" s="268"/>
      <c r="L451" s="309"/>
      <c r="M451" s="268"/>
      <c r="N451" s="268"/>
      <c r="O451" s="310"/>
      <c r="P451" s="268"/>
      <c r="Q451" s="309"/>
      <c r="R451" s="268"/>
      <c r="S451" s="313"/>
      <c r="T451" s="313"/>
      <c r="U451" s="268"/>
      <c r="V451" s="309"/>
      <c r="W451" s="310"/>
      <c r="X451" s="268"/>
      <c r="Y451" s="268"/>
      <c r="Z451" s="268"/>
      <c r="AA451" s="268"/>
      <c r="AB451" s="268"/>
      <c r="AC451" s="268"/>
    </row>
    <row r="452" spans="1:29" ht="24.75" customHeight="1">
      <c r="A452" s="268"/>
      <c r="B452" s="268"/>
      <c r="C452" s="268"/>
      <c r="D452" s="268"/>
      <c r="E452" s="268"/>
      <c r="F452" s="268"/>
      <c r="G452" s="268"/>
      <c r="H452" s="268"/>
      <c r="I452" s="268"/>
      <c r="J452" s="268"/>
      <c r="K452" s="268"/>
      <c r="L452" s="309"/>
      <c r="M452" s="268"/>
      <c r="N452" s="268"/>
      <c r="O452" s="310"/>
      <c r="P452" s="268"/>
      <c r="Q452" s="309"/>
      <c r="R452" s="268"/>
      <c r="S452" s="313"/>
      <c r="T452" s="313"/>
      <c r="U452" s="268"/>
      <c r="V452" s="309"/>
      <c r="W452" s="310"/>
      <c r="X452" s="268"/>
      <c r="Y452" s="268"/>
      <c r="Z452" s="268"/>
      <c r="AA452" s="268"/>
      <c r="AB452" s="268"/>
      <c r="AC452" s="268"/>
    </row>
    <row r="453" spans="1:29" ht="24.75" customHeight="1">
      <c r="A453" s="268"/>
      <c r="B453" s="268"/>
      <c r="C453" s="268"/>
      <c r="D453" s="268"/>
      <c r="E453" s="268"/>
      <c r="F453" s="268"/>
      <c r="G453" s="268"/>
      <c r="H453" s="268"/>
      <c r="I453" s="268"/>
      <c r="J453" s="268"/>
      <c r="K453" s="268"/>
      <c r="L453" s="309"/>
      <c r="M453" s="268"/>
      <c r="N453" s="268"/>
      <c r="O453" s="310"/>
      <c r="P453" s="268"/>
      <c r="Q453" s="309"/>
      <c r="R453" s="268"/>
      <c r="S453" s="313"/>
      <c r="T453" s="313"/>
      <c r="U453" s="268"/>
      <c r="V453" s="309"/>
      <c r="W453" s="310"/>
      <c r="X453" s="268"/>
      <c r="Y453" s="268"/>
      <c r="Z453" s="268"/>
      <c r="AA453" s="268"/>
      <c r="AB453" s="268"/>
      <c r="AC453" s="268"/>
    </row>
    <row r="454" spans="1:29" ht="24.75" customHeight="1">
      <c r="A454" s="268"/>
      <c r="B454" s="268"/>
      <c r="C454" s="268"/>
      <c r="D454" s="268"/>
      <c r="E454" s="268"/>
      <c r="F454" s="268"/>
      <c r="G454" s="268"/>
      <c r="H454" s="268"/>
      <c r="I454" s="268"/>
      <c r="J454" s="268"/>
      <c r="K454" s="268"/>
      <c r="L454" s="309"/>
      <c r="M454" s="268"/>
      <c r="N454" s="268"/>
      <c r="O454" s="310"/>
      <c r="P454" s="268"/>
      <c r="Q454" s="309"/>
      <c r="R454" s="268"/>
      <c r="S454" s="313"/>
      <c r="T454" s="313"/>
      <c r="U454" s="268"/>
      <c r="V454" s="309"/>
      <c r="W454" s="310"/>
      <c r="X454" s="268"/>
      <c r="Y454" s="268"/>
      <c r="Z454" s="268"/>
      <c r="AA454" s="268"/>
      <c r="AB454" s="268"/>
      <c r="AC454" s="268"/>
    </row>
    <row r="455" spans="1:29" ht="24.75" customHeight="1">
      <c r="A455" s="268"/>
      <c r="B455" s="268"/>
      <c r="C455" s="268"/>
      <c r="D455" s="268"/>
      <c r="E455" s="268"/>
      <c r="F455" s="268"/>
      <c r="G455" s="268"/>
      <c r="H455" s="268"/>
      <c r="I455" s="268"/>
      <c r="J455" s="268"/>
      <c r="K455" s="268"/>
      <c r="L455" s="309"/>
      <c r="M455" s="268"/>
      <c r="N455" s="268"/>
      <c r="O455" s="310"/>
      <c r="P455" s="268"/>
      <c r="Q455" s="309"/>
      <c r="R455" s="268"/>
      <c r="S455" s="313"/>
      <c r="T455" s="313"/>
      <c r="U455" s="268"/>
      <c r="V455" s="309"/>
      <c r="W455" s="310"/>
      <c r="X455" s="268"/>
      <c r="Y455" s="268"/>
      <c r="Z455" s="268"/>
      <c r="AA455" s="268"/>
      <c r="AB455" s="268"/>
      <c r="AC455" s="268"/>
    </row>
    <row r="456" spans="1:29" ht="24.75" customHeight="1">
      <c r="A456" s="268"/>
      <c r="B456" s="268"/>
      <c r="C456" s="268"/>
      <c r="D456" s="268"/>
      <c r="E456" s="268"/>
      <c r="F456" s="268"/>
      <c r="G456" s="268"/>
      <c r="H456" s="268"/>
      <c r="I456" s="268"/>
      <c r="J456" s="268"/>
      <c r="K456" s="268"/>
      <c r="L456" s="309"/>
      <c r="M456" s="268"/>
      <c r="N456" s="268"/>
      <c r="O456" s="310"/>
      <c r="P456" s="268"/>
      <c r="Q456" s="309"/>
      <c r="R456" s="268"/>
      <c r="S456" s="313"/>
      <c r="T456" s="313"/>
      <c r="U456" s="268"/>
      <c r="V456" s="309"/>
      <c r="W456" s="310"/>
      <c r="X456" s="268"/>
      <c r="Y456" s="268"/>
      <c r="Z456" s="268"/>
      <c r="AA456" s="268"/>
      <c r="AB456" s="268"/>
      <c r="AC456" s="268"/>
    </row>
    <row r="457" spans="1:29" ht="24.75" customHeight="1">
      <c r="A457" s="268"/>
      <c r="B457" s="268"/>
      <c r="C457" s="268"/>
      <c r="D457" s="268"/>
      <c r="E457" s="268"/>
      <c r="F457" s="268"/>
      <c r="G457" s="268"/>
      <c r="H457" s="268"/>
      <c r="I457" s="268"/>
      <c r="J457" s="268"/>
      <c r="K457" s="268"/>
      <c r="L457" s="309"/>
      <c r="M457" s="268"/>
      <c r="N457" s="268"/>
      <c r="O457" s="310"/>
      <c r="P457" s="268"/>
      <c r="Q457" s="309"/>
      <c r="R457" s="268"/>
      <c r="S457" s="313"/>
      <c r="T457" s="313"/>
      <c r="U457" s="268"/>
      <c r="V457" s="309"/>
      <c r="W457" s="310"/>
      <c r="X457" s="268"/>
      <c r="Y457" s="268"/>
      <c r="Z457" s="268"/>
      <c r="AA457" s="268"/>
      <c r="AB457" s="268"/>
      <c r="AC457" s="268"/>
    </row>
    <row r="458" spans="1:29" ht="24.75" customHeight="1">
      <c r="A458" s="268"/>
      <c r="B458" s="268"/>
      <c r="C458" s="268"/>
      <c r="D458" s="268"/>
      <c r="E458" s="268"/>
      <c r="F458" s="268"/>
      <c r="G458" s="268"/>
      <c r="H458" s="268"/>
      <c r="I458" s="268"/>
      <c r="J458" s="268"/>
      <c r="K458" s="268"/>
      <c r="L458" s="309"/>
      <c r="M458" s="268"/>
      <c r="N458" s="268"/>
      <c r="O458" s="310"/>
      <c r="P458" s="268"/>
      <c r="Q458" s="309"/>
      <c r="R458" s="268"/>
      <c r="S458" s="313"/>
      <c r="T458" s="313"/>
      <c r="U458" s="268"/>
      <c r="V458" s="309"/>
      <c r="W458" s="310"/>
      <c r="X458" s="268"/>
      <c r="Y458" s="268"/>
      <c r="Z458" s="268"/>
      <c r="AA458" s="268"/>
      <c r="AB458" s="268"/>
      <c r="AC458" s="268"/>
    </row>
    <row r="459" spans="1:29" ht="24.75" customHeight="1">
      <c r="A459" s="268"/>
      <c r="B459" s="268"/>
      <c r="C459" s="268"/>
      <c r="D459" s="268"/>
      <c r="E459" s="268"/>
      <c r="F459" s="268"/>
      <c r="G459" s="268"/>
      <c r="H459" s="268"/>
      <c r="I459" s="268"/>
      <c r="J459" s="268"/>
      <c r="K459" s="268"/>
      <c r="L459" s="309"/>
      <c r="M459" s="268"/>
      <c r="N459" s="268"/>
      <c r="O459" s="310"/>
      <c r="P459" s="268"/>
      <c r="Q459" s="309"/>
      <c r="R459" s="268"/>
      <c r="S459" s="313"/>
      <c r="T459" s="313"/>
      <c r="U459" s="268"/>
      <c r="V459" s="309"/>
      <c r="W459" s="310"/>
      <c r="X459" s="268"/>
      <c r="Y459" s="268"/>
      <c r="Z459" s="268"/>
      <c r="AA459" s="268"/>
      <c r="AB459" s="268"/>
      <c r="AC459" s="268"/>
    </row>
    <row r="460" spans="1:29" ht="24.75" customHeight="1">
      <c r="A460" s="268"/>
      <c r="B460" s="268"/>
      <c r="C460" s="268"/>
      <c r="D460" s="268"/>
      <c r="E460" s="268"/>
      <c r="F460" s="268"/>
      <c r="G460" s="268"/>
      <c r="H460" s="268"/>
      <c r="I460" s="268"/>
      <c r="J460" s="268"/>
      <c r="K460" s="268"/>
      <c r="L460" s="309"/>
      <c r="M460" s="268"/>
      <c r="N460" s="268"/>
      <c r="O460" s="310"/>
      <c r="P460" s="268"/>
      <c r="Q460" s="309"/>
      <c r="R460" s="268"/>
      <c r="S460" s="313"/>
      <c r="T460" s="313"/>
      <c r="U460" s="268"/>
      <c r="V460" s="309"/>
      <c r="W460" s="310"/>
      <c r="X460" s="268"/>
      <c r="Y460" s="268"/>
      <c r="Z460" s="268"/>
      <c r="AA460" s="268"/>
      <c r="AB460" s="268"/>
      <c r="AC460" s="268"/>
    </row>
    <row r="461" spans="1:29" ht="24.75" customHeight="1">
      <c r="A461" s="268"/>
      <c r="B461" s="268"/>
      <c r="C461" s="268"/>
      <c r="D461" s="268"/>
      <c r="E461" s="268"/>
      <c r="F461" s="268"/>
      <c r="G461" s="268"/>
      <c r="H461" s="268"/>
      <c r="I461" s="268"/>
      <c r="J461" s="268"/>
      <c r="K461" s="268"/>
      <c r="L461" s="309"/>
      <c r="M461" s="268"/>
      <c r="N461" s="268"/>
      <c r="O461" s="310"/>
      <c r="P461" s="268"/>
      <c r="Q461" s="309"/>
      <c r="R461" s="268"/>
      <c r="S461" s="313"/>
      <c r="T461" s="313"/>
      <c r="U461" s="268"/>
      <c r="V461" s="309"/>
      <c r="W461" s="310"/>
      <c r="X461" s="268"/>
      <c r="Y461" s="268"/>
      <c r="Z461" s="268"/>
      <c r="AA461" s="268"/>
      <c r="AB461" s="268"/>
      <c r="AC461" s="268"/>
    </row>
    <row r="462" spans="1:29" ht="24.75" customHeight="1">
      <c r="A462" s="268"/>
      <c r="B462" s="268"/>
      <c r="C462" s="268"/>
      <c r="D462" s="268"/>
      <c r="E462" s="268"/>
      <c r="F462" s="268"/>
      <c r="G462" s="268"/>
      <c r="H462" s="268"/>
      <c r="I462" s="268"/>
      <c r="J462" s="268"/>
      <c r="K462" s="268"/>
      <c r="L462" s="309"/>
      <c r="M462" s="268"/>
      <c r="N462" s="268"/>
      <c r="O462" s="310"/>
      <c r="P462" s="268"/>
      <c r="Q462" s="309"/>
      <c r="R462" s="268"/>
      <c r="S462" s="313"/>
      <c r="T462" s="313"/>
      <c r="U462" s="268"/>
      <c r="V462" s="309"/>
      <c r="W462" s="310"/>
      <c r="X462" s="268"/>
      <c r="Y462" s="268"/>
      <c r="Z462" s="268"/>
      <c r="AA462" s="268"/>
      <c r="AB462" s="268"/>
      <c r="AC462" s="268"/>
    </row>
    <row r="463" spans="1:29" ht="24.75" customHeight="1">
      <c r="A463" s="268"/>
      <c r="B463" s="268"/>
      <c r="C463" s="268"/>
      <c r="D463" s="268"/>
      <c r="E463" s="268"/>
      <c r="F463" s="268"/>
      <c r="G463" s="268"/>
      <c r="H463" s="268"/>
      <c r="I463" s="268"/>
      <c r="J463" s="268"/>
      <c r="K463" s="268"/>
      <c r="L463" s="309"/>
      <c r="M463" s="268"/>
      <c r="N463" s="268"/>
      <c r="O463" s="310"/>
      <c r="P463" s="268"/>
      <c r="Q463" s="309"/>
      <c r="R463" s="268"/>
      <c r="S463" s="313"/>
      <c r="T463" s="313"/>
      <c r="U463" s="268"/>
      <c r="V463" s="309"/>
      <c r="W463" s="310"/>
      <c r="X463" s="268"/>
      <c r="Y463" s="268"/>
      <c r="Z463" s="268"/>
      <c r="AA463" s="268"/>
      <c r="AB463" s="268"/>
      <c r="AC463" s="268"/>
    </row>
    <row r="464" spans="1:29" ht="24.75" customHeight="1">
      <c r="A464" s="268"/>
      <c r="B464" s="268"/>
      <c r="C464" s="268"/>
      <c r="D464" s="268"/>
      <c r="E464" s="268"/>
      <c r="F464" s="268"/>
      <c r="G464" s="268"/>
      <c r="H464" s="268"/>
      <c r="I464" s="268"/>
      <c r="J464" s="268"/>
      <c r="K464" s="268"/>
      <c r="L464" s="309"/>
      <c r="M464" s="268"/>
      <c r="N464" s="268"/>
      <c r="O464" s="310"/>
      <c r="P464" s="268"/>
      <c r="Q464" s="309"/>
      <c r="R464" s="268"/>
      <c r="S464" s="313"/>
      <c r="T464" s="313"/>
      <c r="U464" s="268"/>
      <c r="V464" s="309"/>
      <c r="W464" s="310"/>
      <c r="X464" s="268"/>
      <c r="Y464" s="268"/>
      <c r="Z464" s="268"/>
      <c r="AA464" s="268"/>
      <c r="AB464" s="268"/>
      <c r="AC464" s="268"/>
    </row>
    <row r="465" spans="1:29" ht="24.75" customHeight="1">
      <c r="A465" s="268"/>
      <c r="B465" s="268"/>
      <c r="C465" s="268"/>
      <c r="D465" s="268"/>
      <c r="E465" s="268"/>
      <c r="F465" s="268"/>
      <c r="G465" s="268"/>
      <c r="H465" s="268"/>
      <c r="I465" s="268"/>
      <c r="J465" s="268"/>
      <c r="K465" s="268"/>
      <c r="L465" s="309"/>
      <c r="M465" s="268"/>
      <c r="N465" s="268"/>
      <c r="O465" s="310"/>
      <c r="P465" s="268"/>
      <c r="Q465" s="309"/>
      <c r="R465" s="268"/>
      <c r="S465" s="313"/>
      <c r="T465" s="313"/>
      <c r="U465" s="268"/>
      <c r="V465" s="309"/>
      <c r="W465" s="310"/>
      <c r="X465" s="268"/>
      <c r="Y465" s="268"/>
      <c r="Z465" s="268"/>
      <c r="AA465" s="268"/>
      <c r="AB465" s="268"/>
      <c r="AC465" s="268"/>
    </row>
    <row r="466" spans="1:29" ht="24.75" customHeight="1">
      <c r="A466" s="268"/>
      <c r="B466" s="268"/>
      <c r="C466" s="268"/>
      <c r="D466" s="268"/>
      <c r="E466" s="268"/>
      <c r="F466" s="268"/>
      <c r="G466" s="268"/>
      <c r="H466" s="268"/>
      <c r="I466" s="268"/>
      <c r="J466" s="268"/>
      <c r="K466" s="268"/>
      <c r="L466" s="309"/>
      <c r="M466" s="268"/>
      <c r="N466" s="268"/>
      <c r="O466" s="310"/>
      <c r="P466" s="268"/>
      <c r="Q466" s="309"/>
      <c r="R466" s="268"/>
      <c r="S466" s="313"/>
      <c r="T466" s="313"/>
      <c r="U466" s="268"/>
      <c r="V466" s="309"/>
      <c r="W466" s="310"/>
      <c r="X466" s="268"/>
      <c r="Y466" s="268"/>
      <c r="Z466" s="268"/>
      <c r="AA466" s="268"/>
      <c r="AB466" s="268"/>
      <c r="AC466" s="268"/>
    </row>
    <row r="467" spans="1:29" ht="24.75" customHeight="1">
      <c r="A467" s="268"/>
      <c r="B467" s="268"/>
      <c r="C467" s="268"/>
      <c r="D467" s="268"/>
      <c r="E467" s="268"/>
      <c r="F467" s="268"/>
      <c r="G467" s="268"/>
      <c r="H467" s="268"/>
      <c r="I467" s="268"/>
      <c r="J467" s="268"/>
      <c r="K467" s="268"/>
      <c r="L467" s="309"/>
      <c r="M467" s="268"/>
      <c r="N467" s="268"/>
      <c r="O467" s="310"/>
      <c r="P467" s="268"/>
      <c r="Q467" s="309"/>
      <c r="R467" s="268"/>
      <c r="S467" s="313"/>
      <c r="T467" s="313"/>
      <c r="U467" s="268"/>
      <c r="V467" s="309"/>
      <c r="W467" s="310"/>
      <c r="X467" s="268"/>
      <c r="Y467" s="268"/>
      <c r="Z467" s="268"/>
      <c r="AA467" s="268"/>
      <c r="AB467" s="268"/>
      <c r="AC467" s="268"/>
    </row>
    <row r="468" spans="1:29" ht="24.75" customHeight="1">
      <c r="A468" s="268"/>
      <c r="B468" s="268"/>
      <c r="C468" s="268"/>
      <c r="D468" s="268"/>
      <c r="E468" s="268"/>
      <c r="F468" s="268"/>
      <c r="G468" s="268"/>
      <c r="H468" s="268"/>
      <c r="I468" s="268"/>
      <c r="J468" s="268"/>
      <c r="K468" s="268"/>
      <c r="L468" s="309"/>
      <c r="M468" s="268"/>
      <c r="N468" s="268"/>
      <c r="O468" s="310"/>
      <c r="P468" s="268"/>
      <c r="Q468" s="309"/>
      <c r="R468" s="268"/>
      <c r="S468" s="313"/>
      <c r="T468" s="313"/>
      <c r="U468" s="268"/>
      <c r="V468" s="309"/>
      <c r="W468" s="310"/>
      <c r="X468" s="268"/>
      <c r="Y468" s="268"/>
      <c r="Z468" s="268"/>
      <c r="AA468" s="268"/>
      <c r="AB468" s="268"/>
      <c r="AC468" s="268"/>
    </row>
    <row r="469" spans="1:29" ht="24.75" customHeight="1">
      <c r="A469" s="268"/>
      <c r="B469" s="268"/>
      <c r="C469" s="268"/>
      <c r="D469" s="268"/>
      <c r="E469" s="268"/>
      <c r="F469" s="268"/>
      <c r="G469" s="268"/>
      <c r="H469" s="268"/>
      <c r="I469" s="268"/>
      <c r="J469" s="268"/>
      <c r="K469" s="268"/>
      <c r="L469" s="309"/>
      <c r="M469" s="268"/>
      <c r="N469" s="268"/>
      <c r="O469" s="310"/>
      <c r="P469" s="268"/>
      <c r="Q469" s="309"/>
      <c r="R469" s="268"/>
      <c r="S469" s="313"/>
      <c r="T469" s="313"/>
      <c r="U469" s="268"/>
      <c r="V469" s="309"/>
      <c r="W469" s="310"/>
      <c r="X469" s="268"/>
      <c r="Y469" s="268"/>
      <c r="Z469" s="268"/>
      <c r="AA469" s="268"/>
      <c r="AB469" s="268"/>
      <c r="AC469" s="268"/>
    </row>
    <row r="470" spans="1:29" ht="24.75" customHeight="1">
      <c r="A470" s="268"/>
      <c r="B470" s="268"/>
      <c r="C470" s="268"/>
      <c r="D470" s="268"/>
      <c r="E470" s="268"/>
      <c r="F470" s="268"/>
      <c r="G470" s="268"/>
      <c r="H470" s="268"/>
      <c r="I470" s="268"/>
      <c r="J470" s="268"/>
      <c r="K470" s="268"/>
      <c r="L470" s="309"/>
      <c r="M470" s="268"/>
      <c r="N470" s="268"/>
      <c r="O470" s="310"/>
      <c r="P470" s="268"/>
      <c r="Q470" s="309"/>
      <c r="R470" s="268"/>
      <c r="S470" s="313"/>
      <c r="T470" s="313"/>
      <c r="U470" s="268"/>
      <c r="V470" s="309"/>
      <c r="W470" s="310"/>
      <c r="X470" s="268"/>
      <c r="Y470" s="268"/>
      <c r="Z470" s="268"/>
      <c r="AA470" s="268"/>
      <c r="AB470" s="268"/>
      <c r="AC470" s="268"/>
    </row>
    <row r="471" spans="1:29" ht="24.75" customHeight="1">
      <c r="A471" s="268"/>
      <c r="B471" s="268"/>
      <c r="C471" s="268"/>
      <c r="D471" s="268"/>
      <c r="E471" s="268"/>
      <c r="F471" s="268"/>
      <c r="G471" s="268"/>
      <c r="H471" s="268"/>
      <c r="I471" s="268"/>
      <c r="J471" s="268"/>
      <c r="K471" s="268"/>
      <c r="L471" s="309"/>
      <c r="M471" s="268"/>
      <c r="N471" s="268"/>
      <c r="O471" s="310"/>
      <c r="P471" s="268"/>
      <c r="Q471" s="309"/>
      <c r="R471" s="268"/>
      <c r="S471" s="313"/>
      <c r="T471" s="313"/>
      <c r="U471" s="268"/>
      <c r="V471" s="309"/>
      <c r="W471" s="310"/>
      <c r="X471" s="268"/>
      <c r="Y471" s="268"/>
      <c r="Z471" s="268"/>
      <c r="AA471" s="268"/>
      <c r="AB471" s="268"/>
      <c r="AC471" s="268"/>
    </row>
    <row r="472" spans="1:29" ht="24.75" customHeight="1">
      <c r="A472" s="268"/>
      <c r="B472" s="268"/>
      <c r="C472" s="268"/>
      <c r="D472" s="268"/>
      <c r="E472" s="268"/>
      <c r="F472" s="268"/>
      <c r="G472" s="268"/>
      <c r="H472" s="268"/>
      <c r="I472" s="268"/>
      <c r="J472" s="268"/>
      <c r="K472" s="268"/>
      <c r="L472" s="309"/>
      <c r="M472" s="268"/>
      <c r="N472" s="268"/>
      <c r="O472" s="310"/>
      <c r="P472" s="268"/>
      <c r="Q472" s="309"/>
      <c r="R472" s="268"/>
      <c r="S472" s="313"/>
      <c r="T472" s="313"/>
      <c r="U472" s="268"/>
      <c r="V472" s="309"/>
      <c r="W472" s="310"/>
      <c r="X472" s="268"/>
      <c r="Y472" s="268"/>
      <c r="Z472" s="268"/>
      <c r="AA472" s="268"/>
      <c r="AB472" s="268"/>
      <c r="AC472" s="268"/>
    </row>
    <row r="473" spans="1:29" ht="24.75" customHeight="1">
      <c r="A473" s="268"/>
      <c r="B473" s="268"/>
      <c r="C473" s="268"/>
      <c r="D473" s="268"/>
      <c r="E473" s="268"/>
      <c r="F473" s="268"/>
      <c r="G473" s="268"/>
      <c r="H473" s="268"/>
      <c r="I473" s="268"/>
      <c r="J473" s="268"/>
      <c r="K473" s="268"/>
      <c r="L473" s="309"/>
      <c r="M473" s="268"/>
      <c r="N473" s="268"/>
      <c r="O473" s="310"/>
      <c r="P473" s="268"/>
      <c r="Q473" s="309"/>
      <c r="R473" s="268"/>
      <c r="S473" s="313"/>
      <c r="T473" s="313"/>
      <c r="U473" s="268"/>
      <c r="V473" s="309"/>
      <c r="W473" s="310"/>
      <c r="X473" s="268"/>
      <c r="Y473" s="268"/>
      <c r="Z473" s="268"/>
      <c r="AA473" s="268"/>
      <c r="AB473" s="268"/>
      <c r="AC473" s="268"/>
    </row>
    <row r="474" spans="1:29" ht="24.75" customHeight="1">
      <c r="A474" s="268"/>
      <c r="B474" s="268"/>
      <c r="C474" s="268"/>
      <c r="D474" s="268"/>
      <c r="E474" s="268"/>
      <c r="F474" s="268"/>
      <c r="G474" s="268"/>
      <c r="H474" s="268"/>
      <c r="I474" s="268"/>
      <c r="J474" s="268"/>
      <c r="K474" s="268"/>
      <c r="L474" s="309"/>
      <c r="M474" s="268"/>
      <c r="N474" s="268"/>
      <c r="O474" s="310"/>
      <c r="P474" s="268"/>
      <c r="Q474" s="309"/>
      <c r="R474" s="268"/>
      <c r="S474" s="313"/>
      <c r="T474" s="313"/>
      <c r="U474" s="268"/>
      <c r="V474" s="309"/>
      <c r="W474" s="310"/>
      <c r="X474" s="268"/>
      <c r="Y474" s="268"/>
      <c r="Z474" s="268"/>
      <c r="AA474" s="268"/>
      <c r="AB474" s="268"/>
      <c r="AC474" s="268"/>
    </row>
    <row r="475" spans="1:29" ht="24.75" customHeight="1">
      <c r="A475" s="268"/>
      <c r="B475" s="268"/>
      <c r="C475" s="268"/>
      <c r="D475" s="268"/>
      <c r="E475" s="268"/>
      <c r="F475" s="268"/>
      <c r="G475" s="268"/>
      <c r="H475" s="268"/>
      <c r="I475" s="268"/>
      <c r="J475" s="268"/>
      <c r="K475" s="268"/>
      <c r="L475" s="309"/>
      <c r="M475" s="268"/>
      <c r="N475" s="268"/>
      <c r="O475" s="310"/>
      <c r="P475" s="268"/>
      <c r="Q475" s="309"/>
      <c r="R475" s="268"/>
      <c r="S475" s="313"/>
      <c r="T475" s="313"/>
      <c r="U475" s="268"/>
      <c r="V475" s="309"/>
      <c r="W475" s="310"/>
      <c r="X475" s="268"/>
      <c r="Y475" s="268"/>
      <c r="Z475" s="268"/>
      <c r="AA475" s="268"/>
      <c r="AB475" s="268"/>
      <c r="AC475" s="268"/>
    </row>
    <row r="476" spans="1:29" ht="24.75" customHeight="1">
      <c r="A476" s="268"/>
      <c r="B476" s="268"/>
      <c r="C476" s="268"/>
      <c r="D476" s="268"/>
      <c r="E476" s="268"/>
      <c r="F476" s="268"/>
      <c r="G476" s="268"/>
      <c r="H476" s="268"/>
      <c r="I476" s="268"/>
      <c r="J476" s="268"/>
      <c r="K476" s="268"/>
      <c r="L476" s="309"/>
      <c r="M476" s="268"/>
      <c r="N476" s="268"/>
      <c r="O476" s="310"/>
      <c r="P476" s="268"/>
      <c r="Q476" s="309"/>
      <c r="R476" s="268"/>
      <c r="S476" s="313"/>
      <c r="T476" s="313"/>
      <c r="U476" s="268"/>
      <c r="V476" s="309"/>
      <c r="W476" s="310"/>
      <c r="X476" s="268"/>
      <c r="Y476" s="268"/>
      <c r="Z476" s="268"/>
      <c r="AA476" s="268"/>
      <c r="AB476" s="268"/>
      <c r="AC476" s="268"/>
    </row>
    <row r="477" spans="1:29" ht="24.75" customHeight="1">
      <c r="A477" s="268"/>
      <c r="B477" s="268"/>
      <c r="C477" s="268"/>
      <c r="D477" s="268"/>
      <c r="E477" s="268"/>
      <c r="F477" s="268"/>
      <c r="G477" s="268"/>
      <c r="H477" s="268"/>
      <c r="I477" s="268"/>
      <c r="J477" s="268"/>
      <c r="K477" s="268"/>
      <c r="L477" s="309"/>
      <c r="M477" s="268"/>
      <c r="N477" s="268"/>
      <c r="O477" s="310"/>
      <c r="P477" s="268"/>
      <c r="Q477" s="309"/>
      <c r="R477" s="268"/>
      <c r="S477" s="313"/>
      <c r="T477" s="313"/>
      <c r="U477" s="268"/>
      <c r="V477" s="309"/>
      <c r="W477" s="310"/>
      <c r="X477" s="268"/>
      <c r="Y477" s="268"/>
      <c r="Z477" s="268"/>
      <c r="AA477" s="268"/>
      <c r="AB477" s="268"/>
      <c r="AC477" s="268"/>
    </row>
    <row r="478" spans="1:29" ht="24.75" customHeight="1">
      <c r="A478" s="268"/>
      <c r="B478" s="268"/>
      <c r="C478" s="268"/>
      <c r="D478" s="268"/>
      <c r="E478" s="268"/>
      <c r="F478" s="268"/>
      <c r="G478" s="268"/>
      <c r="H478" s="268"/>
      <c r="I478" s="268"/>
      <c r="J478" s="268"/>
      <c r="K478" s="268"/>
      <c r="L478" s="309"/>
      <c r="M478" s="268"/>
      <c r="N478" s="268"/>
      <c r="O478" s="310"/>
      <c r="P478" s="268"/>
      <c r="Q478" s="309"/>
      <c r="R478" s="268"/>
      <c r="S478" s="313"/>
      <c r="T478" s="313"/>
      <c r="U478" s="268"/>
      <c r="V478" s="309"/>
      <c r="W478" s="310"/>
      <c r="X478" s="268"/>
      <c r="Y478" s="268"/>
      <c r="Z478" s="268"/>
      <c r="AA478" s="268"/>
      <c r="AB478" s="268"/>
      <c r="AC478" s="268"/>
    </row>
    <row r="479" spans="1:29" ht="24.75" customHeight="1">
      <c r="A479" s="268"/>
      <c r="B479" s="268"/>
      <c r="C479" s="268"/>
      <c r="D479" s="268"/>
      <c r="E479" s="268"/>
      <c r="F479" s="268"/>
      <c r="G479" s="268"/>
      <c r="H479" s="268"/>
      <c r="I479" s="268"/>
      <c r="J479" s="268"/>
      <c r="K479" s="268"/>
      <c r="L479" s="309"/>
      <c r="M479" s="268"/>
      <c r="N479" s="268"/>
      <c r="O479" s="310"/>
      <c r="P479" s="268"/>
      <c r="Q479" s="309"/>
      <c r="R479" s="268"/>
      <c r="S479" s="313"/>
      <c r="T479" s="313"/>
      <c r="U479" s="268"/>
      <c r="V479" s="309"/>
      <c r="W479" s="310"/>
      <c r="X479" s="268"/>
      <c r="Y479" s="268"/>
      <c r="Z479" s="268"/>
      <c r="AA479" s="268"/>
      <c r="AB479" s="268"/>
      <c r="AC479" s="268"/>
    </row>
    <row r="480" spans="1:29" ht="24.75" customHeight="1">
      <c r="A480" s="268"/>
      <c r="B480" s="268"/>
      <c r="C480" s="268"/>
      <c r="D480" s="268"/>
      <c r="E480" s="268"/>
      <c r="F480" s="268"/>
      <c r="G480" s="268"/>
      <c r="H480" s="268"/>
      <c r="I480" s="268"/>
      <c r="J480" s="268"/>
      <c r="K480" s="268"/>
      <c r="L480" s="309"/>
      <c r="M480" s="268"/>
      <c r="N480" s="268"/>
      <c r="O480" s="310"/>
      <c r="P480" s="268"/>
      <c r="Q480" s="309"/>
      <c r="R480" s="268"/>
      <c r="S480" s="313"/>
      <c r="T480" s="313"/>
      <c r="U480" s="268"/>
      <c r="V480" s="309"/>
      <c r="W480" s="310"/>
      <c r="X480" s="268"/>
      <c r="Y480" s="268"/>
      <c r="Z480" s="268"/>
      <c r="AA480" s="268"/>
      <c r="AB480" s="268"/>
      <c r="AC480" s="268"/>
    </row>
    <row r="481" spans="1:29" ht="24.75" customHeight="1">
      <c r="A481" s="268"/>
      <c r="B481" s="268"/>
      <c r="C481" s="268"/>
      <c r="D481" s="268"/>
      <c r="E481" s="268"/>
      <c r="F481" s="268"/>
      <c r="G481" s="268"/>
      <c r="H481" s="268"/>
      <c r="I481" s="268"/>
      <c r="J481" s="268"/>
      <c r="K481" s="268"/>
      <c r="L481" s="309"/>
      <c r="M481" s="268"/>
      <c r="N481" s="268"/>
      <c r="O481" s="310"/>
      <c r="P481" s="268"/>
      <c r="Q481" s="309"/>
      <c r="R481" s="268"/>
      <c r="S481" s="313"/>
      <c r="T481" s="313"/>
      <c r="U481" s="268"/>
      <c r="V481" s="309"/>
      <c r="W481" s="310"/>
      <c r="X481" s="268"/>
      <c r="Y481" s="268"/>
      <c r="Z481" s="268"/>
      <c r="AA481" s="268"/>
      <c r="AB481" s="268"/>
      <c r="AC481" s="268"/>
    </row>
    <row r="482" spans="1:29" ht="24.75" customHeight="1">
      <c r="A482" s="268"/>
      <c r="B482" s="268"/>
      <c r="C482" s="268"/>
      <c r="D482" s="268"/>
      <c r="E482" s="268"/>
      <c r="F482" s="268"/>
      <c r="G482" s="268"/>
      <c r="H482" s="268"/>
      <c r="I482" s="268"/>
      <c r="J482" s="268"/>
      <c r="K482" s="268"/>
      <c r="L482" s="309"/>
      <c r="M482" s="268"/>
      <c r="N482" s="268"/>
      <c r="O482" s="310"/>
      <c r="P482" s="268"/>
      <c r="Q482" s="309"/>
      <c r="R482" s="268"/>
      <c r="S482" s="313"/>
      <c r="T482" s="313"/>
      <c r="U482" s="268"/>
      <c r="V482" s="309"/>
      <c r="W482" s="310"/>
      <c r="X482" s="268"/>
      <c r="Y482" s="268"/>
      <c r="Z482" s="268"/>
      <c r="AA482" s="268"/>
      <c r="AB482" s="268"/>
      <c r="AC482" s="268"/>
    </row>
    <row r="483" spans="1:29" ht="24.75" customHeight="1">
      <c r="A483" s="268"/>
      <c r="B483" s="268"/>
      <c r="C483" s="268"/>
      <c r="D483" s="268"/>
      <c r="E483" s="268"/>
      <c r="F483" s="268"/>
      <c r="G483" s="268"/>
      <c r="H483" s="268"/>
      <c r="I483" s="268"/>
      <c r="J483" s="268"/>
      <c r="K483" s="268"/>
      <c r="L483" s="309"/>
      <c r="M483" s="268"/>
      <c r="N483" s="268"/>
      <c r="O483" s="310"/>
      <c r="P483" s="268"/>
      <c r="Q483" s="309"/>
      <c r="R483" s="268"/>
      <c r="S483" s="313"/>
      <c r="T483" s="313"/>
      <c r="U483" s="268"/>
      <c r="V483" s="309"/>
      <c r="W483" s="310"/>
      <c r="X483" s="268"/>
      <c r="Y483" s="268"/>
      <c r="Z483" s="268"/>
      <c r="AA483" s="268"/>
      <c r="AB483" s="268"/>
      <c r="AC483" s="268"/>
    </row>
    <row r="484" spans="1:29" ht="24.75" customHeight="1">
      <c r="A484" s="268"/>
      <c r="B484" s="268"/>
      <c r="C484" s="268"/>
      <c r="D484" s="268"/>
      <c r="E484" s="268"/>
      <c r="F484" s="268"/>
      <c r="G484" s="268"/>
      <c r="H484" s="268"/>
      <c r="I484" s="268"/>
      <c r="J484" s="268"/>
      <c r="K484" s="268"/>
      <c r="L484" s="309"/>
      <c r="M484" s="268"/>
      <c r="N484" s="268"/>
      <c r="O484" s="310"/>
      <c r="P484" s="268"/>
      <c r="Q484" s="309"/>
      <c r="R484" s="268"/>
      <c r="S484" s="313"/>
      <c r="T484" s="313"/>
      <c r="U484" s="268"/>
      <c r="V484" s="309"/>
      <c r="W484" s="310"/>
      <c r="X484" s="268"/>
      <c r="Y484" s="268"/>
      <c r="Z484" s="268"/>
      <c r="AA484" s="268"/>
      <c r="AB484" s="268"/>
      <c r="AC484" s="268"/>
    </row>
    <row r="485" spans="1:29" ht="24.75" customHeight="1">
      <c r="A485" s="268"/>
      <c r="B485" s="268"/>
      <c r="C485" s="268"/>
      <c r="D485" s="268"/>
      <c r="E485" s="268"/>
      <c r="F485" s="268"/>
      <c r="G485" s="268"/>
      <c r="H485" s="268"/>
      <c r="I485" s="268"/>
      <c r="J485" s="268"/>
      <c r="K485" s="268"/>
      <c r="L485" s="309"/>
      <c r="M485" s="268"/>
      <c r="N485" s="268"/>
      <c r="O485" s="310"/>
      <c r="P485" s="268"/>
      <c r="Q485" s="309"/>
      <c r="R485" s="268"/>
      <c r="S485" s="313"/>
      <c r="T485" s="313"/>
      <c r="U485" s="268"/>
      <c r="V485" s="309"/>
      <c r="W485" s="310"/>
      <c r="X485" s="268"/>
      <c r="Y485" s="268"/>
      <c r="Z485" s="268"/>
      <c r="AA485" s="268"/>
      <c r="AB485" s="268"/>
      <c r="AC485" s="268"/>
    </row>
    <row r="486" spans="1:29" ht="24.75" customHeight="1">
      <c r="A486" s="268"/>
      <c r="B486" s="268"/>
      <c r="C486" s="268"/>
      <c r="D486" s="268"/>
      <c r="E486" s="268"/>
      <c r="F486" s="268"/>
      <c r="G486" s="268"/>
      <c r="H486" s="268"/>
      <c r="I486" s="268"/>
      <c r="J486" s="268"/>
      <c r="K486" s="268"/>
      <c r="L486" s="309"/>
      <c r="M486" s="268"/>
      <c r="N486" s="268"/>
      <c r="O486" s="310"/>
      <c r="P486" s="268"/>
      <c r="Q486" s="309"/>
      <c r="R486" s="268"/>
      <c r="S486" s="313"/>
      <c r="T486" s="313"/>
      <c r="U486" s="268"/>
      <c r="V486" s="309"/>
      <c r="W486" s="310"/>
      <c r="X486" s="268"/>
      <c r="Y486" s="268"/>
      <c r="Z486" s="268"/>
      <c r="AA486" s="268"/>
      <c r="AB486" s="268"/>
      <c r="AC486" s="268"/>
    </row>
    <row r="487" spans="1:29" ht="24.75" customHeight="1">
      <c r="A487" s="268"/>
      <c r="B487" s="268"/>
      <c r="C487" s="268"/>
      <c r="D487" s="268"/>
      <c r="E487" s="268"/>
      <c r="F487" s="268"/>
      <c r="G487" s="268"/>
      <c r="H487" s="268"/>
      <c r="I487" s="268"/>
      <c r="J487" s="268"/>
      <c r="K487" s="268"/>
      <c r="L487" s="309"/>
      <c r="M487" s="268"/>
      <c r="N487" s="268"/>
      <c r="O487" s="310"/>
      <c r="P487" s="268"/>
      <c r="Q487" s="309"/>
      <c r="R487" s="268"/>
      <c r="S487" s="313"/>
      <c r="T487" s="313"/>
      <c r="U487" s="268"/>
      <c r="V487" s="309"/>
      <c r="W487" s="310"/>
      <c r="X487" s="268"/>
      <c r="Y487" s="268"/>
      <c r="Z487" s="268"/>
      <c r="AA487" s="268"/>
      <c r="AB487" s="268"/>
      <c r="AC487" s="268"/>
    </row>
    <row r="488" spans="1:29" ht="24.75" customHeight="1">
      <c r="A488" s="268"/>
      <c r="B488" s="268"/>
      <c r="C488" s="268"/>
      <c r="D488" s="268"/>
      <c r="E488" s="268"/>
      <c r="F488" s="268"/>
      <c r="G488" s="268"/>
      <c r="H488" s="268"/>
      <c r="I488" s="268"/>
      <c r="J488" s="268"/>
      <c r="K488" s="268"/>
      <c r="L488" s="309"/>
      <c r="M488" s="268"/>
      <c r="N488" s="268"/>
      <c r="O488" s="310"/>
      <c r="P488" s="268"/>
      <c r="Q488" s="309"/>
      <c r="R488" s="268"/>
      <c r="S488" s="313"/>
      <c r="T488" s="313"/>
      <c r="U488" s="268"/>
      <c r="V488" s="309"/>
      <c r="W488" s="310"/>
      <c r="X488" s="268"/>
      <c r="Y488" s="268"/>
      <c r="Z488" s="268"/>
      <c r="AA488" s="268"/>
      <c r="AB488" s="268"/>
      <c r="AC488" s="268"/>
    </row>
    <row r="489" spans="1:29" ht="24.75" customHeight="1">
      <c r="A489" s="268"/>
      <c r="B489" s="268"/>
      <c r="C489" s="268"/>
      <c r="D489" s="268"/>
      <c r="E489" s="268"/>
      <c r="F489" s="268"/>
      <c r="G489" s="268"/>
      <c r="H489" s="268"/>
      <c r="I489" s="268"/>
      <c r="J489" s="268"/>
      <c r="K489" s="268"/>
      <c r="L489" s="309"/>
      <c r="M489" s="268"/>
      <c r="N489" s="268"/>
      <c r="O489" s="310"/>
      <c r="P489" s="268"/>
      <c r="Q489" s="309"/>
      <c r="R489" s="268"/>
      <c r="S489" s="313"/>
      <c r="T489" s="313"/>
      <c r="U489" s="268"/>
      <c r="V489" s="309"/>
      <c r="W489" s="310"/>
      <c r="X489" s="268"/>
      <c r="Y489" s="268"/>
      <c r="Z489" s="268"/>
      <c r="AA489" s="268"/>
      <c r="AB489" s="268"/>
      <c r="AC489" s="268"/>
    </row>
    <row r="490" spans="1:29" ht="24.75" customHeight="1">
      <c r="A490" s="268"/>
      <c r="B490" s="268"/>
      <c r="C490" s="268"/>
      <c r="D490" s="268"/>
      <c r="E490" s="268"/>
      <c r="F490" s="268"/>
      <c r="G490" s="268"/>
      <c r="H490" s="268"/>
      <c r="I490" s="268"/>
      <c r="J490" s="268"/>
      <c r="K490" s="268"/>
      <c r="L490" s="309"/>
      <c r="M490" s="268"/>
      <c r="N490" s="268"/>
      <c r="O490" s="310"/>
      <c r="P490" s="268"/>
      <c r="Q490" s="309"/>
      <c r="R490" s="268"/>
      <c r="S490" s="313"/>
      <c r="T490" s="313"/>
      <c r="U490" s="268"/>
      <c r="V490" s="309"/>
      <c r="W490" s="310"/>
      <c r="X490" s="268"/>
      <c r="Y490" s="268"/>
      <c r="Z490" s="268"/>
      <c r="AA490" s="268"/>
      <c r="AB490" s="268"/>
      <c r="AC490" s="268"/>
    </row>
    <row r="491" spans="1:29" ht="24.75" customHeight="1">
      <c r="A491" s="268"/>
      <c r="B491" s="268"/>
      <c r="C491" s="268"/>
      <c r="D491" s="268"/>
      <c r="E491" s="268"/>
      <c r="F491" s="268"/>
      <c r="G491" s="268"/>
      <c r="H491" s="268"/>
      <c r="I491" s="268"/>
      <c r="J491" s="268"/>
      <c r="K491" s="268"/>
      <c r="L491" s="309"/>
      <c r="M491" s="268"/>
      <c r="N491" s="268"/>
      <c r="O491" s="310"/>
      <c r="P491" s="268"/>
      <c r="Q491" s="309"/>
      <c r="R491" s="268"/>
      <c r="S491" s="313"/>
      <c r="T491" s="313"/>
      <c r="U491" s="268"/>
      <c r="V491" s="309"/>
      <c r="W491" s="310"/>
      <c r="X491" s="268"/>
      <c r="Y491" s="268"/>
      <c r="Z491" s="268"/>
      <c r="AA491" s="268"/>
      <c r="AB491" s="268"/>
      <c r="AC491" s="268"/>
    </row>
    <row r="492" spans="1:29" ht="24.75" customHeight="1">
      <c r="A492" s="268"/>
      <c r="B492" s="268"/>
      <c r="C492" s="268"/>
      <c r="D492" s="268"/>
      <c r="E492" s="268"/>
      <c r="F492" s="268"/>
      <c r="G492" s="268"/>
      <c r="H492" s="268"/>
      <c r="I492" s="268"/>
      <c r="J492" s="268"/>
      <c r="K492" s="268"/>
      <c r="L492" s="309"/>
      <c r="M492" s="268"/>
      <c r="N492" s="268"/>
      <c r="O492" s="310"/>
      <c r="P492" s="268"/>
      <c r="Q492" s="309"/>
      <c r="R492" s="268"/>
      <c r="S492" s="313"/>
      <c r="T492" s="313"/>
      <c r="U492" s="268"/>
      <c r="V492" s="309"/>
      <c r="W492" s="310"/>
      <c r="X492" s="268"/>
      <c r="Y492" s="268"/>
      <c r="Z492" s="268"/>
      <c r="AA492" s="268"/>
      <c r="AB492" s="268"/>
      <c r="AC492" s="268"/>
    </row>
    <row r="493" spans="1:29" ht="24.75" customHeight="1">
      <c r="A493" s="268"/>
      <c r="B493" s="268"/>
      <c r="C493" s="268"/>
      <c r="D493" s="268"/>
      <c r="E493" s="268"/>
      <c r="F493" s="268"/>
      <c r="G493" s="268"/>
      <c r="H493" s="268"/>
      <c r="I493" s="268"/>
      <c r="J493" s="268"/>
      <c r="K493" s="268"/>
      <c r="L493" s="309"/>
      <c r="M493" s="268"/>
      <c r="N493" s="268"/>
      <c r="O493" s="310"/>
      <c r="P493" s="268"/>
      <c r="Q493" s="309"/>
      <c r="R493" s="268"/>
      <c r="S493" s="313"/>
      <c r="T493" s="313"/>
      <c r="U493" s="268"/>
      <c r="V493" s="309"/>
      <c r="W493" s="310"/>
      <c r="X493" s="268"/>
      <c r="Y493" s="268"/>
      <c r="Z493" s="268"/>
      <c r="AA493" s="268"/>
      <c r="AB493" s="268"/>
      <c r="AC493" s="268"/>
    </row>
    <row r="494" spans="1:29" ht="24.75" customHeight="1">
      <c r="A494" s="268"/>
      <c r="B494" s="268"/>
      <c r="C494" s="268"/>
      <c r="D494" s="268"/>
      <c r="E494" s="268"/>
      <c r="F494" s="268"/>
      <c r="G494" s="268"/>
      <c r="H494" s="268"/>
      <c r="I494" s="268"/>
      <c r="J494" s="268"/>
      <c r="K494" s="268"/>
      <c r="L494" s="309"/>
      <c r="M494" s="268"/>
      <c r="N494" s="268"/>
      <c r="O494" s="310"/>
      <c r="P494" s="268"/>
      <c r="Q494" s="309"/>
      <c r="R494" s="268"/>
      <c r="S494" s="313"/>
      <c r="T494" s="313"/>
      <c r="U494" s="268"/>
      <c r="V494" s="309"/>
      <c r="W494" s="310"/>
      <c r="X494" s="268"/>
      <c r="Y494" s="268"/>
      <c r="Z494" s="268"/>
      <c r="AA494" s="268"/>
      <c r="AB494" s="268"/>
      <c r="AC494" s="268"/>
    </row>
    <row r="495" spans="1:29" ht="24.75" customHeight="1">
      <c r="A495" s="268"/>
      <c r="B495" s="268"/>
      <c r="C495" s="268"/>
      <c r="D495" s="268"/>
      <c r="E495" s="268"/>
      <c r="F495" s="268"/>
      <c r="G495" s="268"/>
      <c r="H495" s="268"/>
      <c r="I495" s="268"/>
      <c r="J495" s="268"/>
      <c r="K495" s="268"/>
      <c r="L495" s="309"/>
      <c r="M495" s="268"/>
      <c r="N495" s="268"/>
      <c r="O495" s="310"/>
      <c r="P495" s="268"/>
      <c r="Q495" s="309"/>
      <c r="R495" s="268"/>
      <c r="S495" s="313"/>
      <c r="T495" s="313"/>
      <c r="U495" s="268"/>
      <c r="V495" s="309"/>
      <c r="W495" s="310"/>
      <c r="X495" s="268"/>
      <c r="Y495" s="268"/>
      <c r="Z495" s="268"/>
      <c r="AA495" s="268"/>
      <c r="AB495" s="268"/>
      <c r="AC495" s="268"/>
    </row>
    <row r="496" spans="1:29" ht="24.75" customHeight="1">
      <c r="A496" s="268"/>
      <c r="B496" s="268"/>
      <c r="C496" s="268"/>
      <c r="D496" s="268"/>
      <c r="E496" s="268"/>
      <c r="F496" s="268"/>
      <c r="G496" s="268"/>
      <c r="H496" s="268"/>
      <c r="I496" s="268"/>
      <c r="J496" s="268"/>
      <c r="K496" s="268"/>
      <c r="L496" s="309"/>
      <c r="M496" s="268"/>
      <c r="N496" s="268"/>
      <c r="O496" s="310"/>
      <c r="P496" s="268"/>
      <c r="Q496" s="309"/>
      <c r="R496" s="268"/>
      <c r="S496" s="313"/>
      <c r="T496" s="313"/>
      <c r="U496" s="268"/>
      <c r="V496" s="309"/>
      <c r="W496" s="310"/>
      <c r="X496" s="268"/>
      <c r="Y496" s="268"/>
      <c r="Z496" s="268"/>
      <c r="AA496" s="268"/>
      <c r="AB496" s="268"/>
      <c r="AC496" s="268"/>
    </row>
    <row r="497" spans="1:29" ht="24.75" customHeight="1">
      <c r="A497" s="268"/>
      <c r="B497" s="268"/>
      <c r="C497" s="268"/>
      <c r="D497" s="268"/>
      <c r="E497" s="268"/>
      <c r="F497" s="268"/>
      <c r="G497" s="268"/>
      <c r="H497" s="268"/>
      <c r="I497" s="268"/>
      <c r="J497" s="268"/>
      <c r="K497" s="268"/>
      <c r="L497" s="309"/>
      <c r="M497" s="268"/>
      <c r="N497" s="268"/>
      <c r="O497" s="310"/>
      <c r="P497" s="268"/>
      <c r="Q497" s="309"/>
      <c r="R497" s="268"/>
      <c r="S497" s="313"/>
      <c r="T497" s="313"/>
      <c r="U497" s="268"/>
      <c r="V497" s="309"/>
      <c r="W497" s="310"/>
      <c r="X497" s="268"/>
      <c r="Y497" s="268"/>
      <c r="Z497" s="268"/>
      <c r="AA497" s="268"/>
      <c r="AB497" s="268"/>
      <c r="AC497" s="268"/>
    </row>
    <row r="498" spans="1:29" ht="24.75" customHeight="1">
      <c r="A498" s="268"/>
      <c r="B498" s="268"/>
      <c r="C498" s="268"/>
      <c r="D498" s="268"/>
      <c r="E498" s="268"/>
      <c r="F498" s="268"/>
      <c r="G498" s="268"/>
      <c r="H498" s="268"/>
      <c r="I498" s="268"/>
      <c r="J498" s="268"/>
      <c r="K498" s="268"/>
      <c r="L498" s="309"/>
      <c r="M498" s="268"/>
      <c r="N498" s="268"/>
      <c r="O498" s="310"/>
      <c r="P498" s="268"/>
      <c r="Q498" s="309"/>
      <c r="R498" s="268"/>
      <c r="S498" s="313"/>
      <c r="T498" s="313"/>
      <c r="U498" s="268"/>
      <c r="V498" s="309"/>
      <c r="W498" s="310"/>
      <c r="X498" s="268"/>
      <c r="Y498" s="268"/>
      <c r="Z498" s="268"/>
      <c r="AA498" s="268"/>
      <c r="AB498" s="268"/>
      <c r="AC498" s="268"/>
    </row>
    <row r="499" spans="1:29" ht="24.75" customHeight="1">
      <c r="A499" s="268"/>
      <c r="B499" s="268"/>
      <c r="C499" s="268"/>
      <c r="D499" s="268"/>
      <c r="E499" s="268"/>
      <c r="F499" s="268"/>
      <c r="G499" s="268"/>
      <c r="H499" s="268"/>
      <c r="I499" s="268"/>
      <c r="J499" s="268"/>
      <c r="K499" s="268"/>
      <c r="L499" s="309"/>
      <c r="M499" s="268"/>
      <c r="N499" s="268"/>
      <c r="O499" s="310"/>
      <c r="P499" s="268"/>
      <c r="Q499" s="309"/>
      <c r="R499" s="268"/>
      <c r="S499" s="313"/>
      <c r="T499" s="313"/>
      <c r="U499" s="268"/>
      <c r="V499" s="309"/>
      <c r="W499" s="310"/>
      <c r="X499" s="268"/>
      <c r="Y499" s="268"/>
      <c r="Z499" s="268"/>
      <c r="AA499" s="268"/>
      <c r="AB499" s="268"/>
      <c r="AC499" s="268"/>
    </row>
    <row r="500" spans="1:29" ht="24.75" customHeight="1">
      <c r="A500" s="268"/>
      <c r="B500" s="268"/>
      <c r="C500" s="268"/>
      <c r="D500" s="268"/>
      <c r="E500" s="268"/>
      <c r="F500" s="268"/>
      <c r="G500" s="268"/>
      <c r="H500" s="268"/>
      <c r="I500" s="268"/>
      <c r="J500" s="268"/>
      <c r="K500" s="268"/>
      <c r="L500" s="309"/>
      <c r="M500" s="268"/>
      <c r="N500" s="268"/>
      <c r="O500" s="310"/>
      <c r="P500" s="268"/>
      <c r="Q500" s="309"/>
      <c r="R500" s="268"/>
      <c r="S500" s="313"/>
      <c r="T500" s="313"/>
      <c r="U500" s="268"/>
      <c r="V500" s="309"/>
      <c r="W500" s="310"/>
      <c r="X500" s="268"/>
      <c r="Y500" s="268"/>
      <c r="Z500" s="268"/>
      <c r="AA500" s="268"/>
      <c r="AB500" s="268"/>
      <c r="AC500" s="268"/>
    </row>
    <row r="501" spans="1:29" ht="24.75" customHeight="1">
      <c r="A501" s="268"/>
      <c r="B501" s="268"/>
      <c r="C501" s="268"/>
      <c r="D501" s="268"/>
      <c r="E501" s="268"/>
      <c r="F501" s="268"/>
      <c r="G501" s="268"/>
      <c r="H501" s="268"/>
      <c r="I501" s="268"/>
      <c r="J501" s="268"/>
      <c r="K501" s="268"/>
      <c r="L501" s="309"/>
      <c r="M501" s="268"/>
      <c r="N501" s="268"/>
      <c r="O501" s="310"/>
      <c r="P501" s="268"/>
      <c r="Q501" s="309"/>
      <c r="R501" s="268"/>
      <c r="S501" s="313"/>
      <c r="T501" s="313"/>
      <c r="U501" s="268"/>
      <c r="V501" s="309"/>
      <c r="W501" s="310"/>
      <c r="X501" s="268"/>
      <c r="Y501" s="268"/>
      <c r="Z501" s="268"/>
      <c r="AA501" s="268"/>
      <c r="AB501" s="268"/>
      <c r="AC501" s="268"/>
    </row>
    <row r="502" spans="1:29" ht="24.75" customHeight="1">
      <c r="A502" s="268"/>
      <c r="B502" s="268"/>
      <c r="C502" s="268"/>
      <c r="D502" s="268"/>
      <c r="E502" s="268"/>
      <c r="F502" s="268"/>
      <c r="G502" s="268"/>
      <c r="H502" s="268"/>
      <c r="I502" s="268"/>
      <c r="J502" s="268"/>
      <c r="K502" s="268"/>
      <c r="L502" s="309"/>
      <c r="M502" s="268"/>
      <c r="N502" s="268"/>
      <c r="O502" s="310"/>
      <c r="P502" s="268"/>
      <c r="Q502" s="309"/>
      <c r="R502" s="268"/>
      <c r="S502" s="313"/>
      <c r="T502" s="313"/>
      <c r="U502" s="268"/>
      <c r="V502" s="309"/>
      <c r="W502" s="310"/>
      <c r="X502" s="268"/>
      <c r="Y502" s="268"/>
      <c r="Z502" s="268"/>
      <c r="AA502" s="268"/>
      <c r="AB502" s="268"/>
      <c r="AC502" s="268"/>
    </row>
    <row r="503" spans="1:29" ht="24.75" customHeight="1">
      <c r="A503" s="268"/>
      <c r="B503" s="268"/>
      <c r="C503" s="268"/>
      <c r="D503" s="268"/>
      <c r="E503" s="268"/>
      <c r="F503" s="268"/>
      <c r="G503" s="268"/>
      <c r="H503" s="268"/>
      <c r="I503" s="268"/>
      <c r="J503" s="268"/>
      <c r="K503" s="268"/>
      <c r="L503" s="309"/>
      <c r="M503" s="268"/>
      <c r="N503" s="268"/>
      <c r="O503" s="310"/>
      <c r="P503" s="268"/>
      <c r="Q503" s="309"/>
      <c r="R503" s="268"/>
      <c r="S503" s="313"/>
      <c r="T503" s="313"/>
      <c r="U503" s="268"/>
      <c r="V503" s="309"/>
      <c r="W503" s="310"/>
      <c r="X503" s="268"/>
      <c r="Y503" s="268"/>
      <c r="Z503" s="268"/>
      <c r="AA503" s="268"/>
      <c r="AB503" s="268"/>
      <c r="AC503" s="268"/>
    </row>
    <row r="504" spans="1:29" ht="24.75" customHeight="1">
      <c r="A504" s="268"/>
      <c r="B504" s="268"/>
      <c r="C504" s="268"/>
      <c r="D504" s="268"/>
      <c r="E504" s="268"/>
      <c r="F504" s="268"/>
      <c r="G504" s="268"/>
      <c r="H504" s="268"/>
      <c r="I504" s="268"/>
      <c r="J504" s="268"/>
      <c r="K504" s="268"/>
      <c r="L504" s="309"/>
      <c r="M504" s="268"/>
      <c r="N504" s="268"/>
      <c r="O504" s="310"/>
      <c r="P504" s="268"/>
      <c r="Q504" s="309"/>
      <c r="R504" s="268"/>
      <c r="S504" s="313"/>
      <c r="T504" s="313"/>
      <c r="U504" s="268"/>
      <c r="V504" s="309"/>
      <c r="W504" s="310"/>
      <c r="X504" s="268"/>
      <c r="Y504" s="268"/>
      <c r="Z504" s="268"/>
      <c r="AA504" s="268"/>
      <c r="AB504" s="268"/>
      <c r="AC504" s="268"/>
    </row>
    <row r="505" spans="1:29" ht="24.75" customHeight="1">
      <c r="A505" s="268"/>
      <c r="B505" s="268"/>
      <c r="C505" s="268"/>
      <c r="D505" s="268"/>
      <c r="E505" s="268"/>
      <c r="F505" s="268"/>
      <c r="G505" s="268"/>
      <c r="H505" s="268"/>
      <c r="I505" s="268"/>
      <c r="J505" s="268"/>
      <c r="K505" s="268"/>
      <c r="L505" s="309"/>
      <c r="M505" s="268"/>
      <c r="N505" s="268"/>
      <c r="O505" s="310"/>
      <c r="P505" s="268"/>
      <c r="Q505" s="309"/>
      <c r="R505" s="268"/>
      <c r="S505" s="313"/>
      <c r="T505" s="313"/>
      <c r="U505" s="268"/>
      <c r="V505" s="309"/>
      <c r="W505" s="310"/>
      <c r="X505" s="268"/>
      <c r="Y505" s="268"/>
      <c r="Z505" s="268"/>
      <c r="AA505" s="268"/>
      <c r="AB505" s="268"/>
      <c r="AC505" s="268"/>
    </row>
    <row r="506" spans="1:29" ht="24.75" customHeight="1">
      <c r="A506" s="268"/>
      <c r="B506" s="268"/>
      <c r="C506" s="268"/>
      <c r="D506" s="268"/>
      <c r="E506" s="268"/>
      <c r="F506" s="268"/>
      <c r="G506" s="268"/>
      <c r="H506" s="268"/>
      <c r="I506" s="268"/>
      <c r="J506" s="268"/>
      <c r="K506" s="268"/>
      <c r="L506" s="309"/>
      <c r="M506" s="268"/>
      <c r="N506" s="268"/>
      <c r="O506" s="310"/>
      <c r="P506" s="268"/>
      <c r="Q506" s="309"/>
      <c r="R506" s="268"/>
      <c r="S506" s="313"/>
      <c r="T506" s="313"/>
      <c r="U506" s="268"/>
      <c r="V506" s="309"/>
      <c r="W506" s="310"/>
      <c r="X506" s="268"/>
      <c r="Y506" s="268"/>
      <c r="Z506" s="268"/>
      <c r="AA506" s="268"/>
      <c r="AB506" s="268"/>
      <c r="AC506" s="268"/>
    </row>
    <row r="507" spans="1:29" ht="24.75" customHeight="1">
      <c r="A507" s="268"/>
      <c r="B507" s="268"/>
      <c r="C507" s="268"/>
      <c r="D507" s="268"/>
      <c r="E507" s="268"/>
      <c r="F507" s="268"/>
      <c r="G507" s="268"/>
      <c r="H507" s="268"/>
      <c r="I507" s="268"/>
      <c r="J507" s="268"/>
      <c r="K507" s="268"/>
      <c r="L507" s="309"/>
      <c r="M507" s="268"/>
      <c r="N507" s="268"/>
      <c r="O507" s="310"/>
      <c r="P507" s="268"/>
      <c r="Q507" s="309"/>
      <c r="R507" s="268"/>
      <c r="S507" s="313"/>
      <c r="T507" s="313"/>
      <c r="U507" s="268"/>
      <c r="V507" s="309"/>
      <c r="W507" s="310"/>
      <c r="X507" s="268"/>
      <c r="Y507" s="268"/>
      <c r="Z507" s="268"/>
      <c r="AA507" s="268"/>
      <c r="AB507" s="268"/>
      <c r="AC507" s="268"/>
    </row>
    <row r="508" spans="1:29" ht="24.75" customHeight="1">
      <c r="A508" s="268"/>
      <c r="B508" s="268"/>
      <c r="C508" s="268"/>
      <c r="D508" s="268"/>
      <c r="E508" s="268"/>
      <c r="F508" s="268"/>
      <c r="G508" s="268"/>
      <c r="H508" s="268"/>
      <c r="I508" s="268"/>
      <c r="J508" s="268"/>
      <c r="K508" s="268"/>
      <c r="L508" s="309"/>
      <c r="M508" s="268"/>
      <c r="N508" s="268"/>
      <c r="O508" s="310"/>
      <c r="P508" s="268"/>
      <c r="Q508" s="309"/>
      <c r="R508" s="268"/>
      <c r="S508" s="313"/>
      <c r="T508" s="313"/>
      <c r="U508" s="268"/>
      <c r="V508" s="309"/>
      <c r="W508" s="310"/>
      <c r="X508" s="268"/>
      <c r="Y508" s="268"/>
      <c r="Z508" s="268"/>
      <c r="AA508" s="268"/>
      <c r="AB508" s="268"/>
      <c r="AC508" s="268"/>
    </row>
    <row r="509" spans="1:29" ht="24.75" customHeight="1">
      <c r="A509" s="268"/>
      <c r="B509" s="268"/>
      <c r="C509" s="268"/>
      <c r="D509" s="268"/>
      <c r="E509" s="268"/>
      <c r="F509" s="268"/>
      <c r="G509" s="268"/>
      <c r="H509" s="268"/>
      <c r="I509" s="268"/>
      <c r="J509" s="268"/>
      <c r="K509" s="268"/>
      <c r="L509" s="309"/>
      <c r="M509" s="268"/>
      <c r="N509" s="268"/>
      <c r="O509" s="310"/>
      <c r="P509" s="268"/>
      <c r="Q509" s="309"/>
      <c r="R509" s="268"/>
      <c r="S509" s="313"/>
      <c r="T509" s="313"/>
      <c r="U509" s="268"/>
      <c r="V509" s="309"/>
      <c r="W509" s="310"/>
      <c r="X509" s="268"/>
      <c r="Y509" s="268"/>
      <c r="Z509" s="268"/>
      <c r="AA509" s="268"/>
      <c r="AB509" s="268"/>
      <c r="AC509" s="268"/>
    </row>
    <row r="510" spans="1:29" ht="24.75" customHeight="1">
      <c r="A510" s="268"/>
      <c r="B510" s="268"/>
      <c r="C510" s="268"/>
      <c r="D510" s="268"/>
      <c r="E510" s="268"/>
      <c r="F510" s="268"/>
      <c r="G510" s="268"/>
      <c r="H510" s="268"/>
      <c r="I510" s="268"/>
      <c r="J510" s="268"/>
      <c r="K510" s="268"/>
      <c r="L510" s="309"/>
      <c r="M510" s="268"/>
      <c r="N510" s="268"/>
      <c r="O510" s="310"/>
      <c r="P510" s="268"/>
      <c r="Q510" s="309"/>
      <c r="R510" s="268"/>
      <c r="S510" s="313"/>
      <c r="T510" s="313"/>
      <c r="U510" s="268"/>
      <c r="V510" s="309"/>
      <c r="W510" s="310"/>
      <c r="X510" s="268"/>
      <c r="Y510" s="268"/>
      <c r="Z510" s="268"/>
      <c r="AA510" s="268"/>
      <c r="AB510" s="268"/>
      <c r="AC510" s="268"/>
    </row>
    <row r="511" spans="1:29" ht="24.75" customHeight="1">
      <c r="A511" s="268"/>
      <c r="B511" s="268"/>
      <c r="C511" s="268"/>
      <c r="D511" s="268"/>
      <c r="E511" s="268"/>
      <c r="F511" s="268"/>
      <c r="G511" s="268"/>
      <c r="H511" s="268"/>
      <c r="I511" s="268"/>
      <c r="J511" s="268"/>
      <c r="K511" s="268"/>
      <c r="L511" s="309"/>
      <c r="M511" s="268"/>
      <c r="N511" s="268"/>
      <c r="O511" s="310"/>
      <c r="P511" s="268"/>
      <c r="Q511" s="309"/>
      <c r="R511" s="268"/>
      <c r="S511" s="313"/>
      <c r="T511" s="313"/>
      <c r="U511" s="268"/>
      <c r="V511" s="309"/>
      <c r="W511" s="310"/>
      <c r="X511" s="268"/>
      <c r="Y511" s="268"/>
      <c r="Z511" s="268"/>
      <c r="AA511" s="268"/>
      <c r="AB511" s="268"/>
      <c r="AC511" s="268"/>
    </row>
    <row r="512" spans="1:29" ht="24.75" customHeight="1">
      <c r="A512" s="268"/>
      <c r="B512" s="268"/>
      <c r="C512" s="268"/>
      <c r="D512" s="268"/>
      <c r="E512" s="268"/>
      <c r="F512" s="268"/>
      <c r="G512" s="268"/>
      <c r="H512" s="268"/>
      <c r="I512" s="268"/>
      <c r="J512" s="268"/>
      <c r="K512" s="268"/>
      <c r="L512" s="309"/>
      <c r="M512" s="268"/>
      <c r="N512" s="268"/>
      <c r="O512" s="310"/>
      <c r="P512" s="268"/>
      <c r="Q512" s="309"/>
      <c r="R512" s="268"/>
      <c r="S512" s="313"/>
      <c r="T512" s="313"/>
      <c r="U512" s="268"/>
      <c r="V512" s="309"/>
      <c r="W512" s="310"/>
      <c r="X512" s="268"/>
      <c r="Y512" s="268"/>
      <c r="Z512" s="268"/>
      <c r="AA512" s="268"/>
      <c r="AB512" s="268"/>
      <c r="AC512" s="268"/>
    </row>
    <row r="513" spans="1:29" ht="24.75" customHeight="1">
      <c r="A513" s="268"/>
      <c r="B513" s="268"/>
      <c r="C513" s="268"/>
      <c r="D513" s="268"/>
      <c r="E513" s="268"/>
      <c r="F513" s="268"/>
      <c r="G513" s="268"/>
      <c r="H513" s="268"/>
      <c r="I513" s="268"/>
      <c r="J513" s="268"/>
      <c r="K513" s="268"/>
      <c r="L513" s="309"/>
      <c r="M513" s="268"/>
      <c r="N513" s="268"/>
      <c r="O513" s="310"/>
      <c r="P513" s="268"/>
      <c r="Q513" s="309"/>
      <c r="R513" s="268"/>
      <c r="S513" s="313"/>
      <c r="T513" s="313"/>
      <c r="U513" s="268"/>
      <c r="V513" s="309"/>
      <c r="W513" s="310"/>
      <c r="X513" s="268"/>
      <c r="Y513" s="268"/>
      <c r="Z513" s="268"/>
      <c r="AA513" s="268"/>
      <c r="AB513" s="268"/>
      <c r="AC513" s="268"/>
    </row>
    <row r="514" spans="1:29" ht="24.75" customHeight="1">
      <c r="A514" s="268"/>
      <c r="B514" s="268"/>
      <c r="C514" s="268"/>
      <c r="D514" s="268"/>
      <c r="E514" s="268"/>
      <c r="F514" s="268"/>
      <c r="G514" s="268"/>
      <c r="H514" s="268"/>
      <c r="I514" s="268"/>
      <c r="J514" s="268"/>
      <c r="K514" s="268"/>
      <c r="L514" s="309"/>
      <c r="M514" s="268"/>
      <c r="N514" s="268"/>
      <c r="O514" s="310"/>
      <c r="P514" s="268"/>
      <c r="Q514" s="309"/>
      <c r="R514" s="268"/>
      <c r="S514" s="313"/>
      <c r="T514" s="313"/>
      <c r="U514" s="268"/>
      <c r="V514" s="309"/>
      <c r="W514" s="310"/>
      <c r="X514" s="268"/>
      <c r="Y514" s="268"/>
      <c r="Z514" s="268"/>
      <c r="AA514" s="268"/>
      <c r="AB514" s="268"/>
      <c r="AC514" s="268"/>
    </row>
    <row r="515" spans="1:29" ht="24.75" customHeight="1">
      <c r="A515" s="268"/>
      <c r="B515" s="268"/>
      <c r="C515" s="268"/>
      <c r="D515" s="268"/>
      <c r="E515" s="268"/>
      <c r="F515" s="268"/>
      <c r="G515" s="268"/>
      <c r="H515" s="268"/>
      <c r="I515" s="268"/>
      <c r="J515" s="268"/>
      <c r="K515" s="268"/>
      <c r="L515" s="309"/>
      <c r="M515" s="268"/>
      <c r="N515" s="268"/>
      <c r="O515" s="310"/>
      <c r="P515" s="268"/>
      <c r="Q515" s="309"/>
      <c r="R515" s="268"/>
      <c r="S515" s="313"/>
      <c r="T515" s="313"/>
      <c r="U515" s="268"/>
      <c r="V515" s="309"/>
      <c r="W515" s="310"/>
      <c r="X515" s="268"/>
      <c r="Y515" s="268"/>
      <c r="Z515" s="268"/>
      <c r="AA515" s="268"/>
      <c r="AB515" s="268"/>
      <c r="AC515" s="268"/>
    </row>
    <row r="516" spans="1:29" ht="24.75" customHeight="1">
      <c r="A516" s="268"/>
      <c r="B516" s="268"/>
      <c r="C516" s="268"/>
      <c r="D516" s="268"/>
      <c r="E516" s="268"/>
      <c r="F516" s="268"/>
      <c r="G516" s="268"/>
      <c r="H516" s="268"/>
      <c r="I516" s="268"/>
      <c r="J516" s="268"/>
      <c r="K516" s="268"/>
      <c r="L516" s="309"/>
      <c r="M516" s="268"/>
      <c r="N516" s="268"/>
      <c r="O516" s="310"/>
      <c r="P516" s="268"/>
      <c r="Q516" s="309"/>
      <c r="R516" s="268"/>
      <c r="S516" s="313"/>
      <c r="T516" s="313"/>
      <c r="U516" s="268"/>
      <c r="V516" s="309"/>
      <c r="W516" s="310"/>
      <c r="X516" s="268"/>
      <c r="Y516" s="268"/>
      <c r="Z516" s="268"/>
      <c r="AA516" s="268"/>
      <c r="AB516" s="268"/>
      <c r="AC516" s="268"/>
    </row>
    <row r="517" spans="1:29" ht="24.75" customHeight="1">
      <c r="A517" s="268"/>
      <c r="B517" s="268"/>
      <c r="C517" s="268"/>
      <c r="D517" s="268"/>
      <c r="E517" s="268"/>
      <c r="F517" s="268"/>
      <c r="G517" s="268"/>
      <c r="H517" s="268"/>
      <c r="I517" s="268"/>
      <c r="J517" s="268"/>
      <c r="K517" s="268"/>
      <c r="L517" s="309"/>
      <c r="M517" s="268"/>
      <c r="N517" s="268"/>
      <c r="O517" s="310"/>
      <c r="P517" s="268"/>
      <c r="Q517" s="309"/>
      <c r="R517" s="268"/>
      <c r="S517" s="313"/>
      <c r="T517" s="313"/>
      <c r="U517" s="268"/>
      <c r="V517" s="309"/>
      <c r="W517" s="310"/>
      <c r="X517" s="268"/>
      <c r="Y517" s="268"/>
      <c r="Z517" s="268"/>
      <c r="AA517" s="268"/>
      <c r="AB517" s="268"/>
      <c r="AC517" s="268"/>
    </row>
    <row r="518" spans="1:29" ht="24.75" customHeight="1">
      <c r="A518" s="268"/>
      <c r="B518" s="268"/>
      <c r="C518" s="268"/>
      <c r="D518" s="268"/>
      <c r="E518" s="268"/>
      <c r="F518" s="268"/>
      <c r="G518" s="268"/>
      <c r="H518" s="268"/>
      <c r="I518" s="268"/>
      <c r="J518" s="268"/>
      <c r="K518" s="268"/>
      <c r="L518" s="309"/>
      <c r="M518" s="268"/>
      <c r="N518" s="268"/>
      <c r="O518" s="310"/>
      <c r="P518" s="268"/>
      <c r="Q518" s="309"/>
      <c r="R518" s="268"/>
      <c r="S518" s="313"/>
      <c r="T518" s="313"/>
      <c r="U518" s="268"/>
      <c r="V518" s="309"/>
      <c r="W518" s="310"/>
      <c r="X518" s="268"/>
      <c r="Y518" s="268"/>
      <c r="Z518" s="268"/>
      <c r="AA518" s="268"/>
      <c r="AB518" s="268"/>
      <c r="AC518" s="268"/>
    </row>
    <row r="519" spans="1:29" ht="24.75" customHeight="1">
      <c r="A519" s="268"/>
      <c r="B519" s="268"/>
      <c r="C519" s="268"/>
      <c r="D519" s="268"/>
      <c r="E519" s="268"/>
      <c r="F519" s="268"/>
      <c r="G519" s="268"/>
      <c r="H519" s="268"/>
      <c r="I519" s="268"/>
      <c r="J519" s="268"/>
      <c r="K519" s="268"/>
      <c r="L519" s="309"/>
      <c r="M519" s="268"/>
      <c r="N519" s="268"/>
      <c r="O519" s="310"/>
      <c r="P519" s="268"/>
      <c r="Q519" s="309"/>
      <c r="R519" s="268"/>
      <c r="S519" s="313"/>
      <c r="T519" s="313"/>
      <c r="U519" s="268"/>
      <c r="V519" s="309"/>
      <c r="W519" s="310"/>
      <c r="X519" s="268"/>
      <c r="Y519" s="268"/>
      <c r="Z519" s="268"/>
      <c r="AA519" s="268"/>
      <c r="AB519" s="268"/>
      <c r="AC519" s="268"/>
    </row>
    <row r="520" spans="1:29" ht="24.75" customHeight="1">
      <c r="A520" s="268"/>
      <c r="B520" s="268"/>
      <c r="C520" s="268"/>
      <c r="D520" s="268"/>
      <c r="E520" s="268"/>
      <c r="F520" s="268"/>
      <c r="G520" s="268"/>
      <c r="H520" s="268"/>
      <c r="I520" s="268"/>
      <c r="J520" s="268"/>
      <c r="K520" s="268"/>
      <c r="L520" s="309"/>
      <c r="M520" s="268"/>
      <c r="N520" s="268"/>
      <c r="O520" s="310"/>
      <c r="P520" s="268"/>
      <c r="Q520" s="309"/>
      <c r="R520" s="268"/>
      <c r="S520" s="313"/>
      <c r="T520" s="313"/>
      <c r="U520" s="268"/>
      <c r="V520" s="309"/>
      <c r="W520" s="310"/>
      <c r="X520" s="268"/>
      <c r="Y520" s="268"/>
      <c r="Z520" s="268"/>
      <c r="AA520" s="268"/>
      <c r="AB520" s="268"/>
      <c r="AC520" s="268"/>
    </row>
    <row r="521" spans="1:29" ht="24.75" customHeight="1">
      <c r="A521" s="268"/>
      <c r="B521" s="268"/>
      <c r="C521" s="268"/>
      <c r="D521" s="268"/>
      <c r="E521" s="268"/>
      <c r="F521" s="268"/>
      <c r="G521" s="268"/>
      <c r="H521" s="268"/>
      <c r="I521" s="268"/>
      <c r="J521" s="268"/>
      <c r="K521" s="268"/>
      <c r="L521" s="309"/>
      <c r="M521" s="268"/>
      <c r="N521" s="268"/>
      <c r="O521" s="310"/>
      <c r="P521" s="268"/>
      <c r="Q521" s="309"/>
      <c r="R521" s="268"/>
      <c r="S521" s="313"/>
      <c r="T521" s="313"/>
      <c r="U521" s="268"/>
      <c r="V521" s="309"/>
      <c r="W521" s="310"/>
      <c r="X521" s="268"/>
      <c r="Y521" s="268"/>
      <c r="Z521" s="268"/>
      <c r="AA521" s="268"/>
      <c r="AB521" s="268"/>
      <c r="AC521" s="268"/>
    </row>
    <row r="522" spans="1:29" ht="24.75" customHeight="1">
      <c r="A522" s="268"/>
      <c r="B522" s="268"/>
      <c r="C522" s="268"/>
      <c r="D522" s="268"/>
      <c r="E522" s="268"/>
      <c r="F522" s="268"/>
      <c r="G522" s="268"/>
      <c r="H522" s="268"/>
      <c r="I522" s="268"/>
      <c r="J522" s="268"/>
      <c r="K522" s="268"/>
      <c r="L522" s="309"/>
      <c r="M522" s="268"/>
      <c r="N522" s="268"/>
      <c r="O522" s="310"/>
      <c r="P522" s="268"/>
      <c r="Q522" s="309"/>
      <c r="R522" s="268"/>
      <c r="S522" s="313"/>
      <c r="T522" s="313"/>
      <c r="U522" s="268"/>
      <c r="V522" s="309"/>
      <c r="W522" s="310"/>
      <c r="X522" s="268"/>
      <c r="Y522" s="268"/>
      <c r="Z522" s="268"/>
      <c r="AA522" s="268"/>
      <c r="AB522" s="268"/>
      <c r="AC522" s="268"/>
    </row>
    <row r="523" spans="1:29" ht="24.75" customHeight="1">
      <c r="A523" s="268"/>
      <c r="B523" s="268"/>
      <c r="C523" s="268"/>
      <c r="D523" s="268"/>
      <c r="E523" s="268"/>
      <c r="F523" s="268"/>
      <c r="G523" s="268"/>
      <c r="H523" s="268"/>
      <c r="I523" s="268"/>
      <c r="J523" s="268"/>
      <c r="K523" s="268"/>
      <c r="L523" s="309"/>
      <c r="M523" s="268"/>
      <c r="N523" s="268"/>
      <c r="O523" s="310"/>
      <c r="P523" s="268"/>
      <c r="Q523" s="309"/>
      <c r="R523" s="268"/>
      <c r="S523" s="313"/>
      <c r="T523" s="313"/>
      <c r="U523" s="268"/>
      <c r="V523" s="309"/>
      <c r="W523" s="310"/>
      <c r="X523" s="268"/>
      <c r="Y523" s="268"/>
      <c r="Z523" s="268"/>
      <c r="AA523" s="268"/>
      <c r="AB523" s="268"/>
      <c r="AC523" s="268"/>
    </row>
    <row r="524" spans="1:29" ht="24.75" customHeight="1">
      <c r="A524" s="268"/>
      <c r="B524" s="268"/>
      <c r="C524" s="268"/>
      <c r="D524" s="268"/>
      <c r="E524" s="268"/>
      <c r="F524" s="268"/>
      <c r="G524" s="268"/>
      <c r="H524" s="268"/>
      <c r="I524" s="268"/>
      <c r="J524" s="268"/>
      <c r="K524" s="268"/>
      <c r="L524" s="309"/>
      <c r="M524" s="268"/>
      <c r="N524" s="268"/>
      <c r="O524" s="310"/>
      <c r="P524" s="268"/>
      <c r="Q524" s="309"/>
      <c r="R524" s="268"/>
      <c r="S524" s="313"/>
      <c r="T524" s="313"/>
      <c r="U524" s="268"/>
      <c r="V524" s="309"/>
      <c r="W524" s="310"/>
      <c r="X524" s="268"/>
      <c r="Y524" s="268"/>
      <c r="Z524" s="268"/>
      <c r="AA524" s="268"/>
      <c r="AB524" s="268"/>
      <c r="AC524" s="268"/>
    </row>
    <row r="525" spans="1:29" ht="24.75" customHeight="1">
      <c r="A525" s="268"/>
      <c r="B525" s="268"/>
      <c r="C525" s="268"/>
      <c r="D525" s="268"/>
      <c r="E525" s="268"/>
      <c r="F525" s="268"/>
      <c r="G525" s="268"/>
      <c r="H525" s="268"/>
      <c r="I525" s="268"/>
      <c r="J525" s="268"/>
      <c r="K525" s="268"/>
      <c r="L525" s="309"/>
      <c r="M525" s="268"/>
      <c r="N525" s="268"/>
      <c r="O525" s="310"/>
      <c r="P525" s="268"/>
      <c r="Q525" s="309"/>
      <c r="R525" s="268"/>
      <c r="S525" s="313"/>
      <c r="T525" s="313"/>
      <c r="U525" s="268"/>
      <c r="V525" s="309"/>
      <c r="W525" s="310"/>
      <c r="X525" s="268"/>
      <c r="Y525" s="268"/>
      <c r="Z525" s="268"/>
      <c r="AA525" s="268"/>
      <c r="AB525" s="268"/>
      <c r="AC525" s="268"/>
    </row>
    <row r="526" spans="1:29" ht="24.75" customHeight="1">
      <c r="A526" s="268"/>
      <c r="B526" s="268"/>
      <c r="C526" s="268"/>
      <c r="D526" s="268"/>
      <c r="E526" s="268"/>
      <c r="F526" s="268"/>
      <c r="G526" s="268"/>
      <c r="H526" s="268"/>
      <c r="I526" s="268"/>
      <c r="J526" s="268"/>
      <c r="K526" s="268"/>
      <c r="L526" s="309"/>
      <c r="M526" s="268"/>
      <c r="N526" s="268"/>
      <c r="O526" s="310"/>
      <c r="P526" s="268"/>
      <c r="Q526" s="309"/>
      <c r="R526" s="268"/>
      <c r="S526" s="313"/>
      <c r="T526" s="313"/>
      <c r="U526" s="268"/>
      <c r="V526" s="309"/>
      <c r="W526" s="310"/>
      <c r="X526" s="268"/>
      <c r="Y526" s="268"/>
      <c r="Z526" s="268"/>
      <c r="AA526" s="268"/>
      <c r="AB526" s="268"/>
      <c r="AC526" s="268"/>
    </row>
    <row r="527" spans="1:29" ht="24.75" customHeight="1">
      <c r="A527" s="268"/>
      <c r="B527" s="268"/>
      <c r="C527" s="268"/>
      <c r="D527" s="268"/>
      <c r="E527" s="268"/>
      <c r="F527" s="268"/>
      <c r="G527" s="268"/>
      <c r="H527" s="268"/>
      <c r="I527" s="268"/>
      <c r="J527" s="268"/>
      <c r="K527" s="268"/>
      <c r="L527" s="309"/>
      <c r="M527" s="268"/>
      <c r="N527" s="268"/>
      <c r="O527" s="310"/>
      <c r="P527" s="268"/>
      <c r="Q527" s="309"/>
      <c r="R527" s="268"/>
      <c r="S527" s="313"/>
      <c r="T527" s="313"/>
      <c r="U527" s="268"/>
      <c r="V527" s="309"/>
      <c r="W527" s="310"/>
      <c r="X527" s="268"/>
      <c r="Y527" s="268"/>
      <c r="Z527" s="268"/>
      <c r="AA527" s="268"/>
      <c r="AB527" s="268"/>
      <c r="AC527" s="268"/>
    </row>
    <row r="528" spans="1:29" ht="24.75" customHeight="1">
      <c r="A528" s="268"/>
      <c r="B528" s="268"/>
      <c r="C528" s="268"/>
      <c r="D528" s="268"/>
      <c r="E528" s="268"/>
      <c r="F528" s="268"/>
      <c r="G528" s="268"/>
      <c r="H528" s="268"/>
      <c r="I528" s="268"/>
      <c r="J528" s="268"/>
      <c r="K528" s="268"/>
      <c r="L528" s="309"/>
      <c r="M528" s="268"/>
      <c r="N528" s="268"/>
      <c r="O528" s="310"/>
      <c r="P528" s="268"/>
      <c r="Q528" s="309"/>
      <c r="R528" s="268"/>
      <c r="S528" s="313"/>
      <c r="T528" s="313"/>
      <c r="U528" s="268"/>
      <c r="V528" s="309"/>
      <c r="W528" s="310"/>
      <c r="X528" s="268"/>
      <c r="Y528" s="268"/>
      <c r="Z528" s="268"/>
      <c r="AA528" s="268"/>
      <c r="AB528" s="268"/>
      <c r="AC528" s="268"/>
    </row>
    <row r="529" spans="1:29" ht="24.75" customHeight="1">
      <c r="A529" s="268"/>
      <c r="B529" s="268"/>
      <c r="C529" s="268"/>
      <c r="D529" s="268"/>
      <c r="E529" s="268"/>
      <c r="F529" s="268"/>
      <c r="G529" s="268"/>
      <c r="H529" s="268"/>
      <c r="I529" s="268"/>
      <c r="J529" s="268"/>
      <c r="K529" s="268"/>
      <c r="L529" s="309"/>
      <c r="M529" s="268"/>
      <c r="N529" s="268"/>
      <c r="O529" s="310"/>
      <c r="P529" s="268"/>
      <c r="Q529" s="309"/>
      <c r="R529" s="268"/>
      <c r="S529" s="313"/>
      <c r="T529" s="313"/>
      <c r="U529" s="268"/>
      <c r="V529" s="309"/>
      <c r="W529" s="310"/>
      <c r="X529" s="268"/>
      <c r="Y529" s="268"/>
      <c r="Z529" s="268"/>
      <c r="AA529" s="268"/>
      <c r="AB529" s="268"/>
      <c r="AC529" s="268"/>
    </row>
    <row r="530" spans="1:29" ht="24.75" customHeight="1">
      <c r="A530" s="268"/>
      <c r="B530" s="268"/>
      <c r="C530" s="268"/>
      <c r="D530" s="268"/>
      <c r="E530" s="268"/>
      <c r="F530" s="268"/>
      <c r="G530" s="268"/>
      <c r="H530" s="268"/>
      <c r="I530" s="268"/>
      <c r="J530" s="268"/>
      <c r="K530" s="268"/>
      <c r="L530" s="309"/>
      <c r="M530" s="268"/>
      <c r="N530" s="268"/>
      <c r="O530" s="310"/>
      <c r="P530" s="268"/>
      <c r="Q530" s="309"/>
      <c r="R530" s="268"/>
      <c r="S530" s="313"/>
      <c r="T530" s="313"/>
      <c r="U530" s="268"/>
      <c r="V530" s="309"/>
      <c r="W530" s="310"/>
      <c r="X530" s="268"/>
      <c r="Y530" s="268"/>
      <c r="Z530" s="268"/>
      <c r="AA530" s="268"/>
      <c r="AB530" s="268"/>
      <c r="AC530" s="268"/>
    </row>
    <row r="531" spans="1:29" ht="24.75" customHeight="1">
      <c r="A531" s="268"/>
      <c r="B531" s="268"/>
      <c r="C531" s="268"/>
      <c r="D531" s="268"/>
      <c r="E531" s="268"/>
      <c r="F531" s="268"/>
      <c r="G531" s="268"/>
      <c r="H531" s="268"/>
      <c r="I531" s="268"/>
      <c r="J531" s="268"/>
      <c r="K531" s="268"/>
      <c r="L531" s="309"/>
      <c r="M531" s="268"/>
      <c r="N531" s="268"/>
      <c r="O531" s="310"/>
      <c r="P531" s="268"/>
      <c r="Q531" s="309"/>
      <c r="R531" s="268"/>
      <c r="S531" s="313"/>
      <c r="T531" s="313"/>
      <c r="U531" s="268"/>
      <c r="V531" s="309"/>
      <c r="W531" s="310"/>
      <c r="X531" s="268"/>
      <c r="Y531" s="268"/>
      <c r="Z531" s="268"/>
      <c r="AA531" s="268"/>
      <c r="AB531" s="268"/>
      <c r="AC531" s="268"/>
    </row>
    <row r="532" spans="1:29" ht="24.75" customHeight="1">
      <c r="A532" s="268"/>
      <c r="B532" s="268"/>
      <c r="C532" s="268"/>
      <c r="D532" s="268"/>
      <c r="E532" s="268"/>
      <c r="F532" s="268"/>
      <c r="G532" s="268"/>
      <c r="H532" s="268"/>
      <c r="I532" s="268"/>
      <c r="J532" s="268"/>
      <c r="K532" s="268"/>
      <c r="L532" s="309"/>
      <c r="M532" s="268"/>
      <c r="N532" s="268"/>
      <c r="O532" s="310"/>
      <c r="P532" s="268"/>
      <c r="Q532" s="309"/>
      <c r="R532" s="268"/>
      <c r="S532" s="313"/>
      <c r="T532" s="313"/>
      <c r="U532" s="268"/>
      <c r="V532" s="309"/>
      <c r="W532" s="310"/>
      <c r="X532" s="268"/>
      <c r="Y532" s="268"/>
      <c r="Z532" s="268"/>
      <c r="AA532" s="268"/>
      <c r="AB532" s="268"/>
      <c r="AC532" s="268"/>
    </row>
    <row r="533" spans="1:29" ht="24.75" customHeight="1">
      <c r="A533" s="268"/>
      <c r="B533" s="268"/>
      <c r="C533" s="268"/>
      <c r="D533" s="268"/>
      <c r="E533" s="268"/>
      <c r="F533" s="268"/>
      <c r="G533" s="268"/>
      <c r="H533" s="268"/>
      <c r="I533" s="268"/>
      <c r="J533" s="268"/>
      <c r="K533" s="268"/>
      <c r="L533" s="309"/>
      <c r="M533" s="268"/>
      <c r="N533" s="268"/>
      <c r="O533" s="310"/>
      <c r="P533" s="268"/>
      <c r="Q533" s="309"/>
      <c r="R533" s="268"/>
      <c r="S533" s="313"/>
      <c r="T533" s="313"/>
      <c r="U533" s="268"/>
      <c r="V533" s="309"/>
      <c r="W533" s="310"/>
      <c r="X533" s="268"/>
      <c r="Y533" s="268"/>
      <c r="Z533" s="268"/>
      <c r="AA533" s="268"/>
      <c r="AB533" s="268"/>
      <c r="AC533" s="268"/>
    </row>
    <row r="534" spans="1:29" ht="24.75" customHeight="1">
      <c r="A534" s="268"/>
      <c r="B534" s="268"/>
      <c r="C534" s="268"/>
      <c r="D534" s="268"/>
      <c r="E534" s="268"/>
      <c r="F534" s="268"/>
      <c r="G534" s="268"/>
      <c r="H534" s="268"/>
      <c r="I534" s="268"/>
      <c r="J534" s="268"/>
      <c r="K534" s="268"/>
      <c r="L534" s="309"/>
      <c r="M534" s="268"/>
      <c r="N534" s="268"/>
      <c r="O534" s="310"/>
      <c r="P534" s="268"/>
      <c r="Q534" s="309"/>
      <c r="R534" s="268"/>
      <c r="S534" s="313"/>
      <c r="T534" s="313"/>
      <c r="U534" s="268"/>
      <c r="V534" s="309"/>
      <c r="W534" s="310"/>
      <c r="X534" s="268"/>
      <c r="Y534" s="268"/>
      <c r="Z534" s="268"/>
      <c r="AA534" s="268"/>
      <c r="AB534" s="268"/>
      <c r="AC534" s="268"/>
    </row>
    <row r="535" spans="1:29" ht="24.75" customHeight="1">
      <c r="A535" s="268"/>
      <c r="B535" s="268"/>
      <c r="C535" s="268"/>
      <c r="D535" s="268"/>
      <c r="E535" s="268"/>
      <c r="F535" s="268"/>
      <c r="G535" s="268"/>
      <c r="H535" s="268"/>
      <c r="I535" s="268"/>
      <c r="J535" s="268"/>
      <c r="K535" s="268"/>
      <c r="L535" s="309"/>
      <c r="M535" s="268"/>
      <c r="N535" s="268"/>
      <c r="O535" s="310"/>
      <c r="P535" s="268"/>
      <c r="Q535" s="309"/>
      <c r="R535" s="268"/>
      <c r="S535" s="313"/>
      <c r="T535" s="313"/>
      <c r="U535" s="268"/>
      <c r="V535" s="309"/>
      <c r="W535" s="310"/>
      <c r="X535" s="268"/>
      <c r="Y535" s="268"/>
      <c r="Z535" s="268"/>
      <c r="AA535" s="268"/>
      <c r="AB535" s="268"/>
      <c r="AC535" s="268"/>
    </row>
    <row r="536" spans="1:29" ht="24.75" customHeight="1">
      <c r="A536" s="268"/>
      <c r="B536" s="268"/>
      <c r="C536" s="268"/>
      <c r="D536" s="268"/>
      <c r="E536" s="268"/>
      <c r="F536" s="268"/>
      <c r="G536" s="268"/>
      <c r="H536" s="268"/>
      <c r="I536" s="268"/>
      <c r="J536" s="268"/>
      <c r="K536" s="268"/>
      <c r="L536" s="309"/>
      <c r="M536" s="268"/>
      <c r="N536" s="268"/>
      <c r="O536" s="310"/>
      <c r="P536" s="268"/>
      <c r="Q536" s="309"/>
      <c r="R536" s="268"/>
      <c r="S536" s="313"/>
      <c r="T536" s="313"/>
      <c r="U536" s="268"/>
      <c r="V536" s="309"/>
      <c r="W536" s="310"/>
      <c r="X536" s="268"/>
      <c r="Y536" s="268"/>
      <c r="Z536" s="268"/>
      <c r="AA536" s="268"/>
      <c r="AB536" s="268"/>
      <c r="AC536" s="268"/>
    </row>
    <row r="537" spans="1:29" ht="24.75" customHeight="1">
      <c r="A537" s="268"/>
      <c r="B537" s="268"/>
      <c r="C537" s="268"/>
      <c r="D537" s="268"/>
      <c r="E537" s="268"/>
      <c r="F537" s="268"/>
      <c r="G537" s="268"/>
      <c r="H537" s="268"/>
      <c r="I537" s="268"/>
      <c r="J537" s="268"/>
      <c r="K537" s="268"/>
      <c r="L537" s="309"/>
      <c r="M537" s="268"/>
      <c r="N537" s="268"/>
      <c r="O537" s="310"/>
      <c r="P537" s="268"/>
      <c r="Q537" s="309"/>
      <c r="R537" s="268"/>
      <c r="S537" s="313"/>
      <c r="T537" s="313"/>
      <c r="U537" s="268"/>
      <c r="V537" s="309"/>
      <c r="W537" s="310"/>
      <c r="X537" s="268"/>
      <c r="Y537" s="268"/>
      <c r="Z537" s="268"/>
      <c r="AA537" s="268"/>
      <c r="AB537" s="268"/>
      <c r="AC537" s="268"/>
    </row>
    <row r="538" spans="1:29" ht="24.75" customHeight="1">
      <c r="A538" s="268"/>
      <c r="B538" s="268"/>
      <c r="C538" s="268"/>
      <c r="D538" s="268"/>
      <c r="E538" s="268"/>
      <c r="F538" s="268"/>
      <c r="G538" s="268"/>
      <c r="H538" s="268"/>
      <c r="I538" s="268"/>
      <c r="J538" s="268"/>
      <c r="K538" s="268"/>
      <c r="L538" s="309"/>
      <c r="M538" s="268"/>
      <c r="N538" s="268"/>
      <c r="O538" s="310"/>
      <c r="P538" s="268"/>
      <c r="Q538" s="309"/>
      <c r="R538" s="268"/>
      <c r="S538" s="313"/>
      <c r="T538" s="313"/>
      <c r="U538" s="268"/>
      <c r="V538" s="309"/>
      <c r="W538" s="310"/>
      <c r="X538" s="268"/>
      <c r="Y538" s="268"/>
      <c r="Z538" s="268"/>
      <c r="AA538" s="268"/>
      <c r="AB538" s="268"/>
      <c r="AC538" s="268"/>
    </row>
    <row r="539" spans="1:29" ht="24.75" customHeight="1">
      <c r="A539" s="268"/>
      <c r="B539" s="268"/>
      <c r="C539" s="268"/>
      <c r="D539" s="268"/>
      <c r="E539" s="268"/>
      <c r="F539" s="268"/>
      <c r="G539" s="268"/>
      <c r="H539" s="268"/>
      <c r="I539" s="268"/>
      <c r="J539" s="268"/>
      <c r="K539" s="268"/>
      <c r="L539" s="309"/>
      <c r="M539" s="268"/>
      <c r="N539" s="268"/>
      <c r="O539" s="310"/>
      <c r="P539" s="268"/>
      <c r="Q539" s="309"/>
      <c r="R539" s="268"/>
      <c r="S539" s="313"/>
      <c r="T539" s="313"/>
      <c r="U539" s="268"/>
      <c r="V539" s="309"/>
      <c r="W539" s="310"/>
      <c r="X539" s="268"/>
      <c r="Y539" s="268"/>
      <c r="Z539" s="268"/>
      <c r="AA539" s="268"/>
      <c r="AB539" s="268"/>
      <c r="AC539" s="268"/>
    </row>
    <row r="540" spans="1:29" ht="24.75" customHeight="1">
      <c r="A540" s="268"/>
      <c r="B540" s="268"/>
      <c r="C540" s="268"/>
      <c r="D540" s="268"/>
      <c r="E540" s="268"/>
      <c r="F540" s="268"/>
      <c r="G540" s="268"/>
      <c r="H540" s="268"/>
      <c r="I540" s="268"/>
      <c r="J540" s="268"/>
      <c r="K540" s="268"/>
      <c r="L540" s="309"/>
      <c r="M540" s="268"/>
      <c r="N540" s="268"/>
      <c r="O540" s="310"/>
      <c r="P540" s="268"/>
      <c r="Q540" s="309"/>
      <c r="R540" s="268"/>
      <c r="S540" s="313"/>
      <c r="T540" s="313"/>
      <c r="U540" s="268"/>
      <c r="V540" s="309"/>
      <c r="W540" s="310"/>
      <c r="X540" s="268"/>
      <c r="Y540" s="268"/>
      <c r="Z540" s="268"/>
      <c r="AA540" s="268"/>
      <c r="AB540" s="268"/>
      <c r="AC540" s="268"/>
    </row>
    <row r="541" spans="1:29" ht="24.75" customHeight="1">
      <c r="A541" s="268"/>
      <c r="B541" s="268"/>
      <c r="C541" s="268"/>
      <c r="D541" s="268"/>
      <c r="E541" s="268"/>
      <c r="F541" s="268"/>
      <c r="G541" s="268"/>
      <c r="H541" s="268"/>
      <c r="I541" s="268"/>
      <c r="J541" s="268"/>
      <c r="K541" s="268"/>
      <c r="L541" s="309"/>
      <c r="M541" s="268"/>
      <c r="N541" s="268"/>
      <c r="O541" s="310"/>
      <c r="P541" s="268"/>
      <c r="Q541" s="309"/>
      <c r="R541" s="268"/>
      <c r="S541" s="313"/>
      <c r="T541" s="313"/>
      <c r="U541" s="268"/>
      <c r="V541" s="309"/>
      <c r="W541" s="310"/>
      <c r="X541" s="268"/>
      <c r="Y541" s="268"/>
      <c r="Z541" s="268"/>
      <c r="AA541" s="268"/>
      <c r="AB541" s="268"/>
      <c r="AC541" s="268"/>
    </row>
    <row r="542" spans="1:29" ht="24.75" customHeight="1">
      <c r="A542" s="268"/>
      <c r="B542" s="268"/>
      <c r="C542" s="268"/>
      <c r="D542" s="268"/>
      <c r="E542" s="268"/>
      <c r="F542" s="268"/>
      <c r="G542" s="268"/>
      <c r="H542" s="268"/>
      <c r="I542" s="268"/>
      <c r="J542" s="268"/>
      <c r="K542" s="268"/>
      <c r="L542" s="309"/>
      <c r="M542" s="268"/>
      <c r="N542" s="268"/>
      <c r="O542" s="310"/>
      <c r="P542" s="268"/>
      <c r="Q542" s="309"/>
      <c r="R542" s="268"/>
      <c r="S542" s="313"/>
      <c r="T542" s="313"/>
      <c r="U542" s="268"/>
      <c r="V542" s="309"/>
      <c r="W542" s="310"/>
      <c r="X542" s="268"/>
      <c r="Y542" s="268"/>
      <c r="Z542" s="268"/>
      <c r="AA542" s="268"/>
      <c r="AB542" s="268"/>
      <c r="AC542" s="268"/>
    </row>
    <row r="543" spans="1:29" ht="24.75" customHeight="1">
      <c r="A543" s="268"/>
      <c r="B543" s="268"/>
      <c r="C543" s="268"/>
      <c r="D543" s="268"/>
      <c r="E543" s="268"/>
      <c r="F543" s="268"/>
      <c r="G543" s="268"/>
      <c r="H543" s="268"/>
      <c r="I543" s="268"/>
      <c r="J543" s="268"/>
      <c r="K543" s="268"/>
      <c r="L543" s="309"/>
      <c r="M543" s="268"/>
      <c r="N543" s="268"/>
      <c r="O543" s="310"/>
      <c r="P543" s="268"/>
      <c r="Q543" s="309"/>
      <c r="R543" s="268"/>
      <c r="S543" s="313"/>
      <c r="T543" s="313"/>
      <c r="U543" s="268"/>
      <c r="V543" s="309"/>
      <c r="W543" s="310"/>
      <c r="X543" s="268"/>
      <c r="Y543" s="268"/>
      <c r="Z543" s="268"/>
      <c r="AA543" s="268"/>
      <c r="AB543" s="268"/>
      <c r="AC543" s="268"/>
    </row>
    <row r="544" spans="1:29" ht="24.75" customHeight="1">
      <c r="A544" s="268"/>
      <c r="B544" s="268"/>
      <c r="C544" s="268"/>
      <c r="D544" s="268"/>
      <c r="E544" s="268"/>
      <c r="F544" s="268"/>
      <c r="G544" s="268"/>
      <c r="H544" s="268"/>
      <c r="I544" s="268"/>
      <c r="J544" s="268"/>
      <c r="K544" s="268"/>
      <c r="L544" s="309"/>
      <c r="M544" s="268"/>
      <c r="N544" s="268"/>
      <c r="O544" s="310"/>
      <c r="P544" s="268"/>
      <c r="Q544" s="309"/>
      <c r="R544" s="268"/>
      <c r="S544" s="313"/>
      <c r="T544" s="313"/>
      <c r="U544" s="268"/>
      <c r="V544" s="309"/>
      <c r="W544" s="310"/>
      <c r="X544" s="268"/>
      <c r="Y544" s="268"/>
      <c r="Z544" s="268"/>
      <c r="AA544" s="268"/>
      <c r="AB544" s="268"/>
      <c r="AC544" s="268"/>
    </row>
    <row r="545" spans="1:29" ht="24.75" customHeight="1">
      <c r="A545" s="268"/>
      <c r="B545" s="268"/>
      <c r="C545" s="268"/>
      <c r="D545" s="268"/>
      <c r="E545" s="268"/>
      <c r="F545" s="268"/>
      <c r="G545" s="268"/>
      <c r="H545" s="268"/>
      <c r="I545" s="268"/>
      <c r="J545" s="268"/>
      <c r="K545" s="268"/>
      <c r="L545" s="309"/>
      <c r="M545" s="268"/>
      <c r="N545" s="268"/>
      <c r="O545" s="310"/>
      <c r="P545" s="268"/>
      <c r="Q545" s="309"/>
      <c r="R545" s="268"/>
      <c r="S545" s="313"/>
      <c r="T545" s="313"/>
      <c r="U545" s="268"/>
      <c r="V545" s="309"/>
      <c r="W545" s="310"/>
      <c r="X545" s="268"/>
      <c r="Y545" s="268"/>
      <c r="Z545" s="268"/>
      <c r="AA545" s="268"/>
      <c r="AB545" s="268"/>
      <c r="AC545" s="268"/>
    </row>
    <row r="546" spans="1:29" ht="24.75" customHeight="1">
      <c r="A546" s="268"/>
      <c r="B546" s="268"/>
      <c r="C546" s="268"/>
      <c r="D546" s="268"/>
      <c r="E546" s="268"/>
      <c r="F546" s="268"/>
      <c r="G546" s="268"/>
      <c r="H546" s="268"/>
      <c r="I546" s="268"/>
      <c r="J546" s="268"/>
      <c r="K546" s="268"/>
      <c r="L546" s="309"/>
      <c r="M546" s="268"/>
      <c r="N546" s="268"/>
      <c r="O546" s="310"/>
      <c r="P546" s="268"/>
      <c r="Q546" s="309"/>
      <c r="R546" s="268"/>
      <c r="S546" s="313"/>
      <c r="T546" s="313"/>
      <c r="U546" s="268"/>
      <c r="V546" s="309"/>
      <c r="W546" s="310"/>
      <c r="X546" s="268"/>
      <c r="Y546" s="268"/>
      <c r="Z546" s="268"/>
      <c r="AA546" s="268"/>
      <c r="AB546" s="268"/>
      <c r="AC546" s="268"/>
    </row>
    <row r="547" spans="1:29" ht="24.75" customHeight="1">
      <c r="A547" s="268"/>
      <c r="B547" s="268"/>
      <c r="C547" s="268"/>
      <c r="D547" s="268"/>
      <c r="E547" s="268"/>
      <c r="F547" s="268"/>
      <c r="G547" s="268"/>
      <c r="H547" s="268"/>
      <c r="I547" s="268"/>
      <c r="J547" s="268"/>
      <c r="K547" s="268"/>
      <c r="L547" s="309"/>
      <c r="M547" s="268"/>
      <c r="N547" s="268"/>
      <c r="O547" s="310"/>
      <c r="P547" s="268"/>
      <c r="Q547" s="309"/>
      <c r="R547" s="268"/>
      <c r="S547" s="313"/>
      <c r="T547" s="313"/>
      <c r="U547" s="268"/>
      <c r="V547" s="309"/>
      <c r="W547" s="310"/>
      <c r="X547" s="268"/>
      <c r="Y547" s="268"/>
      <c r="Z547" s="268"/>
      <c r="AA547" s="268"/>
      <c r="AB547" s="268"/>
      <c r="AC547" s="268"/>
    </row>
    <row r="548" spans="1:29" ht="24.75" customHeight="1">
      <c r="A548" s="268"/>
      <c r="B548" s="268"/>
      <c r="C548" s="268"/>
      <c r="D548" s="268"/>
      <c r="E548" s="268"/>
      <c r="F548" s="268"/>
      <c r="G548" s="268"/>
      <c r="H548" s="268"/>
      <c r="I548" s="268"/>
      <c r="J548" s="268"/>
      <c r="K548" s="268"/>
      <c r="L548" s="309"/>
      <c r="M548" s="268"/>
      <c r="N548" s="268"/>
      <c r="O548" s="310"/>
      <c r="P548" s="268"/>
      <c r="Q548" s="309"/>
      <c r="R548" s="268"/>
      <c r="S548" s="313"/>
      <c r="T548" s="313"/>
      <c r="U548" s="268"/>
      <c r="V548" s="309"/>
      <c r="W548" s="310"/>
      <c r="X548" s="268"/>
      <c r="Y548" s="268"/>
      <c r="Z548" s="268"/>
      <c r="AA548" s="268"/>
      <c r="AB548" s="268"/>
      <c r="AC548" s="268"/>
    </row>
    <row r="549" spans="1:29" ht="24.75" customHeight="1">
      <c r="A549" s="268"/>
      <c r="B549" s="268"/>
      <c r="C549" s="268"/>
      <c r="D549" s="268"/>
      <c r="E549" s="268"/>
      <c r="F549" s="268"/>
      <c r="G549" s="268"/>
      <c r="H549" s="268"/>
      <c r="I549" s="268"/>
      <c r="J549" s="268"/>
      <c r="K549" s="268"/>
      <c r="L549" s="309"/>
      <c r="M549" s="268"/>
      <c r="N549" s="268"/>
      <c r="O549" s="310"/>
      <c r="P549" s="268"/>
      <c r="Q549" s="309"/>
      <c r="R549" s="268"/>
      <c r="S549" s="313"/>
      <c r="T549" s="313"/>
      <c r="U549" s="268"/>
      <c r="V549" s="309"/>
      <c r="W549" s="310"/>
      <c r="X549" s="268"/>
      <c r="Y549" s="268"/>
      <c r="Z549" s="268"/>
      <c r="AA549" s="268"/>
      <c r="AB549" s="268"/>
      <c r="AC549" s="268"/>
    </row>
    <row r="550" spans="1:29" ht="24.75" customHeight="1">
      <c r="A550" s="268"/>
      <c r="B550" s="268"/>
      <c r="C550" s="268"/>
      <c r="D550" s="268"/>
      <c r="E550" s="268"/>
      <c r="F550" s="268"/>
      <c r="G550" s="268"/>
      <c r="H550" s="268"/>
      <c r="I550" s="268"/>
      <c r="J550" s="268"/>
      <c r="K550" s="268"/>
      <c r="L550" s="309"/>
      <c r="M550" s="268"/>
      <c r="N550" s="268"/>
      <c r="O550" s="310"/>
      <c r="P550" s="268"/>
      <c r="Q550" s="309"/>
      <c r="R550" s="268"/>
      <c r="S550" s="313"/>
      <c r="T550" s="313"/>
      <c r="U550" s="268"/>
      <c r="V550" s="309"/>
      <c r="W550" s="310"/>
      <c r="X550" s="268"/>
      <c r="Y550" s="268"/>
      <c r="Z550" s="268"/>
      <c r="AA550" s="268"/>
      <c r="AB550" s="268"/>
      <c r="AC550" s="268"/>
    </row>
    <row r="551" spans="1:29" ht="24.75" customHeight="1">
      <c r="A551" s="268"/>
      <c r="B551" s="268"/>
      <c r="C551" s="268"/>
      <c r="D551" s="268"/>
      <c r="E551" s="268"/>
      <c r="F551" s="268"/>
      <c r="G551" s="268"/>
      <c r="H551" s="268"/>
      <c r="I551" s="268"/>
      <c r="J551" s="268"/>
      <c r="K551" s="268"/>
      <c r="L551" s="309"/>
      <c r="M551" s="268"/>
      <c r="N551" s="268"/>
      <c r="O551" s="310"/>
      <c r="P551" s="268"/>
      <c r="Q551" s="309"/>
      <c r="R551" s="268"/>
      <c r="S551" s="313"/>
      <c r="T551" s="313"/>
      <c r="U551" s="268"/>
      <c r="V551" s="309"/>
      <c r="W551" s="310"/>
      <c r="X551" s="268"/>
      <c r="Y551" s="268"/>
      <c r="Z551" s="268"/>
      <c r="AA551" s="268"/>
      <c r="AB551" s="268"/>
      <c r="AC551" s="268"/>
    </row>
    <row r="552" spans="1:29" ht="24.75" customHeight="1">
      <c r="A552" s="268"/>
      <c r="B552" s="268"/>
      <c r="C552" s="268"/>
      <c r="D552" s="268"/>
      <c r="E552" s="268"/>
      <c r="F552" s="268"/>
      <c r="G552" s="268"/>
      <c r="H552" s="268"/>
      <c r="I552" s="268"/>
      <c r="J552" s="268"/>
      <c r="K552" s="268"/>
      <c r="L552" s="309"/>
      <c r="M552" s="268"/>
      <c r="N552" s="268"/>
      <c r="O552" s="310"/>
      <c r="P552" s="268"/>
      <c r="Q552" s="309"/>
      <c r="R552" s="268"/>
      <c r="S552" s="313"/>
      <c r="T552" s="313"/>
      <c r="U552" s="268"/>
      <c r="V552" s="309"/>
      <c r="W552" s="310"/>
      <c r="X552" s="268"/>
      <c r="Y552" s="268"/>
      <c r="Z552" s="268"/>
      <c r="AA552" s="268"/>
      <c r="AB552" s="268"/>
      <c r="AC552" s="268"/>
    </row>
    <row r="553" spans="1:29" ht="24.75" customHeight="1">
      <c r="A553" s="268"/>
      <c r="B553" s="268"/>
      <c r="C553" s="268"/>
      <c r="D553" s="268"/>
      <c r="E553" s="268"/>
      <c r="F553" s="268"/>
      <c r="G553" s="268"/>
      <c r="H553" s="268"/>
      <c r="I553" s="268"/>
      <c r="J553" s="268"/>
      <c r="K553" s="268"/>
      <c r="L553" s="309"/>
      <c r="M553" s="268"/>
      <c r="N553" s="268"/>
      <c r="O553" s="310"/>
      <c r="P553" s="268"/>
      <c r="Q553" s="309"/>
      <c r="R553" s="268"/>
      <c r="S553" s="313"/>
      <c r="T553" s="313"/>
      <c r="U553" s="268"/>
      <c r="V553" s="309"/>
      <c r="W553" s="310"/>
      <c r="X553" s="268"/>
      <c r="Y553" s="268"/>
      <c r="Z553" s="268"/>
      <c r="AA553" s="268"/>
      <c r="AB553" s="268"/>
      <c r="AC553" s="268"/>
    </row>
    <row r="554" spans="1:29" ht="24.75" customHeight="1">
      <c r="A554" s="268"/>
      <c r="B554" s="268"/>
      <c r="C554" s="268"/>
      <c r="D554" s="268"/>
      <c r="E554" s="268"/>
      <c r="F554" s="268"/>
      <c r="G554" s="268"/>
      <c r="H554" s="268"/>
      <c r="I554" s="268"/>
      <c r="J554" s="268"/>
      <c r="K554" s="268"/>
      <c r="L554" s="309"/>
      <c r="M554" s="268"/>
      <c r="N554" s="268"/>
      <c r="O554" s="310"/>
      <c r="P554" s="268"/>
      <c r="Q554" s="309"/>
      <c r="R554" s="268"/>
      <c r="S554" s="313"/>
      <c r="T554" s="313"/>
      <c r="U554" s="268"/>
      <c r="V554" s="309"/>
      <c r="W554" s="310"/>
      <c r="X554" s="268"/>
      <c r="Y554" s="268"/>
      <c r="Z554" s="268"/>
      <c r="AA554" s="268"/>
      <c r="AB554" s="268"/>
      <c r="AC554" s="268"/>
    </row>
    <row r="555" spans="1:29" ht="24.75" customHeight="1">
      <c r="A555" s="268"/>
      <c r="B555" s="268"/>
      <c r="C555" s="268"/>
      <c r="D555" s="268"/>
      <c r="E555" s="268"/>
      <c r="F555" s="268"/>
      <c r="G555" s="268"/>
      <c r="H555" s="268"/>
      <c r="I555" s="268"/>
      <c r="J555" s="268"/>
      <c r="K555" s="268"/>
      <c r="L555" s="309"/>
      <c r="M555" s="268"/>
      <c r="N555" s="268"/>
      <c r="O555" s="310"/>
      <c r="P555" s="268"/>
      <c r="Q555" s="309"/>
      <c r="R555" s="268"/>
      <c r="S555" s="313"/>
      <c r="T555" s="313"/>
      <c r="U555" s="268"/>
      <c r="V555" s="309"/>
      <c r="W555" s="310"/>
      <c r="X555" s="268"/>
      <c r="Y555" s="268"/>
      <c r="Z555" s="268"/>
      <c r="AA555" s="268"/>
      <c r="AB555" s="268"/>
      <c r="AC555" s="268"/>
    </row>
    <row r="556" spans="1:29" ht="24.75" customHeight="1">
      <c r="A556" s="268"/>
      <c r="B556" s="268"/>
      <c r="C556" s="268"/>
      <c r="D556" s="268"/>
      <c r="E556" s="268"/>
      <c r="F556" s="268"/>
      <c r="G556" s="268"/>
      <c r="H556" s="268"/>
      <c r="I556" s="268"/>
      <c r="J556" s="268"/>
      <c r="K556" s="268"/>
      <c r="L556" s="309"/>
      <c r="M556" s="268"/>
      <c r="N556" s="268"/>
      <c r="O556" s="310"/>
      <c r="P556" s="268"/>
      <c r="Q556" s="309"/>
      <c r="R556" s="268"/>
      <c r="S556" s="313"/>
      <c r="T556" s="313"/>
      <c r="U556" s="268"/>
      <c r="V556" s="309"/>
      <c r="W556" s="310"/>
      <c r="X556" s="268"/>
      <c r="Y556" s="268"/>
      <c r="Z556" s="268"/>
      <c r="AA556" s="268"/>
      <c r="AB556" s="268"/>
      <c r="AC556" s="268"/>
    </row>
    <row r="557" spans="1:29" ht="24.75" customHeight="1">
      <c r="A557" s="268"/>
      <c r="B557" s="268"/>
      <c r="C557" s="268"/>
      <c r="D557" s="268"/>
      <c r="E557" s="268"/>
      <c r="F557" s="268"/>
      <c r="G557" s="268"/>
      <c r="H557" s="268"/>
      <c r="I557" s="268"/>
      <c r="J557" s="268"/>
      <c r="K557" s="268"/>
      <c r="L557" s="309"/>
      <c r="M557" s="268"/>
      <c r="N557" s="268"/>
      <c r="O557" s="310"/>
      <c r="P557" s="268"/>
      <c r="Q557" s="309"/>
      <c r="R557" s="268"/>
      <c r="S557" s="313"/>
      <c r="T557" s="313"/>
      <c r="U557" s="268"/>
      <c r="V557" s="309"/>
      <c r="W557" s="310"/>
      <c r="X557" s="268"/>
      <c r="Y557" s="268"/>
      <c r="Z557" s="268"/>
      <c r="AA557" s="268"/>
      <c r="AB557" s="268"/>
      <c r="AC557" s="268"/>
    </row>
    <row r="558" spans="1:29" ht="24.75" customHeight="1">
      <c r="A558" s="268"/>
      <c r="B558" s="268"/>
      <c r="C558" s="268"/>
      <c r="D558" s="268"/>
      <c r="E558" s="268"/>
      <c r="F558" s="268"/>
      <c r="G558" s="268"/>
      <c r="H558" s="268"/>
      <c r="I558" s="268"/>
      <c r="J558" s="268"/>
      <c r="K558" s="268"/>
      <c r="L558" s="309"/>
      <c r="M558" s="268"/>
      <c r="N558" s="268"/>
      <c r="O558" s="310"/>
      <c r="P558" s="268"/>
      <c r="Q558" s="309"/>
      <c r="R558" s="268"/>
      <c r="S558" s="313"/>
      <c r="T558" s="313"/>
      <c r="U558" s="268"/>
      <c r="V558" s="309"/>
      <c r="W558" s="310"/>
      <c r="X558" s="268"/>
      <c r="Y558" s="268"/>
      <c r="Z558" s="268"/>
      <c r="AA558" s="268"/>
      <c r="AB558" s="268"/>
      <c r="AC558" s="268"/>
    </row>
    <row r="559" spans="1:29" ht="24.75" customHeight="1">
      <c r="A559" s="268"/>
      <c r="B559" s="268"/>
      <c r="C559" s="268"/>
      <c r="D559" s="268"/>
      <c r="E559" s="268"/>
      <c r="F559" s="268"/>
      <c r="G559" s="268"/>
      <c r="H559" s="268"/>
      <c r="I559" s="268"/>
      <c r="J559" s="268"/>
      <c r="K559" s="268"/>
      <c r="L559" s="309"/>
      <c r="M559" s="268"/>
      <c r="N559" s="268"/>
      <c r="O559" s="310"/>
      <c r="P559" s="268"/>
      <c r="Q559" s="309"/>
      <c r="R559" s="268"/>
      <c r="S559" s="313"/>
      <c r="T559" s="313"/>
      <c r="U559" s="268"/>
      <c r="V559" s="309"/>
      <c r="W559" s="310"/>
      <c r="X559" s="268"/>
      <c r="Y559" s="268"/>
      <c r="Z559" s="268"/>
      <c r="AA559" s="268"/>
      <c r="AB559" s="268"/>
      <c r="AC559" s="268"/>
    </row>
    <row r="560" spans="1:29" ht="24.75" customHeight="1">
      <c r="A560" s="268"/>
      <c r="B560" s="268"/>
      <c r="C560" s="268"/>
      <c r="D560" s="268"/>
      <c r="E560" s="268"/>
      <c r="F560" s="268"/>
      <c r="G560" s="268"/>
      <c r="H560" s="268"/>
      <c r="I560" s="268"/>
      <c r="J560" s="268"/>
      <c r="K560" s="268"/>
      <c r="L560" s="309"/>
      <c r="M560" s="268"/>
      <c r="N560" s="268"/>
      <c r="O560" s="310"/>
      <c r="P560" s="268"/>
      <c r="Q560" s="309"/>
      <c r="R560" s="268"/>
      <c r="S560" s="313"/>
      <c r="T560" s="313"/>
      <c r="U560" s="268"/>
      <c r="V560" s="309"/>
      <c r="W560" s="310"/>
      <c r="X560" s="268"/>
      <c r="Y560" s="268"/>
      <c r="Z560" s="268"/>
      <c r="AA560" s="268"/>
      <c r="AB560" s="268"/>
      <c r="AC560" s="268"/>
    </row>
    <row r="561" spans="1:29" ht="24.75" customHeight="1">
      <c r="A561" s="268"/>
      <c r="B561" s="268"/>
      <c r="C561" s="268"/>
      <c r="D561" s="268"/>
      <c r="E561" s="268"/>
      <c r="F561" s="268"/>
      <c r="G561" s="268"/>
      <c r="H561" s="268"/>
      <c r="I561" s="268"/>
      <c r="J561" s="268"/>
      <c r="K561" s="268"/>
      <c r="L561" s="309"/>
      <c r="M561" s="268"/>
      <c r="N561" s="268"/>
      <c r="O561" s="310"/>
      <c r="P561" s="268"/>
      <c r="Q561" s="309"/>
      <c r="R561" s="268"/>
      <c r="S561" s="313"/>
      <c r="T561" s="313"/>
      <c r="U561" s="268"/>
      <c r="V561" s="309"/>
      <c r="W561" s="310"/>
      <c r="X561" s="268"/>
      <c r="Y561" s="268"/>
      <c r="Z561" s="268"/>
      <c r="AA561" s="268"/>
      <c r="AB561" s="268"/>
      <c r="AC561" s="268"/>
    </row>
    <row r="562" spans="1:29" ht="24.75" customHeight="1">
      <c r="A562" s="268"/>
      <c r="B562" s="268"/>
      <c r="C562" s="268"/>
      <c r="D562" s="268"/>
      <c r="E562" s="268"/>
      <c r="F562" s="268"/>
      <c r="G562" s="268"/>
      <c r="H562" s="268"/>
      <c r="I562" s="268"/>
      <c r="J562" s="268"/>
      <c r="K562" s="268"/>
      <c r="L562" s="309"/>
      <c r="M562" s="268"/>
      <c r="N562" s="268"/>
      <c r="O562" s="310"/>
      <c r="P562" s="268"/>
      <c r="Q562" s="309"/>
      <c r="R562" s="268"/>
      <c r="S562" s="313"/>
      <c r="T562" s="313"/>
      <c r="U562" s="268"/>
      <c r="V562" s="309"/>
      <c r="W562" s="310"/>
      <c r="X562" s="268"/>
      <c r="Y562" s="268"/>
      <c r="Z562" s="268"/>
      <c r="AA562" s="268"/>
      <c r="AB562" s="268"/>
      <c r="AC562" s="268"/>
    </row>
    <row r="563" spans="1:29" ht="24.75" customHeight="1">
      <c r="A563" s="268"/>
      <c r="B563" s="268"/>
      <c r="C563" s="268"/>
      <c r="D563" s="268"/>
      <c r="E563" s="268"/>
      <c r="F563" s="268"/>
      <c r="G563" s="268"/>
      <c r="H563" s="268"/>
      <c r="I563" s="268"/>
      <c r="J563" s="268"/>
      <c r="K563" s="268"/>
      <c r="L563" s="309"/>
      <c r="M563" s="268"/>
      <c r="N563" s="268"/>
      <c r="O563" s="310"/>
      <c r="P563" s="268"/>
      <c r="Q563" s="309"/>
      <c r="R563" s="268"/>
      <c r="S563" s="313"/>
      <c r="T563" s="313"/>
      <c r="U563" s="268"/>
      <c r="V563" s="309"/>
      <c r="W563" s="310"/>
      <c r="X563" s="268"/>
      <c r="Y563" s="268"/>
      <c r="Z563" s="268"/>
      <c r="AA563" s="268"/>
      <c r="AB563" s="268"/>
      <c r="AC563" s="268"/>
    </row>
    <row r="564" spans="1:29" ht="24.75" customHeight="1">
      <c r="A564" s="268"/>
      <c r="B564" s="268"/>
      <c r="C564" s="268"/>
      <c r="D564" s="268"/>
      <c r="E564" s="268"/>
      <c r="F564" s="268"/>
      <c r="G564" s="268"/>
      <c r="H564" s="268"/>
      <c r="I564" s="268"/>
      <c r="J564" s="268"/>
      <c r="K564" s="268"/>
      <c r="L564" s="309"/>
      <c r="M564" s="268"/>
      <c r="N564" s="268"/>
      <c r="O564" s="310"/>
      <c r="P564" s="268"/>
      <c r="Q564" s="309"/>
      <c r="R564" s="268"/>
      <c r="S564" s="313"/>
      <c r="T564" s="313"/>
      <c r="U564" s="268"/>
      <c r="V564" s="309"/>
      <c r="W564" s="310"/>
      <c r="X564" s="268"/>
      <c r="Y564" s="268"/>
      <c r="Z564" s="268"/>
      <c r="AA564" s="268"/>
      <c r="AB564" s="268"/>
      <c r="AC564" s="268"/>
    </row>
    <row r="565" spans="1:29" ht="24.75" customHeight="1">
      <c r="A565" s="268"/>
      <c r="B565" s="268"/>
      <c r="C565" s="268"/>
      <c r="D565" s="268"/>
      <c r="E565" s="268"/>
      <c r="F565" s="268"/>
      <c r="G565" s="268"/>
      <c r="H565" s="268"/>
      <c r="I565" s="268"/>
      <c r="J565" s="268"/>
      <c r="K565" s="268"/>
      <c r="L565" s="309"/>
      <c r="M565" s="268"/>
      <c r="N565" s="268"/>
      <c r="O565" s="310"/>
      <c r="P565" s="268"/>
      <c r="Q565" s="309"/>
      <c r="R565" s="268"/>
      <c r="S565" s="313"/>
      <c r="T565" s="313"/>
      <c r="U565" s="268"/>
      <c r="V565" s="309"/>
      <c r="W565" s="310"/>
      <c r="X565" s="268"/>
      <c r="Y565" s="268"/>
      <c r="Z565" s="268"/>
      <c r="AA565" s="268"/>
      <c r="AB565" s="268"/>
      <c r="AC565" s="268"/>
    </row>
    <row r="566" spans="1:29" ht="24.75" customHeight="1">
      <c r="A566" s="268"/>
      <c r="B566" s="268"/>
      <c r="C566" s="268"/>
      <c r="D566" s="268"/>
      <c r="E566" s="268"/>
      <c r="F566" s="268"/>
      <c r="G566" s="268"/>
      <c r="H566" s="268"/>
      <c r="I566" s="268"/>
      <c r="J566" s="268"/>
      <c r="K566" s="268"/>
      <c r="L566" s="309"/>
      <c r="M566" s="268"/>
      <c r="N566" s="268"/>
      <c r="O566" s="310"/>
      <c r="P566" s="268"/>
      <c r="Q566" s="309"/>
      <c r="R566" s="268"/>
      <c r="S566" s="313"/>
      <c r="T566" s="313"/>
      <c r="U566" s="268"/>
      <c r="V566" s="309"/>
      <c r="W566" s="310"/>
      <c r="X566" s="268"/>
      <c r="Y566" s="268"/>
      <c r="Z566" s="268"/>
      <c r="AA566" s="268"/>
      <c r="AB566" s="268"/>
      <c r="AC566" s="268"/>
    </row>
    <row r="567" spans="1:29" ht="24.75" customHeight="1">
      <c r="A567" s="268"/>
      <c r="B567" s="268"/>
      <c r="C567" s="268"/>
      <c r="D567" s="268"/>
      <c r="E567" s="268"/>
      <c r="F567" s="268"/>
      <c r="G567" s="268"/>
      <c r="H567" s="268"/>
      <c r="I567" s="268"/>
      <c r="J567" s="268"/>
      <c r="K567" s="268"/>
      <c r="L567" s="309"/>
      <c r="M567" s="268"/>
      <c r="N567" s="268"/>
      <c r="O567" s="310"/>
      <c r="P567" s="268"/>
      <c r="Q567" s="309"/>
      <c r="R567" s="268"/>
      <c r="S567" s="313"/>
      <c r="T567" s="313"/>
      <c r="U567" s="268"/>
      <c r="V567" s="309"/>
      <c r="W567" s="310"/>
      <c r="X567" s="268"/>
      <c r="Y567" s="268"/>
      <c r="Z567" s="268"/>
      <c r="AA567" s="268"/>
      <c r="AB567" s="268"/>
      <c r="AC567" s="268"/>
    </row>
    <row r="568" spans="1:29" ht="24.75" customHeight="1">
      <c r="A568" s="268"/>
      <c r="B568" s="268"/>
      <c r="C568" s="268"/>
      <c r="D568" s="268"/>
      <c r="E568" s="268"/>
      <c r="F568" s="268"/>
      <c r="G568" s="268"/>
      <c r="H568" s="268"/>
      <c r="I568" s="268"/>
      <c r="J568" s="268"/>
      <c r="K568" s="268"/>
      <c r="L568" s="309"/>
      <c r="M568" s="268"/>
      <c r="N568" s="268"/>
      <c r="O568" s="310"/>
      <c r="P568" s="268"/>
      <c r="Q568" s="309"/>
      <c r="R568" s="268"/>
      <c r="S568" s="313"/>
      <c r="T568" s="313"/>
      <c r="U568" s="268"/>
      <c r="V568" s="309"/>
      <c r="W568" s="310"/>
      <c r="X568" s="268"/>
      <c r="Y568" s="268"/>
      <c r="Z568" s="268"/>
      <c r="AA568" s="268"/>
      <c r="AB568" s="268"/>
      <c r="AC568" s="268"/>
    </row>
    <row r="569" spans="1:29" ht="24.75" customHeight="1">
      <c r="A569" s="268"/>
      <c r="B569" s="268"/>
      <c r="C569" s="268"/>
      <c r="D569" s="268"/>
      <c r="E569" s="268"/>
      <c r="F569" s="268"/>
      <c r="G569" s="268"/>
      <c r="H569" s="268"/>
      <c r="I569" s="268"/>
      <c r="J569" s="268"/>
      <c r="K569" s="268"/>
      <c r="L569" s="309"/>
      <c r="M569" s="268"/>
      <c r="N569" s="268"/>
      <c r="O569" s="310"/>
      <c r="P569" s="268"/>
      <c r="Q569" s="309"/>
      <c r="R569" s="268"/>
      <c r="S569" s="313"/>
      <c r="T569" s="313"/>
      <c r="U569" s="268"/>
      <c r="V569" s="309"/>
      <c r="W569" s="310"/>
      <c r="X569" s="268"/>
      <c r="Y569" s="268"/>
      <c r="Z569" s="268"/>
      <c r="AA569" s="268"/>
      <c r="AB569" s="268"/>
      <c r="AC569" s="268"/>
    </row>
    <row r="570" spans="1:29" ht="24.75" customHeight="1">
      <c r="A570" s="268"/>
      <c r="B570" s="268"/>
      <c r="C570" s="268"/>
      <c r="D570" s="268"/>
      <c r="E570" s="268"/>
      <c r="F570" s="268"/>
      <c r="G570" s="268"/>
      <c r="H570" s="268"/>
      <c r="I570" s="268"/>
      <c r="J570" s="268"/>
      <c r="K570" s="268"/>
      <c r="L570" s="309"/>
      <c r="M570" s="268"/>
      <c r="N570" s="268"/>
      <c r="O570" s="310"/>
      <c r="P570" s="268"/>
      <c r="Q570" s="309"/>
      <c r="R570" s="268"/>
      <c r="S570" s="313"/>
      <c r="T570" s="313"/>
      <c r="U570" s="268"/>
      <c r="V570" s="309"/>
      <c r="W570" s="310"/>
      <c r="X570" s="268"/>
      <c r="Y570" s="268"/>
      <c r="Z570" s="268"/>
      <c r="AA570" s="268"/>
      <c r="AB570" s="268"/>
      <c r="AC570" s="268"/>
    </row>
    <row r="571" spans="1:29" ht="24.75" customHeight="1">
      <c r="A571" s="268"/>
      <c r="B571" s="268"/>
      <c r="C571" s="268"/>
      <c r="D571" s="268"/>
      <c r="E571" s="268"/>
      <c r="F571" s="268"/>
      <c r="G571" s="268"/>
      <c r="H571" s="268"/>
      <c r="I571" s="268"/>
      <c r="J571" s="268"/>
      <c r="K571" s="268"/>
      <c r="L571" s="309"/>
      <c r="M571" s="268"/>
      <c r="N571" s="268"/>
      <c r="O571" s="310"/>
      <c r="P571" s="268"/>
      <c r="Q571" s="309"/>
      <c r="R571" s="268"/>
      <c r="S571" s="313"/>
      <c r="T571" s="313"/>
      <c r="U571" s="268"/>
      <c r="V571" s="309"/>
      <c r="W571" s="310"/>
      <c r="X571" s="268"/>
      <c r="Y571" s="268"/>
      <c r="Z571" s="268"/>
      <c r="AA571" s="268"/>
      <c r="AB571" s="268"/>
      <c r="AC571" s="268"/>
    </row>
    <row r="572" spans="1:29" ht="24.75" customHeight="1">
      <c r="A572" s="268"/>
      <c r="B572" s="268"/>
      <c r="C572" s="268"/>
      <c r="D572" s="268"/>
      <c r="E572" s="268"/>
      <c r="F572" s="268"/>
      <c r="G572" s="268"/>
      <c r="H572" s="268"/>
      <c r="I572" s="268"/>
      <c r="J572" s="268"/>
      <c r="K572" s="268"/>
      <c r="L572" s="309"/>
      <c r="M572" s="268"/>
      <c r="N572" s="268"/>
      <c r="O572" s="310"/>
      <c r="P572" s="268"/>
      <c r="Q572" s="309"/>
      <c r="R572" s="268"/>
      <c r="S572" s="313"/>
      <c r="T572" s="313"/>
      <c r="U572" s="268"/>
      <c r="V572" s="309"/>
      <c r="W572" s="310"/>
      <c r="X572" s="268"/>
      <c r="Y572" s="268"/>
      <c r="Z572" s="268"/>
      <c r="AA572" s="268"/>
      <c r="AB572" s="268"/>
      <c r="AC572" s="268"/>
    </row>
    <row r="573" spans="1:29" ht="24.75" customHeight="1">
      <c r="A573" s="268"/>
      <c r="B573" s="268"/>
      <c r="C573" s="268"/>
      <c r="D573" s="268"/>
      <c r="E573" s="268"/>
      <c r="F573" s="268"/>
      <c r="G573" s="268"/>
      <c r="H573" s="268"/>
      <c r="I573" s="268"/>
      <c r="J573" s="268"/>
      <c r="K573" s="268"/>
      <c r="L573" s="309"/>
      <c r="M573" s="268"/>
      <c r="N573" s="268"/>
      <c r="O573" s="310"/>
      <c r="P573" s="268"/>
      <c r="Q573" s="309"/>
      <c r="R573" s="268"/>
      <c r="S573" s="313"/>
      <c r="T573" s="313"/>
      <c r="U573" s="268"/>
      <c r="V573" s="309"/>
      <c r="W573" s="310"/>
      <c r="X573" s="268"/>
      <c r="Y573" s="268"/>
      <c r="Z573" s="268"/>
      <c r="AA573" s="268"/>
      <c r="AB573" s="268"/>
      <c r="AC573" s="268"/>
    </row>
    <row r="574" spans="1:29" ht="24.75" customHeight="1">
      <c r="A574" s="268"/>
      <c r="B574" s="268"/>
      <c r="C574" s="268"/>
      <c r="D574" s="268"/>
      <c r="E574" s="268"/>
      <c r="F574" s="268"/>
      <c r="G574" s="268"/>
      <c r="H574" s="268"/>
      <c r="I574" s="268"/>
      <c r="J574" s="268"/>
      <c r="K574" s="268"/>
      <c r="L574" s="309"/>
      <c r="M574" s="268"/>
      <c r="N574" s="268"/>
      <c r="O574" s="310"/>
      <c r="P574" s="268"/>
      <c r="Q574" s="309"/>
      <c r="R574" s="268"/>
      <c r="S574" s="313"/>
      <c r="T574" s="313"/>
      <c r="U574" s="268"/>
      <c r="V574" s="309"/>
      <c r="W574" s="310"/>
      <c r="X574" s="268"/>
      <c r="Y574" s="268"/>
      <c r="Z574" s="268"/>
      <c r="AA574" s="268"/>
      <c r="AB574" s="268"/>
      <c r="AC574" s="268"/>
    </row>
    <row r="575" spans="1:29" ht="24.75" customHeight="1">
      <c r="A575" s="268"/>
      <c r="B575" s="268"/>
      <c r="C575" s="268"/>
      <c r="D575" s="268"/>
      <c r="E575" s="268"/>
      <c r="F575" s="268"/>
      <c r="G575" s="268"/>
      <c r="H575" s="268"/>
      <c r="I575" s="268"/>
      <c r="J575" s="268"/>
      <c r="K575" s="268"/>
      <c r="L575" s="309"/>
      <c r="M575" s="268"/>
      <c r="N575" s="268"/>
      <c r="O575" s="310"/>
      <c r="P575" s="268"/>
      <c r="Q575" s="309"/>
      <c r="R575" s="268"/>
      <c r="S575" s="313"/>
      <c r="T575" s="313"/>
      <c r="U575" s="268"/>
      <c r="V575" s="309"/>
      <c r="W575" s="310"/>
      <c r="X575" s="268"/>
      <c r="Y575" s="268"/>
      <c r="Z575" s="268"/>
      <c r="AA575" s="268"/>
      <c r="AB575" s="268"/>
      <c r="AC575" s="268"/>
    </row>
    <row r="576" spans="1:29" ht="24.75" customHeight="1">
      <c r="A576" s="268"/>
      <c r="B576" s="268"/>
      <c r="C576" s="268"/>
      <c r="D576" s="268"/>
      <c r="E576" s="268"/>
      <c r="F576" s="268"/>
      <c r="G576" s="268"/>
      <c r="H576" s="268"/>
      <c r="I576" s="268"/>
      <c r="J576" s="268"/>
      <c r="K576" s="268"/>
      <c r="L576" s="309"/>
      <c r="M576" s="268"/>
      <c r="N576" s="268"/>
      <c r="O576" s="310"/>
      <c r="P576" s="268"/>
      <c r="Q576" s="309"/>
      <c r="R576" s="268"/>
      <c r="S576" s="313"/>
      <c r="T576" s="313"/>
      <c r="U576" s="268"/>
      <c r="V576" s="309"/>
      <c r="W576" s="310"/>
      <c r="X576" s="268"/>
      <c r="Y576" s="268"/>
      <c r="Z576" s="268"/>
      <c r="AA576" s="268"/>
      <c r="AB576" s="268"/>
      <c r="AC576" s="268"/>
    </row>
    <row r="577" spans="1:29" ht="24.75" customHeight="1">
      <c r="A577" s="268"/>
      <c r="B577" s="268"/>
      <c r="C577" s="268"/>
      <c r="D577" s="268"/>
      <c r="E577" s="268"/>
      <c r="F577" s="268"/>
      <c r="G577" s="268"/>
      <c r="H577" s="268"/>
      <c r="I577" s="268"/>
      <c r="J577" s="268"/>
      <c r="K577" s="268"/>
      <c r="L577" s="309"/>
      <c r="M577" s="268"/>
      <c r="N577" s="268"/>
      <c r="O577" s="310"/>
      <c r="P577" s="268"/>
      <c r="Q577" s="309"/>
      <c r="R577" s="268"/>
      <c r="S577" s="313"/>
      <c r="T577" s="313"/>
      <c r="U577" s="268"/>
      <c r="V577" s="309"/>
      <c r="W577" s="310"/>
      <c r="X577" s="268"/>
      <c r="Y577" s="268"/>
      <c r="Z577" s="268"/>
      <c r="AA577" s="268"/>
      <c r="AB577" s="268"/>
      <c r="AC577" s="268"/>
    </row>
    <row r="578" spans="1:29" ht="24.75" customHeight="1">
      <c r="A578" s="268"/>
      <c r="B578" s="268"/>
      <c r="C578" s="268"/>
      <c r="D578" s="268"/>
      <c r="E578" s="268"/>
      <c r="F578" s="268"/>
      <c r="G578" s="268"/>
      <c r="H578" s="268"/>
      <c r="I578" s="268"/>
      <c r="J578" s="268"/>
      <c r="K578" s="268"/>
      <c r="L578" s="309"/>
      <c r="M578" s="268"/>
      <c r="N578" s="268"/>
      <c r="O578" s="310"/>
      <c r="P578" s="268"/>
      <c r="Q578" s="309"/>
      <c r="R578" s="268"/>
      <c r="S578" s="313"/>
      <c r="T578" s="313"/>
      <c r="U578" s="268"/>
      <c r="V578" s="309"/>
      <c r="W578" s="310"/>
      <c r="X578" s="268"/>
      <c r="Y578" s="268"/>
      <c r="Z578" s="268"/>
      <c r="AA578" s="268"/>
      <c r="AB578" s="268"/>
      <c r="AC578" s="268"/>
    </row>
    <row r="579" spans="1:29" ht="24.75" customHeight="1">
      <c r="A579" s="268"/>
      <c r="B579" s="268"/>
      <c r="C579" s="268"/>
      <c r="D579" s="268"/>
      <c r="E579" s="268"/>
      <c r="F579" s="268"/>
      <c r="G579" s="268"/>
      <c r="H579" s="268"/>
      <c r="I579" s="268"/>
      <c r="J579" s="268"/>
      <c r="K579" s="268"/>
      <c r="L579" s="309"/>
      <c r="M579" s="268"/>
      <c r="N579" s="268"/>
      <c r="O579" s="310"/>
      <c r="P579" s="268"/>
      <c r="Q579" s="309"/>
      <c r="R579" s="268"/>
      <c r="S579" s="313"/>
      <c r="T579" s="313"/>
      <c r="U579" s="268"/>
      <c r="V579" s="309"/>
      <c r="W579" s="310"/>
      <c r="X579" s="268"/>
      <c r="Y579" s="268"/>
      <c r="Z579" s="268"/>
      <c r="AA579" s="268"/>
      <c r="AB579" s="268"/>
      <c r="AC579" s="268"/>
    </row>
    <row r="580" spans="1:29" ht="24.75" customHeight="1">
      <c r="A580" s="268"/>
      <c r="B580" s="268"/>
      <c r="C580" s="268"/>
      <c r="D580" s="268"/>
      <c r="E580" s="268"/>
      <c r="F580" s="268"/>
      <c r="G580" s="268"/>
      <c r="H580" s="268"/>
      <c r="I580" s="268"/>
      <c r="J580" s="268"/>
      <c r="K580" s="268"/>
      <c r="L580" s="309"/>
      <c r="M580" s="268"/>
      <c r="N580" s="268"/>
      <c r="O580" s="310"/>
      <c r="P580" s="268"/>
      <c r="Q580" s="309"/>
      <c r="R580" s="268"/>
      <c r="S580" s="313"/>
      <c r="T580" s="313"/>
      <c r="U580" s="268"/>
      <c r="V580" s="309"/>
      <c r="W580" s="310"/>
      <c r="X580" s="268"/>
      <c r="Y580" s="268"/>
      <c r="Z580" s="268"/>
      <c r="AA580" s="268"/>
      <c r="AB580" s="268"/>
      <c r="AC580" s="268"/>
    </row>
    <row r="581" spans="1:29" ht="24.75" customHeight="1">
      <c r="A581" s="268"/>
      <c r="B581" s="268"/>
      <c r="C581" s="268"/>
      <c r="D581" s="268"/>
      <c r="E581" s="268"/>
      <c r="F581" s="268"/>
      <c r="G581" s="268"/>
      <c r="H581" s="268"/>
      <c r="I581" s="268"/>
      <c r="J581" s="268"/>
      <c r="K581" s="268"/>
      <c r="L581" s="309"/>
      <c r="M581" s="268"/>
      <c r="N581" s="268"/>
      <c r="O581" s="310"/>
      <c r="P581" s="268"/>
      <c r="Q581" s="309"/>
      <c r="R581" s="268"/>
      <c r="S581" s="313"/>
      <c r="T581" s="313"/>
      <c r="U581" s="268"/>
      <c r="V581" s="309"/>
      <c r="W581" s="310"/>
      <c r="X581" s="268"/>
      <c r="Y581" s="268"/>
      <c r="Z581" s="268"/>
      <c r="AA581" s="268"/>
      <c r="AB581" s="268"/>
      <c r="AC581" s="268"/>
    </row>
    <row r="582" spans="1:29" ht="24.75" customHeight="1">
      <c r="A582" s="268"/>
      <c r="B582" s="268"/>
      <c r="C582" s="268"/>
      <c r="D582" s="268"/>
      <c r="E582" s="268"/>
      <c r="F582" s="268"/>
      <c r="G582" s="268"/>
      <c r="H582" s="268"/>
      <c r="I582" s="268"/>
      <c r="J582" s="268"/>
      <c r="K582" s="268"/>
      <c r="L582" s="309"/>
      <c r="M582" s="268"/>
      <c r="N582" s="268"/>
      <c r="O582" s="310"/>
      <c r="P582" s="268"/>
      <c r="Q582" s="309"/>
      <c r="R582" s="268"/>
      <c r="S582" s="313"/>
      <c r="T582" s="313"/>
      <c r="U582" s="268"/>
      <c r="V582" s="309"/>
      <c r="W582" s="310"/>
      <c r="X582" s="268"/>
      <c r="Y582" s="268"/>
      <c r="Z582" s="268"/>
      <c r="AA582" s="268"/>
      <c r="AB582" s="268"/>
      <c r="AC582" s="268"/>
    </row>
    <row r="583" spans="1:29" ht="24.75" customHeight="1">
      <c r="A583" s="268"/>
      <c r="B583" s="268"/>
      <c r="C583" s="268"/>
      <c r="D583" s="268"/>
      <c r="E583" s="268"/>
      <c r="F583" s="268"/>
      <c r="G583" s="268"/>
      <c r="H583" s="268"/>
      <c r="I583" s="268"/>
      <c r="J583" s="268"/>
      <c r="K583" s="268"/>
      <c r="L583" s="309"/>
      <c r="M583" s="268"/>
      <c r="N583" s="268"/>
      <c r="O583" s="310"/>
      <c r="P583" s="268"/>
      <c r="Q583" s="309"/>
      <c r="R583" s="268"/>
      <c r="S583" s="313"/>
      <c r="T583" s="313"/>
      <c r="U583" s="268"/>
      <c r="V583" s="309"/>
      <c r="W583" s="310"/>
      <c r="X583" s="268"/>
      <c r="Y583" s="268"/>
      <c r="Z583" s="268"/>
      <c r="AA583" s="268"/>
      <c r="AB583" s="268"/>
      <c r="AC583" s="268"/>
    </row>
    <row r="584" spans="1:29" ht="24.75" customHeight="1">
      <c r="A584" s="268"/>
      <c r="B584" s="268"/>
      <c r="C584" s="268"/>
      <c r="D584" s="268"/>
      <c r="E584" s="268"/>
      <c r="F584" s="268"/>
      <c r="G584" s="268"/>
      <c r="H584" s="268"/>
      <c r="I584" s="268"/>
      <c r="J584" s="268"/>
      <c r="K584" s="268"/>
      <c r="L584" s="309"/>
      <c r="M584" s="268"/>
      <c r="N584" s="268"/>
      <c r="O584" s="310"/>
      <c r="P584" s="268"/>
      <c r="Q584" s="309"/>
      <c r="R584" s="268"/>
      <c r="S584" s="313"/>
      <c r="T584" s="313"/>
      <c r="U584" s="268"/>
      <c r="V584" s="309"/>
      <c r="W584" s="310"/>
      <c r="X584" s="268"/>
      <c r="Y584" s="268"/>
      <c r="Z584" s="268"/>
      <c r="AA584" s="268"/>
      <c r="AB584" s="268"/>
      <c r="AC584" s="268"/>
    </row>
    <row r="585" spans="1:29" ht="24.75" customHeight="1">
      <c r="A585" s="268"/>
      <c r="B585" s="268"/>
      <c r="C585" s="268"/>
      <c r="D585" s="268"/>
      <c r="E585" s="268"/>
      <c r="F585" s="268"/>
      <c r="G585" s="268"/>
      <c r="H585" s="268"/>
      <c r="I585" s="268"/>
      <c r="J585" s="268"/>
      <c r="K585" s="268"/>
      <c r="L585" s="309"/>
      <c r="M585" s="268"/>
      <c r="N585" s="268"/>
      <c r="O585" s="310"/>
      <c r="P585" s="268"/>
      <c r="Q585" s="309"/>
      <c r="R585" s="268"/>
      <c r="S585" s="313"/>
      <c r="T585" s="313"/>
      <c r="U585" s="268"/>
      <c r="V585" s="309"/>
      <c r="W585" s="310"/>
      <c r="X585" s="268"/>
      <c r="Y585" s="268"/>
      <c r="Z585" s="268"/>
      <c r="AA585" s="268"/>
      <c r="AB585" s="268"/>
      <c r="AC585" s="268"/>
    </row>
    <row r="586" spans="1:29" ht="24.75" customHeight="1">
      <c r="A586" s="268"/>
      <c r="B586" s="268"/>
      <c r="C586" s="268"/>
      <c r="D586" s="268"/>
      <c r="E586" s="268"/>
      <c r="F586" s="268"/>
      <c r="G586" s="268"/>
      <c r="H586" s="268"/>
      <c r="I586" s="268"/>
      <c r="J586" s="268"/>
      <c r="K586" s="268"/>
      <c r="L586" s="309"/>
      <c r="M586" s="268"/>
      <c r="N586" s="268"/>
      <c r="O586" s="310"/>
      <c r="P586" s="268"/>
      <c r="Q586" s="309"/>
      <c r="R586" s="268"/>
      <c r="S586" s="313"/>
      <c r="T586" s="313"/>
      <c r="U586" s="268"/>
      <c r="V586" s="309"/>
      <c r="W586" s="310"/>
      <c r="X586" s="268"/>
      <c r="Y586" s="268"/>
      <c r="Z586" s="268"/>
      <c r="AA586" s="268"/>
      <c r="AB586" s="268"/>
      <c r="AC586" s="268"/>
    </row>
    <row r="587" spans="1:29" ht="24.75" customHeight="1">
      <c r="A587" s="268"/>
      <c r="B587" s="268"/>
      <c r="C587" s="268"/>
      <c r="D587" s="268"/>
      <c r="E587" s="268"/>
      <c r="F587" s="268"/>
      <c r="G587" s="268"/>
      <c r="H587" s="268"/>
      <c r="I587" s="268"/>
      <c r="J587" s="268"/>
      <c r="K587" s="268"/>
      <c r="L587" s="309"/>
      <c r="M587" s="268"/>
      <c r="N587" s="268"/>
      <c r="O587" s="310"/>
      <c r="P587" s="268"/>
      <c r="Q587" s="309"/>
      <c r="R587" s="268"/>
      <c r="S587" s="313"/>
      <c r="T587" s="313"/>
      <c r="U587" s="268"/>
      <c r="V587" s="309"/>
      <c r="W587" s="310"/>
      <c r="X587" s="268"/>
      <c r="Y587" s="268"/>
      <c r="Z587" s="268"/>
      <c r="AA587" s="268"/>
      <c r="AB587" s="268"/>
      <c r="AC587" s="268"/>
    </row>
    <row r="588" spans="1:29" ht="24.75" customHeight="1">
      <c r="A588" s="268"/>
      <c r="B588" s="268"/>
      <c r="C588" s="268"/>
      <c r="D588" s="268"/>
      <c r="E588" s="268"/>
      <c r="F588" s="268"/>
      <c r="G588" s="268"/>
      <c r="H588" s="268"/>
      <c r="I588" s="268"/>
      <c r="J588" s="268"/>
      <c r="K588" s="268"/>
      <c r="L588" s="309"/>
      <c r="M588" s="268"/>
      <c r="N588" s="268"/>
      <c r="O588" s="310"/>
      <c r="P588" s="268"/>
      <c r="Q588" s="309"/>
      <c r="R588" s="268"/>
      <c r="S588" s="313"/>
      <c r="T588" s="313"/>
      <c r="U588" s="268"/>
      <c r="V588" s="309"/>
      <c r="W588" s="310"/>
      <c r="X588" s="268"/>
      <c r="Y588" s="268"/>
      <c r="Z588" s="268"/>
      <c r="AA588" s="268"/>
      <c r="AB588" s="268"/>
      <c r="AC588" s="268"/>
    </row>
    <row r="589" spans="1:29" ht="24.75" customHeight="1">
      <c r="A589" s="268"/>
      <c r="B589" s="268"/>
      <c r="C589" s="268"/>
      <c r="D589" s="268"/>
      <c r="E589" s="268"/>
      <c r="F589" s="268"/>
      <c r="G589" s="268"/>
      <c r="H589" s="268"/>
      <c r="I589" s="268"/>
      <c r="J589" s="268"/>
      <c r="K589" s="268"/>
      <c r="L589" s="309"/>
      <c r="M589" s="268"/>
      <c r="N589" s="268"/>
      <c r="O589" s="310"/>
      <c r="P589" s="268"/>
      <c r="Q589" s="309"/>
      <c r="R589" s="268"/>
      <c r="S589" s="313"/>
      <c r="T589" s="313"/>
      <c r="U589" s="268"/>
      <c r="V589" s="309"/>
      <c r="W589" s="310"/>
      <c r="X589" s="268"/>
      <c r="Y589" s="268"/>
      <c r="Z589" s="268"/>
      <c r="AA589" s="268"/>
      <c r="AB589" s="268"/>
      <c r="AC589" s="268"/>
    </row>
    <row r="590" spans="1:29" ht="24.75" customHeight="1">
      <c r="A590" s="268"/>
      <c r="B590" s="268"/>
      <c r="C590" s="268"/>
      <c r="D590" s="268"/>
      <c r="E590" s="268"/>
      <c r="F590" s="268"/>
      <c r="G590" s="268"/>
      <c r="H590" s="268"/>
      <c r="I590" s="268"/>
      <c r="J590" s="268"/>
      <c r="K590" s="268"/>
      <c r="L590" s="309"/>
      <c r="M590" s="268"/>
      <c r="N590" s="268"/>
      <c r="O590" s="310"/>
      <c r="P590" s="268"/>
      <c r="Q590" s="309"/>
      <c r="R590" s="268"/>
      <c r="S590" s="313"/>
      <c r="T590" s="313"/>
      <c r="U590" s="268"/>
      <c r="V590" s="309"/>
      <c r="W590" s="310"/>
      <c r="X590" s="268"/>
      <c r="Y590" s="268"/>
      <c r="Z590" s="268"/>
      <c r="AA590" s="268"/>
      <c r="AB590" s="268"/>
      <c r="AC590" s="268"/>
    </row>
    <row r="591" spans="1:29" ht="24.75" customHeight="1">
      <c r="A591" s="268"/>
      <c r="B591" s="268"/>
      <c r="C591" s="268"/>
      <c r="D591" s="268"/>
      <c r="E591" s="268"/>
      <c r="F591" s="268"/>
      <c r="G591" s="268"/>
      <c r="H591" s="268"/>
      <c r="I591" s="268"/>
      <c r="J591" s="268"/>
      <c r="K591" s="268"/>
      <c r="L591" s="309"/>
      <c r="M591" s="268"/>
      <c r="N591" s="268"/>
      <c r="O591" s="310"/>
      <c r="P591" s="268"/>
      <c r="Q591" s="309"/>
      <c r="R591" s="268"/>
      <c r="S591" s="313"/>
      <c r="T591" s="313"/>
      <c r="U591" s="268"/>
      <c r="V591" s="309"/>
      <c r="W591" s="310"/>
      <c r="X591" s="268"/>
      <c r="Y591" s="268"/>
      <c r="Z591" s="268"/>
      <c r="AA591" s="268"/>
      <c r="AB591" s="268"/>
      <c r="AC591" s="268"/>
    </row>
    <row r="592" spans="1:29" ht="24.75" customHeight="1">
      <c r="A592" s="268"/>
      <c r="B592" s="268"/>
      <c r="C592" s="268"/>
      <c r="D592" s="268"/>
      <c r="E592" s="268"/>
      <c r="F592" s="268"/>
      <c r="G592" s="268"/>
      <c r="H592" s="268"/>
      <c r="I592" s="268"/>
      <c r="J592" s="268"/>
      <c r="K592" s="268"/>
      <c r="L592" s="309"/>
      <c r="M592" s="268"/>
      <c r="N592" s="268"/>
      <c r="O592" s="310"/>
      <c r="P592" s="268"/>
      <c r="Q592" s="309"/>
      <c r="R592" s="268"/>
      <c r="S592" s="313"/>
      <c r="T592" s="313"/>
      <c r="U592" s="268"/>
      <c r="V592" s="309"/>
      <c r="W592" s="310"/>
      <c r="X592" s="268"/>
      <c r="Y592" s="268"/>
      <c r="Z592" s="268"/>
      <c r="AA592" s="268"/>
      <c r="AB592" s="268"/>
      <c r="AC592" s="268"/>
    </row>
    <row r="593" spans="1:29" ht="24.75" customHeight="1">
      <c r="A593" s="268"/>
      <c r="B593" s="268"/>
      <c r="C593" s="268"/>
      <c r="D593" s="268"/>
      <c r="E593" s="268"/>
      <c r="F593" s="268"/>
      <c r="G593" s="268"/>
      <c r="H593" s="268"/>
      <c r="I593" s="268"/>
      <c r="J593" s="268"/>
      <c r="K593" s="268"/>
      <c r="L593" s="309"/>
      <c r="M593" s="268"/>
      <c r="N593" s="268"/>
      <c r="O593" s="310"/>
      <c r="P593" s="268"/>
      <c r="Q593" s="309"/>
      <c r="R593" s="268"/>
      <c r="S593" s="313"/>
      <c r="T593" s="313"/>
      <c r="U593" s="268"/>
      <c r="V593" s="309"/>
      <c r="W593" s="310"/>
      <c r="X593" s="268"/>
      <c r="Y593" s="268"/>
      <c r="Z593" s="268"/>
      <c r="AA593" s="268"/>
      <c r="AB593" s="268"/>
      <c r="AC593" s="268"/>
    </row>
    <row r="594" spans="1:29" ht="24.75" customHeight="1">
      <c r="A594" s="268"/>
      <c r="B594" s="268"/>
      <c r="C594" s="268"/>
      <c r="D594" s="268"/>
      <c r="E594" s="268"/>
      <c r="F594" s="268"/>
      <c r="G594" s="268"/>
      <c r="H594" s="268"/>
      <c r="I594" s="268"/>
      <c r="J594" s="268"/>
      <c r="K594" s="268"/>
      <c r="L594" s="309"/>
      <c r="M594" s="268"/>
      <c r="N594" s="268"/>
      <c r="O594" s="310"/>
      <c r="P594" s="268"/>
      <c r="Q594" s="309"/>
      <c r="R594" s="268"/>
      <c r="S594" s="313"/>
      <c r="T594" s="313"/>
      <c r="U594" s="268"/>
      <c r="V594" s="309"/>
      <c r="W594" s="310"/>
      <c r="X594" s="268"/>
      <c r="Y594" s="268"/>
      <c r="Z594" s="268"/>
      <c r="AA594" s="268"/>
      <c r="AB594" s="268"/>
      <c r="AC594" s="268"/>
    </row>
    <row r="595" spans="1:29" ht="24.75" customHeight="1">
      <c r="A595" s="268"/>
      <c r="B595" s="268"/>
      <c r="C595" s="268"/>
      <c r="D595" s="268"/>
      <c r="E595" s="268"/>
      <c r="F595" s="268"/>
      <c r="G595" s="268"/>
      <c r="H595" s="268"/>
      <c r="I595" s="268"/>
      <c r="J595" s="268"/>
      <c r="K595" s="268"/>
      <c r="L595" s="309"/>
      <c r="M595" s="268"/>
      <c r="N595" s="268"/>
      <c r="O595" s="310"/>
      <c r="P595" s="268"/>
      <c r="Q595" s="309"/>
      <c r="R595" s="268"/>
      <c r="S595" s="313"/>
      <c r="T595" s="313"/>
      <c r="U595" s="268"/>
      <c r="V595" s="309"/>
      <c r="W595" s="310"/>
      <c r="X595" s="268"/>
      <c r="Y595" s="268"/>
      <c r="Z595" s="268"/>
      <c r="AA595" s="268"/>
      <c r="AB595" s="268"/>
      <c r="AC595" s="268"/>
    </row>
    <row r="596" spans="1:29" ht="24.75" customHeight="1">
      <c r="A596" s="268"/>
      <c r="B596" s="268"/>
      <c r="C596" s="268"/>
      <c r="D596" s="268"/>
      <c r="E596" s="268"/>
      <c r="F596" s="268"/>
      <c r="G596" s="268"/>
      <c r="H596" s="268"/>
      <c r="I596" s="268"/>
      <c r="J596" s="268"/>
      <c r="K596" s="268"/>
      <c r="L596" s="309"/>
      <c r="M596" s="268"/>
      <c r="N596" s="268"/>
      <c r="O596" s="310"/>
      <c r="P596" s="268"/>
      <c r="Q596" s="309"/>
      <c r="R596" s="268"/>
      <c r="S596" s="313"/>
      <c r="T596" s="313"/>
      <c r="U596" s="268"/>
      <c r="V596" s="309"/>
      <c r="W596" s="310"/>
      <c r="X596" s="268"/>
      <c r="Y596" s="268"/>
      <c r="Z596" s="268"/>
      <c r="AA596" s="268"/>
      <c r="AB596" s="268"/>
      <c r="AC596" s="268"/>
    </row>
    <row r="597" spans="1:29" ht="24.75" customHeight="1">
      <c r="A597" s="268"/>
      <c r="B597" s="268"/>
      <c r="C597" s="268"/>
      <c r="D597" s="268"/>
      <c r="E597" s="268"/>
      <c r="F597" s="268"/>
      <c r="G597" s="268"/>
      <c r="H597" s="268"/>
      <c r="I597" s="268"/>
      <c r="J597" s="268"/>
      <c r="K597" s="268"/>
      <c r="L597" s="309"/>
      <c r="M597" s="268"/>
      <c r="N597" s="268"/>
      <c r="O597" s="310"/>
      <c r="P597" s="268"/>
      <c r="Q597" s="309"/>
      <c r="R597" s="268"/>
      <c r="S597" s="313"/>
      <c r="T597" s="313"/>
      <c r="U597" s="268"/>
      <c r="V597" s="309"/>
      <c r="W597" s="310"/>
      <c r="X597" s="268"/>
      <c r="Y597" s="268"/>
      <c r="Z597" s="268"/>
      <c r="AA597" s="268"/>
      <c r="AB597" s="268"/>
      <c r="AC597" s="268"/>
    </row>
    <row r="598" spans="1:29" ht="24.75" customHeight="1">
      <c r="A598" s="268"/>
      <c r="B598" s="268"/>
      <c r="C598" s="268"/>
      <c r="D598" s="268"/>
      <c r="E598" s="268"/>
      <c r="F598" s="268"/>
      <c r="G598" s="268"/>
      <c r="H598" s="268"/>
      <c r="I598" s="268"/>
      <c r="J598" s="268"/>
      <c r="K598" s="268"/>
      <c r="L598" s="309"/>
      <c r="M598" s="268"/>
      <c r="N598" s="268"/>
      <c r="O598" s="310"/>
      <c r="P598" s="268"/>
      <c r="Q598" s="309"/>
      <c r="R598" s="268"/>
      <c r="S598" s="313"/>
      <c r="T598" s="313"/>
      <c r="U598" s="268"/>
      <c r="V598" s="309"/>
      <c r="W598" s="310"/>
      <c r="X598" s="268"/>
      <c r="Y598" s="268"/>
      <c r="Z598" s="268"/>
      <c r="AA598" s="268"/>
      <c r="AB598" s="268"/>
      <c r="AC598" s="268"/>
    </row>
    <row r="599" spans="1:29" ht="24.75" customHeight="1">
      <c r="A599" s="268"/>
      <c r="B599" s="268"/>
      <c r="C599" s="268"/>
      <c r="D599" s="268"/>
      <c r="E599" s="268"/>
      <c r="F599" s="268"/>
      <c r="G599" s="268"/>
      <c r="H599" s="268"/>
      <c r="I599" s="268"/>
      <c r="J599" s="268"/>
      <c r="K599" s="268"/>
      <c r="L599" s="309"/>
      <c r="M599" s="268"/>
      <c r="N599" s="268"/>
      <c r="O599" s="310"/>
      <c r="P599" s="268"/>
      <c r="Q599" s="309"/>
      <c r="R599" s="268"/>
      <c r="S599" s="313"/>
      <c r="T599" s="313"/>
      <c r="U599" s="268"/>
      <c r="V599" s="309"/>
      <c r="W599" s="310"/>
      <c r="X599" s="268"/>
      <c r="Y599" s="268"/>
      <c r="Z599" s="268"/>
      <c r="AA599" s="268"/>
      <c r="AB599" s="268"/>
      <c r="AC599" s="268"/>
    </row>
    <row r="600" spans="1:29" ht="24.75" customHeight="1">
      <c r="A600" s="268"/>
      <c r="B600" s="268"/>
      <c r="C600" s="268"/>
      <c r="D600" s="268"/>
      <c r="E600" s="268"/>
      <c r="F600" s="268"/>
      <c r="G600" s="268"/>
      <c r="H600" s="268"/>
      <c r="I600" s="268"/>
      <c r="J600" s="268"/>
      <c r="K600" s="268"/>
      <c r="L600" s="309"/>
      <c r="M600" s="268"/>
      <c r="N600" s="268"/>
      <c r="O600" s="310"/>
      <c r="P600" s="268"/>
      <c r="Q600" s="309"/>
      <c r="R600" s="268"/>
      <c r="S600" s="313"/>
      <c r="T600" s="313"/>
      <c r="U600" s="268"/>
      <c r="V600" s="309"/>
      <c r="W600" s="310"/>
      <c r="X600" s="268"/>
      <c r="Y600" s="268"/>
      <c r="Z600" s="268"/>
      <c r="AA600" s="268"/>
      <c r="AB600" s="268"/>
      <c r="AC600" s="268"/>
    </row>
    <row r="601" spans="1:29" ht="24.75" customHeight="1">
      <c r="A601" s="268"/>
      <c r="B601" s="268"/>
      <c r="C601" s="268"/>
      <c r="D601" s="268"/>
      <c r="E601" s="268"/>
      <c r="F601" s="268"/>
      <c r="G601" s="268"/>
      <c r="H601" s="268"/>
      <c r="I601" s="268"/>
      <c r="J601" s="268"/>
      <c r="K601" s="268"/>
      <c r="L601" s="309"/>
      <c r="M601" s="268"/>
      <c r="N601" s="268"/>
      <c r="O601" s="310"/>
      <c r="P601" s="268"/>
      <c r="Q601" s="309"/>
      <c r="R601" s="268"/>
      <c r="S601" s="313"/>
      <c r="T601" s="313"/>
      <c r="U601" s="268"/>
      <c r="V601" s="309"/>
      <c r="W601" s="310"/>
      <c r="X601" s="268"/>
      <c r="Y601" s="268"/>
      <c r="Z601" s="268"/>
      <c r="AA601" s="268"/>
      <c r="AB601" s="268"/>
      <c r="AC601" s="268"/>
    </row>
    <row r="602" spans="1:29" ht="24.75" customHeight="1">
      <c r="A602" s="268"/>
      <c r="B602" s="268"/>
      <c r="C602" s="268"/>
      <c r="D602" s="268"/>
      <c r="E602" s="268"/>
      <c r="F602" s="268"/>
      <c r="G602" s="268"/>
      <c r="H602" s="268"/>
      <c r="I602" s="268"/>
      <c r="J602" s="268"/>
      <c r="K602" s="268"/>
      <c r="L602" s="309"/>
      <c r="M602" s="268"/>
      <c r="N602" s="268"/>
      <c r="O602" s="310"/>
      <c r="P602" s="268"/>
      <c r="Q602" s="309"/>
      <c r="R602" s="268"/>
      <c r="S602" s="313"/>
      <c r="T602" s="313"/>
      <c r="U602" s="268"/>
      <c r="V602" s="309"/>
      <c r="W602" s="310"/>
      <c r="X602" s="268"/>
      <c r="Y602" s="268"/>
      <c r="Z602" s="268"/>
      <c r="AA602" s="268"/>
      <c r="AB602" s="268"/>
      <c r="AC602" s="268"/>
    </row>
    <row r="603" spans="1:29" ht="24.75" customHeight="1">
      <c r="A603" s="268"/>
      <c r="B603" s="268"/>
      <c r="C603" s="268"/>
      <c r="D603" s="268"/>
      <c r="E603" s="268"/>
      <c r="F603" s="268"/>
      <c r="G603" s="268"/>
      <c r="H603" s="268"/>
      <c r="I603" s="268"/>
      <c r="J603" s="268"/>
      <c r="K603" s="268"/>
      <c r="L603" s="309"/>
      <c r="M603" s="268"/>
      <c r="N603" s="268"/>
      <c r="O603" s="310"/>
      <c r="P603" s="268"/>
      <c r="Q603" s="309"/>
      <c r="R603" s="268"/>
      <c r="S603" s="313"/>
      <c r="T603" s="313"/>
      <c r="U603" s="268"/>
      <c r="V603" s="309"/>
      <c r="W603" s="310"/>
      <c r="X603" s="268"/>
      <c r="Y603" s="268"/>
      <c r="Z603" s="268"/>
      <c r="AA603" s="268"/>
      <c r="AB603" s="268"/>
      <c r="AC603" s="268"/>
    </row>
    <row r="604" spans="1:29" ht="24.75" customHeight="1">
      <c r="A604" s="268"/>
      <c r="B604" s="268"/>
      <c r="C604" s="268"/>
      <c r="D604" s="268"/>
      <c r="E604" s="268"/>
      <c r="F604" s="268"/>
      <c r="G604" s="268"/>
      <c r="H604" s="268"/>
      <c r="I604" s="268"/>
      <c r="J604" s="268"/>
      <c r="K604" s="268"/>
      <c r="L604" s="309"/>
      <c r="M604" s="268"/>
      <c r="N604" s="268"/>
      <c r="O604" s="310"/>
      <c r="P604" s="268"/>
      <c r="Q604" s="309"/>
      <c r="R604" s="268"/>
      <c r="S604" s="313"/>
      <c r="T604" s="313"/>
      <c r="U604" s="268"/>
      <c r="V604" s="309"/>
      <c r="W604" s="310"/>
      <c r="X604" s="268"/>
      <c r="Y604" s="268"/>
      <c r="Z604" s="268"/>
      <c r="AA604" s="268"/>
      <c r="AB604" s="268"/>
      <c r="AC604" s="268"/>
    </row>
    <row r="605" spans="1:29" ht="24.75" customHeight="1">
      <c r="A605" s="268"/>
      <c r="B605" s="268"/>
      <c r="C605" s="268"/>
      <c r="D605" s="268"/>
      <c r="E605" s="268"/>
      <c r="F605" s="268"/>
      <c r="G605" s="268"/>
      <c r="H605" s="268"/>
      <c r="I605" s="268"/>
      <c r="J605" s="268"/>
      <c r="K605" s="268"/>
      <c r="L605" s="309"/>
      <c r="M605" s="268"/>
      <c r="N605" s="268"/>
      <c r="O605" s="310"/>
      <c r="P605" s="268"/>
      <c r="Q605" s="309"/>
      <c r="R605" s="268"/>
      <c r="S605" s="313"/>
      <c r="T605" s="313"/>
      <c r="U605" s="268"/>
      <c r="V605" s="309"/>
      <c r="W605" s="310"/>
      <c r="X605" s="268"/>
      <c r="Y605" s="268"/>
      <c r="Z605" s="268"/>
      <c r="AA605" s="268"/>
      <c r="AB605" s="268"/>
      <c r="AC605" s="268"/>
    </row>
    <row r="606" spans="1:29" ht="24.75" customHeight="1">
      <c r="A606" s="268"/>
      <c r="B606" s="268"/>
      <c r="C606" s="268"/>
      <c r="D606" s="268"/>
      <c r="E606" s="268"/>
      <c r="F606" s="268"/>
      <c r="G606" s="268"/>
      <c r="H606" s="268"/>
      <c r="I606" s="268"/>
      <c r="J606" s="268"/>
      <c r="K606" s="268"/>
      <c r="L606" s="309"/>
      <c r="M606" s="268"/>
      <c r="N606" s="268"/>
      <c r="O606" s="310"/>
      <c r="P606" s="268"/>
      <c r="Q606" s="309"/>
      <c r="R606" s="268"/>
      <c r="S606" s="313"/>
      <c r="T606" s="313"/>
      <c r="U606" s="268"/>
      <c r="V606" s="309"/>
      <c r="W606" s="310"/>
      <c r="X606" s="268"/>
      <c r="Y606" s="268"/>
      <c r="Z606" s="268"/>
      <c r="AA606" s="268"/>
      <c r="AB606" s="268"/>
      <c r="AC606" s="268"/>
    </row>
    <row r="607" spans="1:29" ht="24.75" customHeight="1">
      <c r="A607" s="268"/>
      <c r="B607" s="268"/>
      <c r="C607" s="268"/>
      <c r="D607" s="268"/>
      <c r="E607" s="268"/>
      <c r="F607" s="268"/>
      <c r="G607" s="268"/>
      <c r="H607" s="268"/>
      <c r="I607" s="268"/>
      <c r="J607" s="268"/>
      <c r="K607" s="268"/>
      <c r="L607" s="309"/>
      <c r="M607" s="268"/>
      <c r="N607" s="268"/>
      <c r="O607" s="310"/>
      <c r="P607" s="268"/>
      <c r="Q607" s="309"/>
      <c r="R607" s="268"/>
      <c r="S607" s="313"/>
      <c r="T607" s="313"/>
      <c r="U607" s="268"/>
      <c r="V607" s="309"/>
      <c r="W607" s="310"/>
      <c r="X607" s="268"/>
      <c r="Y607" s="268"/>
      <c r="Z607" s="268"/>
      <c r="AA607" s="268"/>
      <c r="AB607" s="268"/>
      <c r="AC607" s="268"/>
    </row>
    <row r="608" spans="1:29" ht="24.75" customHeight="1">
      <c r="A608" s="268"/>
      <c r="B608" s="268"/>
      <c r="C608" s="268"/>
      <c r="D608" s="268"/>
      <c r="E608" s="268"/>
      <c r="F608" s="268"/>
      <c r="G608" s="268"/>
      <c r="H608" s="268"/>
      <c r="I608" s="268"/>
      <c r="J608" s="268"/>
      <c r="K608" s="268"/>
      <c r="L608" s="309"/>
      <c r="M608" s="268"/>
      <c r="N608" s="268"/>
      <c r="O608" s="310"/>
      <c r="P608" s="268"/>
      <c r="Q608" s="309"/>
      <c r="R608" s="268"/>
      <c r="S608" s="313"/>
      <c r="T608" s="313"/>
      <c r="U608" s="268"/>
      <c r="V608" s="309"/>
      <c r="W608" s="310"/>
      <c r="X608" s="268"/>
      <c r="Y608" s="268"/>
      <c r="Z608" s="268"/>
      <c r="AA608" s="268"/>
      <c r="AB608" s="268"/>
      <c r="AC608" s="268"/>
    </row>
    <row r="609" spans="1:29" ht="24.75" customHeight="1">
      <c r="A609" s="268"/>
      <c r="B609" s="268"/>
      <c r="C609" s="268"/>
      <c r="D609" s="268"/>
      <c r="E609" s="268"/>
      <c r="F609" s="268"/>
      <c r="G609" s="268"/>
      <c r="H609" s="268"/>
      <c r="I609" s="268"/>
      <c r="J609" s="268"/>
      <c r="K609" s="268"/>
      <c r="L609" s="309"/>
      <c r="M609" s="268"/>
      <c r="N609" s="268"/>
      <c r="O609" s="310"/>
      <c r="P609" s="268"/>
      <c r="Q609" s="309"/>
      <c r="R609" s="268"/>
      <c r="S609" s="313"/>
      <c r="T609" s="313"/>
      <c r="U609" s="268"/>
      <c r="V609" s="309"/>
      <c r="W609" s="310"/>
      <c r="X609" s="268"/>
      <c r="Y609" s="268"/>
      <c r="Z609" s="268"/>
      <c r="AA609" s="268"/>
      <c r="AB609" s="268"/>
      <c r="AC609" s="268"/>
    </row>
    <row r="610" spans="1:29" ht="24.75" customHeight="1">
      <c r="A610" s="268"/>
      <c r="B610" s="268"/>
      <c r="C610" s="268"/>
      <c r="D610" s="268"/>
      <c r="E610" s="268"/>
      <c r="F610" s="268"/>
      <c r="G610" s="268"/>
      <c r="H610" s="268"/>
      <c r="I610" s="268"/>
      <c r="J610" s="268"/>
      <c r="K610" s="268"/>
      <c r="L610" s="309"/>
      <c r="M610" s="268"/>
      <c r="N610" s="268"/>
      <c r="O610" s="310"/>
      <c r="P610" s="268"/>
      <c r="Q610" s="309"/>
      <c r="R610" s="268"/>
      <c r="S610" s="313"/>
      <c r="T610" s="313"/>
      <c r="U610" s="268"/>
      <c r="V610" s="309"/>
      <c r="W610" s="310"/>
      <c r="X610" s="268"/>
      <c r="Y610" s="268"/>
      <c r="Z610" s="268"/>
      <c r="AA610" s="268"/>
      <c r="AB610" s="268"/>
      <c r="AC610" s="268"/>
    </row>
    <row r="611" spans="1:29" ht="24.75" customHeight="1">
      <c r="A611" s="268"/>
      <c r="B611" s="268"/>
      <c r="C611" s="268"/>
      <c r="D611" s="268"/>
      <c r="E611" s="268"/>
      <c r="F611" s="268"/>
      <c r="G611" s="268"/>
      <c r="H611" s="268"/>
      <c r="I611" s="268"/>
      <c r="J611" s="268"/>
      <c r="K611" s="268"/>
      <c r="L611" s="309"/>
      <c r="M611" s="268"/>
      <c r="N611" s="268"/>
      <c r="O611" s="310"/>
      <c r="P611" s="268"/>
      <c r="Q611" s="309"/>
      <c r="R611" s="268"/>
      <c r="S611" s="313"/>
      <c r="T611" s="313"/>
      <c r="U611" s="268"/>
      <c r="V611" s="309"/>
      <c r="W611" s="310"/>
      <c r="X611" s="268"/>
      <c r="Y611" s="268"/>
      <c r="Z611" s="268"/>
      <c r="AA611" s="268"/>
      <c r="AB611" s="268"/>
      <c r="AC611" s="268"/>
    </row>
    <row r="612" spans="1:29" ht="24.75" customHeight="1">
      <c r="A612" s="268"/>
      <c r="B612" s="268"/>
      <c r="C612" s="268"/>
      <c r="D612" s="268"/>
      <c r="E612" s="268"/>
      <c r="F612" s="268"/>
      <c r="G612" s="268"/>
      <c r="H612" s="268"/>
      <c r="I612" s="268"/>
      <c r="J612" s="268"/>
      <c r="K612" s="268"/>
      <c r="L612" s="309"/>
      <c r="M612" s="268"/>
      <c r="N612" s="268"/>
      <c r="O612" s="310"/>
      <c r="P612" s="268"/>
      <c r="Q612" s="309"/>
      <c r="R612" s="268"/>
      <c r="S612" s="313"/>
      <c r="T612" s="313"/>
      <c r="U612" s="268"/>
      <c r="V612" s="309"/>
      <c r="W612" s="310"/>
      <c r="X612" s="268"/>
      <c r="Y612" s="268"/>
      <c r="Z612" s="268"/>
      <c r="AA612" s="268"/>
      <c r="AB612" s="268"/>
      <c r="AC612" s="268"/>
    </row>
    <row r="613" spans="1:29" ht="24.75" customHeight="1">
      <c r="A613" s="268"/>
      <c r="B613" s="268"/>
      <c r="C613" s="268"/>
      <c r="D613" s="268"/>
      <c r="E613" s="268"/>
      <c r="F613" s="268"/>
      <c r="G613" s="268"/>
      <c r="H613" s="268"/>
      <c r="I613" s="268"/>
      <c r="J613" s="268"/>
      <c r="K613" s="268"/>
      <c r="L613" s="309"/>
      <c r="M613" s="268"/>
      <c r="N613" s="268"/>
      <c r="O613" s="310"/>
      <c r="P613" s="268"/>
      <c r="Q613" s="309"/>
      <c r="R613" s="268"/>
      <c r="S613" s="313"/>
      <c r="T613" s="313"/>
      <c r="U613" s="268"/>
      <c r="V613" s="309"/>
      <c r="W613" s="310"/>
      <c r="X613" s="268"/>
      <c r="Y613" s="268"/>
      <c r="Z613" s="268"/>
      <c r="AA613" s="268"/>
      <c r="AB613" s="268"/>
      <c r="AC613" s="268"/>
    </row>
    <row r="614" spans="1:29" ht="24.75" customHeight="1">
      <c r="A614" s="268"/>
      <c r="B614" s="268"/>
      <c r="C614" s="268"/>
      <c r="D614" s="268"/>
      <c r="E614" s="268"/>
      <c r="F614" s="268"/>
      <c r="G614" s="268"/>
      <c r="H614" s="268"/>
      <c r="I614" s="268"/>
      <c r="J614" s="268"/>
      <c r="K614" s="268"/>
      <c r="L614" s="309"/>
      <c r="M614" s="268"/>
      <c r="N614" s="268"/>
      <c r="O614" s="310"/>
      <c r="P614" s="268"/>
      <c r="Q614" s="309"/>
      <c r="R614" s="268"/>
      <c r="S614" s="313"/>
      <c r="T614" s="313"/>
      <c r="U614" s="268"/>
      <c r="V614" s="309"/>
      <c r="W614" s="310"/>
      <c r="X614" s="268"/>
      <c r="Y614" s="268"/>
      <c r="Z614" s="268"/>
      <c r="AA614" s="268"/>
      <c r="AB614" s="268"/>
      <c r="AC614" s="268"/>
    </row>
    <row r="615" spans="1:29" ht="24.75" customHeight="1">
      <c r="A615" s="268"/>
      <c r="B615" s="268"/>
      <c r="C615" s="268"/>
      <c r="D615" s="268"/>
      <c r="E615" s="268"/>
      <c r="F615" s="268"/>
      <c r="G615" s="268"/>
      <c r="H615" s="268"/>
      <c r="I615" s="268"/>
      <c r="J615" s="268"/>
      <c r="K615" s="268"/>
      <c r="L615" s="309"/>
      <c r="M615" s="268"/>
      <c r="N615" s="268"/>
      <c r="O615" s="310"/>
      <c r="P615" s="268"/>
      <c r="Q615" s="309"/>
      <c r="R615" s="268"/>
      <c r="S615" s="313"/>
      <c r="T615" s="313"/>
      <c r="U615" s="268"/>
      <c r="V615" s="309"/>
      <c r="W615" s="310"/>
      <c r="X615" s="268"/>
      <c r="Y615" s="268"/>
      <c r="Z615" s="268"/>
      <c r="AA615" s="268"/>
      <c r="AB615" s="268"/>
      <c r="AC615" s="268"/>
    </row>
    <row r="616" spans="1:29" ht="24.75" customHeight="1">
      <c r="A616" s="268"/>
      <c r="B616" s="268"/>
      <c r="C616" s="268"/>
      <c r="D616" s="268"/>
      <c r="E616" s="268"/>
      <c r="F616" s="268"/>
      <c r="G616" s="268"/>
      <c r="H616" s="268"/>
      <c r="I616" s="268"/>
      <c r="J616" s="268"/>
      <c r="K616" s="268"/>
      <c r="L616" s="309"/>
      <c r="M616" s="268"/>
      <c r="N616" s="268"/>
      <c r="O616" s="310"/>
      <c r="P616" s="268"/>
      <c r="Q616" s="309"/>
      <c r="R616" s="268"/>
      <c r="S616" s="313"/>
      <c r="T616" s="313"/>
      <c r="U616" s="268"/>
      <c r="V616" s="309"/>
      <c r="W616" s="310"/>
      <c r="X616" s="268"/>
      <c r="Y616" s="268"/>
      <c r="Z616" s="268"/>
      <c r="AA616" s="268"/>
      <c r="AB616" s="268"/>
      <c r="AC616" s="268"/>
    </row>
    <row r="617" spans="1:29" ht="24.75" customHeight="1">
      <c r="A617" s="268"/>
      <c r="B617" s="268"/>
      <c r="C617" s="268"/>
      <c r="D617" s="268"/>
      <c r="E617" s="268"/>
      <c r="F617" s="268"/>
      <c r="G617" s="268"/>
      <c r="H617" s="268"/>
      <c r="I617" s="268"/>
      <c r="J617" s="268"/>
      <c r="K617" s="268"/>
      <c r="L617" s="309"/>
      <c r="M617" s="268"/>
      <c r="N617" s="268"/>
      <c r="O617" s="310"/>
      <c r="P617" s="268"/>
      <c r="Q617" s="309"/>
      <c r="R617" s="268"/>
      <c r="S617" s="313"/>
      <c r="T617" s="313"/>
      <c r="U617" s="268"/>
      <c r="V617" s="309"/>
      <c r="W617" s="310"/>
      <c r="X617" s="268"/>
      <c r="Y617" s="268"/>
      <c r="Z617" s="268"/>
      <c r="AA617" s="268"/>
      <c r="AB617" s="268"/>
      <c r="AC617" s="268"/>
    </row>
    <row r="618" spans="1:29" ht="24.75" customHeight="1">
      <c r="A618" s="268"/>
      <c r="B618" s="268"/>
      <c r="C618" s="268"/>
      <c r="D618" s="268"/>
      <c r="E618" s="268"/>
      <c r="F618" s="268"/>
      <c r="G618" s="268"/>
      <c r="H618" s="268"/>
      <c r="I618" s="268"/>
      <c r="J618" s="268"/>
      <c r="K618" s="268"/>
      <c r="L618" s="309"/>
      <c r="M618" s="268"/>
      <c r="N618" s="268"/>
      <c r="O618" s="310"/>
      <c r="P618" s="268"/>
      <c r="Q618" s="309"/>
      <c r="R618" s="268"/>
      <c r="S618" s="313"/>
      <c r="T618" s="313"/>
      <c r="U618" s="268"/>
      <c r="V618" s="309"/>
      <c r="W618" s="310"/>
      <c r="X618" s="268"/>
      <c r="Y618" s="268"/>
      <c r="Z618" s="268"/>
      <c r="AA618" s="268"/>
      <c r="AB618" s="268"/>
      <c r="AC618" s="268"/>
    </row>
    <row r="619" spans="1:29" ht="24.75" customHeight="1">
      <c r="A619" s="268"/>
      <c r="B619" s="268"/>
      <c r="C619" s="268"/>
      <c r="D619" s="268"/>
      <c r="E619" s="268"/>
      <c r="F619" s="268"/>
      <c r="G619" s="268"/>
      <c r="H619" s="268"/>
      <c r="I619" s="268"/>
      <c r="J619" s="268"/>
      <c r="K619" s="268"/>
      <c r="L619" s="309"/>
      <c r="M619" s="268"/>
      <c r="N619" s="268"/>
      <c r="O619" s="310"/>
      <c r="P619" s="268"/>
      <c r="Q619" s="309"/>
      <c r="R619" s="268"/>
      <c r="S619" s="313"/>
      <c r="T619" s="313"/>
      <c r="U619" s="268"/>
      <c r="V619" s="309"/>
      <c r="W619" s="310"/>
      <c r="X619" s="268"/>
      <c r="Y619" s="268"/>
      <c r="Z619" s="268"/>
      <c r="AA619" s="268"/>
      <c r="AB619" s="268"/>
      <c r="AC619" s="268"/>
    </row>
    <row r="620" spans="1:29" ht="24.75" customHeight="1">
      <c r="A620" s="268"/>
      <c r="B620" s="268"/>
      <c r="C620" s="268"/>
      <c r="D620" s="268"/>
      <c r="E620" s="268"/>
      <c r="F620" s="268"/>
      <c r="G620" s="268"/>
      <c r="H620" s="268"/>
      <c r="I620" s="268"/>
      <c r="J620" s="268"/>
      <c r="K620" s="268"/>
      <c r="L620" s="309"/>
      <c r="M620" s="268"/>
      <c r="N620" s="268"/>
      <c r="O620" s="310"/>
      <c r="P620" s="268"/>
      <c r="Q620" s="309"/>
      <c r="R620" s="268"/>
      <c r="S620" s="313"/>
      <c r="T620" s="313"/>
      <c r="U620" s="268"/>
      <c r="V620" s="309"/>
      <c r="W620" s="310"/>
      <c r="X620" s="268"/>
      <c r="Y620" s="268"/>
      <c r="Z620" s="268"/>
      <c r="AA620" s="268"/>
      <c r="AB620" s="268"/>
      <c r="AC620" s="268"/>
    </row>
    <row r="621" spans="1:29" ht="24.75" customHeight="1">
      <c r="A621" s="268"/>
      <c r="B621" s="268"/>
      <c r="C621" s="268"/>
      <c r="D621" s="268"/>
      <c r="E621" s="268"/>
      <c r="F621" s="268"/>
      <c r="G621" s="268"/>
      <c r="H621" s="268"/>
      <c r="I621" s="268"/>
      <c r="J621" s="268"/>
      <c r="K621" s="268"/>
      <c r="L621" s="309"/>
      <c r="M621" s="268"/>
      <c r="N621" s="268"/>
      <c r="O621" s="310"/>
      <c r="P621" s="268"/>
      <c r="Q621" s="309"/>
      <c r="R621" s="268"/>
      <c r="S621" s="313"/>
      <c r="T621" s="313"/>
      <c r="U621" s="268"/>
      <c r="V621" s="309"/>
      <c r="W621" s="310"/>
      <c r="X621" s="268"/>
      <c r="Y621" s="268"/>
      <c r="Z621" s="268"/>
      <c r="AA621" s="268"/>
      <c r="AB621" s="268"/>
      <c r="AC621" s="268"/>
    </row>
    <row r="622" spans="1:29" ht="24.75" customHeight="1">
      <c r="A622" s="268"/>
      <c r="B622" s="268"/>
      <c r="C622" s="268"/>
      <c r="D622" s="268"/>
      <c r="E622" s="268"/>
      <c r="F622" s="268"/>
      <c r="G622" s="268"/>
      <c r="H622" s="268"/>
      <c r="I622" s="268"/>
      <c r="J622" s="268"/>
      <c r="K622" s="268"/>
      <c r="L622" s="309"/>
      <c r="M622" s="268"/>
      <c r="N622" s="268"/>
      <c r="O622" s="310"/>
      <c r="P622" s="268"/>
      <c r="Q622" s="309"/>
      <c r="R622" s="268"/>
      <c r="S622" s="313"/>
      <c r="T622" s="313"/>
      <c r="U622" s="268"/>
      <c r="V622" s="309"/>
      <c r="W622" s="310"/>
      <c r="X622" s="268"/>
      <c r="Y622" s="268"/>
      <c r="Z622" s="268"/>
      <c r="AA622" s="268"/>
      <c r="AB622" s="268"/>
      <c r="AC622" s="268"/>
    </row>
    <row r="623" spans="1:29" ht="24.75" customHeight="1">
      <c r="A623" s="268"/>
      <c r="B623" s="268"/>
      <c r="C623" s="268"/>
      <c r="D623" s="268"/>
      <c r="E623" s="268"/>
      <c r="F623" s="268"/>
      <c r="G623" s="268"/>
      <c r="H623" s="268"/>
      <c r="I623" s="268"/>
      <c r="J623" s="268"/>
      <c r="K623" s="268"/>
      <c r="L623" s="309"/>
      <c r="M623" s="268"/>
      <c r="N623" s="268"/>
      <c r="O623" s="310"/>
      <c r="P623" s="268"/>
      <c r="Q623" s="309"/>
      <c r="R623" s="268"/>
      <c r="S623" s="313"/>
      <c r="T623" s="313"/>
      <c r="U623" s="268"/>
      <c r="V623" s="309"/>
      <c r="W623" s="310"/>
      <c r="X623" s="268"/>
      <c r="Y623" s="268"/>
      <c r="Z623" s="268"/>
      <c r="AA623" s="268"/>
      <c r="AB623" s="268"/>
      <c r="AC623" s="268"/>
    </row>
    <row r="624" spans="1:29" ht="24.75" customHeight="1">
      <c r="A624" s="268"/>
      <c r="B624" s="268"/>
      <c r="C624" s="268"/>
      <c r="D624" s="268"/>
      <c r="E624" s="268"/>
      <c r="F624" s="268"/>
      <c r="G624" s="268"/>
      <c r="H624" s="268"/>
      <c r="I624" s="268"/>
      <c r="J624" s="268"/>
      <c r="K624" s="268"/>
      <c r="L624" s="309"/>
      <c r="M624" s="268"/>
      <c r="N624" s="268"/>
      <c r="O624" s="310"/>
      <c r="P624" s="268"/>
      <c r="Q624" s="309"/>
      <c r="R624" s="268"/>
      <c r="S624" s="313"/>
      <c r="T624" s="313"/>
      <c r="U624" s="268"/>
      <c r="V624" s="309"/>
      <c r="W624" s="310"/>
      <c r="X624" s="268"/>
      <c r="Y624" s="268"/>
      <c r="Z624" s="268"/>
      <c r="AA624" s="268"/>
      <c r="AB624" s="268"/>
      <c r="AC624" s="268"/>
    </row>
    <row r="625" spans="1:29" ht="24.75" customHeight="1">
      <c r="A625" s="268"/>
      <c r="B625" s="268"/>
      <c r="C625" s="268"/>
      <c r="D625" s="268"/>
      <c r="E625" s="268"/>
      <c r="F625" s="268"/>
      <c r="G625" s="268"/>
      <c r="H625" s="268"/>
      <c r="I625" s="268"/>
      <c r="J625" s="268"/>
      <c r="K625" s="268"/>
      <c r="L625" s="309"/>
      <c r="M625" s="268"/>
      <c r="N625" s="268"/>
      <c r="O625" s="310"/>
      <c r="P625" s="268"/>
      <c r="Q625" s="309"/>
      <c r="R625" s="268"/>
      <c r="S625" s="313"/>
      <c r="T625" s="313"/>
      <c r="U625" s="268"/>
      <c r="V625" s="309"/>
      <c r="W625" s="310"/>
      <c r="X625" s="268"/>
      <c r="Y625" s="268"/>
      <c r="Z625" s="268"/>
      <c r="AA625" s="268"/>
      <c r="AB625" s="268"/>
      <c r="AC625" s="268"/>
    </row>
    <row r="626" spans="1:29" ht="24.75" customHeight="1">
      <c r="A626" s="268"/>
      <c r="B626" s="268"/>
      <c r="C626" s="268"/>
      <c r="D626" s="268"/>
      <c r="E626" s="268"/>
      <c r="F626" s="268"/>
      <c r="G626" s="268"/>
      <c r="H626" s="268"/>
      <c r="I626" s="268"/>
      <c r="J626" s="268"/>
      <c r="K626" s="268"/>
      <c r="L626" s="309"/>
      <c r="M626" s="268"/>
      <c r="N626" s="268"/>
      <c r="O626" s="310"/>
      <c r="P626" s="268"/>
      <c r="Q626" s="309"/>
      <c r="R626" s="268"/>
      <c r="S626" s="313"/>
      <c r="T626" s="313"/>
      <c r="U626" s="268"/>
      <c r="V626" s="309"/>
      <c r="W626" s="310"/>
      <c r="X626" s="268"/>
      <c r="Y626" s="268"/>
      <c r="Z626" s="268"/>
      <c r="AA626" s="268"/>
      <c r="AB626" s="268"/>
      <c r="AC626" s="268"/>
    </row>
    <row r="627" spans="1:29" ht="24.75" customHeight="1">
      <c r="A627" s="268"/>
      <c r="B627" s="268"/>
      <c r="C627" s="268"/>
      <c r="D627" s="268"/>
      <c r="E627" s="268"/>
      <c r="F627" s="268"/>
      <c r="G627" s="268"/>
      <c r="H627" s="268"/>
      <c r="I627" s="268"/>
      <c r="J627" s="268"/>
      <c r="K627" s="268"/>
      <c r="L627" s="309"/>
      <c r="M627" s="268"/>
      <c r="N627" s="268"/>
      <c r="O627" s="310"/>
      <c r="P627" s="268"/>
      <c r="Q627" s="309"/>
      <c r="R627" s="268"/>
      <c r="S627" s="313"/>
      <c r="T627" s="313"/>
      <c r="U627" s="268"/>
      <c r="V627" s="309"/>
      <c r="W627" s="310"/>
      <c r="X627" s="268"/>
      <c r="Y627" s="268"/>
      <c r="Z627" s="268"/>
      <c r="AA627" s="268"/>
      <c r="AB627" s="268"/>
      <c r="AC627" s="268"/>
    </row>
    <row r="628" spans="1:29" ht="24.75" customHeight="1">
      <c r="A628" s="268"/>
      <c r="B628" s="268"/>
      <c r="C628" s="268"/>
      <c r="D628" s="268"/>
      <c r="E628" s="268"/>
      <c r="F628" s="268"/>
      <c r="G628" s="268"/>
      <c r="H628" s="268"/>
      <c r="I628" s="268"/>
      <c r="J628" s="268"/>
      <c r="K628" s="268"/>
      <c r="L628" s="309"/>
      <c r="M628" s="268"/>
      <c r="N628" s="268"/>
      <c r="O628" s="310"/>
      <c r="P628" s="268"/>
      <c r="Q628" s="309"/>
      <c r="R628" s="268"/>
      <c r="S628" s="313"/>
      <c r="T628" s="313"/>
      <c r="U628" s="268"/>
      <c r="V628" s="309"/>
      <c r="W628" s="310"/>
      <c r="X628" s="268"/>
      <c r="Y628" s="268"/>
      <c r="Z628" s="268"/>
      <c r="AA628" s="268"/>
      <c r="AB628" s="268"/>
      <c r="AC628" s="268"/>
    </row>
    <row r="629" spans="1:29" ht="24.75" customHeight="1">
      <c r="A629" s="268"/>
      <c r="B629" s="268"/>
      <c r="C629" s="268"/>
      <c r="D629" s="268"/>
      <c r="E629" s="268"/>
      <c r="F629" s="268"/>
      <c r="G629" s="268"/>
      <c r="H629" s="268"/>
      <c r="I629" s="268"/>
      <c r="J629" s="268"/>
      <c r="K629" s="268"/>
      <c r="L629" s="309"/>
      <c r="M629" s="268"/>
      <c r="N629" s="268"/>
      <c r="O629" s="310"/>
      <c r="P629" s="268"/>
      <c r="Q629" s="309"/>
      <c r="R629" s="268"/>
      <c r="S629" s="313"/>
      <c r="T629" s="313"/>
      <c r="U629" s="268"/>
      <c r="V629" s="309"/>
      <c r="W629" s="310"/>
      <c r="X629" s="268"/>
      <c r="Y629" s="268"/>
      <c r="Z629" s="268"/>
      <c r="AA629" s="268"/>
      <c r="AB629" s="268"/>
      <c r="AC629" s="268"/>
    </row>
    <row r="630" spans="1:29" ht="24.75" customHeight="1">
      <c r="A630" s="268"/>
      <c r="B630" s="268"/>
      <c r="C630" s="268"/>
      <c r="D630" s="268"/>
      <c r="E630" s="268"/>
      <c r="F630" s="268"/>
      <c r="G630" s="268"/>
      <c r="H630" s="268"/>
      <c r="I630" s="268"/>
      <c r="J630" s="268"/>
      <c r="K630" s="268"/>
      <c r="L630" s="309"/>
      <c r="M630" s="268"/>
      <c r="N630" s="268"/>
      <c r="O630" s="310"/>
      <c r="P630" s="268"/>
      <c r="Q630" s="309"/>
      <c r="R630" s="268"/>
      <c r="S630" s="313"/>
      <c r="T630" s="313"/>
      <c r="U630" s="268"/>
      <c r="V630" s="309"/>
      <c r="W630" s="310"/>
      <c r="X630" s="268"/>
      <c r="Y630" s="268"/>
      <c r="Z630" s="268"/>
      <c r="AA630" s="268"/>
      <c r="AB630" s="268"/>
      <c r="AC630" s="268"/>
    </row>
    <row r="631" spans="1:29" ht="24.75" customHeight="1">
      <c r="A631" s="268"/>
      <c r="B631" s="268"/>
      <c r="C631" s="268"/>
      <c r="D631" s="268"/>
      <c r="E631" s="268"/>
      <c r="F631" s="268"/>
      <c r="G631" s="268"/>
      <c r="H631" s="268"/>
      <c r="I631" s="268"/>
      <c r="J631" s="268"/>
      <c r="K631" s="268"/>
      <c r="L631" s="309"/>
      <c r="M631" s="268"/>
      <c r="N631" s="268"/>
      <c r="O631" s="310"/>
      <c r="P631" s="268"/>
      <c r="Q631" s="309"/>
      <c r="R631" s="268"/>
      <c r="S631" s="313"/>
      <c r="T631" s="313"/>
      <c r="U631" s="268"/>
      <c r="V631" s="309"/>
      <c r="W631" s="310"/>
      <c r="X631" s="268"/>
      <c r="Y631" s="268"/>
      <c r="Z631" s="268"/>
      <c r="AA631" s="268"/>
      <c r="AB631" s="268"/>
      <c r="AC631" s="268"/>
    </row>
    <row r="632" spans="1:29" ht="24.75" customHeight="1">
      <c r="A632" s="268"/>
      <c r="B632" s="268"/>
      <c r="C632" s="268"/>
      <c r="D632" s="268"/>
      <c r="E632" s="268"/>
      <c r="F632" s="268"/>
      <c r="G632" s="268"/>
      <c r="H632" s="268"/>
      <c r="I632" s="268"/>
      <c r="J632" s="268"/>
      <c r="K632" s="268"/>
      <c r="L632" s="309"/>
      <c r="M632" s="268"/>
      <c r="N632" s="268"/>
      <c r="O632" s="310"/>
      <c r="P632" s="268"/>
      <c r="Q632" s="309"/>
      <c r="R632" s="268"/>
      <c r="S632" s="313"/>
      <c r="T632" s="313"/>
      <c r="U632" s="268"/>
      <c r="V632" s="309"/>
      <c r="W632" s="310"/>
      <c r="X632" s="268"/>
      <c r="Y632" s="268"/>
      <c r="Z632" s="268"/>
      <c r="AA632" s="268"/>
      <c r="AB632" s="268"/>
      <c r="AC632" s="268"/>
    </row>
    <row r="633" spans="1:29" ht="24.75" customHeight="1">
      <c r="A633" s="268"/>
      <c r="B633" s="268"/>
      <c r="C633" s="268"/>
      <c r="D633" s="268"/>
      <c r="E633" s="268"/>
      <c r="F633" s="268"/>
      <c r="G633" s="268"/>
      <c r="H633" s="268"/>
      <c r="I633" s="268"/>
      <c r="J633" s="268"/>
      <c r="K633" s="268"/>
      <c r="L633" s="309"/>
      <c r="M633" s="268"/>
      <c r="N633" s="268"/>
      <c r="O633" s="310"/>
      <c r="P633" s="268"/>
      <c r="Q633" s="309"/>
      <c r="R633" s="268"/>
      <c r="S633" s="313"/>
      <c r="T633" s="313"/>
      <c r="U633" s="268"/>
      <c r="V633" s="309"/>
      <c r="W633" s="310"/>
      <c r="X633" s="268"/>
      <c r="Y633" s="268"/>
      <c r="Z633" s="268"/>
      <c r="AA633" s="268"/>
      <c r="AB633" s="268"/>
      <c r="AC633" s="268"/>
    </row>
    <row r="634" spans="1:29" ht="24.75" customHeight="1">
      <c r="A634" s="268"/>
      <c r="B634" s="268"/>
      <c r="C634" s="268"/>
      <c r="D634" s="268"/>
      <c r="E634" s="268"/>
      <c r="F634" s="268"/>
      <c r="G634" s="268"/>
      <c r="H634" s="268"/>
      <c r="I634" s="268"/>
      <c r="J634" s="268"/>
      <c r="K634" s="268"/>
      <c r="L634" s="309"/>
      <c r="M634" s="268"/>
      <c r="N634" s="268"/>
      <c r="O634" s="310"/>
      <c r="P634" s="268"/>
      <c r="Q634" s="309"/>
      <c r="R634" s="268"/>
      <c r="S634" s="313"/>
      <c r="T634" s="313"/>
      <c r="U634" s="268"/>
      <c r="V634" s="309"/>
      <c r="W634" s="310"/>
      <c r="X634" s="268"/>
      <c r="Y634" s="268"/>
      <c r="Z634" s="268"/>
      <c r="AA634" s="268"/>
      <c r="AB634" s="268"/>
      <c r="AC634" s="268"/>
    </row>
    <row r="635" spans="1:29" ht="24.75" customHeight="1">
      <c r="A635" s="268"/>
      <c r="B635" s="268"/>
      <c r="C635" s="268"/>
      <c r="D635" s="268"/>
      <c r="E635" s="268"/>
      <c r="F635" s="268"/>
      <c r="G635" s="268"/>
      <c r="H635" s="268"/>
      <c r="I635" s="268"/>
      <c r="J635" s="268"/>
      <c r="K635" s="268"/>
      <c r="L635" s="309"/>
      <c r="M635" s="268"/>
      <c r="N635" s="268"/>
      <c r="O635" s="310"/>
      <c r="P635" s="268"/>
      <c r="Q635" s="309"/>
      <c r="R635" s="268"/>
      <c r="S635" s="313"/>
      <c r="T635" s="313"/>
      <c r="U635" s="268"/>
      <c r="V635" s="309"/>
      <c r="W635" s="310"/>
      <c r="X635" s="268"/>
      <c r="Y635" s="268"/>
      <c r="Z635" s="268"/>
      <c r="AA635" s="268"/>
      <c r="AB635" s="268"/>
      <c r="AC635" s="268"/>
    </row>
    <row r="636" spans="1:29" ht="24.75" customHeight="1">
      <c r="A636" s="268"/>
      <c r="B636" s="268"/>
      <c r="C636" s="268"/>
      <c r="D636" s="268"/>
      <c r="E636" s="268"/>
      <c r="F636" s="268"/>
      <c r="G636" s="268"/>
      <c r="H636" s="268"/>
      <c r="I636" s="268"/>
      <c r="J636" s="268"/>
      <c r="K636" s="268"/>
      <c r="L636" s="309"/>
      <c r="M636" s="268"/>
      <c r="N636" s="268"/>
      <c r="O636" s="310"/>
      <c r="P636" s="268"/>
      <c r="Q636" s="309"/>
      <c r="R636" s="268"/>
      <c r="S636" s="313"/>
      <c r="T636" s="313"/>
      <c r="U636" s="268"/>
      <c r="V636" s="309"/>
      <c r="W636" s="310"/>
      <c r="X636" s="268"/>
      <c r="Y636" s="268"/>
      <c r="Z636" s="268"/>
      <c r="AA636" s="268"/>
      <c r="AB636" s="268"/>
      <c r="AC636" s="268"/>
    </row>
    <row r="637" spans="1:29" ht="24.75" customHeight="1">
      <c r="A637" s="268"/>
      <c r="B637" s="268"/>
      <c r="C637" s="268"/>
      <c r="D637" s="268"/>
      <c r="E637" s="268"/>
      <c r="F637" s="268"/>
      <c r="G637" s="268"/>
      <c r="H637" s="268"/>
      <c r="I637" s="268"/>
      <c r="J637" s="268"/>
      <c r="K637" s="268"/>
      <c r="L637" s="309"/>
      <c r="M637" s="268"/>
      <c r="N637" s="268"/>
      <c r="O637" s="310"/>
      <c r="P637" s="268"/>
      <c r="Q637" s="309"/>
      <c r="R637" s="268"/>
      <c r="S637" s="313"/>
      <c r="T637" s="313"/>
      <c r="U637" s="268"/>
      <c r="V637" s="309"/>
      <c r="W637" s="310"/>
      <c r="X637" s="268"/>
      <c r="Y637" s="268"/>
      <c r="Z637" s="268"/>
      <c r="AA637" s="268"/>
      <c r="AB637" s="268"/>
      <c r="AC637" s="268"/>
    </row>
    <row r="638" spans="1:29" ht="24.75" customHeight="1">
      <c r="A638" s="268"/>
      <c r="B638" s="268"/>
      <c r="C638" s="268"/>
      <c r="D638" s="268"/>
      <c r="E638" s="268"/>
      <c r="F638" s="268"/>
      <c r="G638" s="268"/>
      <c r="H638" s="268"/>
      <c r="I638" s="268"/>
      <c r="J638" s="268"/>
      <c r="K638" s="268"/>
      <c r="L638" s="309"/>
      <c r="M638" s="268"/>
      <c r="N638" s="268"/>
      <c r="O638" s="310"/>
      <c r="P638" s="268"/>
      <c r="Q638" s="309"/>
      <c r="R638" s="268"/>
      <c r="S638" s="313"/>
      <c r="T638" s="313"/>
      <c r="U638" s="268"/>
      <c r="V638" s="309"/>
      <c r="W638" s="310"/>
      <c r="X638" s="268"/>
      <c r="Y638" s="268"/>
      <c r="Z638" s="268"/>
      <c r="AA638" s="268"/>
      <c r="AB638" s="268"/>
      <c r="AC638" s="268"/>
    </row>
    <row r="639" spans="1:29" ht="24.75" customHeight="1">
      <c r="A639" s="268"/>
      <c r="B639" s="268"/>
      <c r="C639" s="268"/>
      <c r="D639" s="268"/>
      <c r="E639" s="268"/>
      <c r="F639" s="268"/>
      <c r="G639" s="268"/>
      <c r="H639" s="268"/>
      <c r="I639" s="268"/>
      <c r="J639" s="268"/>
      <c r="K639" s="268"/>
      <c r="L639" s="309"/>
      <c r="M639" s="268"/>
      <c r="N639" s="268"/>
      <c r="O639" s="310"/>
      <c r="P639" s="268"/>
      <c r="Q639" s="309"/>
      <c r="R639" s="268"/>
      <c r="S639" s="313"/>
      <c r="T639" s="313"/>
      <c r="U639" s="268"/>
      <c r="V639" s="309"/>
      <c r="W639" s="310"/>
      <c r="X639" s="268"/>
      <c r="Y639" s="268"/>
      <c r="Z639" s="268"/>
      <c r="AA639" s="268"/>
      <c r="AB639" s="268"/>
      <c r="AC639" s="268"/>
    </row>
    <row r="640" spans="1:29" ht="24.75" customHeight="1">
      <c r="A640" s="268"/>
      <c r="B640" s="268"/>
      <c r="C640" s="268"/>
      <c r="D640" s="268"/>
      <c r="E640" s="268"/>
      <c r="F640" s="268"/>
      <c r="G640" s="268"/>
      <c r="H640" s="268"/>
      <c r="I640" s="268"/>
      <c r="J640" s="268"/>
      <c r="K640" s="268"/>
      <c r="L640" s="309"/>
      <c r="M640" s="268"/>
      <c r="N640" s="268"/>
      <c r="O640" s="310"/>
      <c r="P640" s="268"/>
      <c r="Q640" s="309"/>
      <c r="R640" s="268"/>
      <c r="S640" s="313"/>
      <c r="T640" s="313"/>
      <c r="U640" s="268"/>
      <c r="V640" s="309"/>
      <c r="W640" s="310"/>
      <c r="X640" s="268"/>
      <c r="Y640" s="268"/>
      <c r="Z640" s="268"/>
      <c r="AA640" s="268"/>
      <c r="AB640" s="268"/>
      <c r="AC640" s="268"/>
    </row>
    <row r="641" spans="1:29" ht="24.75" customHeight="1">
      <c r="A641" s="268"/>
      <c r="B641" s="268"/>
      <c r="C641" s="268"/>
      <c r="D641" s="268"/>
      <c r="E641" s="268"/>
      <c r="F641" s="268"/>
      <c r="G641" s="268"/>
      <c r="H641" s="268"/>
      <c r="I641" s="268"/>
      <c r="J641" s="268"/>
      <c r="K641" s="268"/>
      <c r="L641" s="309"/>
      <c r="M641" s="268"/>
      <c r="N641" s="268"/>
      <c r="O641" s="310"/>
      <c r="P641" s="268"/>
      <c r="Q641" s="309"/>
      <c r="R641" s="268"/>
      <c r="S641" s="313"/>
      <c r="T641" s="313"/>
      <c r="U641" s="268"/>
      <c r="V641" s="309"/>
      <c r="W641" s="310"/>
      <c r="X641" s="268"/>
      <c r="Y641" s="268"/>
      <c r="Z641" s="268"/>
      <c r="AA641" s="268"/>
      <c r="AB641" s="268"/>
      <c r="AC641" s="268"/>
    </row>
    <row r="642" spans="1:29" ht="24.75" customHeight="1">
      <c r="A642" s="268"/>
      <c r="B642" s="268"/>
      <c r="C642" s="268"/>
      <c r="D642" s="268"/>
      <c r="E642" s="268"/>
      <c r="F642" s="268"/>
      <c r="G642" s="268"/>
      <c r="H642" s="268"/>
      <c r="I642" s="268"/>
      <c r="J642" s="268"/>
      <c r="K642" s="268"/>
      <c r="L642" s="309"/>
      <c r="M642" s="268"/>
      <c r="N642" s="268"/>
      <c r="O642" s="310"/>
      <c r="P642" s="268"/>
      <c r="Q642" s="309"/>
      <c r="R642" s="268"/>
      <c r="S642" s="313"/>
      <c r="T642" s="313"/>
      <c r="U642" s="268"/>
      <c r="V642" s="309"/>
      <c r="W642" s="310"/>
      <c r="X642" s="268"/>
      <c r="Y642" s="268"/>
      <c r="Z642" s="268"/>
      <c r="AA642" s="268"/>
      <c r="AB642" s="268"/>
      <c r="AC642" s="268"/>
    </row>
    <row r="643" spans="1:29" ht="24.75" customHeight="1">
      <c r="A643" s="268"/>
      <c r="B643" s="268"/>
      <c r="C643" s="268"/>
      <c r="D643" s="268"/>
      <c r="E643" s="268"/>
      <c r="F643" s="268"/>
      <c r="G643" s="268"/>
      <c r="H643" s="268"/>
      <c r="I643" s="268"/>
      <c r="J643" s="268"/>
      <c r="K643" s="268"/>
      <c r="L643" s="309"/>
      <c r="M643" s="268"/>
      <c r="N643" s="268"/>
      <c r="O643" s="310"/>
      <c r="P643" s="268"/>
      <c r="Q643" s="309"/>
      <c r="R643" s="268"/>
      <c r="S643" s="313"/>
      <c r="T643" s="313"/>
      <c r="U643" s="268"/>
      <c r="V643" s="309"/>
      <c r="W643" s="310"/>
      <c r="X643" s="268"/>
      <c r="Y643" s="268"/>
      <c r="Z643" s="268"/>
      <c r="AA643" s="268"/>
      <c r="AB643" s="268"/>
      <c r="AC643" s="268"/>
    </row>
    <row r="644" spans="1:29" ht="24.75" customHeight="1">
      <c r="A644" s="268"/>
      <c r="B644" s="268"/>
      <c r="C644" s="268"/>
      <c r="D644" s="268"/>
      <c r="E644" s="268"/>
      <c r="F644" s="268"/>
      <c r="G644" s="268"/>
      <c r="H644" s="268"/>
      <c r="I644" s="268"/>
      <c r="J644" s="268"/>
      <c r="K644" s="268"/>
      <c r="L644" s="309"/>
      <c r="M644" s="268"/>
      <c r="N644" s="268"/>
      <c r="O644" s="310"/>
      <c r="P644" s="268"/>
      <c r="Q644" s="309"/>
      <c r="R644" s="268"/>
      <c r="S644" s="313"/>
      <c r="T644" s="313"/>
      <c r="U644" s="268"/>
      <c r="V644" s="309"/>
      <c r="W644" s="310"/>
      <c r="X644" s="268"/>
      <c r="Y644" s="268"/>
      <c r="Z644" s="268"/>
      <c r="AA644" s="268"/>
      <c r="AB644" s="268"/>
      <c r="AC644" s="268"/>
    </row>
    <row r="645" spans="1:29" ht="24.75" customHeight="1">
      <c r="A645" s="268"/>
      <c r="B645" s="268"/>
      <c r="C645" s="268"/>
      <c r="D645" s="268"/>
      <c r="E645" s="268"/>
      <c r="F645" s="268"/>
      <c r="G645" s="268"/>
      <c r="H645" s="268"/>
      <c r="I645" s="268"/>
      <c r="J645" s="268"/>
      <c r="K645" s="268"/>
      <c r="L645" s="309"/>
      <c r="M645" s="268"/>
      <c r="N645" s="268"/>
      <c r="O645" s="310"/>
      <c r="P645" s="268"/>
      <c r="Q645" s="309"/>
      <c r="R645" s="268"/>
      <c r="S645" s="313"/>
      <c r="T645" s="313"/>
      <c r="U645" s="268"/>
      <c r="V645" s="309"/>
      <c r="W645" s="310"/>
      <c r="X645" s="268"/>
      <c r="Y645" s="268"/>
      <c r="Z645" s="268"/>
      <c r="AA645" s="268"/>
      <c r="AB645" s="268"/>
      <c r="AC645" s="268"/>
    </row>
    <row r="646" spans="1:29" ht="24.75" customHeight="1">
      <c r="A646" s="268"/>
      <c r="B646" s="268"/>
      <c r="C646" s="268"/>
      <c r="D646" s="268"/>
      <c r="E646" s="268"/>
      <c r="F646" s="268"/>
      <c r="G646" s="268"/>
      <c r="H646" s="268"/>
      <c r="I646" s="268"/>
      <c r="J646" s="268"/>
      <c r="K646" s="268"/>
      <c r="L646" s="309"/>
      <c r="M646" s="268"/>
      <c r="N646" s="268"/>
      <c r="O646" s="310"/>
      <c r="P646" s="268"/>
      <c r="Q646" s="309"/>
      <c r="R646" s="268"/>
      <c r="S646" s="313"/>
      <c r="T646" s="313"/>
      <c r="U646" s="268"/>
      <c r="V646" s="309"/>
      <c r="W646" s="310"/>
      <c r="X646" s="268"/>
      <c r="Y646" s="268"/>
      <c r="Z646" s="268"/>
      <c r="AA646" s="268"/>
      <c r="AB646" s="268"/>
      <c r="AC646" s="268"/>
    </row>
    <row r="647" spans="1:29" ht="24.75" customHeight="1">
      <c r="A647" s="268"/>
      <c r="B647" s="268"/>
      <c r="C647" s="268"/>
      <c r="D647" s="268"/>
      <c r="E647" s="268"/>
      <c r="F647" s="268"/>
      <c r="G647" s="268"/>
      <c r="H647" s="268"/>
      <c r="I647" s="268"/>
      <c r="J647" s="268"/>
      <c r="K647" s="268"/>
      <c r="L647" s="309"/>
      <c r="M647" s="268"/>
      <c r="N647" s="268"/>
      <c r="O647" s="310"/>
      <c r="P647" s="268"/>
      <c r="Q647" s="309"/>
      <c r="R647" s="268"/>
      <c r="S647" s="313"/>
      <c r="T647" s="313"/>
      <c r="U647" s="268"/>
      <c r="V647" s="309"/>
      <c r="W647" s="310"/>
      <c r="X647" s="268"/>
      <c r="Y647" s="268"/>
      <c r="Z647" s="268"/>
      <c r="AA647" s="268"/>
      <c r="AB647" s="268"/>
      <c r="AC647" s="268"/>
    </row>
    <row r="648" spans="1:29" ht="24.75" customHeight="1">
      <c r="A648" s="268"/>
      <c r="B648" s="268"/>
      <c r="C648" s="268"/>
      <c r="D648" s="268"/>
      <c r="E648" s="268"/>
      <c r="F648" s="268"/>
      <c r="G648" s="268"/>
      <c r="H648" s="268"/>
      <c r="I648" s="268"/>
      <c r="J648" s="268"/>
      <c r="K648" s="268"/>
      <c r="L648" s="309"/>
      <c r="M648" s="268"/>
      <c r="N648" s="268"/>
      <c r="O648" s="310"/>
      <c r="P648" s="268"/>
      <c r="Q648" s="309"/>
      <c r="R648" s="268"/>
      <c r="S648" s="313"/>
      <c r="T648" s="313"/>
      <c r="U648" s="268"/>
      <c r="V648" s="309"/>
      <c r="W648" s="310"/>
      <c r="X648" s="268"/>
      <c r="Y648" s="268"/>
      <c r="Z648" s="268"/>
      <c r="AA648" s="268"/>
      <c r="AB648" s="268"/>
      <c r="AC648" s="268"/>
    </row>
    <row r="649" spans="1:29" ht="24.75" customHeight="1">
      <c r="A649" s="268"/>
      <c r="B649" s="268"/>
      <c r="C649" s="268"/>
      <c r="D649" s="268"/>
      <c r="E649" s="268"/>
      <c r="F649" s="268"/>
      <c r="G649" s="268"/>
      <c r="H649" s="268"/>
      <c r="I649" s="268"/>
      <c r="J649" s="268"/>
      <c r="K649" s="268"/>
      <c r="L649" s="309"/>
      <c r="M649" s="268"/>
      <c r="N649" s="268"/>
      <c r="O649" s="310"/>
      <c r="P649" s="268"/>
      <c r="Q649" s="309"/>
      <c r="R649" s="268"/>
      <c r="S649" s="313"/>
      <c r="T649" s="313"/>
      <c r="U649" s="268"/>
      <c r="V649" s="309"/>
      <c r="W649" s="310"/>
      <c r="X649" s="268"/>
      <c r="Y649" s="268"/>
      <c r="Z649" s="268"/>
      <c r="AA649" s="268"/>
      <c r="AB649" s="268"/>
      <c r="AC649" s="268"/>
    </row>
    <row r="650" spans="1:29" ht="24.75" customHeight="1">
      <c r="A650" s="268"/>
      <c r="B650" s="268"/>
      <c r="C650" s="268"/>
      <c r="D650" s="268"/>
      <c r="E650" s="268"/>
      <c r="F650" s="268"/>
      <c r="G650" s="268"/>
      <c r="H650" s="268"/>
      <c r="I650" s="268"/>
      <c r="J650" s="268"/>
      <c r="K650" s="268"/>
      <c r="L650" s="309"/>
      <c r="M650" s="268"/>
      <c r="N650" s="268"/>
      <c r="O650" s="310"/>
      <c r="P650" s="268"/>
      <c r="Q650" s="309"/>
      <c r="R650" s="268"/>
      <c r="S650" s="313"/>
      <c r="T650" s="313"/>
      <c r="U650" s="268"/>
      <c r="V650" s="309"/>
      <c r="W650" s="310"/>
      <c r="X650" s="268"/>
      <c r="Y650" s="268"/>
      <c r="Z650" s="268"/>
      <c r="AA650" s="268"/>
      <c r="AB650" s="268"/>
      <c r="AC650" s="268"/>
    </row>
    <row r="651" spans="1:29" ht="24.75" customHeight="1">
      <c r="A651" s="268"/>
      <c r="B651" s="268"/>
      <c r="C651" s="268"/>
      <c r="D651" s="268"/>
      <c r="E651" s="268"/>
      <c r="F651" s="268"/>
      <c r="G651" s="268"/>
      <c r="H651" s="268"/>
      <c r="I651" s="268"/>
      <c r="J651" s="268"/>
      <c r="K651" s="268"/>
      <c r="L651" s="309"/>
      <c r="M651" s="268"/>
      <c r="N651" s="268"/>
      <c r="O651" s="310"/>
      <c r="P651" s="268"/>
      <c r="Q651" s="309"/>
      <c r="R651" s="268"/>
      <c r="S651" s="313"/>
      <c r="T651" s="313"/>
      <c r="U651" s="268"/>
      <c r="V651" s="309"/>
      <c r="W651" s="310"/>
      <c r="X651" s="268"/>
      <c r="Y651" s="268"/>
      <c r="Z651" s="268"/>
      <c r="AA651" s="268"/>
      <c r="AB651" s="268"/>
      <c r="AC651" s="268"/>
    </row>
    <row r="652" spans="1:29" ht="24.75" customHeight="1">
      <c r="A652" s="268"/>
      <c r="B652" s="268"/>
      <c r="C652" s="268"/>
      <c r="D652" s="268"/>
      <c r="E652" s="268"/>
      <c r="F652" s="268"/>
      <c r="G652" s="268"/>
      <c r="H652" s="268"/>
      <c r="I652" s="268"/>
      <c r="J652" s="268"/>
      <c r="K652" s="268"/>
      <c r="L652" s="309"/>
      <c r="M652" s="268"/>
      <c r="N652" s="268"/>
      <c r="O652" s="310"/>
      <c r="P652" s="268"/>
      <c r="Q652" s="309"/>
      <c r="R652" s="268"/>
      <c r="S652" s="313"/>
      <c r="T652" s="313"/>
      <c r="U652" s="268"/>
      <c r="V652" s="309"/>
      <c r="W652" s="310"/>
      <c r="X652" s="268"/>
      <c r="Y652" s="268"/>
      <c r="Z652" s="268"/>
      <c r="AA652" s="268"/>
      <c r="AB652" s="268"/>
      <c r="AC652" s="268"/>
    </row>
    <row r="653" spans="1:29" ht="24.75" customHeight="1">
      <c r="A653" s="268"/>
      <c r="B653" s="268"/>
      <c r="C653" s="268"/>
      <c r="D653" s="268"/>
      <c r="E653" s="268"/>
      <c r="F653" s="268"/>
      <c r="G653" s="268"/>
      <c r="H653" s="268"/>
      <c r="I653" s="268"/>
      <c r="J653" s="268"/>
      <c r="K653" s="268"/>
      <c r="L653" s="309"/>
      <c r="M653" s="268"/>
      <c r="N653" s="268"/>
      <c r="O653" s="310"/>
      <c r="P653" s="268"/>
      <c r="Q653" s="309"/>
      <c r="R653" s="268"/>
      <c r="S653" s="313"/>
      <c r="T653" s="313"/>
      <c r="U653" s="268"/>
      <c r="V653" s="309"/>
      <c r="W653" s="310"/>
      <c r="X653" s="268"/>
      <c r="Y653" s="268"/>
      <c r="Z653" s="268"/>
      <c r="AA653" s="268"/>
      <c r="AB653" s="268"/>
      <c r="AC653" s="268"/>
    </row>
    <row r="654" spans="1:29" ht="24.75" customHeight="1">
      <c r="A654" s="268"/>
      <c r="B654" s="268"/>
      <c r="C654" s="268"/>
      <c r="D654" s="268"/>
      <c r="E654" s="268"/>
      <c r="F654" s="268"/>
      <c r="G654" s="268"/>
      <c r="H654" s="268"/>
      <c r="I654" s="268"/>
      <c r="J654" s="268"/>
      <c r="K654" s="268"/>
      <c r="L654" s="309"/>
      <c r="M654" s="268"/>
      <c r="N654" s="268"/>
      <c r="O654" s="310"/>
      <c r="P654" s="268"/>
      <c r="Q654" s="309"/>
      <c r="R654" s="268"/>
      <c r="S654" s="313"/>
      <c r="T654" s="313"/>
      <c r="U654" s="268"/>
      <c r="V654" s="309"/>
      <c r="W654" s="310"/>
      <c r="X654" s="268"/>
      <c r="Y654" s="268"/>
      <c r="Z654" s="268"/>
      <c r="AA654" s="268"/>
      <c r="AB654" s="268"/>
      <c r="AC654" s="268"/>
    </row>
    <row r="655" spans="1:29" ht="24.75" customHeight="1">
      <c r="A655" s="268"/>
      <c r="B655" s="268"/>
      <c r="C655" s="268"/>
      <c r="D655" s="268"/>
      <c r="E655" s="268"/>
      <c r="F655" s="268"/>
      <c r="G655" s="268"/>
      <c r="H655" s="268"/>
      <c r="I655" s="268"/>
      <c r="J655" s="268"/>
      <c r="K655" s="268"/>
      <c r="L655" s="309"/>
      <c r="M655" s="268"/>
      <c r="N655" s="268"/>
      <c r="O655" s="310"/>
      <c r="P655" s="268"/>
      <c r="Q655" s="309"/>
      <c r="R655" s="268"/>
      <c r="S655" s="313"/>
      <c r="T655" s="313"/>
      <c r="U655" s="268"/>
      <c r="V655" s="309"/>
      <c r="W655" s="310"/>
      <c r="X655" s="268"/>
      <c r="Y655" s="268"/>
      <c r="Z655" s="268"/>
      <c r="AA655" s="268"/>
      <c r="AB655" s="268"/>
      <c r="AC655" s="268"/>
    </row>
    <row r="656" spans="1:29" ht="24.75" customHeight="1">
      <c r="A656" s="268"/>
      <c r="B656" s="268"/>
      <c r="C656" s="268"/>
      <c r="D656" s="268"/>
      <c r="E656" s="268"/>
      <c r="F656" s="268"/>
      <c r="G656" s="268"/>
      <c r="H656" s="268"/>
      <c r="I656" s="268"/>
      <c r="J656" s="268"/>
      <c r="K656" s="268"/>
      <c r="L656" s="309"/>
      <c r="M656" s="268"/>
      <c r="N656" s="268"/>
      <c r="O656" s="310"/>
      <c r="P656" s="268"/>
      <c r="Q656" s="309"/>
      <c r="R656" s="268"/>
      <c r="S656" s="313"/>
      <c r="T656" s="313"/>
      <c r="U656" s="268"/>
      <c r="V656" s="309"/>
      <c r="W656" s="310"/>
      <c r="X656" s="268"/>
      <c r="Y656" s="268"/>
      <c r="Z656" s="268"/>
      <c r="AA656" s="268"/>
      <c r="AB656" s="268"/>
      <c r="AC656" s="268"/>
    </row>
    <row r="657" spans="1:29" ht="24.75" customHeight="1">
      <c r="A657" s="268"/>
      <c r="B657" s="268"/>
      <c r="C657" s="268"/>
      <c r="D657" s="268"/>
      <c r="E657" s="268"/>
      <c r="F657" s="268"/>
      <c r="G657" s="268"/>
      <c r="H657" s="268"/>
      <c r="I657" s="268"/>
      <c r="J657" s="268"/>
      <c r="K657" s="268"/>
      <c r="L657" s="309"/>
      <c r="M657" s="268"/>
      <c r="N657" s="268"/>
      <c r="O657" s="310"/>
      <c r="P657" s="268"/>
      <c r="Q657" s="309"/>
      <c r="R657" s="268"/>
      <c r="S657" s="313"/>
      <c r="T657" s="313"/>
      <c r="U657" s="268"/>
      <c r="V657" s="309"/>
      <c r="W657" s="310"/>
      <c r="X657" s="268"/>
      <c r="Y657" s="268"/>
      <c r="Z657" s="268"/>
      <c r="AA657" s="268"/>
      <c r="AB657" s="268"/>
      <c r="AC657" s="268"/>
    </row>
    <row r="658" spans="1:29" ht="24.75" customHeight="1">
      <c r="A658" s="268"/>
      <c r="B658" s="268"/>
      <c r="C658" s="268"/>
      <c r="D658" s="268"/>
      <c r="E658" s="268"/>
      <c r="F658" s="268"/>
      <c r="G658" s="268"/>
      <c r="H658" s="268"/>
      <c r="I658" s="268"/>
      <c r="J658" s="268"/>
      <c r="K658" s="268"/>
      <c r="L658" s="309"/>
      <c r="M658" s="268"/>
      <c r="N658" s="268"/>
      <c r="O658" s="310"/>
      <c r="P658" s="268"/>
      <c r="Q658" s="309"/>
      <c r="R658" s="268"/>
      <c r="S658" s="313"/>
      <c r="T658" s="313"/>
      <c r="U658" s="268"/>
      <c r="V658" s="309"/>
      <c r="W658" s="310"/>
      <c r="X658" s="268"/>
      <c r="Y658" s="268"/>
      <c r="Z658" s="268"/>
      <c r="AA658" s="268"/>
      <c r="AB658" s="268"/>
      <c r="AC658" s="268"/>
    </row>
    <row r="659" spans="1:29" ht="24.75" customHeight="1">
      <c r="A659" s="268"/>
      <c r="B659" s="268"/>
      <c r="C659" s="268"/>
      <c r="D659" s="268"/>
      <c r="E659" s="268"/>
      <c r="F659" s="268"/>
      <c r="G659" s="268"/>
      <c r="H659" s="268"/>
      <c r="I659" s="268"/>
      <c r="J659" s="268"/>
      <c r="K659" s="268"/>
      <c r="L659" s="309"/>
      <c r="M659" s="268"/>
      <c r="N659" s="268"/>
      <c r="O659" s="310"/>
      <c r="P659" s="268"/>
      <c r="Q659" s="309"/>
      <c r="R659" s="268"/>
      <c r="S659" s="313"/>
      <c r="T659" s="313"/>
      <c r="U659" s="268"/>
      <c r="V659" s="309"/>
      <c r="W659" s="310"/>
      <c r="X659" s="268"/>
      <c r="Y659" s="268"/>
      <c r="Z659" s="268"/>
      <c r="AA659" s="268"/>
      <c r="AB659" s="268"/>
      <c r="AC659" s="268"/>
    </row>
    <row r="660" spans="1:29" ht="24.75" customHeight="1">
      <c r="A660" s="268"/>
      <c r="B660" s="268"/>
      <c r="C660" s="268"/>
      <c r="D660" s="268"/>
      <c r="E660" s="268"/>
      <c r="F660" s="268"/>
      <c r="G660" s="268"/>
      <c r="H660" s="268"/>
      <c r="I660" s="268"/>
      <c r="J660" s="268"/>
      <c r="K660" s="268"/>
      <c r="L660" s="309"/>
      <c r="M660" s="268"/>
      <c r="N660" s="268"/>
      <c r="O660" s="310"/>
      <c r="P660" s="268"/>
      <c r="Q660" s="309"/>
      <c r="R660" s="268"/>
      <c r="S660" s="313"/>
      <c r="T660" s="313"/>
      <c r="U660" s="268"/>
      <c r="V660" s="309"/>
      <c r="W660" s="310"/>
      <c r="X660" s="268"/>
      <c r="Y660" s="268"/>
      <c r="Z660" s="268"/>
      <c r="AA660" s="268"/>
      <c r="AB660" s="268"/>
      <c r="AC660" s="268"/>
    </row>
    <row r="661" spans="1:29" ht="24.75" customHeight="1">
      <c r="A661" s="268"/>
      <c r="B661" s="268"/>
      <c r="C661" s="268"/>
      <c r="D661" s="268"/>
      <c r="E661" s="268"/>
      <c r="F661" s="268"/>
      <c r="G661" s="268"/>
      <c r="H661" s="268"/>
      <c r="I661" s="268"/>
      <c r="J661" s="268"/>
      <c r="K661" s="268"/>
      <c r="L661" s="309"/>
      <c r="M661" s="268"/>
      <c r="N661" s="268"/>
      <c r="O661" s="310"/>
      <c r="P661" s="268"/>
      <c r="Q661" s="309"/>
      <c r="R661" s="268"/>
      <c r="S661" s="313"/>
      <c r="T661" s="313"/>
      <c r="U661" s="268"/>
      <c r="V661" s="309"/>
      <c r="W661" s="310"/>
      <c r="X661" s="268"/>
      <c r="Y661" s="268"/>
      <c r="Z661" s="268"/>
      <c r="AA661" s="268"/>
      <c r="AB661" s="268"/>
      <c r="AC661" s="268"/>
    </row>
    <row r="662" spans="1:29" ht="24.75" customHeight="1">
      <c r="A662" s="268"/>
      <c r="B662" s="268"/>
      <c r="C662" s="268"/>
      <c r="D662" s="268"/>
      <c r="E662" s="268"/>
      <c r="F662" s="268"/>
      <c r="G662" s="268"/>
      <c r="H662" s="268"/>
      <c r="I662" s="268"/>
      <c r="J662" s="268"/>
      <c r="K662" s="268"/>
      <c r="L662" s="309"/>
      <c r="M662" s="268"/>
      <c r="N662" s="268"/>
      <c r="O662" s="310"/>
      <c r="P662" s="268"/>
      <c r="Q662" s="309"/>
      <c r="R662" s="268"/>
      <c r="S662" s="313"/>
      <c r="T662" s="313"/>
      <c r="U662" s="268"/>
      <c r="V662" s="309"/>
      <c r="W662" s="310"/>
      <c r="X662" s="268"/>
      <c r="Y662" s="268"/>
      <c r="Z662" s="268"/>
      <c r="AA662" s="268"/>
      <c r="AB662" s="268"/>
      <c r="AC662" s="268"/>
    </row>
    <row r="663" spans="1:29" ht="24.75" customHeight="1">
      <c r="A663" s="268"/>
      <c r="B663" s="268"/>
      <c r="C663" s="268"/>
      <c r="D663" s="268"/>
      <c r="E663" s="268"/>
      <c r="F663" s="268"/>
      <c r="G663" s="268"/>
      <c r="H663" s="268"/>
      <c r="I663" s="268"/>
      <c r="J663" s="268"/>
      <c r="K663" s="268"/>
      <c r="L663" s="309"/>
      <c r="M663" s="268"/>
      <c r="N663" s="268"/>
      <c r="O663" s="310"/>
      <c r="P663" s="268"/>
      <c r="Q663" s="309"/>
      <c r="R663" s="268"/>
      <c r="S663" s="313"/>
      <c r="T663" s="313"/>
      <c r="U663" s="268"/>
      <c r="V663" s="309"/>
      <c r="W663" s="310"/>
      <c r="X663" s="268"/>
      <c r="Y663" s="268"/>
      <c r="Z663" s="268"/>
      <c r="AA663" s="268"/>
      <c r="AB663" s="268"/>
      <c r="AC663" s="268"/>
    </row>
    <row r="664" spans="1:29" ht="24.75" customHeight="1">
      <c r="A664" s="268"/>
      <c r="B664" s="268"/>
      <c r="C664" s="268"/>
      <c r="D664" s="268"/>
      <c r="E664" s="268"/>
      <c r="F664" s="268"/>
      <c r="G664" s="268"/>
      <c r="H664" s="268"/>
      <c r="I664" s="268"/>
      <c r="J664" s="268"/>
      <c r="K664" s="268"/>
      <c r="L664" s="309"/>
      <c r="M664" s="268"/>
      <c r="N664" s="268"/>
      <c r="O664" s="310"/>
      <c r="P664" s="268"/>
      <c r="Q664" s="309"/>
      <c r="R664" s="268"/>
      <c r="S664" s="313"/>
      <c r="T664" s="313"/>
      <c r="U664" s="268"/>
      <c r="V664" s="309"/>
      <c r="W664" s="310"/>
      <c r="X664" s="268"/>
      <c r="Y664" s="268"/>
      <c r="Z664" s="268"/>
      <c r="AA664" s="268"/>
      <c r="AB664" s="268"/>
      <c r="AC664" s="268"/>
    </row>
    <row r="665" spans="1:29" ht="24.75" customHeight="1">
      <c r="A665" s="268"/>
      <c r="B665" s="268"/>
      <c r="C665" s="268"/>
      <c r="D665" s="268"/>
      <c r="E665" s="268"/>
      <c r="F665" s="268"/>
      <c r="G665" s="268"/>
      <c r="H665" s="268"/>
      <c r="I665" s="268"/>
      <c r="J665" s="268"/>
      <c r="K665" s="268"/>
      <c r="L665" s="309"/>
      <c r="M665" s="268"/>
      <c r="N665" s="268"/>
      <c r="O665" s="310"/>
      <c r="P665" s="268"/>
      <c r="Q665" s="309"/>
      <c r="R665" s="268"/>
      <c r="S665" s="313"/>
      <c r="T665" s="313"/>
      <c r="U665" s="268"/>
      <c r="V665" s="309"/>
      <c r="W665" s="310"/>
      <c r="X665" s="268"/>
      <c r="Y665" s="268"/>
      <c r="Z665" s="268"/>
      <c r="AA665" s="268"/>
      <c r="AB665" s="268"/>
      <c r="AC665" s="268"/>
    </row>
    <row r="666" spans="1:29" ht="24.75" customHeight="1">
      <c r="A666" s="268"/>
      <c r="B666" s="268"/>
      <c r="C666" s="268"/>
      <c r="D666" s="268"/>
      <c r="E666" s="268"/>
      <c r="F666" s="268"/>
      <c r="G666" s="268"/>
      <c r="H666" s="268"/>
      <c r="I666" s="268"/>
      <c r="J666" s="268"/>
      <c r="K666" s="268"/>
      <c r="L666" s="309"/>
      <c r="M666" s="268"/>
      <c r="N666" s="268"/>
      <c r="O666" s="310"/>
      <c r="P666" s="268"/>
      <c r="Q666" s="309"/>
      <c r="R666" s="268"/>
      <c r="S666" s="313"/>
      <c r="T666" s="313"/>
      <c r="U666" s="268"/>
      <c r="V666" s="309"/>
      <c r="W666" s="310"/>
      <c r="X666" s="268"/>
      <c r="Y666" s="268"/>
      <c r="Z666" s="268"/>
      <c r="AA666" s="268"/>
      <c r="AB666" s="268"/>
      <c r="AC666" s="268"/>
    </row>
    <row r="667" spans="1:29" ht="24.75" customHeight="1">
      <c r="A667" s="268"/>
      <c r="B667" s="268"/>
      <c r="C667" s="268"/>
      <c r="D667" s="268"/>
      <c r="E667" s="268"/>
      <c r="F667" s="268"/>
      <c r="G667" s="268"/>
      <c r="H667" s="268"/>
      <c r="I667" s="268"/>
      <c r="J667" s="268"/>
      <c r="K667" s="268"/>
      <c r="L667" s="309"/>
      <c r="M667" s="268"/>
      <c r="N667" s="268"/>
      <c r="O667" s="310"/>
      <c r="P667" s="268"/>
      <c r="Q667" s="309"/>
      <c r="R667" s="268"/>
      <c r="S667" s="313"/>
      <c r="T667" s="313"/>
      <c r="U667" s="268"/>
      <c r="V667" s="309"/>
      <c r="W667" s="310"/>
      <c r="X667" s="268"/>
      <c r="Y667" s="268"/>
      <c r="Z667" s="268"/>
      <c r="AA667" s="268"/>
      <c r="AB667" s="268"/>
      <c r="AC667" s="268"/>
    </row>
    <row r="668" spans="1:29" ht="24.75" customHeight="1">
      <c r="A668" s="268"/>
      <c r="B668" s="268"/>
      <c r="C668" s="268"/>
      <c r="D668" s="268"/>
      <c r="E668" s="268"/>
      <c r="F668" s="268"/>
      <c r="G668" s="268"/>
      <c r="H668" s="268"/>
      <c r="I668" s="268"/>
      <c r="J668" s="268"/>
      <c r="K668" s="268"/>
      <c r="L668" s="309"/>
      <c r="M668" s="268"/>
      <c r="N668" s="268"/>
      <c r="O668" s="310"/>
      <c r="P668" s="268"/>
      <c r="Q668" s="309"/>
      <c r="R668" s="268"/>
      <c r="S668" s="313"/>
      <c r="T668" s="313"/>
      <c r="U668" s="268"/>
      <c r="V668" s="309"/>
      <c r="W668" s="310"/>
      <c r="X668" s="268"/>
      <c r="Y668" s="268"/>
      <c r="Z668" s="268"/>
      <c r="AA668" s="268"/>
      <c r="AB668" s="268"/>
      <c r="AC668" s="268"/>
    </row>
    <row r="669" spans="1:29" ht="24.75" customHeight="1">
      <c r="A669" s="268"/>
      <c r="B669" s="268"/>
      <c r="C669" s="268"/>
      <c r="D669" s="268"/>
      <c r="E669" s="268"/>
      <c r="F669" s="268"/>
      <c r="G669" s="268"/>
      <c r="H669" s="268"/>
      <c r="I669" s="268"/>
      <c r="J669" s="268"/>
      <c r="K669" s="268"/>
      <c r="L669" s="309"/>
      <c r="M669" s="268"/>
      <c r="N669" s="268"/>
      <c r="O669" s="310"/>
      <c r="P669" s="268"/>
      <c r="Q669" s="309"/>
      <c r="R669" s="268"/>
      <c r="S669" s="313"/>
      <c r="T669" s="313"/>
      <c r="U669" s="268"/>
      <c r="V669" s="309"/>
      <c r="W669" s="310"/>
      <c r="X669" s="268"/>
      <c r="Y669" s="268"/>
      <c r="Z669" s="268"/>
      <c r="AA669" s="268"/>
      <c r="AB669" s="268"/>
      <c r="AC669" s="268"/>
    </row>
    <row r="670" spans="1:29" ht="24.75" customHeight="1">
      <c r="A670" s="268"/>
      <c r="B670" s="268"/>
      <c r="C670" s="268"/>
      <c r="D670" s="268"/>
      <c r="E670" s="268"/>
      <c r="F670" s="268"/>
      <c r="G670" s="268"/>
      <c r="H670" s="268"/>
      <c r="I670" s="268"/>
      <c r="J670" s="268"/>
      <c r="K670" s="268"/>
      <c r="L670" s="309"/>
      <c r="M670" s="268"/>
      <c r="N670" s="268"/>
      <c r="O670" s="310"/>
      <c r="P670" s="268"/>
      <c r="Q670" s="309"/>
      <c r="R670" s="268"/>
      <c r="S670" s="313"/>
      <c r="T670" s="313"/>
      <c r="U670" s="268"/>
      <c r="V670" s="309"/>
      <c r="W670" s="310"/>
      <c r="X670" s="268"/>
      <c r="Y670" s="268"/>
      <c r="Z670" s="268"/>
      <c r="AA670" s="268"/>
      <c r="AB670" s="268"/>
      <c r="AC670" s="268"/>
    </row>
    <row r="671" spans="1:29" ht="24.75" customHeight="1">
      <c r="A671" s="268"/>
      <c r="B671" s="268"/>
      <c r="C671" s="268"/>
      <c r="D671" s="268"/>
      <c r="E671" s="268"/>
      <c r="F671" s="268"/>
      <c r="G671" s="268"/>
      <c r="H671" s="268"/>
      <c r="I671" s="268"/>
      <c r="J671" s="268"/>
      <c r="K671" s="268"/>
      <c r="L671" s="309"/>
      <c r="M671" s="268"/>
      <c r="N671" s="268"/>
      <c r="O671" s="310"/>
      <c r="P671" s="268"/>
      <c r="Q671" s="309"/>
      <c r="R671" s="268"/>
      <c r="S671" s="313"/>
      <c r="T671" s="313"/>
      <c r="U671" s="268"/>
      <c r="V671" s="309"/>
      <c r="W671" s="310"/>
      <c r="X671" s="268"/>
      <c r="Y671" s="268"/>
      <c r="Z671" s="268"/>
      <c r="AA671" s="268"/>
      <c r="AB671" s="268"/>
      <c r="AC671" s="268"/>
    </row>
    <row r="672" spans="1:29" ht="24.75" customHeight="1">
      <c r="A672" s="268"/>
      <c r="B672" s="268"/>
      <c r="C672" s="268"/>
      <c r="D672" s="268"/>
      <c r="E672" s="268"/>
      <c r="F672" s="268"/>
      <c r="G672" s="268"/>
      <c r="H672" s="268"/>
      <c r="I672" s="268"/>
      <c r="J672" s="268"/>
      <c r="K672" s="268"/>
      <c r="L672" s="309"/>
      <c r="M672" s="268"/>
      <c r="N672" s="268"/>
      <c r="O672" s="310"/>
      <c r="P672" s="268"/>
      <c r="Q672" s="309"/>
      <c r="R672" s="268"/>
      <c r="S672" s="313"/>
      <c r="T672" s="313"/>
      <c r="U672" s="268"/>
      <c r="V672" s="309"/>
      <c r="W672" s="310"/>
      <c r="X672" s="268"/>
      <c r="Y672" s="268"/>
      <c r="Z672" s="268"/>
      <c r="AA672" s="268"/>
      <c r="AB672" s="268"/>
      <c r="AC672" s="268"/>
    </row>
    <row r="673" spans="1:29" ht="24.75" customHeight="1">
      <c r="A673" s="268"/>
      <c r="B673" s="268"/>
      <c r="C673" s="268"/>
      <c r="D673" s="268"/>
      <c r="E673" s="268"/>
      <c r="F673" s="268"/>
      <c r="G673" s="268"/>
      <c r="H673" s="268"/>
      <c r="I673" s="268"/>
      <c r="J673" s="268"/>
      <c r="K673" s="268"/>
      <c r="L673" s="309"/>
      <c r="M673" s="268"/>
      <c r="N673" s="268"/>
      <c r="O673" s="310"/>
      <c r="P673" s="268"/>
      <c r="Q673" s="309"/>
      <c r="R673" s="268"/>
      <c r="S673" s="313"/>
      <c r="T673" s="313"/>
      <c r="U673" s="268"/>
      <c r="V673" s="309"/>
      <c r="W673" s="310"/>
      <c r="X673" s="268"/>
      <c r="Y673" s="268"/>
      <c r="Z673" s="268"/>
      <c r="AA673" s="268"/>
      <c r="AB673" s="268"/>
      <c r="AC673" s="268"/>
    </row>
    <row r="674" spans="1:29" ht="24.75" customHeight="1">
      <c r="A674" s="268"/>
      <c r="B674" s="268"/>
      <c r="C674" s="268"/>
      <c r="D674" s="268"/>
      <c r="E674" s="268"/>
      <c r="F674" s="268"/>
      <c r="G674" s="268"/>
      <c r="H674" s="268"/>
      <c r="I674" s="268"/>
      <c r="J674" s="268"/>
      <c r="K674" s="268"/>
      <c r="L674" s="309"/>
      <c r="M674" s="268"/>
      <c r="N674" s="268"/>
      <c r="O674" s="310"/>
      <c r="P674" s="268"/>
      <c r="Q674" s="309"/>
      <c r="R674" s="268"/>
      <c r="S674" s="313"/>
      <c r="T674" s="313"/>
      <c r="U674" s="268"/>
      <c r="V674" s="309"/>
      <c r="W674" s="310"/>
      <c r="X674" s="268"/>
      <c r="Y674" s="268"/>
      <c r="Z674" s="268"/>
      <c r="AA674" s="268"/>
      <c r="AB674" s="268"/>
      <c r="AC674" s="268"/>
    </row>
    <row r="675" spans="1:29" ht="24.75" customHeight="1">
      <c r="A675" s="268"/>
      <c r="B675" s="268"/>
      <c r="C675" s="268"/>
      <c r="D675" s="268"/>
      <c r="E675" s="268"/>
      <c r="F675" s="268"/>
      <c r="G675" s="268"/>
      <c r="H675" s="268"/>
      <c r="I675" s="268"/>
      <c r="J675" s="268"/>
      <c r="K675" s="268"/>
      <c r="L675" s="309"/>
      <c r="M675" s="268"/>
      <c r="N675" s="268"/>
      <c r="O675" s="310"/>
      <c r="P675" s="268"/>
      <c r="Q675" s="309"/>
      <c r="R675" s="268"/>
      <c r="S675" s="313"/>
      <c r="T675" s="313"/>
      <c r="U675" s="268"/>
      <c r="V675" s="309"/>
      <c r="W675" s="310"/>
      <c r="X675" s="268"/>
      <c r="Y675" s="268"/>
      <c r="Z675" s="268"/>
      <c r="AA675" s="268"/>
      <c r="AB675" s="268"/>
      <c r="AC675" s="268"/>
    </row>
    <row r="676" spans="1:29" ht="24.75" customHeight="1">
      <c r="A676" s="268"/>
      <c r="B676" s="268"/>
      <c r="C676" s="268"/>
      <c r="D676" s="268"/>
      <c r="E676" s="268"/>
      <c r="F676" s="268"/>
      <c r="G676" s="268"/>
      <c r="H676" s="268"/>
      <c r="I676" s="268"/>
      <c r="J676" s="268"/>
      <c r="K676" s="268"/>
      <c r="L676" s="309"/>
      <c r="M676" s="268"/>
      <c r="N676" s="268"/>
      <c r="O676" s="310"/>
      <c r="P676" s="268"/>
      <c r="Q676" s="309"/>
      <c r="R676" s="268"/>
      <c r="S676" s="313"/>
      <c r="T676" s="313"/>
      <c r="U676" s="268"/>
      <c r="V676" s="309"/>
      <c r="W676" s="310"/>
      <c r="X676" s="268"/>
      <c r="Y676" s="268"/>
      <c r="Z676" s="268"/>
      <c r="AA676" s="268"/>
      <c r="AB676" s="268"/>
      <c r="AC676" s="268"/>
    </row>
    <row r="677" spans="1:29" ht="24.75" customHeight="1">
      <c r="A677" s="268"/>
      <c r="B677" s="268"/>
      <c r="C677" s="268"/>
      <c r="D677" s="268"/>
      <c r="E677" s="268"/>
      <c r="F677" s="268"/>
      <c r="G677" s="268"/>
      <c r="H677" s="268"/>
      <c r="I677" s="268"/>
      <c r="J677" s="268"/>
      <c r="K677" s="268"/>
      <c r="L677" s="309"/>
      <c r="M677" s="268"/>
      <c r="N677" s="268"/>
      <c r="O677" s="310"/>
      <c r="P677" s="268"/>
      <c r="Q677" s="309"/>
      <c r="R677" s="268"/>
      <c r="S677" s="313"/>
      <c r="T677" s="313"/>
      <c r="U677" s="268"/>
      <c r="V677" s="309"/>
      <c r="W677" s="310"/>
      <c r="X677" s="268"/>
      <c r="Y677" s="268"/>
      <c r="Z677" s="268"/>
      <c r="AA677" s="268"/>
      <c r="AB677" s="268"/>
      <c r="AC677" s="268"/>
    </row>
    <row r="678" spans="1:29" ht="24.75" customHeight="1">
      <c r="A678" s="268"/>
      <c r="B678" s="268"/>
      <c r="C678" s="268"/>
      <c r="D678" s="268"/>
      <c r="E678" s="268"/>
      <c r="F678" s="268"/>
      <c r="G678" s="268"/>
      <c r="H678" s="268"/>
      <c r="I678" s="268"/>
      <c r="J678" s="268"/>
      <c r="K678" s="268"/>
      <c r="L678" s="309"/>
      <c r="M678" s="268"/>
      <c r="N678" s="268"/>
      <c r="O678" s="310"/>
      <c r="P678" s="268"/>
      <c r="Q678" s="309"/>
      <c r="R678" s="268"/>
      <c r="S678" s="313"/>
      <c r="T678" s="313"/>
      <c r="U678" s="268"/>
      <c r="V678" s="309"/>
      <c r="W678" s="310"/>
      <c r="X678" s="268"/>
      <c r="Y678" s="268"/>
      <c r="Z678" s="268"/>
      <c r="AA678" s="268"/>
      <c r="AB678" s="268"/>
      <c r="AC678" s="268"/>
    </row>
    <row r="679" spans="1:29" ht="24.75" customHeight="1">
      <c r="A679" s="268"/>
      <c r="B679" s="268"/>
      <c r="C679" s="268"/>
      <c r="D679" s="268"/>
      <c r="E679" s="268"/>
      <c r="F679" s="268"/>
      <c r="G679" s="268"/>
      <c r="H679" s="268"/>
      <c r="I679" s="268"/>
      <c r="J679" s="268"/>
      <c r="K679" s="268"/>
      <c r="L679" s="309"/>
      <c r="M679" s="268"/>
      <c r="N679" s="268"/>
      <c r="O679" s="310"/>
      <c r="P679" s="268"/>
      <c r="Q679" s="309"/>
      <c r="R679" s="268"/>
      <c r="S679" s="313"/>
      <c r="T679" s="313"/>
      <c r="U679" s="268"/>
      <c r="V679" s="309"/>
      <c r="W679" s="310"/>
      <c r="X679" s="268"/>
      <c r="Y679" s="268"/>
      <c r="Z679" s="268"/>
      <c r="AA679" s="268"/>
      <c r="AB679" s="268"/>
      <c r="AC679" s="268"/>
    </row>
    <row r="680" spans="1:29" ht="24.75" customHeight="1">
      <c r="A680" s="268"/>
      <c r="B680" s="268"/>
      <c r="C680" s="268"/>
      <c r="D680" s="268"/>
      <c r="E680" s="268"/>
      <c r="F680" s="268"/>
      <c r="G680" s="268"/>
      <c r="H680" s="268"/>
      <c r="I680" s="268"/>
      <c r="J680" s="268"/>
      <c r="K680" s="268"/>
      <c r="L680" s="309"/>
      <c r="M680" s="268"/>
      <c r="N680" s="268"/>
      <c r="O680" s="310"/>
      <c r="P680" s="268"/>
      <c r="Q680" s="309"/>
      <c r="R680" s="268"/>
      <c r="S680" s="313"/>
      <c r="T680" s="313"/>
      <c r="U680" s="268"/>
      <c r="V680" s="309"/>
      <c r="W680" s="310"/>
      <c r="X680" s="268"/>
      <c r="Y680" s="268"/>
      <c r="Z680" s="268"/>
      <c r="AA680" s="268"/>
      <c r="AB680" s="268"/>
      <c r="AC680" s="268"/>
    </row>
    <row r="681" spans="1:29" ht="24.75" customHeight="1">
      <c r="A681" s="268"/>
      <c r="B681" s="268"/>
      <c r="C681" s="268"/>
      <c r="D681" s="268"/>
      <c r="E681" s="268"/>
      <c r="F681" s="268"/>
      <c r="G681" s="268"/>
      <c r="H681" s="268"/>
      <c r="I681" s="268"/>
      <c r="J681" s="268"/>
      <c r="K681" s="268"/>
      <c r="L681" s="309"/>
      <c r="M681" s="268"/>
      <c r="N681" s="268"/>
      <c r="O681" s="310"/>
      <c r="P681" s="268"/>
      <c r="Q681" s="309"/>
      <c r="R681" s="268"/>
      <c r="S681" s="313"/>
      <c r="T681" s="313"/>
      <c r="U681" s="268"/>
      <c r="V681" s="309"/>
      <c r="W681" s="310"/>
      <c r="X681" s="268"/>
      <c r="Y681" s="268"/>
      <c r="Z681" s="268"/>
      <c r="AA681" s="268"/>
      <c r="AB681" s="268"/>
      <c r="AC681" s="268"/>
    </row>
    <row r="682" spans="1:29" ht="24.75" customHeight="1">
      <c r="A682" s="268"/>
      <c r="B682" s="268"/>
      <c r="C682" s="268"/>
      <c r="D682" s="268"/>
      <c r="E682" s="268"/>
      <c r="F682" s="268"/>
      <c r="G682" s="268"/>
      <c r="H682" s="268"/>
      <c r="I682" s="268"/>
      <c r="J682" s="268"/>
      <c r="K682" s="268"/>
      <c r="L682" s="309"/>
      <c r="M682" s="268"/>
      <c r="N682" s="268"/>
      <c r="O682" s="310"/>
      <c r="P682" s="268"/>
      <c r="Q682" s="309"/>
      <c r="R682" s="268"/>
      <c r="S682" s="313"/>
      <c r="T682" s="313"/>
      <c r="U682" s="268"/>
      <c r="V682" s="309"/>
      <c r="W682" s="310"/>
      <c r="X682" s="268"/>
      <c r="Y682" s="268"/>
      <c r="Z682" s="268"/>
      <c r="AA682" s="268"/>
      <c r="AB682" s="268"/>
      <c r="AC682" s="268"/>
    </row>
    <row r="683" spans="1:29" ht="24.75" customHeight="1">
      <c r="A683" s="268"/>
      <c r="B683" s="268"/>
      <c r="C683" s="268"/>
      <c r="D683" s="268"/>
      <c r="E683" s="268"/>
      <c r="F683" s="268"/>
      <c r="G683" s="268"/>
      <c r="H683" s="268"/>
      <c r="I683" s="268"/>
      <c r="J683" s="268"/>
      <c r="K683" s="268"/>
      <c r="L683" s="309"/>
      <c r="M683" s="268"/>
      <c r="N683" s="268"/>
      <c r="O683" s="310"/>
      <c r="P683" s="268"/>
      <c r="Q683" s="309"/>
      <c r="R683" s="268"/>
      <c r="S683" s="313"/>
      <c r="T683" s="313"/>
      <c r="U683" s="268"/>
      <c r="V683" s="309"/>
      <c r="W683" s="310"/>
      <c r="X683" s="268"/>
      <c r="Y683" s="268"/>
      <c r="Z683" s="268"/>
      <c r="AA683" s="268"/>
      <c r="AB683" s="268"/>
      <c r="AC683" s="268"/>
    </row>
    <row r="684" spans="1:29" ht="24.75" customHeight="1">
      <c r="A684" s="268"/>
      <c r="B684" s="268"/>
      <c r="C684" s="268"/>
      <c r="D684" s="268"/>
      <c r="E684" s="268"/>
      <c r="F684" s="268"/>
      <c r="G684" s="268"/>
      <c r="H684" s="268"/>
      <c r="I684" s="268"/>
      <c r="J684" s="268"/>
      <c r="K684" s="268"/>
      <c r="L684" s="309"/>
      <c r="M684" s="268"/>
      <c r="N684" s="268"/>
      <c r="O684" s="310"/>
      <c r="P684" s="268"/>
      <c r="Q684" s="309"/>
      <c r="R684" s="268"/>
      <c r="S684" s="313"/>
      <c r="T684" s="313"/>
      <c r="U684" s="268"/>
      <c r="V684" s="309"/>
      <c r="W684" s="310"/>
      <c r="X684" s="268"/>
      <c r="Y684" s="268"/>
      <c r="Z684" s="268"/>
      <c r="AA684" s="268"/>
      <c r="AB684" s="268"/>
      <c r="AC684" s="268"/>
    </row>
    <row r="685" spans="1:29" ht="24.75" customHeight="1">
      <c r="A685" s="268"/>
      <c r="B685" s="268"/>
      <c r="C685" s="268"/>
      <c r="D685" s="268"/>
      <c r="E685" s="268"/>
      <c r="F685" s="268"/>
      <c r="G685" s="268"/>
      <c r="H685" s="268"/>
      <c r="I685" s="268"/>
      <c r="J685" s="268"/>
      <c r="K685" s="268"/>
      <c r="L685" s="309"/>
      <c r="M685" s="268"/>
      <c r="N685" s="268"/>
      <c r="O685" s="310"/>
      <c r="P685" s="268"/>
      <c r="Q685" s="309"/>
      <c r="R685" s="268"/>
      <c r="S685" s="313"/>
      <c r="T685" s="313"/>
      <c r="U685" s="268"/>
      <c r="V685" s="309"/>
      <c r="W685" s="310"/>
      <c r="X685" s="268"/>
      <c r="Y685" s="268"/>
      <c r="Z685" s="268"/>
      <c r="AA685" s="268"/>
      <c r="AB685" s="268"/>
      <c r="AC685" s="268"/>
    </row>
    <row r="686" spans="1:29" ht="24.75" customHeight="1">
      <c r="A686" s="268"/>
      <c r="B686" s="268"/>
      <c r="C686" s="268"/>
      <c r="D686" s="268"/>
      <c r="E686" s="268"/>
      <c r="F686" s="268"/>
      <c r="G686" s="268"/>
      <c r="H686" s="268"/>
      <c r="I686" s="268"/>
      <c r="J686" s="268"/>
      <c r="K686" s="268"/>
      <c r="L686" s="309"/>
      <c r="M686" s="268"/>
      <c r="N686" s="268"/>
      <c r="O686" s="310"/>
      <c r="P686" s="268"/>
      <c r="Q686" s="309"/>
      <c r="R686" s="268"/>
      <c r="S686" s="313"/>
      <c r="T686" s="313"/>
      <c r="U686" s="268"/>
      <c r="V686" s="309"/>
      <c r="W686" s="310"/>
      <c r="X686" s="268"/>
      <c r="Y686" s="268"/>
      <c r="Z686" s="268"/>
      <c r="AA686" s="268"/>
      <c r="AB686" s="268"/>
      <c r="AC686" s="268"/>
    </row>
    <row r="687" spans="1:29" ht="24.75" customHeight="1">
      <c r="A687" s="268"/>
      <c r="B687" s="268"/>
      <c r="C687" s="268"/>
      <c r="D687" s="268"/>
      <c r="E687" s="268"/>
      <c r="F687" s="268"/>
      <c r="G687" s="268"/>
      <c r="H687" s="268"/>
      <c r="I687" s="268"/>
      <c r="J687" s="268"/>
      <c r="K687" s="268"/>
      <c r="L687" s="309"/>
      <c r="M687" s="268"/>
      <c r="N687" s="268"/>
      <c r="O687" s="310"/>
      <c r="P687" s="268"/>
      <c r="Q687" s="309"/>
      <c r="R687" s="268"/>
      <c r="S687" s="313"/>
      <c r="T687" s="313"/>
      <c r="U687" s="268"/>
      <c r="V687" s="309"/>
      <c r="W687" s="310"/>
      <c r="X687" s="268"/>
      <c r="Y687" s="268"/>
      <c r="Z687" s="268"/>
      <c r="AA687" s="268"/>
      <c r="AB687" s="268"/>
      <c r="AC687" s="268"/>
    </row>
    <row r="688" spans="1:29" ht="24.75" customHeight="1">
      <c r="A688" s="268"/>
      <c r="B688" s="268"/>
      <c r="C688" s="268"/>
      <c r="D688" s="268"/>
      <c r="E688" s="268"/>
      <c r="F688" s="268"/>
      <c r="G688" s="268"/>
      <c r="H688" s="268"/>
      <c r="I688" s="268"/>
      <c r="J688" s="268"/>
      <c r="K688" s="268"/>
      <c r="L688" s="309"/>
      <c r="M688" s="268"/>
      <c r="N688" s="268"/>
      <c r="O688" s="310"/>
      <c r="P688" s="268"/>
      <c r="Q688" s="309"/>
      <c r="R688" s="268"/>
      <c r="S688" s="313"/>
      <c r="T688" s="313"/>
      <c r="U688" s="268"/>
      <c r="V688" s="309"/>
      <c r="W688" s="310"/>
      <c r="X688" s="268"/>
      <c r="Y688" s="268"/>
      <c r="Z688" s="268"/>
      <c r="AA688" s="268"/>
      <c r="AB688" s="268"/>
      <c r="AC688" s="268"/>
    </row>
    <row r="689" spans="1:29" ht="24.75" customHeight="1">
      <c r="A689" s="268"/>
      <c r="B689" s="268"/>
      <c r="C689" s="268"/>
      <c r="D689" s="268"/>
      <c r="E689" s="268"/>
      <c r="F689" s="268"/>
      <c r="G689" s="268"/>
      <c r="H689" s="268"/>
      <c r="I689" s="268"/>
      <c r="J689" s="268"/>
      <c r="K689" s="268"/>
      <c r="L689" s="309"/>
      <c r="M689" s="268"/>
      <c r="N689" s="268"/>
      <c r="O689" s="310"/>
      <c r="P689" s="268"/>
      <c r="Q689" s="309"/>
      <c r="R689" s="268"/>
      <c r="S689" s="313"/>
      <c r="T689" s="313"/>
      <c r="U689" s="268"/>
      <c r="V689" s="309"/>
      <c r="W689" s="310"/>
      <c r="X689" s="268"/>
      <c r="Y689" s="268"/>
      <c r="Z689" s="268"/>
      <c r="AA689" s="268"/>
      <c r="AB689" s="268"/>
      <c r="AC689" s="268"/>
    </row>
    <row r="690" spans="1:29" ht="24.75" customHeight="1">
      <c r="A690" s="268"/>
      <c r="B690" s="268"/>
      <c r="C690" s="268"/>
      <c r="D690" s="268"/>
      <c r="E690" s="268"/>
      <c r="F690" s="268"/>
      <c r="G690" s="268"/>
      <c r="H690" s="268"/>
      <c r="I690" s="268"/>
      <c r="J690" s="268"/>
      <c r="K690" s="268"/>
      <c r="L690" s="309"/>
      <c r="M690" s="268"/>
      <c r="N690" s="268"/>
      <c r="O690" s="310"/>
      <c r="P690" s="268"/>
      <c r="Q690" s="309"/>
      <c r="R690" s="268"/>
      <c r="S690" s="313"/>
      <c r="T690" s="313"/>
      <c r="U690" s="268"/>
      <c r="V690" s="309"/>
      <c r="W690" s="310"/>
      <c r="X690" s="268"/>
      <c r="Y690" s="268"/>
      <c r="Z690" s="268"/>
      <c r="AA690" s="268"/>
      <c r="AB690" s="268"/>
      <c r="AC690" s="268"/>
    </row>
    <row r="691" spans="1:29" ht="24.75" customHeight="1">
      <c r="A691" s="268"/>
      <c r="B691" s="268"/>
      <c r="C691" s="268"/>
      <c r="D691" s="268"/>
      <c r="E691" s="268"/>
      <c r="F691" s="268"/>
      <c r="G691" s="268"/>
      <c r="H691" s="268"/>
      <c r="I691" s="268"/>
      <c r="J691" s="268"/>
      <c r="K691" s="268"/>
      <c r="L691" s="309"/>
      <c r="M691" s="268"/>
      <c r="N691" s="268"/>
      <c r="O691" s="310"/>
      <c r="P691" s="268"/>
      <c r="Q691" s="309"/>
      <c r="R691" s="268"/>
      <c r="S691" s="313"/>
      <c r="T691" s="313"/>
      <c r="U691" s="268"/>
      <c r="V691" s="309"/>
      <c r="W691" s="310"/>
      <c r="X691" s="268"/>
      <c r="Y691" s="268"/>
      <c r="Z691" s="268"/>
      <c r="AA691" s="268"/>
      <c r="AB691" s="268"/>
      <c r="AC691" s="268"/>
    </row>
    <row r="692" spans="1:29" ht="24.75" customHeight="1">
      <c r="A692" s="268"/>
      <c r="B692" s="268"/>
      <c r="C692" s="268"/>
      <c r="D692" s="268"/>
      <c r="E692" s="268"/>
      <c r="F692" s="268"/>
      <c r="G692" s="268"/>
      <c r="H692" s="268"/>
      <c r="I692" s="268"/>
      <c r="J692" s="268"/>
      <c r="K692" s="268"/>
      <c r="L692" s="309"/>
      <c r="M692" s="268"/>
      <c r="N692" s="268"/>
      <c r="O692" s="310"/>
      <c r="P692" s="268"/>
      <c r="Q692" s="309"/>
      <c r="R692" s="268"/>
      <c r="S692" s="313"/>
      <c r="T692" s="313"/>
      <c r="U692" s="268"/>
      <c r="V692" s="309"/>
      <c r="W692" s="310"/>
      <c r="X692" s="268"/>
      <c r="Y692" s="268"/>
      <c r="Z692" s="268"/>
      <c r="AA692" s="268"/>
      <c r="AB692" s="268"/>
      <c r="AC692" s="268"/>
    </row>
    <row r="693" spans="1:29" ht="24.75" customHeight="1">
      <c r="A693" s="268"/>
      <c r="B693" s="268"/>
      <c r="C693" s="268"/>
      <c r="D693" s="268"/>
      <c r="E693" s="268"/>
      <c r="F693" s="268"/>
      <c r="G693" s="268"/>
      <c r="H693" s="268"/>
      <c r="I693" s="268"/>
      <c r="J693" s="268"/>
      <c r="K693" s="268"/>
      <c r="L693" s="309"/>
      <c r="M693" s="268"/>
      <c r="N693" s="268"/>
      <c r="O693" s="310"/>
      <c r="P693" s="268"/>
      <c r="Q693" s="309"/>
      <c r="R693" s="268"/>
      <c r="S693" s="313"/>
      <c r="T693" s="313"/>
      <c r="U693" s="268"/>
      <c r="V693" s="309"/>
      <c r="W693" s="310"/>
      <c r="X693" s="268"/>
      <c r="Y693" s="268"/>
      <c r="Z693" s="268"/>
      <c r="AA693" s="268"/>
      <c r="AB693" s="268"/>
      <c r="AC693" s="268"/>
    </row>
    <row r="694" spans="1:29" ht="24.75" customHeight="1">
      <c r="A694" s="268"/>
      <c r="B694" s="268"/>
      <c r="C694" s="268"/>
      <c r="D694" s="268"/>
      <c r="E694" s="268"/>
      <c r="F694" s="268"/>
      <c r="G694" s="268"/>
      <c r="H694" s="268"/>
      <c r="I694" s="268"/>
      <c r="J694" s="268"/>
      <c r="K694" s="268"/>
      <c r="L694" s="309"/>
      <c r="M694" s="268"/>
      <c r="N694" s="268"/>
      <c r="O694" s="310"/>
      <c r="P694" s="268"/>
      <c r="Q694" s="309"/>
      <c r="R694" s="268"/>
      <c r="S694" s="313"/>
      <c r="T694" s="313"/>
      <c r="U694" s="268"/>
      <c r="V694" s="309"/>
      <c r="W694" s="310"/>
      <c r="X694" s="268"/>
      <c r="Y694" s="268"/>
      <c r="Z694" s="268"/>
      <c r="AA694" s="268"/>
      <c r="AB694" s="268"/>
      <c r="AC694" s="268"/>
    </row>
    <row r="695" spans="1:29" ht="24.75" customHeight="1">
      <c r="A695" s="268"/>
      <c r="B695" s="268"/>
      <c r="C695" s="268"/>
      <c r="D695" s="268"/>
      <c r="E695" s="268"/>
      <c r="F695" s="268"/>
      <c r="G695" s="268"/>
      <c r="H695" s="268"/>
      <c r="I695" s="268"/>
      <c r="J695" s="268"/>
      <c r="K695" s="268"/>
      <c r="L695" s="309"/>
      <c r="M695" s="268"/>
      <c r="N695" s="268"/>
      <c r="O695" s="310"/>
      <c r="P695" s="268"/>
      <c r="Q695" s="309"/>
      <c r="R695" s="268"/>
      <c r="S695" s="313"/>
      <c r="T695" s="313"/>
      <c r="U695" s="268"/>
      <c r="V695" s="309"/>
      <c r="W695" s="310"/>
      <c r="X695" s="268"/>
      <c r="Y695" s="268"/>
      <c r="Z695" s="268"/>
      <c r="AA695" s="268"/>
      <c r="AB695" s="268"/>
      <c r="AC695" s="268"/>
    </row>
    <row r="696" spans="1:29" ht="24.75" customHeight="1">
      <c r="A696" s="268"/>
      <c r="B696" s="268"/>
      <c r="C696" s="268"/>
      <c r="D696" s="268"/>
      <c r="E696" s="268"/>
      <c r="F696" s="268"/>
      <c r="G696" s="268"/>
      <c r="H696" s="268"/>
      <c r="I696" s="268"/>
      <c r="J696" s="268"/>
      <c r="K696" s="268"/>
      <c r="L696" s="309"/>
      <c r="M696" s="268"/>
      <c r="N696" s="268"/>
      <c r="O696" s="310"/>
      <c r="P696" s="268"/>
      <c r="Q696" s="309"/>
      <c r="R696" s="268"/>
      <c r="S696" s="313"/>
      <c r="T696" s="313"/>
      <c r="U696" s="268"/>
      <c r="V696" s="309"/>
      <c r="W696" s="310"/>
      <c r="X696" s="268"/>
      <c r="Y696" s="268"/>
      <c r="Z696" s="268"/>
      <c r="AA696" s="268"/>
      <c r="AB696" s="268"/>
      <c r="AC696" s="268"/>
    </row>
    <row r="697" spans="1:29" ht="24.75" customHeight="1">
      <c r="A697" s="268"/>
      <c r="B697" s="268"/>
      <c r="C697" s="268"/>
      <c r="D697" s="268"/>
      <c r="E697" s="268"/>
      <c r="F697" s="268"/>
      <c r="G697" s="268"/>
      <c r="H697" s="268"/>
      <c r="I697" s="268"/>
      <c r="J697" s="268"/>
      <c r="K697" s="268"/>
      <c r="L697" s="309"/>
      <c r="M697" s="268"/>
      <c r="N697" s="268"/>
      <c r="O697" s="310"/>
      <c r="P697" s="268"/>
      <c r="Q697" s="309"/>
      <c r="R697" s="268"/>
      <c r="S697" s="313"/>
      <c r="T697" s="313"/>
      <c r="U697" s="268"/>
      <c r="V697" s="309"/>
      <c r="W697" s="310"/>
      <c r="X697" s="268"/>
      <c r="Y697" s="268"/>
      <c r="Z697" s="268"/>
      <c r="AA697" s="268"/>
      <c r="AB697" s="268"/>
      <c r="AC697" s="268"/>
    </row>
    <row r="698" spans="1:29" ht="24.75" customHeight="1">
      <c r="A698" s="268"/>
      <c r="B698" s="268"/>
      <c r="C698" s="268"/>
      <c r="D698" s="268"/>
      <c r="E698" s="268"/>
      <c r="F698" s="268"/>
      <c r="G698" s="268"/>
      <c r="H698" s="268"/>
      <c r="I698" s="268"/>
      <c r="J698" s="268"/>
      <c r="K698" s="268"/>
      <c r="L698" s="309"/>
      <c r="M698" s="268"/>
      <c r="N698" s="268"/>
      <c r="O698" s="310"/>
      <c r="P698" s="268"/>
      <c r="Q698" s="309"/>
      <c r="R698" s="268"/>
      <c r="S698" s="313"/>
      <c r="T698" s="313"/>
      <c r="U698" s="268"/>
      <c r="V698" s="309"/>
      <c r="W698" s="310"/>
      <c r="X698" s="268"/>
      <c r="Y698" s="268"/>
      <c r="Z698" s="268"/>
      <c r="AA698" s="268"/>
      <c r="AB698" s="268"/>
      <c r="AC698" s="268"/>
    </row>
    <row r="699" spans="1:29" ht="24.75" customHeight="1">
      <c r="A699" s="268"/>
      <c r="B699" s="268"/>
      <c r="C699" s="268"/>
      <c r="D699" s="268"/>
      <c r="E699" s="268"/>
      <c r="F699" s="268"/>
      <c r="G699" s="268"/>
      <c r="H699" s="268"/>
      <c r="I699" s="268"/>
      <c r="J699" s="268"/>
      <c r="K699" s="268"/>
      <c r="L699" s="309"/>
      <c r="M699" s="268"/>
      <c r="N699" s="268"/>
      <c r="O699" s="310"/>
      <c r="P699" s="268"/>
      <c r="Q699" s="309"/>
      <c r="R699" s="268"/>
      <c r="S699" s="313"/>
      <c r="T699" s="313"/>
      <c r="U699" s="268"/>
      <c r="V699" s="309"/>
      <c r="W699" s="310"/>
      <c r="X699" s="268"/>
      <c r="Y699" s="268"/>
      <c r="Z699" s="268"/>
      <c r="AA699" s="268"/>
      <c r="AB699" s="268"/>
      <c r="AC699" s="268"/>
    </row>
    <row r="700" spans="1:29" ht="24.75" customHeight="1">
      <c r="A700" s="268"/>
      <c r="B700" s="268"/>
      <c r="C700" s="268"/>
      <c r="D700" s="268"/>
      <c r="E700" s="268"/>
      <c r="F700" s="268"/>
      <c r="G700" s="268"/>
      <c r="H700" s="268"/>
      <c r="I700" s="268"/>
      <c r="J700" s="268"/>
      <c r="K700" s="268"/>
      <c r="L700" s="309"/>
      <c r="M700" s="268"/>
      <c r="N700" s="268"/>
      <c r="O700" s="310"/>
      <c r="P700" s="268"/>
      <c r="Q700" s="309"/>
      <c r="R700" s="268"/>
      <c r="S700" s="313"/>
      <c r="T700" s="313"/>
      <c r="U700" s="268"/>
      <c r="V700" s="309"/>
      <c r="W700" s="310"/>
      <c r="X700" s="268"/>
      <c r="Y700" s="268"/>
      <c r="Z700" s="268"/>
      <c r="AA700" s="268"/>
      <c r="AB700" s="268"/>
      <c r="AC700" s="268"/>
    </row>
    <row r="701" spans="1:29" ht="24.75" customHeight="1">
      <c r="A701" s="268"/>
      <c r="B701" s="268"/>
      <c r="C701" s="268"/>
      <c r="D701" s="268"/>
      <c r="E701" s="268"/>
      <c r="F701" s="268"/>
      <c r="G701" s="268"/>
      <c r="H701" s="268"/>
      <c r="I701" s="268"/>
      <c r="J701" s="268"/>
      <c r="K701" s="268"/>
      <c r="L701" s="309"/>
      <c r="M701" s="268"/>
      <c r="N701" s="268"/>
      <c r="O701" s="310"/>
      <c r="P701" s="268"/>
      <c r="Q701" s="309"/>
      <c r="R701" s="268"/>
      <c r="S701" s="313"/>
      <c r="T701" s="313"/>
      <c r="U701" s="268"/>
      <c r="V701" s="309"/>
      <c r="W701" s="310"/>
      <c r="X701" s="268"/>
      <c r="Y701" s="268"/>
      <c r="Z701" s="268"/>
      <c r="AA701" s="268"/>
      <c r="AB701" s="268"/>
      <c r="AC701" s="268"/>
    </row>
    <row r="702" spans="1:29" ht="24.75" customHeight="1">
      <c r="A702" s="268"/>
      <c r="B702" s="268"/>
      <c r="C702" s="268"/>
      <c r="D702" s="268"/>
      <c r="E702" s="268"/>
      <c r="F702" s="268"/>
      <c r="G702" s="268"/>
      <c r="H702" s="268"/>
      <c r="I702" s="268"/>
      <c r="J702" s="268"/>
      <c r="K702" s="268"/>
      <c r="L702" s="309"/>
      <c r="M702" s="268"/>
      <c r="N702" s="268"/>
      <c r="O702" s="310"/>
      <c r="P702" s="268"/>
      <c r="Q702" s="309"/>
      <c r="R702" s="268"/>
      <c r="S702" s="313"/>
      <c r="T702" s="313"/>
      <c r="U702" s="268"/>
      <c r="V702" s="309"/>
      <c r="W702" s="310"/>
      <c r="X702" s="268"/>
      <c r="Y702" s="268"/>
      <c r="Z702" s="268"/>
      <c r="AA702" s="268"/>
      <c r="AB702" s="268"/>
      <c r="AC702" s="268"/>
    </row>
    <row r="703" spans="1:29" ht="24.75" customHeight="1">
      <c r="A703" s="268"/>
      <c r="B703" s="268"/>
      <c r="C703" s="268"/>
      <c r="D703" s="268"/>
      <c r="E703" s="268"/>
      <c r="F703" s="268"/>
      <c r="G703" s="268"/>
      <c r="H703" s="268"/>
      <c r="I703" s="268"/>
      <c r="J703" s="268"/>
      <c r="K703" s="268"/>
      <c r="L703" s="309"/>
      <c r="M703" s="268"/>
      <c r="N703" s="268"/>
      <c r="O703" s="310"/>
      <c r="P703" s="268"/>
      <c r="Q703" s="309"/>
      <c r="R703" s="268"/>
      <c r="S703" s="313"/>
      <c r="T703" s="313"/>
      <c r="U703" s="268"/>
      <c r="V703" s="309"/>
      <c r="W703" s="310"/>
      <c r="X703" s="268"/>
      <c r="Y703" s="268"/>
      <c r="Z703" s="268"/>
      <c r="AA703" s="268"/>
      <c r="AB703" s="268"/>
      <c r="AC703" s="268"/>
    </row>
    <row r="704" spans="1:29" ht="24.75" customHeight="1">
      <c r="A704" s="268"/>
      <c r="B704" s="268"/>
      <c r="C704" s="268"/>
      <c r="D704" s="268"/>
      <c r="E704" s="268"/>
      <c r="F704" s="268"/>
      <c r="G704" s="268"/>
      <c r="H704" s="268"/>
      <c r="I704" s="268"/>
      <c r="J704" s="268"/>
      <c r="K704" s="268"/>
      <c r="L704" s="309"/>
      <c r="M704" s="268"/>
      <c r="N704" s="268"/>
      <c r="O704" s="310"/>
      <c r="P704" s="268"/>
      <c r="Q704" s="309"/>
      <c r="R704" s="268"/>
      <c r="S704" s="313"/>
      <c r="T704" s="313"/>
      <c r="U704" s="268"/>
      <c r="V704" s="309"/>
      <c r="W704" s="310"/>
      <c r="X704" s="268"/>
      <c r="Y704" s="268"/>
      <c r="Z704" s="268"/>
      <c r="AA704" s="268"/>
      <c r="AB704" s="268"/>
      <c r="AC704" s="268"/>
    </row>
    <row r="705" spans="1:29" ht="24.75" customHeight="1">
      <c r="A705" s="268"/>
      <c r="B705" s="268"/>
      <c r="C705" s="268"/>
      <c r="D705" s="268"/>
      <c r="E705" s="268"/>
      <c r="F705" s="268"/>
      <c r="G705" s="268"/>
      <c r="H705" s="268"/>
      <c r="I705" s="268"/>
      <c r="J705" s="268"/>
      <c r="K705" s="268"/>
      <c r="L705" s="309"/>
      <c r="M705" s="268"/>
      <c r="N705" s="268"/>
      <c r="O705" s="310"/>
      <c r="P705" s="268"/>
      <c r="Q705" s="309"/>
      <c r="R705" s="268"/>
      <c r="S705" s="313"/>
      <c r="T705" s="313"/>
      <c r="U705" s="268"/>
      <c r="V705" s="309"/>
      <c r="W705" s="310"/>
      <c r="X705" s="268"/>
      <c r="Y705" s="268"/>
      <c r="Z705" s="268"/>
      <c r="AA705" s="268"/>
      <c r="AB705" s="268"/>
      <c r="AC705" s="268"/>
    </row>
    <row r="706" spans="1:29" ht="24.75" customHeight="1">
      <c r="A706" s="268"/>
      <c r="B706" s="268"/>
      <c r="C706" s="268"/>
      <c r="D706" s="268"/>
      <c r="E706" s="268"/>
      <c r="F706" s="268"/>
      <c r="G706" s="268"/>
      <c r="H706" s="268"/>
      <c r="I706" s="268"/>
      <c r="J706" s="268"/>
      <c r="K706" s="268"/>
      <c r="L706" s="309"/>
      <c r="M706" s="268"/>
      <c r="N706" s="268"/>
      <c r="O706" s="310"/>
      <c r="P706" s="268"/>
      <c r="Q706" s="309"/>
      <c r="R706" s="268"/>
      <c r="S706" s="313"/>
      <c r="T706" s="313"/>
      <c r="U706" s="268"/>
      <c r="V706" s="309"/>
      <c r="W706" s="310"/>
      <c r="X706" s="268"/>
      <c r="Y706" s="268"/>
      <c r="Z706" s="268"/>
      <c r="AA706" s="268"/>
      <c r="AB706" s="268"/>
      <c r="AC706" s="268"/>
    </row>
    <row r="707" spans="1:29" ht="24.75" customHeight="1">
      <c r="A707" s="268"/>
      <c r="B707" s="268"/>
      <c r="C707" s="268"/>
      <c r="D707" s="268"/>
      <c r="E707" s="268"/>
      <c r="F707" s="268"/>
      <c r="G707" s="268"/>
      <c r="H707" s="268"/>
      <c r="I707" s="268"/>
      <c r="J707" s="268"/>
      <c r="K707" s="268"/>
      <c r="L707" s="309"/>
      <c r="M707" s="268"/>
      <c r="N707" s="268"/>
      <c r="O707" s="310"/>
      <c r="P707" s="268"/>
      <c r="Q707" s="309"/>
      <c r="R707" s="268"/>
      <c r="S707" s="313"/>
      <c r="T707" s="313"/>
      <c r="U707" s="268"/>
      <c r="V707" s="309"/>
      <c r="W707" s="310"/>
      <c r="X707" s="268"/>
      <c r="Y707" s="268"/>
      <c r="Z707" s="268"/>
      <c r="AA707" s="268"/>
      <c r="AB707" s="268"/>
      <c r="AC707" s="268"/>
    </row>
    <row r="708" spans="1:29" ht="24.75" customHeight="1">
      <c r="A708" s="268"/>
      <c r="B708" s="268"/>
      <c r="C708" s="268"/>
      <c r="D708" s="268"/>
      <c r="E708" s="268"/>
      <c r="F708" s="268"/>
      <c r="G708" s="268"/>
      <c r="H708" s="268"/>
      <c r="I708" s="268"/>
      <c r="J708" s="268"/>
      <c r="K708" s="268"/>
      <c r="L708" s="309"/>
      <c r="M708" s="268"/>
      <c r="N708" s="268"/>
      <c r="O708" s="310"/>
      <c r="P708" s="268"/>
      <c r="Q708" s="309"/>
      <c r="R708" s="268"/>
      <c r="S708" s="313"/>
      <c r="T708" s="313"/>
      <c r="U708" s="268"/>
      <c r="V708" s="309"/>
      <c r="W708" s="310"/>
      <c r="X708" s="268"/>
      <c r="Y708" s="268"/>
      <c r="Z708" s="268"/>
      <c r="AA708" s="268"/>
      <c r="AB708" s="268"/>
      <c r="AC708" s="268"/>
    </row>
    <row r="709" spans="1:29" ht="24.75" customHeight="1">
      <c r="A709" s="268"/>
      <c r="B709" s="268"/>
      <c r="C709" s="268"/>
      <c r="D709" s="268"/>
      <c r="E709" s="268"/>
      <c r="F709" s="268"/>
      <c r="G709" s="268"/>
      <c r="H709" s="268"/>
      <c r="I709" s="268"/>
      <c r="J709" s="268"/>
      <c r="K709" s="268"/>
      <c r="L709" s="309"/>
      <c r="M709" s="268"/>
      <c r="N709" s="268"/>
      <c r="O709" s="310"/>
      <c r="P709" s="268"/>
      <c r="Q709" s="309"/>
      <c r="R709" s="268"/>
      <c r="S709" s="313"/>
      <c r="T709" s="313"/>
      <c r="U709" s="268"/>
      <c r="V709" s="309"/>
      <c r="W709" s="310"/>
      <c r="X709" s="268"/>
      <c r="Y709" s="268"/>
      <c r="Z709" s="268"/>
      <c r="AA709" s="268"/>
      <c r="AB709" s="268"/>
      <c r="AC709" s="268"/>
    </row>
    <row r="710" spans="1:29" ht="24.75" customHeight="1">
      <c r="A710" s="268"/>
      <c r="B710" s="268"/>
      <c r="C710" s="268"/>
      <c r="D710" s="268"/>
      <c r="E710" s="268"/>
      <c r="F710" s="268"/>
      <c r="G710" s="268"/>
      <c r="H710" s="268"/>
      <c r="I710" s="268"/>
      <c r="J710" s="268"/>
      <c r="K710" s="268"/>
      <c r="L710" s="309"/>
      <c r="M710" s="268"/>
      <c r="N710" s="268"/>
      <c r="O710" s="310"/>
      <c r="P710" s="268"/>
      <c r="Q710" s="309"/>
      <c r="R710" s="268"/>
      <c r="S710" s="313"/>
      <c r="T710" s="313"/>
      <c r="U710" s="268"/>
      <c r="V710" s="309"/>
      <c r="W710" s="310"/>
      <c r="X710" s="268"/>
      <c r="Y710" s="268"/>
      <c r="Z710" s="268"/>
      <c r="AA710" s="268"/>
      <c r="AB710" s="268"/>
      <c r="AC710" s="268"/>
    </row>
    <row r="711" spans="1:29" ht="24.75" customHeight="1">
      <c r="A711" s="268"/>
      <c r="B711" s="268"/>
      <c r="C711" s="268"/>
      <c r="D711" s="268"/>
      <c r="E711" s="268"/>
      <c r="F711" s="268"/>
      <c r="G711" s="268"/>
      <c r="H711" s="268"/>
      <c r="I711" s="268"/>
      <c r="J711" s="268"/>
      <c r="K711" s="268"/>
      <c r="L711" s="309"/>
      <c r="M711" s="268"/>
      <c r="N711" s="268"/>
      <c r="O711" s="310"/>
      <c r="P711" s="268"/>
      <c r="Q711" s="309"/>
      <c r="R711" s="268"/>
      <c r="S711" s="313"/>
      <c r="T711" s="313"/>
      <c r="U711" s="268"/>
      <c r="V711" s="309"/>
      <c r="W711" s="310"/>
      <c r="X711" s="268"/>
      <c r="Y711" s="268"/>
      <c r="Z711" s="268"/>
      <c r="AA711" s="268"/>
      <c r="AB711" s="268"/>
      <c r="AC711" s="268"/>
    </row>
    <row r="712" spans="1:29" ht="24.75" customHeight="1">
      <c r="A712" s="268"/>
      <c r="B712" s="268"/>
      <c r="C712" s="268"/>
      <c r="D712" s="268"/>
      <c r="E712" s="268"/>
      <c r="F712" s="268"/>
      <c r="G712" s="268"/>
      <c r="H712" s="268"/>
      <c r="I712" s="268"/>
      <c r="J712" s="268"/>
      <c r="K712" s="268"/>
      <c r="L712" s="309"/>
      <c r="M712" s="268"/>
      <c r="N712" s="268"/>
      <c r="O712" s="310"/>
      <c r="P712" s="268"/>
      <c r="Q712" s="309"/>
      <c r="R712" s="268"/>
      <c r="S712" s="313"/>
      <c r="T712" s="313"/>
      <c r="U712" s="268"/>
      <c r="V712" s="309"/>
      <c r="W712" s="310"/>
      <c r="X712" s="268"/>
      <c r="Y712" s="268"/>
      <c r="Z712" s="268"/>
      <c r="AA712" s="268"/>
      <c r="AB712" s="268"/>
      <c r="AC712" s="268"/>
    </row>
    <row r="713" spans="1:29" ht="24.75" customHeight="1">
      <c r="A713" s="268"/>
      <c r="B713" s="268"/>
      <c r="C713" s="268"/>
      <c r="D713" s="268"/>
      <c r="E713" s="268"/>
      <c r="F713" s="268"/>
      <c r="G713" s="268"/>
      <c r="H713" s="268"/>
      <c r="I713" s="268"/>
      <c r="J713" s="268"/>
      <c r="K713" s="268"/>
      <c r="L713" s="309"/>
      <c r="M713" s="268"/>
      <c r="N713" s="268"/>
      <c r="O713" s="310"/>
      <c r="P713" s="268"/>
      <c r="Q713" s="309"/>
      <c r="R713" s="268"/>
      <c r="S713" s="313"/>
      <c r="T713" s="313"/>
      <c r="U713" s="268"/>
      <c r="V713" s="309"/>
      <c r="W713" s="310"/>
      <c r="X713" s="268"/>
      <c r="Y713" s="268"/>
      <c r="Z713" s="268"/>
      <c r="AA713" s="268"/>
      <c r="AB713" s="268"/>
      <c r="AC713" s="268"/>
    </row>
    <row r="714" spans="1:29" ht="24.75" customHeight="1">
      <c r="A714" s="268"/>
      <c r="B714" s="268"/>
      <c r="C714" s="268"/>
      <c r="D714" s="268"/>
      <c r="E714" s="268"/>
      <c r="F714" s="268"/>
      <c r="G714" s="268"/>
      <c r="H714" s="268"/>
      <c r="I714" s="268"/>
      <c r="J714" s="268"/>
      <c r="K714" s="268"/>
      <c r="L714" s="309"/>
      <c r="M714" s="268"/>
      <c r="N714" s="268"/>
      <c r="O714" s="310"/>
      <c r="P714" s="268"/>
      <c r="Q714" s="309"/>
      <c r="R714" s="268"/>
      <c r="S714" s="313"/>
      <c r="T714" s="313"/>
      <c r="U714" s="268"/>
      <c r="V714" s="309"/>
      <c r="W714" s="310"/>
      <c r="X714" s="268"/>
      <c r="Y714" s="268"/>
      <c r="Z714" s="268"/>
      <c r="AA714" s="268"/>
      <c r="AB714" s="268"/>
      <c r="AC714" s="268"/>
    </row>
    <row r="715" spans="1:29" ht="24.75" customHeight="1">
      <c r="A715" s="268"/>
      <c r="B715" s="268"/>
      <c r="C715" s="268"/>
      <c r="D715" s="268"/>
      <c r="E715" s="268"/>
      <c r="F715" s="268"/>
      <c r="G715" s="268"/>
      <c r="H715" s="268"/>
      <c r="I715" s="268"/>
      <c r="J715" s="268"/>
      <c r="K715" s="268"/>
      <c r="L715" s="309"/>
      <c r="M715" s="268"/>
      <c r="N715" s="268"/>
      <c r="O715" s="310"/>
      <c r="P715" s="268"/>
      <c r="Q715" s="309"/>
      <c r="R715" s="268"/>
      <c r="S715" s="313"/>
      <c r="T715" s="313"/>
      <c r="U715" s="268"/>
      <c r="V715" s="309"/>
      <c r="W715" s="310"/>
      <c r="X715" s="268"/>
      <c r="Y715" s="268"/>
      <c r="Z715" s="268"/>
      <c r="AA715" s="268"/>
      <c r="AB715" s="268"/>
      <c r="AC715" s="268"/>
    </row>
    <row r="716" spans="1:29" ht="24.75" customHeight="1">
      <c r="A716" s="268"/>
      <c r="B716" s="268"/>
      <c r="C716" s="268"/>
      <c r="D716" s="268"/>
      <c r="E716" s="268"/>
      <c r="F716" s="268"/>
      <c r="G716" s="268"/>
      <c r="H716" s="268"/>
      <c r="I716" s="268"/>
      <c r="J716" s="268"/>
      <c r="K716" s="268"/>
      <c r="L716" s="309"/>
      <c r="M716" s="268"/>
      <c r="N716" s="268"/>
      <c r="O716" s="310"/>
      <c r="P716" s="268"/>
      <c r="Q716" s="309"/>
      <c r="R716" s="268"/>
      <c r="S716" s="313"/>
      <c r="T716" s="313"/>
      <c r="U716" s="268"/>
      <c r="V716" s="309"/>
      <c r="W716" s="310"/>
      <c r="X716" s="268"/>
      <c r="Y716" s="268"/>
      <c r="Z716" s="268"/>
      <c r="AA716" s="268"/>
      <c r="AB716" s="268"/>
      <c r="AC716" s="268"/>
    </row>
    <row r="717" spans="1:29" ht="24.75" customHeight="1">
      <c r="A717" s="268"/>
      <c r="B717" s="268"/>
      <c r="C717" s="268"/>
      <c r="D717" s="268"/>
      <c r="E717" s="268"/>
      <c r="F717" s="268"/>
      <c r="G717" s="268"/>
      <c r="H717" s="268"/>
      <c r="I717" s="268"/>
      <c r="J717" s="268"/>
      <c r="K717" s="268"/>
      <c r="L717" s="309"/>
      <c r="M717" s="268"/>
      <c r="N717" s="268"/>
      <c r="O717" s="310"/>
      <c r="P717" s="268"/>
      <c r="Q717" s="309"/>
      <c r="R717" s="268"/>
      <c r="S717" s="313"/>
      <c r="T717" s="313"/>
      <c r="U717" s="268"/>
      <c r="V717" s="309"/>
      <c r="W717" s="310"/>
      <c r="X717" s="268"/>
      <c r="Y717" s="268"/>
      <c r="Z717" s="268"/>
      <c r="AA717" s="268"/>
      <c r="AB717" s="268"/>
      <c r="AC717" s="268"/>
    </row>
    <row r="718" spans="1:29" ht="24.75" customHeight="1">
      <c r="A718" s="268"/>
      <c r="B718" s="268"/>
      <c r="C718" s="268"/>
      <c r="D718" s="268"/>
      <c r="E718" s="268"/>
      <c r="F718" s="268"/>
      <c r="G718" s="268"/>
      <c r="H718" s="268"/>
      <c r="I718" s="268"/>
      <c r="J718" s="268"/>
      <c r="K718" s="268"/>
      <c r="L718" s="309"/>
      <c r="M718" s="268"/>
      <c r="N718" s="268"/>
      <c r="O718" s="310"/>
      <c r="P718" s="268"/>
      <c r="Q718" s="309"/>
      <c r="R718" s="268"/>
      <c r="S718" s="313"/>
      <c r="T718" s="313"/>
      <c r="U718" s="268"/>
      <c r="V718" s="309"/>
      <c r="W718" s="310"/>
      <c r="X718" s="268"/>
      <c r="Y718" s="268"/>
      <c r="Z718" s="268"/>
      <c r="AA718" s="268"/>
      <c r="AB718" s="268"/>
      <c r="AC718" s="268"/>
    </row>
    <row r="719" spans="1:29" ht="24.75" customHeight="1">
      <c r="A719" s="268"/>
      <c r="B719" s="268"/>
      <c r="C719" s="268"/>
      <c r="D719" s="268"/>
      <c r="E719" s="268"/>
      <c r="F719" s="268"/>
      <c r="G719" s="268"/>
      <c r="H719" s="268"/>
      <c r="I719" s="268"/>
      <c r="J719" s="268"/>
      <c r="K719" s="268"/>
      <c r="L719" s="309"/>
      <c r="M719" s="268"/>
      <c r="N719" s="268"/>
      <c r="O719" s="310"/>
      <c r="P719" s="268"/>
      <c r="Q719" s="309"/>
      <c r="R719" s="268"/>
      <c r="S719" s="313"/>
      <c r="T719" s="313"/>
      <c r="U719" s="268"/>
      <c r="V719" s="309"/>
      <c r="W719" s="310"/>
      <c r="X719" s="268"/>
      <c r="Y719" s="268"/>
      <c r="Z719" s="268"/>
      <c r="AA719" s="268"/>
      <c r="AB719" s="268"/>
      <c r="AC719" s="268"/>
    </row>
    <row r="720" spans="1:29" ht="24.75" customHeight="1">
      <c r="A720" s="268"/>
      <c r="B720" s="268"/>
      <c r="C720" s="268"/>
      <c r="D720" s="268"/>
      <c r="E720" s="268"/>
      <c r="F720" s="268"/>
      <c r="G720" s="268"/>
      <c r="H720" s="268"/>
      <c r="I720" s="268"/>
      <c r="J720" s="268"/>
      <c r="K720" s="268"/>
      <c r="L720" s="309"/>
      <c r="M720" s="268"/>
      <c r="N720" s="268"/>
      <c r="O720" s="310"/>
      <c r="P720" s="268"/>
      <c r="Q720" s="309"/>
      <c r="R720" s="268"/>
      <c r="S720" s="313"/>
      <c r="T720" s="313"/>
      <c r="U720" s="268"/>
      <c r="V720" s="309"/>
      <c r="W720" s="310"/>
      <c r="X720" s="268"/>
      <c r="Y720" s="268"/>
      <c r="Z720" s="268"/>
      <c r="AA720" s="268"/>
      <c r="AB720" s="268"/>
      <c r="AC720" s="268"/>
    </row>
    <row r="721" spans="1:29" ht="24.75" customHeight="1">
      <c r="A721" s="268"/>
      <c r="B721" s="268"/>
      <c r="C721" s="268"/>
      <c r="D721" s="268"/>
      <c r="E721" s="268"/>
      <c r="F721" s="268"/>
      <c r="G721" s="268"/>
      <c r="H721" s="268"/>
      <c r="I721" s="268"/>
      <c r="J721" s="268"/>
      <c r="K721" s="268"/>
      <c r="L721" s="309"/>
      <c r="M721" s="268"/>
      <c r="N721" s="268"/>
      <c r="O721" s="310"/>
      <c r="P721" s="268"/>
      <c r="Q721" s="309"/>
      <c r="R721" s="268"/>
      <c r="S721" s="313"/>
      <c r="T721" s="313"/>
      <c r="U721" s="268"/>
      <c r="V721" s="309"/>
      <c r="W721" s="310"/>
      <c r="X721" s="268"/>
      <c r="Y721" s="268"/>
      <c r="Z721" s="268"/>
      <c r="AA721" s="268"/>
      <c r="AB721" s="268"/>
      <c r="AC721" s="268"/>
    </row>
    <row r="722" spans="1:29" ht="24.75" customHeight="1">
      <c r="A722" s="268"/>
      <c r="B722" s="268"/>
      <c r="C722" s="268"/>
      <c r="D722" s="268"/>
      <c r="E722" s="268"/>
      <c r="F722" s="268"/>
      <c r="G722" s="268"/>
      <c r="H722" s="268"/>
      <c r="I722" s="268"/>
      <c r="J722" s="268"/>
      <c r="K722" s="268"/>
      <c r="L722" s="309"/>
      <c r="M722" s="268"/>
      <c r="N722" s="268"/>
      <c r="O722" s="310"/>
      <c r="P722" s="268"/>
      <c r="Q722" s="309"/>
      <c r="R722" s="268"/>
      <c r="S722" s="313"/>
      <c r="T722" s="313"/>
      <c r="U722" s="268"/>
      <c r="V722" s="309"/>
      <c r="W722" s="310"/>
      <c r="X722" s="268"/>
      <c r="Y722" s="268"/>
      <c r="Z722" s="268"/>
      <c r="AA722" s="268"/>
      <c r="AB722" s="268"/>
      <c r="AC722" s="268"/>
    </row>
    <row r="723" spans="1:29" ht="24.75" customHeight="1">
      <c r="A723" s="268"/>
      <c r="B723" s="268"/>
      <c r="C723" s="268"/>
      <c r="D723" s="268"/>
      <c r="E723" s="268"/>
      <c r="F723" s="268"/>
      <c r="G723" s="268"/>
      <c r="H723" s="268"/>
      <c r="I723" s="268"/>
      <c r="J723" s="268"/>
      <c r="K723" s="268"/>
      <c r="L723" s="309"/>
      <c r="M723" s="268"/>
      <c r="N723" s="268"/>
      <c r="O723" s="310"/>
      <c r="P723" s="268"/>
      <c r="Q723" s="309"/>
      <c r="R723" s="268"/>
      <c r="S723" s="313"/>
      <c r="T723" s="313"/>
      <c r="U723" s="268"/>
      <c r="V723" s="309"/>
      <c r="W723" s="310"/>
      <c r="X723" s="268"/>
      <c r="Y723" s="268"/>
      <c r="Z723" s="268"/>
      <c r="AA723" s="268"/>
      <c r="AB723" s="268"/>
      <c r="AC723" s="268"/>
    </row>
    <row r="724" spans="1:29" ht="24.75" customHeight="1">
      <c r="A724" s="268"/>
      <c r="B724" s="268"/>
      <c r="C724" s="268"/>
      <c r="D724" s="268"/>
      <c r="E724" s="268"/>
      <c r="F724" s="268"/>
      <c r="G724" s="268"/>
      <c r="H724" s="268"/>
      <c r="I724" s="268"/>
      <c r="J724" s="268"/>
      <c r="K724" s="268"/>
      <c r="L724" s="309"/>
      <c r="M724" s="268"/>
      <c r="N724" s="268"/>
      <c r="O724" s="310"/>
      <c r="P724" s="268"/>
      <c r="Q724" s="309"/>
      <c r="R724" s="268"/>
      <c r="S724" s="313"/>
      <c r="T724" s="313"/>
      <c r="U724" s="268"/>
      <c r="V724" s="309"/>
      <c r="W724" s="310"/>
      <c r="X724" s="268"/>
      <c r="Y724" s="268"/>
      <c r="Z724" s="268"/>
      <c r="AA724" s="268"/>
      <c r="AB724" s="268"/>
      <c r="AC724" s="268"/>
    </row>
    <row r="725" spans="1:29" ht="24.75" customHeight="1">
      <c r="A725" s="268"/>
      <c r="B725" s="268"/>
      <c r="C725" s="268"/>
      <c r="D725" s="268"/>
      <c r="E725" s="268"/>
      <c r="F725" s="268"/>
      <c r="G725" s="268"/>
      <c r="H725" s="268"/>
      <c r="I725" s="268"/>
      <c r="J725" s="268"/>
      <c r="K725" s="268"/>
      <c r="L725" s="309"/>
      <c r="M725" s="268"/>
      <c r="N725" s="268"/>
      <c r="O725" s="310"/>
      <c r="P725" s="268"/>
      <c r="Q725" s="309"/>
      <c r="R725" s="268"/>
      <c r="S725" s="313"/>
      <c r="T725" s="313"/>
      <c r="U725" s="268"/>
      <c r="V725" s="309"/>
      <c r="W725" s="310"/>
      <c r="X725" s="268"/>
      <c r="Y725" s="268"/>
      <c r="Z725" s="268"/>
      <c r="AA725" s="268"/>
      <c r="AB725" s="268"/>
      <c r="AC725" s="268"/>
    </row>
    <row r="726" spans="1:29" ht="24.75" customHeight="1">
      <c r="A726" s="268"/>
      <c r="B726" s="268"/>
      <c r="C726" s="268"/>
      <c r="D726" s="268"/>
      <c r="E726" s="268"/>
      <c r="F726" s="268"/>
      <c r="G726" s="268"/>
      <c r="H726" s="268"/>
      <c r="I726" s="268"/>
      <c r="J726" s="268"/>
      <c r="K726" s="268"/>
      <c r="L726" s="309"/>
      <c r="M726" s="268"/>
      <c r="N726" s="268"/>
      <c r="O726" s="310"/>
      <c r="P726" s="268"/>
      <c r="Q726" s="309"/>
      <c r="R726" s="268"/>
      <c r="S726" s="313"/>
      <c r="T726" s="313"/>
      <c r="U726" s="268"/>
      <c r="V726" s="309"/>
      <c r="W726" s="310"/>
      <c r="X726" s="268"/>
      <c r="Y726" s="268"/>
      <c r="Z726" s="268"/>
      <c r="AA726" s="268"/>
      <c r="AB726" s="268"/>
      <c r="AC726" s="268"/>
    </row>
    <row r="727" spans="1:29" ht="24.75" customHeight="1">
      <c r="A727" s="268"/>
      <c r="B727" s="268"/>
      <c r="C727" s="268"/>
      <c r="D727" s="268"/>
      <c r="E727" s="268"/>
      <c r="F727" s="268"/>
      <c r="G727" s="268"/>
      <c r="H727" s="268"/>
      <c r="I727" s="268"/>
      <c r="J727" s="268"/>
      <c r="K727" s="268"/>
      <c r="L727" s="309"/>
      <c r="M727" s="268"/>
      <c r="N727" s="268"/>
      <c r="O727" s="310"/>
      <c r="P727" s="268"/>
      <c r="Q727" s="309"/>
      <c r="R727" s="268"/>
      <c r="S727" s="313"/>
      <c r="T727" s="313"/>
      <c r="U727" s="268"/>
      <c r="V727" s="309"/>
      <c r="W727" s="310"/>
      <c r="X727" s="268"/>
      <c r="Y727" s="268"/>
      <c r="Z727" s="268"/>
      <c r="AA727" s="268"/>
      <c r="AB727" s="268"/>
      <c r="AC727" s="268"/>
    </row>
    <row r="728" spans="1:29" ht="24.75" customHeight="1">
      <c r="A728" s="268"/>
      <c r="B728" s="268"/>
      <c r="C728" s="268"/>
      <c r="D728" s="268"/>
      <c r="E728" s="268"/>
      <c r="F728" s="268"/>
      <c r="G728" s="268"/>
      <c r="H728" s="268"/>
      <c r="I728" s="268"/>
      <c r="J728" s="268"/>
      <c r="K728" s="268"/>
      <c r="L728" s="309"/>
      <c r="M728" s="268"/>
      <c r="N728" s="268"/>
      <c r="O728" s="310"/>
      <c r="P728" s="268"/>
      <c r="Q728" s="309"/>
      <c r="R728" s="268"/>
      <c r="S728" s="313"/>
      <c r="T728" s="313"/>
      <c r="U728" s="268"/>
      <c r="V728" s="309"/>
      <c r="W728" s="310"/>
      <c r="X728" s="268"/>
      <c r="Y728" s="268"/>
      <c r="Z728" s="268"/>
      <c r="AA728" s="268"/>
      <c r="AB728" s="268"/>
      <c r="AC728" s="268"/>
    </row>
    <row r="729" spans="1:29" ht="24.75" customHeight="1">
      <c r="A729" s="268"/>
      <c r="B729" s="268"/>
      <c r="C729" s="268"/>
      <c r="D729" s="268"/>
      <c r="E729" s="268"/>
      <c r="F729" s="268"/>
      <c r="G729" s="268"/>
      <c r="H729" s="268"/>
      <c r="I729" s="268"/>
      <c r="J729" s="268"/>
      <c r="K729" s="268"/>
      <c r="L729" s="309"/>
      <c r="M729" s="268"/>
      <c r="N729" s="268"/>
      <c r="O729" s="310"/>
      <c r="P729" s="268"/>
      <c r="Q729" s="309"/>
      <c r="R729" s="268"/>
      <c r="S729" s="313"/>
      <c r="T729" s="313"/>
      <c r="U729" s="268"/>
      <c r="V729" s="309"/>
      <c r="W729" s="310"/>
      <c r="X729" s="268"/>
      <c r="Y729" s="268"/>
      <c r="Z729" s="268"/>
      <c r="AA729" s="268"/>
      <c r="AB729" s="268"/>
      <c r="AC729" s="268"/>
    </row>
    <row r="730" spans="1:29" ht="24.75" customHeight="1">
      <c r="A730" s="268"/>
      <c r="B730" s="268"/>
      <c r="C730" s="268"/>
      <c r="D730" s="268"/>
      <c r="E730" s="268"/>
      <c r="F730" s="268"/>
      <c r="G730" s="268"/>
      <c r="H730" s="268"/>
      <c r="I730" s="268"/>
      <c r="J730" s="268"/>
      <c r="K730" s="268"/>
      <c r="L730" s="309"/>
      <c r="M730" s="268"/>
      <c r="N730" s="268"/>
      <c r="O730" s="310"/>
      <c r="P730" s="268"/>
      <c r="Q730" s="309"/>
      <c r="R730" s="268"/>
      <c r="S730" s="313"/>
      <c r="T730" s="313"/>
      <c r="U730" s="268"/>
      <c r="V730" s="309"/>
      <c r="W730" s="310"/>
      <c r="X730" s="268"/>
      <c r="Y730" s="268"/>
      <c r="Z730" s="268"/>
      <c r="AA730" s="268"/>
      <c r="AB730" s="268"/>
      <c r="AC730" s="268"/>
    </row>
    <row r="731" spans="1:29" ht="24.75" customHeight="1">
      <c r="A731" s="268"/>
      <c r="B731" s="268"/>
      <c r="C731" s="268"/>
      <c r="D731" s="268"/>
      <c r="E731" s="268"/>
      <c r="F731" s="268"/>
      <c r="G731" s="268"/>
      <c r="H731" s="268"/>
      <c r="I731" s="268"/>
      <c r="J731" s="268"/>
      <c r="K731" s="268"/>
      <c r="L731" s="309"/>
      <c r="M731" s="268"/>
      <c r="N731" s="268"/>
      <c r="O731" s="310"/>
      <c r="P731" s="268"/>
      <c r="Q731" s="309"/>
      <c r="R731" s="268"/>
      <c r="S731" s="313"/>
      <c r="T731" s="313"/>
      <c r="U731" s="268"/>
      <c r="V731" s="309"/>
      <c r="W731" s="310"/>
      <c r="X731" s="268"/>
      <c r="Y731" s="268"/>
      <c r="Z731" s="268"/>
      <c r="AA731" s="268"/>
      <c r="AB731" s="268"/>
      <c r="AC731" s="268"/>
    </row>
    <row r="732" spans="1:29" ht="24.75" customHeight="1">
      <c r="A732" s="268"/>
      <c r="B732" s="268"/>
      <c r="C732" s="268"/>
      <c r="D732" s="268"/>
      <c r="E732" s="268"/>
      <c r="F732" s="268"/>
      <c r="G732" s="268"/>
      <c r="H732" s="268"/>
      <c r="I732" s="268"/>
      <c r="J732" s="268"/>
      <c r="K732" s="268"/>
      <c r="L732" s="309"/>
      <c r="M732" s="268"/>
      <c r="N732" s="268"/>
      <c r="O732" s="310"/>
      <c r="P732" s="268"/>
      <c r="Q732" s="309"/>
      <c r="R732" s="268"/>
      <c r="S732" s="313"/>
      <c r="T732" s="313"/>
      <c r="U732" s="268"/>
      <c r="V732" s="309"/>
      <c r="W732" s="310"/>
      <c r="X732" s="268"/>
      <c r="Y732" s="268"/>
      <c r="Z732" s="268"/>
      <c r="AA732" s="268"/>
      <c r="AB732" s="268"/>
      <c r="AC732" s="268"/>
    </row>
    <row r="733" spans="1:29" ht="24.75" customHeight="1">
      <c r="A733" s="268"/>
      <c r="B733" s="268"/>
      <c r="C733" s="268"/>
      <c r="D733" s="268"/>
      <c r="E733" s="268"/>
      <c r="F733" s="268"/>
      <c r="G733" s="268"/>
      <c r="H733" s="268"/>
      <c r="I733" s="268"/>
      <c r="J733" s="268"/>
      <c r="K733" s="268"/>
      <c r="L733" s="309"/>
      <c r="M733" s="268"/>
      <c r="N733" s="268"/>
      <c r="O733" s="310"/>
      <c r="P733" s="268"/>
      <c r="Q733" s="309"/>
      <c r="R733" s="268"/>
      <c r="S733" s="313"/>
      <c r="T733" s="313"/>
      <c r="U733" s="268"/>
      <c r="V733" s="309"/>
      <c r="W733" s="310"/>
      <c r="X733" s="268"/>
      <c r="Y733" s="268"/>
      <c r="Z733" s="268"/>
      <c r="AA733" s="268"/>
      <c r="AB733" s="268"/>
      <c r="AC733" s="268"/>
    </row>
    <row r="734" spans="1:29" ht="24.75" customHeight="1">
      <c r="A734" s="268"/>
      <c r="B734" s="268"/>
      <c r="C734" s="268"/>
      <c r="D734" s="268"/>
      <c r="E734" s="268"/>
      <c r="F734" s="268"/>
      <c r="G734" s="268"/>
      <c r="H734" s="268"/>
      <c r="I734" s="268"/>
      <c r="J734" s="268"/>
      <c r="K734" s="268"/>
      <c r="L734" s="309"/>
      <c r="M734" s="268"/>
      <c r="N734" s="268"/>
      <c r="O734" s="310"/>
      <c r="P734" s="268"/>
      <c r="Q734" s="309"/>
      <c r="R734" s="268"/>
      <c r="S734" s="313"/>
      <c r="T734" s="313"/>
      <c r="U734" s="268"/>
      <c r="V734" s="309"/>
      <c r="W734" s="310"/>
      <c r="X734" s="268"/>
      <c r="Y734" s="268"/>
      <c r="Z734" s="268"/>
      <c r="AA734" s="268"/>
      <c r="AB734" s="268"/>
      <c r="AC734" s="268"/>
    </row>
    <row r="735" spans="1:29" ht="24.75" customHeight="1">
      <c r="A735" s="268"/>
      <c r="B735" s="268"/>
      <c r="C735" s="268"/>
      <c r="D735" s="268"/>
      <c r="E735" s="268"/>
      <c r="F735" s="268"/>
      <c r="G735" s="268"/>
      <c r="H735" s="268"/>
      <c r="I735" s="268"/>
      <c r="J735" s="268"/>
      <c r="K735" s="268"/>
      <c r="L735" s="309"/>
      <c r="M735" s="268"/>
      <c r="N735" s="268"/>
      <c r="O735" s="310"/>
      <c r="P735" s="268"/>
      <c r="Q735" s="309"/>
      <c r="R735" s="268"/>
      <c r="S735" s="313"/>
      <c r="T735" s="313"/>
      <c r="U735" s="268"/>
      <c r="V735" s="309"/>
      <c r="W735" s="310"/>
      <c r="X735" s="268"/>
      <c r="Y735" s="268"/>
      <c r="Z735" s="268"/>
      <c r="AA735" s="268"/>
      <c r="AB735" s="268"/>
      <c r="AC735" s="268"/>
    </row>
    <row r="736" spans="1:29" ht="24.75" customHeight="1">
      <c r="A736" s="268"/>
      <c r="B736" s="268"/>
      <c r="C736" s="268"/>
      <c r="D736" s="268"/>
      <c r="E736" s="268"/>
      <c r="F736" s="268"/>
      <c r="G736" s="268"/>
      <c r="H736" s="268"/>
      <c r="I736" s="268"/>
      <c r="J736" s="268"/>
      <c r="K736" s="268"/>
      <c r="L736" s="309"/>
      <c r="M736" s="268"/>
      <c r="N736" s="268"/>
      <c r="O736" s="310"/>
      <c r="P736" s="268"/>
      <c r="Q736" s="309"/>
      <c r="R736" s="268"/>
      <c r="S736" s="313"/>
      <c r="T736" s="313"/>
      <c r="U736" s="268"/>
      <c r="V736" s="309"/>
      <c r="W736" s="310"/>
      <c r="X736" s="268"/>
      <c r="Y736" s="268"/>
      <c r="Z736" s="268"/>
      <c r="AA736" s="268"/>
      <c r="AB736" s="268"/>
      <c r="AC736" s="268"/>
    </row>
    <row r="737" spans="1:29" ht="24.75" customHeight="1">
      <c r="A737" s="268"/>
      <c r="B737" s="268"/>
      <c r="C737" s="268"/>
      <c r="D737" s="268"/>
      <c r="E737" s="268"/>
      <c r="F737" s="268"/>
      <c r="G737" s="268"/>
      <c r="H737" s="268"/>
      <c r="I737" s="268"/>
      <c r="J737" s="268"/>
      <c r="K737" s="268"/>
      <c r="L737" s="309"/>
      <c r="M737" s="268"/>
      <c r="N737" s="268"/>
      <c r="O737" s="310"/>
      <c r="P737" s="268"/>
      <c r="Q737" s="309"/>
      <c r="R737" s="268"/>
      <c r="S737" s="313"/>
      <c r="T737" s="313"/>
      <c r="U737" s="268"/>
      <c r="V737" s="309"/>
      <c r="W737" s="310"/>
      <c r="X737" s="268"/>
      <c r="Y737" s="268"/>
      <c r="Z737" s="268"/>
      <c r="AA737" s="268"/>
      <c r="AB737" s="268"/>
      <c r="AC737" s="268"/>
    </row>
    <row r="738" spans="1:29" ht="24.75" customHeight="1">
      <c r="A738" s="268"/>
      <c r="B738" s="268"/>
      <c r="C738" s="268"/>
      <c r="D738" s="268"/>
      <c r="E738" s="268"/>
      <c r="F738" s="268"/>
      <c r="G738" s="268"/>
      <c r="H738" s="268"/>
      <c r="I738" s="268"/>
      <c r="J738" s="268"/>
      <c r="K738" s="268"/>
      <c r="L738" s="309"/>
      <c r="M738" s="268"/>
      <c r="N738" s="268"/>
      <c r="O738" s="310"/>
      <c r="P738" s="268"/>
      <c r="Q738" s="309"/>
      <c r="R738" s="268"/>
      <c r="S738" s="313"/>
      <c r="T738" s="313"/>
      <c r="U738" s="268"/>
      <c r="V738" s="309"/>
      <c r="W738" s="310"/>
      <c r="X738" s="268"/>
      <c r="Y738" s="268"/>
      <c r="Z738" s="268"/>
      <c r="AA738" s="268"/>
      <c r="AB738" s="268"/>
      <c r="AC738" s="268"/>
    </row>
    <row r="739" spans="1:29" ht="24.75" customHeight="1">
      <c r="A739" s="268"/>
      <c r="B739" s="268"/>
      <c r="C739" s="268"/>
      <c r="D739" s="268"/>
      <c r="E739" s="268"/>
      <c r="F739" s="268"/>
      <c r="G739" s="268"/>
      <c r="H739" s="268"/>
      <c r="I739" s="268"/>
      <c r="J739" s="268"/>
      <c r="K739" s="268"/>
      <c r="L739" s="309"/>
      <c r="M739" s="268"/>
      <c r="N739" s="268"/>
      <c r="O739" s="310"/>
      <c r="P739" s="268"/>
      <c r="Q739" s="309"/>
      <c r="R739" s="268"/>
      <c r="S739" s="313"/>
      <c r="T739" s="313"/>
      <c r="U739" s="268"/>
      <c r="V739" s="309"/>
      <c r="W739" s="310"/>
      <c r="X739" s="268"/>
      <c r="Y739" s="268"/>
      <c r="Z739" s="268"/>
      <c r="AA739" s="268"/>
      <c r="AB739" s="268"/>
      <c r="AC739" s="268"/>
    </row>
    <row r="740" spans="1:29" ht="24.75" customHeight="1">
      <c r="A740" s="268"/>
      <c r="B740" s="268"/>
      <c r="C740" s="268"/>
      <c r="D740" s="268"/>
      <c r="E740" s="268"/>
      <c r="F740" s="268"/>
      <c r="G740" s="268"/>
      <c r="H740" s="268"/>
      <c r="I740" s="268"/>
      <c r="J740" s="268"/>
      <c r="K740" s="268"/>
      <c r="L740" s="309"/>
      <c r="M740" s="268"/>
      <c r="N740" s="268"/>
      <c r="O740" s="310"/>
      <c r="P740" s="268"/>
      <c r="Q740" s="309"/>
      <c r="R740" s="268"/>
      <c r="S740" s="313"/>
      <c r="T740" s="313"/>
      <c r="U740" s="268"/>
      <c r="V740" s="309"/>
      <c r="W740" s="310"/>
      <c r="X740" s="268"/>
      <c r="Y740" s="268"/>
      <c r="Z740" s="268"/>
      <c r="AA740" s="268"/>
      <c r="AB740" s="268"/>
      <c r="AC740" s="268"/>
    </row>
    <row r="741" spans="1:29" ht="24.75" customHeight="1">
      <c r="A741" s="268"/>
      <c r="B741" s="268"/>
      <c r="C741" s="268"/>
      <c r="D741" s="268"/>
      <c r="E741" s="268"/>
      <c r="F741" s="268"/>
      <c r="G741" s="268"/>
      <c r="H741" s="268"/>
      <c r="I741" s="268"/>
      <c r="J741" s="268"/>
      <c r="K741" s="268"/>
      <c r="L741" s="309"/>
      <c r="M741" s="268"/>
      <c r="N741" s="268"/>
      <c r="O741" s="310"/>
      <c r="P741" s="268"/>
      <c r="Q741" s="309"/>
      <c r="R741" s="268"/>
      <c r="S741" s="313"/>
      <c r="T741" s="313"/>
      <c r="U741" s="268"/>
      <c r="V741" s="309"/>
      <c r="W741" s="310"/>
      <c r="X741" s="268"/>
      <c r="Y741" s="268"/>
      <c r="Z741" s="268"/>
      <c r="AA741" s="268"/>
      <c r="AB741" s="268"/>
      <c r="AC741" s="268"/>
    </row>
    <row r="742" spans="1:29" ht="24.75" customHeight="1">
      <c r="A742" s="268"/>
      <c r="B742" s="268"/>
      <c r="C742" s="268"/>
      <c r="D742" s="268"/>
      <c r="E742" s="268"/>
      <c r="F742" s="268"/>
      <c r="G742" s="268"/>
      <c r="H742" s="268"/>
      <c r="I742" s="268"/>
      <c r="J742" s="268"/>
      <c r="K742" s="268"/>
      <c r="L742" s="309"/>
      <c r="M742" s="268"/>
      <c r="N742" s="268"/>
      <c r="O742" s="310"/>
      <c r="P742" s="268"/>
      <c r="Q742" s="309"/>
      <c r="R742" s="268"/>
      <c r="S742" s="313"/>
      <c r="T742" s="313"/>
      <c r="U742" s="268"/>
      <c r="V742" s="309"/>
      <c r="W742" s="310"/>
      <c r="X742" s="268"/>
      <c r="Y742" s="268"/>
      <c r="Z742" s="268"/>
      <c r="AA742" s="268"/>
      <c r="AB742" s="268"/>
      <c r="AC742" s="268"/>
    </row>
    <row r="743" spans="1:29" ht="24.75" customHeight="1">
      <c r="A743" s="268"/>
      <c r="B743" s="268"/>
      <c r="C743" s="268"/>
      <c r="D743" s="268"/>
      <c r="E743" s="268"/>
      <c r="F743" s="268"/>
      <c r="G743" s="268"/>
      <c r="H743" s="268"/>
      <c r="I743" s="268"/>
      <c r="J743" s="268"/>
      <c r="K743" s="268"/>
      <c r="L743" s="309"/>
      <c r="M743" s="268"/>
      <c r="N743" s="268"/>
      <c r="O743" s="310"/>
      <c r="P743" s="268"/>
      <c r="Q743" s="309"/>
      <c r="R743" s="268"/>
      <c r="S743" s="313"/>
      <c r="T743" s="313"/>
      <c r="U743" s="268"/>
      <c r="V743" s="309"/>
      <c r="W743" s="310"/>
      <c r="X743" s="268"/>
      <c r="Y743" s="268"/>
      <c r="Z743" s="268"/>
      <c r="AA743" s="268"/>
      <c r="AB743" s="268"/>
      <c r="AC743" s="268"/>
    </row>
    <row r="744" spans="1:29" ht="24.75" customHeight="1">
      <c r="A744" s="268"/>
      <c r="B744" s="268"/>
      <c r="C744" s="268"/>
      <c r="D744" s="268"/>
      <c r="E744" s="268"/>
      <c r="F744" s="268"/>
      <c r="G744" s="268"/>
      <c r="H744" s="268"/>
      <c r="I744" s="268"/>
      <c r="J744" s="268"/>
      <c r="K744" s="268"/>
      <c r="L744" s="309"/>
      <c r="M744" s="268"/>
      <c r="N744" s="268"/>
      <c r="O744" s="310"/>
      <c r="P744" s="268"/>
      <c r="Q744" s="309"/>
      <c r="R744" s="268"/>
      <c r="S744" s="313"/>
      <c r="T744" s="313"/>
      <c r="U744" s="268"/>
      <c r="V744" s="309"/>
      <c r="W744" s="310"/>
      <c r="X744" s="268"/>
      <c r="Y744" s="268"/>
      <c r="Z744" s="268"/>
      <c r="AA744" s="268"/>
      <c r="AB744" s="268"/>
      <c r="AC744" s="268"/>
    </row>
    <row r="745" spans="1:29" ht="24.75" customHeight="1">
      <c r="A745" s="268"/>
      <c r="B745" s="268"/>
      <c r="C745" s="268"/>
      <c r="D745" s="268"/>
      <c r="E745" s="268"/>
      <c r="F745" s="268"/>
      <c r="G745" s="268"/>
      <c r="H745" s="268"/>
      <c r="I745" s="268"/>
      <c r="J745" s="268"/>
      <c r="K745" s="268"/>
      <c r="L745" s="309"/>
      <c r="M745" s="268"/>
      <c r="N745" s="268"/>
      <c r="O745" s="310"/>
      <c r="P745" s="268"/>
      <c r="Q745" s="309"/>
      <c r="R745" s="268"/>
      <c r="S745" s="313"/>
      <c r="T745" s="313"/>
      <c r="U745" s="268"/>
      <c r="V745" s="309"/>
      <c r="W745" s="310"/>
      <c r="X745" s="268"/>
      <c r="Y745" s="268"/>
      <c r="Z745" s="268"/>
      <c r="AA745" s="268"/>
      <c r="AB745" s="268"/>
      <c r="AC745" s="268"/>
    </row>
    <row r="746" spans="1:29" ht="24.75" customHeight="1">
      <c r="A746" s="268"/>
      <c r="B746" s="268"/>
      <c r="C746" s="268"/>
      <c r="D746" s="268"/>
      <c r="E746" s="268"/>
      <c r="F746" s="268"/>
      <c r="G746" s="268"/>
      <c r="H746" s="268"/>
      <c r="I746" s="268"/>
      <c r="J746" s="268"/>
      <c r="K746" s="268"/>
      <c r="L746" s="309"/>
      <c r="M746" s="268"/>
      <c r="N746" s="268"/>
      <c r="O746" s="310"/>
      <c r="P746" s="268"/>
      <c r="Q746" s="309"/>
      <c r="R746" s="268"/>
      <c r="S746" s="313"/>
      <c r="T746" s="313"/>
      <c r="U746" s="268"/>
      <c r="V746" s="309"/>
      <c r="W746" s="310"/>
      <c r="X746" s="268"/>
      <c r="Y746" s="268"/>
      <c r="Z746" s="268"/>
      <c r="AA746" s="268"/>
      <c r="AB746" s="268"/>
      <c r="AC746" s="268"/>
    </row>
    <row r="747" spans="1:29" ht="24.75" customHeight="1">
      <c r="A747" s="268"/>
      <c r="B747" s="268"/>
      <c r="C747" s="268"/>
      <c r="D747" s="268"/>
      <c r="E747" s="268"/>
      <c r="F747" s="268"/>
      <c r="G747" s="268"/>
      <c r="H747" s="268"/>
      <c r="I747" s="268"/>
      <c r="J747" s="268"/>
      <c r="K747" s="268"/>
      <c r="L747" s="309"/>
      <c r="M747" s="268"/>
      <c r="N747" s="268"/>
      <c r="O747" s="310"/>
      <c r="P747" s="268"/>
      <c r="Q747" s="309"/>
      <c r="R747" s="268"/>
      <c r="S747" s="313"/>
      <c r="T747" s="313"/>
      <c r="U747" s="268"/>
      <c r="V747" s="309"/>
      <c r="W747" s="310"/>
      <c r="X747" s="268"/>
      <c r="Y747" s="268"/>
      <c r="Z747" s="268"/>
      <c r="AA747" s="268"/>
      <c r="AB747" s="268"/>
      <c r="AC747" s="268"/>
    </row>
    <row r="748" spans="1:29" ht="24.75" customHeight="1">
      <c r="A748" s="268"/>
      <c r="B748" s="268"/>
      <c r="C748" s="268"/>
      <c r="D748" s="268"/>
      <c r="E748" s="268"/>
      <c r="F748" s="268"/>
      <c r="G748" s="268"/>
      <c r="H748" s="268"/>
      <c r="I748" s="268"/>
      <c r="J748" s="268"/>
      <c r="K748" s="268"/>
      <c r="L748" s="309"/>
      <c r="M748" s="268"/>
      <c r="N748" s="268"/>
      <c r="O748" s="310"/>
      <c r="P748" s="268"/>
      <c r="Q748" s="309"/>
      <c r="R748" s="268"/>
      <c r="S748" s="313"/>
      <c r="T748" s="313"/>
      <c r="U748" s="268"/>
      <c r="V748" s="309"/>
      <c r="W748" s="310"/>
      <c r="X748" s="268"/>
      <c r="Y748" s="268"/>
      <c r="Z748" s="268"/>
      <c r="AA748" s="268"/>
      <c r="AB748" s="268"/>
      <c r="AC748" s="268"/>
    </row>
    <row r="749" spans="1:29" ht="24.75" customHeight="1">
      <c r="A749" s="268"/>
      <c r="B749" s="268"/>
      <c r="C749" s="268"/>
      <c r="D749" s="268"/>
      <c r="E749" s="268"/>
      <c r="F749" s="268"/>
      <c r="G749" s="268"/>
      <c r="H749" s="268"/>
      <c r="I749" s="268"/>
      <c r="J749" s="268"/>
      <c r="K749" s="268"/>
      <c r="L749" s="309"/>
      <c r="M749" s="268"/>
      <c r="N749" s="268"/>
      <c r="O749" s="310"/>
      <c r="P749" s="268"/>
      <c r="Q749" s="309"/>
      <c r="R749" s="268"/>
      <c r="S749" s="313"/>
      <c r="T749" s="313"/>
      <c r="U749" s="268"/>
      <c r="V749" s="309"/>
      <c r="W749" s="310"/>
      <c r="X749" s="268"/>
      <c r="Y749" s="268"/>
      <c r="Z749" s="268"/>
      <c r="AA749" s="268"/>
      <c r="AB749" s="268"/>
      <c r="AC749" s="268"/>
    </row>
    <row r="750" spans="1:29" ht="24.75" customHeight="1">
      <c r="A750" s="268"/>
      <c r="B750" s="268"/>
      <c r="C750" s="268"/>
      <c r="D750" s="268"/>
      <c r="E750" s="268"/>
      <c r="F750" s="268"/>
      <c r="G750" s="268"/>
      <c r="H750" s="268"/>
      <c r="I750" s="268"/>
      <c r="J750" s="268"/>
      <c r="K750" s="268"/>
      <c r="L750" s="309"/>
      <c r="M750" s="268"/>
      <c r="N750" s="268"/>
      <c r="O750" s="310"/>
      <c r="P750" s="268"/>
      <c r="Q750" s="309"/>
      <c r="R750" s="268"/>
      <c r="S750" s="313"/>
      <c r="T750" s="313"/>
      <c r="U750" s="268"/>
      <c r="V750" s="309"/>
      <c r="W750" s="310"/>
      <c r="X750" s="268"/>
      <c r="Y750" s="268"/>
      <c r="Z750" s="268"/>
      <c r="AA750" s="268"/>
      <c r="AB750" s="268"/>
      <c r="AC750" s="268"/>
    </row>
    <row r="751" spans="1:29" ht="24.75" customHeight="1">
      <c r="A751" s="268"/>
      <c r="B751" s="268"/>
      <c r="C751" s="268"/>
      <c r="D751" s="268"/>
      <c r="E751" s="268"/>
      <c r="F751" s="268"/>
      <c r="G751" s="268"/>
      <c r="H751" s="268"/>
      <c r="I751" s="268"/>
      <c r="J751" s="268"/>
      <c r="K751" s="268"/>
      <c r="L751" s="309"/>
      <c r="M751" s="268"/>
      <c r="N751" s="268"/>
      <c r="O751" s="310"/>
      <c r="P751" s="268"/>
      <c r="Q751" s="309"/>
      <c r="R751" s="268"/>
      <c r="S751" s="313"/>
      <c r="T751" s="313"/>
      <c r="U751" s="268"/>
      <c r="V751" s="309"/>
      <c r="W751" s="310"/>
      <c r="X751" s="268"/>
      <c r="Y751" s="268"/>
      <c r="Z751" s="268"/>
      <c r="AA751" s="268"/>
      <c r="AB751" s="268"/>
      <c r="AC751" s="268"/>
    </row>
    <row r="752" spans="1:29" ht="24.75" customHeight="1">
      <c r="A752" s="268"/>
      <c r="B752" s="268"/>
      <c r="C752" s="268"/>
      <c r="D752" s="268"/>
      <c r="E752" s="268"/>
      <c r="F752" s="268"/>
      <c r="G752" s="268"/>
      <c r="H752" s="268"/>
      <c r="I752" s="268"/>
      <c r="J752" s="268"/>
      <c r="K752" s="268"/>
      <c r="L752" s="309"/>
      <c r="M752" s="268"/>
      <c r="N752" s="268"/>
      <c r="O752" s="310"/>
      <c r="P752" s="268"/>
      <c r="Q752" s="309"/>
      <c r="R752" s="268"/>
      <c r="S752" s="313"/>
      <c r="T752" s="313"/>
      <c r="U752" s="268"/>
      <c r="V752" s="309"/>
      <c r="W752" s="310"/>
      <c r="X752" s="268"/>
      <c r="Y752" s="268"/>
      <c r="Z752" s="268"/>
      <c r="AA752" s="268"/>
      <c r="AB752" s="268"/>
      <c r="AC752" s="268"/>
    </row>
    <row r="753" spans="1:29" ht="24.75" customHeight="1">
      <c r="A753" s="268"/>
      <c r="B753" s="268"/>
      <c r="C753" s="268"/>
      <c r="D753" s="268"/>
      <c r="E753" s="268"/>
      <c r="F753" s="268"/>
      <c r="G753" s="268"/>
      <c r="H753" s="268"/>
      <c r="I753" s="268"/>
      <c r="J753" s="268"/>
      <c r="K753" s="268"/>
      <c r="L753" s="309"/>
      <c r="M753" s="268"/>
      <c r="N753" s="268"/>
      <c r="O753" s="310"/>
      <c r="P753" s="268"/>
      <c r="Q753" s="309"/>
      <c r="R753" s="268"/>
      <c r="S753" s="313"/>
      <c r="T753" s="313"/>
      <c r="U753" s="268"/>
      <c r="V753" s="309"/>
      <c r="W753" s="310"/>
      <c r="X753" s="268"/>
      <c r="Y753" s="268"/>
      <c r="Z753" s="268"/>
      <c r="AA753" s="268"/>
      <c r="AB753" s="268"/>
      <c r="AC753" s="268"/>
    </row>
    <row r="754" spans="1:29" ht="24.75" customHeight="1">
      <c r="A754" s="268"/>
      <c r="B754" s="268"/>
      <c r="C754" s="268"/>
      <c r="D754" s="268"/>
      <c r="E754" s="268"/>
      <c r="F754" s="268"/>
      <c r="G754" s="268"/>
      <c r="H754" s="268"/>
      <c r="I754" s="268"/>
      <c r="J754" s="268"/>
      <c r="K754" s="268"/>
      <c r="L754" s="309"/>
      <c r="M754" s="268"/>
      <c r="N754" s="268"/>
      <c r="O754" s="310"/>
      <c r="P754" s="268"/>
      <c r="Q754" s="309"/>
      <c r="R754" s="268"/>
      <c r="S754" s="313"/>
      <c r="T754" s="313"/>
      <c r="U754" s="268"/>
      <c r="V754" s="309"/>
      <c r="W754" s="310"/>
      <c r="X754" s="268"/>
      <c r="Y754" s="268"/>
      <c r="Z754" s="268"/>
      <c r="AA754" s="268"/>
      <c r="AB754" s="268"/>
      <c r="AC754" s="268"/>
    </row>
    <row r="755" spans="1:29" ht="24.75" customHeight="1">
      <c r="A755" s="268"/>
      <c r="B755" s="268"/>
      <c r="C755" s="268"/>
      <c r="D755" s="268"/>
      <c r="E755" s="268"/>
      <c r="F755" s="268"/>
      <c r="G755" s="268"/>
      <c r="H755" s="268"/>
      <c r="I755" s="268"/>
      <c r="J755" s="268"/>
      <c r="K755" s="268"/>
      <c r="L755" s="309"/>
      <c r="M755" s="268"/>
      <c r="N755" s="268"/>
      <c r="O755" s="310"/>
      <c r="P755" s="268"/>
      <c r="Q755" s="309"/>
      <c r="R755" s="268"/>
      <c r="S755" s="313"/>
      <c r="T755" s="313"/>
      <c r="U755" s="268"/>
      <c r="V755" s="309"/>
      <c r="W755" s="310"/>
      <c r="X755" s="268"/>
      <c r="Y755" s="268"/>
      <c r="Z755" s="268"/>
      <c r="AA755" s="268"/>
      <c r="AB755" s="268"/>
      <c r="AC755" s="268"/>
    </row>
    <row r="756" spans="1:29" ht="24.75" customHeight="1">
      <c r="A756" s="268"/>
      <c r="B756" s="268"/>
      <c r="C756" s="268"/>
      <c r="D756" s="268"/>
      <c r="E756" s="268"/>
      <c r="F756" s="268"/>
      <c r="G756" s="268"/>
      <c r="H756" s="268"/>
      <c r="I756" s="268"/>
      <c r="J756" s="268"/>
      <c r="K756" s="268"/>
      <c r="L756" s="309"/>
      <c r="M756" s="268"/>
      <c r="N756" s="268"/>
      <c r="O756" s="310"/>
      <c r="P756" s="268"/>
      <c r="Q756" s="309"/>
      <c r="R756" s="268"/>
      <c r="S756" s="313"/>
      <c r="T756" s="313"/>
      <c r="U756" s="268"/>
      <c r="V756" s="309"/>
      <c r="W756" s="310"/>
      <c r="X756" s="268"/>
      <c r="Y756" s="268"/>
      <c r="Z756" s="268"/>
      <c r="AA756" s="268"/>
      <c r="AB756" s="268"/>
      <c r="AC756" s="268"/>
    </row>
    <row r="757" spans="1:29" ht="24.75" customHeight="1">
      <c r="A757" s="268"/>
      <c r="B757" s="268"/>
      <c r="C757" s="268"/>
      <c r="D757" s="268"/>
      <c r="E757" s="268"/>
      <c r="F757" s="268"/>
      <c r="G757" s="268"/>
      <c r="H757" s="268"/>
      <c r="I757" s="268"/>
      <c r="J757" s="268"/>
      <c r="K757" s="268"/>
      <c r="L757" s="309"/>
      <c r="M757" s="268"/>
      <c r="N757" s="268"/>
      <c r="O757" s="310"/>
      <c r="P757" s="268"/>
      <c r="Q757" s="309"/>
      <c r="R757" s="268"/>
      <c r="S757" s="313"/>
      <c r="T757" s="313"/>
      <c r="U757" s="268"/>
      <c r="V757" s="309"/>
      <c r="W757" s="310"/>
      <c r="X757" s="268"/>
      <c r="Y757" s="268"/>
      <c r="Z757" s="268"/>
      <c r="AA757" s="268"/>
      <c r="AB757" s="268"/>
      <c r="AC757" s="268"/>
    </row>
    <row r="758" spans="1:29" ht="24.75" customHeight="1">
      <c r="A758" s="268"/>
      <c r="B758" s="268"/>
      <c r="C758" s="268"/>
      <c r="D758" s="268"/>
      <c r="E758" s="268"/>
      <c r="F758" s="268"/>
      <c r="G758" s="268"/>
      <c r="H758" s="268"/>
      <c r="I758" s="268"/>
      <c r="J758" s="268"/>
      <c r="K758" s="268"/>
      <c r="L758" s="309"/>
      <c r="M758" s="268"/>
      <c r="N758" s="268"/>
      <c r="O758" s="310"/>
      <c r="P758" s="268"/>
      <c r="Q758" s="309"/>
      <c r="R758" s="268"/>
      <c r="S758" s="313"/>
      <c r="T758" s="313"/>
      <c r="U758" s="268"/>
      <c r="V758" s="309"/>
      <c r="W758" s="310"/>
      <c r="X758" s="268"/>
      <c r="Y758" s="268"/>
      <c r="Z758" s="268"/>
      <c r="AA758" s="268"/>
      <c r="AB758" s="268"/>
      <c r="AC758" s="268"/>
    </row>
    <row r="759" spans="1:29" ht="24.75" customHeight="1">
      <c r="A759" s="268"/>
      <c r="B759" s="268"/>
      <c r="C759" s="268"/>
      <c r="D759" s="268"/>
      <c r="E759" s="268"/>
      <c r="F759" s="268"/>
      <c r="G759" s="268"/>
      <c r="H759" s="268"/>
      <c r="I759" s="268"/>
      <c r="J759" s="268"/>
      <c r="K759" s="268"/>
      <c r="L759" s="309"/>
      <c r="M759" s="268"/>
      <c r="N759" s="268"/>
      <c r="O759" s="310"/>
      <c r="P759" s="268"/>
      <c r="Q759" s="309"/>
      <c r="R759" s="268"/>
      <c r="S759" s="313"/>
      <c r="T759" s="313"/>
      <c r="U759" s="268"/>
      <c r="V759" s="309"/>
      <c r="W759" s="310"/>
      <c r="X759" s="268"/>
      <c r="Y759" s="268"/>
      <c r="Z759" s="268"/>
      <c r="AA759" s="268"/>
      <c r="AB759" s="268"/>
      <c r="AC759" s="268"/>
    </row>
    <row r="760" spans="1:29" ht="24.75" customHeight="1">
      <c r="A760" s="268"/>
      <c r="B760" s="268"/>
      <c r="C760" s="268"/>
      <c r="D760" s="268"/>
      <c r="E760" s="268"/>
      <c r="F760" s="268"/>
      <c r="G760" s="268"/>
      <c r="H760" s="268"/>
      <c r="I760" s="268"/>
      <c r="J760" s="268"/>
      <c r="K760" s="268"/>
      <c r="L760" s="309"/>
      <c r="M760" s="268"/>
      <c r="N760" s="268"/>
      <c r="O760" s="310"/>
      <c r="P760" s="268"/>
      <c r="Q760" s="309"/>
      <c r="R760" s="268"/>
      <c r="S760" s="313"/>
      <c r="T760" s="313"/>
      <c r="U760" s="268"/>
      <c r="V760" s="309"/>
      <c r="W760" s="310"/>
      <c r="X760" s="268"/>
      <c r="Y760" s="268"/>
      <c r="Z760" s="268"/>
      <c r="AA760" s="268"/>
      <c r="AB760" s="268"/>
      <c r="AC760" s="268"/>
    </row>
    <row r="761" spans="1:29" ht="24.75" customHeight="1">
      <c r="A761" s="268"/>
      <c r="B761" s="268"/>
      <c r="C761" s="268"/>
      <c r="D761" s="268"/>
      <c r="E761" s="268"/>
      <c r="F761" s="268"/>
      <c r="G761" s="268"/>
      <c r="H761" s="268"/>
      <c r="I761" s="268"/>
      <c r="J761" s="268"/>
      <c r="K761" s="268"/>
      <c r="L761" s="309"/>
      <c r="M761" s="268"/>
      <c r="N761" s="268"/>
      <c r="O761" s="310"/>
      <c r="P761" s="268"/>
      <c r="Q761" s="309"/>
      <c r="R761" s="268"/>
      <c r="S761" s="313"/>
      <c r="T761" s="313"/>
      <c r="U761" s="268"/>
      <c r="V761" s="309"/>
      <c r="W761" s="310"/>
      <c r="X761" s="268"/>
      <c r="Y761" s="268"/>
      <c r="Z761" s="268"/>
      <c r="AA761" s="268"/>
      <c r="AB761" s="268"/>
      <c r="AC761" s="268"/>
    </row>
    <row r="762" spans="1:29" ht="24.75" customHeight="1">
      <c r="A762" s="268"/>
      <c r="B762" s="268"/>
      <c r="C762" s="268"/>
      <c r="D762" s="268"/>
      <c r="E762" s="268"/>
      <c r="F762" s="268"/>
      <c r="G762" s="268"/>
      <c r="H762" s="268"/>
      <c r="I762" s="268"/>
      <c r="J762" s="268"/>
      <c r="K762" s="268"/>
      <c r="L762" s="309"/>
      <c r="M762" s="268"/>
      <c r="N762" s="268"/>
      <c r="O762" s="310"/>
      <c r="P762" s="268"/>
      <c r="Q762" s="309"/>
      <c r="R762" s="268"/>
      <c r="S762" s="313"/>
      <c r="T762" s="313"/>
      <c r="U762" s="268"/>
      <c r="V762" s="309"/>
      <c r="W762" s="310"/>
      <c r="X762" s="268"/>
      <c r="Y762" s="268"/>
      <c r="Z762" s="268"/>
      <c r="AA762" s="268"/>
      <c r="AB762" s="268"/>
      <c r="AC762" s="268"/>
    </row>
    <row r="763" spans="1:29" ht="24.75" customHeight="1">
      <c r="A763" s="268"/>
      <c r="B763" s="268"/>
      <c r="C763" s="268"/>
      <c r="D763" s="268"/>
      <c r="E763" s="268"/>
      <c r="F763" s="268"/>
      <c r="G763" s="268"/>
      <c r="H763" s="268"/>
      <c r="I763" s="268"/>
      <c r="J763" s="268"/>
      <c r="K763" s="268"/>
      <c r="L763" s="309"/>
      <c r="M763" s="268"/>
      <c r="N763" s="268"/>
      <c r="O763" s="310"/>
      <c r="P763" s="268"/>
      <c r="Q763" s="309"/>
      <c r="R763" s="268"/>
      <c r="S763" s="313"/>
      <c r="T763" s="313"/>
      <c r="U763" s="268"/>
      <c r="V763" s="309"/>
      <c r="W763" s="310"/>
      <c r="X763" s="268"/>
      <c r="Y763" s="268"/>
      <c r="Z763" s="268"/>
      <c r="AA763" s="268"/>
      <c r="AB763" s="268"/>
      <c r="AC763" s="268"/>
    </row>
    <row r="764" spans="1:29" ht="24.75" customHeight="1">
      <c r="A764" s="268"/>
      <c r="B764" s="268"/>
      <c r="C764" s="268"/>
      <c r="D764" s="268"/>
      <c r="E764" s="268"/>
      <c r="F764" s="268"/>
      <c r="G764" s="268"/>
      <c r="H764" s="268"/>
      <c r="I764" s="268"/>
      <c r="J764" s="268"/>
      <c r="K764" s="268"/>
      <c r="L764" s="309"/>
      <c r="M764" s="268"/>
      <c r="N764" s="268"/>
      <c r="O764" s="310"/>
      <c r="P764" s="268"/>
      <c r="Q764" s="309"/>
      <c r="R764" s="268"/>
      <c r="S764" s="313"/>
      <c r="T764" s="313"/>
      <c r="U764" s="268"/>
      <c r="V764" s="309"/>
      <c r="W764" s="310"/>
      <c r="X764" s="268"/>
      <c r="Y764" s="268"/>
      <c r="Z764" s="268"/>
      <c r="AA764" s="268"/>
      <c r="AB764" s="268"/>
      <c r="AC764" s="268"/>
    </row>
    <row r="765" spans="1:29" ht="24.75" customHeight="1">
      <c r="A765" s="268"/>
      <c r="B765" s="268"/>
      <c r="C765" s="268"/>
      <c r="D765" s="268"/>
      <c r="E765" s="268"/>
      <c r="F765" s="268"/>
      <c r="G765" s="268"/>
      <c r="H765" s="268"/>
      <c r="I765" s="268"/>
      <c r="J765" s="268"/>
      <c r="K765" s="268"/>
      <c r="L765" s="309"/>
      <c r="M765" s="268"/>
      <c r="N765" s="268"/>
      <c r="O765" s="310"/>
      <c r="P765" s="268"/>
      <c r="Q765" s="309"/>
      <c r="R765" s="268"/>
      <c r="S765" s="313"/>
      <c r="T765" s="313"/>
      <c r="U765" s="268"/>
      <c r="V765" s="309"/>
      <c r="W765" s="310"/>
      <c r="X765" s="268"/>
      <c r="Y765" s="268"/>
      <c r="Z765" s="268"/>
      <c r="AA765" s="268"/>
      <c r="AB765" s="268"/>
      <c r="AC765" s="268"/>
    </row>
    <row r="766" spans="1:29" ht="24.75" customHeight="1">
      <c r="A766" s="268"/>
      <c r="B766" s="268"/>
      <c r="C766" s="268"/>
      <c r="D766" s="268"/>
      <c r="E766" s="268"/>
      <c r="F766" s="268"/>
      <c r="G766" s="268"/>
      <c r="H766" s="268"/>
      <c r="I766" s="268"/>
      <c r="J766" s="268"/>
      <c r="K766" s="268"/>
      <c r="L766" s="309"/>
      <c r="M766" s="268"/>
      <c r="N766" s="268"/>
      <c r="O766" s="310"/>
      <c r="P766" s="268"/>
      <c r="Q766" s="309"/>
      <c r="R766" s="268"/>
      <c r="S766" s="313"/>
      <c r="T766" s="313"/>
      <c r="U766" s="268"/>
      <c r="V766" s="309"/>
      <c r="W766" s="310"/>
      <c r="X766" s="268"/>
      <c r="Y766" s="268"/>
      <c r="Z766" s="268"/>
      <c r="AA766" s="268"/>
      <c r="AB766" s="268"/>
      <c r="AC766" s="268"/>
    </row>
    <row r="767" spans="1:29" ht="24.75" customHeight="1">
      <c r="A767" s="268"/>
      <c r="B767" s="268"/>
      <c r="C767" s="268"/>
      <c r="D767" s="268"/>
      <c r="E767" s="268"/>
      <c r="F767" s="268"/>
      <c r="G767" s="268"/>
      <c r="H767" s="268"/>
      <c r="I767" s="268"/>
      <c r="J767" s="268"/>
      <c r="K767" s="268"/>
      <c r="L767" s="309"/>
      <c r="M767" s="268"/>
      <c r="N767" s="268"/>
      <c r="O767" s="310"/>
      <c r="P767" s="268"/>
      <c r="Q767" s="309"/>
      <c r="R767" s="268"/>
      <c r="S767" s="313"/>
      <c r="T767" s="313"/>
      <c r="U767" s="268"/>
      <c r="V767" s="309"/>
      <c r="W767" s="310"/>
      <c r="X767" s="268"/>
      <c r="Y767" s="268"/>
      <c r="Z767" s="268"/>
      <c r="AA767" s="268"/>
      <c r="AB767" s="268"/>
      <c r="AC767" s="268"/>
    </row>
    <row r="768" spans="1:29" ht="24.75" customHeight="1">
      <c r="A768" s="268"/>
      <c r="B768" s="268"/>
      <c r="C768" s="268"/>
      <c r="D768" s="268"/>
      <c r="E768" s="268"/>
      <c r="F768" s="268"/>
      <c r="G768" s="268"/>
      <c r="H768" s="268"/>
      <c r="I768" s="268"/>
      <c r="J768" s="268"/>
      <c r="K768" s="268"/>
      <c r="L768" s="309"/>
      <c r="M768" s="268"/>
      <c r="N768" s="268"/>
      <c r="O768" s="310"/>
      <c r="P768" s="268"/>
      <c r="Q768" s="309"/>
      <c r="R768" s="268"/>
      <c r="S768" s="313"/>
      <c r="T768" s="313"/>
      <c r="U768" s="268"/>
      <c r="V768" s="309"/>
      <c r="W768" s="310"/>
      <c r="X768" s="268"/>
      <c r="Y768" s="268"/>
      <c r="Z768" s="268"/>
      <c r="AA768" s="268"/>
      <c r="AB768" s="268"/>
      <c r="AC768" s="268"/>
    </row>
    <row r="769" spans="1:29" ht="24.75" customHeight="1">
      <c r="A769" s="268"/>
      <c r="B769" s="268"/>
      <c r="C769" s="268"/>
      <c r="D769" s="268"/>
      <c r="E769" s="268"/>
      <c r="F769" s="268"/>
      <c r="G769" s="268"/>
      <c r="H769" s="268"/>
      <c r="I769" s="268"/>
      <c r="J769" s="268"/>
      <c r="K769" s="268"/>
      <c r="L769" s="309"/>
      <c r="M769" s="268"/>
      <c r="N769" s="268"/>
      <c r="O769" s="310"/>
      <c r="P769" s="268"/>
      <c r="Q769" s="309"/>
      <c r="R769" s="268"/>
      <c r="S769" s="313"/>
      <c r="T769" s="313"/>
      <c r="U769" s="268"/>
      <c r="V769" s="309"/>
      <c r="W769" s="310"/>
      <c r="X769" s="268"/>
      <c r="Y769" s="268"/>
      <c r="Z769" s="268"/>
      <c r="AA769" s="268"/>
      <c r="AB769" s="268"/>
      <c r="AC769" s="268"/>
    </row>
    <row r="770" spans="1:29" ht="24.75" customHeight="1">
      <c r="A770" s="268"/>
      <c r="B770" s="268"/>
      <c r="C770" s="268"/>
      <c r="D770" s="268"/>
      <c r="E770" s="268"/>
      <c r="F770" s="268"/>
      <c r="G770" s="268"/>
      <c r="H770" s="268"/>
      <c r="I770" s="268"/>
      <c r="J770" s="268"/>
      <c r="K770" s="268"/>
      <c r="L770" s="309"/>
      <c r="M770" s="268"/>
      <c r="N770" s="268"/>
      <c r="O770" s="310"/>
      <c r="P770" s="268"/>
      <c r="Q770" s="309"/>
      <c r="R770" s="268"/>
      <c r="S770" s="313"/>
      <c r="T770" s="313"/>
      <c r="U770" s="268"/>
      <c r="V770" s="309"/>
      <c r="W770" s="310"/>
      <c r="X770" s="268"/>
      <c r="Y770" s="268"/>
      <c r="Z770" s="268"/>
      <c r="AA770" s="268"/>
      <c r="AB770" s="268"/>
      <c r="AC770" s="268"/>
    </row>
    <row r="771" spans="1:29" ht="24.75" customHeight="1">
      <c r="A771" s="268"/>
      <c r="B771" s="268"/>
      <c r="C771" s="268"/>
      <c r="D771" s="268"/>
      <c r="E771" s="268"/>
      <c r="F771" s="268"/>
      <c r="G771" s="268"/>
      <c r="H771" s="268"/>
      <c r="I771" s="268"/>
      <c r="J771" s="268"/>
      <c r="K771" s="268"/>
      <c r="L771" s="309"/>
      <c r="M771" s="268"/>
      <c r="N771" s="268"/>
      <c r="O771" s="310"/>
      <c r="P771" s="268"/>
      <c r="Q771" s="309"/>
      <c r="R771" s="268"/>
      <c r="S771" s="313"/>
      <c r="T771" s="313"/>
      <c r="U771" s="268"/>
      <c r="V771" s="309"/>
      <c r="W771" s="310"/>
      <c r="X771" s="268"/>
      <c r="Y771" s="268"/>
      <c r="Z771" s="268"/>
      <c r="AA771" s="268"/>
      <c r="AB771" s="268"/>
      <c r="AC771" s="268"/>
    </row>
    <row r="772" spans="1:29" ht="24.75" customHeight="1">
      <c r="A772" s="268"/>
      <c r="B772" s="268"/>
      <c r="C772" s="268"/>
      <c r="D772" s="268"/>
      <c r="E772" s="268"/>
      <c r="F772" s="268"/>
      <c r="G772" s="268"/>
      <c r="H772" s="268"/>
      <c r="I772" s="268"/>
      <c r="J772" s="268"/>
      <c r="K772" s="268"/>
      <c r="L772" s="309"/>
      <c r="M772" s="268"/>
      <c r="N772" s="268"/>
      <c r="O772" s="310"/>
      <c r="P772" s="268"/>
      <c r="Q772" s="309"/>
      <c r="R772" s="268"/>
      <c r="S772" s="313"/>
      <c r="T772" s="313"/>
      <c r="U772" s="268"/>
      <c r="V772" s="309"/>
      <c r="W772" s="310"/>
      <c r="X772" s="268"/>
      <c r="Y772" s="268"/>
      <c r="Z772" s="268"/>
      <c r="AA772" s="268"/>
      <c r="AB772" s="268"/>
      <c r="AC772" s="268"/>
    </row>
    <row r="773" spans="1:29" ht="24.75" customHeight="1">
      <c r="A773" s="268"/>
      <c r="B773" s="268"/>
      <c r="C773" s="268"/>
      <c r="D773" s="268"/>
      <c r="E773" s="268"/>
      <c r="F773" s="268"/>
      <c r="G773" s="268"/>
      <c r="H773" s="268"/>
      <c r="I773" s="268"/>
      <c r="J773" s="268"/>
      <c r="K773" s="268"/>
      <c r="L773" s="309"/>
      <c r="M773" s="268"/>
      <c r="N773" s="268"/>
      <c r="O773" s="310"/>
      <c r="P773" s="268"/>
      <c r="Q773" s="309"/>
      <c r="R773" s="268"/>
      <c r="S773" s="313"/>
      <c r="T773" s="313"/>
      <c r="U773" s="268"/>
      <c r="V773" s="309"/>
      <c r="W773" s="310"/>
      <c r="X773" s="268"/>
      <c r="Y773" s="268"/>
      <c r="Z773" s="268"/>
      <c r="AA773" s="268"/>
      <c r="AB773" s="268"/>
      <c r="AC773" s="268"/>
    </row>
    <row r="774" spans="1:29" ht="24.75" customHeight="1">
      <c r="A774" s="268"/>
      <c r="B774" s="268"/>
      <c r="C774" s="268"/>
      <c r="D774" s="268"/>
      <c r="E774" s="268"/>
      <c r="F774" s="268"/>
      <c r="G774" s="268"/>
      <c r="H774" s="268"/>
      <c r="I774" s="268"/>
      <c r="J774" s="268"/>
      <c r="K774" s="268"/>
      <c r="L774" s="309"/>
      <c r="M774" s="268"/>
      <c r="N774" s="268"/>
      <c r="O774" s="310"/>
      <c r="P774" s="268"/>
      <c r="Q774" s="309"/>
      <c r="R774" s="268"/>
      <c r="S774" s="313"/>
      <c r="T774" s="313"/>
      <c r="U774" s="268"/>
      <c r="V774" s="309"/>
      <c r="W774" s="310"/>
      <c r="X774" s="268"/>
      <c r="Y774" s="268"/>
      <c r="Z774" s="268"/>
      <c r="AA774" s="268"/>
      <c r="AB774" s="268"/>
      <c r="AC774" s="268"/>
    </row>
    <row r="775" spans="1:29" ht="24.75" customHeight="1">
      <c r="A775" s="268"/>
      <c r="B775" s="268"/>
      <c r="C775" s="268"/>
      <c r="D775" s="268"/>
      <c r="E775" s="268"/>
      <c r="F775" s="268"/>
      <c r="G775" s="268"/>
      <c r="H775" s="268"/>
      <c r="I775" s="268"/>
      <c r="J775" s="268"/>
      <c r="K775" s="268"/>
      <c r="L775" s="309"/>
      <c r="M775" s="268"/>
      <c r="N775" s="268"/>
      <c r="O775" s="310"/>
      <c r="P775" s="268"/>
      <c r="Q775" s="309"/>
      <c r="R775" s="268"/>
      <c r="S775" s="313"/>
      <c r="T775" s="313"/>
      <c r="U775" s="268"/>
      <c r="V775" s="309"/>
      <c r="W775" s="310"/>
      <c r="X775" s="268"/>
      <c r="Y775" s="268"/>
      <c r="Z775" s="268"/>
      <c r="AA775" s="268"/>
      <c r="AB775" s="268"/>
      <c r="AC775" s="268"/>
    </row>
    <row r="776" spans="1:29" ht="24.75" customHeight="1">
      <c r="A776" s="268"/>
      <c r="B776" s="268"/>
      <c r="C776" s="268"/>
      <c r="D776" s="268"/>
      <c r="E776" s="268"/>
      <c r="F776" s="268"/>
      <c r="G776" s="268"/>
      <c r="H776" s="268"/>
      <c r="I776" s="268"/>
      <c r="J776" s="268"/>
      <c r="K776" s="268"/>
      <c r="L776" s="309"/>
      <c r="M776" s="268"/>
      <c r="N776" s="268"/>
      <c r="O776" s="310"/>
      <c r="P776" s="268"/>
      <c r="Q776" s="309"/>
      <c r="R776" s="268"/>
      <c r="S776" s="313"/>
      <c r="T776" s="313"/>
      <c r="U776" s="268"/>
      <c r="V776" s="309"/>
      <c r="W776" s="310"/>
      <c r="X776" s="268"/>
      <c r="Y776" s="268"/>
      <c r="Z776" s="268"/>
      <c r="AA776" s="268"/>
      <c r="AB776" s="268"/>
      <c r="AC776" s="268"/>
    </row>
    <row r="777" spans="1:29" ht="24.75" customHeight="1">
      <c r="A777" s="268"/>
      <c r="B777" s="268"/>
      <c r="C777" s="268"/>
      <c r="D777" s="268"/>
      <c r="E777" s="268"/>
      <c r="F777" s="268"/>
      <c r="G777" s="268"/>
      <c r="H777" s="268"/>
      <c r="I777" s="268"/>
      <c r="J777" s="268"/>
      <c r="K777" s="268"/>
      <c r="L777" s="309"/>
      <c r="M777" s="268"/>
      <c r="N777" s="268"/>
      <c r="O777" s="310"/>
      <c r="P777" s="268"/>
      <c r="Q777" s="309"/>
      <c r="R777" s="268"/>
      <c r="S777" s="313"/>
      <c r="T777" s="313"/>
      <c r="U777" s="268"/>
      <c r="V777" s="309"/>
      <c r="W777" s="310"/>
      <c r="X777" s="268"/>
      <c r="Y777" s="268"/>
      <c r="Z777" s="268"/>
      <c r="AA777" s="268"/>
      <c r="AB777" s="268"/>
      <c r="AC777" s="268"/>
    </row>
    <row r="778" spans="1:29" ht="24.75" customHeight="1">
      <c r="A778" s="268"/>
      <c r="B778" s="268"/>
      <c r="C778" s="268"/>
      <c r="D778" s="268"/>
      <c r="E778" s="268"/>
      <c r="F778" s="268"/>
      <c r="G778" s="268"/>
      <c r="H778" s="268"/>
      <c r="I778" s="268"/>
      <c r="J778" s="268"/>
      <c r="K778" s="268"/>
      <c r="L778" s="309"/>
      <c r="M778" s="268"/>
      <c r="N778" s="268"/>
      <c r="O778" s="310"/>
      <c r="P778" s="268"/>
      <c r="Q778" s="309"/>
      <c r="R778" s="268"/>
      <c r="S778" s="313"/>
      <c r="T778" s="313"/>
      <c r="U778" s="268"/>
      <c r="V778" s="309"/>
      <c r="W778" s="310"/>
      <c r="X778" s="268"/>
      <c r="Y778" s="268"/>
      <c r="Z778" s="268"/>
      <c r="AA778" s="268"/>
      <c r="AB778" s="268"/>
      <c r="AC778" s="268"/>
    </row>
    <row r="779" spans="1:29" ht="24.75" customHeight="1">
      <c r="A779" s="268"/>
      <c r="B779" s="268"/>
      <c r="C779" s="268"/>
      <c r="D779" s="268"/>
      <c r="E779" s="268"/>
      <c r="F779" s="268"/>
      <c r="G779" s="268"/>
      <c r="H779" s="268"/>
      <c r="I779" s="268"/>
      <c r="J779" s="268"/>
      <c r="K779" s="268"/>
      <c r="L779" s="309"/>
      <c r="M779" s="268"/>
      <c r="N779" s="268"/>
      <c r="O779" s="310"/>
      <c r="P779" s="268"/>
      <c r="Q779" s="309"/>
      <c r="R779" s="268"/>
      <c r="S779" s="313"/>
      <c r="T779" s="313"/>
      <c r="U779" s="268"/>
      <c r="V779" s="309"/>
      <c r="W779" s="310"/>
      <c r="X779" s="268"/>
      <c r="Y779" s="268"/>
      <c r="Z779" s="268"/>
      <c r="AA779" s="268"/>
      <c r="AB779" s="268"/>
      <c r="AC779" s="268"/>
    </row>
    <row r="780" spans="1:29" ht="24.75" customHeight="1">
      <c r="A780" s="268"/>
      <c r="B780" s="268"/>
      <c r="C780" s="268"/>
      <c r="D780" s="268"/>
      <c r="E780" s="268"/>
      <c r="F780" s="268"/>
      <c r="G780" s="268"/>
      <c r="H780" s="268"/>
      <c r="I780" s="268"/>
      <c r="J780" s="268"/>
      <c r="K780" s="268"/>
      <c r="L780" s="309"/>
      <c r="M780" s="268"/>
      <c r="N780" s="268"/>
      <c r="O780" s="310"/>
      <c r="P780" s="268"/>
      <c r="Q780" s="309"/>
      <c r="R780" s="268"/>
      <c r="S780" s="313"/>
      <c r="T780" s="313"/>
      <c r="U780" s="268"/>
      <c r="V780" s="309"/>
      <c r="W780" s="310"/>
      <c r="X780" s="268"/>
      <c r="Y780" s="268"/>
      <c r="Z780" s="268"/>
      <c r="AA780" s="268"/>
      <c r="AB780" s="268"/>
      <c r="AC780" s="268"/>
    </row>
    <row r="781" spans="1:29" ht="24.75" customHeight="1">
      <c r="A781" s="268"/>
      <c r="B781" s="268"/>
      <c r="C781" s="268"/>
      <c r="D781" s="268"/>
      <c r="E781" s="268"/>
      <c r="F781" s="268"/>
      <c r="G781" s="268"/>
      <c r="H781" s="268"/>
      <c r="I781" s="268"/>
      <c r="J781" s="268"/>
      <c r="K781" s="268"/>
      <c r="L781" s="309"/>
      <c r="M781" s="268"/>
      <c r="N781" s="268"/>
      <c r="O781" s="310"/>
      <c r="P781" s="268"/>
      <c r="Q781" s="309"/>
      <c r="R781" s="268"/>
      <c r="S781" s="313"/>
      <c r="T781" s="313"/>
      <c r="U781" s="268"/>
      <c r="V781" s="309"/>
      <c r="W781" s="310"/>
      <c r="X781" s="268"/>
      <c r="Y781" s="268"/>
      <c r="Z781" s="268"/>
      <c r="AA781" s="268"/>
      <c r="AB781" s="268"/>
      <c r="AC781" s="268"/>
    </row>
    <row r="782" spans="1:29" ht="24.75" customHeight="1">
      <c r="A782" s="268"/>
      <c r="B782" s="268"/>
      <c r="C782" s="268"/>
      <c r="D782" s="268"/>
      <c r="E782" s="268"/>
      <c r="F782" s="268"/>
      <c r="G782" s="268"/>
      <c r="H782" s="268"/>
      <c r="I782" s="268"/>
      <c r="J782" s="268"/>
      <c r="K782" s="268"/>
      <c r="L782" s="309"/>
      <c r="M782" s="268"/>
      <c r="N782" s="268"/>
      <c r="O782" s="310"/>
      <c r="P782" s="268"/>
      <c r="Q782" s="309"/>
      <c r="R782" s="268"/>
      <c r="S782" s="313"/>
      <c r="T782" s="313"/>
      <c r="U782" s="268"/>
      <c r="V782" s="309"/>
      <c r="W782" s="310"/>
      <c r="X782" s="268"/>
      <c r="Y782" s="268"/>
      <c r="Z782" s="268"/>
      <c r="AA782" s="268"/>
      <c r="AB782" s="268"/>
      <c r="AC782" s="268"/>
    </row>
    <row r="783" spans="1:29" ht="24.75" customHeight="1">
      <c r="A783" s="268"/>
      <c r="B783" s="268"/>
      <c r="C783" s="268"/>
      <c r="D783" s="268"/>
      <c r="E783" s="268"/>
      <c r="F783" s="268"/>
      <c r="G783" s="268"/>
      <c r="H783" s="268"/>
      <c r="I783" s="268"/>
      <c r="J783" s="268"/>
      <c r="K783" s="268"/>
      <c r="L783" s="309"/>
      <c r="M783" s="268"/>
      <c r="N783" s="268"/>
      <c r="O783" s="310"/>
      <c r="P783" s="268"/>
      <c r="Q783" s="309"/>
      <c r="R783" s="268"/>
      <c r="S783" s="313"/>
      <c r="T783" s="313"/>
      <c r="U783" s="268"/>
      <c r="V783" s="309"/>
      <c r="W783" s="310"/>
      <c r="X783" s="268"/>
      <c r="Y783" s="268"/>
      <c r="Z783" s="268"/>
      <c r="AA783" s="268"/>
      <c r="AB783" s="268"/>
      <c r="AC783" s="268"/>
    </row>
    <row r="784" spans="1:29" ht="24.75" customHeight="1">
      <c r="A784" s="268"/>
      <c r="B784" s="268"/>
      <c r="C784" s="268"/>
      <c r="D784" s="268"/>
      <c r="E784" s="268"/>
      <c r="F784" s="268"/>
      <c r="G784" s="268"/>
      <c r="H784" s="268"/>
      <c r="I784" s="268"/>
      <c r="J784" s="268"/>
      <c r="K784" s="268"/>
      <c r="L784" s="309"/>
      <c r="M784" s="268"/>
      <c r="N784" s="268"/>
      <c r="O784" s="310"/>
      <c r="P784" s="268"/>
      <c r="Q784" s="309"/>
      <c r="R784" s="268"/>
      <c r="S784" s="313"/>
      <c r="T784" s="313"/>
      <c r="U784" s="268"/>
      <c r="V784" s="309"/>
      <c r="W784" s="310"/>
      <c r="X784" s="268"/>
      <c r="Y784" s="268"/>
      <c r="Z784" s="268"/>
      <c r="AA784" s="268"/>
      <c r="AB784" s="268"/>
      <c r="AC784" s="268"/>
    </row>
    <row r="785" spans="1:29" ht="24.75" customHeight="1">
      <c r="A785" s="268"/>
      <c r="B785" s="268"/>
      <c r="C785" s="268"/>
      <c r="D785" s="268"/>
      <c r="E785" s="268"/>
      <c r="F785" s="268"/>
      <c r="G785" s="268"/>
      <c r="H785" s="268"/>
      <c r="I785" s="268"/>
      <c r="J785" s="268"/>
      <c r="K785" s="268"/>
      <c r="L785" s="309"/>
      <c r="M785" s="268"/>
      <c r="N785" s="268"/>
      <c r="O785" s="310"/>
      <c r="P785" s="268"/>
      <c r="Q785" s="309"/>
      <c r="R785" s="268"/>
      <c r="S785" s="313"/>
      <c r="T785" s="313"/>
      <c r="U785" s="268"/>
      <c r="V785" s="309"/>
      <c r="W785" s="310"/>
      <c r="X785" s="268"/>
      <c r="Y785" s="268"/>
      <c r="Z785" s="268"/>
      <c r="AA785" s="268"/>
      <c r="AB785" s="268"/>
      <c r="AC785" s="268"/>
    </row>
    <row r="786" spans="1:29" ht="24.75" customHeight="1">
      <c r="A786" s="268"/>
      <c r="B786" s="268"/>
      <c r="C786" s="268"/>
      <c r="D786" s="268"/>
      <c r="E786" s="268"/>
      <c r="F786" s="268"/>
      <c r="G786" s="268"/>
      <c r="H786" s="268"/>
      <c r="I786" s="268"/>
      <c r="J786" s="268"/>
      <c r="K786" s="268"/>
      <c r="L786" s="309"/>
      <c r="M786" s="268"/>
      <c r="N786" s="268"/>
      <c r="O786" s="310"/>
      <c r="P786" s="268"/>
      <c r="Q786" s="309"/>
      <c r="R786" s="268"/>
      <c r="S786" s="313"/>
      <c r="T786" s="313"/>
      <c r="U786" s="268"/>
      <c r="V786" s="309"/>
      <c r="W786" s="310"/>
      <c r="X786" s="268"/>
      <c r="Y786" s="268"/>
      <c r="Z786" s="268"/>
      <c r="AA786" s="268"/>
      <c r="AB786" s="268"/>
      <c r="AC786" s="268"/>
    </row>
    <row r="787" spans="1:29" ht="24.75" customHeight="1">
      <c r="A787" s="268"/>
      <c r="B787" s="268"/>
      <c r="C787" s="268"/>
      <c r="D787" s="268"/>
      <c r="E787" s="268"/>
      <c r="F787" s="268"/>
      <c r="G787" s="268"/>
      <c r="H787" s="268"/>
      <c r="I787" s="268"/>
      <c r="J787" s="268"/>
      <c r="K787" s="268"/>
      <c r="L787" s="309"/>
      <c r="M787" s="268"/>
      <c r="N787" s="268"/>
      <c r="O787" s="310"/>
      <c r="P787" s="268"/>
      <c r="Q787" s="309"/>
      <c r="R787" s="268"/>
      <c r="S787" s="313"/>
      <c r="T787" s="313"/>
      <c r="U787" s="268"/>
      <c r="V787" s="309"/>
      <c r="W787" s="310"/>
      <c r="X787" s="268"/>
      <c r="Y787" s="268"/>
      <c r="Z787" s="268"/>
      <c r="AA787" s="268"/>
      <c r="AB787" s="268"/>
      <c r="AC787" s="268"/>
    </row>
    <row r="788" spans="1:29" ht="24.75" customHeight="1">
      <c r="A788" s="268"/>
      <c r="B788" s="268"/>
      <c r="C788" s="268"/>
      <c r="D788" s="268"/>
      <c r="E788" s="268"/>
      <c r="F788" s="268"/>
      <c r="G788" s="268"/>
      <c r="H788" s="268"/>
      <c r="I788" s="268"/>
      <c r="J788" s="268"/>
      <c r="K788" s="268"/>
      <c r="L788" s="309"/>
      <c r="M788" s="268"/>
      <c r="N788" s="268"/>
      <c r="O788" s="310"/>
      <c r="P788" s="268"/>
      <c r="Q788" s="309"/>
      <c r="R788" s="268"/>
      <c r="S788" s="313"/>
      <c r="T788" s="313"/>
      <c r="U788" s="268"/>
      <c r="V788" s="309"/>
      <c r="W788" s="310"/>
      <c r="X788" s="268"/>
      <c r="Y788" s="268"/>
      <c r="Z788" s="268"/>
      <c r="AA788" s="268"/>
      <c r="AB788" s="268"/>
      <c r="AC788" s="268"/>
    </row>
    <row r="789" spans="1:29" ht="24.75" customHeight="1">
      <c r="A789" s="268"/>
      <c r="B789" s="268"/>
      <c r="C789" s="268"/>
      <c r="D789" s="268"/>
      <c r="E789" s="268"/>
      <c r="F789" s="268"/>
      <c r="G789" s="268"/>
      <c r="H789" s="268"/>
      <c r="I789" s="268"/>
      <c r="J789" s="268"/>
      <c r="K789" s="268"/>
      <c r="L789" s="309"/>
      <c r="M789" s="268"/>
      <c r="N789" s="268"/>
      <c r="O789" s="310"/>
      <c r="P789" s="268"/>
      <c r="Q789" s="309"/>
      <c r="R789" s="268"/>
      <c r="S789" s="313"/>
      <c r="T789" s="313"/>
      <c r="U789" s="268"/>
      <c r="V789" s="309"/>
      <c r="W789" s="310"/>
      <c r="X789" s="268"/>
      <c r="Y789" s="268"/>
      <c r="Z789" s="268"/>
      <c r="AA789" s="268"/>
      <c r="AB789" s="268"/>
      <c r="AC789" s="268"/>
    </row>
    <row r="790" spans="1:29" ht="24.75" customHeight="1">
      <c r="A790" s="268"/>
      <c r="B790" s="268"/>
      <c r="C790" s="268"/>
      <c r="D790" s="268"/>
      <c r="E790" s="268"/>
      <c r="F790" s="268"/>
      <c r="G790" s="268"/>
      <c r="H790" s="268"/>
      <c r="I790" s="268"/>
      <c r="J790" s="268"/>
      <c r="K790" s="268"/>
      <c r="L790" s="309"/>
      <c r="M790" s="268"/>
      <c r="N790" s="268"/>
      <c r="O790" s="310"/>
      <c r="P790" s="268"/>
      <c r="Q790" s="309"/>
      <c r="R790" s="268"/>
      <c r="S790" s="313"/>
      <c r="T790" s="313"/>
      <c r="U790" s="268"/>
      <c r="V790" s="309"/>
      <c r="W790" s="310"/>
      <c r="X790" s="268"/>
      <c r="Y790" s="268"/>
      <c r="Z790" s="268"/>
      <c r="AA790" s="268"/>
      <c r="AB790" s="268"/>
      <c r="AC790" s="268"/>
    </row>
    <row r="791" spans="1:29" ht="24.75" customHeight="1">
      <c r="A791" s="268"/>
      <c r="B791" s="268"/>
      <c r="C791" s="268"/>
      <c r="D791" s="268"/>
      <c r="E791" s="268"/>
      <c r="F791" s="268"/>
      <c r="G791" s="268"/>
      <c r="H791" s="268"/>
      <c r="I791" s="268"/>
      <c r="J791" s="268"/>
      <c r="K791" s="268"/>
      <c r="L791" s="309"/>
      <c r="M791" s="268"/>
      <c r="N791" s="268"/>
      <c r="O791" s="310"/>
      <c r="P791" s="268"/>
      <c r="Q791" s="309"/>
      <c r="R791" s="268"/>
      <c r="S791" s="313"/>
      <c r="T791" s="313"/>
      <c r="U791" s="268"/>
      <c r="V791" s="309"/>
      <c r="W791" s="310"/>
      <c r="X791" s="268"/>
      <c r="Y791" s="268"/>
      <c r="Z791" s="268"/>
      <c r="AA791" s="268"/>
      <c r="AB791" s="268"/>
      <c r="AC791" s="268"/>
    </row>
    <row r="792" spans="1:29" ht="24.75" customHeight="1">
      <c r="A792" s="268"/>
      <c r="B792" s="268"/>
      <c r="C792" s="268"/>
      <c r="D792" s="268"/>
      <c r="E792" s="268"/>
      <c r="F792" s="268"/>
      <c r="G792" s="268"/>
      <c r="H792" s="268"/>
      <c r="I792" s="268"/>
      <c r="J792" s="268"/>
      <c r="K792" s="268"/>
      <c r="L792" s="309"/>
      <c r="M792" s="268"/>
      <c r="N792" s="268"/>
      <c r="O792" s="310"/>
      <c r="P792" s="268"/>
      <c r="Q792" s="309"/>
      <c r="R792" s="268"/>
      <c r="S792" s="313"/>
      <c r="T792" s="313"/>
      <c r="U792" s="268"/>
      <c r="V792" s="309"/>
      <c r="W792" s="310"/>
      <c r="X792" s="268"/>
      <c r="Y792" s="268"/>
      <c r="Z792" s="268"/>
      <c r="AA792" s="268"/>
      <c r="AB792" s="268"/>
      <c r="AC792" s="268"/>
    </row>
    <row r="793" spans="1:29" ht="24.75" customHeight="1">
      <c r="A793" s="268"/>
      <c r="B793" s="268"/>
      <c r="C793" s="268"/>
      <c r="D793" s="268"/>
      <c r="E793" s="268"/>
      <c r="F793" s="268"/>
      <c r="G793" s="268"/>
      <c r="H793" s="268"/>
      <c r="I793" s="268"/>
      <c r="J793" s="268"/>
      <c r="K793" s="268"/>
      <c r="L793" s="309"/>
      <c r="M793" s="268"/>
      <c r="N793" s="268"/>
      <c r="O793" s="310"/>
      <c r="P793" s="268"/>
      <c r="Q793" s="309"/>
      <c r="R793" s="268"/>
      <c r="S793" s="313"/>
      <c r="T793" s="313"/>
      <c r="U793" s="268"/>
      <c r="V793" s="309"/>
      <c r="W793" s="310"/>
      <c r="X793" s="268"/>
      <c r="Y793" s="268"/>
      <c r="Z793" s="268"/>
      <c r="AA793" s="268"/>
      <c r="AB793" s="268"/>
      <c r="AC793" s="268"/>
    </row>
    <row r="794" spans="1:29" ht="24.75" customHeight="1">
      <c r="A794" s="268"/>
      <c r="B794" s="268"/>
      <c r="C794" s="268"/>
      <c r="D794" s="268"/>
      <c r="E794" s="268"/>
      <c r="F794" s="268"/>
      <c r="G794" s="268"/>
      <c r="H794" s="268"/>
      <c r="I794" s="268"/>
      <c r="J794" s="268"/>
      <c r="K794" s="268"/>
      <c r="L794" s="309"/>
      <c r="M794" s="268"/>
      <c r="N794" s="268"/>
      <c r="O794" s="310"/>
      <c r="P794" s="268"/>
      <c r="Q794" s="309"/>
      <c r="R794" s="268"/>
      <c r="S794" s="313"/>
      <c r="T794" s="313"/>
      <c r="U794" s="268"/>
      <c r="V794" s="309"/>
      <c r="W794" s="310"/>
      <c r="X794" s="268"/>
      <c r="Y794" s="268"/>
      <c r="Z794" s="268"/>
      <c r="AA794" s="268"/>
      <c r="AB794" s="268"/>
      <c r="AC794" s="268"/>
    </row>
    <row r="795" spans="1:29" ht="24.75" customHeight="1">
      <c r="A795" s="268"/>
      <c r="B795" s="268"/>
      <c r="C795" s="268"/>
      <c r="D795" s="268"/>
      <c r="E795" s="268"/>
      <c r="F795" s="268"/>
      <c r="G795" s="268"/>
      <c r="H795" s="268"/>
      <c r="I795" s="268"/>
      <c r="J795" s="268"/>
      <c r="K795" s="268"/>
      <c r="L795" s="309"/>
      <c r="M795" s="268"/>
      <c r="N795" s="268"/>
      <c r="O795" s="310"/>
      <c r="P795" s="268"/>
      <c r="Q795" s="309"/>
      <c r="R795" s="268"/>
      <c r="S795" s="313"/>
      <c r="T795" s="313"/>
      <c r="U795" s="268"/>
      <c r="V795" s="309"/>
      <c r="W795" s="310"/>
      <c r="X795" s="268"/>
      <c r="Y795" s="268"/>
      <c r="Z795" s="268"/>
      <c r="AA795" s="268"/>
      <c r="AB795" s="268"/>
      <c r="AC795" s="268"/>
    </row>
    <row r="796" spans="1:29" ht="24.75" customHeight="1">
      <c r="A796" s="268"/>
      <c r="B796" s="268"/>
      <c r="C796" s="268"/>
      <c r="D796" s="268"/>
      <c r="E796" s="268"/>
      <c r="F796" s="268"/>
      <c r="G796" s="268"/>
      <c r="H796" s="268"/>
      <c r="I796" s="268"/>
      <c r="J796" s="268"/>
      <c r="K796" s="268"/>
      <c r="L796" s="309"/>
      <c r="M796" s="268"/>
      <c r="N796" s="268"/>
      <c r="O796" s="310"/>
      <c r="P796" s="268"/>
      <c r="Q796" s="309"/>
      <c r="R796" s="268"/>
      <c r="S796" s="313"/>
      <c r="T796" s="313"/>
      <c r="U796" s="268"/>
      <c r="V796" s="309"/>
      <c r="W796" s="310"/>
      <c r="X796" s="268"/>
      <c r="Y796" s="268"/>
      <c r="Z796" s="268"/>
      <c r="AA796" s="268"/>
      <c r="AB796" s="268"/>
      <c r="AC796" s="268"/>
    </row>
    <row r="797" spans="1:29" ht="24.75" customHeight="1">
      <c r="A797" s="268"/>
      <c r="B797" s="268"/>
      <c r="C797" s="268"/>
      <c r="D797" s="268"/>
      <c r="E797" s="268"/>
      <c r="F797" s="268"/>
      <c r="G797" s="268"/>
      <c r="H797" s="268"/>
      <c r="I797" s="268"/>
      <c r="J797" s="268"/>
      <c r="K797" s="268"/>
      <c r="L797" s="309"/>
      <c r="M797" s="268"/>
      <c r="N797" s="268"/>
      <c r="O797" s="310"/>
      <c r="P797" s="268"/>
      <c r="Q797" s="309"/>
      <c r="R797" s="268"/>
      <c r="S797" s="313"/>
      <c r="T797" s="313"/>
      <c r="U797" s="268"/>
      <c r="V797" s="309"/>
      <c r="W797" s="310"/>
      <c r="X797" s="268"/>
      <c r="Y797" s="268"/>
      <c r="Z797" s="268"/>
      <c r="AA797" s="268"/>
      <c r="AB797" s="268"/>
      <c r="AC797" s="268"/>
    </row>
    <row r="798" spans="1:29" ht="24.75" customHeight="1">
      <c r="A798" s="268"/>
      <c r="B798" s="268"/>
      <c r="C798" s="268"/>
      <c r="D798" s="268"/>
      <c r="E798" s="268"/>
      <c r="F798" s="268"/>
      <c r="G798" s="268"/>
      <c r="H798" s="268"/>
      <c r="I798" s="268"/>
      <c r="J798" s="268"/>
      <c r="K798" s="268"/>
      <c r="L798" s="309"/>
      <c r="M798" s="268"/>
      <c r="N798" s="268"/>
      <c r="O798" s="310"/>
      <c r="P798" s="268"/>
      <c r="Q798" s="309"/>
      <c r="R798" s="268"/>
      <c r="S798" s="313"/>
      <c r="T798" s="313"/>
      <c r="U798" s="268"/>
      <c r="V798" s="309"/>
      <c r="W798" s="310"/>
      <c r="X798" s="268"/>
      <c r="Y798" s="268"/>
      <c r="Z798" s="268"/>
      <c r="AA798" s="268"/>
      <c r="AB798" s="268"/>
      <c r="AC798" s="268"/>
    </row>
    <row r="799" spans="1:29" ht="24.75" customHeight="1">
      <c r="A799" s="268"/>
      <c r="B799" s="268"/>
      <c r="C799" s="268"/>
      <c r="D799" s="268"/>
      <c r="E799" s="268"/>
      <c r="F799" s="268"/>
      <c r="G799" s="268"/>
      <c r="H799" s="268"/>
      <c r="I799" s="268"/>
      <c r="J799" s="268"/>
      <c r="K799" s="268"/>
      <c r="L799" s="309"/>
      <c r="M799" s="268"/>
      <c r="N799" s="268"/>
      <c r="O799" s="310"/>
      <c r="P799" s="268"/>
      <c r="Q799" s="309"/>
      <c r="R799" s="268"/>
      <c r="S799" s="313"/>
      <c r="T799" s="313"/>
      <c r="U799" s="268"/>
      <c r="V799" s="309"/>
      <c r="W799" s="310"/>
      <c r="X799" s="268"/>
      <c r="Y799" s="268"/>
      <c r="Z799" s="268"/>
      <c r="AA799" s="268"/>
      <c r="AB799" s="268"/>
      <c r="AC799" s="268"/>
    </row>
    <row r="800" spans="1:29" ht="24.75" customHeight="1">
      <c r="A800" s="268"/>
      <c r="B800" s="268"/>
      <c r="C800" s="268"/>
      <c r="D800" s="268"/>
      <c r="E800" s="268"/>
      <c r="F800" s="268"/>
      <c r="G800" s="268"/>
      <c r="H800" s="268"/>
      <c r="I800" s="268"/>
      <c r="J800" s="268"/>
      <c r="K800" s="268"/>
      <c r="L800" s="309"/>
      <c r="M800" s="268"/>
      <c r="N800" s="268"/>
      <c r="O800" s="310"/>
      <c r="P800" s="268"/>
      <c r="Q800" s="309"/>
      <c r="R800" s="268"/>
      <c r="S800" s="313"/>
      <c r="T800" s="313"/>
      <c r="U800" s="268"/>
      <c r="V800" s="309"/>
      <c r="W800" s="310"/>
      <c r="X800" s="268"/>
      <c r="Y800" s="268"/>
      <c r="Z800" s="268"/>
      <c r="AA800" s="268"/>
      <c r="AB800" s="268"/>
      <c r="AC800" s="268"/>
    </row>
    <row r="801" spans="1:29" ht="24.75" customHeight="1">
      <c r="A801" s="268"/>
      <c r="B801" s="268"/>
      <c r="C801" s="268"/>
      <c r="D801" s="268"/>
      <c r="E801" s="268"/>
      <c r="F801" s="268"/>
      <c r="G801" s="268"/>
      <c r="H801" s="268"/>
      <c r="I801" s="268"/>
      <c r="J801" s="268"/>
      <c r="K801" s="268"/>
      <c r="L801" s="309"/>
      <c r="M801" s="268"/>
      <c r="N801" s="268"/>
      <c r="O801" s="310"/>
      <c r="P801" s="268"/>
      <c r="Q801" s="309"/>
      <c r="R801" s="268"/>
      <c r="S801" s="313"/>
      <c r="T801" s="313"/>
      <c r="U801" s="268"/>
      <c r="V801" s="309"/>
      <c r="W801" s="310"/>
      <c r="X801" s="268"/>
      <c r="Y801" s="268"/>
      <c r="Z801" s="268"/>
      <c r="AA801" s="268"/>
      <c r="AB801" s="268"/>
      <c r="AC801" s="268"/>
    </row>
    <row r="802" spans="1:29" ht="24.75" customHeight="1">
      <c r="A802" s="268"/>
      <c r="B802" s="268"/>
      <c r="C802" s="268"/>
      <c r="D802" s="268"/>
      <c r="E802" s="268"/>
      <c r="F802" s="268"/>
      <c r="G802" s="268"/>
      <c r="H802" s="268"/>
      <c r="I802" s="268"/>
      <c r="J802" s="268"/>
      <c r="K802" s="268"/>
      <c r="L802" s="309"/>
      <c r="M802" s="268"/>
      <c r="N802" s="268"/>
      <c r="O802" s="310"/>
      <c r="P802" s="268"/>
      <c r="Q802" s="309"/>
      <c r="R802" s="268"/>
      <c r="S802" s="313"/>
      <c r="T802" s="313"/>
      <c r="U802" s="268"/>
      <c r="V802" s="309"/>
      <c r="W802" s="310"/>
      <c r="X802" s="268"/>
      <c r="Y802" s="268"/>
      <c r="Z802" s="268"/>
      <c r="AA802" s="268"/>
      <c r="AB802" s="268"/>
      <c r="AC802" s="268"/>
    </row>
    <row r="803" spans="1:29" ht="24.75" customHeight="1">
      <c r="A803" s="268"/>
      <c r="B803" s="268"/>
      <c r="C803" s="268"/>
      <c r="D803" s="268"/>
      <c r="E803" s="268"/>
      <c r="F803" s="268"/>
      <c r="G803" s="268"/>
      <c r="H803" s="268"/>
      <c r="I803" s="268"/>
      <c r="J803" s="268"/>
      <c r="K803" s="268"/>
      <c r="L803" s="309"/>
      <c r="M803" s="268"/>
      <c r="N803" s="268"/>
      <c r="O803" s="310"/>
      <c r="P803" s="268"/>
      <c r="Q803" s="309"/>
      <c r="R803" s="268"/>
      <c r="S803" s="313"/>
      <c r="T803" s="313"/>
      <c r="U803" s="268"/>
      <c r="V803" s="309"/>
      <c r="W803" s="310"/>
      <c r="X803" s="268"/>
      <c r="Y803" s="268"/>
      <c r="Z803" s="268"/>
      <c r="AA803" s="268"/>
      <c r="AB803" s="268"/>
      <c r="AC803" s="268"/>
    </row>
    <row r="804" spans="1:29" ht="24.75" customHeight="1">
      <c r="A804" s="268"/>
      <c r="B804" s="268"/>
      <c r="C804" s="268"/>
      <c r="D804" s="268"/>
      <c r="E804" s="268"/>
      <c r="F804" s="268"/>
      <c r="G804" s="268"/>
      <c r="H804" s="268"/>
      <c r="I804" s="268"/>
      <c r="J804" s="268"/>
      <c r="K804" s="268"/>
      <c r="L804" s="309"/>
      <c r="M804" s="268"/>
      <c r="N804" s="268"/>
      <c r="O804" s="310"/>
      <c r="P804" s="268"/>
      <c r="Q804" s="309"/>
      <c r="R804" s="268"/>
      <c r="S804" s="313"/>
      <c r="T804" s="313"/>
      <c r="U804" s="268"/>
      <c r="V804" s="309"/>
      <c r="W804" s="310"/>
      <c r="X804" s="268"/>
      <c r="Y804" s="268"/>
      <c r="Z804" s="268"/>
      <c r="AA804" s="268"/>
      <c r="AB804" s="268"/>
      <c r="AC804" s="268"/>
    </row>
    <row r="805" spans="1:29" ht="24.75" customHeight="1">
      <c r="A805" s="268"/>
      <c r="B805" s="268"/>
      <c r="C805" s="268"/>
      <c r="D805" s="268"/>
      <c r="E805" s="268"/>
      <c r="F805" s="268"/>
      <c r="G805" s="268"/>
      <c r="H805" s="268"/>
      <c r="I805" s="268"/>
      <c r="J805" s="268"/>
      <c r="K805" s="268"/>
      <c r="L805" s="309"/>
      <c r="M805" s="268"/>
      <c r="N805" s="268"/>
      <c r="O805" s="310"/>
      <c r="P805" s="268"/>
      <c r="Q805" s="309"/>
      <c r="R805" s="268"/>
      <c r="S805" s="313"/>
      <c r="T805" s="313"/>
      <c r="U805" s="268"/>
      <c r="V805" s="309"/>
      <c r="W805" s="310"/>
      <c r="X805" s="268"/>
      <c r="Y805" s="268"/>
      <c r="Z805" s="268"/>
      <c r="AA805" s="268"/>
      <c r="AB805" s="268"/>
      <c r="AC805" s="268"/>
    </row>
    <row r="806" spans="1:29" ht="24.75" customHeight="1">
      <c r="A806" s="268"/>
      <c r="B806" s="268"/>
      <c r="C806" s="268"/>
      <c r="D806" s="268"/>
      <c r="E806" s="268"/>
      <c r="F806" s="268"/>
      <c r="G806" s="268"/>
      <c r="H806" s="268"/>
      <c r="I806" s="268"/>
      <c r="J806" s="268"/>
      <c r="K806" s="268"/>
      <c r="L806" s="309"/>
      <c r="M806" s="268"/>
      <c r="N806" s="268"/>
      <c r="O806" s="310"/>
      <c r="P806" s="268"/>
      <c r="Q806" s="309"/>
      <c r="R806" s="268"/>
      <c r="S806" s="313"/>
      <c r="T806" s="313"/>
      <c r="U806" s="268"/>
      <c r="V806" s="309"/>
      <c r="W806" s="310"/>
      <c r="X806" s="268"/>
      <c r="Y806" s="268"/>
      <c r="Z806" s="268"/>
      <c r="AA806" s="268"/>
      <c r="AB806" s="268"/>
      <c r="AC806" s="268"/>
    </row>
    <row r="807" spans="1:29" ht="24.75" customHeight="1">
      <c r="A807" s="268"/>
      <c r="B807" s="268"/>
      <c r="C807" s="268"/>
      <c r="D807" s="268"/>
      <c r="E807" s="268"/>
      <c r="F807" s="268"/>
      <c r="G807" s="268"/>
      <c r="H807" s="268"/>
      <c r="I807" s="268"/>
      <c r="J807" s="268"/>
      <c r="K807" s="268"/>
      <c r="L807" s="309"/>
      <c r="M807" s="268"/>
      <c r="N807" s="268"/>
      <c r="O807" s="310"/>
      <c r="P807" s="268"/>
      <c r="Q807" s="309"/>
      <c r="R807" s="268"/>
      <c r="S807" s="313"/>
      <c r="T807" s="313"/>
      <c r="U807" s="268"/>
      <c r="V807" s="309"/>
      <c r="W807" s="310"/>
      <c r="X807" s="268"/>
      <c r="Y807" s="268"/>
      <c r="Z807" s="268"/>
      <c r="AA807" s="268"/>
      <c r="AB807" s="268"/>
      <c r="AC807" s="268"/>
    </row>
    <row r="808" spans="1:29" ht="24.75" customHeight="1">
      <c r="A808" s="268"/>
      <c r="B808" s="268"/>
      <c r="C808" s="268"/>
      <c r="D808" s="268"/>
      <c r="E808" s="268"/>
      <c r="F808" s="268"/>
      <c r="G808" s="268"/>
      <c r="H808" s="268"/>
      <c r="I808" s="268"/>
      <c r="J808" s="268"/>
      <c r="K808" s="268"/>
      <c r="L808" s="309"/>
      <c r="M808" s="268"/>
      <c r="N808" s="268"/>
      <c r="O808" s="310"/>
      <c r="P808" s="268"/>
      <c r="Q808" s="309"/>
      <c r="R808" s="268"/>
      <c r="S808" s="313"/>
      <c r="T808" s="313"/>
      <c r="U808" s="268"/>
      <c r="V808" s="309"/>
      <c r="W808" s="310"/>
      <c r="X808" s="268"/>
      <c r="Y808" s="268"/>
      <c r="Z808" s="268"/>
      <c r="AA808" s="268"/>
      <c r="AB808" s="268"/>
      <c r="AC808" s="268"/>
    </row>
    <row r="809" spans="1:29" ht="24.75" customHeight="1">
      <c r="A809" s="268"/>
      <c r="B809" s="268"/>
      <c r="C809" s="268"/>
      <c r="D809" s="268"/>
      <c r="E809" s="268"/>
      <c r="F809" s="268"/>
      <c r="G809" s="268"/>
      <c r="H809" s="268"/>
      <c r="I809" s="268"/>
      <c r="J809" s="268"/>
      <c r="K809" s="268"/>
      <c r="L809" s="309"/>
      <c r="M809" s="268"/>
      <c r="N809" s="268"/>
      <c r="O809" s="310"/>
      <c r="P809" s="268"/>
      <c r="Q809" s="309"/>
      <c r="R809" s="268"/>
      <c r="S809" s="313"/>
      <c r="T809" s="313"/>
      <c r="U809" s="268"/>
      <c r="V809" s="309"/>
      <c r="W809" s="310"/>
      <c r="X809" s="268"/>
      <c r="Y809" s="268"/>
      <c r="Z809" s="268"/>
      <c r="AA809" s="268"/>
      <c r="AB809" s="268"/>
      <c r="AC809" s="268"/>
    </row>
    <row r="810" spans="1:29" ht="24.75" customHeight="1">
      <c r="A810" s="268"/>
      <c r="B810" s="268"/>
      <c r="C810" s="268"/>
      <c r="D810" s="268"/>
      <c r="E810" s="268"/>
      <c r="F810" s="268"/>
      <c r="G810" s="268"/>
      <c r="H810" s="268"/>
      <c r="I810" s="268"/>
      <c r="J810" s="268"/>
      <c r="K810" s="268"/>
      <c r="L810" s="309"/>
      <c r="M810" s="268"/>
      <c r="N810" s="268"/>
      <c r="O810" s="310"/>
      <c r="P810" s="268"/>
      <c r="Q810" s="309"/>
      <c r="R810" s="268"/>
      <c r="S810" s="313"/>
      <c r="T810" s="313"/>
      <c r="U810" s="268"/>
      <c r="V810" s="309"/>
      <c r="W810" s="310"/>
      <c r="X810" s="268"/>
      <c r="Y810" s="268"/>
      <c r="Z810" s="268"/>
      <c r="AA810" s="268"/>
      <c r="AB810" s="268"/>
      <c r="AC810" s="268"/>
    </row>
    <row r="811" spans="1:29" ht="24.75" customHeight="1">
      <c r="A811" s="268"/>
      <c r="B811" s="268"/>
      <c r="C811" s="268"/>
      <c r="D811" s="268"/>
      <c r="E811" s="268"/>
      <c r="F811" s="268"/>
      <c r="G811" s="268"/>
      <c r="H811" s="268"/>
      <c r="I811" s="268"/>
      <c r="J811" s="268"/>
      <c r="K811" s="268"/>
      <c r="L811" s="309"/>
      <c r="M811" s="268"/>
      <c r="N811" s="268"/>
      <c r="O811" s="310"/>
      <c r="P811" s="268"/>
      <c r="Q811" s="309"/>
      <c r="R811" s="268"/>
      <c r="S811" s="313"/>
      <c r="T811" s="313"/>
      <c r="U811" s="268"/>
      <c r="V811" s="309"/>
      <c r="W811" s="310"/>
      <c r="X811" s="268"/>
      <c r="Y811" s="268"/>
      <c r="Z811" s="268"/>
      <c r="AA811" s="268"/>
      <c r="AB811" s="268"/>
      <c r="AC811" s="268"/>
    </row>
    <row r="812" spans="1:29" ht="24.75" customHeight="1">
      <c r="A812" s="268"/>
      <c r="B812" s="268"/>
      <c r="C812" s="268"/>
      <c r="D812" s="268"/>
      <c r="E812" s="268"/>
      <c r="F812" s="268"/>
      <c r="G812" s="268"/>
      <c r="H812" s="268"/>
      <c r="I812" s="268"/>
      <c r="J812" s="268"/>
      <c r="K812" s="268"/>
      <c r="L812" s="309"/>
      <c r="M812" s="268"/>
      <c r="N812" s="268"/>
      <c r="O812" s="310"/>
      <c r="P812" s="268"/>
      <c r="Q812" s="309"/>
      <c r="R812" s="268"/>
      <c r="S812" s="313"/>
      <c r="T812" s="313"/>
      <c r="U812" s="268"/>
      <c r="V812" s="309"/>
      <c r="W812" s="310"/>
      <c r="X812" s="268"/>
      <c r="Y812" s="268"/>
      <c r="Z812" s="268"/>
      <c r="AA812" s="268"/>
      <c r="AB812" s="268"/>
      <c r="AC812" s="268"/>
    </row>
    <row r="813" spans="1:29" ht="24.75" customHeight="1">
      <c r="A813" s="268"/>
      <c r="B813" s="268"/>
      <c r="C813" s="268"/>
      <c r="D813" s="268"/>
      <c r="E813" s="268"/>
      <c r="F813" s="268"/>
      <c r="G813" s="268"/>
      <c r="H813" s="268"/>
      <c r="I813" s="268"/>
      <c r="J813" s="268"/>
      <c r="K813" s="268"/>
      <c r="L813" s="309"/>
      <c r="M813" s="268"/>
      <c r="N813" s="268"/>
      <c r="O813" s="310"/>
      <c r="P813" s="268"/>
      <c r="Q813" s="309"/>
      <c r="R813" s="268"/>
      <c r="S813" s="313"/>
      <c r="T813" s="313"/>
      <c r="U813" s="268"/>
      <c r="V813" s="309"/>
      <c r="W813" s="310"/>
      <c r="X813" s="268"/>
      <c r="Y813" s="268"/>
      <c r="Z813" s="268"/>
      <c r="AA813" s="268"/>
      <c r="AB813" s="268"/>
      <c r="AC813" s="268"/>
    </row>
    <row r="814" spans="1:29" ht="24.75" customHeight="1">
      <c r="A814" s="268"/>
      <c r="B814" s="268"/>
      <c r="C814" s="268"/>
      <c r="D814" s="268"/>
      <c r="E814" s="268"/>
      <c r="F814" s="268"/>
      <c r="G814" s="268"/>
      <c r="H814" s="268"/>
      <c r="I814" s="268"/>
      <c r="J814" s="268"/>
      <c r="K814" s="268"/>
      <c r="L814" s="309"/>
      <c r="M814" s="268"/>
      <c r="N814" s="268"/>
      <c r="O814" s="310"/>
      <c r="P814" s="268"/>
      <c r="Q814" s="309"/>
      <c r="R814" s="268"/>
      <c r="S814" s="313"/>
      <c r="T814" s="313"/>
      <c r="U814" s="268"/>
      <c r="V814" s="309"/>
      <c r="W814" s="310"/>
      <c r="X814" s="268"/>
      <c r="Y814" s="268"/>
      <c r="Z814" s="268"/>
      <c r="AA814" s="268"/>
      <c r="AB814" s="268"/>
      <c r="AC814" s="268"/>
    </row>
    <row r="815" spans="1:29" ht="24.75" customHeight="1">
      <c r="A815" s="268"/>
      <c r="B815" s="268"/>
      <c r="C815" s="268"/>
      <c r="D815" s="268"/>
      <c r="E815" s="268"/>
      <c r="F815" s="268"/>
      <c r="G815" s="268"/>
      <c r="H815" s="268"/>
      <c r="I815" s="268"/>
      <c r="J815" s="268"/>
      <c r="K815" s="268"/>
      <c r="L815" s="309"/>
      <c r="M815" s="268"/>
      <c r="N815" s="268"/>
      <c r="O815" s="310"/>
      <c r="P815" s="268"/>
      <c r="Q815" s="309"/>
      <c r="R815" s="268"/>
      <c r="S815" s="313"/>
      <c r="T815" s="313"/>
      <c r="U815" s="268"/>
      <c r="V815" s="309"/>
      <c r="W815" s="310"/>
      <c r="X815" s="268"/>
      <c r="Y815" s="268"/>
      <c r="Z815" s="268"/>
      <c r="AA815" s="268"/>
      <c r="AB815" s="268"/>
      <c r="AC815" s="268"/>
    </row>
    <row r="816" spans="1:29" ht="24.75" customHeight="1">
      <c r="A816" s="268"/>
      <c r="B816" s="268"/>
      <c r="C816" s="268"/>
      <c r="D816" s="268"/>
      <c r="E816" s="268"/>
      <c r="F816" s="268"/>
      <c r="G816" s="268"/>
      <c r="H816" s="268"/>
      <c r="I816" s="268"/>
      <c r="J816" s="268"/>
      <c r="K816" s="268"/>
      <c r="L816" s="309"/>
      <c r="M816" s="268"/>
      <c r="N816" s="268"/>
      <c r="O816" s="310"/>
      <c r="P816" s="268"/>
      <c r="Q816" s="309"/>
      <c r="R816" s="268"/>
      <c r="S816" s="313"/>
      <c r="T816" s="313"/>
      <c r="U816" s="268"/>
      <c r="V816" s="309"/>
      <c r="W816" s="310"/>
      <c r="X816" s="268"/>
      <c r="Y816" s="268"/>
      <c r="Z816" s="268"/>
      <c r="AA816" s="268"/>
      <c r="AB816" s="268"/>
      <c r="AC816" s="268"/>
    </row>
    <row r="817" spans="1:29" ht="24.75" customHeight="1">
      <c r="A817" s="268"/>
      <c r="B817" s="268"/>
      <c r="C817" s="268"/>
      <c r="D817" s="268"/>
      <c r="E817" s="268"/>
      <c r="F817" s="268"/>
      <c r="G817" s="268"/>
      <c r="H817" s="268"/>
      <c r="I817" s="268"/>
      <c r="J817" s="268"/>
      <c r="K817" s="268"/>
      <c r="L817" s="309"/>
      <c r="M817" s="268"/>
      <c r="N817" s="268"/>
      <c r="O817" s="310"/>
      <c r="P817" s="268"/>
      <c r="Q817" s="309"/>
      <c r="R817" s="268"/>
      <c r="S817" s="313"/>
      <c r="T817" s="313"/>
      <c r="U817" s="268"/>
      <c r="V817" s="309"/>
      <c r="W817" s="310"/>
      <c r="X817" s="268"/>
      <c r="Y817" s="268"/>
      <c r="Z817" s="268"/>
      <c r="AA817" s="268"/>
      <c r="AB817" s="268"/>
      <c r="AC817" s="268"/>
    </row>
    <row r="818" spans="1:29" ht="24.75" customHeight="1">
      <c r="A818" s="268"/>
      <c r="B818" s="268"/>
      <c r="C818" s="268"/>
      <c r="D818" s="268"/>
      <c r="E818" s="268"/>
      <c r="F818" s="268"/>
      <c r="G818" s="268"/>
      <c r="H818" s="268"/>
      <c r="I818" s="268"/>
      <c r="J818" s="268"/>
      <c r="K818" s="268"/>
      <c r="L818" s="309"/>
      <c r="M818" s="268"/>
      <c r="N818" s="268"/>
      <c r="O818" s="310"/>
      <c r="P818" s="268"/>
      <c r="Q818" s="309"/>
      <c r="R818" s="268"/>
      <c r="S818" s="313"/>
      <c r="T818" s="313"/>
      <c r="U818" s="268"/>
      <c r="V818" s="309"/>
      <c r="W818" s="310"/>
      <c r="X818" s="268"/>
      <c r="Y818" s="268"/>
      <c r="Z818" s="268"/>
      <c r="AA818" s="268"/>
      <c r="AB818" s="268"/>
      <c r="AC818" s="268"/>
    </row>
    <row r="819" spans="1:29" ht="24.75" customHeight="1">
      <c r="A819" s="268"/>
      <c r="B819" s="268"/>
      <c r="C819" s="268"/>
      <c r="D819" s="268"/>
      <c r="E819" s="268"/>
      <c r="F819" s="268"/>
      <c r="G819" s="268"/>
      <c r="H819" s="268"/>
      <c r="I819" s="268"/>
      <c r="J819" s="268"/>
      <c r="K819" s="268"/>
      <c r="L819" s="309"/>
      <c r="M819" s="268"/>
      <c r="N819" s="268"/>
      <c r="O819" s="310"/>
      <c r="P819" s="268"/>
      <c r="Q819" s="309"/>
      <c r="R819" s="268"/>
      <c r="S819" s="313"/>
      <c r="T819" s="313"/>
      <c r="U819" s="268"/>
      <c r="V819" s="309"/>
      <c r="W819" s="310"/>
      <c r="X819" s="268"/>
      <c r="Y819" s="268"/>
      <c r="Z819" s="268"/>
      <c r="AA819" s="268"/>
      <c r="AB819" s="268"/>
      <c r="AC819" s="268"/>
    </row>
    <row r="820" spans="1:29" ht="24.75" customHeight="1">
      <c r="A820" s="268"/>
      <c r="B820" s="268"/>
      <c r="C820" s="268"/>
      <c r="D820" s="268"/>
      <c r="E820" s="268"/>
      <c r="F820" s="268"/>
      <c r="G820" s="268"/>
      <c r="H820" s="268"/>
      <c r="I820" s="268"/>
      <c r="J820" s="268"/>
      <c r="K820" s="268"/>
      <c r="L820" s="309"/>
      <c r="M820" s="268"/>
      <c r="N820" s="268"/>
      <c r="O820" s="310"/>
      <c r="P820" s="268"/>
      <c r="Q820" s="309"/>
      <c r="R820" s="268"/>
      <c r="S820" s="313"/>
      <c r="T820" s="313"/>
      <c r="U820" s="268"/>
      <c r="V820" s="309"/>
      <c r="W820" s="310"/>
      <c r="X820" s="268"/>
      <c r="Y820" s="268"/>
      <c r="Z820" s="268"/>
      <c r="AA820" s="268"/>
      <c r="AB820" s="268"/>
      <c r="AC820" s="268"/>
    </row>
    <row r="821" spans="1:29" ht="24.75" customHeight="1">
      <c r="A821" s="268"/>
      <c r="B821" s="268"/>
      <c r="C821" s="268"/>
      <c r="D821" s="268"/>
      <c r="E821" s="268"/>
      <c r="F821" s="268"/>
      <c r="G821" s="268"/>
      <c r="H821" s="268"/>
      <c r="I821" s="268"/>
      <c r="J821" s="268"/>
      <c r="K821" s="268"/>
      <c r="L821" s="309"/>
      <c r="M821" s="268"/>
      <c r="N821" s="268"/>
      <c r="O821" s="310"/>
      <c r="P821" s="268"/>
      <c r="Q821" s="309"/>
      <c r="R821" s="268"/>
      <c r="S821" s="313"/>
      <c r="T821" s="313"/>
      <c r="U821" s="268"/>
      <c r="V821" s="309"/>
      <c r="W821" s="310"/>
      <c r="X821" s="268"/>
      <c r="Y821" s="268"/>
      <c r="Z821" s="268"/>
      <c r="AA821" s="268"/>
      <c r="AB821" s="268"/>
      <c r="AC821" s="268"/>
    </row>
    <row r="822" spans="1:29" ht="24.75" customHeight="1">
      <c r="A822" s="268"/>
      <c r="B822" s="268"/>
      <c r="C822" s="268"/>
      <c r="D822" s="268"/>
      <c r="E822" s="268"/>
      <c r="F822" s="268"/>
      <c r="G822" s="268"/>
      <c r="H822" s="268"/>
      <c r="I822" s="268"/>
      <c r="J822" s="268"/>
      <c r="K822" s="268"/>
      <c r="L822" s="309"/>
      <c r="M822" s="268"/>
      <c r="N822" s="268"/>
      <c r="O822" s="310"/>
      <c r="P822" s="268"/>
      <c r="Q822" s="309"/>
      <c r="R822" s="268"/>
      <c r="S822" s="313"/>
      <c r="T822" s="313"/>
      <c r="U822" s="268"/>
      <c r="V822" s="309"/>
      <c r="W822" s="310"/>
      <c r="X822" s="268"/>
      <c r="Y822" s="268"/>
      <c r="Z822" s="268"/>
      <c r="AA822" s="268"/>
      <c r="AB822" s="268"/>
      <c r="AC822" s="268"/>
    </row>
    <row r="823" spans="1:29" ht="24.75" customHeight="1">
      <c r="A823" s="268"/>
      <c r="B823" s="268"/>
      <c r="C823" s="268"/>
      <c r="D823" s="268"/>
      <c r="E823" s="268"/>
      <c r="F823" s="268"/>
      <c r="G823" s="268"/>
      <c r="H823" s="268"/>
      <c r="I823" s="268"/>
      <c r="J823" s="268"/>
      <c r="K823" s="268"/>
      <c r="L823" s="309"/>
      <c r="M823" s="268"/>
      <c r="N823" s="268"/>
      <c r="O823" s="310"/>
      <c r="P823" s="268"/>
      <c r="Q823" s="309"/>
      <c r="R823" s="268"/>
      <c r="S823" s="313"/>
      <c r="T823" s="313"/>
      <c r="U823" s="268"/>
      <c r="V823" s="309"/>
      <c r="W823" s="310"/>
      <c r="X823" s="268"/>
      <c r="Y823" s="268"/>
      <c r="Z823" s="268"/>
      <c r="AA823" s="268"/>
      <c r="AB823" s="268"/>
      <c r="AC823" s="268"/>
    </row>
    <row r="824" spans="1:29" ht="24.75" customHeight="1">
      <c r="A824" s="268"/>
      <c r="B824" s="268"/>
      <c r="C824" s="268"/>
      <c r="D824" s="268"/>
      <c r="E824" s="268"/>
      <c r="F824" s="268"/>
      <c r="G824" s="268"/>
      <c r="H824" s="268"/>
      <c r="I824" s="268"/>
      <c r="J824" s="268"/>
      <c r="K824" s="268"/>
      <c r="L824" s="309"/>
      <c r="M824" s="268"/>
      <c r="N824" s="268"/>
      <c r="O824" s="310"/>
      <c r="P824" s="268"/>
      <c r="Q824" s="309"/>
      <c r="R824" s="268"/>
      <c r="S824" s="313"/>
      <c r="T824" s="313"/>
      <c r="U824" s="268"/>
      <c r="V824" s="309"/>
      <c r="W824" s="310"/>
      <c r="X824" s="268"/>
      <c r="Y824" s="268"/>
      <c r="Z824" s="268"/>
      <c r="AA824" s="268"/>
      <c r="AB824" s="268"/>
      <c r="AC824" s="268"/>
    </row>
    <row r="825" spans="1:29" ht="24.75" customHeight="1">
      <c r="A825" s="268"/>
      <c r="B825" s="268"/>
      <c r="C825" s="268"/>
      <c r="D825" s="268"/>
      <c r="E825" s="268"/>
      <c r="F825" s="268"/>
      <c r="G825" s="268"/>
      <c r="H825" s="268"/>
      <c r="I825" s="268"/>
      <c r="J825" s="268"/>
      <c r="K825" s="268"/>
      <c r="L825" s="309"/>
      <c r="M825" s="268"/>
      <c r="N825" s="268"/>
      <c r="O825" s="310"/>
      <c r="P825" s="268"/>
      <c r="Q825" s="309"/>
      <c r="R825" s="268"/>
      <c r="S825" s="313"/>
      <c r="T825" s="313"/>
      <c r="U825" s="268"/>
      <c r="V825" s="309"/>
      <c r="W825" s="310"/>
      <c r="X825" s="268"/>
      <c r="Y825" s="268"/>
      <c r="Z825" s="268"/>
      <c r="AA825" s="268"/>
      <c r="AB825" s="268"/>
      <c r="AC825" s="268"/>
    </row>
    <row r="826" spans="1:29" ht="24.75" customHeight="1">
      <c r="A826" s="268"/>
      <c r="B826" s="268"/>
      <c r="C826" s="268"/>
      <c r="D826" s="268"/>
      <c r="E826" s="268"/>
      <c r="F826" s="268"/>
      <c r="G826" s="268"/>
      <c r="H826" s="268"/>
      <c r="I826" s="268"/>
      <c r="J826" s="268"/>
      <c r="K826" s="268"/>
      <c r="L826" s="309"/>
      <c r="M826" s="268"/>
      <c r="N826" s="268"/>
      <c r="O826" s="310"/>
      <c r="P826" s="268"/>
      <c r="Q826" s="309"/>
      <c r="R826" s="268"/>
      <c r="S826" s="313"/>
      <c r="T826" s="313"/>
      <c r="U826" s="268"/>
      <c r="V826" s="309"/>
      <c r="W826" s="310"/>
      <c r="X826" s="268"/>
      <c r="Y826" s="268"/>
      <c r="Z826" s="268"/>
      <c r="AA826" s="268"/>
      <c r="AB826" s="268"/>
      <c r="AC826" s="268"/>
    </row>
    <row r="827" spans="1:29" ht="24.75" customHeight="1">
      <c r="A827" s="268"/>
      <c r="B827" s="268"/>
      <c r="C827" s="268"/>
      <c r="D827" s="268"/>
      <c r="E827" s="268"/>
      <c r="F827" s="268"/>
      <c r="G827" s="268"/>
      <c r="H827" s="268"/>
      <c r="I827" s="268"/>
      <c r="J827" s="268"/>
      <c r="K827" s="268"/>
      <c r="L827" s="309"/>
      <c r="M827" s="268"/>
      <c r="N827" s="268"/>
      <c r="O827" s="310"/>
      <c r="P827" s="268"/>
      <c r="Q827" s="309"/>
      <c r="R827" s="268"/>
      <c r="S827" s="313"/>
      <c r="T827" s="313"/>
      <c r="U827" s="268"/>
      <c r="V827" s="309"/>
      <c r="W827" s="310"/>
      <c r="X827" s="268"/>
      <c r="Y827" s="268"/>
      <c r="Z827" s="268"/>
      <c r="AA827" s="268"/>
      <c r="AB827" s="268"/>
      <c r="AC827" s="268"/>
    </row>
    <row r="828" spans="1:29" ht="24.75" customHeight="1">
      <c r="A828" s="268"/>
      <c r="B828" s="268"/>
      <c r="C828" s="268"/>
      <c r="D828" s="268"/>
      <c r="E828" s="268"/>
      <c r="F828" s="268"/>
      <c r="G828" s="268"/>
      <c r="H828" s="268"/>
      <c r="I828" s="268"/>
      <c r="J828" s="268"/>
      <c r="K828" s="268"/>
      <c r="L828" s="309"/>
      <c r="M828" s="268"/>
      <c r="N828" s="268"/>
      <c r="O828" s="310"/>
      <c r="P828" s="268"/>
      <c r="Q828" s="309"/>
      <c r="R828" s="268"/>
      <c r="S828" s="313"/>
      <c r="T828" s="313"/>
      <c r="U828" s="268"/>
      <c r="V828" s="309"/>
      <c r="W828" s="310"/>
      <c r="X828" s="268"/>
      <c r="Y828" s="268"/>
      <c r="Z828" s="268"/>
      <c r="AA828" s="268"/>
      <c r="AB828" s="268"/>
      <c r="AC828" s="268"/>
    </row>
    <row r="829" spans="1:29" ht="24.75" customHeight="1">
      <c r="A829" s="268"/>
      <c r="B829" s="268"/>
      <c r="C829" s="268"/>
      <c r="D829" s="268"/>
      <c r="E829" s="268"/>
      <c r="F829" s="268"/>
      <c r="G829" s="268"/>
      <c r="H829" s="268"/>
      <c r="I829" s="268"/>
      <c r="J829" s="268"/>
      <c r="K829" s="268"/>
      <c r="L829" s="309"/>
      <c r="M829" s="268"/>
      <c r="N829" s="268"/>
      <c r="O829" s="310"/>
      <c r="P829" s="268"/>
      <c r="Q829" s="309"/>
      <c r="R829" s="268"/>
      <c r="S829" s="313"/>
      <c r="T829" s="313"/>
      <c r="U829" s="268"/>
      <c r="V829" s="309"/>
      <c r="W829" s="310"/>
      <c r="X829" s="268"/>
      <c r="Y829" s="268"/>
      <c r="Z829" s="268"/>
      <c r="AA829" s="268"/>
      <c r="AB829" s="268"/>
      <c r="AC829" s="268"/>
    </row>
    <row r="830" spans="1:29" ht="24.75" customHeight="1">
      <c r="A830" s="268"/>
      <c r="B830" s="268"/>
      <c r="C830" s="268"/>
      <c r="D830" s="268"/>
      <c r="E830" s="268"/>
      <c r="F830" s="268"/>
      <c r="G830" s="268"/>
      <c r="H830" s="268"/>
      <c r="I830" s="268"/>
      <c r="J830" s="268"/>
      <c r="K830" s="268"/>
      <c r="L830" s="309"/>
      <c r="M830" s="268"/>
      <c r="N830" s="268"/>
      <c r="O830" s="310"/>
      <c r="P830" s="268"/>
      <c r="Q830" s="309"/>
      <c r="R830" s="268"/>
      <c r="S830" s="313"/>
      <c r="T830" s="313"/>
      <c r="U830" s="268"/>
      <c r="V830" s="309"/>
      <c r="W830" s="310"/>
      <c r="X830" s="268"/>
      <c r="Y830" s="268"/>
      <c r="Z830" s="268"/>
      <c r="AA830" s="268"/>
      <c r="AB830" s="268"/>
      <c r="AC830" s="268"/>
    </row>
    <row r="831" spans="1:29" ht="24.75" customHeight="1">
      <c r="A831" s="268"/>
      <c r="B831" s="268"/>
      <c r="C831" s="268"/>
      <c r="D831" s="268"/>
      <c r="E831" s="268"/>
      <c r="F831" s="268"/>
      <c r="G831" s="268"/>
      <c r="H831" s="268"/>
      <c r="I831" s="268"/>
      <c r="J831" s="268"/>
      <c r="K831" s="268"/>
      <c r="L831" s="309"/>
      <c r="M831" s="268"/>
      <c r="N831" s="268"/>
      <c r="O831" s="310"/>
      <c r="P831" s="268"/>
      <c r="Q831" s="309"/>
      <c r="R831" s="268"/>
      <c r="S831" s="313"/>
      <c r="T831" s="313"/>
      <c r="U831" s="268"/>
      <c r="V831" s="309"/>
      <c r="W831" s="310"/>
      <c r="X831" s="268"/>
      <c r="Y831" s="268"/>
      <c r="Z831" s="268"/>
      <c r="AA831" s="268"/>
      <c r="AB831" s="268"/>
      <c r="AC831" s="268"/>
    </row>
    <row r="832" spans="1:29" ht="24.75" customHeight="1">
      <c r="A832" s="268"/>
      <c r="B832" s="268"/>
      <c r="C832" s="268"/>
      <c r="D832" s="268"/>
      <c r="E832" s="268"/>
      <c r="F832" s="268"/>
      <c r="G832" s="268"/>
      <c r="H832" s="268"/>
      <c r="I832" s="268"/>
      <c r="J832" s="268"/>
      <c r="K832" s="268"/>
      <c r="L832" s="309"/>
      <c r="M832" s="268"/>
      <c r="N832" s="268"/>
      <c r="O832" s="310"/>
      <c r="P832" s="268"/>
      <c r="Q832" s="309"/>
      <c r="R832" s="268"/>
      <c r="S832" s="313"/>
      <c r="T832" s="313"/>
      <c r="U832" s="268"/>
      <c r="V832" s="309"/>
      <c r="W832" s="310"/>
      <c r="X832" s="268"/>
      <c r="Y832" s="268"/>
      <c r="Z832" s="268"/>
      <c r="AA832" s="268"/>
      <c r="AB832" s="268"/>
      <c r="AC832" s="268"/>
    </row>
    <row r="833" spans="1:29" ht="24.75" customHeight="1">
      <c r="A833" s="268"/>
      <c r="B833" s="268"/>
      <c r="C833" s="268"/>
      <c r="D833" s="268"/>
      <c r="E833" s="268"/>
      <c r="F833" s="268"/>
      <c r="G833" s="268"/>
      <c r="H833" s="268"/>
      <c r="I833" s="268"/>
      <c r="J833" s="268"/>
      <c r="K833" s="268"/>
      <c r="L833" s="309"/>
      <c r="M833" s="268"/>
      <c r="N833" s="268"/>
      <c r="O833" s="310"/>
      <c r="P833" s="268"/>
      <c r="Q833" s="309"/>
      <c r="R833" s="268"/>
      <c r="S833" s="313"/>
      <c r="T833" s="313"/>
      <c r="U833" s="268"/>
      <c r="V833" s="309"/>
      <c r="W833" s="310"/>
      <c r="X833" s="268"/>
      <c r="Y833" s="268"/>
      <c r="Z833" s="268"/>
      <c r="AA833" s="268"/>
      <c r="AB833" s="268"/>
      <c r="AC833" s="268"/>
    </row>
    <row r="834" spans="1:29" ht="24.75" customHeight="1">
      <c r="A834" s="268"/>
      <c r="B834" s="268"/>
      <c r="C834" s="268"/>
      <c r="D834" s="268"/>
      <c r="E834" s="268"/>
      <c r="F834" s="268"/>
      <c r="G834" s="268"/>
      <c r="H834" s="268"/>
      <c r="I834" s="268"/>
      <c r="J834" s="268"/>
      <c r="K834" s="268"/>
      <c r="L834" s="309"/>
      <c r="M834" s="268"/>
      <c r="N834" s="268"/>
      <c r="O834" s="310"/>
      <c r="P834" s="268"/>
      <c r="Q834" s="309"/>
      <c r="R834" s="268"/>
      <c r="S834" s="313"/>
      <c r="T834" s="313"/>
      <c r="U834" s="268"/>
      <c r="V834" s="309"/>
      <c r="W834" s="310"/>
      <c r="X834" s="268"/>
      <c r="Y834" s="268"/>
      <c r="Z834" s="268"/>
      <c r="AA834" s="268"/>
      <c r="AB834" s="268"/>
      <c r="AC834" s="268"/>
    </row>
    <row r="835" spans="1:29" ht="24.75" customHeight="1">
      <c r="A835" s="268"/>
      <c r="B835" s="268"/>
      <c r="C835" s="268"/>
      <c r="D835" s="268"/>
      <c r="E835" s="268"/>
      <c r="F835" s="268"/>
      <c r="G835" s="268"/>
      <c r="H835" s="268"/>
      <c r="I835" s="268"/>
      <c r="J835" s="268"/>
      <c r="K835" s="268"/>
      <c r="L835" s="309"/>
      <c r="M835" s="268"/>
      <c r="N835" s="268"/>
      <c r="O835" s="310"/>
      <c r="P835" s="268"/>
      <c r="Q835" s="309"/>
      <c r="R835" s="268"/>
      <c r="S835" s="313"/>
      <c r="T835" s="313"/>
      <c r="U835" s="268"/>
      <c r="V835" s="309"/>
      <c r="W835" s="310"/>
      <c r="X835" s="268"/>
      <c r="Y835" s="268"/>
      <c r="Z835" s="268"/>
      <c r="AA835" s="268"/>
      <c r="AB835" s="268"/>
      <c r="AC835" s="268"/>
    </row>
    <row r="836" spans="1:29" ht="24.75" customHeight="1">
      <c r="A836" s="268"/>
      <c r="B836" s="268"/>
      <c r="C836" s="268"/>
      <c r="D836" s="268"/>
      <c r="E836" s="268"/>
      <c r="F836" s="268"/>
      <c r="G836" s="268"/>
      <c r="H836" s="268"/>
      <c r="I836" s="268"/>
      <c r="J836" s="268"/>
      <c r="K836" s="268"/>
      <c r="L836" s="309"/>
      <c r="M836" s="268"/>
      <c r="N836" s="268"/>
      <c r="O836" s="310"/>
      <c r="P836" s="268"/>
      <c r="Q836" s="309"/>
      <c r="R836" s="268"/>
      <c r="S836" s="313"/>
      <c r="T836" s="313"/>
      <c r="U836" s="268"/>
      <c r="V836" s="309"/>
      <c r="W836" s="310"/>
      <c r="X836" s="268"/>
      <c r="Y836" s="268"/>
      <c r="Z836" s="268"/>
      <c r="AA836" s="268"/>
      <c r="AB836" s="268"/>
      <c r="AC836" s="268"/>
    </row>
    <row r="837" spans="1:29" ht="24.75" customHeight="1">
      <c r="A837" s="268"/>
      <c r="B837" s="268"/>
      <c r="C837" s="268"/>
      <c r="D837" s="268"/>
      <c r="E837" s="268"/>
      <c r="F837" s="268"/>
      <c r="G837" s="268"/>
      <c r="H837" s="268"/>
      <c r="I837" s="268"/>
      <c r="J837" s="268"/>
      <c r="K837" s="268"/>
      <c r="L837" s="309"/>
      <c r="M837" s="268"/>
      <c r="N837" s="268"/>
      <c r="O837" s="310"/>
      <c r="P837" s="268"/>
      <c r="Q837" s="309"/>
      <c r="R837" s="268"/>
      <c r="S837" s="313"/>
      <c r="T837" s="313"/>
      <c r="U837" s="268"/>
      <c r="V837" s="309"/>
      <c r="W837" s="310"/>
      <c r="X837" s="268"/>
      <c r="Y837" s="268"/>
      <c r="Z837" s="268"/>
      <c r="AA837" s="268"/>
      <c r="AB837" s="268"/>
      <c r="AC837" s="268"/>
    </row>
    <row r="838" spans="1:29" ht="24.75" customHeight="1">
      <c r="A838" s="268"/>
      <c r="B838" s="268"/>
      <c r="C838" s="268"/>
      <c r="D838" s="268"/>
      <c r="E838" s="268"/>
      <c r="F838" s="268"/>
      <c r="G838" s="268"/>
      <c r="H838" s="268"/>
      <c r="I838" s="268"/>
      <c r="J838" s="268"/>
      <c r="K838" s="268"/>
      <c r="L838" s="309"/>
      <c r="M838" s="268"/>
      <c r="N838" s="268"/>
      <c r="O838" s="310"/>
      <c r="P838" s="268"/>
      <c r="Q838" s="309"/>
      <c r="R838" s="268"/>
      <c r="S838" s="313"/>
      <c r="T838" s="313"/>
      <c r="U838" s="268"/>
      <c r="V838" s="309"/>
      <c r="W838" s="310"/>
      <c r="X838" s="268"/>
      <c r="Y838" s="268"/>
      <c r="Z838" s="268"/>
      <c r="AA838" s="268"/>
      <c r="AB838" s="268"/>
      <c r="AC838" s="268"/>
    </row>
    <row r="839" spans="1:29" ht="24.75" customHeight="1">
      <c r="A839" s="268"/>
      <c r="B839" s="268"/>
      <c r="C839" s="268"/>
      <c r="D839" s="268"/>
      <c r="E839" s="268"/>
      <c r="F839" s="268"/>
      <c r="G839" s="268"/>
      <c r="H839" s="268"/>
      <c r="I839" s="268"/>
      <c r="J839" s="268"/>
      <c r="K839" s="268"/>
      <c r="L839" s="309"/>
      <c r="M839" s="268"/>
      <c r="N839" s="268"/>
      <c r="O839" s="310"/>
      <c r="P839" s="268"/>
      <c r="Q839" s="309"/>
      <c r="R839" s="268"/>
      <c r="S839" s="313"/>
      <c r="T839" s="313"/>
      <c r="U839" s="268"/>
      <c r="V839" s="309"/>
      <c r="W839" s="310"/>
      <c r="X839" s="268"/>
      <c r="Y839" s="268"/>
      <c r="Z839" s="268"/>
      <c r="AA839" s="268"/>
      <c r="AB839" s="268"/>
      <c r="AC839" s="268"/>
    </row>
    <row r="840" spans="1:29" ht="24.75" customHeight="1">
      <c r="A840" s="268"/>
      <c r="B840" s="268"/>
      <c r="C840" s="268"/>
      <c r="D840" s="268"/>
      <c r="E840" s="268"/>
      <c r="F840" s="268"/>
      <c r="G840" s="268"/>
      <c r="H840" s="268"/>
      <c r="I840" s="268"/>
      <c r="J840" s="268"/>
      <c r="K840" s="268"/>
      <c r="L840" s="309"/>
      <c r="M840" s="268"/>
      <c r="N840" s="268"/>
      <c r="O840" s="310"/>
      <c r="P840" s="268"/>
      <c r="Q840" s="309"/>
      <c r="R840" s="268"/>
      <c r="S840" s="313"/>
      <c r="T840" s="313"/>
      <c r="U840" s="268"/>
      <c r="V840" s="309"/>
      <c r="W840" s="310"/>
      <c r="X840" s="268"/>
      <c r="Y840" s="268"/>
      <c r="Z840" s="268"/>
      <c r="AA840" s="268"/>
      <c r="AB840" s="268"/>
      <c r="AC840" s="268"/>
    </row>
    <row r="841" spans="1:29" ht="24.75" customHeight="1">
      <c r="A841" s="268"/>
      <c r="B841" s="268"/>
      <c r="C841" s="268"/>
      <c r="D841" s="268"/>
      <c r="E841" s="268"/>
      <c r="F841" s="268"/>
      <c r="G841" s="268"/>
      <c r="H841" s="268"/>
      <c r="I841" s="268"/>
      <c r="J841" s="268"/>
      <c r="K841" s="268"/>
      <c r="L841" s="309"/>
      <c r="M841" s="268"/>
      <c r="N841" s="268"/>
      <c r="O841" s="310"/>
      <c r="P841" s="268"/>
      <c r="Q841" s="309"/>
      <c r="R841" s="268"/>
      <c r="S841" s="313"/>
      <c r="T841" s="313"/>
      <c r="U841" s="268"/>
      <c r="V841" s="309"/>
      <c r="W841" s="310"/>
      <c r="X841" s="268"/>
      <c r="Y841" s="268"/>
      <c r="Z841" s="268"/>
      <c r="AA841" s="268"/>
      <c r="AB841" s="268"/>
      <c r="AC841" s="268"/>
    </row>
    <row r="842" spans="1:29" ht="24.75" customHeight="1">
      <c r="A842" s="268"/>
      <c r="B842" s="268"/>
      <c r="C842" s="268"/>
      <c r="D842" s="268"/>
      <c r="E842" s="268"/>
      <c r="F842" s="268"/>
      <c r="G842" s="268"/>
      <c r="H842" s="268"/>
      <c r="I842" s="268"/>
      <c r="J842" s="268"/>
      <c r="K842" s="268"/>
      <c r="L842" s="309"/>
      <c r="M842" s="268"/>
      <c r="N842" s="268"/>
      <c r="O842" s="310"/>
      <c r="P842" s="268"/>
      <c r="Q842" s="309"/>
      <c r="R842" s="268"/>
      <c r="S842" s="313"/>
      <c r="T842" s="313"/>
      <c r="U842" s="268"/>
      <c r="V842" s="309"/>
      <c r="W842" s="310"/>
      <c r="X842" s="268"/>
      <c r="Y842" s="268"/>
      <c r="Z842" s="268"/>
      <c r="AA842" s="268"/>
      <c r="AB842" s="268"/>
      <c r="AC842" s="268"/>
    </row>
    <row r="843" spans="1:29" ht="24.75" customHeight="1">
      <c r="A843" s="268"/>
      <c r="B843" s="268"/>
      <c r="C843" s="268"/>
      <c r="D843" s="268"/>
      <c r="E843" s="268"/>
      <c r="F843" s="268"/>
      <c r="G843" s="268"/>
      <c r="H843" s="268"/>
      <c r="I843" s="268"/>
      <c r="J843" s="268"/>
      <c r="K843" s="268"/>
      <c r="L843" s="309"/>
      <c r="M843" s="268"/>
      <c r="N843" s="268"/>
      <c r="O843" s="310"/>
      <c r="P843" s="268"/>
      <c r="Q843" s="309"/>
      <c r="R843" s="268"/>
      <c r="S843" s="313"/>
      <c r="T843" s="313"/>
      <c r="U843" s="268"/>
      <c r="V843" s="309"/>
      <c r="W843" s="310"/>
      <c r="X843" s="268"/>
      <c r="Y843" s="268"/>
      <c r="Z843" s="268"/>
      <c r="AA843" s="268"/>
      <c r="AB843" s="268"/>
      <c r="AC843" s="268"/>
    </row>
    <row r="844" spans="1:29" ht="24.75" customHeight="1">
      <c r="A844" s="268"/>
      <c r="B844" s="268"/>
      <c r="C844" s="268"/>
      <c r="D844" s="268"/>
      <c r="E844" s="268"/>
      <c r="F844" s="268"/>
      <c r="G844" s="268"/>
      <c r="H844" s="268"/>
      <c r="I844" s="268"/>
      <c r="J844" s="268"/>
      <c r="K844" s="268"/>
      <c r="L844" s="309"/>
      <c r="M844" s="268"/>
      <c r="N844" s="268"/>
      <c r="O844" s="310"/>
      <c r="P844" s="268"/>
      <c r="Q844" s="309"/>
      <c r="R844" s="268"/>
      <c r="S844" s="313"/>
      <c r="T844" s="313"/>
      <c r="U844" s="268"/>
      <c r="V844" s="309"/>
      <c r="W844" s="310"/>
      <c r="X844" s="268"/>
      <c r="Y844" s="268"/>
      <c r="Z844" s="268"/>
      <c r="AA844" s="268"/>
      <c r="AB844" s="268"/>
      <c r="AC844" s="268"/>
    </row>
    <row r="845" spans="1:29" ht="24.75" customHeight="1">
      <c r="A845" s="268"/>
      <c r="B845" s="268"/>
      <c r="C845" s="268"/>
      <c r="D845" s="268"/>
      <c r="E845" s="268"/>
      <c r="F845" s="268"/>
      <c r="G845" s="268"/>
      <c r="H845" s="268"/>
      <c r="I845" s="268"/>
      <c r="J845" s="268"/>
      <c r="K845" s="268"/>
      <c r="L845" s="309"/>
      <c r="M845" s="268"/>
      <c r="N845" s="268"/>
      <c r="O845" s="310"/>
      <c r="P845" s="268"/>
      <c r="Q845" s="309"/>
      <c r="R845" s="268"/>
      <c r="S845" s="313"/>
      <c r="T845" s="313"/>
      <c r="U845" s="268"/>
      <c r="V845" s="309"/>
      <c r="W845" s="310"/>
      <c r="X845" s="268"/>
      <c r="Y845" s="268"/>
      <c r="Z845" s="268"/>
      <c r="AA845" s="268"/>
      <c r="AB845" s="268"/>
      <c r="AC845" s="268"/>
    </row>
    <row r="846" spans="1:29" ht="24.75" customHeight="1">
      <c r="A846" s="268"/>
      <c r="B846" s="268"/>
      <c r="C846" s="268"/>
      <c r="D846" s="268"/>
      <c r="E846" s="268"/>
      <c r="F846" s="268"/>
      <c r="G846" s="268"/>
      <c r="H846" s="268"/>
      <c r="I846" s="268"/>
      <c r="J846" s="268"/>
      <c r="K846" s="268"/>
      <c r="L846" s="309"/>
      <c r="M846" s="268"/>
      <c r="N846" s="268"/>
      <c r="O846" s="310"/>
      <c r="P846" s="268"/>
      <c r="Q846" s="309"/>
      <c r="R846" s="268"/>
      <c r="S846" s="313"/>
      <c r="T846" s="313"/>
      <c r="U846" s="268"/>
      <c r="V846" s="309"/>
      <c r="W846" s="310"/>
      <c r="X846" s="268"/>
      <c r="Y846" s="268"/>
      <c r="Z846" s="268"/>
      <c r="AA846" s="268"/>
      <c r="AB846" s="268"/>
      <c r="AC846" s="268"/>
    </row>
    <row r="847" spans="1:29" ht="24.75" customHeight="1">
      <c r="A847" s="268"/>
      <c r="B847" s="268"/>
      <c r="C847" s="268"/>
      <c r="D847" s="268"/>
      <c r="E847" s="268"/>
      <c r="F847" s="268"/>
      <c r="G847" s="268"/>
      <c r="H847" s="268"/>
      <c r="I847" s="268"/>
      <c r="J847" s="268"/>
      <c r="K847" s="268"/>
      <c r="L847" s="309"/>
      <c r="M847" s="268"/>
      <c r="N847" s="268"/>
      <c r="O847" s="310"/>
      <c r="P847" s="268"/>
      <c r="Q847" s="309"/>
      <c r="R847" s="268"/>
      <c r="S847" s="313"/>
      <c r="T847" s="313"/>
      <c r="U847" s="268"/>
      <c r="V847" s="309"/>
      <c r="W847" s="310"/>
      <c r="X847" s="268"/>
      <c r="Y847" s="268"/>
      <c r="Z847" s="268"/>
      <c r="AA847" s="268"/>
      <c r="AB847" s="268"/>
      <c r="AC847" s="268"/>
    </row>
    <row r="848" spans="1:29" ht="24.75" customHeight="1">
      <c r="A848" s="268"/>
      <c r="B848" s="268"/>
      <c r="C848" s="268"/>
      <c r="D848" s="268"/>
      <c r="E848" s="268"/>
      <c r="F848" s="268"/>
      <c r="G848" s="268"/>
      <c r="H848" s="268"/>
      <c r="I848" s="268"/>
      <c r="J848" s="268"/>
      <c r="K848" s="268"/>
      <c r="L848" s="309"/>
      <c r="M848" s="268"/>
      <c r="N848" s="268"/>
      <c r="O848" s="310"/>
      <c r="P848" s="268"/>
      <c r="Q848" s="309"/>
      <c r="R848" s="268"/>
      <c r="S848" s="313"/>
      <c r="T848" s="313"/>
      <c r="U848" s="268"/>
      <c r="V848" s="309"/>
      <c r="W848" s="310"/>
      <c r="X848" s="268"/>
      <c r="Y848" s="268"/>
      <c r="Z848" s="268"/>
      <c r="AA848" s="268"/>
      <c r="AB848" s="268"/>
      <c r="AC848" s="268"/>
    </row>
    <row r="849" spans="1:29" ht="24.75" customHeight="1">
      <c r="A849" s="268"/>
      <c r="B849" s="268"/>
      <c r="C849" s="268"/>
      <c r="D849" s="268"/>
      <c r="E849" s="268"/>
      <c r="F849" s="268"/>
      <c r="G849" s="268"/>
      <c r="H849" s="268"/>
      <c r="I849" s="268"/>
      <c r="J849" s="268"/>
      <c r="K849" s="268"/>
      <c r="L849" s="309"/>
      <c r="M849" s="268"/>
      <c r="N849" s="268"/>
      <c r="O849" s="310"/>
      <c r="P849" s="268"/>
      <c r="Q849" s="309"/>
      <c r="R849" s="268"/>
      <c r="S849" s="313"/>
      <c r="T849" s="313"/>
      <c r="U849" s="268"/>
      <c r="V849" s="309"/>
      <c r="W849" s="310"/>
      <c r="X849" s="268"/>
      <c r="Y849" s="268"/>
      <c r="Z849" s="268"/>
      <c r="AA849" s="268"/>
      <c r="AB849" s="268"/>
      <c r="AC849" s="268"/>
    </row>
    <row r="850" spans="1:29" ht="24.75" customHeight="1">
      <c r="A850" s="268"/>
      <c r="B850" s="268"/>
      <c r="C850" s="268"/>
      <c r="D850" s="268"/>
      <c r="E850" s="268"/>
      <c r="F850" s="268"/>
      <c r="G850" s="268"/>
      <c r="H850" s="268"/>
      <c r="I850" s="268"/>
      <c r="J850" s="268"/>
      <c r="K850" s="268"/>
      <c r="L850" s="309"/>
      <c r="M850" s="268"/>
      <c r="N850" s="268"/>
      <c r="O850" s="310"/>
      <c r="P850" s="268"/>
      <c r="Q850" s="309"/>
      <c r="R850" s="268"/>
      <c r="S850" s="313"/>
      <c r="T850" s="313"/>
      <c r="U850" s="268"/>
      <c r="V850" s="309"/>
      <c r="W850" s="310"/>
      <c r="X850" s="268"/>
      <c r="Y850" s="268"/>
      <c r="Z850" s="268"/>
      <c r="AA850" s="268"/>
      <c r="AB850" s="268"/>
      <c r="AC850" s="268"/>
    </row>
    <row r="851" spans="1:29" ht="24.75" customHeight="1">
      <c r="A851" s="268"/>
      <c r="B851" s="268"/>
      <c r="C851" s="268"/>
      <c r="D851" s="268"/>
      <c r="E851" s="268"/>
      <c r="F851" s="268"/>
      <c r="G851" s="268"/>
      <c r="H851" s="268"/>
      <c r="I851" s="268"/>
      <c r="J851" s="268"/>
      <c r="K851" s="268"/>
      <c r="L851" s="309"/>
      <c r="M851" s="268"/>
      <c r="N851" s="268"/>
      <c r="O851" s="310"/>
      <c r="P851" s="268"/>
      <c r="Q851" s="309"/>
      <c r="R851" s="268"/>
      <c r="S851" s="313"/>
      <c r="T851" s="313"/>
      <c r="U851" s="268"/>
      <c r="V851" s="309"/>
      <c r="W851" s="310"/>
      <c r="X851" s="268"/>
      <c r="Y851" s="268"/>
      <c r="Z851" s="268"/>
      <c r="AA851" s="268"/>
      <c r="AB851" s="268"/>
      <c r="AC851" s="268"/>
    </row>
    <row r="852" spans="1:29" ht="24.75" customHeight="1">
      <c r="A852" s="268"/>
      <c r="B852" s="268"/>
      <c r="C852" s="268"/>
      <c r="D852" s="268"/>
      <c r="E852" s="268"/>
      <c r="F852" s="268"/>
      <c r="G852" s="268"/>
      <c r="H852" s="268"/>
      <c r="I852" s="268"/>
      <c r="J852" s="268"/>
      <c r="K852" s="268"/>
      <c r="L852" s="309"/>
      <c r="M852" s="268"/>
      <c r="N852" s="268"/>
      <c r="O852" s="310"/>
      <c r="P852" s="268"/>
      <c r="Q852" s="309"/>
      <c r="R852" s="268"/>
      <c r="S852" s="313"/>
      <c r="T852" s="313"/>
      <c r="U852" s="268"/>
      <c r="V852" s="309"/>
      <c r="W852" s="310"/>
      <c r="X852" s="268"/>
      <c r="Y852" s="268"/>
      <c r="Z852" s="268"/>
      <c r="AA852" s="268"/>
      <c r="AB852" s="268"/>
      <c r="AC852" s="268"/>
    </row>
    <row r="853" spans="1:29" ht="24.75" customHeight="1">
      <c r="A853" s="268"/>
      <c r="B853" s="268"/>
      <c r="C853" s="268"/>
      <c r="D853" s="268"/>
      <c r="E853" s="268"/>
      <c r="F853" s="268"/>
      <c r="G853" s="268"/>
      <c r="H853" s="268"/>
      <c r="I853" s="268"/>
      <c r="J853" s="268"/>
      <c r="K853" s="268"/>
      <c r="L853" s="309"/>
      <c r="M853" s="268"/>
      <c r="N853" s="268"/>
      <c r="O853" s="310"/>
      <c r="P853" s="268"/>
      <c r="Q853" s="309"/>
      <c r="R853" s="268"/>
      <c r="S853" s="313"/>
      <c r="T853" s="313"/>
      <c r="U853" s="268"/>
      <c r="V853" s="309"/>
      <c r="W853" s="310"/>
      <c r="X853" s="268"/>
      <c r="Y853" s="268"/>
      <c r="Z853" s="268"/>
      <c r="AA853" s="268"/>
      <c r="AB853" s="268"/>
      <c r="AC853" s="268"/>
    </row>
    <row r="854" spans="1:29" ht="24.75" customHeight="1">
      <c r="A854" s="268"/>
      <c r="B854" s="268"/>
      <c r="C854" s="268"/>
      <c r="D854" s="268"/>
      <c r="E854" s="268"/>
      <c r="F854" s="268"/>
      <c r="G854" s="268"/>
      <c r="H854" s="268"/>
      <c r="I854" s="268"/>
      <c r="J854" s="268"/>
      <c r="K854" s="268"/>
      <c r="L854" s="309"/>
      <c r="M854" s="268"/>
      <c r="N854" s="268"/>
      <c r="O854" s="310"/>
      <c r="P854" s="268"/>
      <c r="Q854" s="309"/>
      <c r="R854" s="268"/>
      <c r="S854" s="313"/>
      <c r="T854" s="313"/>
      <c r="U854" s="268"/>
      <c r="V854" s="309"/>
      <c r="W854" s="310"/>
      <c r="X854" s="268"/>
      <c r="Y854" s="268"/>
      <c r="Z854" s="268"/>
      <c r="AA854" s="268"/>
      <c r="AB854" s="268"/>
      <c r="AC854" s="268"/>
    </row>
    <row r="855" spans="1:29" ht="24.75" customHeight="1">
      <c r="A855" s="268"/>
      <c r="B855" s="268"/>
      <c r="C855" s="268"/>
      <c r="D855" s="268"/>
      <c r="E855" s="268"/>
      <c r="F855" s="268"/>
      <c r="G855" s="268"/>
      <c r="H855" s="268"/>
      <c r="I855" s="268"/>
      <c r="J855" s="268"/>
      <c r="K855" s="268"/>
      <c r="L855" s="309"/>
      <c r="M855" s="268"/>
      <c r="N855" s="268"/>
      <c r="O855" s="310"/>
      <c r="P855" s="268"/>
      <c r="Q855" s="309"/>
      <c r="R855" s="268"/>
      <c r="S855" s="313"/>
      <c r="T855" s="313"/>
      <c r="U855" s="268"/>
      <c r="V855" s="309"/>
      <c r="W855" s="310"/>
      <c r="X855" s="268"/>
      <c r="Y855" s="268"/>
      <c r="Z855" s="268"/>
      <c r="AA855" s="268"/>
      <c r="AB855" s="268"/>
      <c r="AC855" s="268"/>
    </row>
    <row r="856" spans="1:29" ht="24.75" customHeight="1">
      <c r="A856" s="268"/>
      <c r="B856" s="268"/>
      <c r="C856" s="268"/>
      <c r="D856" s="268"/>
      <c r="E856" s="268"/>
      <c r="F856" s="268"/>
      <c r="G856" s="268"/>
      <c r="H856" s="268"/>
      <c r="I856" s="268"/>
      <c r="J856" s="268"/>
      <c r="K856" s="268"/>
      <c r="L856" s="309"/>
      <c r="M856" s="268"/>
      <c r="N856" s="268"/>
      <c r="O856" s="310"/>
      <c r="P856" s="268"/>
      <c r="Q856" s="309"/>
      <c r="R856" s="268"/>
      <c r="S856" s="313"/>
      <c r="T856" s="313"/>
      <c r="U856" s="268"/>
      <c r="V856" s="309"/>
      <c r="W856" s="310"/>
      <c r="X856" s="268"/>
      <c r="Y856" s="268"/>
      <c r="Z856" s="268"/>
      <c r="AA856" s="268"/>
      <c r="AB856" s="268"/>
      <c r="AC856" s="268"/>
    </row>
    <row r="857" spans="1:29" ht="24.75" customHeight="1">
      <c r="A857" s="268"/>
      <c r="B857" s="268"/>
      <c r="C857" s="268"/>
      <c r="D857" s="268"/>
      <c r="E857" s="268"/>
      <c r="F857" s="268"/>
      <c r="G857" s="268"/>
      <c r="H857" s="268"/>
      <c r="I857" s="268"/>
      <c r="J857" s="268"/>
      <c r="K857" s="268"/>
      <c r="L857" s="309"/>
      <c r="M857" s="268"/>
      <c r="N857" s="268"/>
      <c r="O857" s="310"/>
      <c r="P857" s="268"/>
      <c r="Q857" s="309"/>
      <c r="R857" s="268"/>
      <c r="S857" s="313"/>
      <c r="T857" s="313"/>
      <c r="U857" s="268"/>
      <c r="V857" s="309"/>
      <c r="W857" s="310"/>
      <c r="X857" s="268"/>
      <c r="Y857" s="268"/>
      <c r="Z857" s="268"/>
      <c r="AA857" s="268"/>
      <c r="AB857" s="268"/>
      <c r="AC857" s="268"/>
    </row>
    <row r="858" spans="1:29" ht="24.75" customHeight="1">
      <c r="A858" s="268"/>
      <c r="B858" s="268"/>
      <c r="C858" s="268"/>
      <c r="D858" s="268"/>
      <c r="E858" s="268"/>
      <c r="F858" s="268"/>
      <c r="G858" s="268"/>
      <c r="H858" s="268"/>
      <c r="I858" s="268"/>
      <c r="J858" s="268"/>
      <c r="K858" s="268"/>
      <c r="L858" s="309"/>
      <c r="M858" s="268"/>
      <c r="N858" s="268"/>
      <c r="O858" s="310"/>
      <c r="P858" s="268"/>
      <c r="Q858" s="309"/>
      <c r="R858" s="268"/>
      <c r="S858" s="313"/>
      <c r="T858" s="313"/>
      <c r="U858" s="268"/>
      <c r="V858" s="309"/>
      <c r="W858" s="310"/>
      <c r="X858" s="268"/>
      <c r="Y858" s="268"/>
      <c r="Z858" s="268"/>
      <c r="AA858" s="268"/>
      <c r="AB858" s="268"/>
      <c r="AC858" s="268"/>
    </row>
    <row r="859" spans="1:29" ht="24.75" customHeight="1">
      <c r="A859" s="268"/>
      <c r="B859" s="268"/>
      <c r="C859" s="268"/>
      <c r="D859" s="268"/>
      <c r="E859" s="268"/>
      <c r="F859" s="268"/>
      <c r="G859" s="268"/>
      <c r="H859" s="268"/>
      <c r="I859" s="268"/>
      <c r="J859" s="268"/>
      <c r="K859" s="268"/>
      <c r="L859" s="309"/>
      <c r="M859" s="268"/>
      <c r="N859" s="268"/>
      <c r="O859" s="310"/>
      <c r="P859" s="268"/>
      <c r="Q859" s="309"/>
      <c r="R859" s="268"/>
      <c r="S859" s="313"/>
      <c r="T859" s="313"/>
      <c r="U859" s="268"/>
      <c r="V859" s="309"/>
      <c r="W859" s="310"/>
      <c r="X859" s="268"/>
      <c r="Y859" s="268"/>
      <c r="Z859" s="268"/>
      <c r="AA859" s="268"/>
      <c r="AB859" s="268"/>
      <c r="AC859" s="268"/>
    </row>
    <row r="860" spans="1:29" ht="24.75" customHeight="1">
      <c r="A860" s="268"/>
      <c r="B860" s="268"/>
      <c r="C860" s="268"/>
      <c r="D860" s="268"/>
      <c r="E860" s="268"/>
      <c r="F860" s="268"/>
      <c r="G860" s="268"/>
      <c r="H860" s="268"/>
      <c r="I860" s="268"/>
      <c r="J860" s="268"/>
      <c r="K860" s="268"/>
      <c r="L860" s="309"/>
      <c r="M860" s="268"/>
      <c r="N860" s="268"/>
      <c r="O860" s="310"/>
      <c r="P860" s="268"/>
      <c r="Q860" s="309"/>
      <c r="R860" s="268"/>
      <c r="S860" s="313"/>
      <c r="T860" s="313"/>
      <c r="U860" s="268"/>
      <c r="V860" s="309"/>
      <c r="W860" s="310"/>
      <c r="X860" s="268"/>
      <c r="Y860" s="268"/>
      <c r="Z860" s="268"/>
      <c r="AA860" s="268"/>
      <c r="AB860" s="268"/>
      <c r="AC860" s="268"/>
    </row>
    <row r="861" spans="1:29" ht="24.75" customHeight="1">
      <c r="A861" s="268"/>
      <c r="B861" s="268"/>
      <c r="C861" s="268"/>
      <c r="D861" s="268"/>
      <c r="E861" s="268"/>
      <c r="F861" s="268"/>
      <c r="G861" s="268"/>
      <c r="H861" s="268"/>
      <c r="I861" s="268"/>
      <c r="J861" s="268"/>
      <c r="K861" s="268"/>
      <c r="L861" s="309"/>
      <c r="M861" s="268"/>
      <c r="N861" s="268"/>
      <c r="O861" s="310"/>
      <c r="P861" s="268"/>
      <c r="Q861" s="309"/>
      <c r="R861" s="268"/>
      <c r="S861" s="313"/>
      <c r="T861" s="313"/>
      <c r="U861" s="268"/>
      <c r="V861" s="309"/>
      <c r="W861" s="310"/>
      <c r="X861" s="268"/>
      <c r="Y861" s="268"/>
      <c r="Z861" s="268"/>
      <c r="AA861" s="268"/>
      <c r="AB861" s="268"/>
      <c r="AC861" s="268"/>
    </row>
    <row r="862" spans="1:29" ht="24.75" customHeight="1">
      <c r="A862" s="268"/>
      <c r="B862" s="268"/>
      <c r="C862" s="268"/>
      <c r="D862" s="268"/>
      <c r="E862" s="268"/>
      <c r="F862" s="268"/>
      <c r="G862" s="268"/>
      <c r="H862" s="268"/>
      <c r="I862" s="268"/>
      <c r="J862" s="268"/>
      <c r="K862" s="268"/>
      <c r="L862" s="309"/>
      <c r="M862" s="268"/>
      <c r="N862" s="268"/>
      <c r="O862" s="310"/>
      <c r="P862" s="268"/>
      <c r="Q862" s="309"/>
      <c r="R862" s="268"/>
      <c r="S862" s="313"/>
      <c r="T862" s="313"/>
      <c r="U862" s="268"/>
      <c r="V862" s="309"/>
      <c r="W862" s="310"/>
      <c r="X862" s="268"/>
      <c r="Y862" s="268"/>
      <c r="Z862" s="268"/>
      <c r="AA862" s="268"/>
      <c r="AB862" s="268"/>
      <c r="AC862" s="268"/>
    </row>
    <row r="863" spans="1:29" ht="24.75" customHeight="1">
      <c r="A863" s="268"/>
      <c r="B863" s="268"/>
      <c r="C863" s="268"/>
      <c r="D863" s="268"/>
      <c r="E863" s="268"/>
      <c r="F863" s="268"/>
      <c r="G863" s="268"/>
      <c r="H863" s="268"/>
      <c r="I863" s="268"/>
      <c r="J863" s="268"/>
      <c r="K863" s="268"/>
      <c r="L863" s="309"/>
      <c r="M863" s="268"/>
      <c r="N863" s="268"/>
      <c r="O863" s="310"/>
      <c r="P863" s="268"/>
      <c r="Q863" s="309"/>
      <c r="R863" s="268"/>
      <c r="S863" s="313"/>
      <c r="T863" s="313"/>
      <c r="U863" s="268"/>
      <c r="V863" s="309"/>
      <c r="W863" s="310"/>
      <c r="X863" s="268"/>
      <c r="Y863" s="268"/>
      <c r="Z863" s="268"/>
      <c r="AA863" s="268"/>
      <c r="AB863" s="268"/>
      <c r="AC863" s="268"/>
    </row>
    <row r="864" spans="1:29" ht="24.75" customHeight="1">
      <c r="A864" s="268"/>
      <c r="B864" s="268"/>
      <c r="C864" s="268"/>
      <c r="D864" s="268"/>
      <c r="E864" s="268"/>
      <c r="F864" s="268"/>
      <c r="G864" s="268"/>
      <c r="H864" s="268"/>
      <c r="I864" s="268"/>
      <c r="J864" s="268"/>
      <c r="K864" s="268"/>
      <c r="L864" s="309"/>
      <c r="M864" s="268"/>
      <c r="N864" s="268"/>
      <c r="O864" s="310"/>
      <c r="P864" s="268"/>
      <c r="Q864" s="309"/>
      <c r="R864" s="268"/>
      <c r="S864" s="313"/>
      <c r="T864" s="313"/>
      <c r="U864" s="268"/>
      <c r="V864" s="309"/>
      <c r="W864" s="310"/>
      <c r="X864" s="268"/>
      <c r="Y864" s="268"/>
      <c r="Z864" s="268"/>
      <c r="AA864" s="268"/>
      <c r="AB864" s="268"/>
      <c r="AC864" s="268"/>
    </row>
    <row r="865" spans="1:29" ht="24.75" customHeight="1">
      <c r="A865" s="268"/>
      <c r="B865" s="268"/>
      <c r="C865" s="268"/>
      <c r="D865" s="268"/>
      <c r="E865" s="268"/>
      <c r="F865" s="268"/>
      <c r="G865" s="268"/>
      <c r="H865" s="268"/>
      <c r="I865" s="268"/>
      <c r="J865" s="268"/>
      <c r="K865" s="268"/>
      <c r="L865" s="309"/>
      <c r="M865" s="268"/>
      <c r="N865" s="268"/>
      <c r="O865" s="310"/>
      <c r="P865" s="268"/>
      <c r="Q865" s="309"/>
      <c r="R865" s="268"/>
      <c r="S865" s="313"/>
      <c r="T865" s="313"/>
      <c r="U865" s="268"/>
      <c r="V865" s="309"/>
      <c r="W865" s="310"/>
      <c r="X865" s="268"/>
      <c r="Y865" s="268"/>
      <c r="Z865" s="268"/>
      <c r="AA865" s="268"/>
      <c r="AB865" s="268"/>
      <c r="AC865" s="268"/>
    </row>
    <row r="866" spans="1:29" ht="24.75" customHeight="1">
      <c r="A866" s="268"/>
      <c r="B866" s="268"/>
      <c r="C866" s="268"/>
      <c r="D866" s="268"/>
      <c r="E866" s="268"/>
      <c r="F866" s="268"/>
      <c r="G866" s="268"/>
      <c r="H866" s="268"/>
      <c r="I866" s="268"/>
      <c r="J866" s="268"/>
      <c r="K866" s="268"/>
      <c r="L866" s="309"/>
      <c r="M866" s="268"/>
      <c r="N866" s="268"/>
      <c r="O866" s="310"/>
      <c r="P866" s="268"/>
      <c r="Q866" s="309"/>
      <c r="R866" s="268"/>
      <c r="S866" s="313"/>
      <c r="T866" s="313"/>
      <c r="U866" s="268"/>
      <c r="V866" s="309"/>
      <c r="W866" s="310"/>
      <c r="X866" s="268"/>
      <c r="Y866" s="268"/>
      <c r="Z866" s="268"/>
      <c r="AA866" s="268"/>
      <c r="AB866" s="268"/>
      <c r="AC866" s="268"/>
    </row>
    <row r="867" spans="1:29" ht="24.75" customHeight="1">
      <c r="A867" s="268"/>
      <c r="B867" s="268"/>
      <c r="C867" s="268"/>
      <c r="D867" s="268"/>
      <c r="E867" s="268"/>
      <c r="F867" s="268"/>
      <c r="G867" s="268"/>
      <c r="H867" s="268"/>
      <c r="I867" s="268"/>
      <c r="J867" s="268"/>
      <c r="K867" s="268"/>
      <c r="L867" s="309"/>
      <c r="M867" s="268"/>
      <c r="N867" s="268"/>
      <c r="O867" s="310"/>
      <c r="P867" s="268"/>
      <c r="Q867" s="309"/>
      <c r="R867" s="268"/>
      <c r="S867" s="313"/>
      <c r="T867" s="313"/>
      <c r="U867" s="268"/>
      <c r="V867" s="309"/>
      <c r="W867" s="310"/>
      <c r="X867" s="268"/>
      <c r="Y867" s="268"/>
      <c r="Z867" s="268"/>
      <c r="AA867" s="268"/>
      <c r="AB867" s="268"/>
      <c r="AC867" s="268"/>
    </row>
    <row r="868" spans="1:29" ht="24.75" customHeight="1">
      <c r="A868" s="268"/>
      <c r="B868" s="268"/>
      <c r="C868" s="268"/>
      <c r="D868" s="268"/>
      <c r="E868" s="268"/>
      <c r="F868" s="268"/>
      <c r="G868" s="268"/>
      <c r="H868" s="268"/>
      <c r="I868" s="268"/>
      <c r="J868" s="268"/>
      <c r="K868" s="268"/>
      <c r="L868" s="309"/>
      <c r="M868" s="268"/>
      <c r="N868" s="268"/>
      <c r="O868" s="310"/>
      <c r="P868" s="268"/>
      <c r="Q868" s="309"/>
      <c r="R868" s="268"/>
      <c r="S868" s="313"/>
      <c r="T868" s="313"/>
      <c r="U868" s="268"/>
      <c r="V868" s="309"/>
      <c r="W868" s="310"/>
      <c r="X868" s="268"/>
      <c r="Y868" s="268"/>
      <c r="Z868" s="268"/>
      <c r="AA868" s="268"/>
      <c r="AB868" s="268"/>
      <c r="AC868" s="268"/>
    </row>
    <row r="869" spans="1:29" ht="24.75" customHeight="1">
      <c r="A869" s="268"/>
      <c r="B869" s="268"/>
      <c r="C869" s="268"/>
      <c r="D869" s="268"/>
      <c r="E869" s="268"/>
      <c r="F869" s="268"/>
      <c r="G869" s="268"/>
      <c r="H869" s="268"/>
      <c r="I869" s="268"/>
      <c r="J869" s="268"/>
      <c r="K869" s="268"/>
      <c r="L869" s="309"/>
      <c r="M869" s="268"/>
      <c r="N869" s="268"/>
      <c r="O869" s="310"/>
      <c r="P869" s="268"/>
      <c r="Q869" s="309"/>
      <c r="R869" s="268"/>
      <c r="S869" s="313"/>
      <c r="T869" s="313"/>
      <c r="U869" s="268"/>
      <c r="V869" s="309"/>
      <c r="W869" s="310"/>
      <c r="X869" s="268"/>
      <c r="Y869" s="268"/>
      <c r="Z869" s="268"/>
      <c r="AA869" s="268"/>
      <c r="AB869" s="268"/>
      <c r="AC869" s="268"/>
    </row>
    <row r="870" spans="1:29" ht="24.75" customHeight="1">
      <c r="A870" s="268"/>
      <c r="B870" s="268"/>
      <c r="C870" s="268"/>
      <c r="D870" s="268"/>
      <c r="E870" s="268"/>
      <c r="F870" s="268"/>
      <c r="G870" s="268"/>
      <c r="H870" s="268"/>
      <c r="I870" s="268"/>
      <c r="J870" s="268"/>
      <c r="K870" s="268"/>
      <c r="L870" s="309"/>
      <c r="M870" s="268"/>
      <c r="N870" s="268"/>
      <c r="O870" s="310"/>
      <c r="P870" s="268"/>
      <c r="Q870" s="309"/>
      <c r="R870" s="268"/>
      <c r="S870" s="313"/>
      <c r="T870" s="313"/>
      <c r="U870" s="268"/>
      <c r="V870" s="309"/>
      <c r="W870" s="310"/>
      <c r="X870" s="268"/>
      <c r="Y870" s="268"/>
      <c r="Z870" s="268"/>
      <c r="AA870" s="268"/>
      <c r="AB870" s="268"/>
      <c r="AC870" s="268"/>
    </row>
    <row r="871" spans="1:29" ht="24.75" customHeight="1">
      <c r="A871" s="268"/>
      <c r="B871" s="268"/>
      <c r="C871" s="268"/>
      <c r="D871" s="268"/>
      <c r="E871" s="268"/>
      <c r="F871" s="268"/>
      <c r="G871" s="268"/>
      <c r="H871" s="268"/>
      <c r="I871" s="268"/>
      <c r="J871" s="268"/>
      <c r="K871" s="268"/>
      <c r="L871" s="309"/>
      <c r="M871" s="268"/>
      <c r="N871" s="268"/>
      <c r="O871" s="310"/>
      <c r="P871" s="268"/>
      <c r="Q871" s="309"/>
      <c r="R871" s="268"/>
      <c r="S871" s="313"/>
      <c r="T871" s="313"/>
      <c r="U871" s="268"/>
      <c r="V871" s="309"/>
      <c r="W871" s="310"/>
      <c r="X871" s="268"/>
      <c r="Y871" s="268"/>
      <c r="Z871" s="268"/>
      <c r="AA871" s="268"/>
      <c r="AB871" s="268"/>
      <c r="AC871" s="268"/>
    </row>
    <row r="872" spans="1:29" ht="24.75" customHeight="1">
      <c r="A872" s="268"/>
      <c r="B872" s="268"/>
      <c r="C872" s="268"/>
      <c r="D872" s="268"/>
      <c r="E872" s="268"/>
      <c r="F872" s="268"/>
      <c r="G872" s="268"/>
      <c r="H872" s="268"/>
      <c r="I872" s="268"/>
      <c r="J872" s="268"/>
      <c r="K872" s="268"/>
      <c r="L872" s="309"/>
      <c r="M872" s="268"/>
      <c r="N872" s="268"/>
      <c r="O872" s="310"/>
      <c r="P872" s="268"/>
      <c r="Q872" s="309"/>
      <c r="R872" s="268"/>
      <c r="S872" s="313"/>
      <c r="T872" s="313"/>
      <c r="U872" s="268"/>
      <c r="V872" s="309"/>
      <c r="W872" s="310"/>
      <c r="X872" s="268"/>
      <c r="Y872" s="268"/>
      <c r="Z872" s="268"/>
      <c r="AA872" s="268"/>
      <c r="AB872" s="268"/>
      <c r="AC872" s="268"/>
    </row>
    <row r="873" spans="1:29" ht="24.75" customHeight="1">
      <c r="A873" s="268"/>
      <c r="B873" s="268"/>
      <c r="C873" s="268"/>
      <c r="D873" s="268"/>
      <c r="E873" s="268"/>
      <c r="F873" s="268"/>
      <c r="G873" s="268"/>
      <c r="H873" s="268"/>
      <c r="I873" s="268"/>
      <c r="J873" s="268"/>
      <c r="K873" s="268"/>
      <c r="L873" s="309"/>
      <c r="M873" s="268"/>
      <c r="N873" s="268"/>
      <c r="O873" s="310"/>
      <c r="P873" s="268"/>
      <c r="Q873" s="309"/>
      <c r="R873" s="268"/>
      <c r="S873" s="313"/>
      <c r="T873" s="313"/>
      <c r="U873" s="268"/>
      <c r="V873" s="309"/>
      <c r="W873" s="310"/>
      <c r="X873" s="268"/>
      <c r="Y873" s="268"/>
      <c r="Z873" s="268"/>
      <c r="AA873" s="268"/>
      <c r="AB873" s="268"/>
      <c r="AC873" s="268"/>
    </row>
    <row r="874" spans="1:29" ht="24.75" customHeight="1">
      <c r="A874" s="268"/>
      <c r="B874" s="268"/>
      <c r="C874" s="268"/>
      <c r="D874" s="268"/>
      <c r="E874" s="268"/>
      <c r="F874" s="268"/>
      <c r="G874" s="268"/>
      <c r="H874" s="268"/>
      <c r="I874" s="268"/>
      <c r="J874" s="268"/>
      <c r="K874" s="268"/>
      <c r="L874" s="309"/>
      <c r="M874" s="268"/>
      <c r="N874" s="268"/>
      <c r="O874" s="310"/>
      <c r="P874" s="268"/>
      <c r="Q874" s="309"/>
      <c r="R874" s="268"/>
      <c r="S874" s="313"/>
      <c r="T874" s="313"/>
      <c r="U874" s="268"/>
      <c r="V874" s="309"/>
      <c r="W874" s="310"/>
      <c r="X874" s="268"/>
      <c r="Y874" s="268"/>
      <c r="Z874" s="268"/>
      <c r="AA874" s="268"/>
      <c r="AB874" s="268"/>
      <c r="AC874" s="268"/>
    </row>
    <row r="875" spans="1:29" ht="24.75" customHeight="1">
      <c r="A875" s="268"/>
      <c r="B875" s="268"/>
      <c r="C875" s="268"/>
      <c r="D875" s="268"/>
      <c r="E875" s="268"/>
      <c r="F875" s="268"/>
      <c r="G875" s="268"/>
      <c r="H875" s="268"/>
      <c r="I875" s="268"/>
      <c r="J875" s="268"/>
      <c r="K875" s="268"/>
      <c r="L875" s="309"/>
      <c r="M875" s="268"/>
      <c r="N875" s="268"/>
      <c r="O875" s="310"/>
      <c r="P875" s="268"/>
      <c r="Q875" s="309"/>
      <c r="R875" s="268"/>
      <c r="S875" s="313"/>
      <c r="T875" s="313"/>
      <c r="U875" s="268"/>
      <c r="V875" s="309"/>
      <c r="W875" s="310"/>
      <c r="X875" s="268"/>
      <c r="Y875" s="268"/>
      <c r="Z875" s="268"/>
      <c r="AA875" s="268"/>
      <c r="AB875" s="268"/>
      <c r="AC875" s="268"/>
    </row>
    <row r="876" spans="1:29" ht="24.75" customHeight="1">
      <c r="A876" s="268"/>
      <c r="B876" s="268"/>
      <c r="C876" s="268"/>
      <c r="D876" s="268"/>
      <c r="E876" s="268"/>
      <c r="F876" s="268"/>
      <c r="G876" s="268"/>
      <c r="H876" s="268"/>
      <c r="I876" s="268"/>
      <c r="J876" s="268"/>
      <c r="K876" s="268"/>
      <c r="L876" s="309"/>
      <c r="M876" s="268"/>
      <c r="N876" s="268"/>
      <c r="O876" s="310"/>
      <c r="P876" s="268"/>
      <c r="Q876" s="309"/>
      <c r="R876" s="268"/>
      <c r="S876" s="313"/>
      <c r="T876" s="313"/>
      <c r="U876" s="268"/>
      <c r="V876" s="309"/>
      <c r="W876" s="310"/>
      <c r="X876" s="268"/>
      <c r="Y876" s="268"/>
      <c r="Z876" s="268"/>
      <c r="AA876" s="268"/>
      <c r="AB876" s="268"/>
      <c r="AC876" s="268"/>
    </row>
    <row r="877" spans="1:29" ht="24.75" customHeight="1">
      <c r="A877" s="268"/>
      <c r="B877" s="268"/>
      <c r="C877" s="268"/>
      <c r="D877" s="268"/>
      <c r="E877" s="268"/>
      <c r="F877" s="268"/>
      <c r="G877" s="268"/>
      <c r="H877" s="268"/>
      <c r="I877" s="268"/>
      <c r="J877" s="268"/>
      <c r="K877" s="268"/>
      <c r="L877" s="309"/>
      <c r="M877" s="268"/>
      <c r="N877" s="268"/>
      <c r="O877" s="310"/>
      <c r="P877" s="268"/>
      <c r="Q877" s="309"/>
      <c r="R877" s="268"/>
      <c r="S877" s="313"/>
      <c r="T877" s="313"/>
      <c r="U877" s="268"/>
      <c r="V877" s="309"/>
      <c r="W877" s="310"/>
      <c r="X877" s="268"/>
      <c r="Y877" s="268"/>
      <c r="Z877" s="268"/>
      <c r="AA877" s="268"/>
      <c r="AB877" s="268"/>
      <c r="AC877" s="268"/>
    </row>
    <row r="878" spans="1:29" ht="24.75" customHeight="1">
      <c r="A878" s="268"/>
      <c r="B878" s="268"/>
      <c r="C878" s="268"/>
      <c r="D878" s="268"/>
      <c r="E878" s="268"/>
      <c r="F878" s="268"/>
      <c r="G878" s="268"/>
      <c r="H878" s="268"/>
      <c r="I878" s="268"/>
      <c r="J878" s="268"/>
      <c r="K878" s="268"/>
      <c r="L878" s="309"/>
      <c r="M878" s="268"/>
      <c r="N878" s="268"/>
      <c r="O878" s="310"/>
      <c r="P878" s="268"/>
      <c r="Q878" s="309"/>
      <c r="R878" s="268"/>
      <c r="S878" s="313"/>
      <c r="T878" s="313"/>
      <c r="U878" s="268"/>
      <c r="V878" s="309"/>
      <c r="W878" s="310"/>
      <c r="X878" s="268"/>
      <c r="Y878" s="268"/>
      <c r="Z878" s="268"/>
      <c r="AA878" s="268"/>
      <c r="AB878" s="268"/>
      <c r="AC878" s="268"/>
    </row>
    <row r="879" spans="1:29" ht="24.75" customHeight="1">
      <c r="A879" s="268"/>
      <c r="B879" s="268"/>
      <c r="C879" s="268"/>
      <c r="D879" s="268"/>
      <c r="E879" s="268"/>
      <c r="F879" s="268"/>
      <c r="G879" s="268"/>
      <c r="H879" s="268"/>
      <c r="I879" s="268"/>
      <c r="J879" s="268"/>
      <c r="K879" s="268"/>
      <c r="L879" s="309"/>
      <c r="M879" s="268"/>
      <c r="N879" s="268"/>
      <c r="O879" s="310"/>
      <c r="P879" s="268"/>
      <c r="Q879" s="309"/>
      <c r="R879" s="268"/>
      <c r="S879" s="313"/>
      <c r="T879" s="313"/>
      <c r="U879" s="268"/>
      <c r="V879" s="309"/>
      <c r="W879" s="310"/>
      <c r="X879" s="268"/>
      <c r="Y879" s="268"/>
      <c r="Z879" s="268"/>
      <c r="AA879" s="268"/>
      <c r="AB879" s="268"/>
      <c r="AC879" s="268"/>
    </row>
    <row r="880" spans="1:29" ht="24.75" customHeight="1">
      <c r="A880" s="268"/>
      <c r="B880" s="268"/>
      <c r="C880" s="268"/>
      <c r="D880" s="268"/>
      <c r="E880" s="268"/>
      <c r="F880" s="268"/>
      <c r="G880" s="268"/>
      <c r="H880" s="268"/>
      <c r="I880" s="268"/>
      <c r="J880" s="268"/>
      <c r="K880" s="268"/>
      <c r="L880" s="309"/>
      <c r="M880" s="268"/>
      <c r="N880" s="268"/>
      <c r="O880" s="310"/>
      <c r="P880" s="268"/>
      <c r="Q880" s="309"/>
      <c r="R880" s="268"/>
      <c r="S880" s="313"/>
      <c r="T880" s="313"/>
      <c r="U880" s="268"/>
      <c r="V880" s="309"/>
      <c r="W880" s="310"/>
      <c r="X880" s="268"/>
      <c r="Y880" s="268"/>
      <c r="Z880" s="268"/>
      <c r="AA880" s="268"/>
      <c r="AB880" s="268"/>
      <c r="AC880" s="268"/>
    </row>
    <row r="881" spans="1:29" ht="24.75" customHeight="1">
      <c r="A881" s="268"/>
      <c r="B881" s="268"/>
      <c r="C881" s="268"/>
      <c r="D881" s="268"/>
      <c r="E881" s="268"/>
      <c r="F881" s="268"/>
      <c r="G881" s="268"/>
      <c r="H881" s="268"/>
      <c r="I881" s="268"/>
      <c r="J881" s="268"/>
      <c r="K881" s="268"/>
      <c r="L881" s="309"/>
      <c r="M881" s="268"/>
      <c r="N881" s="268"/>
      <c r="O881" s="310"/>
      <c r="P881" s="268"/>
      <c r="Q881" s="309"/>
      <c r="R881" s="268"/>
      <c r="S881" s="313"/>
      <c r="T881" s="313"/>
      <c r="U881" s="268"/>
      <c r="V881" s="309"/>
      <c r="W881" s="310"/>
      <c r="X881" s="268"/>
      <c r="Y881" s="268"/>
      <c r="Z881" s="268"/>
      <c r="AA881" s="268"/>
      <c r="AB881" s="268"/>
      <c r="AC881" s="268"/>
    </row>
    <row r="882" spans="1:29" ht="24.75" customHeight="1">
      <c r="A882" s="268"/>
      <c r="B882" s="268"/>
      <c r="C882" s="268"/>
      <c r="D882" s="268"/>
      <c r="E882" s="268"/>
      <c r="F882" s="268"/>
      <c r="G882" s="268"/>
      <c r="H882" s="268"/>
      <c r="I882" s="268"/>
      <c r="J882" s="268"/>
      <c r="K882" s="268"/>
      <c r="L882" s="309"/>
      <c r="M882" s="268"/>
      <c r="N882" s="268"/>
      <c r="O882" s="310"/>
      <c r="P882" s="268"/>
      <c r="Q882" s="309"/>
      <c r="R882" s="268"/>
      <c r="S882" s="313"/>
      <c r="T882" s="313"/>
      <c r="U882" s="268"/>
      <c r="V882" s="309"/>
      <c r="W882" s="310"/>
      <c r="X882" s="268"/>
      <c r="Y882" s="268"/>
      <c r="Z882" s="268"/>
      <c r="AA882" s="268"/>
      <c r="AB882" s="268"/>
      <c r="AC882" s="268"/>
    </row>
    <row r="883" spans="1:29" ht="24.75" customHeight="1">
      <c r="A883" s="268"/>
      <c r="B883" s="268"/>
      <c r="C883" s="268"/>
      <c r="D883" s="268"/>
      <c r="E883" s="268"/>
      <c r="F883" s="268"/>
      <c r="G883" s="268"/>
      <c r="H883" s="268"/>
      <c r="I883" s="268"/>
      <c r="J883" s="268"/>
      <c r="K883" s="268"/>
      <c r="L883" s="309"/>
      <c r="M883" s="268"/>
      <c r="N883" s="268"/>
      <c r="O883" s="310"/>
      <c r="P883" s="268"/>
      <c r="Q883" s="309"/>
      <c r="R883" s="268"/>
      <c r="S883" s="313"/>
      <c r="T883" s="313"/>
      <c r="U883" s="268"/>
      <c r="V883" s="309"/>
      <c r="W883" s="310"/>
      <c r="X883" s="268"/>
      <c r="Y883" s="268"/>
      <c r="Z883" s="268"/>
      <c r="AA883" s="268"/>
      <c r="AB883" s="268"/>
      <c r="AC883" s="268"/>
    </row>
    <row r="884" spans="1:29" ht="24.75" customHeight="1">
      <c r="A884" s="268"/>
      <c r="B884" s="268"/>
      <c r="C884" s="268"/>
      <c r="D884" s="268"/>
      <c r="E884" s="268"/>
      <c r="F884" s="268"/>
      <c r="G884" s="268"/>
      <c r="H884" s="268"/>
      <c r="I884" s="268"/>
      <c r="J884" s="268"/>
      <c r="K884" s="268"/>
      <c r="L884" s="309"/>
      <c r="M884" s="268"/>
      <c r="N884" s="268"/>
      <c r="O884" s="310"/>
      <c r="P884" s="268"/>
      <c r="Q884" s="309"/>
      <c r="R884" s="268"/>
      <c r="S884" s="313"/>
      <c r="T884" s="313"/>
      <c r="U884" s="268"/>
      <c r="V884" s="309"/>
      <c r="W884" s="310"/>
      <c r="X884" s="268"/>
      <c r="Y884" s="268"/>
      <c r="Z884" s="268"/>
      <c r="AA884" s="268"/>
      <c r="AB884" s="268"/>
      <c r="AC884" s="268"/>
    </row>
    <row r="885" spans="1:29" ht="24.75" customHeight="1">
      <c r="A885" s="268"/>
      <c r="B885" s="268"/>
      <c r="C885" s="268"/>
      <c r="D885" s="268"/>
      <c r="E885" s="268"/>
      <c r="F885" s="268"/>
      <c r="G885" s="268"/>
      <c r="H885" s="268"/>
      <c r="I885" s="268"/>
      <c r="J885" s="268"/>
      <c r="K885" s="268"/>
      <c r="L885" s="309"/>
      <c r="M885" s="268"/>
      <c r="N885" s="268"/>
      <c r="O885" s="310"/>
      <c r="P885" s="268"/>
      <c r="Q885" s="309"/>
      <c r="R885" s="268"/>
      <c r="S885" s="313"/>
      <c r="T885" s="313"/>
      <c r="U885" s="268"/>
      <c r="V885" s="309"/>
      <c r="W885" s="310"/>
      <c r="X885" s="268"/>
      <c r="Y885" s="268"/>
      <c r="Z885" s="268"/>
      <c r="AA885" s="268"/>
      <c r="AB885" s="268"/>
      <c r="AC885" s="268"/>
    </row>
    <row r="886" spans="1:29" ht="24.75" customHeight="1">
      <c r="A886" s="268"/>
      <c r="B886" s="268"/>
      <c r="C886" s="268"/>
      <c r="D886" s="268"/>
      <c r="E886" s="268"/>
      <c r="F886" s="268"/>
      <c r="G886" s="268"/>
      <c r="H886" s="268"/>
      <c r="I886" s="268"/>
      <c r="J886" s="268"/>
      <c r="K886" s="268"/>
      <c r="L886" s="309"/>
      <c r="M886" s="268"/>
      <c r="N886" s="268"/>
      <c r="O886" s="310"/>
      <c r="P886" s="268"/>
      <c r="Q886" s="309"/>
      <c r="R886" s="268"/>
      <c r="S886" s="313"/>
      <c r="T886" s="313"/>
      <c r="U886" s="268"/>
      <c r="V886" s="309"/>
      <c r="W886" s="310"/>
      <c r="X886" s="268"/>
      <c r="Y886" s="268"/>
      <c r="Z886" s="268"/>
      <c r="AA886" s="268"/>
      <c r="AB886" s="268"/>
      <c r="AC886" s="268"/>
    </row>
    <row r="887" spans="1:29" ht="24.75" customHeight="1">
      <c r="A887" s="268"/>
      <c r="B887" s="268"/>
      <c r="C887" s="268"/>
      <c r="D887" s="268"/>
      <c r="E887" s="268"/>
      <c r="F887" s="268"/>
      <c r="G887" s="268"/>
      <c r="H887" s="268"/>
      <c r="I887" s="268"/>
      <c r="J887" s="268"/>
      <c r="K887" s="268"/>
      <c r="L887" s="309"/>
      <c r="M887" s="268"/>
      <c r="N887" s="268"/>
      <c r="O887" s="310"/>
      <c r="P887" s="268"/>
      <c r="Q887" s="309"/>
      <c r="R887" s="268"/>
      <c r="S887" s="313"/>
      <c r="T887" s="313"/>
      <c r="U887" s="268"/>
      <c r="V887" s="309"/>
      <c r="W887" s="310"/>
      <c r="X887" s="268"/>
      <c r="Y887" s="268"/>
      <c r="Z887" s="268"/>
      <c r="AA887" s="268"/>
      <c r="AB887" s="268"/>
      <c r="AC887" s="268"/>
    </row>
    <row r="888" spans="1:29" ht="24.75" customHeight="1">
      <c r="A888" s="268"/>
      <c r="B888" s="268"/>
      <c r="C888" s="268"/>
      <c r="D888" s="268"/>
      <c r="E888" s="268"/>
      <c r="F888" s="268"/>
      <c r="G888" s="268"/>
      <c r="H888" s="268"/>
      <c r="I888" s="268"/>
      <c r="J888" s="268"/>
      <c r="K888" s="268"/>
      <c r="L888" s="309"/>
      <c r="M888" s="268"/>
      <c r="N888" s="268"/>
      <c r="O888" s="310"/>
      <c r="P888" s="268"/>
      <c r="Q888" s="309"/>
      <c r="R888" s="268"/>
      <c r="S888" s="313"/>
      <c r="T888" s="313"/>
      <c r="U888" s="268"/>
      <c r="V888" s="309"/>
      <c r="W888" s="310"/>
      <c r="X888" s="268"/>
      <c r="Y888" s="268"/>
      <c r="Z888" s="268"/>
      <c r="AA888" s="268"/>
      <c r="AB888" s="268"/>
      <c r="AC888" s="268"/>
    </row>
    <row r="889" spans="1:29" ht="24.75" customHeight="1">
      <c r="A889" s="268"/>
      <c r="B889" s="268"/>
      <c r="C889" s="268"/>
      <c r="D889" s="268"/>
      <c r="E889" s="268"/>
      <c r="F889" s="268"/>
      <c r="G889" s="268"/>
      <c r="H889" s="268"/>
      <c r="I889" s="268"/>
      <c r="J889" s="268"/>
      <c r="K889" s="268"/>
      <c r="L889" s="309"/>
      <c r="M889" s="268"/>
      <c r="N889" s="268"/>
      <c r="O889" s="310"/>
      <c r="P889" s="268"/>
      <c r="Q889" s="309"/>
      <c r="R889" s="268"/>
      <c r="S889" s="313"/>
      <c r="T889" s="313"/>
      <c r="U889" s="268"/>
      <c r="V889" s="309"/>
      <c r="W889" s="310"/>
      <c r="X889" s="268"/>
      <c r="Y889" s="268"/>
      <c r="Z889" s="268"/>
      <c r="AA889" s="268"/>
      <c r="AB889" s="268"/>
      <c r="AC889" s="268"/>
    </row>
    <row r="890" spans="1:29" ht="24.75" customHeight="1">
      <c r="A890" s="268"/>
      <c r="B890" s="268"/>
      <c r="C890" s="268"/>
      <c r="D890" s="268"/>
      <c r="E890" s="268"/>
      <c r="F890" s="268"/>
      <c r="G890" s="268"/>
      <c r="H890" s="268"/>
      <c r="I890" s="268"/>
      <c r="J890" s="268"/>
      <c r="K890" s="268"/>
      <c r="L890" s="309"/>
      <c r="M890" s="268"/>
      <c r="N890" s="268"/>
      <c r="O890" s="310"/>
      <c r="P890" s="268"/>
      <c r="Q890" s="309"/>
      <c r="R890" s="268"/>
      <c r="S890" s="313"/>
      <c r="T890" s="313"/>
      <c r="U890" s="268"/>
      <c r="V890" s="309"/>
      <c r="W890" s="310"/>
      <c r="X890" s="268"/>
      <c r="Y890" s="268"/>
      <c r="Z890" s="268"/>
      <c r="AA890" s="268"/>
      <c r="AB890" s="268"/>
      <c r="AC890" s="268"/>
    </row>
    <row r="891" spans="1:29" ht="24.75" customHeight="1">
      <c r="A891" s="268"/>
      <c r="B891" s="268"/>
      <c r="C891" s="268"/>
      <c r="D891" s="268"/>
      <c r="E891" s="268"/>
      <c r="F891" s="268"/>
      <c r="G891" s="268"/>
      <c r="H891" s="268"/>
      <c r="I891" s="268"/>
      <c r="J891" s="268"/>
      <c r="K891" s="268"/>
      <c r="L891" s="309"/>
      <c r="M891" s="268"/>
      <c r="N891" s="268"/>
      <c r="O891" s="310"/>
      <c r="P891" s="268"/>
      <c r="Q891" s="309"/>
      <c r="R891" s="268"/>
      <c r="S891" s="313"/>
      <c r="T891" s="313"/>
      <c r="U891" s="268"/>
      <c r="V891" s="309"/>
      <c r="W891" s="310"/>
      <c r="X891" s="268"/>
      <c r="Y891" s="268"/>
      <c r="Z891" s="268"/>
      <c r="AA891" s="268"/>
      <c r="AB891" s="268"/>
      <c r="AC891" s="268"/>
    </row>
    <row r="892" spans="1:29" ht="24.75" customHeight="1">
      <c r="A892" s="268"/>
      <c r="B892" s="268"/>
      <c r="C892" s="268"/>
      <c r="D892" s="268"/>
      <c r="E892" s="268"/>
      <c r="F892" s="268"/>
      <c r="G892" s="268"/>
      <c r="H892" s="268"/>
      <c r="I892" s="268"/>
      <c r="J892" s="268"/>
      <c r="K892" s="268"/>
      <c r="L892" s="309"/>
      <c r="M892" s="268"/>
      <c r="N892" s="268"/>
      <c r="O892" s="310"/>
      <c r="P892" s="268"/>
      <c r="Q892" s="309"/>
      <c r="R892" s="268"/>
      <c r="S892" s="313"/>
      <c r="T892" s="313"/>
      <c r="U892" s="268"/>
      <c r="V892" s="309"/>
      <c r="W892" s="310"/>
      <c r="X892" s="268"/>
      <c r="Y892" s="268"/>
      <c r="Z892" s="268"/>
      <c r="AA892" s="268"/>
      <c r="AB892" s="268"/>
      <c r="AC892" s="268"/>
    </row>
    <row r="893" spans="1:29" ht="24.75" customHeight="1">
      <c r="A893" s="268"/>
      <c r="B893" s="268"/>
      <c r="C893" s="268"/>
      <c r="D893" s="268"/>
      <c r="E893" s="268"/>
      <c r="F893" s="268"/>
      <c r="G893" s="268"/>
      <c r="H893" s="268"/>
      <c r="I893" s="268"/>
      <c r="J893" s="268"/>
      <c r="K893" s="268"/>
      <c r="L893" s="309"/>
      <c r="M893" s="268"/>
      <c r="N893" s="268"/>
      <c r="O893" s="310"/>
      <c r="P893" s="268"/>
      <c r="Q893" s="309"/>
      <c r="R893" s="268"/>
      <c r="S893" s="313"/>
      <c r="T893" s="313"/>
      <c r="U893" s="268"/>
      <c r="V893" s="309"/>
      <c r="W893" s="310"/>
      <c r="X893" s="268"/>
      <c r="Y893" s="268"/>
      <c r="Z893" s="268"/>
      <c r="AA893" s="268"/>
      <c r="AB893" s="268"/>
      <c r="AC893" s="268"/>
    </row>
    <row r="894" spans="1:29" ht="24.75" customHeight="1">
      <c r="A894" s="268"/>
      <c r="B894" s="268"/>
      <c r="C894" s="268"/>
      <c r="D894" s="268"/>
      <c r="E894" s="268"/>
      <c r="F894" s="268"/>
      <c r="G894" s="268"/>
      <c r="H894" s="268"/>
      <c r="I894" s="268"/>
      <c r="J894" s="268"/>
      <c r="K894" s="268"/>
      <c r="L894" s="309"/>
      <c r="M894" s="268"/>
      <c r="N894" s="268"/>
      <c r="O894" s="310"/>
      <c r="P894" s="268"/>
      <c r="Q894" s="309"/>
      <c r="R894" s="268"/>
      <c r="S894" s="313"/>
      <c r="T894" s="313"/>
      <c r="U894" s="268"/>
      <c r="V894" s="309"/>
      <c r="W894" s="310"/>
      <c r="X894" s="268"/>
      <c r="Y894" s="268"/>
      <c r="Z894" s="268"/>
      <c r="AA894" s="268"/>
      <c r="AB894" s="268"/>
      <c r="AC894" s="268"/>
    </row>
    <row r="895" spans="1:29" ht="24.75" customHeight="1">
      <c r="A895" s="268"/>
      <c r="B895" s="268"/>
      <c r="C895" s="268"/>
      <c r="D895" s="268"/>
      <c r="E895" s="268"/>
      <c r="F895" s="268"/>
      <c r="G895" s="268"/>
      <c r="H895" s="268"/>
      <c r="I895" s="268"/>
      <c r="J895" s="268"/>
      <c r="K895" s="268"/>
      <c r="L895" s="309"/>
      <c r="M895" s="268"/>
      <c r="N895" s="268"/>
      <c r="O895" s="310"/>
      <c r="P895" s="268"/>
      <c r="Q895" s="309"/>
      <c r="R895" s="268"/>
      <c r="S895" s="313"/>
      <c r="T895" s="313"/>
      <c r="U895" s="268"/>
      <c r="V895" s="309"/>
      <c r="W895" s="310"/>
      <c r="X895" s="268"/>
      <c r="Y895" s="268"/>
      <c r="Z895" s="268"/>
      <c r="AA895" s="268"/>
      <c r="AB895" s="268"/>
      <c r="AC895" s="268"/>
    </row>
    <row r="896" spans="1:29" ht="24.75" customHeight="1">
      <c r="A896" s="268"/>
      <c r="B896" s="268"/>
      <c r="C896" s="268"/>
      <c r="D896" s="268"/>
      <c r="E896" s="268"/>
      <c r="F896" s="268"/>
      <c r="G896" s="268"/>
      <c r="H896" s="268"/>
      <c r="I896" s="268"/>
      <c r="J896" s="268"/>
      <c r="K896" s="268"/>
      <c r="L896" s="309"/>
      <c r="M896" s="268"/>
      <c r="N896" s="268"/>
      <c r="O896" s="310"/>
      <c r="P896" s="268"/>
      <c r="Q896" s="309"/>
      <c r="R896" s="268"/>
      <c r="S896" s="313"/>
      <c r="T896" s="313"/>
      <c r="U896" s="268"/>
      <c r="V896" s="309"/>
      <c r="W896" s="310"/>
      <c r="X896" s="268"/>
      <c r="Y896" s="268"/>
      <c r="Z896" s="268"/>
      <c r="AA896" s="268"/>
      <c r="AB896" s="268"/>
      <c r="AC896" s="268"/>
    </row>
    <row r="897" spans="1:29" ht="24.75" customHeight="1">
      <c r="A897" s="268"/>
      <c r="B897" s="268"/>
      <c r="C897" s="268"/>
      <c r="D897" s="268"/>
      <c r="E897" s="268"/>
      <c r="F897" s="268"/>
      <c r="G897" s="268"/>
      <c r="H897" s="268"/>
      <c r="I897" s="268"/>
      <c r="J897" s="268"/>
      <c r="K897" s="268"/>
      <c r="L897" s="309"/>
      <c r="M897" s="268"/>
      <c r="N897" s="268"/>
      <c r="O897" s="310"/>
      <c r="P897" s="268"/>
      <c r="Q897" s="309"/>
      <c r="R897" s="268"/>
      <c r="S897" s="313"/>
      <c r="T897" s="313"/>
      <c r="U897" s="268"/>
      <c r="V897" s="309"/>
      <c r="W897" s="310"/>
      <c r="X897" s="268"/>
      <c r="Y897" s="268"/>
      <c r="Z897" s="268"/>
      <c r="AA897" s="268"/>
      <c r="AB897" s="268"/>
      <c r="AC897" s="268"/>
    </row>
    <row r="898" spans="1:29" ht="24.75" customHeight="1">
      <c r="A898" s="268"/>
      <c r="B898" s="268"/>
      <c r="C898" s="268"/>
      <c r="D898" s="268"/>
      <c r="E898" s="268"/>
      <c r="F898" s="268"/>
      <c r="G898" s="268"/>
      <c r="H898" s="268"/>
      <c r="I898" s="268"/>
      <c r="J898" s="268"/>
      <c r="K898" s="268"/>
      <c r="L898" s="309"/>
      <c r="M898" s="268"/>
      <c r="N898" s="268"/>
      <c r="O898" s="310"/>
      <c r="P898" s="268"/>
      <c r="Q898" s="309"/>
      <c r="R898" s="268"/>
      <c r="S898" s="313"/>
      <c r="T898" s="313"/>
      <c r="U898" s="268"/>
      <c r="V898" s="309"/>
      <c r="W898" s="310"/>
      <c r="X898" s="268"/>
      <c r="Y898" s="268"/>
      <c r="Z898" s="268"/>
      <c r="AA898" s="268"/>
      <c r="AB898" s="268"/>
      <c r="AC898" s="268"/>
    </row>
    <row r="899" spans="1:29" ht="24.75" customHeight="1">
      <c r="A899" s="268"/>
      <c r="B899" s="268"/>
      <c r="C899" s="268"/>
      <c r="D899" s="268"/>
      <c r="E899" s="268"/>
      <c r="F899" s="268"/>
      <c r="G899" s="268"/>
      <c r="H899" s="268"/>
      <c r="I899" s="268"/>
      <c r="J899" s="268"/>
      <c r="K899" s="268"/>
      <c r="L899" s="309"/>
      <c r="M899" s="268"/>
      <c r="N899" s="268"/>
      <c r="O899" s="310"/>
      <c r="P899" s="268"/>
      <c r="Q899" s="309"/>
      <c r="R899" s="268"/>
      <c r="S899" s="313"/>
      <c r="T899" s="313"/>
      <c r="U899" s="268"/>
      <c r="V899" s="309"/>
      <c r="W899" s="310"/>
      <c r="X899" s="268"/>
      <c r="Y899" s="268"/>
      <c r="Z899" s="268"/>
      <c r="AA899" s="268"/>
      <c r="AB899" s="268"/>
      <c r="AC899" s="268"/>
    </row>
    <row r="900" spans="1:29" ht="24.75" customHeight="1">
      <c r="A900" s="268"/>
      <c r="B900" s="268"/>
      <c r="C900" s="268"/>
      <c r="D900" s="268"/>
      <c r="E900" s="268"/>
      <c r="F900" s="268"/>
      <c r="G900" s="268"/>
      <c r="H900" s="268"/>
      <c r="I900" s="268"/>
      <c r="J900" s="268"/>
      <c r="K900" s="268"/>
      <c r="L900" s="309"/>
      <c r="M900" s="268"/>
      <c r="N900" s="268"/>
      <c r="O900" s="310"/>
      <c r="P900" s="268"/>
      <c r="Q900" s="309"/>
      <c r="R900" s="268"/>
      <c r="S900" s="313"/>
      <c r="T900" s="313"/>
      <c r="U900" s="268"/>
      <c r="V900" s="309"/>
      <c r="W900" s="310"/>
      <c r="X900" s="268"/>
      <c r="Y900" s="268"/>
      <c r="Z900" s="268"/>
      <c r="AA900" s="268"/>
      <c r="AB900" s="268"/>
      <c r="AC900" s="268"/>
    </row>
    <row r="901" spans="1:29" ht="24.75" customHeight="1">
      <c r="A901" s="268"/>
      <c r="B901" s="268"/>
      <c r="C901" s="268"/>
      <c r="D901" s="268"/>
      <c r="E901" s="268"/>
      <c r="F901" s="268"/>
      <c r="G901" s="268"/>
      <c r="H901" s="268"/>
      <c r="I901" s="268"/>
      <c r="J901" s="268"/>
      <c r="K901" s="268"/>
      <c r="L901" s="309"/>
      <c r="M901" s="268"/>
      <c r="N901" s="268"/>
      <c r="O901" s="310"/>
      <c r="P901" s="268"/>
      <c r="Q901" s="309"/>
      <c r="R901" s="268"/>
      <c r="S901" s="313"/>
      <c r="T901" s="313"/>
      <c r="U901" s="268"/>
      <c r="V901" s="309"/>
      <c r="W901" s="310"/>
      <c r="X901" s="268"/>
      <c r="Y901" s="268"/>
      <c r="Z901" s="268"/>
      <c r="AA901" s="268"/>
      <c r="AB901" s="268"/>
      <c r="AC901" s="268"/>
    </row>
    <row r="902" spans="1:29" ht="24.75" customHeight="1">
      <c r="A902" s="268"/>
      <c r="B902" s="268"/>
      <c r="C902" s="268"/>
      <c r="D902" s="268"/>
      <c r="E902" s="268"/>
      <c r="F902" s="268"/>
      <c r="G902" s="268"/>
      <c r="H902" s="268"/>
      <c r="I902" s="268"/>
      <c r="J902" s="268"/>
      <c r="K902" s="268"/>
      <c r="L902" s="309"/>
      <c r="M902" s="268"/>
      <c r="N902" s="268"/>
      <c r="O902" s="310"/>
      <c r="P902" s="268"/>
      <c r="Q902" s="309"/>
      <c r="R902" s="268"/>
      <c r="S902" s="313"/>
      <c r="T902" s="313"/>
      <c r="U902" s="268"/>
      <c r="V902" s="309"/>
      <c r="W902" s="310"/>
      <c r="X902" s="268"/>
      <c r="Y902" s="268"/>
      <c r="Z902" s="268"/>
      <c r="AA902" s="268"/>
      <c r="AB902" s="268"/>
      <c r="AC902" s="268"/>
    </row>
    <row r="903" spans="1:29" ht="24.75" customHeight="1">
      <c r="A903" s="268"/>
      <c r="B903" s="268"/>
      <c r="C903" s="268"/>
      <c r="D903" s="268"/>
      <c r="E903" s="268"/>
      <c r="F903" s="268"/>
      <c r="G903" s="268"/>
      <c r="H903" s="268"/>
      <c r="I903" s="268"/>
      <c r="J903" s="268"/>
      <c r="K903" s="268"/>
      <c r="L903" s="309"/>
      <c r="M903" s="268"/>
      <c r="N903" s="268"/>
      <c r="O903" s="310"/>
      <c r="P903" s="268"/>
      <c r="Q903" s="309"/>
      <c r="R903" s="268"/>
      <c r="S903" s="313"/>
      <c r="T903" s="313"/>
      <c r="U903" s="268"/>
      <c r="V903" s="309"/>
      <c r="W903" s="310"/>
      <c r="X903" s="268"/>
      <c r="Y903" s="268"/>
      <c r="Z903" s="268"/>
      <c r="AA903" s="268"/>
      <c r="AB903" s="268"/>
      <c r="AC903" s="268"/>
    </row>
    <row r="904" spans="1:29" ht="24.75" customHeight="1">
      <c r="A904" s="268"/>
      <c r="B904" s="268"/>
      <c r="C904" s="268"/>
      <c r="D904" s="268"/>
      <c r="E904" s="268"/>
      <c r="F904" s="268"/>
      <c r="G904" s="268"/>
      <c r="H904" s="268"/>
      <c r="I904" s="268"/>
      <c r="J904" s="268"/>
      <c r="K904" s="268"/>
      <c r="L904" s="309"/>
      <c r="M904" s="268"/>
      <c r="N904" s="268"/>
      <c r="O904" s="310"/>
      <c r="P904" s="268"/>
      <c r="Q904" s="309"/>
      <c r="R904" s="268"/>
      <c r="S904" s="313"/>
      <c r="T904" s="313"/>
      <c r="U904" s="268"/>
      <c r="V904" s="309"/>
      <c r="W904" s="310"/>
      <c r="X904" s="268"/>
      <c r="Y904" s="268"/>
      <c r="Z904" s="268"/>
      <c r="AA904" s="268"/>
      <c r="AB904" s="268"/>
      <c r="AC904" s="268"/>
    </row>
    <row r="905" spans="1:29" ht="24.75" customHeight="1">
      <c r="A905" s="268"/>
      <c r="B905" s="268"/>
      <c r="C905" s="268"/>
      <c r="D905" s="268"/>
      <c r="E905" s="268"/>
      <c r="F905" s="268"/>
      <c r="G905" s="268"/>
      <c r="H905" s="268"/>
      <c r="I905" s="268"/>
      <c r="J905" s="268"/>
      <c r="K905" s="268"/>
      <c r="L905" s="309"/>
      <c r="M905" s="268"/>
      <c r="N905" s="268"/>
      <c r="O905" s="310"/>
      <c r="P905" s="268"/>
      <c r="Q905" s="309"/>
      <c r="R905" s="268"/>
      <c r="S905" s="313"/>
      <c r="T905" s="313"/>
      <c r="U905" s="268"/>
      <c r="V905" s="309"/>
      <c r="W905" s="310"/>
      <c r="X905" s="268"/>
      <c r="Y905" s="268"/>
      <c r="Z905" s="268"/>
      <c r="AA905" s="268"/>
      <c r="AB905" s="268"/>
      <c r="AC905" s="268"/>
    </row>
    <row r="906" spans="1:29" ht="24.75" customHeight="1">
      <c r="A906" s="268"/>
      <c r="B906" s="268"/>
      <c r="C906" s="268"/>
      <c r="D906" s="268"/>
      <c r="E906" s="268"/>
      <c r="F906" s="268"/>
      <c r="G906" s="268"/>
      <c r="H906" s="268"/>
      <c r="I906" s="268"/>
      <c r="J906" s="268"/>
      <c r="K906" s="268"/>
      <c r="L906" s="309"/>
      <c r="M906" s="268"/>
      <c r="N906" s="268"/>
      <c r="O906" s="310"/>
      <c r="P906" s="268"/>
      <c r="Q906" s="309"/>
      <c r="R906" s="268"/>
      <c r="S906" s="313"/>
      <c r="T906" s="313"/>
      <c r="U906" s="268"/>
      <c r="V906" s="309"/>
      <c r="W906" s="310"/>
      <c r="X906" s="268"/>
      <c r="Y906" s="268"/>
      <c r="Z906" s="268"/>
      <c r="AA906" s="268"/>
      <c r="AB906" s="268"/>
      <c r="AC906" s="268"/>
    </row>
    <row r="907" spans="1:29" ht="24.75" customHeight="1">
      <c r="A907" s="268"/>
      <c r="B907" s="268"/>
      <c r="C907" s="268"/>
      <c r="D907" s="268"/>
      <c r="E907" s="268"/>
      <c r="F907" s="268"/>
      <c r="G907" s="268"/>
      <c r="H907" s="268"/>
      <c r="I907" s="268"/>
      <c r="J907" s="268"/>
      <c r="K907" s="268"/>
      <c r="L907" s="309"/>
      <c r="M907" s="268"/>
      <c r="N907" s="268"/>
      <c r="O907" s="310"/>
      <c r="P907" s="268"/>
      <c r="Q907" s="309"/>
      <c r="R907" s="268"/>
      <c r="S907" s="313"/>
      <c r="T907" s="313"/>
      <c r="U907" s="268"/>
      <c r="V907" s="309"/>
      <c r="W907" s="310"/>
      <c r="X907" s="268"/>
      <c r="Y907" s="268"/>
      <c r="Z907" s="268"/>
      <c r="AA907" s="268"/>
      <c r="AB907" s="268"/>
      <c r="AC907" s="268"/>
    </row>
    <row r="908" spans="1:29" ht="24.75" customHeight="1">
      <c r="A908" s="268"/>
      <c r="B908" s="268"/>
      <c r="C908" s="268"/>
      <c r="D908" s="268"/>
      <c r="E908" s="268"/>
      <c r="F908" s="268"/>
      <c r="G908" s="268"/>
      <c r="H908" s="268"/>
      <c r="I908" s="268"/>
      <c r="J908" s="268"/>
      <c r="K908" s="268"/>
      <c r="L908" s="309"/>
      <c r="M908" s="268"/>
      <c r="N908" s="268"/>
      <c r="O908" s="310"/>
      <c r="P908" s="268"/>
      <c r="Q908" s="309"/>
      <c r="R908" s="268"/>
      <c r="S908" s="313"/>
      <c r="T908" s="313"/>
      <c r="U908" s="268"/>
      <c r="V908" s="309"/>
      <c r="W908" s="310"/>
      <c r="X908" s="268"/>
      <c r="Y908" s="268"/>
      <c r="Z908" s="268"/>
      <c r="AA908" s="268"/>
      <c r="AB908" s="268"/>
      <c r="AC908" s="268"/>
    </row>
    <row r="909" spans="1:29" ht="24.75" customHeight="1">
      <c r="A909" s="268"/>
      <c r="B909" s="268"/>
      <c r="C909" s="268"/>
      <c r="D909" s="268"/>
      <c r="E909" s="268"/>
      <c r="F909" s="268"/>
      <c r="G909" s="268"/>
      <c r="H909" s="268"/>
      <c r="I909" s="268"/>
      <c r="J909" s="268"/>
      <c r="K909" s="268"/>
      <c r="L909" s="309"/>
      <c r="M909" s="268"/>
      <c r="N909" s="268"/>
      <c r="O909" s="310"/>
      <c r="P909" s="268"/>
      <c r="Q909" s="309"/>
      <c r="R909" s="268"/>
      <c r="S909" s="313"/>
      <c r="T909" s="313"/>
      <c r="U909" s="268"/>
      <c r="V909" s="309"/>
      <c r="W909" s="310"/>
      <c r="X909" s="268"/>
      <c r="Y909" s="268"/>
      <c r="Z909" s="268"/>
      <c r="AA909" s="268"/>
      <c r="AB909" s="268"/>
      <c r="AC909" s="268"/>
    </row>
    <row r="910" spans="1:29" ht="24.75" customHeight="1">
      <c r="A910" s="268"/>
      <c r="B910" s="268"/>
      <c r="C910" s="268"/>
      <c r="D910" s="268"/>
      <c r="E910" s="268"/>
      <c r="F910" s="268"/>
      <c r="G910" s="268"/>
      <c r="H910" s="268"/>
      <c r="I910" s="268"/>
      <c r="J910" s="268"/>
      <c r="K910" s="268"/>
      <c r="L910" s="309"/>
      <c r="M910" s="268"/>
      <c r="N910" s="268"/>
      <c r="O910" s="310"/>
      <c r="P910" s="268"/>
      <c r="Q910" s="309"/>
      <c r="R910" s="268"/>
      <c r="S910" s="313"/>
      <c r="T910" s="313"/>
      <c r="U910" s="268"/>
      <c r="V910" s="309"/>
      <c r="W910" s="310"/>
      <c r="X910" s="268"/>
      <c r="Y910" s="268"/>
      <c r="Z910" s="268"/>
      <c r="AA910" s="268"/>
      <c r="AB910" s="268"/>
      <c r="AC910" s="268"/>
    </row>
    <row r="911" spans="1:29" ht="24.75" customHeight="1">
      <c r="A911" s="268"/>
      <c r="B911" s="268"/>
      <c r="C911" s="268"/>
      <c r="D911" s="268"/>
      <c r="E911" s="268"/>
      <c r="F911" s="268"/>
      <c r="G911" s="268"/>
      <c r="H911" s="268"/>
      <c r="I911" s="268"/>
      <c r="J911" s="268"/>
      <c r="K911" s="268"/>
      <c r="L911" s="309"/>
      <c r="M911" s="268"/>
      <c r="N911" s="268"/>
      <c r="O911" s="310"/>
      <c r="P911" s="268"/>
      <c r="Q911" s="309"/>
      <c r="R911" s="268"/>
      <c r="S911" s="313"/>
      <c r="T911" s="313"/>
      <c r="U911" s="268"/>
      <c r="V911" s="309"/>
      <c r="W911" s="310"/>
      <c r="X911" s="268"/>
      <c r="Y911" s="268"/>
      <c r="Z911" s="268"/>
      <c r="AA911" s="268"/>
      <c r="AB911" s="268"/>
      <c r="AC911" s="268"/>
    </row>
    <row r="912" spans="1:29" ht="24.75" customHeight="1">
      <c r="A912" s="268"/>
      <c r="B912" s="268"/>
      <c r="C912" s="268"/>
      <c r="D912" s="268"/>
      <c r="E912" s="268"/>
      <c r="F912" s="268"/>
      <c r="G912" s="268"/>
      <c r="H912" s="268"/>
      <c r="I912" s="268"/>
      <c r="J912" s="268"/>
      <c r="K912" s="268"/>
      <c r="L912" s="309"/>
      <c r="M912" s="268"/>
      <c r="N912" s="268"/>
      <c r="O912" s="310"/>
      <c r="P912" s="268"/>
      <c r="Q912" s="309"/>
      <c r="R912" s="268"/>
      <c r="S912" s="313"/>
      <c r="T912" s="313"/>
      <c r="U912" s="268"/>
      <c r="V912" s="309"/>
      <c r="W912" s="310"/>
      <c r="X912" s="268"/>
      <c r="Y912" s="268"/>
      <c r="Z912" s="268"/>
      <c r="AA912" s="268"/>
      <c r="AB912" s="268"/>
      <c r="AC912" s="268"/>
    </row>
    <row r="913" spans="1:29" ht="24.75" customHeight="1">
      <c r="A913" s="268"/>
      <c r="B913" s="268"/>
      <c r="C913" s="268"/>
      <c r="D913" s="268"/>
      <c r="E913" s="268"/>
      <c r="F913" s="268"/>
      <c r="G913" s="268"/>
      <c r="H913" s="268"/>
      <c r="I913" s="268"/>
      <c r="J913" s="268"/>
      <c r="K913" s="268"/>
      <c r="L913" s="309"/>
      <c r="M913" s="268"/>
      <c r="N913" s="268"/>
      <c r="O913" s="310"/>
      <c r="P913" s="268"/>
      <c r="Q913" s="309"/>
      <c r="R913" s="268"/>
      <c r="S913" s="313"/>
      <c r="T913" s="313"/>
      <c r="U913" s="268"/>
      <c r="V913" s="309"/>
      <c r="W913" s="310"/>
      <c r="X913" s="268"/>
      <c r="Y913" s="268"/>
      <c r="Z913" s="268"/>
      <c r="AA913" s="268"/>
      <c r="AB913" s="268"/>
      <c r="AC913" s="268"/>
    </row>
    <row r="914" spans="1:29" ht="24.75" customHeight="1">
      <c r="A914" s="268"/>
      <c r="B914" s="268"/>
      <c r="C914" s="268"/>
      <c r="D914" s="268"/>
      <c r="E914" s="268"/>
      <c r="F914" s="268"/>
      <c r="G914" s="268"/>
      <c r="H914" s="268"/>
      <c r="I914" s="268"/>
      <c r="J914" s="268"/>
      <c r="K914" s="268"/>
      <c r="L914" s="309"/>
      <c r="M914" s="268"/>
      <c r="N914" s="268"/>
      <c r="O914" s="310"/>
      <c r="P914" s="268"/>
      <c r="Q914" s="309"/>
      <c r="R914" s="268"/>
      <c r="S914" s="313"/>
      <c r="T914" s="313"/>
      <c r="U914" s="268"/>
      <c r="V914" s="309"/>
      <c r="W914" s="310"/>
      <c r="X914" s="268"/>
      <c r="Y914" s="268"/>
      <c r="Z914" s="268"/>
      <c r="AA914" s="268"/>
      <c r="AB914" s="268"/>
      <c r="AC914" s="268"/>
    </row>
    <row r="915" spans="1:29" ht="24.75" customHeight="1">
      <c r="A915" s="268"/>
      <c r="B915" s="268"/>
      <c r="C915" s="268"/>
      <c r="D915" s="268"/>
      <c r="E915" s="268"/>
      <c r="F915" s="268"/>
      <c r="G915" s="268"/>
      <c r="H915" s="268"/>
      <c r="I915" s="268"/>
      <c r="J915" s="268"/>
      <c r="K915" s="268"/>
      <c r="L915" s="309"/>
      <c r="M915" s="268"/>
      <c r="N915" s="268"/>
      <c r="O915" s="310"/>
      <c r="P915" s="268"/>
      <c r="Q915" s="309"/>
      <c r="R915" s="268"/>
      <c r="S915" s="313"/>
      <c r="T915" s="313"/>
      <c r="U915" s="268"/>
      <c r="V915" s="309"/>
      <c r="W915" s="310"/>
      <c r="X915" s="268"/>
      <c r="Y915" s="268"/>
      <c r="Z915" s="268"/>
      <c r="AA915" s="268"/>
      <c r="AB915" s="268"/>
      <c r="AC915" s="268"/>
    </row>
    <row r="916" spans="1:29" ht="24.75" customHeight="1">
      <c r="A916" s="268"/>
      <c r="B916" s="268"/>
      <c r="C916" s="268"/>
      <c r="D916" s="268"/>
      <c r="E916" s="268"/>
      <c r="F916" s="268"/>
      <c r="G916" s="268"/>
      <c r="H916" s="268"/>
      <c r="I916" s="268"/>
      <c r="J916" s="268"/>
      <c r="K916" s="268"/>
      <c r="L916" s="309"/>
      <c r="M916" s="268"/>
      <c r="N916" s="268"/>
      <c r="O916" s="310"/>
      <c r="P916" s="268"/>
      <c r="Q916" s="309"/>
      <c r="R916" s="268"/>
      <c r="S916" s="313"/>
      <c r="T916" s="313"/>
      <c r="U916" s="268"/>
      <c r="V916" s="309"/>
      <c r="W916" s="310"/>
      <c r="X916" s="268"/>
      <c r="Y916" s="268"/>
      <c r="Z916" s="268"/>
      <c r="AA916" s="268"/>
      <c r="AB916" s="268"/>
      <c r="AC916" s="268"/>
    </row>
    <row r="917" spans="1:29" ht="24.75" customHeight="1">
      <c r="A917" s="268"/>
      <c r="B917" s="268"/>
      <c r="C917" s="268"/>
      <c r="D917" s="268"/>
      <c r="E917" s="268"/>
      <c r="F917" s="268"/>
      <c r="G917" s="268"/>
      <c r="H917" s="268"/>
      <c r="I917" s="268"/>
      <c r="J917" s="268"/>
      <c r="K917" s="268"/>
      <c r="L917" s="309"/>
      <c r="M917" s="268"/>
      <c r="N917" s="268"/>
      <c r="O917" s="310"/>
      <c r="P917" s="268"/>
      <c r="Q917" s="309"/>
      <c r="R917" s="268"/>
      <c r="S917" s="313"/>
      <c r="T917" s="313"/>
      <c r="U917" s="268"/>
      <c r="V917" s="309"/>
      <c r="W917" s="310"/>
      <c r="X917" s="268"/>
      <c r="Y917" s="268"/>
      <c r="Z917" s="268"/>
      <c r="AA917" s="268"/>
      <c r="AB917" s="268"/>
      <c r="AC917" s="268"/>
    </row>
    <row r="918" spans="1:29" ht="24.75" customHeight="1">
      <c r="A918" s="268"/>
      <c r="B918" s="268"/>
      <c r="C918" s="268"/>
      <c r="D918" s="268"/>
      <c r="E918" s="268"/>
      <c r="F918" s="268"/>
      <c r="G918" s="268"/>
      <c r="H918" s="268"/>
      <c r="I918" s="268"/>
      <c r="J918" s="268"/>
      <c r="K918" s="268"/>
      <c r="L918" s="309"/>
      <c r="M918" s="268"/>
      <c r="N918" s="268"/>
      <c r="O918" s="310"/>
      <c r="P918" s="268"/>
      <c r="Q918" s="309"/>
      <c r="R918" s="268"/>
      <c r="S918" s="313"/>
      <c r="T918" s="313"/>
      <c r="U918" s="268"/>
      <c r="V918" s="309"/>
      <c r="W918" s="310"/>
      <c r="X918" s="268"/>
      <c r="Y918" s="268"/>
      <c r="Z918" s="268"/>
      <c r="AA918" s="268"/>
      <c r="AB918" s="268"/>
      <c r="AC918" s="268"/>
    </row>
    <row r="919" spans="1:29" ht="24.75" customHeight="1">
      <c r="A919" s="268"/>
      <c r="B919" s="268"/>
      <c r="C919" s="268"/>
      <c r="D919" s="268"/>
      <c r="E919" s="268"/>
      <c r="F919" s="268"/>
      <c r="G919" s="268"/>
      <c r="H919" s="268"/>
      <c r="I919" s="268"/>
      <c r="J919" s="268"/>
      <c r="K919" s="268"/>
      <c r="L919" s="309"/>
      <c r="M919" s="268"/>
      <c r="N919" s="268"/>
      <c r="O919" s="310"/>
      <c r="P919" s="268"/>
      <c r="Q919" s="309"/>
      <c r="R919" s="268"/>
      <c r="S919" s="313"/>
      <c r="T919" s="313"/>
      <c r="U919" s="268"/>
      <c r="V919" s="309"/>
      <c r="W919" s="310"/>
      <c r="X919" s="268"/>
      <c r="Y919" s="268"/>
      <c r="Z919" s="268"/>
      <c r="AA919" s="268"/>
      <c r="AB919" s="268"/>
      <c r="AC919" s="268"/>
    </row>
    <row r="920" spans="1:29" ht="24.75" customHeight="1">
      <c r="A920" s="268"/>
      <c r="B920" s="268"/>
      <c r="C920" s="268"/>
      <c r="D920" s="268"/>
      <c r="E920" s="268"/>
      <c r="F920" s="268"/>
      <c r="G920" s="268"/>
      <c r="H920" s="268"/>
      <c r="I920" s="268"/>
      <c r="J920" s="268"/>
      <c r="K920" s="268"/>
      <c r="L920" s="309"/>
      <c r="M920" s="268"/>
      <c r="N920" s="268"/>
      <c r="O920" s="310"/>
      <c r="P920" s="268"/>
      <c r="Q920" s="309"/>
      <c r="R920" s="268"/>
      <c r="S920" s="313"/>
      <c r="T920" s="313"/>
      <c r="U920" s="268"/>
      <c r="V920" s="309"/>
      <c r="W920" s="310"/>
      <c r="X920" s="268"/>
      <c r="Y920" s="268"/>
      <c r="Z920" s="268"/>
      <c r="AA920" s="268"/>
      <c r="AB920" s="268"/>
      <c r="AC920" s="268"/>
    </row>
    <row r="921" spans="1:29" ht="24.75" customHeight="1">
      <c r="A921" s="268"/>
      <c r="B921" s="268"/>
      <c r="C921" s="268"/>
      <c r="D921" s="268"/>
      <c r="E921" s="268"/>
      <c r="F921" s="268"/>
      <c r="G921" s="268"/>
      <c r="H921" s="268"/>
      <c r="I921" s="268"/>
      <c r="J921" s="268"/>
      <c r="K921" s="268"/>
      <c r="L921" s="309"/>
      <c r="M921" s="268"/>
      <c r="N921" s="268"/>
      <c r="O921" s="310"/>
      <c r="P921" s="268"/>
      <c r="Q921" s="309"/>
      <c r="R921" s="268"/>
      <c r="S921" s="313"/>
      <c r="T921" s="313"/>
      <c r="U921" s="268"/>
      <c r="V921" s="309"/>
      <c r="W921" s="310"/>
      <c r="X921" s="268"/>
      <c r="Y921" s="268"/>
      <c r="Z921" s="268"/>
      <c r="AA921" s="268"/>
      <c r="AB921" s="268"/>
      <c r="AC921" s="268"/>
    </row>
    <row r="922" spans="1:29" ht="24.75" customHeight="1">
      <c r="A922" s="268"/>
      <c r="B922" s="268"/>
      <c r="C922" s="268"/>
      <c r="D922" s="268"/>
      <c r="E922" s="268"/>
      <c r="F922" s="268"/>
      <c r="G922" s="268"/>
      <c r="H922" s="268"/>
      <c r="I922" s="268"/>
      <c r="J922" s="268"/>
      <c r="K922" s="268"/>
      <c r="L922" s="309"/>
      <c r="M922" s="268"/>
      <c r="N922" s="268"/>
      <c r="O922" s="310"/>
      <c r="P922" s="268"/>
      <c r="Q922" s="309"/>
      <c r="R922" s="268"/>
      <c r="S922" s="313"/>
      <c r="T922" s="313"/>
      <c r="U922" s="268"/>
      <c r="V922" s="309"/>
      <c r="W922" s="310"/>
      <c r="X922" s="268"/>
      <c r="Y922" s="268"/>
      <c r="Z922" s="268"/>
      <c r="AA922" s="268"/>
      <c r="AB922" s="268"/>
      <c r="AC922" s="268"/>
    </row>
    <row r="923" spans="1:29" ht="24.75" customHeight="1">
      <c r="A923" s="268"/>
      <c r="B923" s="268"/>
      <c r="C923" s="268"/>
      <c r="D923" s="268"/>
      <c r="E923" s="268"/>
      <c r="F923" s="268"/>
      <c r="G923" s="268"/>
      <c r="H923" s="268"/>
      <c r="I923" s="268"/>
      <c r="J923" s="268"/>
      <c r="K923" s="268"/>
      <c r="L923" s="309"/>
      <c r="M923" s="268"/>
      <c r="N923" s="268"/>
      <c r="O923" s="310"/>
      <c r="P923" s="268"/>
      <c r="Q923" s="309"/>
      <c r="R923" s="268"/>
      <c r="S923" s="313"/>
      <c r="T923" s="313"/>
      <c r="U923" s="268"/>
      <c r="V923" s="309"/>
      <c r="W923" s="310"/>
      <c r="X923" s="268"/>
      <c r="Y923" s="268"/>
      <c r="Z923" s="268"/>
      <c r="AA923" s="268"/>
      <c r="AB923" s="268"/>
      <c r="AC923" s="268"/>
    </row>
    <row r="924" spans="1:29" ht="24.75" customHeight="1">
      <c r="A924" s="268"/>
      <c r="B924" s="268"/>
      <c r="C924" s="268"/>
      <c r="D924" s="268"/>
      <c r="E924" s="268"/>
      <c r="F924" s="268"/>
      <c r="G924" s="268"/>
      <c r="H924" s="268"/>
      <c r="I924" s="268"/>
      <c r="J924" s="268"/>
      <c r="K924" s="268"/>
      <c r="L924" s="309"/>
      <c r="M924" s="268"/>
      <c r="N924" s="268"/>
      <c r="O924" s="310"/>
      <c r="P924" s="268"/>
      <c r="Q924" s="309"/>
      <c r="R924" s="268"/>
      <c r="S924" s="313"/>
      <c r="T924" s="313"/>
      <c r="U924" s="268"/>
      <c r="V924" s="309"/>
      <c r="W924" s="310"/>
      <c r="X924" s="268"/>
      <c r="Y924" s="268"/>
      <c r="Z924" s="268"/>
      <c r="AA924" s="268"/>
      <c r="AB924" s="268"/>
      <c r="AC924" s="268"/>
    </row>
    <row r="925" spans="1:29" ht="24.75" customHeight="1">
      <c r="A925" s="268"/>
      <c r="B925" s="268"/>
      <c r="C925" s="268"/>
      <c r="D925" s="268"/>
      <c r="E925" s="268"/>
      <c r="F925" s="268"/>
      <c r="G925" s="268"/>
      <c r="H925" s="268"/>
      <c r="I925" s="268"/>
      <c r="J925" s="268"/>
      <c r="K925" s="268"/>
      <c r="L925" s="309"/>
      <c r="M925" s="268"/>
      <c r="N925" s="268"/>
      <c r="O925" s="310"/>
      <c r="P925" s="268"/>
      <c r="Q925" s="309"/>
      <c r="R925" s="268"/>
      <c r="S925" s="313"/>
      <c r="T925" s="313"/>
      <c r="U925" s="268"/>
      <c r="V925" s="309"/>
      <c r="W925" s="310"/>
      <c r="X925" s="268"/>
      <c r="Y925" s="268"/>
      <c r="Z925" s="268"/>
      <c r="AA925" s="268"/>
      <c r="AB925" s="268"/>
      <c r="AC925" s="268"/>
    </row>
    <row r="926" spans="1:29" ht="24.75" customHeight="1">
      <c r="A926" s="268"/>
      <c r="B926" s="268"/>
      <c r="C926" s="268"/>
      <c r="D926" s="268"/>
      <c r="E926" s="268"/>
      <c r="F926" s="268"/>
      <c r="G926" s="268"/>
      <c r="H926" s="268"/>
      <c r="I926" s="268"/>
      <c r="J926" s="268"/>
      <c r="K926" s="268"/>
      <c r="L926" s="309"/>
      <c r="M926" s="268"/>
      <c r="N926" s="268"/>
      <c r="O926" s="310"/>
      <c r="P926" s="268"/>
      <c r="Q926" s="309"/>
      <c r="R926" s="268"/>
      <c r="S926" s="313"/>
      <c r="T926" s="313"/>
      <c r="U926" s="268"/>
      <c r="V926" s="309"/>
      <c r="W926" s="310"/>
      <c r="X926" s="268"/>
      <c r="Y926" s="268"/>
      <c r="Z926" s="268"/>
      <c r="AA926" s="268"/>
      <c r="AB926" s="268"/>
      <c r="AC926" s="268"/>
    </row>
    <row r="927" spans="1:29" ht="24.75" customHeight="1">
      <c r="A927" s="268"/>
      <c r="B927" s="268"/>
      <c r="C927" s="268"/>
      <c r="D927" s="268"/>
      <c r="E927" s="268"/>
      <c r="F927" s="268"/>
      <c r="G927" s="268"/>
      <c r="H927" s="268"/>
      <c r="I927" s="268"/>
      <c r="J927" s="268"/>
      <c r="K927" s="268"/>
      <c r="L927" s="309"/>
      <c r="M927" s="268"/>
      <c r="N927" s="268"/>
      <c r="O927" s="310"/>
      <c r="P927" s="268"/>
      <c r="Q927" s="309"/>
      <c r="R927" s="268"/>
      <c r="S927" s="313"/>
      <c r="T927" s="313"/>
      <c r="U927" s="268"/>
      <c r="V927" s="309"/>
      <c r="W927" s="310"/>
      <c r="X927" s="268"/>
      <c r="Y927" s="268"/>
      <c r="Z927" s="268"/>
      <c r="AA927" s="268"/>
      <c r="AB927" s="268"/>
      <c r="AC927" s="268"/>
    </row>
    <row r="928" spans="1:29" ht="24.75" customHeight="1">
      <c r="A928" s="268"/>
      <c r="B928" s="268"/>
      <c r="C928" s="268"/>
      <c r="D928" s="268"/>
      <c r="E928" s="268"/>
      <c r="F928" s="268"/>
      <c r="G928" s="268"/>
      <c r="H928" s="268"/>
      <c r="I928" s="268"/>
      <c r="J928" s="268"/>
      <c r="K928" s="268"/>
      <c r="L928" s="309"/>
      <c r="M928" s="268"/>
      <c r="N928" s="268"/>
      <c r="O928" s="310"/>
      <c r="P928" s="268"/>
      <c r="Q928" s="309"/>
      <c r="R928" s="268"/>
      <c r="S928" s="313"/>
      <c r="T928" s="313"/>
      <c r="U928" s="268"/>
      <c r="V928" s="309"/>
      <c r="W928" s="310"/>
      <c r="X928" s="268"/>
      <c r="Y928" s="268"/>
      <c r="Z928" s="268"/>
      <c r="AA928" s="268"/>
      <c r="AB928" s="268"/>
      <c r="AC928" s="268"/>
    </row>
    <row r="929" spans="1:29" ht="24.75" customHeight="1">
      <c r="A929" s="268"/>
      <c r="B929" s="268"/>
      <c r="C929" s="268"/>
      <c r="D929" s="268"/>
      <c r="E929" s="268"/>
      <c r="F929" s="268"/>
      <c r="G929" s="268"/>
      <c r="H929" s="268"/>
      <c r="I929" s="268"/>
      <c r="J929" s="268"/>
      <c r="K929" s="268"/>
      <c r="L929" s="309"/>
      <c r="M929" s="268"/>
      <c r="N929" s="268"/>
      <c r="O929" s="310"/>
      <c r="P929" s="268"/>
      <c r="Q929" s="309"/>
      <c r="R929" s="268"/>
      <c r="S929" s="313"/>
      <c r="T929" s="313"/>
      <c r="U929" s="268"/>
      <c r="V929" s="309"/>
      <c r="W929" s="310"/>
      <c r="X929" s="268"/>
      <c r="Y929" s="268"/>
      <c r="Z929" s="268"/>
      <c r="AA929" s="268"/>
      <c r="AB929" s="268"/>
      <c r="AC929" s="268"/>
    </row>
    <row r="930" spans="1:29" ht="24.75" customHeight="1">
      <c r="A930" s="268"/>
      <c r="B930" s="268"/>
      <c r="C930" s="268"/>
      <c r="D930" s="268"/>
      <c r="E930" s="268"/>
      <c r="F930" s="268"/>
      <c r="G930" s="268"/>
      <c r="H930" s="268"/>
      <c r="I930" s="268"/>
      <c r="J930" s="268"/>
      <c r="K930" s="268"/>
      <c r="L930" s="309"/>
      <c r="M930" s="268"/>
      <c r="N930" s="268"/>
      <c r="O930" s="310"/>
      <c r="P930" s="268"/>
      <c r="Q930" s="309"/>
      <c r="R930" s="268"/>
      <c r="S930" s="313"/>
      <c r="T930" s="313"/>
      <c r="U930" s="268"/>
      <c r="V930" s="309"/>
      <c r="W930" s="310"/>
      <c r="X930" s="268"/>
      <c r="Y930" s="268"/>
      <c r="Z930" s="268"/>
      <c r="AA930" s="268"/>
      <c r="AB930" s="268"/>
      <c r="AC930" s="268"/>
    </row>
    <row r="931" spans="1:29" ht="24.75" customHeight="1">
      <c r="A931" s="268"/>
      <c r="B931" s="268"/>
      <c r="C931" s="268"/>
      <c r="D931" s="268"/>
      <c r="E931" s="268"/>
      <c r="F931" s="268"/>
      <c r="G931" s="268"/>
      <c r="H931" s="268"/>
      <c r="I931" s="268"/>
      <c r="J931" s="268"/>
      <c r="K931" s="268"/>
      <c r="L931" s="309"/>
      <c r="M931" s="268"/>
      <c r="N931" s="268"/>
      <c r="O931" s="310"/>
      <c r="P931" s="268"/>
      <c r="Q931" s="309"/>
      <c r="R931" s="268"/>
      <c r="S931" s="313"/>
      <c r="T931" s="313"/>
      <c r="U931" s="268"/>
      <c r="V931" s="309"/>
      <c r="W931" s="310"/>
      <c r="X931" s="268"/>
      <c r="Y931" s="268"/>
      <c r="Z931" s="268"/>
      <c r="AA931" s="268"/>
      <c r="AB931" s="268"/>
      <c r="AC931" s="268"/>
    </row>
    <row r="932" spans="1:29" ht="24.75" customHeight="1">
      <c r="A932" s="268"/>
      <c r="B932" s="268"/>
      <c r="C932" s="268"/>
      <c r="D932" s="268"/>
      <c r="E932" s="268"/>
      <c r="F932" s="268"/>
      <c r="G932" s="268"/>
      <c r="H932" s="268"/>
      <c r="I932" s="268"/>
      <c r="J932" s="268"/>
      <c r="K932" s="268"/>
      <c r="L932" s="309"/>
      <c r="M932" s="268"/>
      <c r="N932" s="268"/>
      <c r="O932" s="310"/>
      <c r="P932" s="268"/>
      <c r="Q932" s="309"/>
      <c r="R932" s="268"/>
      <c r="S932" s="313"/>
      <c r="T932" s="313"/>
      <c r="U932" s="268"/>
      <c r="V932" s="309"/>
      <c r="W932" s="310"/>
      <c r="X932" s="268"/>
      <c r="Y932" s="268"/>
      <c r="Z932" s="268"/>
      <c r="AA932" s="268"/>
      <c r="AB932" s="268"/>
      <c r="AC932" s="268"/>
    </row>
    <row r="933" spans="1:29" ht="24.75" customHeight="1">
      <c r="A933" s="268"/>
      <c r="B933" s="268"/>
      <c r="C933" s="268"/>
      <c r="D933" s="268"/>
      <c r="E933" s="268"/>
      <c r="F933" s="268"/>
      <c r="G933" s="268"/>
      <c r="H933" s="268"/>
      <c r="I933" s="268"/>
      <c r="J933" s="268"/>
      <c r="K933" s="268"/>
      <c r="L933" s="309"/>
      <c r="M933" s="268"/>
      <c r="N933" s="268"/>
      <c r="O933" s="310"/>
      <c r="P933" s="268"/>
      <c r="Q933" s="309"/>
      <c r="R933" s="268"/>
      <c r="S933" s="313"/>
      <c r="T933" s="313"/>
      <c r="U933" s="268"/>
      <c r="V933" s="309"/>
      <c r="W933" s="310"/>
      <c r="X933" s="268"/>
      <c r="Y933" s="268"/>
      <c r="Z933" s="268"/>
      <c r="AA933" s="268"/>
      <c r="AB933" s="268"/>
      <c r="AC933" s="268"/>
    </row>
    <row r="934" spans="1:29" ht="24.75" customHeight="1">
      <c r="A934" s="268"/>
      <c r="B934" s="268"/>
      <c r="C934" s="268"/>
      <c r="D934" s="268"/>
      <c r="E934" s="268"/>
      <c r="F934" s="268"/>
      <c r="G934" s="268"/>
      <c r="H934" s="268"/>
      <c r="I934" s="268"/>
      <c r="J934" s="268"/>
      <c r="K934" s="268"/>
      <c r="L934" s="309"/>
      <c r="M934" s="268"/>
      <c r="N934" s="268"/>
      <c r="O934" s="310"/>
      <c r="P934" s="268"/>
      <c r="Q934" s="309"/>
      <c r="R934" s="268"/>
      <c r="S934" s="313"/>
      <c r="T934" s="313"/>
      <c r="U934" s="268"/>
      <c r="V934" s="309"/>
      <c r="W934" s="310"/>
      <c r="X934" s="268"/>
      <c r="Y934" s="268"/>
      <c r="Z934" s="268"/>
      <c r="AA934" s="268"/>
      <c r="AB934" s="268"/>
      <c r="AC934" s="268"/>
    </row>
    <row r="935" spans="1:29" ht="24.75" customHeight="1">
      <c r="A935" s="268"/>
      <c r="B935" s="268"/>
      <c r="C935" s="268"/>
      <c r="D935" s="268"/>
      <c r="E935" s="268"/>
      <c r="F935" s="268"/>
      <c r="G935" s="268"/>
      <c r="H935" s="268"/>
      <c r="I935" s="268"/>
      <c r="J935" s="268"/>
      <c r="K935" s="268"/>
      <c r="L935" s="309"/>
      <c r="M935" s="268"/>
      <c r="N935" s="268"/>
      <c r="O935" s="310"/>
      <c r="P935" s="268"/>
      <c r="Q935" s="309"/>
      <c r="R935" s="268"/>
      <c r="S935" s="313"/>
      <c r="T935" s="313"/>
      <c r="U935" s="268"/>
      <c r="V935" s="309"/>
      <c r="W935" s="310"/>
      <c r="X935" s="268"/>
      <c r="Y935" s="268"/>
      <c r="Z935" s="268"/>
      <c r="AA935" s="268"/>
      <c r="AB935" s="268"/>
      <c r="AC935" s="268"/>
    </row>
    <row r="936" spans="1:29" ht="24.75" customHeight="1">
      <c r="A936" s="268"/>
      <c r="B936" s="268"/>
      <c r="C936" s="268"/>
      <c r="D936" s="268"/>
      <c r="E936" s="268"/>
      <c r="F936" s="268"/>
      <c r="G936" s="268"/>
      <c r="H936" s="268"/>
      <c r="I936" s="268"/>
      <c r="J936" s="268"/>
      <c r="K936" s="268"/>
      <c r="L936" s="309"/>
      <c r="M936" s="268"/>
      <c r="N936" s="268"/>
      <c r="O936" s="310"/>
      <c r="P936" s="268"/>
      <c r="Q936" s="309"/>
      <c r="R936" s="268"/>
      <c r="S936" s="313"/>
      <c r="T936" s="313"/>
      <c r="U936" s="268"/>
      <c r="V936" s="309"/>
      <c r="W936" s="310"/>
      <c r="X936" s="268"/>
      <c r="Y936" s="268"/>
      <c r="Z936" s="268"/>
      <c r="AA936" s="268"/>
      <c r="AB936" s="268"/>
      <c r="AC936" s="268"/>
    </row>
    <row r="937" spans="1:29" ht="24.75" customHeight="1">
      <c r="A937" s="268"/>
      <c r="B937" s="268"/>
      <c r="C937" s="268"/>
      <c r="D937" s="268"/>
      <c r="E937" s="268"/>
      <c r="F937" s="268"/>
      <c r="G937" s="268"/>
      <c r="H937" s="268"/>
      <c r="I937" s="268"/>
      <c r="J937" s="268"/>
      <c r="K937" s="268"/>
      <c r="L937" s="309"/>
      <c r="M937" s="268"/>
      <c r="N937" s="268"/>
      <c r="O937" s="310"/>
      <c r="P937" s="268"/>
      <c r="Q937" s="309"/>
      <c r="R937" s="268"/>
      <c r="S937" s="313"/>
      <c r="T937" s="313"/>
      <c r="U937" s="268"/>
      <c r="V937" s="309"/>
      <c r="W937" s="310"/>
      <c r="X937" s="268"/>
      <c r="Y937" s="268"/>
      <c r="Z937" s="268"/>
      <c r="AA937" s="268"/>
      <c r="AB937" s="268"/>
      <c r="AC937" s="268"/>
    </row>
    <row r="938" spans="1:29" ht="24.75" customHeight="1">
      <c r="A938" s="268"/>
      <c r="B938" s="268"/>
      <c r="C938" s="268"/>
      <c r="D938" s="268"/>
      <c r="E938" s="268"/>
      <c r="F938" s="268"/>
      <c r="G938" s="268"/>
      <c r="H938" s="268"/>
      <c r="I938" s="268"/>
      <c r="J938" s="268"/>
      <c r="K938" s="268"/>
      <c r="L938" s="309"/>
      <c r="M938" s="268"/>
      <c r="N938" s="268"/>
      <c r="O938" s="310"/>
      <c r="P938" s="268"/>
      <c r="Q938" s="309"/>
      <c r="R938" s="268"/>
      <c r="S938" s="313"/>
      <c r="T938" s="313"/>
      <c r="U938" s="268"/>
      <c r="V938" s="309"/>
      <c r="W938" s="310"/>
      <c r="X938" s="268"/>
      <c r="Y938" s="268"/>
      <c r="Z938" s="268"/>
      <c r="AA938" s="268"/>
      <c r="AB938" s="268"/>
      <c r="AC938" s="268"/>
    </row>
    <row r="939" spans="1:29" ht="24.75" customHeight="1">
      <c r="A939" s="268"/>
      <c r="B939" s="268"/>
      <c r="C939" s="268"/>
      <c r="D939" s="268"/>
      <c r="E939" s="268"/>
      <c r="F939" s="268"/>
      <c r="G939" s="268"/>
      <c r="H939" s="268"/>
      <c r="I939" s="268"/>
      <c r="J939" s="268"/>
      <c r="K939" s="268"/>
      <c r="L939" s="309"/>
      <c r="M939" s="268"/>
      <c r="N939" s="268"/>
      <c r="O939" s="310"/>
      <c r="P939" s="268"/>
      <c r="Q939" s="309"/>
      <c r="R939" s="268"/>
      <c r="S939" s="313"/>
      <c r="T939" s="313"/>
      <c r="U939" s="268"/>
      <c r="V939" s="309"/>
      <c r="W939" s="310"/>
      <c r="X939" s="268"/>
      <c r="Y939" s="268"/>
      <c r="Z939" s="268"/>
      <c r="AA939" s="268"/>
      <c r="AB939" s="268"/>
      <c r="AC939" s="268"/>
    </row>
    <row r="940" spans="1:29" ht="24.75" customHeight="1">
      <c r="A940" s="268"/>
      <c r="B940" s="268"/>
      <c r="C940" s="268"/>
      <c r="D940" s="268"/>
      <c r="E940" s="268"/>
      <c r="F940" s="268"/>
      <c r="G940" s="268"/>
      <c r="H940" s="268"/>
      <c r="I940" s="268"/>
      <c r="J940" s="268"/>
      <c r="K940" s="268"/>
      <c r="L940" s="309"/>
      <c r="M940" s="268"/>
      <c r="N940" s="268"/>
      <c r="O940" s="310"/>
      <c r="P940" s="268"/>
      <c r="Q940" s="309"/>
      <c r="R940" s="268"/>
      <c r="S940" s="313"/>
      <c r="T940" s="313"/>
      <c r="U940" s="268"/>
      <c r="V940" s="309"/>
      <c r="W940" s="310"/>
      <c r="X940" s="268"/>
      <c r="Y940" s="268"/>
      <c r="Z940" s="268"/>
      <c r="AA940" s="268"/>
      <c r="AB940" s="268"/>
      <c r="AC940" s="268"/>
    </row>
    <row r="941" spans="1:29" ht="24.75" customHeight="1">
      <c r="A941" s="268"/>
      <c r="B941" s="268"/>
      <c r="C941" s="268"/>
      <c r="D941" s="268"/>
      <c r="E941" s="268"/>
      <c r="F941" s="268"/>
      <c r="G941" s="268"/>
      <c r="H941" s="268"/>
      <c r="I941" s="268"/>
      <c r="J941" s="268"/>
      <c r="K941" s="268"/>
      <c r="L941" s="309"/>
      <c r="M941" s="268"/>
      <c r="N941" s="268"/>
      <c r="O941" s="310"/>
      <c r="P941" s="268"/>
      <c r="Q941" s="309"/>
      <c r="R941" s="268"/>
      <c r="S941" s="313"/>
      <c r="T941" s="313"/>
      <c r="U941" s="268"/>
      <c r="V941" s="309"/>
      <c r="W941" s="310"/>
      <c r="X941" s="268"/>
      <c r="Y941" s="268"/>
      <c r="Z941" s="268"/>
      <c r="AA941" s="268"/>
      <c r="AB941" s="268"/>
      <c r="AC941" s="268"/>
    </row>
    <row r="942" spans="1:29" ht="24.75" customHeight="1">
      <c r="A942" s="268"/>
      <c r="B942" s="268"/>
      <c r="C942" s="268"/>
      <c r="D942" s="268"/>
      <c r="E942" s="268"/>
      <c r="F942" s="268"/>
      <c r="G942" s="268"/>
      <c r="H942" s="268"/>
      <c r="I942" s="268"/>
      <c r="J942" s="268"/>
      <c r="K942" s="268"/>
      <c r="L942" s="309"/>
      <c r="M942" s="268"/>
      <c r="N942" s="268"/>
      <c r="O942" s="310"/>
      <c r="P942" s="268"/>
      <c r="Q942" s="309"/>
      <c r="R942" s="268"/>
      <c r="S942" s="313"/>
      <c r="T942" s="313"/>
      <c r="U942" s="268"/>
      <c r="V942" s="309"/>
      <c r="W942" s="310"/>
      <c r="X942" s="268"/>
      <c r="Y942" s="268"/>
      <c r="Z942" s="268"/>
      <c r="AA942" s="268"/>
      <c r="AB942" s="268"/>
      <c r="AC942" s="268"/>
    </row>
    <row r="943" spans="1:29" ht="24.75" customHeight="1">
      <c r="A943" s="268"/>
      <c r="B943" s="268"/>
      <c r="C943" s="268"/>
      <c r="D943" s="268"/>
      <c r="E943" s="268"/>
      <c r="F943" s="268"/>
      <c r="G943" s="268"/>
      <c r="H943" s="268"/>
      <c r="I943" s="268"/>
      <c r="J943" s="268"/>
      <c r="K943" s="268"/>
      <c r="L943" s="309"/>
      <c r="M943" s="268"/>
      <c r="N943" s="268"/>
      <c r="O943" s="310"/>
      <c r="P943" s="268"/>
      <c r="Q943" s="309"/>
      <c r="R943" s="268"/>
      <c r="S943" s="313"/>
      <c r="T943" s="313"/>
      <c r="U943" s="268"/>
      <c r="V943" s="309"/>
      <c r="W943" s="310"/>
      <c r="X943" s="268"/>
      <c r="Y943" s="268"/>
      <c r="Z943" s="268"/>
      <c r="AA943" s="268"/>
      <c r="AB943" s="268"/>
      <c r="AC943" s="268"/>
    </row>
    <row r="944" spans="1:29" ht="24.75" customHeight="1">
      <c r="A944" s="268"/>
      <c r="B944" s="268"/>
      <c r="C944" s="268"/>
      <c r="D944" s="268"/>
      <c r="E944" s="268"/>
      <c r="F944" s="268"/>
      <c r="G944" s="268"/>
      <c r="H944" s="268"/>
      <c r="I944" s="268"/>
      <c r="J944" s="268"/>
      <c r="K944" s="268"/>
      <c r="L944" s="309"/>
      <c r="M944" s="268"/>
      <c r="N944" s="268"/>
      <c r="O944" s="310"/>
      <c r="P944" s="268"/>
      <c r="Q944" s="309"/>
      <c r="R944" s="268"/>
      <c r="S944" s="313"/>
      <c r="T944" s="313"/>
      <c r="U944" s="268"/>
      <c r="V944" s="309"/>
      <c r="W944" s="310"/>
      <c r="X944" s="268"/>
      <c r="Y944" s="268"/>
      <c r="Z944" s="268"/>
      <c r="AA944" s="268"/>
      <c r="AB944" s="268"/>
      <c r="AC944" s="268"/>
    </row>
    <row r="945" spans="1:29" ht="24.75" customHeight="1">
      <c r="A945" s="268"/>
      <c r="B945" s="268"/>
      <c r="C945" s="268"/>
      <c r="D945" s="268"/>
      <c r="E945" s="268"/>
      <c r="F945" s="268"/>
      <c r="G945" s="268"/>
      <c r="H945" s="268"/>
      <c r="I945" s="268"/>
      <c r="J945" s="268"/>
      <c r="K945" s="268"/>
      <c r="L945" s="309"/>
      <c r="M945" s="268"/>
      <c r="N945" s="268"/>
      <c r="O945" s="310"/>
      <c r="P945" s="268"/>
      <c r="Q945" s="309"/>
      <c r="R945" s="268"/>
      <c r="S945" s="313"/>
      <c r="T945" s="313"/>
      <c r="U945" s="268"/>
      <c r="V945" s="309"/>
      <c r="W945" s="310"/>
      <c r="X945" s="268"/>
      <c r="Y945" s="268"/>
      <c r="Z945" s="268"/>
      <c r="AA945" s="268"/>
      <c r="AB945" s="268"/>
      <c r="AC945" s="268"/>
    </row>
    <row r="946" spans="1:29" ht="24.75" customHeight="1">
      <c r="A946" s="268"/>
      <c r="B946" s="268"/>
      <c r="C946" s="268"/>
      <c r="D946" s="268"/>
      <c r="E946" s="268"/>
      <c r="F946" s="268"/>
      <c r="G946" s="268"/>
      <c r="H946" s="268"/>
      <c r="I946" s="268"/>
      <c r="J946" s="268"/>
      <c r="K946" s="268"/>
      <c r="L946" s="309"/>
      <c r="M946" s="268"/>
      <c r="N946" s="268"/>
      <c r="O946" s="310"/>
      <c r="P946" s="268"/>
      <c r="Q946" s="309"/>
      <c r="R946" s="268"/>
      <c r="S946" s="313"/>
      <c r="T946" s="313"/>
      <c r="U946" s="268"/>
      <c r="V946" s="309"/>
      <c r="W946" s="310"/>
      <c r="X946" s="268"/>
      <c r="Y946" s="268"/>
      <c r="Z946" s="268"/>
      <c r="AA946" s="268"/>
      <c r="AB946" s="268"/>
      <c r="AC946" s="268"/>
    </row>
    <row r="947" spans="1:29" ht="24.75" customHeight="1">
      <c r="A947" s="268"/>
      <c r="B947" s="268"/>
      <c r="C947" s="268"/>
      <c r="D947" s="268"/>
      <c r="E947" s="268"/>
      <c r="F947" s="268"/>
      <c r="G947" s="268"/>
      <c r="H947" s="268"/>
      <c r="I947" s="268"/>
      <c r="J947" s="268"/>
      <c r="K947" s="268"/>
      <c r="L947" s="309"/>
      <c r="M947" s="268"/>
      <c r="N947" s="268"/>
      <c r="O947" s="310"/>
      <c r="P947" s="268"/>
      <c r="Q947" s="309"/>
      <c r="R947" s="268"/>
      <c r="S947" s="313"/>
      <c r="T947" s="313"/>
      <c r="U947" s="268"/>
      <c r="V947" s="309"/>
      <c r="W947" s="310"/>
      <c r="X947" s="268"/>
      <c r="Y947" s="268"/>
      <c r="Z947" s="268"/>
      <c r="AA947" s="268"/>
      <c r="AB947" s="268"/>
      <c r="AC947" s="268"/>
    </row>
    <row r="948" spans="1:29" ht="24.75" customHeight="1">
      <c r="A948" s="268"/>
      <c r="B948" s="268"/>
      <c r="C948" s="268"/>
      <c r="D948" s="268"/>
      <c r="E948" s="268"/>
      <c r="F948" s="268"/>
      <c r="G948" s="268"/>
      <c r="H948" s="268"/>
      <c r="I948" s="268"/>
      <c r="J948" s="268"/>
      <c r="K948" s="268"/>
      <c r="L948" s="309"/>
      <c r="M948" s="268"/>
      <c r="N948" s="268"/>
      <c r="O948" s="310"/>
      <c r="P948" s="268"/>
      <c r="Q948" s="309"/>
      <c r="R948" s="268"/>
      <c r="S948" s="313"/>
      <c r="T948" s="313"/>
      <c r="U948" s="268"/>
      <c r="V948" s="309"/>
      <c r="W948" s="310"/>
      <c r="X948" s="268"/>
      <c r="Y948" s="268"/>
      <c r="Z948" s="268"/>
      <c r="AA948" s="268"/>
      <c r="AB948" s="268"/>
      <c r="AC948" s="268"/>
    </row>
    <row r="949" spans="1:29" ht="24.75" customHeight="1">
      <c r="A949" s="268"/>
      <c r="B949" s="268"/>
      <c r="C949" s="268"/>
      <c r="D949" s="268"/>
      <c r="E949" s="268"/>
      <c r="F949" s="268"/>
      <c r="G949" s="268"/>
      <c r="H949" s="268"/>
      <c r="I949" s="268"/>
      <c r="J949" s="268"/>
      <c r="K949" s="268"/>
      <c r="L949" s="309"/>
      <c r="M949" s="268"/>
      <c r="N949" s="268"/>
      <c r="O949" s="310"/>
      <c r="P949" s="268"/>
      <c r="Q949" s="309"/>
      <c r="R949" s="268"/>
      <c r="S949" s="313"/>
      <c r="T949" s="313"/>
      <c r="U949" s="268"/>
      <c r="V949" s="309"/>
      <c r="W949" s="310"/>
      <c r="X949" s="268"/>
      <c r="Y949" s="268"/>
      <c r="Z949" s="268"/>
      <c r="AA949" s="268"/>
      <c r="AB949" s="268"/>
      <c r="AC949" s="268"/>
    </row>
    <row r="950" spans="1:29" ht="24.75" customHeight="1">
      <c r="A950" s="268"/>
      <c r="B950" s="268"/>
      <c r="C950" s="268"/>
      <c r="D950" s="268"/>
      <c r="E950" s="268"/>
      <c r="F950" s="268"/>
      <c r="G950" s="268"/>
      <c r="H950" s="268"/>
      <c r="I950" s="268"/>
      <c r="J950" s="268"/>
      <c r="K950" s="268"/>
      <c r="L950" s="309"/>
      <c r="M950" s="268"/>
      <c r="N950" s="268"/>
      <c r="O950" s="310"/>
      <c r="P950" s="268"/>
      <c r="Q950" s="309"/>
      <c r="R950" s="268"/>
      <c r="S950" s="313"/>
      <c r="T950" s="313"/>
      <c r="U950" s="268"/>
      <c r="V950" s="309"/>
      <c r="W950" s="310"/>
      <c r="X950" s="268"/>
      <c r="Y950" s="268"/>
      <c r="Z950" s="268"/>
      <c r="AA950" s="268"/>
      <c r="AB950" s="268"/>
      <c r="AC950" s="268"/>
    </row>
    <row r="951" spans="1:29" ht="24.75" customHeight="1">
      <c r="A951" s="268"/>
      <c r="B951" s="268"/>
      <c r="C951" s="268"/>
      <c r="D951" s="268"/>
      <c r="E951" s="268"/>
      <c r="F951" s="268"/>
      <c r="G951" s="268"/>
      <c r="H951" s="268"/>
      <c r="I951" s="268"/>
      <c r="J951" s="268"/>
      <c r="K951" s="268"/>
      <c r="L951" s="309"/>
      <c r="M951" s="268"/>
      <c r="N951" s="268"/>
      <c r="O951" s="310"/>
      <c r="P951" s="268"/>
      <c r="Q951" s="309"/>
      <c r="R951" s="268"/>
      <c r="S951" s="313"/>
      <c r="T951" s="313"/>
      <c r="U951" s="268"/>
      <c r="V951" s="309"/>
      <c r="W951" s="310"/>
      <c r="X951" s="268"/>
      <c r="Y951" s="268"/>
      <c r="Z951" s="268"/>
      <c r="AA951" s="268"/>
      <c r="AB951" s="268"/>
      <c r="AC951" s="268"/>
    </row>
    <row r="952" spans="1:29" ht="24.75" customHeight="1">
      <c r="A952" s="268"/>
      <c r="B952" s="268"/>
      <c r="C952" s="268"/>
      <c r="D952" s="268"/>
      <c r="E952" s="268"/>
      <c r="F952" s="268"/>
      <c r="G952" s="268"/>
      <c r="H952" s="268"/>
      <c r="I952" s="268"/>
      <c r="J952" s="268"/>
      <c r="K952" s="268"/>
      <c r="L952" s="309"/>
      <c r="M952" s="268"/>
      <c r="N952" s="268"/>
      <c r="O952" s="310"/>
      <c r="P952" s="268"/>
      <c r="Q952" s="309"/>
      <c r="R952" s="268"/>
      <c r="S952" s="313"/>
      <c r="T952" s="313"/>
      <c r="U952" s="268"/>
      <c r="V952" s="309"/>
      <c r="W952" s="310"/>
      <c r="X952" s="268"/>
      <c r="Y952" s="268"/>
      <c r="Z952" s="268"/>
      <c r="AA952" s="268"/>
      <c r="AB952" s="268"/>
      <c r="AC952" s="268"/>
    </row>
    <row r="953" spans="1:29" ht="24.75" customHeight="1">
      <c r="A953" s="268"/>
      <c r="B953" s="268"/>
      <c r="C953" s="268"/>
      <c r="D953" s="268"/>
      <c r="E953" s="268"/>
      <c r="F953" s="268"/>
      <c r="G953" s="268"/>
      <c r="H953" s="268"/>
      <c r="I953" s="268"/>
      <c r="J953" s="268"/>
      <c r="K953" s="268"/>
      <c r="L953" s="309"/>
      <c r="M953" s="268"/>
      <c r="N953" s="268"/>
      <c r="O953" s="310"/>
      <c r="P953" s="268"/>
      <c r="Q953" s="309"/>
      <c r="R953" s="268"/>
      <c r="S953" s="313"/>
      <c r="T953" s="313"/>
      <c r="U953" s="268"/>
      <c r="V953" s="309"/>
      <c r="W953" s="310"/>
      <c r="X953" s="268"/>
      <c r="Y953" s="268"/>
      <c r="Z953" s="268"/>
      <c r="AA953" s="268"/>
      <c r="AB953" s="268"/>
      <c r="AC953" s="268"/>
    </row>
    <row r="954" spans="1:29" ht="24.75" customHeight="1">
      <c r="A954" s="268"/>
      <c r="B954" s="268"/>
      <c r="C954" s="268"/>
      <c r="D954" s="268"/>
      <c r="E954" s="268"/>
      <c r="F954" s="268"/>
      <c r="G954" s="268"/>
      <c r="H954" s="268"/>
      <c r="I954" s="268"/>
      <c r="J954" s="268"/>
      <c r="K954" s="268"/>
      <c r="L954" s="309"/>
      <c r="M954" s="268"/>
      <c r="N954" s="268"/>
      <c r="O954" s="310"/>
      <c r="P954" s="268"/>
      <c r="Q954" s="309"/>
      <c r="R954" s="268"/>
      <c r="S954" s="313"/>
      <c r="T954" s="313"/>
      <c r="U954" s="268"/>
      <c r="V954" s="309"/>
      <c r="W954" s="310"/>
      <c r="X954" s="268"/>
      <c r="Y954" s="268"/>
      <c r="Z954" s="268"/>
      <c r="AA954" s="268"/>
      <c r="AB954" s="268"/>
      <c r="AC954" s="268"/>
    </row>
    <row r="955" spans="1:29" ht="24.75" customHeight="1">
      <c r="A955" s="268"/>
      <c r="B955" s="268"/>
      <c r="C955" s="268"/>
      <c r="D955" s="268"/>
      <c r="E955" s="268"/>
      <c r="F955" s="268"/>
      <c r="G955" s="268"/>
      <c r="H955" s="268"/>
      <c r="I955" s="268"/>
      <c r="J955" s="268"/>
      <c r="K955" s="268"/>
      <c r="L955" s="309"/>
      <c r="M955" s="268"/>
      <c r="N955" s="268"/>
      <c r="O955" s="310"/>
      <c r="P955" s="268"/>
      <c r="Q955" s="309"/>
      <c r="R955" s="268"/>
      <c r="S955" s="313"/>
      <c r="T955" s="313"/>
      <c r="U955" s="268"/>
      <c r="V955" s="309"/>
      <c r="W955" s="310"/>
      <c r="X955" s="268"/>
      <c r="Y955" s="268"/>
      <c r="Z955" s="268"/>
      <c r="AA955" s="268"/>
      <c r="AB955" s="268"/>
      <c r="AC955" s="268"/>
    </row>
    <row r="956" spans="1:29" ht="24.75" customHeight="1">
      <c r="A956" s="268"/>
      <c r="B956" s="268"/>
      <c r="C956" s="268"/>
      <c r="D956" s="268"/>
      <c r="E956" s="268"/>
      <c r="F956" s="268"/>
      <c r="G956" s="268"/>
      <c r="H956" s="268"/>
      <c r="I956" s="268"/>
      <c r="J956" s="268"/>
      <c r="K956" s="268"/>
      <c r="L956" s="309"/>
      <c r="M956" s="268"/>
      <c r="N956" s="268"/>
      <c r="O956" s="310"/>
      <c r="P956" s="268"/>
      <c r="Q956" s="309"/>
      <c r="R956" s="268"/>
      <c r="S956" s="313"/>
      <c r="T956" s="313"/>
      <c r="U956" s="268"/>
      <c r="V956" s="309"/>
      <c r="W956" s="310"/>
      <c r="X956" s="268"/>
      <c r="Y956" s="268"/>
      <c r="Z956" s="268"/>
      <c r="AA956" s="268"/>
      <c r="AB956" s="268"/>
      <c r="AC956" s="268"/>
    </row>
    <row r="957" spans="1:29" ht="24.75" customHeight="1">
      <c r="A957" s="268"/>
      <c r="B957" s="268"/>
      <c r="C957" s="268"/>
      <c r="D957" s="268"/>
      <c r="E957" s="268"/>
      <c r="F957" s="268"/>
      <c r="G957" s="268"/>
      <c r="H957" s="268"/>
      <c r="I957" s="268"/>
      <c r="J957" s="268"/>
      <c r="K957" s="268"/>
      <c r="L957" s="309"/>
      <c r="M957" s="268"/>
      <c r="N957" s="268"/>
      <c r="O957" s="310"/>
      <c r="P957" s="268"/>
      <c r="Q957" s="309"/>
      <c r="R957" s="268"/>
      <c r="S957" s="313"/>
      <c r="T957" s="313"/>
      <c r="U957" s="268"/>
      <c r="V957" s="309"/>
      <c r="W957" s="310"/>
      <c r="X957" s="268"/>
      <c r="Y957" s="268"/>
      <c r="Z957" s="268"/>
      <c r="AA957" s="268"/>
      <c r="AB957" s="268"/>
      <c r="AC957" s="268"/>
    </row>
    <row r="958" spans="1:29" ht="24.75" customHeight="1">
      <c r="A958" s="268"/>
      <c r="B958" s="268"/>
      <c r="C958" s="268"/>
      <c r="D958" s="268"/>
      <c r="E958" s="268"/>
      <c r="F958" s="268"/>
      <c r="G958" s="268"/>
      <c r="H958" s="268"/>
      <c r="I958" s="268"/>
      <c r="J958" s="268"/>
      <c r="K958" s="268"/>
      <c r="L958" s="309"/>
      <c r="M958" s="268"/>
      <c r="N958" s="268"/>
      <c r="O958" s="310"/>
      <c r="P958" s="268"/>
      <c r="Q958" s="309"/>
      <c r="R958" s="268"/>
      <c r="S958" s="313"/>
      <c r="T958" s="313"/>
      <c r="U958" s="268"/>
      <c r="V958" s="309"/>
      <c r="W958" s="310"/>
      <c r="X958" s="268"/>
      <c r="Y958" s="268"/>
      <c r="Z958" s="268"/>
      <c r="AA958" s="268"/>
      <c r="AB958" s="268"/>
      <c r="AC958" s="268"/>
    </row>
    <row r="959" spans="1:29" ht="24.75" customHeight="1">
      <c r="A959" s="268"/>
      <c r="B959" s="268"/>
      <c r="C959" s="268"/>
      <c r="D959" s="268"/>
      <c r="E959" s="268"/>
      <c r="F959" s="268"/>
      <c r="G959" s="268"/>
      <c r="H959" s="268"/>
      <c r="I959" s="268"/>
      <c r="J959" s="268"/>
      <c r="K959" s="268"/>
      <c r="L959" s="309"/>
      <c r="M959" s="268"/>
      <c r="N959" s="268"/>
      <c r="O959" s="310"/>
      <c r="P959" s="268"/>
      <c r="Q959" s="309"/>
      <c r="R959" s="268"/>
      <c r="S959" s="313"/>
      <c r="T959" s="313"/>
      <c r="U959" s="268"/>
      <c r="V959" s="309"/>
      <c r="W959" s="310"/>
      <c r="X959" s="268"/>
      <c r="Y959" s="268"/>
      <c r="Z959" s="268"/>
      <c r="AA959" s="268"/>
      <c r="AB959" s="268"/>
      <c r="AC959" s="268"/>
    </row>
    <row r="960" spans="1:29" ht="24.75" customHeight="1">
      <c r="A960" s="268"/>
      <c r="B960" s="268"/>
      <c r="C960" s="268"/>
      <c r="D960" s="268"/>
      <c r="E960" s="268"/>
      <c r="F960" s="268"/>
      <c r="G960" s="268"/>
      <c r="H960" s="268"/>
      <c r="I960" s="268"/>
      <c r="J960" s="268"/>
      <c r="K960" s="268"/>
      <c r="L960" s="309"/>
      <c r="M960" s="268"/>
      <c r="N960" s="268"/>
      <c r="O960" s="310"/>
      <c r="P960" s="268"/>
      <c r="Q960" s="309"/>
      <c r="R960" s="268"/>
      <c r="S960" s="313"/>
      <c r="T960" s="313"/>
      <c r="U960" s="268"/>
      <c r="V960" s="309"/>
      <c r="W960" s="310"/>
      <c r="X960" s="268"/>
      <c r="Y960" s="268"/>
      <c r="Z960" s="268"/>
      <c r="AA960" s="268"/>
      <c r="AB960" s="268"/>
      <c r="AC960" s="268"/>
    </row>
    <row r="961" spans="1:29" ht="24.75" customHeight="1">
      <c r="A961" s="268"/>
      <c r="B961" s="268"/>
      <c r="C961" s="268"/>
      <c r="D961" s="268"/>
      <c r="E961" s="268"/>
      <c r="F961" s="268"/>
      <c r="G961" s="268"/>
      <c r="H961" s="268"/>
      <c r="I961" s="268"/>
      <c r="J961" s="268"/>
      <c r="K961" s="268"/>
      <c r="L961" s="309"/>
      <c r="M961" s="268"/>
      <c r="N961" s="268"/>
      <c r="O961" s="310"/>
      <c r="P961" s="268"/>
      <c r="Q961" s="309"/>
      <c r="R961" s="268"/>
      <c r="S961" s="313"/>
      <c r="T961" s="313"/>
      <c r="U961" s="268"/>
      <c r="V961" s="309"/>
      <c r="W961" s="310"/>
      <c r="X961" s="268"/>
      <c r="Y961" s="268"/>
      <c r="Z961" s="268"/>
      <c r="AA961" s="268"/>
      <c r="AB961" s="268"/>
      <c r="AC961" s="268"/>
    </row>
    <row r="962" spans="1:29" ht="24.75" customHeight="1">
      <c r="A962" s="268"/>
      <c r="B962" s="268"/>
      <c r="C962" s="268"/>
      <c r="D962" s="268"/>
      <c r="E962" s="268"/>
      <c r="F962" s="268"/>
      <c r="G962" s="268"/>
      <c r="H962" s="268"/>
      <c r="I962" s="268"/>
      <c r="J962" s="268"/>
      <c r="K962" s="268"/>
      <c r="L962" s="309"/>
      <c r="M962" s="268"/>
      <c r="N962" s="268"/>
      <c r="O962" s="310"/>
      <c r="P962" s="268"/>
      <c r="Q962" s="309"/>
      <c r="R962" s="268"/>
      <c r="S962" s="313"/>
      <c r="T962" s="313"/>
      <c r="U962" s="268"/>
      <c r="V962" s="309"/>
      <c r="W962" s="310"/>
      <c r="X962" s="268"/>
      <c r="Y962" s="268"/>
      <c r="Z962" s="268"/>
      <c r="AA962" s="268"/>
      <c r="AB962" s="268"/>
      <c r="AC962" s="268"/>
    </row>
    <row r="963" spans="1:29" ht="24.75" customHeight="1">
      <c r="A963" s="268"/>
      <c r="B963" s="268"/>
      <c r="C963" s="268"/>
      <c r="D963" s="268"/>
      <c r="E963" s="268"/>
      <c r="F963" s="268"/>
      <c r="G963" s="268"/>
      <c r="H963" s="268"/>
      <c r="I963" s="268"/>
      <c r="J963" s="268"/>
      <c r="K963" s="268"/>
      <c r="L963" s="309"/>
      <c r="M963" s="268"/>
      <c r="N963" s="268"/>
      <c r="O963" s="310"/>
      <c r="P963" s="268"/>
      <c r="Q963" s="309"/>
      <c r="R963" s="268"/>
      <c r="S963" s="313"/>
      <c r="T963" s="313"/>
      <c r="U963" s="268"/>
      <c r="V963" s="309"/>
      <c r="W963" s="310"/>
      <c r="X963" s="268"/>
      <c r="Y963" s="268"/>
      <c r="Z963" s="268"/>
      <c r="AA963" s="268"/>
      <c r="AB963" s="268"/>
      <c r="AC963" s="268"/>
    </row>
    <row r="964" spans="1:29" ht="24.75" customHeight="1">
      <c r="A964" s="268"/>
      <c r="B964" s="268"/>
      <c r="C964" s="268"/>
      <c r="D964" s="268"/>
      <c r="E964" s="268"/>
      <c r="F964" s="268"/>
      <c r="G964" s="268"/>
      <c r="H964" s="268"/>
      <c r="I964" s="268"/>
      <c r="J964" s="268"/>
      <c r="K964" s="268"/>
      <c r="L964" s="309"/>
      <c r="M964" s="268"/>
      <c r="N964" s="268"/>
      <c r="O964" s="310"/>
      <c r="P964" s="268"/>
      <c r="Q964" s="309"/>
      <c r="R964" s="268"/>
      <c r="S964" s="313"/>
      <c r="T964" s="313"/>
      <c r="U964" s="268"/>
      <c r="V964" s="309"/>
      <c r="W964" s="310"/>
      <c r="X964" s="268"/>
      <c r="Y964" s="268"/>
      <c r="Z964" s="268"/>
      <c r="AA964" s="268"/>
      <c r="AB964" s="268"/>
      <c r="AC964" s="268"/>
    </row>
    <row r="965" spans="1:29" ht="24.75" customHeight="1">
      <c r="A965" s="268"/>
      <c r="B965" s="268"/>
      <c r="C965" s="268"/>
      <c r="D965" s="268"/>
      <c r="E965" s="268"/>
      <c r="F965" s="268"/>
      <c r="G965" s="268"/>
      <c r="H965" s="268"/>
      <c r="I965" s="268"/>
      <c r="J965" s="268"/>
      <c r="K965" s="268"/>
      <c r="L965" s="309"/>
      <c r="M965" s="268"/>
      <c r="N965" s="268"/>
      <c r="O965" s="310"/>
      <c r="P965" s="268"/>
      <c r="Q965" s="309"/>
      <c r="R965" s="268"/>
      <c r="S965" s="313"/>
      <c r="T965" s="313"/>
      <c r="U965" s="268"/>
      <c r="V965" s="309"/>
      <c r="W965" s="310"/>
      <c r="X965" s="268"/>
      <c r="Y965" s="268"/>
      <c r="Z965" s="268"/>
      <c r="AA965" s="268"/>
      <c r="AB965" s="268"/>
      <c r="AC965" s="268"/>
    </row>
    <row r="966" spans="1:29" ht="24.75" customHeight="1">
      <c r="A966" s="268"/>
      <c r="B966" s="268"/>
      <c r="C966" s="268"/>
      <c r="D966" s="268"/>
      <c r="E966" s="268"/>
      <c r="F966" s="268"/>
      <c r="G966" s="268"/>
      <c r="H966" s="268"/>
      <c r="I966" s="268"/>
      <c r="J966" s="268"/>
      <c r="K966" s="268"/>
      <c r="L966" s="309"/>
      <c r="M966" s="268"/>
      <c r="N966" s="268"/>
      <c r="O966" s="310"/>
      <c r="P966" s="268"/>
      <c r="Q966" s="309"/>
      <c r="R966" s="268"/>
      <c r="S966" s="313"/>
      <c r="T966" s="313"/>
      <c r="U966" s="268"/>
      <c r="V966" s="309"/>
      <c r="W966" s="310"/>
      <c r="X966" s="268"/>
      <c r="Y966" s="268"/>
      <c r="Z966" s="268"/>
      <c r="AA966" s="268"/>
      <c r="AB966" s="268"/>
      <c r="AC966" s="268"/>
    </row>
    <row r="967" spans="1:29" ht="24.75" customHeight="1">
      <c r="A967" s="268"/>
      <c r="B967" s="268"/>
      <c r="C967" s="268"/>
      <c r="D967" s="268"/>
      <c r="E967" s="268"/>
      <c r="F967" s="268"/>
      <c r="G967" s="268"/>
      <c r="H967" s="268"/>
      <c r="I967" s="268"/>
      <c r="J967" s="268"/>
      <c r="K967" s="268"/>
      <c r="L967" s="309"/>
      <c r="M967" s="268"/>
      <c r="N967" s="268"/>
      <c r="O967" s="310"/>
      <c r="P967" s="268"/>
      <c r="Q967" s="309"/>
      <c r="R967" s="268"/>
      <c r="S967" s="313"/>
      <c r="T967" s="313"/>
      <c r="U967" s="268"/>
      <c r="V967" s="309"/>
      <c r="W967" s="310"/>
      <c r="X967" s="268"/>
      <c r="Y967" s="268"/>
      <c r="Z967" s="268"/>
      <c r="AA967" s="268"/>
      <c r="AB967" s="268"/>
      <c r="AC967" s="268"/>
    </row>
    <row r="968" spans="1:29" ht="24.75" customHeight="1">
      <c r="A968" s="268"/>
      <c r="B968" s="268"/>
      <c r="C968" s="268"/>
      <c r="D968" s="268"/>
      <c r="E968" s="268"/>
      <c r="F968" s="268"/>
      <c r="G968" s="268"/>
      <c r="H968" s="268"/>
      <c r="I968" s="268"/>
      <c r="J968" s="268"/>
      <c r="K968" s="268"/>
      <c r="L968" s="309"/>
      <c r="M968" s="268"/>
      <c r="N968" s="268"/>
      <c r="O968" s="310"/>
      <c r="P968" s="268"/>
      <c r="Q968" s="309"/>
      <c r="R968" s="268"/>
      <c r="S968" s="313"/>
      <c r="T968" s="313"/>
      <c r="U968" s="268"/>
      <c r="V968" s="309"/>
      <c r="W968" s="310"/>
      <c r="X968" s="268"/>
      <c r="Y968" s="268"/>
      <c r="Z968" s="268"/>
      <c r="AA968" s="268"/>
      <c r="AB968" s="268"/>
      <c r="AC968" s="268"/>
    </row>
    <row r="969" spans="1:29" ht="24.75" customHeight="1">
      <c r="A969" s="268"/>
      <c r="B969" s="268"/>
      <c r="C969" s="268"/>
      <c r="D969" s="268"/>
      <c r="E969" s="268"/>
      <c r="F969" s="268"/>
      <c r="G969" s="268"/>
      <c r="H969" s="268"/>
      <c r="I969" s="268"/>
      <c r="J969" s="268"/>
      <c r="K969" s="268"/>
      <c r="L969" s="309"/>
      <c r="M969" s="268"/>
      <c r="N969" s="268"/>
      <c r="O969" s="310"/>
      <c r="P969" s="268"/>
      <c r="Q969" s="309"/>
      <c r="R969" s="268"/>
      <c r="S969" s="313"/>
      <c r="T969" s="313"/>
      <c r="U969" s="268"/>
      <c r="V969" s="309"/>
      <c r="W969" s="310"/>
      <c r="X969" s="268"/>
      <c r="Y969" s="268"/>
      <c r="Z969" s="268"/>
      <c r="AA969" s="268"/>
      <c r="AB969" s="268"/>
      <c r="AC969" s="268"/>
    </row>
    <row r="970" spans="1:29" ht="24.75" customHeight="1">
      <c r="A970" s="268"/>
      <c r="B970" s="268"/>
      <c r="C970" s="268"/>
      <c r="D970" s="268"/>
      <c r="E970" s="268"/>
      <c r="F970" s="268"/>
      <c r="G970" s="268"/>
      <c r="H970" s="268"/>
      <c r="I970" s="268"/>
      <c r="J970" s="268"/>
      <c r="K970" s="268"/>
      <c r="L970" s="309"/>
      <c r="M970" s="268"/>
      <c r="N970" s="268"/>
      <c r="O970" s="310"/>
      <c r="P970" s="268"/>
      <c r="Q970" s="309"/>
      <c r="R970" s="268"/>
      <c r="S970" s="313"/>
      <c r="T970" s="313"/>
      <c r="U970" s="268"/>
      <c r="V970" s="309"/>
      <c r="W970" s="310"/>
      <c r="X970" s="268"/>
      <c r="Y970" s="268"/>
      <c r="Z970" s="268"/>
      <c r="AA970" s="268"/>
      <c r="AB970" s="268"/>
      <c r="AC970" s="268"/>
    </row>
    <row r="971" spans="1:29" ht="24.75" customHeight="1">
      <c r="A971" s="268"/>
      <c r="B971" s="268"/>
      <c r="C971" s="268"/>
      <c r="D971" s="268"/>
      <c r="E971" s="268"/>
      <c r="F971" s="268"/>
      <c r="G971" s="268"/>
      <c r="H971" s="268"/>
      <c r="I971" s="268"/>
      <c r="J971" s="268"/>
      <c r="K971" s="268"/>
      <c r="L971" s="309"/>
      <c r="M971" s="268"/>
      <c r="N971" s="268"/>
      <c r="O971" s="310"/>
      <c r="P971" s="268"/>
      <c r="Q971" s="309"/>
      <c r="R971" s="268"/>
      <c r="S971" s="313"/>
      <c r="T971" s="313"/>
      <c r="U971" s="268"/>
      <c r="V971" s="309"/>
      <c r="W971" s="310"/>
      <c r="X971" s="268"/>
      <c r="Y971" s="268"/>
      <c r="Z971" s="268"/>
      <c r="AA971" s="268"/>
      <c r="AB971" s="268"/>
      <c r="AC971" s="268"/>
    </row>
    <row r="972" spans="1:29" ht="24.75" customHeight="1">
      <c r="A972" s="268"/>
      <c r="B972" s="268"/>
      <c r="C972" s="268"/>
      <c r="D972" s="268"/>
      <c r="E972" s="268"/>
      <c r="F972" s="268"/>
      <c r="G972" s="268"/>
      <c r="H972" s="268"/>
      <c r="I972" s="268"/>
      <c r="J972" s="268"/>
      <c r="K972" s="268"/>
      <c r="L972" s="309"/>
      <c r="M972" s="268"/>
      <c r="N972" s="268"/>
      <c r="O972" s="310"/>
      <c r="P972" s="268"/>
      <c r="Q972" s="309"/>
      <c r="R972" s="268"/>
      <c r="S972" s="313"/>
      <c r="T972" s="313"/>
      <c r="U972" s="268"/>
      <c r="V972" s="309"/>
      <c r="W972" s="310"/>
      <c r="X972" s="268"/>
      <c r="Y972" s="268"/>
      <c r="Z972" s="268"/>
      <c r="AA972" s="268"/>
      <c r="AB972" s="268"/>
      <c r="AC972" s="268"/>
    </row>
    <row r="973" spans="1:29" ht="24.75" customHeight="1">
      <c r="A973" s="268"/>
      <c r="B973" s="268"/>
      <c r="C973" s="268"/>
      <c r="D973" s="268"/>
      <c r="E973" s="268"/>
      <c r="F973" s="268"/>
      <c r="G973" s="268"/>
      <c r="H973" s="268"/>
      <c r="I973" s="268"/>
      <c r="J973" s="268"/>
      <c r="K973" s="268"/>
      <c r="L973" s="309"/>
      <c r="M973" s="268"/>
      <c r="N973" s="268"/>
      <c r="O973" s="310"/>
      <c r="P973" s="268"/>
      <c r="Q973" s="309"/>
      <c r="R973" s="268"/>
      <c r="S973" s="313"/>
      <c r="T973" s="313"/>
      <c r="U973" s="268"/>
      <c r="V973" s="309"/>
      <c r="W973" s="310"/>
      <c r="X973" s="268"/>
      <c r="Y973" s="268"/>
      <c r="Z973" s="268"/>
      <c r="AA973" s="268"/>
      <c r="AB973" s="268"/>
      <c r="AC973" s="268"/>
    </row>
    <row r="974" spans="1:29" ht="24.75" customHeight="1">
      <c r="A974" s="268"/>
      <c r="B974" s="268"/>
      <c r="C974" s="268"/>
      <c r="D974" s="268"/>
      <c r="E974" s="268"/>
      <c r="F974" s="268"/>
      <c r="G974" s="268"/>
      <c r="H974" s="268"/>
      <c r="I974" s="268"/>
      <c r="J974" s="268"/>
      <c r="K974" s="268"/>
      <c r="L974" s="309"/>
      <c r="M974" s="268"/>
      <c r="N974" s="268"/>
      <c r="O974" s="310"/>
      <c r="P974" s="268"/>
      <c r="Q974" s="309"/>
      <c r="R974" s="268"/>
      <c r="S974" s="313"/>
      <c r="T974" s="313"/>
      <c r="U974" s="268"/>
      <c r="V974" s="309"/>
      <c r="W974" s="310"/>
      <c r="X974" s="268"/>
      <c r="Y974" s="268"/>
      <c r="Z974" s="268"/>
      <c r="AA974" s="268"/>
      <c r="AB974" s="268"/>
      <c r="AC974" s="268"/>
    </row>
    <row r="975" spans="1:29" ht="24.75" customHeight="1">
      <c r="A975" s="268"/>
      <c r="B975" s="268"/>
      <c r="C975" s="268"/>
      <c r="D975" s="268"/>
      <c r="E975" s="268"/>
      <c r="F975" s="268"/>
      <c r="G975" s="268"/>
      <c r="H975" s="268"/>
      <c r="I975" s="268"/>
      <c r="J975" s="268"/>
      <c r="K975" s="268"/>
      <c r="L975" s="309"/>
      <c r="M975" s="268"/>
      <c r="N975" s="268"/>
      <c r="O975" s="310"/>
      <c r="P975" s="268"/>
      <c r="Q975" s="309"/>
      <c r="R975" s="268"/>
      <c r="S975" s="313"/>
      <c r="T975" s="313"/>
      <c r="U975" s="268"/>
      <c r="V975" s="309"/>
      <c r="W975" s="310"/>
      <c r="X975" s="268"/>
      <c r="Y975" s="268"/>
      <c r="Z975" s="268"/>
      <c r="AA975" s="268"/>
      <c r="AB975" s="268"/>
      <c r="AC975" s="268"/>
    </row>
    <row r="976" spans="1:29" ht="24.75" customHeight="1">
      <c r="A976" s="268"/>
      <c r="B976" s="268"/>
      <c r="C976" s="268"/>
      <c r="D976" s="268"/>
      <c r="E976" s="268"/>
      <c r="F976" s="268"/>
      <c r="G976" s="268"/>
      <c r="H976" s="268"/>
      <c r="I976" s="268"/>
      <c r="J976" s="268"/>
      <c r="K976" s="268"/>
      <c r="L976" s="309"/>
      <c r="M976" s="268"/>
      <c r="N976" s="268"/>
      <c r="O976" s="310"/>
      <c r="P976" s="268"/>
      <c r="Q976" s="309"/>
      <c r="R976" s="268"/>
      <c r="S976" s="313"/>
      <c r="T976" s="313"/>
      <c r="U976" s="268"/>
      <c r="V976" s="309"/>
      <c r="W976" s="310"/>
      <c r="X976" s="268"/>
      <c r="Y976" s="268"/>
      <c r="Z976" s="268"/>
      <c r="AA976" s="268"/>
      <c r="AB976" s="268"/>
      <c r="AC976" s="268"/>
    </row>
    <row r="977" spans="1:29" ht="24.75" customHeight="1">
      <c r="A977" s="268"/>
      <c r="B977" s="268"/>
      <c r="C977" s="268"/>
      <c r="D977" s="268"/>
      <c r="E977" s="268"/>
      <c r="F977" s="268"/>
      <c r="G977" s="268"/>
      <c r="H977" s="268"/>
      <c r="I977" s="268"/>
      <c r="J977" s="268"/>
      <c r="K977" s="268"/>
      <c r="L977" s="309"/>
      <c r="M977" s="268"/>
      <c r="N977" s="268"/>
      <c r="O977" s="310"/>
      <c r="P977" s="268"/>
      <c r="Q977" s="309"/>
      <c r="R977" s="268"/>
      <c r="S977" s="313"/>
      <c r="T977" s="313"/>
      <c r="U977" s="268"/>
      <c r="V977" s="309"/>
      <c r="W977" s="310"/>
      <c r="X977" s="268"/>
      <c r="Y977" s="268"/>
      <c r="Z977" s="268"/>
      <c r="AA977" s="268"/>
      <c r="AB977" s="268"/>
      <c r="AC977" s="268"/>
    </row>
    <row r="978" spans="1:29" ht="24.75" customHeight="1">
      <c r="A978" s="268"/>
      <c r="B978" s="268"/>
      <c r="C978" s="268"/>
      <c r="D978" s="268"/>
      <c r="E978" s="268"/>
      <c r="F978" s="268"/>
      <c r="G978" s="268"/>
      <c r="H978" s="268"/>
      <c r="I978" s="268"/>
      <c r="J978" s="268"/>
      <c r="K978" s="268"/>
      <c r="L978" s="309"/>
      <c r="M978" s="268"/>
      <c r="N978" s="268"/>
      <c r="O978" s="310"/>
      <c r="P978" s="268"/>
      <c r="Q978" s="309"/>
      <c r="R978" s="268"/>
      <c r="S978" s="313"/>
      <c r="T978" s="313"/>
      <c r="U978" s="268"/>
      <c r="V978" s="309"/>
      <c r="W978" s="310"/>
      <c r="X978" s="268"/>
      <c r="Y978" s="268"/>
      <c r="Z978" s="268"/>
      <c r="AA978" s="268"/>
      <c r="AB978" s="268"/>
      <c r="AC978" s="268"/>
    </row>
    <row r="979" spans="1:29" ht="24.75" customHeight="1">
      <c r="A979" s="268"/>
      <c r="B979" s="268"/>
      <c r="C979" s="268"/>
      <c r="D979" s="268"/>
      <c r="E979" s="268"/>
      <c r="F979" s="268"/>
      <c r="G979" s="268"/>
      <c r="H979" s="268"/>
      <c r="I979" s="268"/>
      <c r="J979" s="268"/>
      <c r="K979" s="268"/>
      <c r="L979" s="309"/>
      <c r="M979" s="268"/>
      <c r="N979" s="268"/>
      <c r="O979" s="310"/>
      <c r="P979" s="268"/>
      <c r="Q979" s="309"/>
      <c r="R979" s="268"/>
      <c r="S979" s="313"/>
      <c r="T979" s="313"/>
      <c r="U979" s="268"/>
      <c r="V979" s="309"/>
      <c r="W979" s="310"/>
      <c r="X979" s="268"/>
      <c r="Y979" s="268"/>
      <c r="Z979" s="268"/>
      <c r="AA979" s="268"/>
      <c r="AB979" s="268"/>
      <c r="AC979" s="268"/>
    </row>
    <row r="980" spans="1:29" ht="24.75" customHeight="1">
      <c r="A980" s="268"/>
      <c r="B980" s="268"/>
      <c r="C980" s="268"/>
      <c r="D980" s="268"/>
      <c r="E980" s="268"/>
      <c r="F980" s="268"/>
      <c r="G980" s="268"/>
      <c r="H980" s="268"/>
      <c r="I980" s="268"/>
      <c r="J980" s="268"/>
      <c r="K980" s="268"/>
      <c r="L980" s="309"/>
      <c r="M980" s="268"/>
      <c r="N980" s="268"/>
      <c r="O980" s="310"/>
      <c r="P980" s="268"/>
      <c r="Q980" s="309"/>
      <c r="R980" s="268"/>
      <c r="S980" s="313"/>
      <c r="T980" s="313"/>
      <c r="U980" s="268"/>
      <c r="V980" s="309"/>
      <c r="W980" s="310"/>
      <c r="X980" s="268"/>
      <c r="Y980" s="268"/>
      <c r="Z980" s="268"/>
      <c r="AA980" s="268"/>
      <c r="AB980" s="268"/>
      <c r="AC980" s="268"/>
    </row>
    <row r="981" spans="1:29" ht="24.75" customHeight="1">
      <c r="A981" s="268"/>
      <c r="B981" s="268"/>
      <c r="C981" s="268"/>
      <c r="D981" s="268"/>
      <c r="E981" s="268"/>
      <c r="F981" s="268"/>
      <c r="G981" s="268"/>
      <c r="H981" s="268"/>
      <c r="I981" s="268"/>
      <c r="J981" s="268"/>
      <c r="K981" s="268"/>
      <c r="L981" s="309"/>
      <c r="M981" s="268"/>
      <c r="N981" s="268"/>
      <c r="O981" s="310"/>
      <c r="P981" s="268"/>
      <c r="Q981" s="309"/>
      <c r="R981" s="268"/>
      <c r="S981" s="313"/>
      <c r="T981" s="313"/>
      <c r="U981" s="268"/>
      <c r="V981" s="309"/>
      <c r="W981" s="310"/>
      <c r="X981" s="268"/>
      <c r="Y981" s="268"/>
      <c r="Z981" s="268"/>
      <c r="AA981" s="268"/>
      <c r="AB981" s="268"/>
      <c r="AC981" s="268"/>
    </row>
    <row r="982" spans="1:29" ht="24.75" customHeight="1">
      <c r="A982" s="268"/>
      <c r="B982" s="268"/>
      <c r="C982" s="268"/>
      <c r="D982" s="268"/>
      <c r="E982" s="268"/>
      <c r="F982" s="268"/>
      <c r="G982" s="268"/>
      <c r="H982" s="268"/>
      <c r="I982" s="268"/>
      <c r="J982" s="268"/>
      <c r="K982" s="268"/>
      <c r="L982" s="309"/>
      <c r="M982" s="268"/>
      <c r="N982" s="268"/>
      <c r="O982" s="310"/>
      <c r="P982" s="268"/>
      <c r="Q982" s="309"/>
      <c r="R982" s="268"/>
      <c r="S982" s="313"/>
      <c r="T982" s="313"/>
      <c r="U982" s="268"/>
      <c r="V982" s="309"/>
      <c r="W982" s="310"/>
      <c r="X982" s="268"/>
      <c r="Y982" s="268"/>
      <c r="Z982" s="268"/>
      <c r="AA982" s="268"/>
      <c r="AB982" s="268"/>
      <c r="AC982" s="268"/>
    </row>
    <row r="983" spans="1:29" ht="24.75" customHeight="1">
      <c r="A983" s="268"/>
      <c r="B983" s="268"/>
      <c r="C983" s="268"/>
      <c r="D983" s="268"/>
      <c r="E983" s="268"/>
      <c r="F983" s="268"/>
      <c r="G983" s="268"/>
      <c r="H983" s="268"/>
      <c r="I983" s="268"/>
      <c r="J983" s="268"/>
      <c r="K983" s="268"/>
      <c r="L983" s="309"/>
      <c r="M983" s="268"/>
      <c r="N983" s="268"/>
      <c r="O983" s="310"/>
      <c r="P983" s="268"/>
      <c r="Q983" s="309"/>
      <c r="R983" s="268"/>
      <c r="S983" s="313"/>
      <c r="T983" s="313"/>
      <c r="U983" s="268"/>
      <c r="V983" s="309"/>
      <c r="W983" s="310"/>
      <c r="X983" s="268"/>
      <c r="Y983" s="268"/>
      <c r="Z983" s="268"/>
      <c r="AA983" s="268"/>
      <c r="AB983" s="268"/>
      <c r="AC983" s="268"/>
    </row>
    <row r="984" spans="1:29" ht="24.75" customHeight="1">
      <c r="A984" s="268"/>
      <c r="B984" s="268"/>
      <c r="C984" s="268"/>
      <c r="D984" s="268"/>
      <c r="E984" s="268"/>
      <c r="F984" s="268"/>
      <c r="G984" s="268"/>
      <c r="H984" s="268"/>
      <c r="I984" s="268"/>
      <c r="J984" s="268"/>
      <c r="K984" s="268"/>
      <c r="L984" s="309"/>
      <c r="M984" s="268"/>
      <c r="N984" s="268"/>
      <c r="O984" s="310"/>
      <c r="P984" s="268"/>
      <c r="Q984" s="309"/>
      <c r="R984" s="268"/>
      <c r="S984" s="313"/>
      <c r="T984" s="313"/>
      <c r="U984" s="268"/>
      <c r="V984" s="309"/>
      <c r="W984" s="310"/>
      <c r="X984" s="268"/>
      <c r="Y984" s="268"/>
      <c r="Z984" s="268"/>
      <c r="AA984" s="268"/>
      <c r="AB984" s="268"/>
      <c r="AC984" s="268"/>
    </row>
    <row r="985" spans="1:29" ht="24.75" customHeight="1">
      <c r="A985" s="268"/>
      <c r="B985" s="268"/>
      <c r="C985" s="268"/>
      <c r="D985" s="268"/>
      <c r="E985" s="268"/>
      <c r="F985" s="268"/>
      <c r="G985" s="268"/>
      <c r="H985" s="268"/>
      <c r="I985" s="268"/>
      <c r="J985" s="268"/>
      <c r="K985" s="268"/>
      <c r="L985" s="309"/>
      <c r="M985" s="268"/>
      <c r="N985" s="268"/>
      <c r="O985" s="310"/>
      <c r="P985" s="268"/>
      <c r="Q985" s="309"/>
      <c r="R985" s="268"/>
      <c r="S985" s="313"/>
      <c r="T985" s="313"/>
      <c r="U985" s="268"/>
      <c r="V985" s="309"/>
      <c r="W985" s="310"/>
      <c r="X985" s="268"/>
      <c r="Y985" s="268"/>
      <c r="Z985" s="268"/>
      <c r="AA985" s="268"/>
      <c r="AB985" s="268"/>
      <c r="AC985" s="268"/>
    </row>
    <row r="986" spans="1:29" ht="24.75" customHeight="1">
      <c r="A986" s="268"/>
      <c r="B986" s="268"/>
      <c r="C986" s="268"/>
      <c r="D986" s="268"/>
      <c r="E986" s="268"/>
      <c r="F986" s="268"/>
      <c r="G986" s="268"/>
      <c r="H986" s="268"/>
      <c r="I986" s="268"/>
      <c r="J986" s="268"/>
      <c r="K986" s="268"/>
      <c r="L986" s="309"/>
      <c r="M986" s="268"/>
      <c r="N986" s="268"/>
      <c r="O986" s="310"/>
      <c r="P986" s="268"/>
      <c r="Q986" s="309"/>
      <c r="R986" s="268"/>
      <c r="S986" s="313"/>
      <c r="T986" s="313"/>
      <c r="U986" s="268"/>
      <c r="V986" s="309"/>
      <c r="W986" s="310"/>
      <c r="X986" s="268"/>
      <c r="Y986" s="268"/>
      <c r="Z986" s="268"/>
      <c r="AA986" s="268"/>
      <c r="AB986" s="268"/>
      <c r="AC986" s="268"/>
    </row>
    <row r="987" spans="1:29" ht="24.75" customHeight="1">
      <c r="A987" s="268"/>
      <c r="B987" s="268"/>
      <c r="C987" s="268"/>
      <c r="D987" s="268"/>
      <c r="E987" s="268"/>
      <c r="F987" s="268"/>
      <c r="G987" s="268"/>
      <c r="H987" s="268"/>
      <c r="I987" s="268"/>
      <c r="J987" s="268"/>
      <c r="K987" s="268"/>
      <c r="L987" s="309"/>
      <c r="M987" s="268"/>
      <c r="N987" s="268"/>
      <c r="O987" s="310"/>
      <c r="P987" s="268"/>
      <c r="Q987" s="309"/>
      <c r="R987" s="268"/>
      <c r="S987" s="313"/>
      <c r="T987" s="313"/>
      <c r="U987" s="268"/>
      <c r="V987" s="309"/>
      <c r="W987" s="310"/>
      <c r="X987" s="268"/>
      <c r="Y987" s="268"/>
      <c r="Z987" s="268"/>
      <c r="AA987" s="268"/>
      <c r="AB987" s="268"/>
      <c r="AC987" s="268"/>
    </row>
    <row r="988" spans="1:29" ht="24.75" customHeight="1">
      <c r="A988" s="268"/>
      <c r="B988" s="268"/>
      <c r="C988" s="268"/>
      <c r="D988" s="268"/>
      <c r="E988" s="268"/>
      <c r="F988" s="268"/>
      <c r="G988" s="268"/>
      <c r="H988" s="268"/>
      <c r="I988" s="268"/>
      <c r="J988" s="268"/>
      <c r="K988" s="268"/>
      <c r="L988" s="309"/>
      <c r="M988" s="268"/>
      <c r="N988" s="268"/>
      <c r="O988" s="310"/>
      <c r="P988" s="268"/>
      <c r="Q988" s="309"/>
      <c r="R988" s="268"/>
      <c r="S988" s="313"/>
      <c r="T988" s="313"/>
      <c r="U988" s="268"/>
      <c r="V988" s="309"/>
      <c r="W988" s="310"/>
      <c r="X988" s="268"/>
      <c r="Y988" s="268"/>
      <c r="Z988" s="268"/>
      <c r="AA988" s="268"/>
      <c r="AB988" s="268"/>
      <c r="AC988" s="268"/>
    </row>
    <row r="989" spans="1:29" ht="24.75" customHeight="1">
      <c r="A989" s="268"/>
      <c r="B989" s="268"/>
      <c r="C989" s="268"/>
      <c r="D989" s="268"/>
      <c r="E989" s="268"/>
      <c r="F989" s="268"/>
      <c r="G989" s="268"/>
      <c r="H989" s="268"/>
      <c r="I989" s="268"/>
      <c r="J989" s="268"/>
      <c r="K989" s="268"/>
      <c r="L989" s="309"/>
      <c r="M989" s="268"/>
      <c r="N989" s="268"/>
      <c r="O989" s="310"/>
      <c r="P989" s="268"/>
      <c r="Q989" s="309"/>
      <c r="R989" s="268"/>
      <c r="S989" s="313"/>
      <c r="T989" s="313"/>
      <c r="U989" s="268"/>
      <c r="V989" s="309"/>
      <c r="W989" s="310"/>
      <c r="X989" s="268"/>
      <c r="Y989" s="268"/>
      <c r="Z989" s="268"/>
      <c r="AA989" s="268"/>
      <c r="AB989" s="268"/>
      <c r="AC989" s="268"/>
    </row>
    <row r="990" spans="1:29" ht="24.75" customHeight="1">
      <c r="A990" s="268"/>
      <c r="B990" s="268"/>
      <c r="C990" s="268"/>
      <c r="D990" s="268"/>
      <c r="E990" s="268"/>
      <c r="F990" s="268"/>
      <c r="G990" s="268"/>
      <c r="H990" s="268"/>
      <c r="I990" s="268"/>
      <c r="J990" s="268"/>
      <c r="K990" s="268"/>
      <c r="L990" s="309"/>
      <c r="M990" s="268"/>
      <c r="N990" s="268"/>
      <c r="O990" s="310"/>
      <c r="P990" s="268"/>
      <c r="Q990" s="309"/>
      <c r="R990" s="268"/>
      <c r="S990" s="313"/>
      <c r="T990" s="313"/>
      <c r="U990" s="268"/>
      <c r="V990" s="309"/>
      <c r="W990" s="310"/>
      <c r="X990" s="268"/>
      <c r="Y990" s="268"/>
      <c r="Z990" s="268"/>
      <c r="AA990" s="268"/>
      <c r="AB990" s="268"/>
      <c r="AC990" s="268"/>
    </row>
    <row r="991" spans="1:29" ht="24.75" customHeight="1">
      <c r="A991" s="268"/>
      <c r="B991" s="268"/>
      <c r="C991" s="268"/>
      <c r="D991" s="268"/>
      <c r="E991" s="268"/>
      <c r="F991" s="268"/>
      <c r="G991" s="268"/>
      <c r="H991" s="268"/>
      <c r="I991" s="268"/>
      <c r="J991" s="268"/>
      <c r="K991" s="268"/>
      <c r="L991" s="309"/>
      <c r="M991" s="268"/>
      <c r="N991" s="268"/>
      <c r="O991" s="310"/>
      <c r="P991" s="268"/>
      <c r="Q991" s="309"/>
      <c r="R991" s="268"/>
      <c r="S991" s="313"/>
      <c r="T991" s="313"/>
      <c r="U991" s="268"/>
      <c r="V991" s="309"/>
      <c r="W991" s="310"/>
      <c r="X991" s="268"/>
      <c r="Y991" s="268"/>
      <c r="Z991" s="268"/>
      <c r="AA991" s="268"/>
      <c r="AB991" s="268"/>
      <c r="AC991" s="268"/>
    </row>
    <row r="992" spans="1:29" ht="24.75" customHeight="1">
      <c r="A992" s="268"/>
      <c r="B992" s="268"/>
      <c r="C992" s="268"/>
      <c r="D992" s="268"/>
      <c r="E992" s="268"/>
      <c r="F992" s="268"/>
      <c r="G992" s="268"/>
      <c r="H992" s="268"/>
      <c r="I992" s="268"/>
      <c r="J992" s="268"/>
      <c r="K992" s="268"/>
      <c r="L992" s="309"/>
      <c r="M992" s="268"/>
      <c r="N992" s="268"/>
      <c r="O992" s="310"/>
      <c r="P992" s="268"/>
      <c r="Q992" s="309"/>
      <c r="R992" s="268"/>
      <c r="S992" s="313"/>
      <c r="T992" s="313"/>
      <c r="U992" s="268"/>
      <c r="V992" s="309"/>
      <c r="W992" s="310"/>
      <c r="X992" s="268"/>
      <c r="Y992" s="268"/>
      <c r="Z992" s="268"/>
      <c r="AA992" s="268"/>
      <c r="AB992" s="268"/>
      <c r="AC992" s="268"/>
    </row>
    <row r="993" spans="1:29" ht="24.75" customHeight="1">
      <c r="A993" s="268"/>
      <c r="B993" s="268"/>
      <c r="C993" s="268"/>
      <c r="D993" s="268"/>
      <c r="E993" s="268"/>
      <c r="F993" s="268"/>
      <c r="G993" s="268"/>
      <c r="H993" s="268"/>
      <c r="I993" s="268"/>
      <c r="J993" s="268"/>
      <c r="K993" s="268"/>
      <c r="L993" s="309"/>
      <c r="M993" s="268"/>
      <c r="N993" s="268"/>
      <c r="O993" s="310"/>
      <c r="P993" s="268"/>
      <c r="Q993" s="309"/>
      <c r="R993" s="268"/>
      <c r="S993" s="313"/>
      <c r="T993" s="313"/>
      <c r="U993" s="268"/>
      <c r="V993" s="309"/>
      <c r="W993" s="310"/>
      <c r="X993" s="268"/>
      <c r="Y993" s="268"/>
      <c r="Z993" s="268"/>
      <c r="AA993" s="268"/>
      <c r="AB993" s="268"/>
      <c r="AC993" s="268"/>
    </row>
    <row r="994" spans="1:29" ht="24.75" customHeight="1">
      <c r="A994" s="268"/>
      <c r="B994" s="268"/>
      <c r="C994" s="268"/>
      <c r="D994" s="268"/>
      <c r="E994" s="268"/>
      <c r="F994" s="268"/>
      <c r="G994" s="268"/>
      <c r="H994" s="268"/>
      <c r="I994" s="268"/>
      <c r="J994" s="268"/>
      <c r="K994" s="268"/>
      <c r="L994" s="309"/>
      <c r="M994" s="268"/>
      <c r="N994" s="268"/>
      <c r="O994" s="310"/>
      <c r="P994" s="268"/>
      <c r="Q994" s="309"/>
      <c r="R994" s="268"/>
      <c r="S994" s="313"/>
      <c r="T994" s="313"/>
      <c r="U994" s="268"/>
      <c r="V994" s="309"/>
      <c r="W994" s="310"/>
      <c r="X994" s="268"/>
      <c r="Y994" s="268"/>
      <c r="Z994" s="268"/>
      <c r="AA994" s="268"/>
      <c r="AB994" s="268"/>
      <c r="AC994" s="268"/>
    </row>
    <row r="995" spans="1:29" ht="24.75" customHeight="1">
      <c r="A995" s="268"/>
      <c r="B995" s="268"/>
      <c r="C995" s="268"/>
      <c r="D995" s="268"/>
      <c r="E995" s="268"/>
      <c r="F995" s="268"/>
      <c r="G995" s="268"/>
      <c r="H995" s="268"/>
      <c r="I995" s="268"/>
      <c r="J995" s="268"/>
      <c r="K995" s="268"/>
      <c r="L995" s="309"/>
      <c r="M995" s="268"/>
      <c r="N995" s="268"/>
      <c r="O995" s="310"/>
      <c r="P995" s="268"/>
      <c r="Q995" s="309"/>
      <c r="R995" s="268"/>
      <c r="S995" s="313"/>
      <c r="T995" s="313"/>
      <c r="U995" s="268"/>
      <c r="V995" s="309"/>
      <c r="W995" s="310"/>
      <c r="X995" s="268"/>
      <c r="Y995" s="268"/>
      <c r="Z995" s="268"/>
      <c r="AA995" s="268"/>
      <c r="AB995" s="268"/>
      <c r="AC995" s="268"/>
    </row>
    <row r="996" spans="1:29" ht="24.75" customHeight="1">
      <c r="A996" s="268"/>
      <c r="B996" s="268"/>
      <c r="C996" s="268"/>
      <c r="D996" s="268"/>
      <c r="E996" s="268"/>
      <c r="F996" s="268"/>
      <c r="G996" s="268"/>
      <c r="H996" s="268"/>
      <c r="I996" s="268"/>
      <c r="J996" s="268"/>
      <c r="K996" s="268"/>
      <c r="L996" s="309"/>
      <c r="M996" s="268"/>
      <c r="N996" s="268"/>
      <c r="O996" s="310"/>
      <c r="P996" s="268"/>
      <c r="Q996" s="309"/>
      <c r="R996" s="268"/>
      <c r="S996" s="313"/>
      <c r="T996" s="313"/>
      <c r="U996" s="268"/>
      <c r="V996" s="309"/>
      <c r="W996" s="310"/>
      <c r="X996" s="268"/>
      <c r="Y996" s="268"/>
      <c r="Z996" s="268"/>
      <c r="AA996" s="268"/>
      <c r="AB996" s="268"/>
      <c r="AC996" s="268"/>
    </row>
    <row r="997" spans="1:29" ht="24.75" customHeight="1">
      <c r="A997" s="268"/>
      <c r="B997" s="268"/>
      <c r="C997" s="268"/>
      <c r="D997" s="268"/>
      <c r="E997" s="268"/>
      <c r="F997" s="268"/>
      <c r="G997" s="268"/>
      <c r="H997" s="268"/>
      <c r="I997" s="268"/>
      <c r="J997" s="268"/>
      <c r="K997" s="268"/>
      <c r="L997" s="309"/>
      <c r="M997" s="268"/>
      <c r="N997" s="268"/>
      <c r="O997" s="310"/>
      <c r="P997" s="268"/>
      <c r="Q997" s="309"/>
      <c r="R997" s="268"/>
      <c r="S997" s="313"/>
      <c r="T997" s="313"/>
      <c r="U997" s="268"/>
      <c r="V997" s="309"/>
      <c r="W997" s="310"/>
      <c r="X997" s="268"/>
      <c r="Y997" s="268"/>
      <c r="Z997" s="268"/>
      <c r="AA997" s="268"/>
      <c r="AB997" s="268"/>
      <c r="AC997" s="268"/>
    </row>
    <row r="998" spans="1:29" ht="24.75" customHeight="1">
      <c r="A998" s="268"/>
      <c r="B998" s="268"/>
      <c r="C998" s="268"/>
      <c r="D998" s="268"/>
      <c r="E998" s="268"/>
      <c r="F998" s="268"/>
      <c r="G998" s="268"/>
      <c r="H998" s="268"/>
      <c r="I998" s="268"/>
      <c r="J998" s="268"/>
      <c r="K998" s="268"/>
      <c r="L998" s="309"/>
      <c r="M998" s="268"/>
      <c r="N998" s="268"/>
      <c r="O998" s="310"/>
      <c r="P998" s="268"/>
      <c r="Q998" s="309"/>
      <c r="R998" s="268"/>
      <c r="S998" s="313"/>
      <c r="T998" s="313"/>
      <c r="U998" s="268"/>
      <c r="V998" s="309"/>
      <c r="W998" s="310"/>
      <c r="X998" s="268"/>
      <c r="Y998" s="268"/>
      <c r="Z998" s="268"/>
      <c r="AA998" s="268"/>
      <c r="AB998" s="268"/>
      <c r="AC998" s="268"/>
    </row>
    <row r="999" spans="1:29" ht="24.75" customHeight="1">
      <c r="A999" s="268"/>
      <c r="B999" s="268"/>
      <c r="C999" s="268"/>
      <c r="D999" s="268"/>
      <c r="E999" s="268"/>
      <c r="F999" s="268"/>
      <c r="G999" s="268"/>
      <c r="H999" s="268"/>
      <c r="I999" s="268"/>
      <c r="J999" s="268"/>
      <c r="K999" s="268"/>
      <c r="L999" s="309"/>
      <c r="M999" s="268"/>
      <c r="N999" s="268"/>
      <c r="O999" s="310"/>
      <c r="P999" s="268"/>
      <c r="Q999" s="309"/>
      <c r="R999" s="268"/>
      <c r="S999" s="313"/>
      <c r="T999" s="313"/>
      <c r="U999" s="268"/>
      <c r="V999" s="309"/>
      <c r="W999" s="310"/>
      <c r="X999" s="268"/>
      <c r="Y999" s="268"/>
      <c r="Z999" s="268"/>
      <c r="AA999" s="268"/>
      <c r="AB999" s="268"/>
      <c r="AC999" s="268"/>
    </row>
    <row r="1000" spans="1:29" ht="24.75" customHeight="1">
      <c r="A1000" s="268"/>
      <c r="B1000" s="268"/>
      <c r="C1000" s="268"/>
      <c r="D1000" s="268"/>
      <c r="E1000" s="268"/>
      <c r="F1000" s="268"/>
      <c r="G1000" s="268"/>
      <c r="H1000" s="268"/>
      <c r="I1000" s="268"/>
      <c r="J1000" s="268"/>
      <c r="K1000" s="268"/>
      <c r="L1000" s="309"/>
      <c r="M1000" s="268"/>
      <c r="N1000" s="268"/>
      <c r="O1000" s="310"/>
      <c r="P1000" s="268"/>
      <c r="Q1000" s="309"/>
      <c r="R1000" s="268"/>
      <c r="S1000" s="313"/>
      <c r="T1000" s="313"/>
      <c r="U1000" s="268"/>
      <c r="V1000" s="309"/>
      <c r="W1000" s="310"/>
      <c r="X1000" s="268"/>
      <c r="Y1000" s="268"/>
      <c r="Z1000" s="268"/>
      <c r="AA1000" s="268"/>
      <c r="AB1000" s="268"/>
      <c r="AC1000" s="268"/>
    </row>
  </sheetData>
  <mergeCells count="3">
    <mergeCell ref="C1:Q1"/>
    <mergeCell ref="A200:A204"/>
    <mergeCell ref="S1:T1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00"/>
  <sheetViews>
    <sheetView workbookViewId="0"/>
  </sheetViews>
  <sheetFormatPr baseColWidth="10" defaultColWidth="11.28515625" defaultRowHeight="15" customHeight="1" x14ac:dyDescent="0"/>
  <cols>
    <col min="1" max="1" width="4.7109375" customWidth="1"/>
    <col min="2" max="2" width="9.42578125" customWidth="1"/>
    <col min="3" max="3" width="8.85546875" customWidth="1"/>
    <col min="4" max="5" width="10.85546875" customWidth="1"/>
    <col min="6" max="6" width="17.85546875" customWidth="1"/>
    <col min="7" max="7" width="15.140625" customWidth="1"/>
    <col min="8" max="13" width="17.85546875" customWidth="1"/>
    <col min="14" max="14" width="14.5703125" customWidth="1"/>
    <col min="15" max="15" width="19.5703125" customWidth="1"/>
    <col min="16" max="16" width="14.85546875" customWidth="1"/>
    <col min="17" max="17" width="29.28515625" customWidth="1"/>
    <col min="18" max="18" width="7" customWidth="1"/>
    <col min="19" max="19" width="18.85546875" customWidth="1"/>
    <col min="20" max="20" width="4.7109375" customWidth="1"/>
    <col min="21" max="26" width="17.85546875" hidden="1" customWidth="1"/>
    <col min="27" max="31" width="7" customWidth="1"/>
  </cols>
  <sheetData>
    <row r="1" spans="1:31" ht="24.75" customHeight="1">
      <c r="A1" s="268"/>
      <c r="B1" s="268"/>
      <c r="C1" s="447" t="s">
        <v>5400</v>
      </c>
      <c r="D1" s="429"/>
      <c r="E1" s="429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268"/>
      <c r="S1" s="443" t="s">
        <v>4780</v>
      </c>
      <c r="T1" s="439"/>
      <c r="U1" s="296"/>
      <c r="V1" s="296"/>
      <c r="W1" s="296"/>
      <c r="X1" s="296"/>
      <c r="Y1" s="296"/>
      <c r="Z1" s="296"/>
      <c r="AA1" s="268"/>
      <c r="AB1" s="268"/>
      <c r="AC1" s="268"/>
      <c r="AD1" s="268"/>
      <c r="AE1" s="268"/>
    </row>
    <row r="2" spans="1:31" ht="46.5" customHeight="1">
      <c r="A2" s="297" t="s">
        <v>7</v>
      </c>
      <c r="B2" s="298" t="s">
        <v>9</v>
      </c>
      <c r="C2" s="302" t="s">
        <v>11</v>
      </c>
      <c r="D2" s="299" t="s">
        <v>13</v>
      </c>
      <c r="E2" s="299" t="s">
        <v>4573</v>
      </c>
      <c r="F2" s="300" t="s">
        <v>4574</v>
      </c>
      <c r="G2" s="301" t="s">
        <v>19</v>
      </c>
      <c r="H2" s="301" t="s">
        <v>4782</v>
      </c>
      <c r="I2" s="301" t="s">
        <v>4576</v>
      </c>
      <c r="J2" s="302" t="s">
        <v>1</v>
      </c>
      <c r="K2" s="299" t="s">
        <v>24</v>
      </c>
      <c r="L2" s="302" t="s">
        <v>34</v>
      </c>
      <c r="M2" s="302" t="s">
        <v>4783</v>
      </c>
      <c r="N2" s="302" t="s">
        <v>4784</v>
      </c>
      <c r="O2" s="304" t="s">
        <v>4577</v>
      </c>
      <c r="P2" s="302" t="s">
        <v>4578</v>
      </c>
      <c r="Q2" s="302" t="s">
        <v>44</v>
      </c>
      <c r="R2" s="268"/>
      <c r="S2" s="303" t="s">
        <v>4579</v>
      </c>
      <c r="T2" s="303" t="s">
        <v>4580</v>
      </c>
      <c r="U2" s="302" t="s">
        <v>4785</v>
      </c>
      <c r="V2" s="302" t="s">
        <v>4786</v>
      </c>
      <c r="W2" s="304" t="s">
        <v>4787</v>
      </c>
      <c r="X2" s="302" t="s">
        <v>4788</v>
      </c>
      <c r="Y2" s="302" t="s">
        <v>4789</v>
      </c>
      <c r="Z2" s="302" t="s">
        <v>4790</v>
      </c>
      <c r="AA2" s="268"/>
      <c r="AB2" s="268"/>
      <c r="AC2" s="268"/>
      <c r="AD2" s="268"/>
      <c r="AE2" s="268"/>
    </row>
    <row r="3" spans="1:31" ht="24.75" customHeight="1">
      <c r="A3" s="268"/>
      <c r="B3" s="268"/>
      <c r="C3" s="230"/>
      <c r="D3" s="230"/>
      <c r="E3" s="230"/>
      <c r="F3" s="391"/>
      <c r="G3" s="230"/>
      <c r="H3" s="241"/>
      <c r="I3" s="238"/>
      <c r="J3" s="230"/>
      <c r="K3" s="230"/>
      <c r="L3" s="256"/>
      <c r="M3" s="230"/>
      <c r="N3" s="230"/>
      <c r="O3" s="257"/>
      <c r="P3" s="230"/>
      <c r="Q3" s="370"/>
      <c r="R3" s="268"/>
      <c r="S3" s="308" t="s">
        <v>4585</v>
      </c>
      <c r="T3" s="303">
        <v>0</v>
      </c>
      <c r="U3" s="245">
        <v>29125</v>
      </c>
      <c r="V3" s="246" t="s">
        <v>4799</v>
      </c>
      <c r="W3" s="247" t="s">
        <v>4800</v>
      </c>
      <c r="X3" s="248">
        <v>157</v>
      </c>
      <c r="Y3" s="248">
        <v>59</v>
      </c>
      <c r="Z3" s="248">
        <v>23.94</v>
      </c>
      <c r="AA3" s="268" t="s">
        <v>5401</v>
      </c>
      <c r="AB3" s="268" t="s">
        <v>5402</v>
      </c>
      <c r="AC3" s="268" t="s">
        <v>5403</v>
      </c>
      <c r="AD3" s="268" t="s">
        <v>5404</v>
      </c>
      <c r="AE3" s="268" t="s">
        <v>5405</v>
      </c>
    </row>
    <row r="4" spans="1:31" ht="24.75" customHeight="1">
      <c r="A4" s="268"/>
      <c r="B4" s="268"/>
      <c r="C4" s="268"/>
      <c r="D4" s="268"/>
      <c r="E4" s="268"/>
      <c r="F4" s="268"/>
      <c r="G4" s="268"/>
      <c r="H4" s="268"/>
      <c r="I4" s="268"/>
      <c r="J4" s="268"/>
      <c r="K4" s="268"/>
      <c r="L4" s="309"/>
      <c r="M4" s="268"/>
      <c r="N4" s="268"/>
      <c r="O4" s="310"/>
      <c r="P4" s="268"/>
      <c r="Q4" s="309"/>
      <c r="R4" s="268"/>
      <c r="S4" s="388" t="s">
        <v>4811</v>
      </c>
      <c r="T4" s="303">
        <v>0</v>
      </c>
      <c r="U4" s="245">
        <v>25409</v>
      </c>
      <c r="V4" s="246" t="s">
        <v>5161</v>
      </c>
      <c r="W4" s="247" t="s">
        <v>5162</v>
      </c>
      <c r="X4" s="248">
        <v>158</v>
      </c>
      <c r="Y4" s="248">
        <v>63</v>
      </c>
      <c r="Z4" s="248">
        <v>25.24</v>
      </c>
      <c r="AA4" s="268"/>
      <c r="AB4" s="268"/>
      <c r="AC4" s="268"/>
      <c r="AD4" s="268"/>
      <c r="AE4" s="268"/>
    </row>
    <row r="5" spans="1:31" ht="24.75" customHeight="1">
      <c r="A5" s="268"/>
      <c r="B5" s="268"/>
      <c r="C5" s="268"/>
      <c r="D5" s="268"/>
      <c r="E5" s="268"/>
      <c r="F5" s="268"/>
      <c r="G5" s="268"/>
      <c r="H5" s="268"/>
      <c r="I5" s="268"/>
      <c r="J5" s="268"/>
      <c r="K5" s="268"/>
      <c r="L5" s="309"/>
      <c r="M5" s="268"/>
      <c r="N5" s="268"/>
      <c r="O5" s="310"/>
      <c r="P5" s="268"/>
      <c r="Q5" s="309"/>
      <c r="R5" s="268"/>
      <c r="S5" s="365" t="s">
        <v>4815</v>
      </c>
      <c r="T5" s="303">
        <v>0</v>
      </c>
      <c r="U5" s="245">
        <v>27925</v>
      </c>
      <c r="V5" s="246" t="s">
        <v>4827</v>
      </c>
      <c r="W5" s="247" t="s">
        <v>4828</v>
      </c>
      <c r="X5" s="248">
        <v>157</v>
      </c>
      <c r="Y5" s="248">
        <v>72</v>
      </c>
      <c r="Z5" s="248">
        <v>29.21</v>
      </c>
      <c r="AA5" s="268"/>
      <c r="AB5" s="268"/>
      <c r="AC5" s="268"/>
      <c r="AD5" s="268"/>
      <c r="AE5" s="268"/>
    </row>
    <row r="6" spans="1:31" ht="24.75" customHeight="1">
      <c r="A6" s="268"/>
      <c r="B6" s="268"/>
      <c r="C6" s="268"/>
      <c r="D6" s="268"/>
      <c r="E6" s="268"/>
      <c r="F6" s="268"/>
      <c r="G6" s="268"/>
      <c r="H6" s="268"/>
      <c r="I6" s="268"/>
      <c r="J6" s="268"/>
      <c r="K6" s="268"/>
      <c r="L6" s="309"/>
      <c r="M6" s="268"/>
      <c r="N6" s="268"/>
      <c r="O6" s="310"/>
      <c r="P6" s="268"/>
      <c r="Q6" s="309"/>
      <c r="R6" s="268"/>
      <c r="S6" s="390" t="s">
        <v>4821</v>
      </c>
      <c r="T6" s="303">
        <v>0</v>
      </c>
      <c r="U6" s="288">
        <v>25278</v>
      </c>
      <c r="V6" s="246" t="s">
        <v>5159</v>
      </c>
      <c r="W6" s="247" t="s">
        <v>5160</v>
      </c>
      <c r="X6" s="248">
        <v>160</v>
      </c>
      <c r="Y6" s="248">
        <v>70.7</v>
      </c>
      <c r="Z6" s="248">
        <v>27.62</v>
      </c>
      <c r="AA6" s="268" t="s">
        <v>5401</v>
      </c>
      <c r="AB6" s="268" t="s">
        <v>5402</v>
      </c>
      <c r="AC6" s="268" t="s">
        <v>5403</v>
      </c>
      <c r="AD6" s="268" t="s">
        <v>5404</v>
      </c>
      <c r="AE6" s="268" t="s">
        <v>5405</v>
      </c>
    </row>
    <row r="7" spans="1:31" ht="24.75" customHeight="1">
      <c r="A7" s="268"/>
      <c r="B7" s="268"/>
      <c r="C7" s="268"/>
      <c r="D7" s="268"/>
      <c r="E7" s="268"/>
      <c r="F7" s="268"/>
      <c r="G7" s="268"/>
      <c r="H7" s="268"/>
      <c r="I7" s="268"/>
      <c r="J7" s="268"/>
      <c r="K7" s="268"/>
      <c r="L7" s="309"/>
      <c r="M7" s="268"/>
      <c r="N7" s="268"/>
      <c r="O7" s="310"/>
      <c r="P7" s="268"/>
      <c r="Q7" s="309"/>
      <c r="R7" s="268"/>
      <c r="S7" s="317" t="s">
        <v>4833</v>
      </c>
      <c r="T7" s="303">
        <v>0</v>
      </c>
      <c r="U7" s="288">
        <v>24312</v>
      </c>
      <c r="V7" s="253" t="s">
        <v>5163</v>
      </c>
      <c r="W7" s="254" t="s">
        <v>5164</v>
      </c>
      <c r="X7" s="248">
        <v>161</v>
      </c>
      <c r="Y7" s="248">
        <v>68.5</v>
      </c>
      <c r="Z7" s="248">
        <v>26.43</v>
      </c>
      <c r="AA7" s="268"/>
      <c r="AB7" s="268"/>
      <c r="AC7" s="268"/>
      <c r="AD7" s="268"/>
      <c r="AE7" s="268"/>
    </row>
    <row r="8" spans="1:31" ht="24.75" customHeight="1">
      <c r="A8" s="437" t="s">
        <v>5406</v>
      </c>
      <c r="B8" s="268"/>
      <c r="C8" s="268"/>
      <c r="D8" s="268"/>
      <c r="E8" s="268"/>
      <c r="F8" s="268"/>
      <c r="G8" s="392" t="s">
        <v>5407</v>
      </c>
      <c r="H8" s="241" t="s">
        <v>4585</v>
      </c>
      <c r="I8" s="268"/>
      <c r="J8" s="268"/>
      <c r="K8" s="268"/>
      <c r="L8" s="309"/>
      <c r="M8" s="268"/>
      <c r="N8" s="268"/>
      <c r="O8" s="310"/>
      <c r="P8" s="268"/>
      <c r="Q8" s="437" t="s">
        <v>5408</v>
      </c>
      <c r="R8" s="268"/>
      <c r="S8" s="335" t="s">
        <v>4840</v>
      </c>
      <c r="T8" s="319" t="s">
        <v>4795</v>
      </c>
      <c r="U8" s="288">
        <v>28464</v>
      </c>
      <c r="V8" s="246" t="s">
        <v>5165</v>
      </c>
      <c r="W8" s="254" t="s">
        <v>5166</v>
      </c>
      <c r="X8" s="248">
        <v>158</v>
      </c>
      <c r="Y8" s="248">
        <v>64</v>
      </c>
      <c r="Z8" s="248">
        <v>25.64</v>
      </c>
      <c r="AA8" s="268"/>
      <c r="AB8" s="268"/>
      <c r="AC8" s="268"/>
      <c r="AD8" s="268"/>
      <c r="AE8" s="268"/>
    </row>
    <row r="9" spans="1:31" ht="24.75" customHeight="1">
      <c r="A9" s="437"/>
      <c r="B9" s="268"/>
      <c r="C9" s="268"/>
      <c r="D9" s="268"/>
      <c r="E9" s="268"/>
      <c r="F9" s="268"/>
      <c r="G9" s="392" t="s">
        <v>5409</v>
      </c>
      <c r="H9" s="241" t="s">
        <v>4585</v>
      </c>
      <c r="I9" s="268"/>
      <c r="J9" s="268"/>
      <c r="K9" s="268"/>
      <c r="L9" s="309"/>
      <c r="M9" s="268"/>
      <c r="N9" s="268"/>
      <c r="O9" s="310"/>
      <c r="P9" s="268"/>
      <c r="Q9" s="437"/>
      <c r="R9" s="268"/>
      <c r="S9" s="335" t="s">
        <v>5196</v>
      </c>
      <c r="T9" s="319" t="s">
        <v>4795</v>
      </c>
      <c r="U9" s="288">
        <v>26964</v>
      </c>
      <c r="V9" s="246" t="s">
        <v>5167</v>
      </c>
      <c r="W9" s="254" t="s">
        <v>5168</v>
      </c>
      <c r="X9" s="248">
        <v>150</v>
      </c>
      <c r="Y9" s="248">
        <v>84</v>
      </c>
      <c r="Z9" s="248">
        <v>37.33</v>
      </c>
      <c r="AA9" s="268"/>
      <c r="AB9" s="268"/>
      <c r="AC9" s="268"/>
      <c r="AD9" s="268"/>
      <c r="AE9" s="268"/>
    </row>
    <row r="10" spans="1:31" ht="24.75" customHeight="1">
      <c r="A10" s="437"/>
      <c r="B10" s="268"/>
      <c r="C10" s="268"/>
      <c r="D10" s="268"/>
      <c r="E10" s="268"/>
      <c r="F10" s="268"/>
      <c r="G10" s="392" t="s">
        <v>5410</v>
      </c>
      <c r="H10" s="241" t="s">
        <v>4585</v>
      </c>
      <c r="I10" s="268"/>
      <c r="J10" s="268"/>
      <c r="K10" s="268"/>
      <c r="L10" s="309"/>
      <c r="M10" s="268"/>
      <c r="N10" s="268"/>
      <c r="O10" s="310"/>
      <c r="P10" s="268"/>
      <c r="Q10" s="437"/>
      <c r="R10" s="268"/>
      <c r="S10" s="313"/>
      <c r="T10" s="268"/>
      <c r="U10" s="288">
        <v>25180</v>
      </c>
      <c r="V10" s="246" t="s">
        <v>4899</v>
      </c>
      <c r="W10" s="254" t="s">
        <v>4900</v>
      </c>
      <c r="X10" s="248">
        <v>160</v>
      </c>
      <c r="Y10" s="248">
        <v>66</v>
      </c>
      <c r="Z10" s="248">
        <v>25.78</v>
      </c>
      <c r="AA10" s="268"/>
      <c r="AB10" s="268"/>
      <c r="AC10" s="268"/>
      <c r="AD10" s="268"/>
      <c r="AE10" s="268"/>
    </row>
    <row r="11" spans="1:31" ht="24.75" customHeight="1">
      <c r="A11" s="437"/>
      <c r="B11" s="268"/>
      <c r="C11" s="268"/>
      <c r="D11" s="268"/>
      <c r="E11" s="268"/>
      <c r="F11" s="268"/>
      <c r="G11" s="392" t="s">
        <v>5411</v>
      </c>
      <c r="H11" s="241" t="s">
        <v>4585</v>
      </c>
      <c r="I11" s="268"/>
      <c r="J11" s="268"/>
      <c r="K11" s="268"/>
      <c r="L11" s="309"/>
      <c r="M11" s="268"/>
      <c r="N11" s="268"/>
      <c r="O11" s="310"/>
      <c r="P11" s="268"/>
      <c r="Q11" s="437"/>
      <c r="R11" s="268"/>
      <c r="S11" s="313"/>
      <c r="T11" s="268"/>
      <c r="U11" s="288">
        <v>28905</v>
      </c>
      <c r="V11" s="253" t="s">
        <v>4806</v>
      </c>
      <c r="W11" s="254" t="s">
        <v>4807</v>
      </c>
      <c r="X11" s="248">
        <v>175</v>
      </c>
      <c r="Y11" s="248">
        <v>80</v>
      </c>
      <c r="Z11" s="248">
        <v>26.12</v>
      </c>
      <c r="AA11" s="268"/>
      <c r="AB11" s="268"/>
      <c r="AC11" s="268"/>
      <c r="AD11" s="268"/>
      <c r="AE11" s="268"/>
    </row>
    <row r="12" spans="1:31" ht="24.75" customHeight="1">
      <c r="A12" s="437"/>
      <c r="B12" s="268"/>
      <c r="C12" s="268"/>
      <c r="D12" s="268"/>
      <c r="E12" s="268"/>
      <c r="F12" s="268"/>
      <c r="G12" s="392" t="s">
        <v>5412</v>
      </c>
      <c r="H12" s="241" t="s">
        <v>4585</v>
      </c>
      <c r="I12" s="268"/>
      <c r="J12" s="268"/>
      <c r="K12" s="268"/>
      <c r="L12" s="309"/>
      <c r="M12" s="268"/>
      <c r="N12" s="268"/>
      <c r="O12" s="310"/>
      <c r="P12" s="268"/>
      <c r="Q12" s="437"/>
      <c r="R12" s="268"/>
      <c r="S12" s="313"/>
      <c r="T12" s="313"/>
      <c r="U12" s="230"/>
      <c r="V12" s="256"/>
      <c r="W12" s="257"/>
      <c r="X12" s="230"/>
      <c r="Y12" s="230"/>
      <c r="Z12" s="230"/>
      <c r="AA12" s="268"/>
      <c r="AB12" s="268"/>
      <c r="AC12" s="268"/>
      <c r="AD12" s="268"/>
      <c r="AE12" s="268"/>
    </row>
    <row r="13" spans="1:31" ht="24.75" customHeight="1">
      <c r="A13" s="437"/>
      <c r="B13" s="268"/>
      <c r="C13" s="268"/>
      <c r="D13" s="268"/>
      <c r="E13" s="268"/>
      <c r="F13" s="268"/>
      <c r="G13" s="392" t="s">
        <v>5413</v>
      </c>
      <c r="H13" s="241" t="s">
        <v>4585</v>
      </c>
      <c r="I13" s="268"/>
      <c r="J13" s="268"/>
      <c r="K13" s="268"/>
      <c r="L13" s="309"/>
      <c r="M13" s="268"/>
      <c r="N13" s="268"/>
      <c r="O13" s="310"/>
      <c r="P13" s="268"/>
      <c r="Q13" s="437"/>
      <c r="R13" s="268"/>
      <c r="S13" s="313"/>
      <c r="T13" s="313"/>
      <c r="U13" s="230"/>
      <c r="V13" s="256"/>
      <c r="W13" s="257"/>
      <c r="X13" s="230"/>
      <c r="Y13" s="230"/>
      <c r="Z13" s="230"/>
      <c r="AA13" s="268"/>
      <c r="AB13" s="268"/>
      <c r="AC13" s="268"/>
      <c r="AD13" s="268"/>
      <c r="AE13" s="268"/>
    </row>
    <row r="14" spans="1:31" ht="24.75" customHeight="1">
      <c r="A14" s="437"/>
      <c r="B14" s="268"/>
      <c r="C14" s="268"/>
      <c r="D14" s="268"/>
      <c r="E14" s="268"/>
      <c r="F14" s="268"/>
      <c r="G14" s="392" t="s">
        <v>5414</v>
      </c>
      <c r="H14" s="241" t="s">
        <v>4585</v>
      </c>
      <c r="I14" s="268"/>
      <c r="J14" s="268"/>
      <c r="K14" s="268"/>
      <c r="L14" s="309"/>
      <c r="M14" s="268"/>
      <c r="N14" s="268"/>
      <c r="O14" s="310"/>
      <c r="P14" s="268"/>
      <c r="Q14" s="437"/>
      <c r="R14" s="268"/>
      <c r="S14" s="313"/>
      <c r="T14" s="313"/>
      <c r="U14" s="268"/>
      <c r="V14" s="309"/>
      <c r="W14" s="310"/>
      <c r="X14" s="268"/>
      <c r="Y14" s="268"/>
      <c r="Z14" s="268"/>
      <c r="AA14" s="268"/>
      <c r="AB14" s="268"/>
      <c r="AC14" s="268"/>
      <c r="AD14" s="268"/>
      <c r="AE14" s="268"/>
    </row>
    <row r="15" spans="1:31" ht="24.75" customHeight="1">
      <c r="A15" s="437" t="s">
        <v>5415</v>
      </c>
      <c r="B15" s="268"/>
      <c r="C15" s="268"/>
      <c r="D15" s="268"/>
      <c r="E15" s="268"/>
      <c r="F15" s="268"/>
      <c r="G15" s="230" t="s">
        <v>5416</v>
      </c>
      <c r="H15" s="241" t="s">
        <v>4585</v>
      </c>
      <c r="I15" s="268"/>
      <c r="J15" s="268"/>
      <c r="K15" s="268"/>
      <c r="L15" s="309"/>
      <c r="M15" s="268"/>
      <c r="N15" s="268"/>
      <c r="O15" s="310"/>
      <c r="P15" s="268"/>
      <c r="Q15" s="309"/>
      <c r="R15" s="268"/>
      <c r="S15" s="313"/>
      <c r="T15" s="313"/>
      <c r="U15" s="268"/>
      <c r="V15" s="309"/>
      <c r="W15" s="310"/>
      <c r="X15" s="268"/>
      <c r="Y15" s="268"/>
      <c r="Z15" s="268"/>
      <c r="AA15" s="268"/>
      <c r="AB15" s="268"/>
      <c r="AC15" s="268"/>
      <c r="AD15" s="268"/>
      <c r="AE15" s="268"/>
    </row>
    <row r="16" spans="1:31" ht="24.75" customHeight="1">
      <c r="A16" s="437"/>
      <c r="B16" s="268"/>
      <c r="C16" s="268"/>
      <c r="D16" s="268"/>
      <c r="E16" s="268"/>
      <c r="F16" s="268"/>
      <c r="G16" s="230" t="s">
        <v>5417</v>
      </c>
      <c r="H16" s="241" t="s">
        <v>4585</v>
      </c>
      <c r="I16" s="268"/>
      <c r="J16" s="268"/>
      <c r="K16" s="268"/>
      <c r="L16" s="309"/>
      <c r="M16" s="268"/>
      <c r="N16" s="268"/>
      <c r="O16" s="310"/>
      <c r="P16" s="268"/>
      <c r="Q16" s="309"/>
      <c r="R16" s="268"/>
      <c r="S16" s="313"/>
      <c r="T16" s="268"/>
      <c r="U16" s="288">
        <v>24454</v>
      </c>
      <c r="V16" s="253" t="s">
        <v>5171</v>
      </c>
      <c r="W16" s="254" t="s">
        <v>5172</v>
      </c>
      <c r="X16" s="248">
        <v>155</v>
      </c>
      <c r="Y16" s="248">
        <v>59</v>
      </c>
      <c r="Z16" s="248">
        <v>24.56</v>
      </c>
      <c r="AA16" s="268"/>
      <c r="AB16" s="268"/>
      <c r="AC16" s="268"/>
      <c r="AD16" s="268"/>
      <c r="AE16" s="268"/>
    </row>
    <row r="17" spans="1:31" ht="24.75" customHeight="1">
      <c r="A17" s="268"/>
      <c r="B17" s="268"/>
      <c r="C17" s="268"/>
      <c r="D17" s="268"/>
      <c r="E17" s="268"/>
      <c r="F17" s="268"/>
      <c r="G17" s="268"/>
      <c r="H17" s="268"/>
      <c r="I17" s="268"/>
      <c r="J17" s="268"/>
      <c r="K17" s="268"/>
      <c r="L17" s="309"/>
      <c r="M17" s="268"/>
      <c r="N17" s="268"/>
      <c r="O17" s="310"/>
      <c r="P17" s="268"/>
      <c r="Q17" s="309"/>
      <c r="R17" s="268"/>
      <c r="S17" s="313"/>
      <c r="T17" s="313"/>
      <c r="U17" s="288">
        <v>24329</v>
      </c>
      <c r="V17" s="253" t="s">
        <v>5173</v>
      </c>
      <c r="W17" s="254" t="s">
        <v>5174</v>
      </c>
      <c r="X17" s="248">
        <v>175</v>
      </c>
      <c r="Y17" s="248">
        <v>105</v>
      </c>
      <c r="Z17" s="248">
        <v>34.29</v>
      </c>
      <c r="AA17" s="268"/>
      <c r="AB17" s="268"/>
      <c r="AC17" s="268"/>
      <c r="AD17" s="268"/>
      <c r="AE17" s="268"/>
    </row>
    <row r="18" spans="1:31" ht="24.75" customHeight="1">
      <c r="A18" s="268"/>
      <c r="B18" s="268"/>
      <c r="C18" s="268"/>
      <c r="D18" s="268"/>
      <c r="E18" s="268"/>
      <c r="F18" s="268"/>
      <c r="G18" s="268"/>
      <c r="H18" s="268"/>
      <c r="I18" s="268"/>
      <c r="J18" s="268"/>
      <c r="K18" s="268"/>
      <c r="L18" s="309"/>
      <c r="M18" s="268"/>
      <c r="N18" s="268"/>
      <c r="O18" s="310"/>
      <c r="P18" s="268"/>
      <c r="Q18" s="309"/>
      <c r="R18" s="268"/>
      <c r="S18" s="313"/>
      <c r="T18" s="268"/>
      <c r="U18" s="288">
        <v>19933</v>
      </c>
      <c r="V18" s="253" t="s">
        <v>5175</v>
      </c>
      <c r="W18" s="254" t="s">
        <v>5176</v>
      </c>
      <c r="X18" s="248">
        <v>158</v>
      </c>
      <c r="Y18" s="248">
        <v>59</v>
      </c>
      <c r="Z18" s="248">
        <v>23.63</v>
      </c>
      <c r="AA18" s="268"/>
      <c r="AB18" s="268"/>
      <c r="AC18" s="268"/>
      <c r="AD18" s="268"/>
      <c r="AE18" s="268"/>
    </row>
    <row r="19" spans="1:31" ht="24.75" customHeight="1">
      <c r="A19" s="268"/>
      <c r="B19" s="268"/>
      <c r="C19" s="268"/>
      <c r="D19" s="268"/>
      <c r="E19" s="268"/>
      <c r="F19" s="268"/>
      <c r="G19" s="268"/>
      <c r="H19" s="268"/>
      <c r="I19" s="268"/>
      <c r="J19" s="268"/>
      <c r="K19" s="268"/>
      <c r="L19" s="309"/>
      <c r="M19" s="268"/>
      <c r="N19" s="268"/>
      <c r="O19" s="310"/>
      <c r="P19" s="268"/>
      <c r="Q19" s="309"/>
      <c r="R19" s="268"/>
      <c r="S19" s="313"/>
      <c r="T19" s="313"/>
      <c r="U19" s="288">
        <v>31235</v>
      </c>
      <c r="V19" s="253" t="s">
        <v>5177</v>
      </c>
      <c r="W19" s="254" t="s">
        <v>5178</v>
      </c>
      <c r="X19" s="248">
        <v>153</v>
      </c>
      <c r="Y19" s="248">
        <v>59</v>
      </c>
      <c r="Z19" s="248">
        <v>25.2</v>
      </c>
      <c r="AA19" s="268"/>
      <c r="AB19" s="268"/>
      <c r="AC19" s="268"/>
      <c r="AD19" s="268"/>
      <c r="AE19" s="268"/>
    </row>
    <row r="20" spans="1:31" ht="24.75" customHeight="1">
      <c r="A20" s="268"/>
      <c r="B20" s="268"/>
      <c r="C20" s="268"/>
      <c r="D20" s="268"/>
      <c r="E20" s="268"/>
      <c r="F20" s="268"/>
      <c r="G20" s="268"/>
      <c r="H20" s="268"/>
      <c r="I20" s="268"/>
      <c r="J20" s="268"/>
      <c r="K20" s="268"/>
      <c r="L20" s="309"/>
      <c r="M20" s="268"/>
      <c r="N20" s="268"/>
      <c r="O20" s="310"/>
      <c r="P20" s="268"/>
      <c r="Q20" s="309"/>
      <c r="R20" s="268"/>
      <c r="S20" s="313"/>
      <c r="T20" s="313"/>
      <c r="U20" s="288">
        <v>27171</v>
      </c>
      <c r="V20" s="253" t="s">
        <v>5169</v>
      </c>
      <c r="W20" s="254" t="s">
        <v>5170</v>
      </c>
      <c r="X20" s="248">
        <v>151</v>
      </c>
      <c r="Y20" s="248">
        <v>48</v>
      </c>
      <c r="Z20" s="248">
        <v>21.05</v>
      </c>
      <c r="AA20" s="268"/>
      <c r="AB20" s="268"/>
      <c r="AC20" s="268"/>
      <c r="AD20" s="268"/>
      <c r="AE20" s="268"/>
    </row>
    <row r="21" spans="1:31" ht="24.75" customHeight="1">
      <c r="A21" s="268"/>
      <c r="B21" s="268"/>
      <c r="C21" s="268"/>
      <c r="D21" s="268"/>
      <c r="E21" s="268"/>
      <c r="F21" s="268"/>
      <c r="G21" s="268"/>
      <c r="H21" s="268"/>
      <c r="I21" s="268"/>
      <c r="J21" s="268"/>
      <c r="K21" s="268"/>
      <c r="L21" s="309"/>
      <c r="M21" s="268"/>
      <c r="N21" s="268"/>
      <c r="O21" s="310"/>
      <c r="P21" s="268"/>
      <c r="Q21" s="309"/>
      <c r="R21" s="268"/>
      <c r="S21" s="313"/>
      <c r="T21" s="313"/>
      <c r="U21" s="268"/>
      <c r="V21" s="309"/>
      <c r="W21" s="310"/>
      <c r="X21" s="268"/>
      <c r="Y21" s="268"/>
      <c r="Z21" s="268"/>
      <c r="AA21" s="268"/>
      <c r="AB21" s="268"/>
      <c r="AC21" s="268"/>
      <c r="AD21" s="268"/>
      <c r="AE21" s="268"/>
    </row>
    <row r="22" spans="1:31" ht="24.75" customHeight="1">
      <c r="A22" s="268"/>
      <c r="B22" s="268"/>
      <c r="C22" s="268"/>
      <c r="D22" s="268"/>
      <c r="E22" s="268"/>
      <c r="F22" s="268"/>
      <c r="G22" s="268"/>
      <c r="H22" s="268"/>
      <c r="I22" s="268"/>
      <c r="J22" s="268"/>
      <c r="K22" s="268"/>
      <c r="L22" s="309"/>
      <c r="M22" s="268"/>
      <c r="N22" s="268"/>
      <c r="O22" s="310"/>
      <c r="P22" s="268"/>
      <c r="Q22" s="309"/>
      <c r="R22" s="268"/>
      <c r="S22" s="313"/>
      <c r="T22" s="313"/>
      <c r="U22" s="268"/>
      <c r="V22" s="309"/>
      <c r="W22" s="310"/>
      <c r="X22" s="268"/>
      <c r="Y22" s="268"/>
      <c r="Z22" s="268"/>
      <c r="AA22" s="268"/>
      <c r="AB22" s="268"/>
      <c r="AC22" s="268"/>
      <c r="AD22" s="268"/>
      <c r="AE22" s="268"/>
    </row>
    <row r="23" spans="1:31" ht="24.75" customHeight="1">
      <c r="A23" s="268"/>
      <c r="B23" s="268"/>
      <c r="C23" s="268"/>
      <c r="D23" s="268"/>
      <c r="E23" s="268"/>
      <c r="F23" s="268"/>
      <c r="G23" s="268"/>
      <c r="H23" s="268"/>
      <c r="I23" s="268"/>
      <c r="J23" s="268"/>
      <c r="K23" s="268"/>
      <c r="L23" s="309"/>
      <c r="M23" s="268"/>
      <c r="N23" s="268"/>
      <c r="O23" s="310"/>
      <c r="P23" s="268"/>
      <c r="Q23" s="309"/>
      <c r="R23" s="268"/>
      <c r="S23" s="313"/>
      <c r="T23" s="313"/>
      <c r="U23" s="268"/>
      <c r="V23" s="309"/>
      <c r="W23" s="310"/>
      <c r="X23" s="268"/>
      <c r="Y23" s="268"/>
      <c r="Z23" s="268"/>
      <c r="AA23" s="268"/>
      <c r="AB23" s="268"/>
      <c r="AC23" s="268"/>
      <c r="AD23" s="268"/>
      <c r="AE23" s="268"/>
    </row>
    <row r="24" spans="1:31" ht="24.75" customHeight="1">
      <c r="A24" s="268"/>
      <c r="B24" s="268"/>
      <c r="C24" s="268"/>
      <c r="D24" s="268"/>
      <c r="E24" s="268"/>
      <c r="F24" s="268"/>
      <c r="G24" s="268"/>
      <c r="H24" s="268"/>
      <c r="I24" s="268"/>
      <c r="J24" s="268"/>
      <c r="K24" s="268"/>
      <c r="L24" s="309"/>
      <c r="M24" s="268"/>
      <c r="N24" s="268"/>
      <c r="O24" s="310"/>
      <c r="P24" s="268"/>
      <c r="Q24" s="309"/>
      <c r="R24" s="268"/>
      <c r="S24" s="313"/>
      <c r="T24" s="313"/>
      <c r="U24" s="268"/>
      <c r="V24" s="309"/>
      <c r="W24" s="310"/>
      <c r="X24" s="268"/>
      <c r="Y24" s="268"/>
      <c r="Z24" s="268"/>
      <c r="AA24" s="268"/>
      <c r="AB24" s="268"/>
      <c r="AC24" s="268"/>
      <c r="AD24" s="268"/>
      <c r="AE24" s="268"/>
    </row>
    <row r="25" spans="1:31" ht="24.75" customHeight="1">
      <c r="A25" s="268"/>
      <c r="B25" s="268"/>
      <c r="C25" s="268"/>
      <c r="D25" s="268"/>
      <c r="E25" s="268"/>
      <c r="F25" s="268"/>
      <c r="G25" s="268"/>
      <c r="H25" s="268"/>
      <c r="I25" s="268"/>
      <c r="J25" s="268"/>
      <c r="K25" s="268"/>
      <c r="L25" s="309"/>
      <c r="M25" s="268"/>
      <c r="N25" s="268"/>
      <c r="O25" s="310"/>
      <c r="P25" s="268"/>
      <c r="Q25" s="309"/>
      <c r="R25" s="268"/>
      <c r="S25" s="313"/>
      <c r="T25" s="313"/>
      <c r="U25" s="268"/>
      <c r="V25" s="309"/>
      <c r="W25" s="310"/>
      <c r="X25" s="268"/>
      <c r="Y25" s="268"/>
      <c r="Z25" s="268"/>
      <c r="AA25" s="268"/>
      <c r="AB25" s="268"/>
      <c r="AC25" s="268"/>
      <c r="AD25" s="268"/>
      <c r="AE25" s="268"/>
    </row>
    <row r="26" spans="1:31" ht="24.75" customHeight="1">
      <c r="A26" s="268"/>
      <c r="B26" s="268"/>
      <c r="C26" s="268"/>
      <c r="D26" s="268"/>
      <c r="E26" s="268"/>
      <c r="F26" s="268"/>
      <c r="G26" s="268"/>
      <c r="H26" s="268"/>
      <c r="I26" s="268"/>
      <c r="J26" s="268"/>
      <c r="K26" s="268"/>
      <c r="L26" s="309"/>
      <c r="M26" s="268"/>
      <c r="N26" s="268"/>
      <c r="O26" s="310"/>
      <c r="P26" s="268"/>
      <c r="Q26" s="309"/>
      <c r="R26" s="268"/>
      <c r="S26" s="313"/>
      <c r="T26" s="313"/>
      <c r="U26" s="268"/>
      <c r="V26" s="309"/>
      <c r="W26" s="310"/>
      <c r="X26" s="268"/>
      <c r="Y26" s="268"/>
      <c r="Z26" s="268"/>
      <c r="AA26" s="268"/>
      <c r="AB26" s="268"/>
      <c r="AC26" s="268"/>
      <c r="AD26" s="268"/>
      <c r="AE26" s="268"/>
    </row>
    <row r="27" spans="1:31" ht="24.75" customHeight="1">
      <c r="A27" s="268"/>
      <c r="B27" s="268"/>
      <c r="C27" s="268"/>
      <c r="D27" s="268"/>
      <c r="E27" s="268"/>
      <c r="F27" s="268"/>
      <c r="G27" s="268"/>
      <c r="H27" s="268"/>
      <c r="I27" s="268"/>
      <c r="J27" s="268"/>
      <c r="K27" s="268"/>
      <c r="L27" s="309"/>
      <c r="M27" s="268"/>
      <c r="N27" s="268"/>
      <c r="O27" s="310"/>
      <c r="P27" s="268"/>
      <c r="Q27" s="309"/>
      <c r="R27" s="268"/>
      <c r="S27" s="313"/>
      <c r="T27" s="313"/>
      <c r="U27" s="268"/>
      <c r="V27" s="309"/>
      <c r="W27" s="310"/>
      <c r="X27" s="268"/>
      <c r="Y27" s="268"/>
      <c r="Z27" s="268"/>
      <c r="AA27" s="268"/>
      <c r="AB27" s="268"/>
      <c r="AC27" s="268"/>
      <c r="AD27" s="268"/>
      <c r="AE27" s="268"/>
    </row>
    <row r="28" spans="1:31" ht="24.75" customHeight="1">
      <c r="A28" s="268"/>
      <c r="B28" s="268"/>
      <c r="C28" s="268"/>
      <c r="D28" s="268"/>
      <c r="E28" s="268"/>
      <c r="F28" s="268"/>
      <c r="G28" s="268"/>
      <c r="H28" s="268"/>
      <c r="I28" s="268"/>
      <c r="J28" s="268"/>
      <c r="K28" s="268"/>
      <c r="L28" s="309"/>
      <c r="M28" s="268"/>
      <c r="N28" s="268"/>
      <c r="O28" s="310"/>
      <c r="P28" s="268"/>
      <c r="Q28" s="309"/>
      <c r="R28" s="268"/>
      <c r="S28" s="313"/>
      <c r="T28" s="313"/>
      <c r="U28" s="248"/>
      <c r="V28" s="253"/>
      <c r="W28" s="254"/>
      <c r="X28" s="248"/>
      <c r="Y28" s="248"/>
      <c r="Z28" s="248"/>
      <c r="AA28" s="268"/>
      <c r="AB28" s="268"/>
      <c r="AC28" s="268"/>
      <c r="AD28" s="268"/>
      <c r="AE28" s="268"/>
    </row>
    <row r="29" spans="1:31" ht="24.75" customHeight="1">
      <c r="A29" s="268"/>
      <c r="B29" s="268"/>
      <c r="C29" s="268"/>
      <c r="D29" s="268"/>
      <c r="E29" s="268"/>
      <c r="F29" s="268"/>
      <c r="G29" s="268"/>
      <c r="H29" s="268"/>
      <c r="I29" s="268"/>
      <c r="J29" s="268"/>
      <c r="K29" s="268"/>
      <c r="L29" s="309"/>
      <c r="M29" s="268"/>
      <c r="N29" s="268"/>
      <c r="O29" s="310"/>
      <c r="P29" s="268"/>
      <c r="Q29" s="309"/>
      <c r="R29" s="268"/>
      <c r="S29" s="313"/>
      <c r="T29" s="313"/>
      <c r="U29" s="268"/>
      <c r="V29" s="309"/>
      <c r="W29" s="310"/>
      <c r="X29" s="268"/>
      <c r="Y29" s="268"/>
      <c r="Z29" s="268"/>
      <c r="AA29" s="268"/>
      <c r="AB29" s="268"/>
      <c r="AC29" s="268"/>
      <c r="AD29" s="268"/>
      <c r="AE29" s="268"/>
    </row>
    <row r="30" spans="1:31" ht="24.75" customHeight="1">
      <c r="A30" s="268"/>
      <c r="B30" s="268"/>
      <c r="C30" s="268"/>
      <c r="D30" s="268"/>
      <c r="E30" s="268"/>
      <c r="F30" s="268"/>
      <c r="G30" s="268"/>
      <c r="H30" s="268"/>
      <c r="I30" s="268"/>
      <c r="J30" s="268"/>
      <c r="K30" s="268"/>
      <c r="L30" s="309"/>
      <c r="M30" s="268"/>
      <c r="N30" s="268"/>
      <c r="O30" s="310"/>
      <c r="P30" s="268"/>
      <c r="Q30" s="309"/>
      <c r="R30" s="268"/>
      <c r="S30" s="313"/>
      <c r="T30" s="313"/>
      <c r="U30" s="268"/>
      <c r="V30" s="309"/>
      <c r="W30" s="310"/>
      <c r="X30" s="268"/>
      <c r="Y30" s="268"/>
      <c r="Z30" s="268"/>
      <c r="AA30" s="268"/>
      <c r="AB30" s="268"/>
      <c r="AC30" s="268"/>
      <c r="AD30" s="268"/>
      <c r="AE30" s="268"/>
    </row>
    <row r="31" spans="1:31" ht="24.75" customHeight="1">
      <c r="A31" s="268"/>
      <c r="B31" s="268"/>
      <c r="C31" s="268"/>
      <c r="D31" s="268"/>
      <c r="E31" s="268"/>
      <c r="F31" s="268"/>
      <c r="G31" s="268"/>
      <c r="H31" s="268"/>
      <c r="I31" s="268"/>
      <c r="J31" s="268"/>
      <c r="K31" s="268"/>
      <c r="L31" s="309"/>
      <c r="M31" s="268"/>
      <c r="N31" s="268"/>
      <c r="O31" s="310"/>
      <c r="P31" s="268"/>
      <c r="Q31" s="309"/>
      <c r="R31" s="268"/>
      <c r="S31" s="313"/>
      <c r="T31" s="313"/>
      <c r="U31" s="268"/>
      <c r="V31" s="309"/>
      <c r="W31" s="310"/>
      <c r="X31" s="268"/>
      <c r="Y31" s="268"/>
      <c r="Z31" s="268"/>
      <c r="AA31" s="268"/>
      <c r="AB31" s="268"/>
      <c r="AC31" s="268"/>
      <c r="AD31" s="268"/>
      <c r="AE31" s="268"/>
    </row>
    <row r="32" spans="1:31" ht="24.75" customHeight="1">
      <c r="A32" s="268"/>
      <c r="B32" s="268"/>
      <c r="C32" s="268"/>
      <c r="D32" s="268"/>
      <c r="E32" s="268"/>
      <c r="F32" s="268"/>
      <c r="G32" s="268"/>
      <c r="H32" s="268"/>
      <c r="I32" s="268"/>
      <c r="J32" s="268"/>
      <c r="K32" s="268"/>
      <c r="L32" s="309"/>
      <c r="M32" s="268"/>
      <c r="N32" s="268"/>
      <c r="O32" s="310"/>
      <c r="P32" s="268"/>
      <c r="Q32" s="309"/>
      <c r="R32" s="268"/>
      <c r="S32" s="313"/>
      <c r="T32" s="313"/>
      <c r="U32" s="230"/>
      <c r="V32" s="256"/>
      <c r="W32" s="257"/>
      <c r="X32" s="230"/>
      <c r="Y32" s="230"/>
      <c r="Z32" s="230"/>
      <c r="AA32" s="268"/>
      <c r="AB32" s="268"/>
      <c r="AC32" s="268"/>
      <c r="AD32" s="268"/>
      <c r="AE32" s="268"/>
    </row>
    <row r="33" spans="1:31" ht="24.75" customHeight="1">
      <c r="A33" s="268"/>
      <c r="B33" s="268"/>
      <c r="C33" s="268"/>
      <c r="D33" s="268"/>
      <c r="E33" s="268"/>
      <c r="F33" s="268"/>
      <c r="G33" s="268"/>
      <c r="H33" s="268"/>
      <c r="I33" s="268"/>
      <c r="J33" s="268"/>
      <c r="K33" s="268"/>
      <c r="L33" s="309"/>
      <c r="M33" s="268"/>
      <c r="N33" s="268"/>
      <c r="O33" s="310"/>
      <c r="P33" s="268"/>
      <c r="Q33" s="309"/>
      <c r="R33" s="268"/>
      <c r="S33" s="313"/>
      <c r="T33" s="313"/>
      <c r="U33" s="268"/>
      <c r="V33" s="309"/>
      <c r="W33" s="310"/>
      <c r="X33" s="268"/>
      <c r="Y33" s="268"/>
      <c r="Z33" s="268"/>
      <c r="AA33" s="268"/>
      <c r="AB33" s="268"/>
      <c r="AC33" s="268"/>
      <c r="AD33" s="268"/>
      <c r="AE33" s="268"/>
    </row>
    <row r="34" spans="1:31" ht="24.75" customHeight="1">
      <c r="A34" s="268"/>
      <c r="B34" s="268"/>
      <c r="C34" s="268"/>
      <c r="D34" s="268"/>
      <c r="E34" s="268"/>
      <c r="F34" s="268"/>
      <c r="G34" s="268"/>
      <c r="H34" s="268"/>
      <c r="I34" s="268"/>
      <c r="J34" s="268"/>
      <c r="K34" s="268"/>
      <c r="L34" s="309"/>
      <c r="M34" s="268"/>
      <c r="N34" s="268"/>
      <c r="O34" s="310"/>
      <c r="P34" s="268"/>
      <c r="Q34" s="309"/>
      <c r="R34" s="268"/>
      <c r="S34" s="313"/>
      <c r="T34" s="313"/>
      <c r="U34" s="268"/>
      <c r="V34" s="309"/>
      <c r="W34" s="310"/>
      <c r="X34" s="268"/>
      <c r="Y34" s="268"/>
      <c r="Z34" s="268"/>
      <c r="AA34" s="268"/>
      <c r="AB34" s="268"/>
      <c r="AC34" s="268"/>
      <c r="AD34" s="268"/>
      <c r="AE34" s="268"/>
    </row>
    <row r="35" spans="1:31" ht="24.75" customHeight="1">
      <c r="A35" s="268"/>
      <c r="B35" s="268"/>
      <c r="C35" s="268"/>
      <c r="D35" s="268"/>
      <c r="E35" s="268"/>
      <c r="F35" s="268"/>
      <c r="G35" s="268"/>
      <c r="H35" s="268"/>
      <c r="I35" s="268"/>
      <c r="J35" s="268"/>
      <c r="K35" s="268"/>
      <c r="L35" s="309"/>
      <c r="M35" s="268"/>
      <c r="N35" s="268"/>
      <c r="O35" s="310"/>
      <c r="P35" s="268"/>
      <c r="Q35" s="309"/>
      <c r="R35" s="268"/>
      <c r="S35" s="313"/>
      <c r="T35" s="313"/>
      <c r="U35" s="268"/>
      <c r="V35" s="309"/>
      <c r="W35" s="310"/>
      <c r="X35" s="268"/>
      <c r="Y35" s="268"/>
      <c r="Z35" s="268"/>
      <c r="AA35" s="268"/>
      <c r="AB35" s="268"/>
      <c r="AC35" s="268"/>
      <c r="AD35" s="268"/>
      <c r="AE35" s="268"/>
    </row>
    <row r="36" spans="1:31" ht="24.75" customHeight="1">
      <c r="A36" s="268"/>
      <c r="B36" s="268"/>
      <c r="C36" s="268"/>
      <c r="D36" s="268"/>
      <c r="E36" s="268"/>
      <c r="F36" s="268"/>
      <c r="G36" s="268"/>
      <c r="H36" s="268"/>
      <c r="I36" s="268"/>
      <c r="J36" s="268"/>
      <c r="K36" s="268"/>
      <c r="L36" s="309"/>
      <c r="M36" s="268"/>
      <c r="N36" s="268"/>
      <c r="O36" s="310"/>
      <c r="P36" s="268"/>
      <c r="Q36" s="309"/>
      <c r="R36" s="268"/>
      <c r="S36" s="313"/>
      <c r="T36" s="313"/>
      <c r="U36" s="289"/>
      <c r="V36" s="290"/>
      <c r="W36" s="291"/>
      <c r="X36" s="289"/>
      <c r="Y36" s="289"/>
      <c r="Z36" s="289"/>
      <c r="AA36" s="268"/>
      <c r="AB36" s="268"/>
      <c r="AC36" s="268"/>
      <c r="AD36" s="268"/>
      <c r="AE36" s="268"/>
    </row>
    <row r="37" spans="1:31" ht="24.75" customHeight="1">
      <c r="A37" s="268"/>
      <c r="B37" s="268"/>
      <c r="C37" s="268"/>
      <c r="D37" s="268"/>
      <c r="E37" s="268"/>
      <c r="F37" s="268"/>
      <c r="G37" s="268"/>
      <c r="H37" s="268"/>
      <c r="I37" s="268"/>
      <c r="J37" s="268"/>
      <c r="K37" s="268"/>
      <c r="L37" s="309"/>
      <c r="M37" s="268"/>
      <c r="N37" s="268"/>
      <c r="O37" s="310"/>
      <c r="P37" s="268"/>
      <c r="Q37" s="309"/>
      <c r="R37" s="268"/>
      <c r="S37" s="313"/>
      <c r="T37" s="313"/>
      <c r="U37" s="268"/>
      <c r="V37" s="309"/>
      <c r="W37" s="310"/>
      <c r="X37" s="268"/>
      <c r="Y37" s="268"/>
      <c r="Z37" s="268"/>
      <c r="AA37" s="268"/>
      <c r="AB37" s="268"/>
      <c r="AC37" s="268"/>
      <c r="AD37" s="268"/>
      <c r="AE37" s="268"/>
    </row>
    <row r="38" spans="1:31" ht="24.75" customHeight="1">
      <c r="A38" s="268"/>
      <c r="B38" s="268"/>
      <c r="C38" s="268"/>
      <c r="D38" s="268"/>
      <c r="E38" s="268"/>
      <c r="F38" s="268"/>
      <c r="G38" s="268"/>
      <c r="H38" s="268"/>
      <c r="I38" s="268"/>
      <c r="J38" s="268"/>
      <c r="K38" s="268"/>
      <c r="L38" s="309"/>
      <c r="M38" s="268"/>
      <c r="N38" s="268"/>
      <c r="O38" s="310"/>
      <c r="P38" s="268"/>
      <c r="Q38" s="309"/>
      <c r="R38" s="268"/>
      <c r="S38" s="313"/>
      <c r="T38" s="313"/>
      <c r="U38" s="268"/>
      <c r="V38" s="309"/>
      <c r="W38" s="310"/>
      <c r="X38" s="268"/>
      <c r="Y38" s="268"/>
      <c r="Z38" s="268"/>
      <c r="AA38" s="268"/>
      <c r="AB38" s="268"/>
      <c r="AC38" s="268"/>
      <c r="AD38" s="268"/>
      <c r="AE38" s="268"/>
    </row>
    <row r="39" spans="1:31" ht="24.75" customHeight="1">
      <c r="A39" s="268"/>
      <c r="B39" s="268"/>
      <c r="C39" s="268"/>
      <c r="D39" s="268"/>
      <c r="E39" s="268"/>
      <c r="F39" s="268"/>
      <c r="G39" s="268"/>
      <c r="H39" s="268"/>
      <c r="I39" s="268"/>
      <c r="J39" s="268"/>
      <c r="K39" s="268"/>
      <c r="L39" s="309"/>
      <c r="M39" s="268"/>
      <c r="N39" s="268"/>
      <c r="O39" s="310"/>
      <c r="P39" s="268"/>
      <c r="Q39" s="309"/>
      <c r="R39" s="268"/>
      <c r="S39" s="313"/>
      <c r="T39" s="313"/>
      <c r="U39" s="268"/>
      <c r="V39" s="309"/>
      <c r="W39" s="310"/>
      <c r="X39" s="268"/>
      <c r="Y39" s="268"/>
      <c r="Z39" s="268"/>
      <c r="AA39" s="268"/>
      <c r="AB39" s="268"/>
      <c r="AC39" s="268"/>
      <c r="AD39" s="268"/>
      <c r="AE39" s="268"/>
    </row>
    <row r="40" spans="1:31" ht="24.75" customHeight="1">
      <c r="A40" s="268"/>
      <c r="B40" s="268"/>
      <c r="C40" s="268"/>
      <c r="D40" s="268"/>
      <c r="E40" s="268"/>
      <c r="F40" s="268"/>
      <c r="G40" s="268"/>
      <c r="H40" s="268"/>
      <c r="I40" s="268"/>
      <c r="J40" s="268"/>
      <c r="K40" s="268"/>
      <c r="L40" s="309"/>
      <c r="M40" s="268"/>
      <c r="N40" s="268"/>
      <c r="O40" s="310"/>
      <c r="P40" s="268"/>
      <c r="Q40" s="309"/>
      <c r="R40" s="268"/>
      <c r="S40" s="313"/>
      <c r="T40" s="313"/>
      <c r="U40" s="268"/>
      <c r="V40" s="309"/>
      <c r="W40" s="310"/>
      <c r="X40" s="268"/>
      <c r="Y40" s="268"/>
      <c r="Z40" s="268"/>
      <c r="AA40" s="268"/>
      <c r="AB40" s="268"/>
      <c r="AC40" s="268"/>
      <c r="AD40" s="268"/>
      <c r="AE40" s="268"/>
    </row>
    <row r="41" spans="1:31" ht="24.75" customHeight="1">
      <c r="A41" s="268"/>
      <c r="B41" s="268"/>
      <c r="C41" s="268"/>
      <c r="D41" s="268"/>
      <c r="E41" s="268"/>
      <c r="F41" s="268"/>
      <c r="G41" s="268"/>
      <c r="H41" s="268"/>
      <c r="I41" s="268"/>
      <c r="J41" s="268"/>
      <c r="K41" s="268"/>
      <c r="L41" s="309"/>
      <c r="M41" s="268"/>
      <c r="N41" s="268"/>
      <c r="O41" s="310"/>
      <c r="P41" s="268"/>
      <c r="Q41" s="309"/>
      <c r="R41" s="268"/>
      <c r="S41" s="313"/>
      <c r="T41" s="313"/>
      <c r="U41" s="230"/>
      <c r="V41" s="256"/>
      <c r="W41" s="257"/>
      <c r="X41" s="230"/>
      <c r="Y41" s="230"/>
      <c r="Z41" s="230"/>
      <c r="AA41" s="268"/>
      <c r="AB41" s="268"/>
      <c r="AC41" s="268"/>
      <c r="AD41" s="268"/>
      <c r="AE41" s="268"/>
    </row>
    <row r="42" spans="1:31" ht="24.75" customHeight="1">
      <c r="A42" s="268"/>
      <c r="B42" s="268"/>
      <c r="C42" s="268"/>
      <c r="D42" s="268"/>
      <c r="E42" s="268"/>
      <c r="F42" s="268"/>
      <c r="G42" s="268"/>
      <c r="H42" s="268"/>
      <c r="I42" s="268"/>
      <c r="J42" s="268"/>
      <c r="K42" s="268"/>
      <c r="L42" s="309"/>
      <c r="M42" s="268"/>
      <c r="N42" s="268"/>
      <c r="O42" s="310"/>
      <c r="P42" s="268"/>
      <c r="Q42" s="309"/>
      <c r="R42" s="268"/>
      <c r="S42" s="313"/>
      <c r="T42" s="313"/>
      <c r="U42" s="268"/>
      <c r="V42" s="309"/>
      <c r="W42" s="310"/>
      <c r="X42" s="268"/>
      <c r="Y42" s="268"/>
      <c r="Z42" s="268"/>
      <c r="AA42" s="268"/>
      <c r="AB42" s="268"/>
      <c r="AC42" s="268"/>
      <c r="AD42" s="268"/>
      <c r="AE42" s="268"/>
    </row>
    <row r="43" spans="1:31" ht="24.75" customHeight="1">
      <c r="A43" s="268"/>
      <c r="B43" s="268"/>
      <c r="C43" s="268"/>
      <c r="D43" s="268"/>
      <c r="E43" s="268"/>
      <c r="F43" s="268"/>
      <c r="G43" s="268"/>
      <c r="H43" s="268"/>
      <c r="I43" s="268"/>
      <c r="J43" s="268"/>
      <c r="K43" s="268"/>
      <c r="L43" s="309"/>
      <c r="M43" s="268"/>
      <c r="N43" s="268"/>
      <c r="O43" s="310"/>
      <c r="P43" s="268"/>
      <c r="Q43" s="309"/>
      <c r="R43" s="268"/>
      <c r="S43" s="313"/>
      <c r="T43" s="313"/>
      <c r="U43" s="268"/>
      <c r="V43" s="309"/>
      <c r="W43" s="310"/>
      <c r="X43" s="268"/>
      <c r="Y43" s="268"/>
      <c r="Z43" s="268"/>
      <c r="AA43" s="268"/>
      <c r="AB43" s="268"/>
      <c r="AC43" s="268"/>
      <c r="AD43" s="268"/>
      <c r="AE43" s="268"/>
    </row>
    <row r="44" spans="1:31" ht="24.75" customHeight="1">
      <c r="A44" s="268"/>
      <c r="B44" s="268"/>
      <c r="C44" s="268"/>
      <c r="D44" s="268"/>
      <c r="E44" s="268"/>
      <c r="F44" s="268"/>
      <c r="G44" s="268"/>
      <c r="H44" s="268"/>
      <c r="I44" s="268"/>
      <c r="J44" s="268"/>
      <c r="K44" s="268"/>
      <c r="L44" s="309"/>
      <c r="M44" s="268"/>
      <c r="N44" s="268"/>
      <c r="O44" s="310"/>
      <c r="P44" s="268"/>
      <c r="Q44" s="309"/>
      <c r="R44" s="268"/>
      <c r="S44" s="313"/>
      <c r="T44" s="313"/>
      <c r="U44" s="230"/>
      <c r="V44" s="256"/>
      <c r="W44" s="257"/>
      <c r="X44" s="230"/>
      <c r="Y44" s="230"/>
      <c r="Z44" s="230"/>
      <c r="AA44" s="268"/>
      <c r="AB44" s="268"/>
      <c r="AC44" s="268"/>
      <c r="AD44" s="268"/>
      <c r="AE44" s="268"/>
    </row>
    <row r="45" spans="1:31" ht="24.75" customHeight="1">
      <c r="A45" s="268"/>
      <c r="B45" s="268"/>
      <c r="C45" s="268"/>
      <c r="D45" s="268"/>
      <c r="E45" s="268"/>
      <c r="F45" s="268"/>
      <c r="G45" s="268"/>
      <c r="H45" s="268"/>
      <c r="I45" s="268"/>
      <c r="J45" s="268"/>
      <c r="K45" s="268"/>
      <c r="L45" s="309"/>
      <c r="M45" s="268"/>
      <c r="N45" s="268"/>
      <c r="O45" s="310"/>
      <c r="P45" s="268"/>
      <c r="Q45" s="309"/>
      <c r="R45" s="268"/>
      <c r="S45" s="313"/>
      <c r="T45" s="313"/>
      <c r="U45" s="230"/>
      <c r="V45" s="256"/>
      <c r="W45" s="257"/>
      <c r="X45" s="230"/>
      <c r="Y45" s="230"/>
      <c r="Z45" s="230"/>
      <c r="AA45" s="268"/>
      <c r="AB45" s="268"/>
      <c r="AC45" s="268"/>
      <c r="AD45" s="268"/>
      <c r="AE45" s="268"/>
    </row>
    <row r="46" spans="1:31" ht="24.75" customHeight="1">
      <c r="A46" s="437"/>
      <c r="B46" s="268"/>
      <c r="C46" s="268"/>
      <c r="D46" s="268"/>
      <c r="E46" s="268"/>
      <c r="F46" s="268"/>
      <c r="G46" s="268"/>
      <c r="H46" s="268"/>
      <c r="I46" s="268"/>
      <c r="J46" s="268"/>
      <c r="K46" s="268"/>
      <c r="L46" s="309"/>
      <c r="M46" s="268"/>
      <c r="N46" s="268"/>
      <c r="O46" s="310"/>
      <c r="P46" s="268"/>
      <c r="Q46" s="309"/>
      <c r="R46" s="268"/>
      <c r="S46" s="313"/>
      <c r="T46" s="313"/>
      <c r="U46" s="268"/>
      <c r="V46" s="309"/>
      <c r="W46" s="310"/>
      <c r="X46" s="268"/>
      <c r="Y46" s="268"/>
      <c r="Z46" s="268"/>
      <c r="AA46" s="268"/>
      <c r="AB46" s="268"/>
      <c r="AC46" s="268"/>
      <c r="AD46" s="268"/>
      <c r="AE46" s="268"/>
    </row>
    <row r="47" spans="1:31" ht="24.75" customHeight="1">
      <c r="A47" s="437"/>
      <c r="B47" s="268"/>
      <c r="C47" s="268"/>
      <c r="D47" s="268"/>
      <c r="E47" s="268"/>
      <c r="F47" s="268"/>
      <c r="G47" s="268"/>
      <c r="H47" s="268"/>
      <c r="I47" s="268"/>
      <c r="J47" s="268"/>
      <c r="K47" s="268"/>
      <c r="L47" s="309"/>
      <c r="M47" s="268"/>
      <c r="N47" s="268"/>
      <c r="O47" s="310"/>
      <c r="P47" s="268"/>
      <c r="Q47" s="309"/>
      <c r="R47" s="268"/>
      <c r="S47" s="313"/>
      <c r="T47" s="313"/>
      <c r="U47" s="268"/>
      <c r="V47" s="309"/>
      <c r="W47" s="310"/>
      <c r="X47" s="268"/>
      <c r="Y47" s="268"/>
      <c r="Z47" s="268"/>
      <c r="AA47" s="268"/>
      <c r="AB47" s="268"/>
      <c r="AC47" s="268"/>
      <c r="AD47" s="268"/>
      <c r="AE47" s="268"/>
    </row>
    <row r="48" spans="1:31" ht="24.75" customHeight="1">
      <c r="A48" s="437"/>
      <c r="B48" s="268"/>
      <c r="C48" s="268"/>
      <c r="D48" s="268"/>
      <c r="E48" s="268"/>
      <c r="F48" s="268"/>
      <c r="G48" s="268"/>
      <c r="H48" s="268"/>
      <c r="I48" s="268"/>
      <c r="J48" s="268"/>
      <c r="K48" s="268"/>
      <c r="L48" s="309"/>
      <c r="M48" s="268"/>
      <c r="N48" s="268"/>
      <c r="O48" s="310"/>
      <c r="P48" s="268"/>
      <c r="Q48" s="309"/>
      <c r="R48" s="268"/>
      <c r="S48" s="313"/>
      <c r="T48" s="313"/>
      <c r="U48" s="268"/>
      <c r="V48" s="309"/>
      <c r="W48" s="310"/>
      <c r="X48" s="268"/>
      <c r="Y48" s="268"/>
      <c r="Z48" s="268"/>
      <c r="AA48" s="268"/>
      <c r="AB48" s="268"/>
      <c r="AC48" s="268"/>
      <c r="AD48" s="268"/>
      <c r="AE48" s="268"/>
    </row>
    <row r="49" spans="1:31" ht="24.75" customHeight="1">
      <c r="A49" s="437"/>
      <c r="B49" s="268"/>
      <c r="C49" s="268"/>
      <c r="D49" s="268"/>
      <c r="E49" s="268"/>
      <c r="F49" s="268"/>
      <c r="G49" s="268"/>
      <c r="H49" s="268"/>
      <c r="I49" s="268"/>
      <c r="J49" s="268"/>
      <c r="K49" s="268"/>
      <c r="L49" s="309"/>
      <c r="M49" s="268"/>
      <c r="N49" s="268"/>
      <c r="O49" s="310"/>
      <c r="P49" s="268"/>
      <c r="Q49" s="309"/>
      <c r="R49" s="268"/>
      <c r="S49" s="313"/>
      <c r="T49" s="313"/>
      <c r="U49" s="268"/>
      <c r="V49" s="309"/>
      <c r="W49" s="310"/>
      <c r="X49" s="268"/>
      <c r="Y49" s="268"/>
      <c r="Z49" s="268"/>
      <c r="AA49" s="268"/>
      <c r="AB49" s="268"/>
      <c r="AC49" s="268"/>
      <c r="AD49" s="268"/>
      <c r="AE49" s="268"/>
    </row>
    <row r="50" spans="1:31" ht="24.75" customHeight="1">
      <c r="A50" s="437"/>
      <c r="B50" s="268"/>
      <c r="C50" s="268"/>
      <c r="D50" s="268"/>
      <c r="E50" s="268"/>
      <c r="F50" s="268"/>
      <c r="G50" s="268"/>
      <c r="H50" s="268"/>
      <c r="I50" s="268"/>
      <c r="J50" s="268"/>
      <c r="K50" s="268"/>
      <c r="L50" s="309"/>
      <c r="M50" s="268"/>
      <c r="N50" s="268"/>
      <c r="O50" s="310"/>
      <c r="P50" s="268"/>
      <c r="Q50" s="309"/>
      <c r="R50" s="268"/>
      <c r="S50" s="313"/>
      <c r="T50" s="313"/>
      <c r="U50" s="268"/>
      <c r="V50" s="309"/>
      <c r="W50" s="310"/>
      <c r="X50" s="268"/>
      <c r="Y50" s="268"/>
      <c r="Z50" s="268"/>
      <c r="AA50" s="268"/>
      <c r="AB50" s="268"/>
      <c r="AC50" s="268"/>
      <c r="AD50" s="268"/>
      <c r="AE50" s="268"/>
    </row>
    <row r="51" spans="1:31" ht="24.75" customHeight="1">
      <c r="A51" s="268"/>
      <c r="B51" s="268"/>
      <c r="C51" s="268"/>
      <c r="D51" s="268"/>
      <c r="E51" s="268"/>
      <c r="F51" s="268"/>
      <c r="G51" s="268"/>
      <c r="H51" s="268"/>
      <c r="I51" s="268"/>
      <c r="J51" s="268"/>
      <c r="K51" s="268"/>
      <c r="L51" s="309"/>
      <c r="M51" s="268"/>
      <c r="N51" s="268"/>
      <c r="O51" s="310"/>
      <c r="P51" s="268"/>
      <c r="Q51" s="309"/>
      <c r="R51" s="268"/>
      <c r="S51" s="313"/>
      <c r="T51" s="313"/>
      <c r="U51" s="268"/>
      <c r="V51" s="309"/>
      <c r="W51" s="310"/>
      <c r="X51" s="268"/>
      <c r="Y51" s="268"/>
      <c r="Z51" s="268"/>
      <c r="AA51" s="268"/>
      <c r="AB51" s="268"/>
      <c r="AC51" s="268"/>
      <c r="AD51" s="268"/>
      <c r="AE51" s="268"/>
    </row>
    <row r="52" spans="1:31" ht="24.75" customHeight="1">
      <c r="A52" s="268"/>
      <c r="B52" s="268"/>
      <c r="C52" s="268"/>
      <c r="D52" s="268"/>
      <c r="E52" s="268"/>
      <c r="F52" s="268"/>
      <c r="G52" s="268"/>
      <c r="H52" s="268"/>
      <c r="I52" s="268"/>
      <c r="J52" s="268"/>
      <c r="K52" s="268"/>
      <c r="L52" s="309"/>
      <c r="M52" s="268"/>
      <c r="N52" s="268"/>
      <c r="O52" s="310"/>
      <c r="P52" s="268"/>
      <c r="Q52" s="309"/>
      <c r="R52" s="268"/>
      <c r="S52" s="313"/>
      <c r="T52" s="313"/>
      <c r="U52" s="248"/>
      <c r="V52" s="253"/>
      <c r="W52" s="254"/>
      <c r="X52" s="248"/>
      <c r="Y52" s="248"/>
      <c r="Z52" s="248"/>
      <c r="AA52" s="268"/>
      <c r="AB52" s="268"/>
      <c r="AC52" s="268"/>
      <c r="AD52" s="268"/>
      <c r="AE52" s="268"/>
    </row>
    <row r="53" spans="1:31" ht="24.75" customHeight="1">
      <c r="A53" s="268"/>
      <c r="B53" s="268"/>
      <c r="C53" s="268"/>
      <c r="D53" s="268"/>
      <c r="E53" s="268"/>
      <c r="F53" s="268"/>
      <c r="G53" s="268"/>
      <c r="H53" s="268"/>
      <c r="I53" s="268"/>
      <c r="J53" s="268"/>
      <c r="K53" s="268"/>
      <c r="L53" s="309"/>
      <c r="M53" s="268"/>
      <c r="N53" s="268"/>
      <c r="O53" s="310"/>
      <c r="P53" s="268"/>
      <c r="Q53" s="309"/>
      <c r="R53" s="268"/>
      <c r="S53" s="313"/>
      <c r="T53" s="313"/>
      <c r="U53" s="268"/>
      <c r="V53" s="309"/>
      <c r="W53" s="310"/>
      <c r="X53" s="268"/>
      <c r="Y53" s="268"/>
      <c r="Z53" s="268"/>
      <c r="AA53" s="268"/>
      <c r="AB53" s="268"/>
      <c r="AC53" s="268"/>
      <c r="AD53" s="268"/>
      <c r="AE53" s="268"/>
    </row>
    <row r="54" spans="1:31" ht="24.75" customHeight="1">
      <c r="A54" s="268"/>
      <c r="B54" s="268"/>
      <c r="C54" s="268"/>
      <c r="D54" s="268"/>
      <c r="E54" s="268"/>
      <c r="F54" s="268"/>
      <c r="G54" s="268"/>
      <c r="H54" s="268"/>
      <c r="I54" s="268"/>
      <c r="J54" s="268"/>
      <c r="K54" s="268"/>
      <c r="L54" s="309"/>
      <c r="M54" s="268"/>
      <c r="N54" s="268"/>
      <c r="O54" s="310"/>
      <c r="P54" s="268"/>
      <c r="Q54" s="309"/>
      <c r="R54" s="268"/>
      <c r="S54" s="313"/>
      <c r="T54" s="313"/>
      <c r="U54" s="268"/>
      <c r="V54" s="309"/>
      <c r="W54" s="310"/>
      <c r="X54" s="268"/>
      <c r="Y54" s="268"/>
      <c r="Z54" s="268"/>
      <c r="AA54" s="268"/>
      <c r="AB54" s="268"/>
      <c r="AC54" s="268"/>
      <c r="AD54" s="268"/>
      <c r="AE54" s="268"/>
    </row>
    <row r="55" spans="1:31" ht="24.75" customHeight="1">
      <c r="A55" s="268"/>
      <c r="B55" s="268"/>
      <c r="C55" s="268"/>
      <c r="D55" s="268"/>
      <c r="E55" s="268"/>
      <c r="F55" s="268"/>
      <c r="G55" s="268"/>
      <c r="H55" s="268"/>
      <c r="I55" s="268"/>
      <c r="J55" s="268"/>
      <c r="K55" s="268"/>
      <c r="L55" s="309"/>
      <c r="M55" s="268"/>
      <c r="N55" s="268"/>
      <c r="O55" s="310"/>
      <c r="P55" s="268"/>
      <c r="Q55" s="309"/>
      <c r="R55" s="268"/>
      <c r="S55" s="313"/>
      <c r="T55" s="313"/>
      <c r="U55" s="268"/>
      <c r="V55" s="309"/>
      <c r="W55" s="310"/>
      <c r="X55" s="268"/>
      <c r="Y55" s="268"/>
      <c r="Z55" s="268"/>
      <c r="AA55" s="268"/>
      <c r="AB55" s="268"/>
      <c r="AC55" s="268"/>
      <c r="AD55" s="268"/>
      <c r="AE55" s="268"/>
    </row>
    <row r="56" spans="1:31" ht="24.75" customHeight="1">
      <c r="A56" s="268"/>
      <c r="B56" s="268"/>
      <c r="C56" s="268"/>
      <c r="D56" s="268"/>
      <c r="E56" s="268"/>
      <c r="F56" s="268"/>
      <c r="G56" s="268"/>
      <c r="H56" s="268"/>
      <c r="I56" s="268"/>
      <c r="J56" s="268"/>
      <c r="K56" s="268"/>
      <c r="L56" s="309"/>
      <c r="M56" s="268"/>
      <c r="N56" s="268"/>
      <c r="O56" s="310"/>
      <c r="P56" s="268"/>
      <c r="Q56" s="309"/>
      <c r="R56" s="268"/>
      <c r="S56" s="313"/>
      <c r="T56" s="313"/>
      <c r="U56" s="268"/>
      <c r="V56" s="309"/>
      <c r="W56" s="310"/>
      <c r="X56" s="268"/>
      <c r="Y56" s="268"/>
      <c r="Z56" s="268"/>
      <c r="AA56" s="268"/>
      <c r="AB56" s="268"/>
      <c r="AC56" s="268"/>
      <c r="AD56" s="268"/>
      <c r="AE56" s="268"/>
    </row>
    <row r="57" spans="1:31" ht="24.75" customHeight="1">
      <c r="A57" s="268"/>
      <c r="B57" s="268"/>
      <c r="C57" s="268"/>
      <c r="D57" s="268"/>
      <c r="E57" s="268"/>
      <c r="F57" s="268"/>
      <c r="G57" s="268"/>
      <c r="H57" s="268"/>
      <c r="I57" s="268"/>
      <c r="J57" s="268"/>
      <c r="K57" s="268"/>
      <c r="L57" s="309"/>
      <c r="M57" s="268"/>
      <c r="N57" s="268"/>
      <c r="O57" s="310"/>
      <c r="P57" s="268"/>
      <c r="Q57" s="309"/>
      <c r="R57" s="268"/>
      <c r="S57" s="313"/>
      <c r="T57" s="313"/>
      <c r="U57" s="230"/>
      <c r="V57" s="256"/>
      <c r="W57" s="257"/>
      <c r="X57" s="230"/>
      <c r="Y57" s="230"/>
      <c r="Z57" s="230"/>
      <c r="AA57" s="268"/>
      <c r="AB57" s="268"/>
      <c r="AC57" s="268"/>
      <c r="AD57" s="268"/>
      <c r="AE57" s="268"/>
    </row>
    <row r="58" spans="1:31" ht="24.75" customHeight="1">
      <c r="A58" s="268"/>
      <c r="B58" s="268"/>
      <c r="C58" s="268"/>
      <c r="D58" s="268"/>
      <c r="E58" s="268"/>
      <c r="F58" s="268"/>
      <c r="G58" s="268"/>
      <c r="H58" s="268"/>
      <c r="I58" s="268"/>
      <c r="J58" s="268"/>
      <c r="K58" s="268"/>
      <c r="L58" s="309"/>
      <c r="M58" s="268"/>
      <c r="N58" s="268"/>
      <c r="O58" s="310"/>
      <c r="P58" s="268"/>
      <c r="Q58" s="309"/>
      <c r="R58" s="268"/>
      <c r="S58" s="313"/>
      <c r="T58" s="313"/>
      <c r="U58" s="230"/>
      <c r="V58" s="256"/>
      <c r="W58" s="257"/>
      <c r="X58" s="230"/>
      <c r="Y58" s="230"/>
      <c r="Z58" s="230"/>
      <c r="AA58" s="268"/>
      <c r="AB58" s="268"/>
      <c r="AC58" s="268"/>
      <c r="AD58" s="268"/>
      <c r="AE58" s="268"/>
    </row>
    <row r="59" spans="1:31" ht="24.75" customHeight="1">
      <c r="A59" s="268"/>
      <c r="B59" s="268"/>
      <c r="C59" s="268"/>
      <c r="D59" s="268"/>
      <c r="E59" s="268"/>
      <c r="F59" s="268"/>
      <c r="G59" s="268"/>
      <c r="H59" s="268"/>
      <c r="I59" s="268"/>
      <c r="J59" s="268"/>
      <c r="K59" s="268"/>
      <c r="L59" s="309"/>
      <c r="M59" s="268"/>
      <c r="N59" s="268"/>
      <c r="O59" s="310"/>
      <c r="P59" s="268"/>
      <c r="Q59" s="309"/>
      <c r="R59" s="268"/>
      <c r="S59" s="313"/>
      <c r="T59" s="313"/>
      <c r="U59" s="248"/>
      <c r="V59" s="253"/>
      <c r="W59" s="254"/>
      <c r="X59" s="248"/>
      <c r="Y59" s="248"/>
      <c r="Z59" s="248"/>
      <c r="AA59" s="268"/>
      <c r="AB59" s="268"/>
      <c r="AC59" s="268"/>
      <c r="AD59" s="268"/>
      <c r="AE59" s="268"/>
    </row>
    <row r="60" spans="1:31" ht="24.75" customHeight="1">
      <c r="A60" s="268"/>
      <c r="B60" s="268"/>
      <c r="C60" s="268"/>
      <c r="D60" s="268"/>
      <c r="E60" s="268"/>
      <c r="F60" s="268"/>
      <c r="G60" s="268"/>
      <c r="H60" s="268"/>
      <c r="I60" s="268"/>
      <c r="J60" s="268"/>
      <c r="K60" s="268"/>
      <c r="L60" s="309"/>
      <c r="M60" s="268"/>
      <c r="N60" s="268"/>
      <c r="O60" s="310"/>
      <c r="P60" s="268"/>
      <c r="Q60" s="309"/>
      <c r="R60" s="268"/>
      <c r="S60" s="313"/>
      <c r="T60" s="313"/>
      <c r="U60" s="268"/>
      <c r="V60" s="309"/>
      <c r="W60" s="310"/>
      <c r="X60" s="268"/>
      <c r="Y60" s="268"/>
      <c r="Z60" s="268"/>
      <c r="AA60" s="268"/>
      <c r="AB60" s="268"/>
      <c r="AC60" s="268"/>
      <c r="AD60" s="268"/>
      <c r="AE60" s="268"/>
    </row>
    <row r="61" spans="1:31" ht="24.75" customHeight="1">
      <c r="A61" s="268"/>
      <c r="B61" s="268"/>
      <c r="C61" s="268"/>
      <c r="D61" s="268"/>
      <c r="E61" s="268"/>
      <c r="F61" s="268"/>
      <c r="G61" s="268"/>
      <c r="H61" s="268"/>
      <c r="I61" s="268"/>
      <c r="J61" s="268"/>
      <c r="K61" s="268"/>
      <c r="L61" s="309"/>
      <c r="M61" s="268"/>
      <c r="N61" s="268"/>
      <c r="O61" s="310"/>
      <c r="P61" s="268"/>
      <c r="Q61" s="309"/>
      <c r="R61" s="268"/>
      <c r="S61" s="313"/>
      <c r="T61" s="313"/>
      <c r="U61" s="268"/>
      <c r="V61" s="309"/>
      <c r="W61" s="310"/>
      <c r="X61" s="268"/>
      <c r="Y61" s="268"/>
      <c r="Z61" s="268"/>
      <c r="AA61" s="268"/>
      <c r="AB61" s="268"/>
      <c r="AC61" s="268"/>
      <c r="AD61" s="268"/>
      <c r="AE61" s="268"/>
    </row>
    <row r="62" spans="1:31" ht="24.75" customHeight="1">
      <c r="A62" s="268"/>
      <c r="B62" s="268"/>
      <c r="C62" s="268"/>
      <c r="D62" s="268"/>
      <c r="E62" s="268"/>
      <c r="F62" s="268"/>
      <c r="G62" s="268"/>
      <c r="H62" s="268"/>
      <c r="I62" s="268"/>
      <c r="J62" s="268"/>
      <c r="K62" s="268"/>
      <c r="L62" s="309"/>
      <c r="M62" s="268"/>
      <c r="N62" s="268"/>
      <c r="O62" s="310"/>
      <c r="P62" s="268"/>
      <c r="Q62" s="309"/>
      <c r="R62" s="268"/>
      <c r="S62" s="313"/>
      <c r="T62" s="313"/>
      <c r="U62" s="268"/>
      <c r="V62" s="309"/>
      <c r="W62" s="310"/>
      <c r="X62" s="268"/>
      <c r="Y62" s="268"/>
      <c r="Z62" s="268"/>
      <c r="AA62" s="268"/>
      <c r="AB62" s="268"/>
      <c r="AC62" s="268"/>
      <c r="AD62" s="268"/>
      <c r="AE62" s="268"/>
    </row>
    <row r="63" spans="1:31" ht="24.75" customHeight="1">
      <c r="A63" s="268" t="s">
        <v>5398</v>
      </c>
      <c r="B63" s="268"/>
      <c r="C63" s="268"/>
      <c r="D63" s="268"/>
      <c r="E63" s="268"/>
      <c r="F63" s="268"/>
      <c r="G63" s="268"/>
      <c r="H63" s="268"/>
      <c r="I63" s="268"/>
      <c r="J63" s="268"/>
      <c r="K63" s="268"/>
      <c r="L63" s="309"/>
      <c r="M63" s="268"/>
      <c r="N63" s="268"/>
      <c r="O63" s="310"/>
      <c r="P63" s="268"/>
      <c r="Q63" s="309"/>
      <c r="R63" s="268"/>
      <c r="S63" s="313"/>
      <c r="T63" s="313"/>
      <c r="U63" s="248"/>
      <c r="V63" s="253"/>
      <c r="W63" s="254"/>
      <c r="X63" s="248"/>
      <c r="Y63" s="248"/>
      <c r="Z63" s="248"/>
      <c r="AA63" s="268"/>
      <c r="AB63" s="268"/>
      <c r="AC63" s="268"/>
      <c r="AD63" s="268"/>
      <c r="AE63" s="268"/>
    </row>
    <row r="64" spans="1:31" ht="24.75" customHeight="1">
      <c r="A64" s="268" t="s">
        <v>5398</v>
      </c>
      <c r="B64" s="268"/>
      <c r="C64" s="268"/>
      <c r="D64" s="268"/>
      <c r="E64" s="268"/>
      <c r="F64" s="268"/>
      <c r="G64" s="268"/>
      <c r="H64" s="268"/>
      <c r="I64" s="268"/>
      <c r="J64" s="268"/>
      <c r="K64" s="268"/>
      <c r="L64" s="309"/>
      <c r="M64" s="268"/>
      <c r="N64" s="268"/>
      <c r="O64" s="310"/>
      <c r="P64" s="268"/>
      <c r="Q64" s="309"/>
      <c r="R64" s="268"/>
      <c r="S64" s="313"/>
      <c r="T64" s="313"/>
      <c r="U64" s="268"/>
      <c r="V64" s="309"/>
      <c r="W64" s="310"/>
      <c r="X64" s="268"/>
      <c r="Y64" s="268"/>
      <c r="Z64" s="268"/>
      <c r="AA64" s="268"/>
      <c r="AB64" s="268"/>
      <c r="AC64" s="268"/>
      <c r="AD64" s="268"/>
      <c r="AE64" s="268"/>
    </row>
    <row r="65" spans="1:31" ht="24.75" customHeight="1">
      <c r="A65" s="268" t="s">
        <v>5399</v>
      </c>
      <c r="B65" s="268"/>
      <c r="C65" s="268"/>
      <c r="D65" s="268"/>
      <c r="E65" s="268"/>
      <c r="F65" s="268"/>
      <c r="G65" s="268"/>
      <c r="H65" s="268"/>
      <c r="I65" s="268"/>
      <c r="J65" s="268"/>
      <c r="K65" s="268"/>
      <c r="L65" s="309"/>
      <c r="M65" s="268"/>
      <c r="N65" s="268"/>
      <c r="O65" s="310"/>
      <c r="P65" s="268"/>
      <c r="Q65" s="309"/>
      <c r="R65" s="268"/>
      <c r="S65" s="313"/>
      <c r="T65" s="313"/>
      <c r="U65" s="268"/>
      <c r="V65" s="309"/>
      <c r="W65" s="310"/>
      <c r="X65" s="268"/>
      <c r="Y65" s="268"/>
      <c r="Z65" s="268"/>
      <c r="AA65" s="268"/>
      <c r="AB65" s="268"/>
      <c r="AC65" s="268"/>
      <c r="AD65" s="268"/>
      <c r="AE65" s="268"/>
    </row>
    <row r="66" spans="1:31" ht="24.75" customHeight="1">
      <c r="A66" s="268" t="s">
        <v>5399</v>
      </c>
      <c r="B66" s="268"/>
      <c r="C66" s="268"/>
      <c r="D66" s="268"/>
      <c r="E66" s="268"/>
      <c r="F66" s="268"/>
      <c r="G66" s="268"/>
      <c r="H66" s="268"/>
      <c r="I66" s="268"/>
      <c r="J66" s="268"/>
      <c r="K66" s="268"/>
      <c r="L66" s="309"/>
      <c r="M66" s="268"/>
      <c r="N66" s="268"/>
      <c r="O66" s="310"/>
      <c r="P66" s="268"/>
      <c r="Q66" s="309"/>
      <c r="R66" s="268"/>
      <c r="S66" s="313"/>
      <c r="T66" s="313"/>
      <c r="U66" s="268"/>
      <c r="V66" s="309"/>
      <c r="W66" s="310"/>
      <c r="X66" s="268"/>
      <c r="Y66" s="268"/>
      <c r="Z66" s="268"/>
      <c r="AA66" s="268"/>
      <c r="AB66" s="268"/>
      <c r="AC66" s="268"/>
      <c r="AD66" s="268"/>
      <c r="AE66" s="268"/>
    </row>
    <row r="67" spans="1:31" ht="24.75" customHeight="1">
      <c r="A67" s="268" t="s">
        <v>5399</v>
      </c>
      <c r="B67" s="268"/>
      <c r="C67" s="268"/>
      <c r="D67" s="268"/>
      <c r="E67" s="268"/>
      <c r="F67" s="268"/>
      <c r="G67" s="268"/>
      <c r="H67" s="268"/>
      <c r="I67" s="268"/>
      <c r="J67" s="268"/>
      <c r="K67" s="268"/>
      <c r="L67" s="309"/>
      <c r="M67" s="268"/>
      <c r="N67" s="268"/>
      <c r="O67" s="310"/>
      <c r="P67" s="268"/>
      <c r="Q67" s="309"/>
      <c r="R67" s="268"/>
      <c r="S67" s="313"/>
      <c r="T67" s="313"/>
      <c r="U67" s="268"/>
      <c r="V67" s="309"/>
      <c r="W67" s="310"/>
      <c r="X67" s="268"/>
      <c r="Y67" s="268"/>
      <c r="Z67" s="268"/>
      <c r="AA67" s="268"/>
      <c r="AB67" s="268"/>
      <c r="AC67" s="268"/>
      <c r="AD67" s="268"/>
      <c r="AE67" s="268"/>
    </row>
    <row r="68" spans="1:31" ht="24.75" customHeight="1">
      <c r="A68" s="268"/>
      <c r="B68" s="268"/>
      <c r="C68" s="268"/>
      <c r="D68" s="268"/>
      <c r="E68" s="268"/>
      <c r="F68" s="268"/>
      <c r="G68" s="268"/>
      <c r="H68" s="268"/>
      <c r="I68" s="268"/>
      <c r="J68" s="268"/>
      <c r="K68" s="268"/>
      <c r="L68" s="309"/>
      <c r="M68" s="268"/>
      <c r="N68" s="268"/>
      <c r="O68" s="310"/>
      <c r="P68" s="268"/>
      <c r="Q68" s="309"/>
      <c r="R68" s="268"/>
      <c r="S68" s="313"/>
      <c r="T68" s="313"/>
      <c r="U68" s="268"/>
      <c r="V68" s="309"/>
      <c r="W68" s="310"/>
      <c r="X68" s="268"/>
      <c r="Y68" s="268"/>
      <c r="Z68" s="268"/>
      <c r="AA68" s="268"/>
      <c r="AB68" s="268"/>
      <c r="AC68" s="268"/>
      <c r="AD68" s="268"/>
      <c r="AE68" s="268"/>
    </row>
    <row r="69" spans="1:31" ht="24.75" customHeight="1">
      <c r="A69" s="268"/>
      <c r="B69" s="268"/>
      <c r="C69" s="268"/>
      <c r="D69" s="268"/>
      <c r="E69" s="268"/>
      <c r="F69" s="268"/>
      <c r="G69" s="268"/>
      <c r="H69" s="268"/>
      <c r="I69" s="268"/>
      <c r="J69" s="268"/>
      <c r="K69" s="268"/>
      <c r="L69" s="309"/>
      <c r="M69" s="268"/>
      <c r="N69" s="268"/>
      <c r="O69" s="310"/>
      <c r="P69" s="268"/>
      <c r="Q69" s="309"/>
      <c r="R69" s="268"/>
      <c r="S69" s="313"/>
      <c r="T69" s="313"/>
      <c r="U69" s="268"/>
      <c r="V69" s="309"/>
      <c r="W69" s="310"/>
      <c r="X69" s="268"/>
      <c r="Y69" s="268"/>
      <c r="Z69" s="268"/>
      <c r="AA69" s="268"/>
      <c r="AB69" s="268"/>
      <c r="AC69" s="268"/>
      <c r="AD69" s="268"/>
      <c r="AE69" s="268"/>
    </row>
    <row r="70" spans="1:31" ht="24.75" customHeight="1">
      <c r="A70" s="268"/>
      <c r="B70" s="268"/>
      <c r="C70" s="268"/>
      <c r="D70" s="268"/>
      <c r="E70" s="268"/>
      <c r="F70" s="268"/>
      <c r="G70" s="268"/>
      <c r="H70" s="268"/>
      <c r="I70" s="268"/>
      <c r="J70" s="268"/>
      <c r="K70" s="268"/>
      <c r="L70" s="309"/>
      <c r="M70" s="268"/>
      <c r="N70" s="268"/>
      <c r="O70" s="310"/>
      <c r="P70" s="268"/>
      <c r="Q70" s="309"/>
      <c r="R70" s="268"/>
      <c r="S70" s="313"/>
      <c r="T70" s="313"/>
      <c r="U70" s="268"/>
      <c r="V70" s="309"/>
      <c r="W70" s="310"/>
      <c r="X70" s="268"/>
      <c r="Y70" s="268"/>
      <c r="Z70" s="268"/>
      <c r="AA70" s="268"/>
      <c r="AB70" s="268"/>
      <c r="AC70" s="268"/>
      <c r="AD70" s="268"/>
      <c r="AE70" s="268"/>
    </row>
    <row r="71" spans="1:31" ht="24.75" customHeight="1">
      <c r="A71" s="268"/>
      <c r="B71" s="268"/>
      <c r="C71" s="268"/>
      <c r="D71" s="268"/>
      <c r="E71" s="268"/>
      <c r="F71" s="268"/>
      <c r="G71" s="268"/>
      <c r="H71" s="268"/>
      <c r="I71" s="268"/>
      <c r="J71" s="268"/>
      <c r="K71" s="268"/>
      <c r="L71" s="309"/>
      <c r="M71" s="268"/>
      <c r="N71" s="268"/>
      <c r="O71" s="310"/>
      <c r="P71" s="268"/>
      <c r="Q71" s="309"/>
      <c r="R71" s="268"/>
      <c r="S71" s="313"/>
      <c r="T71" s="313"/>
      <c r="U71" s="248"/>
      <c r="V71" s="253"/>
      <c r="W71" s="254"/>
      <c r="X71" s="248"/>
      <c r="Y71" s="248"/>
      <c r="Z71" s="248"/>
      <c r="AA71" s="268"/>
      <c r="AB71" s="268"/>
      <c r="AC71" s="268"/>
      <c r="AD71" s="268"/>
      <c r="AE71" s="268"/>
    </row>
    <row r="72" spans="1:31" ht="24.75" customHeight="1">
      <c r="A72" s="268"/>
      <c r="B72" s="268"/>
      <c r="C72" s="268"/>
      <c r="D72" s="268"/>
      <c r="E72" s="268"/>
      <c r="F72" s="268"/>
      <c r="G72" s="268"/>
      <c r="H72" s="268"/>
      <c r="I72" s="268"/>
      <c r="J72" s="268"/>
      <c r="K72" s="268"/>
      <c r="L72" s="309"/>
      <c r="M72" s="268"/>
      <c r="N72" s="268"/>
      <c r="O72" s="310"/>
      <c r="P72" s="268"/>
      <c r="Q72" s="309"/>
      <c r="R72" s="268"/>
      <c r="S72" s="313"/>
      <c r="T72" s="313"/>
      <c r="U72" s="268"/>
      <c r="V72" s="309"/>
      <c r="W72" s="310"/>
      <c r="X72" s="268"/>
      <c r="Y72" s="268"/>
      <c r="Z72" s="268"/>
      <c r="AA72" s="268"/>
      <c r="AB72" s="268"/>
      <c r="AC72" s="268"/>
      <c r="AD72" s="268"/>
      <c r="AE72" s="268"/>
    </row>
    <row r="73" spans="1:31" ht="24.75" customHeight="1">
      <c r="A73" s="268"/>
      <c r="B73" s="268"/>
      <c r="C73" s="268"/>
      <c r="D73" s="268"/>
      <c r="E73" s="268"/>
      <c r="F73" s="268"/>
      <c r="G73" s="268"/>
      <c r="H73" s="268"/>
      <c r="I73" s="268"/>
      <c r="J73" s="268"/>
      <c r="K73" s="268"/>
      <c r="L73" s="309"/>
      <c r="M73" s="268"/>
      <c r="N73" s="268"/>
      <c r="O73" s="310"/>
      <c r="P73" s="268"/>
      <c r="Q73" s="309"/>
      <c r="R73" s="268"/>
      <c r="S73" s="313"/>
      <c r="T73" s="313"/>
      <c r="U73" s="268"/>
      <c r="V73" s="309"/>
      <c r="W73" s="310"/>
      <c r="X73" s="268"/>
      <c r="Y73" s="268"/>
      <c r="Z73" s="268"/>
      <c r="AA73" s="268"/>
      <c r="AB73" s="268"/>
      <c r="AC73" s="268"/>
      <c r="AD73" s="268"/>
      <c r="AE73" s="268"/>
    </row>
    <row r="74" spans="1:31" ht="24.75" customHeight="1">
      <c r="A74" s="268"/>
      <c r="B74" s="268"/>
      <c r="C74" s="268"/>
      <c r="D74" s="268"/>
      <c r="E74" s="268"/>
      <c r="F74" s="268"/>
      <c r="G74" s="268"/>
      <c r="H74" s="268"/>
      <c r="I74" s="268"/>
      <c r="J74" s="268"/>
      <c r="K74" s="268"/>
      <c r="L74" s="309"/>
      <c r="M74" s="268"/>
      <c r="N74" s="268"/>
      <c r="O74" s="310"/>
      <c r="P74" s="268"/>
      <c r="Q74" s="309"/>
      <c r="R74" s="268"/>
      <c r="S74" s="313"/>
      <c r="T74" s="313"/>
      <c r="U74" s="268"/>
      <c r="V74" s="309"/>
      <c r="W74" s="310"/>
      <c r="X74" s="268"/>
      <c r="Y74" s="268"/>
      <c r="Z74" s="268"/>
      <c r="AA74" s="268"/>
      <c r="AB74" s="268"/>
      <c r="AC74" s="268"/>
      <c r="AD74" s="268"/>
      <c r="AE74" s="268"/>
    </row>
    <row r="75" spans="1:31" ht="24.75" customHeight="1">
      <c r="A75" s="268"/>
      <c r="B75" s="268"/>
      <c r="C75" s="268"/>
      <c r="D75" s="268"/>
      <c r="E75" s="268"/>
      <c r="F75" s="268"/>
      <c r="G75" s="268"/>
      <c r="H75" s="268"/>
      <c r="I75" s="268"/>
      <c r="J75" s="268"/>
      <c r="K75" s="268"/>
      <c r="L75" s="309"/>
      <c r="M75" s="268"/>
      <c r="N75" s="268"/>
      <c r="O75" s="310"/>
      <c r="P75" s="268"/>
      <c r="Q75" s="309"/>
      <c r="R75" s="268"/>
      <c r="S75" s="313"/>
      <c r="T75" s="313"/>
      <c r="U75" s="268"/>
      <c r="V75" s="309"/>
      <c r="W75" s="310"/>
      <c r="X75" s="268"/>
      <c r="Y75" s="268"/>
      <c r="Z75" s="268"/>
      <c r="AA75" s="268"/>
      <c r="AB75" s="268"/>
      <c r="AC75" s="268"/>
      <c r="AD75" s="268"/>
      <c r="AE75" s="268"/>
    </row>
    <row r="76" spans="1:31" ht="24.75" customHeight="1">
      <c r="A76" s="268"/>
      <c r="B76" s="268"/>
      <c r="C76" s="268"/>
      <c r="D76" s="268"/>
      <c r="E76" s="268"/>
      <c r="F76" s="268"/>
      <c r="G76" s="268"/>
      <c r="H76" s="268"/>
      <c r="I76" s="268"/>
      <c r="J76" s="268"/>
      <c r="K76" s="268"/>
      <c r="L76" s="309"/>
      <c r="M76" s="268"/>
      <c r="N76" s="268"/>
      <c r="O76" s="310"/>
      <c r="P76" s="268"/>
      <c r="Q76" s="309"/>
      <c r="R76" s="268"/>
      <c r="S76" s="313"/>
      <c r="T76" s="313"/>
      <c r="U76" s="268"/>
      <c r="V76" s="309"/>
      <c r="W76" s="310"/>
      <c r="X76" s="268"/>
      <c r="Y76" s="268"/>
      <c r="Z76" s="268"/>
      <c r="AA76" s="268"/>
      <c r="AB76" s="268"/>
      <c r="AC76" s="268"/>
      <c r="AD76" s="268"/>
      <c r="AE76" s="268"/>
    </row>
    <row r="77" spans="1:31" ht="24.75" customHeight="1">
      <c r="A77" s="268"/>
      <c r="B77" s="268"/>
      <c r="C77" s="268"/>
      <c r="D77" s="268"/>
      <c r="E77" s="268"/>
      <c r="F77" s="268"/>
      <c r="G77" s="268"/>
      <c r="H77" s="268"/>
      <c r="I77" s="268"/>
      <c r="J77" s="268"/>
      <c r="K77" s="268"/>
      <c r="L77" s="309"/>
      <c r="M77" s="268"/>
      <c r="N77" s="268"/>
      <c r="O77" s="310"/>
      <c r="P77" s="268"/>
      <c r="Q77" s="309"/>
      <c r="R77" s="268"/>
      <c r="S77" s="313"/>
      <c r="T77" s="313"/>
      <c r="U77" s="268"/>
      <c r="V77" s="309"/>
      <c r="W77" s="310"/>
      <c r="X77" s="268"/>
      <c r="Y77" s="268"/>
      <c r="Z77" s="268"/>
      <c r="AA77" s="268"/>
      <c r="AB77" s="268"/>
      <c r="AC77" s="268"/>
      <c r="AD77" s="268"/>
      <c r="AE77" s="268"/>
    </row>
    <row r="78" spans="1:31" ht="24.75" customHeight="1">
      <c r="A78" s="268"/>
      <c r="B78" s="268"/>
      <c r="C78" s="268"/>
      <c r="D78" s="268"/>
      <c r="E78" s="268"/>
      <c r="F78" s="268"/>
      <c r="G78" s="268"/>
      <c r="H78" s="268"/>
      <c r="I78" s="268"/>
      <c r="J78" s="268"/>
      <c r="K78" s="268"/>
      <c r="L78" s="309"/>
      <c r="M78" s="268"/>
      <c r="N78" s="268"/>
      <c r="O78" s="310"/>
      <c r="P78" s="268"/>
      <c r="Q78" s="309"/>
      <c r="R78" s="268"/>
      <c r="S78" s="313"/>
      <c r="T78" s="313"/>
      <c r="U78" s="268"/>
      <c r="V78" s="309"/>
      <c r="W78" s="310"/>
      <c r="X78" s="268"/>
      <c r="Y78" s="268"/>
      <c r="Z78" s="268"/>
      <c r="AA78" s="268"/>
      <c r="AB78" s="268"/>
      <c r="AC78" s="268"/>
      <c r="AD78" s="268"/>
      <c r="AE78" s="268"/>
    </row>
    <row r="79" spans="1:31" ht="24.75" customHeight="1">
      <c r="A79" s="268"/>
      <c r="B79" s="268"/>
      <c r="C79" s="268"/>
      <c r="D79" s="268"/>
      <c r="E79" s="268"/>
      <c r="F79" s="268"/>
      <c r="G79" s="268"/>
      <c r="H79" s="268"/>
      <c r="I79" s="268"/>
      <c r="J79" s="268"/>
      <c r="K79" s="268"/>
      <c r="L79" s="309"/>
      <c r="M79" s="268"/>
      <c r="N79" s="268"/>
      <c r="O79" s="310"/>
      <c r="P79" s="268"/>
      <c r="Q79" s="309"/>
      <c r="R79" s="268"/>
      <c r="S79" s="313"/>
      <c r="T79" s="313"/>
      <c r="U79" s="268"/>
      <c r="V79" s="309"/>
      <c r="W79" s="310"/>
      <c r="X79" s="268"/>
      <c r="Y79" s="268"/>
      <c r="Z79" s="268"/>
      <c r="AA79" s="268"/>
      <c r="AB79" s="268"/>
      <c r="AC79" s="268"/>
      <c r="AD79" s="268"/>
      <c r="AE79" s="268"/>
    </row>
    <row r="80" spans="1:31" ht="24.75" customHeight="1">
      <c r="A80" s="268"/>
      <c r="B80" s="268"/>
      <c r="C80" s="268"/>
      <c r="D80" s="268"/>
      <c r="E80" s="268"/>
      <c r="F80" s="268"/>
      <c r="G80" s="268"/>
      <c r="H80" s="268"/>
      <c r="I80" s="268"/>
      <c r="J80" s="268"/>
      <c r="K80" s="268"/>
      <c r="L80" s="309"/>
      <c r="M80" s="268"/>
      <c r="N80" s="268"/>
      <c r="O80" s="310"/>
      <c r="P80" s="268"/>
      <c r="Q80" s="309"/>
      <c r="R80" s="268"/>
      <c r="S80" s="313"/>
      <c r="T80" s="313"/>
      <c r="U80" s="248"/>
      <c r="V80" s="253"/>
      <c r="W80" s="254"/>
      <c r="X80" s="248"/>
      <c r="Y80" s="248"/>
      <c r="Z80" s="248"/>
      <c r="AA80" s="268"/>
      <c r="AB80" s="268"/>
      <c r="AC80" s="268"/>
      <c r="AD80" s="268"/>
      <c r="AE80" s="268"/>
    </row>
    <row r="81" spans="1:31" ht="24.75" customHeight="1">
      <c r="A81" s="268"/>
      <c r="B81" s="268"/>
      <c r="C81" s="268"/>
      <c r="D81" s="268"/>
      <c r="E81" s="268"/>
      <c r="F81" s="268"/>
      <c r="G81" s="268"/>
      <c r="H81" s="268"/>
      <c r="I81" s="268"/>
      <c r="J81" s="268"/>
      <c r="K81" s="268"/>
      <c r="L81" s="309"/>
      <c r="M81" s="268"/>
      <c r="N81" s="268"/>
      <c r="O81" s="310"/>
      <c r="P81" s="268"/>
      <c r="Q81" s="309"/>
      <c r="R81" s="268"/>
      <c r="S81" s="313"/>
      <c r="T81" s="313"/>
      <c r="U81" s="268"/>
      <c r="V81" s="309"/>
      <c r="W81" s="310"/>
      <c r="X81" s="268"/>
      <c r="Y81" s="268"/>
      <c r="Z81" s="268"/>
      <c r="AA81" s="268"/>
      <c r="AB81" s="268"/>
      <c r="AC81" s="268"/>
      <c r="AD81" s="268"/>
      <c r="AE81" s="268"/>
    </row>
    <row r="82" spans="1:31" ht="24.75" customHeight="1">
      <c r="A82" s="268"/>
      <c r="B82" s="268"/>
      <c r="C82" s="268"/>
      <c r="D82" s="268"/>
      <c r="E82" s="268"/>
      <c r="F82" s="268"/>
      <c r="G82" s="268"/>
      <c r="H82" s="268"/>
      <c r="I82" s="268"/>
      <c r="J82" s="268"/>
      <c r="K82" s="268"/>
      <c r="L82" s="309"/>
      <c r="M82" s="268"/>
      <c r="N82" s="268"/>
      <c r="O82" s="310"/>
      <c r="P82" s="268"/>
      <c r="Q82" s="309"/>
      <c r="R82" s="268"/>
      <c r="S82" s="313"/>
      <c r="T82" s="313"/>
      <c r="U82" s="248"/>
      <c r="V82" s="253"/>
      <c r="W82" s="254"/>
      <c r="X82" s="248"/>
      <c r="Y82" s="248"/>
      <c r="Z82" s="248"/>
      <c r="AA82" s="268"/>
      <c r="AB82" s="268"/>
      <c r="AC82" s="268"/>
      <c r="AD82" s="268"/>
      <c r="AE82" s="268"/>
    </row>
    <row r="83" spans="1:31" ht="24.75" customHeight="1">
      <c r="A83" s="268"/>
      <c r="B83" s="268"/>
      <c r="C83" s="268"/>
      <c r="D83" s="268"/>
      <c r="E83" s="268"/>
      <c r="F83" s="268"/>
      <c r="G83" s="268"/>
      <c r="H83" s="268"/>
      <c r="I83" s="268"/>
      <c r="J83" s="268"/>
      <c r="K83" s="268"/>
      <c r="L83" s="309"/>
      <c r="M83" s="268"/>
      <c r="N83" s="268"/>
      <c r="O83" s="310"/>
      <c r="P83" s="268"/>
      <c r="Q83" s="309"/>
      <c r="R83" s="268"/>
      <c r="S83" s="313"/>
      <c r="T83" s="313"/>
      <c r="U83" s="268"/>
      <c r="V83" s="309"/>
      <c r="W83" s="310"/>
      <c r="X83" s="268"/>
      <c r="Y83" s="268"/>
      <c r="Z83" s="268"/>
      <c r="AA83" s="268"/>
      <c r="AB83" s="268"/>
      <c r="AC83" s="268"/>
      <c r="AD83" s="268"/>
      <c r="AE83" s="268"/>
    </row>
    <row r="84" spans="1:31" ht="24.75" customHeight="1">
      <c r="A84" s="268"/>
      <c r="B84" s="268"/>
      <c r="C84" s="268"/>
      <c r="D84" s="268"/>
      <c r="E84" s="268"/>
      <c r="F84" s="268"/>
      <c r="G84" s="268"/>
      <c r="H84" s="268"/>
      <c r="I84" s="268"/>
      <c r="J84" s="268"/>
      <c r="K84" s="268"/>
      <c r="L84" s="309"/>
      <c r="M84" s="268"/>
      <c r="N84" s="268"/>
      <c r="O84" s="310"/>
      <c r="P84" s="268"/>
      <c r="Q84" s="309"/>
      <c r="R84" s="268"/>
      <c r="S84" s="313"/>
      <c r="T84" s="313"/>
      <c r="U84" s="268"/>
      <c r="V84" s="309"/>
      <c r="W84" s="310"/>
      <c r="X84" s="268"/>
      <c r="Y84" s="268"/>
      <c r="Z84" s="268"/>
      <c r="AA84" s="268"/>
      <c r="AB84" s="268"/>
      <c r="AC84" s="268"/>
      <c r="AD84" s="268"/>
      <c r="AE84" s="268"/>
    </row>
    <row r="85" spans="1:31" ht="24.75" customHeight="1">
      <c r="A85" s="268"/>
      <c r="B85" s="268"/>
      <c r="C85" s="268"/>
      <c r="D85" s="268"/>
      <c r="E85" s="268"/>
      <c r="F85" s="268"/>
      <c r="G85" s="268"/>
      <c r="H85" s="268"/>
      <c r="I85" s="268"/>
      <c r="J85" s="268"/>
      <c r="K85" s="268"/>
      <c r="L85" s="309"/>
      <c r="M85" s="268"/>
      <c r="N85" s="268"/>
      <c r="O85" s="310"/>
      <c r="P85" s="268"/>
      <c r="Q85" s="309"/>
      <c r="R85" s="268"/>
      <c r="S85" s="263"/>
      <c r="T85" s="313"/>
      <c r="U85" s="313"/>
      <c r="V85" s="263"/>
      <c r="W85" s="263"/>
      <c r="X85" s="263"/>
      <c r="Y85" s="263"/>
      <c r="Z85" s="263"/>
      <c r="AA85" s="263"/>
      <c r="AB85" s="263"/>
      <c r="AC85" s="263"/>
      <c r="AD85" s="263"/>
      <c r="AE85" s="263"/>
    </row>
    <row r="86" spans="1:31" ht="24.75" customHeight="1">
      <c r="A86" s="268"/>
      <c r="B86" s="268"/>
      <c r="C86" s="268"/>
      <c r="D86" s="268"/>
      <c r="E86" s="268"/>
      <c r="F86" s="268"/>
      <c r="G86" s="268"/>
      <c r="H86" s="268"/>
      <c r="I86" s="268"/>
      <c r="J86" s="268"/>
      <c r="K86" s="268"/>
      <c r="L86" s="309"/>
      <c r="M86" s="268"/>
      <c r="N86" s="268"/>
      <c r="O86" s="310"/>
      <c r="P86" s="268"/>
      <c r="Q86" s="309"/>
      <c r="R86" s="268"/>
      <c r="S86" s="263"/>
      <c r="T86" s="313"/>
      <c r="U86" s="313"/>
      <c r="V86" s="263"/>
      <c r="W86" s="263"/>
      <c r="X86" s="263"/>
      <c r="Y86" s="263"/>
      <c r="Z86" s="263"/>
      <c r="AA86" s="263"/>
      <c r="AB86" s="263"/>
      <c r="AC86" s="263"/>
      <c r="AD86" s="263"/>
      <c r="AE86" s="263"/>
    </row>
    <row r="87" spans="1:31" ht="24.75" customHeight="1">
      <c r="A87" s="268"/>
      <c r="B87" s="268"/>
      <c r="C87" s="268"/>
      <c r="D87" s="268"/>
      <c r="E87" s="268"/>
      <c r="F87" s="268"/>
      <c r="G87" s="268"/>
      <c r="H87" s="268"/>
      <c r="I87" s="268"/>
      <c r="J87" s="268"/>
      <c r="K87" s="268"/>
      <c r="L87" s="309"/>
      <c r="M87" s="268"/>
      <c r="N87" s="268"/>
      <c r="O87" s="310"/>
      <c r="P87" s="268"/>
      <c r="Q87" s="309"/>
      <c r="R87" s="268"/>
      <c r="S87" s="263"/>
      <c r="T87" s="263"/>
      <c r="U87" s="263"/>
      <c r="V87" s="263"/>
      <c r="W87" s="263"/>
      <c r="X87" s="263"/>
      <c r="Y87" s="263"/>
      <c r="Z87" s="263"/>
      <c r="AA87" s="263"/>
      <c r="AB87" s="263"/>
      <c r="AC87" s="263"/>
      <c r="AD87" s="263"/>
      <c r="AE87" s="263"/>
    </row>
    <row r="88" spans="1:31" ht="24.75" customHeight="1">
      <c r="A88" s="268"/>
      <c r="B88" s="268"/>
      <c r="C88" s="268"/>
      <c r="D88" s="268"/>
      <c r="E88" s="268"/>
      <c r="F88" s="268"/>
      <c r="G88" s="268"/>
      <c r="H88" s="268"/>
      <c r="I88" s="268"/>
      <c r="J88" s="268"/>
      <c r="K88" s="268"/>
      <c r="L88" s="309"/>
      <c r="M88" s="268"/>
      <c r="N88" s="268"/>
      <c r="O88" s="310"/>
      <c r="P88" s="268"/>
      <c r="Q88" s="309"/>
      <c r="R88" s="268"/>
      <c r="S88" s="263"/>
      <c r="T88" s="263"/>
      <c r="U88" s="263"/>
      <c r="V88" s="263"/>
      <c r="W88" s="263"/>
      <c r="X88" s="263"/>
      <c r="Y88" s="263"/>
      <c r="Z88" s="263"/>
      <c r="AA88" s="263"/>
      <c r="AB88" s="263"/>
      <c r="AC88" s="263"/>
      <c r="AD88" s="263"/>
      <c r="AE88" s="263"/>
    </row>
    <row r="89" spans="1:31" ht="24.75" customHeight="1">
      <c r="A89" s="268"/>
      <c r="B89" s="268"/>
      <c r="C89" s="268"/>
      <c r="D89" s="268"/>
      <c r="E89" s="268"/>
      <c r="F89" s="268"/>
      <c r="G89" s="268"/>
      <c r="H89" s="268"/>
      <c r="I89" s="268"/>
      <c r="J89" s="268"/>
      <c r="K89" s="268"/>
      <c r="L89" s="309"/>
      <c r="M89" s="268"/>
      <c r="N89" s="268"/>
      <c r="O89" s="310"/>
      <c r="P89" s="268"/>
      <c r="Q89" s="309"/>
      <c r="R89" s="268"/>
      <c r="S89" s="263"/>
      <c r="T89" s="313"/>
      <c r="U89" s="313"/>
      <c r="V89" s="263"/>
      <c r="W89" s="263"/>
      <c r="X89" s="263"/>
      <c r="Y89" s="263"/>
      <c r="Z89" s="263"/>
      <c r="AA89" s="263"/>
      <c r="AB89" s="263"/>
      <c r="AC89" s="263"/>
      <c r="AD89" s="263"/>
      <c r="AE89" s="263"/>
    </row>
    <row r="90" spans="1:31" ht="24.75" customHeight="1">
      <c r="A90" s="268"/>
      <c r="B90" s="268"/>
      <c r="C90" s="268"/>
      <c r="D90" s="268"/>
      <c r="E90" s="268"/>
      <c r="F90" s="268"/>
      <c r="G90" s="268"/>
      <c r="H90" s="268"/>
      <c r="I90" s="268"/>
      <c r="J90" s="268"/>
      <c r="K90" s="268"/>
      <c r="L90" s="309"/>
      <c r="M90" s="268"/>
      <c r="N90" s="268"/>
      <c r="O90" s="310"/>
      <c r="P90" s="268"/>
      <c r="Q90" s="309"/>
      <c r="R90" s="268"/>
      <c r="S90" s="313"/>
      <c r="T90" s="313"/>
      <c r="U90" s="230"/>
      <c r="V90" s="256"/>
      <c r="W90" s="257"/>
      <c r="X90" s="230"/>
      <c r="Y90" s="230"/>
      <c r="Z90" s="230"/>
      <c r="AA90" s="268"/>
      <c r="AB90" s="268"/>
      <c r="AC90" s="268"/>
      <c r="AD90" s="268"/>
      <c r="AE90" s="268"/>
    </row>
    <row r="91" spans="1:31" ht="24.75" customHeight="1">
      <c r="A91" s="268"/>
      <c r="B91" s="268"/>
      <c r="C91" s="268"/>
      <c r="D91" s="268"/>
      <c r="E91" s="268"/>
      <c r="F91" s="268"/>
      <c r="G91" s="268"/>
      <c r="H91" s="268"/>
      <c r="I91" s="268"/>
      <c r="J91" s="268"/>
      <c r="K91" s="268"/>
      <c r="L91" s="309"/>
      <c r="M91" s="268"/>
      <c r="N91" s="268"/>
      <c r="O91" s="310"/>
      <c r="P91" s="268"/>
      <c r="Q91" s="309"/>
      <c r="R91" s="268"/>
      <c r="S91" s="313"/>
      <c r="T91" s="313"/>
      <c r="U91" s="268"/>
      <c r="V91" s="309"/>
      <c r="W91" s="310"/>
      <c r="X91" s="268"/>
      <c r="Y91" s="268"/>
      <c r="Z91" s="268"/>
      <c r="AA91" s="268"/>
      <c r="AB91" s="268"/>
      <c r="AC91" s="268"/>
      <c r="AD91" s="268"/>
      <c r="AE91" s="268"/>
    </row>
    <row r="92" spans="1:31" ht="24.75" customHeight="1">
      <c r="A92" s="268"/>
      <c r="B92" s="268"/>
      <c r="C92" s="268"/>
      <c r="D92" s="268"/>
      <c r="E92" s="268"/>
      <c r="F92" s="268"/>
      <c r="G92" s="268"/>
      <c r="H92" s="268"/>
      <c r="I92" s="268"/>
      <c r="J92" s="268"/>
      <c r="K92" s="268"/>
      <c r="L92" s="309"/>
      <c r="M92" s="268"/>
      <c r="N92" s="268"/>
      <c r="O92" s="310"/>
      <c r="P92" s="268"/>
      <c r="Q92" s="309"/>
      <c r="R92" s="268"/>
      <c r="S92" s="313"/>
      <c r="T92" s="313"/>
      <c r="U92" s="230"/>
      <c r="V92" s="256"/>
      <c r="W92" s="257"/>
      <c r="X92" s="230"/>
      <c r="Y92" s="230"/>
      <c r="Z92" s="230"/>
      <c r="AA92" s="268"/>
      <c r="AB92" s="268"/>
      <c r="AC92" s="268"/>
      <c r="AD92" s="268"/>
      <c r="AE92" s="268"/>
    </row>
    <row r="93" spans="1:31" ht="24.75" customHeight="1">
      <c r="A93" s="268"/>
      <c r="B93" s="268"/>
      <c r="C93" s="268"/>
      <c r="D93" s="268"/>
      <c r="E93" s="268"/>
      <c r="F93" s="268"/>
      <c r="G93" s="268"/>
      <c r="H93" s="268"/>
      <c r="I93" s="268"/>
      <c r="J93" s="268"/>
      <c r="K93" s="268"/>
      <c r="L93" s="309"/>
      <c r="M93" s="268"/>
      <c r="N93" s="268"/>
      <c r="O93" s="310"/>
      <c r="P93" s="268"/>
      <c r="Q93" s="309"/>
      <c r="R93" s="268"/>
      <c r="S93" s="313"/>
      <c r="T93" s="313"/>
      <c r="U93" s="248"/>
      <c r="V93" s="253"/>
      <c r="W93" s="254"/>
      <c r="X93" s="248"/>
      <c r="Y93" s="248"/>
      <c r="Z93" s="248"/>
      <c r="AA93" s="268"/>
      <c r="AB93" s="268"/>
      <c r="AC93" s="268"/>
      <c r="AD93" s="268"/>
      <c r="AE93" s="268"/>
    </row>
    <row r="94" spans="1:31" ht="24.75" customHeight="1">
      <c r="A94" s="268"/>
      <c r="B94" s="268"/>
      <c r="C94" s="268"/>
      <c r="D94" s="268"/>
      <c r="E94" s="268"/>
      <c r="F94" s="268"/>
      <c r="G94" s="268"/>
      <c r="H94" s="268"/>
      <c r="I94" s="268"/>
      <c r="J94" s="268"/>
      <c r="K94" s="268"/>
      <c r="L94" s="309"/>
      <c r="M94" s="268"/>
      <c r="N94" s="268"/>
      <c r="O94" s="310"/>
      <c r="P94" s="268"/>
      <c r="Q94" s="309"/>
      <c r="R94" s="268"/>
      <c r="S94" s="313"/>
      <c r="T94" s="313"/>
      <c r="U94" s="230"/>
      <c r="V94" s="256"/>
      <c r="W94" s="257"/>
      <c r="X94" s="230"/>
      <c r="Y94" s="230"/>
      <c r="Z94" s="230"/>
      <c r="AA94" s="268"/>
      <c r="AB94" s="268"/>
      <c r="AC94" s="268"/>
      <c r="AD94" s="268"/>
      <c r="AE94" s="268"/>
    </row>
    <row r="95" spans="1:31" ht="24.75" customHeight="1">
      <c r="A95" s="268"/>
      <c r="B95" s="268"/>
      <c r="C95" s="268"/>
      <c r="D95" s="268"/>
      <c r="E95" s="268"/>
      <c r="F95" s="268"/>
      <c r="G95" s="268"/>
      <c r="H95" s="268"/>
      <c r="I95" s="268"/>
      <c r="J95" s="268"/>
      <c r="K95" s="268"/>
      <c r="L95" s="309"/>
      <c r="M95" s="268"/>
      <c r="N95" s="268"/>
      <c r="O95" s="310"/>
      <c r="P95" s="268"/>
      <c r="Q95" s="309"/>
      <c r="R95" s="268"/>
      <c r="S95" s="313"/>
      <c r="T95" s="313"/>
      <c r="U95" s="230"/>
      <c r="V95" s="256"/>
      <c r="W95" s="257"/>
      <c r="X95" s="230"/>
      <c r="Y95" s="230"/>
      <c r="Z95" s="230"/>
      <c r="AA95" s="268"/>
      <c r="AB95" s="268"/>
      <c r="AC95" s="268"/>
      <c r="AD95" s="268"/>
      <c r="AE95" s="268"/>
    </row>
    <row r="96" spans="1:31" ht="24.75" customHeight="1">
      <c r="A96" s="268"/>
      <c r="B96" s="268"/>
      <c r="C96" s="268"/>
      <c r="D96" s="268"/>
      <c r="E96" s="268"/>
      <c r="F96" s="268"/>
      <c r="G96" s="268"/>
      <c r="H96" s="268"/>
      <c r="I96" s="268"/>
      <c r="J96" s="268"/>
      <c r="K96" s="268"/>
      <c r="L96" s="309"/>
      <c r="M96" s="268"/>
      <c r="N96" s="268"/>
      <c r="O96" s="310"/>
      <c r="P96" s="268"/>
      <c r="Q96" s="309"/>
      <c r="R96" s="268"/>
      <c r="S96" s="313"/>
      <c r="T96" s="313"/>
      <c r="U96" s="230"/>
      <c r="V96" s="256"/>
      <c r="W96" s="257"/>
      <c r="X96" s="230"/>
      <c r="Y96" s="230"/>
      <c r="Z96" s="230"/>
      <c r="AA96" s="268"/>
      <c r="AB96" s="268"/>
      <c r="AC96" s="268"/>
      <c r="AD96" s="268"/>
      <c r="AE96" s="268"/>
    </row>
    <row r="97" spans="1:31" ht="24.75" customHeight="1">
      <c r="A97" s="268"/>
      <c r="B97" s="268"/>
      <c r="C97" s="268"/>
      <c r="D97" s="268"/>
      <c r="E97" s="268"/>
      <c r="F97" s="268"/>
      <c r="G97" s="268"/>
      <c r="H97" s="268"/>
      <c r="I97" s="268"/>
      <c r="J97" s="268"/>
      <c r="K97" s="268"/>
      <c r="L97" s="309"/>
      <c r="M97" s="268"/>
      <c r="N97" s="268"/>
      <c r="O97" s="310"/>
      <c r="P97" s="268"/>
      <c r="Q97" s="309"/>
      <c r="R97" s="268"/>
      <c r="S97" s="313"/>
      <c r="T97" s="313"/>
      <c r="U97" s="268"/>
      <c r="V97" s="309"/>
      <c r="W97" s="310"/>
      <c r="X97" s="268"/>
      <c r="Y97" s="268"/>
      <c r="Z97" s="268"/>
      <c r="AA97" s="268"/>
      <c r="AB97" s="268"/>
      <c r="AC97" s="268"/>
      <c r="AD97" s="268"/>
      <c r="AE97" s="268"/>
    </row>
    <row r="98" spans="1:31" ht="24.75" customHeight="1">
      <c r="A98" s="268"/>
      <c r="B98" s="268"/>
      <c r="C98" s="268"/>
      <c r="D98" s="268"/>
      <c r="E98" s="268"/>
      <c r="F98" s="268"/>
      <c r="G98" s="268"/>
      <c r="H98" s="268"/>
      <c r="I98" s="268"/>
      <c r="J98" s="268"/>
      <c r="K98" s="268"/>
      <c r="L98" s="309"/>
      <c r="M98" s="268"/>
      <c r="N98" s="268"/>
      <c r="O98" s="310"/>
      <c r="P98" s="268"/>
      <c r="Q98" s="309"/>
      <c r="R98" s="268"/>
      <c r="S98" s="313"/>
      <c r="T98" s="313"/>
      <c r="U98" s="230"/>
      <c r="V98" s="256"/>
      <c r="W98" s="257"/>
      <c r="X98" s="230"/>
      <c r="Y98" s="230"/>
      <c r="Z98" s="230"/>
      <c r="AA98" s="268"/>
      <c r="AB98" s="268"/>
      <c r="AC98" s="268"/>
      <c r="AD98" s="268"/>
      <c r="AE98" s="268"/>
    </row>
    <row r="99" spans="1:31" ht="24.75" customHeight="1">
      <c r="A99" s="268"/>
      <c r="B99" s="268"/>
      <c r="C99" s="268"/>
      <c r="D99" s="268"/>
      <c r="E99" s="268"/>
      <c r="F99" s="268"/>
      <c r="G99" s="268"/>
      <c r="H99" s="268"/>
      <c r="I99" s="268"/>
      <c r="J99" s="268"/>
      <c r="K99" s="268"/>
      <c r="L99" s="309"/>
      <c r="M99" s="268"/>
      <c r="N99" s="268"/>
      <c r="O99" s="310"/>
      <c r="P99" s="268"/>
      <c r="Q99" s="309"/>
      <c r="R99" s="268"/>
      <c r="S99" s="313"/>
      <c r="T99" s="313"/>
      <c r="U99" s="268"/>
      <c r="V99" s="309"/>
      <c r="W99" s="310"/>
      <c r="X99" s="268"/>
      <c r="Y99" s="268"/>
      <c r="Z99" s="268"/>
      <c r="AA99" s="268"/>
      <c r="AB99" s="268"/>
      <c r="AC99" s="268"/>
      <c r="AD99" s="268"/>
      <c r="AE99" s="268"/>
    </row>
    <row r="100" spans="1:31" ht="24.75" customHeight="1">
      <c r="A100" s="268"/>
      <c r="B100" s="268"/>
      <c r="C100" s="268"/>
      <c r="D100" s="268"/>
      <c r="E100" s="268"/>
      <c r="F100" s="268"/>
      <c r="G100" s="268"/>
      <c r="H100" s="268"/>
      <c r="I100" s="268"/>
      <c r="J100" s="268"/>
      <c r="K100" s="268"/>
      <c r="L100" s="309"/>
      <c r="M100" s="268"/>
      <c r="N100" s="268"/>
      <c r="O100" s="310"/>
      <c r="P100" s="268"/>
      <c r="Q100" s="309"/>
      <c r="R100" s="268"/>
      <c r="S100" s="313"/>
      <c r="T100" s="313"/>
      <c r="U100" s="292"/>
      <c r="V100" s="293"/>
      <c r="W100" s="294"/>
      <c r="X100" s="292"/>
      <c r="Y100" s="292"/>
      <c r="Z100" s="292"/>
      <c r="AA100" s="268"/>
      <c r="AB100" s="268"/>
      <c r="AC100" s="268"/>
      <c r="AD100" s="268"/>
      <c r="AE100" s="268"/>
    </row>
    <row r="101" spans="1:31" ht="24.75" customHeight="1">
      <c r="A101" s="268"/>
      <c r="B101" s="268"/>
      <c r="C101" s="268"/>
      <c r="D101" s="268"/>
      <c r="E101" s="268"/>
      <c r="F101" s="268"/>
      <c r="G101" s="268"/>
      <c r="H101" s="268"/>
      <c r="I101" s="268"/>
      <c r="J101" s="268"/>
      <c r="K101" s="268"/>
      <c r="L101" s="309"/>
      <c r="M101" s="268"/>
      <c r="N101" s="268"/>
      <c r="O101" s="310"/>
      <c r="P101" s="268"/>
      <c r="Q101" s="309"/>
      <c r="R101" s="268"/>
      <c r="S101" s="313"/>
      <c r="T101" s="313"/>
      <c r="U101" s="292"/>
      <c r="V101" s="293"/>
      <c r="W101" s="294"/>
      <c r="X101" s="292"/>
      <c r="Y101" s="292"/>
      <c r="Z101" s="292"/>
      <c r="AA101" s="268"/>
      <c r="AB101" s="268"/>
      <c r="AC101" s="268"/>
      <c r="AD101" s="268"/>
      <c r="AE101" s="268"/>
    </row>
    <row r="102" spans="1:31" ht="24.75" customHeight="1">
      <c r="A102" s="268"/>
      <c r="B102" s="268"/>
      <c r="C102" s="268"/>
      <c r="D102" s="268"/>
      <c r="E102" s="268"/>
      <c r="F102" s="268"/>
      <c r="G102" s="268"/>
      <c r="H102" s="268"/>
      <c r="I102" s="268"/>
      <c r="J102" s="268"/>
      <c r="K102" s="268"/>
      <c r="L102" s="309"/>
      <c r="M102" s="268"/>
      <c r="N102" s="268"/>
      <c r="O102" s="310"/>
      <c r="P102" s="268"/>
      <c r="Q102" s="309"/>
      <c r="R102" s="268"/>
      <c r="S102" s="313"/>
      <c r="T102" s="313"/>
      <c r="U102" s="292"/>
      <c r="V102" s="293"/>
      <c r="W102" s="294"/>
      <c r="X102" s="292"/>
      <c r="Y102" s="292"/>
      <c r="Z102" s="292"/>
      <c r="AA102" s="268"/>
      <c r="AB102" s="268"/>
      <c r="AC102" s="268"/>
      <c r="AD102" s="268"/>
      <c r="AE102" s="268"/>
    </row>
    <row r="103" spans="1:31" ht="24.75" customHeight="1">
      <c r="A103" s="268"/>
      <c r="B103" s="268"/>
      <c r="C103" s="268"/>
      <c r="D103" s="268"/>
      <c r="E103" s="268"/>
      <c r="F103" s="268"/>
      <c r="G103" s="268"/>
      <c r="H103" s="268"/>
      <c r="I103" s="268"/>
      <c r="J103" s="268"/>
      <c r="K103" s="268"/>
      <c r="L103" s="309"/>
      <c r="M103" s="268"/>
      <c r="N103" s="268"/>
      <c r="O103" s="310"/>
      <c r="P103" s="268"/>
      <c r="Q103" s="309"/>
      <c r="R103" s="268"/>
      <c r="S103" s="313"/>
      <c r="T103" s="313"/>
      <c r="U103" s="248"/>
      <c r="V103" s="253"/>
      <c r="W103" s="254"/>
      <c r="X103" s="248"/>
      <c r="Y103" s="248"/>
      <c r="Z103" s="248"/>
      <c r="AA103" s="268"/>
      <c r="AB103" s="268"/>
      <c r="AC103" s="268"/>
      <c r="AD103" s="268"/>
      <c r="AE103" s="268"/>
    </row>
    <row r="104" spans="1:31" ht="24.75" customHeight="1">
      <c r="A104" s="268"/>
      <c r="B104" s="268"/>
      <c r="C104" s="268"/>
      <c r="D104" s="268"/>
      <c r="E104" s="268"/>
      <c r="F104" s="268"/>
      <c r="G104" s="268"/>
      <c r="H104" s="268"/>
      <c r="I104" s="268"/>
      <c r="J104" s="268"/>
      <c r="K104" s="268"/>
      <c r="L104" s="309"/>
      <c r="M104" s="268"/>
      <c r="N104" s="268"/>
      <c r="O104" s="310"/>
      <c r="P104" s="268"/>
      <c r="Q104" s="309"/>
      <c r="R104" s="268"/>
      <c r="S104" s="313"/>
      <c r="T104" s="313"/>
      <c r="U104" s="248"/>
      <c r="V104" s="253"/>
      <c r="W104" s="254"/>
      <c r="X104" s="248"/>
      <c r="Y104" s="248"/>
      <c r="Z104" s="248"/>
      <c r="AA104" s="268"/>
      <c r="AB104" s="268"/>
      <c r="AC104" s="268"/>
      <c r="AD104" s="268"/>
      <c r="AE104" s="268"/>
    </row>
    <row r="105" spans="1:31" ht="24.75" customHeight="1">
      <c r="A105" s="268"/>
      <c r="B105" s="268"/>
      <c r="C105" s="268"/>
      <c r="D105" s="268"/>
      <c r="E105" s="268"/>
      <c r="F105" s="268"/>
      <c r="G105" s="268"/>
      <c r="H105" s="268"/>
      <c r="I105" s="268"/>
      <c r="J105" s="268"/>
      <c r="K105" s="268"/>
      <c r="L105" s="309"/>
      <c r="M105" s="268"/>
      <c r="N105" s="268"/>
      <c r="O105" s="310"/>
      <c r="P105" s="268"/>
      <c r="Q105" s="309"/>
      <c r="R105" s="268"/>
      <c r="S105" s="313"/>
      <c r="T105" s="313"/>
      <c r="U105" s="268"/>
      <c r="V105" s="309"/>
      <c r="W105" s="310"/>
      <c r="X105" s="268"/>
      <c r="Y105" s="268"/>
      <c r="Z105" s="268"/>
      <c r="AA105" s="268"/>
      <c r="AB105" s="268"/>
      <c r="AC105" s="268"/>
      <c r="AD105" s="268"/>
      <c r="AE105" s="268"/>
    </row>
    <row r="106" spans="1:31" ht="24.75" customHeight="1">
      <c r="A106" s="268"/>
      <c r="B106" s="268"/>
      <c r="C106" s="268"/>
      <c r="D106" s="268"/>
      <c r="E106" s="268"/>
      <c r="F106" s="268"/>
      <c r="G106" s="268"/>
      <c r="H106" s="268"/>
      <c r="I106" s="268"/>
      <c r="J106" s="268"/>
      <c r="K106" s="268"/>
      <c r="L106" s="309"/>
      <c r="M106" s="268"/>
      <c r="N106" s="268"/>
      <c r="O106" s="310"/>
      <c r="P106" s="268"/>
      <c r="Q106" s="309"/>
      <c r="R106" s="268"/>
      <c r="S106" s="313"/>
      <c r="T106" s="313"/>
      <c r="U106" s="292"/>
      <c r="V106" s="293"/>
      <c r="W106" s="294"/>
      <c r="X106" s="292"/>
      <c r="Y106" s="292"/>
      <c r="Z106" s="292"/>
      <c r="AA106" s="268"/>
      <c r="AB106" s="268"/>
      <c r="AC106" s="268"/>
      <c r="AD106" s="268"/>
      <c r="AE106" s="268"/>
    </row>
    <row r="107" spans="1:31" ht="24.75" customHeight="1">
      <c r="A107" s="268"/>
      <c r="B107" s="268"/>
      <c r="C107" s="268"/>
      <c r="D107" s="268"/>
      <c r="E107" s="268"/>
      <c r="F107" s="268"/>
      <c r="G107" s="268"/>
      <c r="H107" s="268"/>
      <c r="I107" s="268"/>
      <c r="J107" s="268"/>
      <c r="K107" s="268"/>
      <c r="L107" s="309"/>
      <c r="M107" s="268"/>
      <c r="N107" s="268"/>
      <c r="O107" s="310"/>
      <c r="P107" s="268"/>
      <c r="Q107" s="309"/>
      <c r="R107" s="268"/>
      <c r="S107" s="313"/>
      <c r="T107" s="313"/>
      <c r="U107" s="248"/>
      <c r="V107" s="253"/>
      <c r="W107" s="254"/>
      <c r="X107" s="248"/>
      <c r="Y107" s="248"/>
      <c r="Z107" s="248"/>
      <c r="AA107" s="268"/>
      <c r="AB107" s="268"/>
      <c r="AC107" s="268"/>
      <c r="AD107" s="268"/>
      <c r="AE107" s="268"/>
    </row>
    <row r="108" spans="1:31" ht="24.75" customHeight="1">
      <c r="A108" s="268"/>
      <c r="B108" s="268"/>
      <c r="C108" s="268"/>
      <c r="D108" s="268"/>
      <c r="E108" s="268"/>
      <c r="F108" s="268"/>
      <c r="G108" s="268"/>
      <c r="H108" s="268"/>
      <c r="I108" s="268"/>
      <c r="J108" s="268"/>
      <c r="K108" s="268"/>
      <c r="L108" s="309"/>
      <c r="M108" s="268"/>
      <c r="N108" s="268"/>
      <c r="O108" s="310"/>
      <c r="P108" s="268"/>
      <c r="Q108" s="309"/>
      <c r="R108" s="268"/>
      <c r="S108" s="313"/>
      <c r="T108" s="313"/>
      <c r="U108" s="230"/>
      <c r="V108" s="256"/>
      <c r="W108" s="257"/>
      <c r="X108" s="230"/>
      <c r="Y108" s="230"/>
      <c r="Z108" s="230"/>
      <c r="AA108" s="268"/>
      <c r="AB108" s="268"/>
      <c r="AC108" s="268"/>
      <c r="AD108" s="268"/>
      <c r="AE108" s="268"/>
    </row>
    <row r="109" spans="1:31" ht="24.75" customHeight="1">
      <c r="A109" s="268"/>
      <c r="B109" s="268"/>
      <c r="C109" s="268"/>
      <c r="D109" s="268"/>
      <c r="E109" s="268"/>
      <c r="F109" s="268"/>
      <c r="G109" s="268"/>
      <c r="H109" s="268"/>
      <c r="I109" s="268"/>
      <c r="J109" s="268"/>
      <c r="K109" s="268"/>
      <c r="L109" s="309"/>
      <c r="M109" s="268"/>
      <c r="N109" s="268"/>
      <c r="O109" s="310"/>
      <c r="P109" s="268"/>
      <c r="Q109" s="309"/>
      <c r="R109" s="268"/>
      <c r="S109" s="313"/>
      <c r="T109" s="313"/>
      <c r="U109" s="230"/>
      <c r="V109" s="256"/>
      <c r="W109" s="257"/>
      <c r="X109" s="230"/>
      <c r="Y109" s="230"/>
      <c r="Z109" s="230"/>
      <c r="AA109" s="268"/>
      <c r="AB109" s="268"/>
      <c r="AC109" s="268"/>
      <c r="AD109" s="268"/>
      <c r="AE109" s="268"/>
    </row>
    <row r="110" spans="1:31" ht="24.75" customHeight="1">
      <c r="A110" s="268"/>
      <c r="B110" s="268"/>
      <c r="C110" s="268"/>
      <c r="D110" s="268"/>
      <c r="E110" s="268"/>
      <c r="F110" s="268"/>
      <c r="G110" s="268"/>
      <c r="H110" s="268"/>
      <c r="I110" s="268"/>
      <c r="J110" s="268"/>
      <c r="K110" s="268"/>
      <c r="L110" s="309"/>
      <c r="M110" s="268"/>
      <c r="N110" s="268"/>
      <c r="O110" s="310"/>
      <c r="P110" s="268"/>
      <c r="Q110" s="309"/>
      <c r="R110" s="268"/>
      <c r="S110" s="313"/>
      <c r="T110" s="313"/>
      <c r="U110" s="268"/>
      <c r="V110" s="309"/>
      <c r="W110" s="310"/>
      <c r="X110" s="268"/>
      <c r="Y110" s="268"/>
      <c r="Z110" s="268"/>
      <c r="AA110" s="268"/>
      <c r="AB110" s="268"/>
      <c r="AC110" s="268"/>
      <c r="AD110" s="268"/>
      <c r="AE110" s="268"/>
    </row>
    <row r="111" spans="1:31" ht="24.75" customHeight="1">
      <c r="A111" s="268"/>
      <c r="B111" s="268"/>
      <c r="C111" s="268"/>
      <c r="D111" s="268"/>
      <c r="E111" s="268"/>
      <c r="F111" s="268"/>
      <c r="G111" s="268"/>
      <c r="H111" s="268"/>
      <c r="I111" s="268"/>
      <c r="J111" s="268"/>
      <c r="K111" s="268"/>
      <c r="L111" s="309"/>
      <c r="M111" s="268"/>
      <c r="N111" s="268"/>
      <c r="O111" s="310"/>
      <c r="P111" s="268"/>
      <c r="Q111" s="309"/>
      <c r="R111" s="268"/>
      <c r="S111" s="313"/>
      <c r="T111" s="313"/>
      <c r="U111" s="268"/>
      <c r="V111" s="309"/>
      <c r="W111" s="310"/>
      <c r="X111" s="268"/>
      <c r="Y111" s="268"/>
      <c r="Z111" s="268"/>
      <c r="AA111" s="268"/>
      <c r="AB111" s="268"/>
      <c r="AC111" s="268"/>
      <c r="AD111" s="268"/>
      <c r="AE111" s="268"/>
    </row>
    <row r="112" spans="1:31" ht="24.75" customHeight="1">
      <c r="A112" s="268"/>
      <c r="B112" s="268"/>
      <c r="C112" s="268"/>
      <c r="D112" s="268"/>
      <c r="E112" s="268"/>
      <c r="F112" s="268"/>
      <c r="G112" s="268"/>
      <c r="H112" s="268"/>
      <c r="I112" s="268"/>
      <c r="J112" s="268"/>
      <c r="K112" s="268"/>
      <c r="L112" s="309"/>
      <c r="M112" s="268"/>
      <c r="N112" s="268"/>
      <c r="O112" s="310"/>
      <c r="P112" s="268"/>
      <c r="Q112" s="309"/>
      <c r="R112" s="268"/>
      <c r="S112" s="313"/>
      <c r="T112" s="313"/>
      <c r="U112" s="268"/>
      <c r="V112" s="309"/>
      <c r="W112" s="310"/>
      <c r="X112" s="268"/>
      <c r="Y112" s="268"/>
      <c r="Z112" s="268"/>
      <c r="AA112" s="268"/>
      <c r="AB112" s="268"/>
      <c r="AC112" s="268"/>
      <c r="AD112" s="268"/>
      <c r="AE112" s="268"/>
    </row>
    <row r="113" spans="1:31" ht="24.75" customHeight="1">
      <c r="A113" s="268"/>
      <c r="B113" s="268"/>
      <c r="C113" s="268"/>
      <c r="D113" s="268"/>
      <c r="E113" s="268"/>
      <c r="F113" s="268"/>
      <c r="G113" s="268"/>
      <c r="H113" s="268"/>
      <c r="I113" s="268"/>
      <c r="J113" s="268"/>
      <c r="K113" s="268"/>
      <c r="L113" s="309"/>
      <c r="M113" s="268"/>
      <c r="N113" s="268"/>
      <c r="O113" s="310"/>
      <c r="P113" s="268"/>
      <c r="Q113" s="309"/>
      <c r="R113" s="268"/>
      <c r="S113" s="313"/>
      <c r="T113" s="313"/>
      <c r="U113" s="268"/>
      <c r="V113" s="309"/>
      <c r="W113" s="310"/>
      <c r="X113" s="268"/>
      <c r="Y113" s="268"/>
      <c r="Z113" s="268"/>
      <c r="AA113" s="268"/>
      <c r="AB113" s="268"/>
      <c r="AC113" s="268"/>
      <c r="AD113" s="268"/>
      <c r="AE113" s="268"/>
    </row>
    <row r="114" spans="1:31" ht="24.75" customHeight="1">
      <c r="A114" s="268"/>
      <c r="B114" s="268"/>
      <c r="C114" s="268"/>
      <c r="D114" s="268"/>
      <c r="E114" s="268"/>
      <c r="F114" s="268"/>
      <c r="G114" s="268"/>
      <c r="H114" s="268"/>
      <c r="I114" s="268"/>
      <c r="J114" s="268"/>
      <c r="K114" s="268"/>
      <c r="L114" s="309"/>
      <c r="M114" s="268"/>
      <c r="N114" s="268"/>
      <c r="O114" s="310"/>
      <c r="P114" s="268"/>
      <c r="Q114" s="309"/>
      <c r="R114" s="268"/>
      <c r="S114" s="313"/>
      <c r="T114" s="313"/>
      <c r="U114" s="268"/>
      <c r="V114" s="309"/>
      <c r="W114" s="310"/>
      <c r="X114" s="268"/>
      <c r="Y114" s="268"/>
      <c r="Z114" s="268"/>
      <c r="AA114" s="268"/>
      <c r="AB114" s="268"/>
      <c r="AC114" s="268"/>
      <c r="AD114" s="268"/>
      <c r="AE114" s="268"/>
    </row>
    <row r="115" spans="1:31" ht="24.75" customHeight="1">
      <c r="A115" s="268"/>
      <c r="B115" s="268"/>
      <c r="C115" s="268"/>
      <c r="D115" s="268"/>
      <c r="E115" s="268"/>
      <c r="F115" s="268"/>
      <c r="G115" s="268"/>
      <c r="H115" s="268"/>
      <c r="I115" s="268"/>
      <c r="J115" s="268"/>
      <c r="K115" s="268"/>
      <c r="L115" s="309"/>
      <c r="M115" s="268"/>
      <c r="N115" s="268"/>
      <c r="O115" s="310"/>
      <c r="P115" s="268"/>
      <c r="Q115" s="309"/>
      <c r="R115" s="268"/>
      <c r="S115" s="313"/>
      <c r="T115" s="313"/>
      <c r="U115" s="248"/>
      <c r="V115" s="253"/>
      <c r="W115" s="254"/>
      <c r="X115" s="248"/>
      <c r="Y115" s="248"/>
      <c r="Z115" s="248"/>
      <c r="AA115" s="268"/>
      <c r="AB115" s="268"/>
      <c r="AC115" s="268"/>
      <c r="AD115" s="268"/>
      <c r="AE115" s="268"/>
    </row>
    <row r="116" spans="1:31" ht="24.75" customHeight="1">
      <c r="A116" s="268"/>
      <c r="B116" s="268"/>
      <c r="C116" s="268"/>
      <c r="D116" s="268"/>
      <c r="E116" s="268"/>
      <c r="F116" s="268"/>
      <c r="G116" s="268"/>
      <c r="H116" s="268"/>
      <c r="I116" s="268"/>
      <c r="J116" s="268"/>
      <c r="K116" s="268"/>
      <c r="L116" s="309"/>
      <c r="M116" s="268"/>
      <c r="N116" s="268"/>
      <c r="O116" s="310"/>
      <c r="P116" s="268"/>
      <c r="Q116" s="309"/>
      <c r="R116" s="268"/>
      <c r="S116" s="313"/>
      <c r="T116" s="313"/>
      <c r="U116" s="268"/>
      <c r="V116" s="309"/>
      <c r="W116" s="310"/>
      <c r="X116" s="268"/>
      <c r="Y116" s="268"/>
      <c r="Z116" s="268"/>
      <c r="AA116" s="268"/>
      <c r="AB116" s="268"/>
      <c r="AC116" s="268"/>
      <c r="AD116" s="268"/>
      <c r="AE116" s="268"/>
    </row>
    <row r="117" spans="1:31" ht="24.75" customHeight="1">
      <c r="A117" s="268"/>
      <c r="B117" s="268"/>
      <c r="C117" s="268"/>
      <c r="D117" s="268"/>
      <c r="E117" s="268"/>
      <c r="F117" s="268"/>
      <c r="G117" s="268"/>
      <c r="H117" s="268"/>
      <c r="I117" s="268"/>
      <c r="J117" s="268"/>
      <c r="K117" s="268"/>
      <c r="L117" s="309"/>
      <c r="M117" s="268"/>
      <c r="N117" s="268"/>
      <c r="O117" s="310"/>
      <c r="P117" s="268"/>
      <c r="Q117" s="309"/>
      <c r="R117" s="268"/>
      <c r="S117" s="313"/>
      <c r="T117" s="313"/>
      <c r="U117" s="268"/>
      <c r="V117" s="309"/>
      <c r="W117" s="310"/>
      <c r="X117" s="268"/>
      <c r="Y117" s="268"/>
      <c r="Z117" s="268"/>
      <c r="AA117" s="268"/>
      <c r="AB117" s="268"/>
      <c r="AC117" s="268"/>
      <c r="AD117" s="268"/>
      <c r="AE117" s="268"/>
    </row>
    <row r="118" spans="1:31" ht="24.75" customHeight="1">
      <c r="A118" s="268"/>
      <c r="B118" s="268"/>
      <c r="C118" s="268"/>
      <c r="D118" s="268"/>
      <c r="E118" s="268"/>
      <c r="F118" s="268"/>
      <c r="G118" s="268"/>
      <c r="H118" s="268"/>
      <c r="I118" s="268"/>
      <c r="J118" s="268"/>
      <c r="K118" s="268"/>
      <c r="L118" s="309"/>
      <c r="M118" s="268"/>
      <c r="N118" s="268"/>
      <c r="O118" s="310"/>
      <c r="P118" s="268"/>
      <c r="Q118" s="309"/>
      <c r="R118" s="268"/>
      <c r="S118" s="313"/>
      <c r="T118" s="313"/>
      <c r="U118" s="268"/>
      <c r="V118" s="309"/>
      <c r="W118" s="310"/>
      <c r="X118" s="268"/>
      <c r="Y118" s="268"/>
      <c r="Z118" s="268"/>
      <c r="AA118" s="268"/>
      <c r="AB118" s="268"/>
      <c r="AC118" s="268"/>
      <c r="AD118" s="268"/>
      <c r="AE118" s="268"/>
    </row>
    <row r="119" spans="1:31" ht="24.75" customHeight="1">
      <c r="A119" s="268"/>
      <c r="B119" s="268"/>
      <c r="C119" s="268"/>
      <c r="D119" s="268"/>
      <c r="E119" s="268"/>
      <c r="F119" s="268"/>
      <c r="G119" s="268"/>
      <c r="H119" s="268"/>
      <c r="I119" s="268"/>
      <c r="J119" s="268"/>
      <c r="K119" s="268"/>
      <c r="L119" s="309"/>
      <c r="M119" s="268"/>
      <c r="N119" s="268"/>
      <c r="O119" s="310"/>
      <c r="P119" s="268"/>
      <c r="Q119" s="309"/>
      <c r="R119" s="268"/>
      <c r="S119" s="313"/>
      <c r="T119" s="313"/>
      <c r="U119" s="268"/>
      <c r="V119" s="309"/>
      <c r="W119" s="310"/>
      <c r="X119" s="268"/>
      <c r="Y119" s="268"/>
      <c r="Z119" s="268"/>
      <c r="AA119" s="268"/>
      <c r="AB119" s="268"/>
      <c r="AC119" s="268"/>
      <c r="AD119" s="268"/>
      <c r="AE119" s="268"/>
    </row>
    <row r="120" spans="1:31" ht="24.75" customHeight="1">
      <c r="A120" s="268"/>
      <c r="B120" s="268"/>
      <c r="C120" s="268"/>
      <c r="D120" s="268"/>
      <c r="E120" s="268"/>
      <c r="F120" s="268"/>
      <c r="G120" s="268"/>
      <c r="H120" s="268"/>
      <c r="I120" s="268"/>
      <c r="J120" s="268"/>
      <c r="K120" s="268"/>
      <c r="L120" s="309"/>
      <c r="M120" s="268"/>
      <c r="N120" s="268"/>
      <c r="O120" s="310"/>
      <c r="P120" s="268"/>
      <c r="Q120" s="309"/>
      <c r="R120" s="268"/>
      <c r="S120" s="313"/>
      <c r="T120" s="313"/>
      <c r="U120" s="268"/>
      <c r="V120" s="309"/>
      <c r="W120" s="310"/>
      <c r="X120" s="268"/>
      <c r="Y120" s="268"/>
      <c r="Z120" s="268"/>
      <c r="AA120" s="268"/>
      <c r="AB120" s="268"/>
      <c r="AC120" s="268"/>
      <c r="AD120" s="268"/>
      <c r="AE120" s="268"/>
    </row>
    <row r="121" spans="1:31" ht="24.75" customHeight="1">
      <c r="A121" s="268"/>
      <c r="B121" s="268"/>
      <c r="C121" s="268"/>
      <c r="D121" s="268"/>
      <c r="E121" s="268"/>
      <c r="F121" s="268"/>
      <c r="G121" s="268"/>
      <c r="H121" s="268"/>
      <c r="I121" s="268"/>
      <c r="J121" s="268"/>
      <c r="K121" s="268"/>
      <c r="L121" s="309"/>
      <c r="M121" s="268"/>
      <c r="N121" s="268"/>
      <c r="O121" s="310"/>
      <c r="P121" s="268"/>
      <c r="Q121" s="309"/>
      <c r="R121" s="268"/>
      <c r="S121" s="313"/>
      <c r="T121" s="313"/>
      <c r="U121" s="268"/>
      <c r="V121" s="309"/>
      <c r="W121" s="310"/>
      <c r="X121" s="268"/>
      <c r="Y121" s="268"/>
      <c r="Z121" s="268"/>
      <c r="AA121" s="268"/>
      <c r="AB121" s="268"/>
      <c r="AC121" s="268"/>
      <c r="AD121" s="268"/>
      <c r="AE121" s="268"/>
    </row>
    <row r="122" spans="1:31" ht="24.75" customHeight="1">
      <c r="A122" s="268"/>
      <c r="B122" s="268"/>
      <c r="C122" s="268"/>
      <c r="D122" s="268"/>
      <c r="E122" s="268"/>
      <c r="F122" s="268"/>
      <c r="G122" s="268"/>
      <c r="H122" s="268"/>
      <c r="I122" s="268"/>
      <c r="J122" s="268"/>
      <c r="K122" s="268"/>
      <c r="L122" s="309"/>
      <c r="M122" s="268"/>
      <c r="N122" s="268"/>
      <c r="O122" s="310"/>
      <c r="P122" s="268"/>
      <c r="Q122" s="309"/>
      <c r="R122" s="268"/>
      <c r="S122" s="313"/>
      <c r="T122" s="313"/>
      <c r="U122" s="268"/>
      <c r="V122" s="309"/>
      <c r="W122" s="310"/>
      <c r="X122" s="268"/>
      <c r="Y122" s="268"/>
      <c r="Z122" s="268"/>
      <c r="AA122" s="268"/>
      <c r="AB122" s="268"/>
      <c r="AC122" s="268"/>
      <c r="AD122" s="268"/>
      <c r="AE122" s="268"/>
    </row>
    <row r="123" spans="1:31" ht="24.75" customHeight="1">
      <c r="A123" s="268"/>
      <c r="B123" s="268"/>
      <c r="C123" s="268"/>
      <c r="D123" s="268"/>
      <c r="E123" s="268"/>
      <c r="F123" s="268"/>
      <c r="G123" s="268"/>
      <c r="H123" s="268"/>
      <c r="I123" s="268"/>
      <c r="J123" s="268"/>
      <c r="K123" s="268"/>
      <c r="L123" s="309"/>
      <c r="M123" s="268"/>
      <c r="N123" s="268"/>
      <c r="O123" s="310"/>
      <c r="P123" s="268"/>
      <c r="Q123" s="309"/>
      <c r="R123" s="268"/>
      <c r="S123" s="313"/>
      <c r="T123" s="313"/>
      <c r="U123" s="268"/>
      <c r="V123" s="309"/>
      <c r="W123" s="310"/>
      <c r="X123" s="268"/>
      <c r="Y123" s="268"/>
      <c r="Z123" s="268"/>
      <c r="AA123" s="268"/>
      <c r="AB123" s="268"/>
      <c r="AC123" s="268"/>
      <c r="AD123" s="268"/>
      <c r="AE123" s="268"/>
    </row>
    <row r="124" spans="1:31" ht="24.75" customHeight="1">
      <c r="A124" s="268"/>
      <c r="B124" s="268"/>
      <c r="C124" s="268"/>
      <c r="D124" s="268"/>
      <c r="E124" s="268"/>
      <c r="F124" s="268"/>
      <c r="G124" s="268"/>
      <c r="H124" s="268"/>
      <c r="I124" s="268"/>
      <c r="J124" s="268"/>
      <c r="K124" s="268"/>
      <c r="L124" s="309"/>
      <c r="M124" s="268"/>
      <c r="N124" s="268"/>
      <c r="O124" s="310"/>
      <c r="P124" s="268"/>
      <c r="Q124" s="309"/>
      <c r="R124" s="268"/>
      <c r="S124" s="313"/>
      <c r="T124" s="313"/>
      <c r="U124" s="268"/>
      <c r="V124" s="309"/>
      <c r="W124" s="310"/>
      <c r="X124" s="268"/>
      <c r="Y124" s="268"/>
      <c r="Z124" s="268"/>
      <c r="AA124" s="268"/>
      <c r="AB124" s="268"/>
      <c r="AC124" s="268"/>
      <c r="AD124" s="268"/>
      <c r="AE124" s="268"/>
    </row>
    <row r="125" spans="1:31" ht="24.75" customHeight="1">
      <c r="A125" s="268"/>
      <c r="B125" s="268"/>
      <c r="C125" s="268"/>
      <c r="D125" s="268"/>
      <c r="E125" s="268"/>
      <c r="F125" s="268"/>
      <c r="G125" s="268"/>
      <c r="H125" s="268"/>
      <c r="I125" s="268"/>
      <c r="J125" s="268"/>
      <c r="K125" s="268"/>
      <c r="L125" s="309"/>
      <c r="M125" s="268"/>
      <c r="N125" s="268"/>
      <c r="O125" s="310"/>
      <c r="P125" s="268"/>
      <c r="Q125" s="309"/>
      <c r="R125" s="268"/>
      <c r="S125" s="313"/>
      <c r="T125" s="313"/>
      <c r="U125" s="268"/>
      <c r="V125" s="309"/>
      <c r="W125" s="310"/>
      <c r="X125" s="268"/>
      <c r="Y125" s="268"/>
      <c r="Z125" s="268"/>
      <c r="AA125" s="268"/>
      <c r="AB125" s="268"/>
      <c r="AC125" s="268"/>
      <c r="AD125" s="268"/>
      <c r="AE125" s="268"/>
    </row>
    <row r="126" spans="1:31" ht="24.75" customHeight="1">
      <c r="A126" s="268"/>
      <c r="B126" s="268"/>
      <c r="C126" s="268"/>
      <c r="D126" s="268"/>
      <c r="E126" s="268"/>
      <c r="F126" s="268"/>
      <c r="G126" s="268"/>
      <c r="H126" s="268"/>
      <c r="I126" s="268"/>
      <c r="J126" s="268"/>
      <c r="K126" s="268"/>
      <c r="L126" s="309"/>
      <c r="M126" s="268"/>
      <c r="N126" s="268"/>
      <c r="O126" s="310"/>
      <c r="P126" s="268"/>
      <c r="Q126" s="309"/>
      <c r="R126" s="268"/>
      <c r="S126" s="313"/>
      <c r="T126" s="313"/>
      <c r="U126" s="268"/>
      <c r="V126" s="309"/>
      <c r="W126" s="310"/>
      <c r="X126" s="268"/>
      <c r="Y126" s="268"/>
      <c r="Z126" s="268"/>
      <c r="AA126" s="268"/>
      <c r="AB126" s="268"/>
      <c r="AC126" s="268"/>
      <c r="AD126" s="268"/>
      <c r="AE126" s="268"/>
    </row>
    <row r="127" spans="1:31" ht="24.75" customHeight="1">
      <c r="A127" s="268"/>
      <c r="B127" s="268"/>
      <c r="C127" s="268"/>
      <c r="D127" s="268"/>
      <c r="E127" s="268"/>
      <c r="F127" s="268"/>
      <c r="G127" s="268"/>
      <c r="H127" s="268"/>
      <c r="I127" s="268"/>
      <c r="J127" s="268"/>
      <c r="K127" s="268"/>
      <c r="L127" s="309"/>
      <c r="M127" s="268"/>
      <c r="N127" s="268"/>
      <c r="O127" s="310"/>
      <c r="P127" s="268"/>
      <c r="Q127" s="309"/>
      <c r="R127" s="268"/>
      <c r="S127" s="313"/>
      <c r="T127" s="313"/>
      <c r="U127" s="268"/>
      <c r="V127" s="309"/>
      <c r="W127" s="310"/>
      <c r="X127" s="268"/>
      <c r="Y127" s="268"/>
      <c r="Z127" s="268"/>
      <c r="AA127" s="268"/>
      <c r="AB127" s="268"/>
      <c r="AC127" s="268"/>
      <c r="AD127" s="268"/>
      <c r="AE127" s="268"/>
    </row>
    <row r="128" spans="1:31" ht="24.75" customHeight="1">
      <c r="A128" s="268"/>
      <c r="B128" s="268"/>
      <c r="C128" s="268"/>
      <c r="D128" s="268"/>
      <c r="E128" s="268"/>
      <c r="F128" s="268"/>
      <c r="G128" s="268"/>
      <c r="H128" s="268"/>
      <c r="I128" s="268"/>
      <c r="J128" s="268"/>
      <c r="K128" s="268"/>
      <c r="L128" s="309"/>
      <c r="M128" s="268"/>
      <c r="N128" s="268"/>
      <c r="O128" s="310"/>
      <c r="P128" s="268"/>
      <c r="Q128" s="309"/>
      <c r="R128" s="268"/>
      <c r="S128" s="313"/>
      <c r="T128" s="313"/>
      <c r="U128" s="230"/>
      <c r="V128" s="256"/>
      <c r="W128" s="257"/>
      <c r="X128" s="230"/>
      <c r="Y128" s="230"/>
      <c r="Z128" s="230"/>
      <c r="AA128" s="268"/>
      <c r="AB128" s="268"/>
      <c r="AC128" s="268"/>
      <c r="AD128" s="268"/>
      <c r="AE128" s="268"/>
    </row>
    <row r="129" spans="1:31" ht="24.75" customHeight="1">
      <c r="A129" s="268"/>
      <c r="B129" s="268"/>
      <c r="C129" s="268"/>
      <c r="D129" s="268"/>
      <c r="E129" s="268"/>
      <c r="F129" s="268"/>
      <c r="G129" s="268"/>
      <c r="H129" s="268"/>
      <c r="I129" s="268"/>
      <c r="J129" s="268"/>
      <c r="K129" s="268"/>
      <c r="L129" s="309"/>
      <c r="M129" s="268"/>
      <c r="N129" s="268"/>
      <c r="O129" s="310"/>
      <c r="P129" s="268"/>
      <c r="Q129" s="309"/>
      <c r="R129" s="268"/>
      <c r="S129" s="313"/>
      <c r="T129" s="313"/>
      <c r="U129" s="230"/>
      <c r="V129" s="256"/>
      <c r="W129" s="257"/>
      <c r="X129" s="230"/>
      <c r="Y129" s="230"/>
      <c r="Z129" s="230"/>
      <c r="AA129" s="268"/>
      <c r="AB129" s="268"/>
      <c r="AC129" s="268"/>
      <c r="AD129" s="268"/>
      <c r="AE129" s="268"/>
    </row>
    <row r="130" spans="1:31" ht="24.75" customHeight="1">
      <c r="A130" s="268"/>
      <c r="B130" s="268"/>
      <c r="C130" s="268"/>
      <c r="D130" s="268"/>
      <c r="E130" s="268"/>
      <c r="F130" s="268"/>
      <c r="G130" s="268"/>
      <c r="H130" s="268"/>
      <c r="I130" s="268"/>
      <c r="J130" s="268"/>
      <c r="K130" s="268"/>
      <c r="L130" s="309"/>
      <c r="M130" s="268"/>
      <c r="N130" s="268"/>
      <c r="O130" s="310"/>
      <c r="P130" s="268"/>
      <c r="Q130" s="309"/>
      <c r="R130" s="268"/>
      <c r="S130" s="313"/>
      <c r="T130" s="313"/>
      <c r="U130" s="230"/>
      <c r="V130" s="256"/>
      <c r="W130" s="257"/>
      <c r="X130" s="230"/>
      <c r="Y130" s="230"/>
      <c r="Z130" s="230"/>
      <c r="AA130" s="268"/>
      <c r="AB130" s="268"/>
      <c r="AC130" s="268"/>
      <c r="AD130" s="268"/>
      <c r="AE130" s="268"/>
    </row>
    <row r="131" spans="1:31" ht="24.75" customHeight="1">
      <c r="A131" s="268"/>
      <c r="B131" s="268"/>
      <c r="C131" s="268"/>
      <c r="D131" s="268"/>
      <c r="E131" s="268"/>
      <c r="F131" s="268"/>
      <c r="G131" s="268"/>
      <c r="H131" s="268"/>
      <c r="I131" s="268"/>
      <c r="J131" s="268"/>
      <c r="K131" s="268"/>
      <c r="L131" s="309"/>
      <c r="M131" s="268"/>
      <c r="N131" s="268"/>
      <c r="O131" s="310"/>
      <c r="P131" s="268"/>
      <c r="Q131" s="309"/>
      <c r="R131" s="268"/>
      <c r="S131" s="313"/>
      <c r="T131" s="313"/>
      <c r="U131" s="268"/>
      <c r="V131" s="309"/>
      <c r="W131" s="310"/>
      <c r="X131" s="268"/>
      <c r="Y131" s="268"/>
      <c r="Z131" s="268"/>
      <c r="AA131" s="268"/>
      <c r="AB131" s="268"/>
      <c r="AC131" s="268"/>
      <c r="AD131" s="268"/>
      <c r="AE131" s="268"/>
    </row>
    <row r="132" spans="1:31" ht="24.75" customHeight="1">
      <c r="A132" s="268"/>
      <c r="B132" s="268"/>
      <c r="C132" s="268"/>
      <c r="D132" s="268"/>
      <c r="E132" s="268"/>
      <c r="F132" s="268"/>
      <c r="G132" s="268"/>
      <c r="H132" s="268"/>
      <c r="I132" s="268"/>
      <c r="J132" s="268"/>
      <c r="K132" s="268"/>
      <c r="L132" s="309"/>
      <c r="M132" s="268"/>
      <c r="N132" s="268"/>
      <c r="O132" s="310"/>
      <c r="P132" s="268"/>
      <c r="Q132" s="309"/>
      <c r="R132" s="268"/>
      <c r="S132" s="313"/>
      <c r="T132" s="313"/>
      <c r="U132" s="248"/>
      <c r="V132" s="253"/>
      <c r="W132" s="254"/>
      <c r="X132" s="248"/>
      <c r="Y132" s="248"/>
      <c r="Z132" s="248"/>
      <c r="AA132" s="268"/>
      <c r="AB132" s="268"/>
      <c r="AC132" s="268"/>
      <c r="AD132" s="268"/>
      <c r="AE132" s="268"/>
    </row>
    <row r="133" spans="1:31" ht="24.75" customHeight="1">
      <c r="A133" s="268"/>
      <c r="B133" s="268"/>
      <c r="C133" s="268"/>
      <c r="D133" s="268"/>
      <c r="E133" s="268"/>
      <c r="F133" s="268"/>
      <c r="G133" s="268"/>
      <c r="H133" s="268"/>
      <c r="I133" s="268"/>
      <c r="J133" s="268"/>
      <c r="K133" s="268"/>
      <c r="L133" s="309"/>
      <c r="M133" s="268"/>
      <c r="N133" s="268"/>
      <c r="O133" s="310"/>
      <c r="P133" s="268"/>
      <c r="Q133" s="309"/>
      <c r="R133" s="268"/>
      <c r="S133" s="313"/>
      <c r="T133" s="313"/>
      <c r="U133" s="248"/>
      <c r="V133" s="253"/>
      <c r="W133" s="254"/>
      <c r="X133" s="248"/>
      <c r="Y133" s="248"/>
      <c r="Z133" s="248"/>
      <c r="AA133" s="268"/>
      <c r="AB133" s="268"/>
      <c r="AC133" s="268"/>
      <c r="AD133" s="268"/>
      <c r="AE133" s="268"/>
    </row>
    <row r="134" spans="1:31" ht="24.75" customHeight="1">
      <c r="A134" s="268"/>
      <c r="B134" s="268"/>
      <c r="C134" s="268"/>
      <c r="D134" s="268"/>
      <c r="E134" s="268"/>
      <c r="F134" s="268"/>
      <c r="G134" s="268"/>
      <c r="H134" s="268"/>
      <c r="I134" s="268"/>
      <c r="J134" s="268"/>
      <c r="K134" s="268"/>
      <c r="L134" s="309"/>
      <c r="M134" s="268"/>
      <c r="N134" s="268"/>
      <c r="O134" s="310"/>
      <c r="P134" s="268"/>
      <c r="Q134" s="309"/>
      <c r="R134" s="268"/>
      <c r="S134" s="313"/>
      <c r="T134" s="313"/>
      <c r="U134" s="268"/>
      <c r="V134" s="309"/>
      <c r="W134" s="310"/>
      <c r="X134" s="268"/>
      <c r="Y134" s="268"/>
      <c r="Z134" s="268"/>
      <c r="AA134" s="268"/>
      <c r="AB134" s="268"/>
      <c r="AC134" s="268"/>
      <c r="AD134" s="268"/>
      <c r="AE134" s="268"/>
    </row>
    <row r="135" spans="1:31" ht="24.75" customHeight="1">
      <c r="A135" s="268"/>
      <c r="B135" s="268"/>
      <c r="C135" s="268"/>
      <c r="D135" s="268"/>
      <c r="E135" s="268"/>
      <c r="F135" s="268"/>
      <c r="G135" s="268"/>
      <c r="H135" s="268"/>
      <c r="I135" s="268"/>
      <c r="J135" s="268"/>
      <c r="K135" s="268"/>
      <c r="L135" s="309"/>
      <c r="M135" s="268"/>
      <c r="N135" s="268"/>
      <c r="O135" s="310"/>
      <c r="P135" s="268"/>
      <c r="Q135" s="309"/>
      <c r="R135" s="268"/>
      <c r="S135" s="313"/>
      <c r="T135" s="313"/>
      <c r="U135" s="248"/>
      <c r="V135" s="253"/>
      <c r="W135" s="254"/>
      <c r="X135" s="248"/>
      <c r="Y135" s="248"/>
      <c r="Z135" s="248"/>
      <c r="AA135" s="268"/>
      <c r="AB135" s="268"/>
      <c r="AC135" s="268"/>
      <c r="AD135" s="268"/>
      <c r="AE135" s="268"/>
    </row>
    <row r="136" spans="1:31" ht="24.75" customHeight="1">
      <c r="A136" s="268"/>
      <c r="B136" s="268"/>
      <c r="C136" s="268"/>
      <c r="D136" s="268"/>
      <c r="E136" s="268"/>
      <c r="F136" s="268"/>
      <c r="G136" s="268"/>
      <c r="H136" s="268"/>
      <c r="I136" s="268"/>
      <c r="J136" s="268"/>
      <c r="K136" s="268"/>
      <c r="L136" s="309"/>
      <c r="M136" s="268"/>
      <c r="N136" s="268"/>
      <c r="O136" s="310"/>
      <c r="P136" s="268"/>
      <c r="Q136" s="309"/>
      <c r="R136" s="268"/>
      <c r="S136" s="313"/>
      <c r="T136" s="313"/>
      <c r="U136" s="248"/>
      <c r="V136" s="253"/>
      <c r="W136" s="254"/>
      <c r="X136" s="248"/>
      <c r="Y136" s="248"/>
      <c r="Z136" s="248"/>
      <c r="AA136" s="268"/>
      <c r="AB136" s="268"/>
      <c r="AC136" s="268"/>
      <c r="AD136" s="268"/>
      <c r="AE136" s="268"/>
    </row>
    <row r="137" spans="1:31" ht="24.75" customHeight="1">
      <c r="A137" s="268"/>
      <c r="B137" s="268"/>
      <c r="C137" s="268"/>
      <c r="D137" s="268"/>
      <c r="E137" s="268"/>
      <c r="F137" s="268"/>
      <c r="G137" s="268"/>
      <c r="H137" s="268"/>
      <c r="I137" s="268"/>
      <c r="J137" s="268"/>
      <c r="K137" s="268"/>
      <c r="L137" s="309"/>
      <c r="M137" s="268"/>
      <c r="N137" s="268"/>
      <c r="O137" s="310"/>
      <c r="P137" s="268"/>
      <c r="Q137" s="309"/>
      <c r="R137" s="268"/>
      <c r="S137" s="313"/>
      <c r="T137" s="313"/>
      <c r="U137" s="248"/>
      <c r="V137" s="253"/>
      <c r="W137" s="254"/>
      <c r="X137" s="248"/>
      <c r="Y137" s="248"/>
      <c r="Z137" s="248"/>
      <c r="AA137" s="268"/>
      <c r="AB137" s="268"/>
      <c r="AC137" s="268"/>
      <c r="AD137" s="268"/>
      <c r="AE137" s="268"/>
    </row>
    <row r="138" spans="1:31" ht="24.75" customHeight="1">
      <c r="A138" s="268"/>
      <c r="B138" s="268"/>
      <c r="C138" s="268"/>
      <c r="D138" s="268"/>
      <c r="E138" s="268"/>
      <c r="F138" s="268"/>
      <c r="G138" s="268"/>
      <c r="H138" s="268"/>
      <c r="I138" s="268"/>
      <c r="J138" s="268"/>
      <c r="K138" s="268"/>
      <c r="L138" s="309"/>
      <c r="M138" s="268"/>
      <c r="N138" s="268"/>
      <c r="O138" s="310"/>
      <c r="P138" s="268"/>
      <c r="Q138" s="309"/>
      <c r="R138" s="268"/>
      <c r="S138" s="313"/>
      <c r="T138" s="313"/>
      <c r="U138" s="268"/>
      <c r="V138" s="309"/>
      <c r="W138" s="310"/>
      <c r="X138" s="268"/>
      <c r="Y138" s="268"/>
      <c r="Z138" s="268"/>
      <c r="AA138" s="268"/>
      <c r="AB138" s="268"/>
      <c r="AC138" s="268"/>
      <c r="AD138" s="268"/>
      <c r="AE138" s="268"/>
    </row>
    <row r="139" spans="1:31" ht="24.75" customHeight="1">
      <c r="A139" s="268"/>
      <c r="B139" s="268"/>
      <c r="C139" s="268"/>
      <c r="D139" s="268"/>
      <c r="E139" s="268"/>
      <c r="F139" s="268"/>
      <c r="G139" s="268"/>
      <c r="H139" s="268"/>
      <c r="I139" s="268"/>
      <c r="J139" s="268"/>
      <c r="K139" s="268"/>
      <c r="L139" s="309"/>
      <c r="M139" s="268"/>
      <c r="N139" s="268"/>
      <c r="O139" s="310"/>
      <c r="P139" s="268"/>
      <c r="Q139" s="309"/>
      <c r="R139" s="268"/>
      <c r="S139" s="313"/>
      <c r="T139" s="313"/>
      <c r="U139" s="248"/>
      <c r="V139" s="253"/>
      <c r="W139" s="254"/>
      <c r="X139" s="248"/>
      <c r="Y139" s="248"/>
      <c r="Z139" s="248"/>
      <c r="AA139" s="268"/>
      <c r="AB139" s="268"/>
      <c r="AC139" s="268"/>
      <c r="AD139" s="268"/>
      <c r="AE139" s="268"/>
    </row>
    <row r="140" spans="1:31" ht="24.75" customHeight="1">
      <c r="A140" s="268"/>
      <c r="B140" s="268"/>
      <c r="C140" s="268"/>
      <c r="D140" s="268"/>
      <c r="E140" s="268"/>
      <c r="F140" s="268"/>
      <c r="G140" s="268"/>
      <c r="H140" s="268"/>
      <c r="I140" s="268"/>
      <c r="J140" s="268"/>
      <c r="K140" s="268"/>
      <c r="L140" s="309"/>
      <c r="M140" s="268"/>
      <c r="N140" s="268"/>
      <c r="O140" s="310"/>
      <c r="P140" s="268"/>
      <c r="Q140" s="309"/>
      <c r="R140" s="268"/>
      <c r="S140" s="313"/>
      <c r="T140" s="313"/>
      <c r="U140" s="248"/>
      <c r="V140" s="253"/>
      <c r="W140" s="254"/>
      <c r="X140" s="248"/>
      <c r="Y140" s="248"/>
      <c r="Z140" s="248"/>
      <c r="AA140" s="268"/>
      <c r="AB140" s="268"/>
      <c r="AC140" s="268"/>
      <c r="AD140" s="268"/>
      <c r="AE140" s="268"/>
    </row>
    <row r="141" spans="1:31" ht="24.75" customHeight="1">
      <c r="A141" s="268"/>
      <c r="B141" s="268"/>
      <c r="C141" s="268"/>
      <c r="D141" s="268"/>
      <c r="E141" s="268"/>
      <c r="F141" s="268"/>
      <c r="G141" s="268"/>
      <c r="H141" s="268"/>
      <c r="I141" s="268"/>
      <c r="J141" s="268"/>
      <c r="K141" s="268"/>
      <c r="L141" s="309"/>
      <c r="M141" s="268"/>
      <c r="N141" s="268"/>
      <c r="O141" s="310"/>
      <c r="P141" s="268"/>
      <c r="Q141" s="309"/>
      <c r="R141" s="268"/>
      <c r="S141" s="313"/>
      <c r="T141" s="313"/>
      <c r="U141" s="268"/>
      <c r="V141" s="309"/>
      <c r="W141" s="310"/>
      <c r="X141" s="268"/>
      <c r="Y141" s="268"/>
      <c r="Z141" s="268"/>
      <c r="AA141" s="268"/>
      <c r="AB141" s="268"/>
      <c r="AC141" s="268"/>
      <c r="AD141" s="268"/>
      <c r="AE141" s="268"/>
    </row>
    <row r="142" spans="1:31" ht="24.75" customHeight="1">
      <c r="A142" s="268"/>
      <c r="B142" s="268"/>
      <c r="C142" s="268"/>
      <c r="D142" s="268"/>
      <c r="E142" s="268"/>
      <c r="F142" s="268"/>
      <c r="G142" s="268"/>
      <c r="H142" s="268"/>
      <c r="I142" s="268"/>
      <c r="J142" s="268"/>
      <c r="K142" s="268"/>
      <c r="L142" s="309"/>
      <c r="M142" s="268"/>
      <c r="N142" s="268"/>
      <c r="O142" s="310"/>
      <c r="P142" s="268"/>
      <c r="Q142" s="309"/>
      <c r="R142" s="268"/>
      <c r="S142" s="313"/>
      <c r="T142" s="313"/>
      <c r="U142" s="248"/>
      <c r="V142" s="253"/>
      <c r="W142" s="254"/>
      <c r="X142" s="248"/>
      <c r="Y142" s="248"/>
      <c r="Z142" s="248"/>
      <c r="AA142" s="268"/>
      <c r="AB142" s="268"/>
      <c r="AC142" s="268"/>
      <c r="AD142" s="268"/>
      <c r="AE142" s="268"/>
    </row>
    <row r="143" spans="1:31" ht="24.75" customHeight="1">
      <c r="A143" s="268"/>
      <c r="B143" s="268"/>
      <c r="C143" s="268"/>
      <c r="D143" s="268"/>
      <c r="E143" s="268"/>
      <c r="F143" s="268"/>
      <c r="G143" s="268"/>
      <c r="H143" s="268"/>
      <c r="I143" s="268"/>
      <c r="J143" s="268"/>
      <c r="K143" s="268"/>
      <c r="L143" s="309"/>
      <c r="M143" s="268"/>
      <c r="N143" s="268"/>
      <c r="O143" s="310"/>
      <c r="P143" s="268"/>
      <c r="Q143" s="309"/>
      <c r="R143" s="268"/>
      <c r="S143" s="313"/>
      <c r="T143" s="313"/>
      <c r="U143" s="248"/>
      <c r="V143" s="253"/>
      <c r="W143" s="254"/>
      <c r="X143" s="248"/>
      <c r="Y143" s="248"/>
      <c r="Z143" s="248"/>
      <c r="AA143" s="268"/>
      <c r="AB143" s="268"/>
      <c r="AC143" s="268"/>
      <c r="AD143" s="268"/>
      <c r="AE143" s="268"/>
    </row>
    <row r="144" spans="1:31" ht="24.75" customHeight="1">
      <c r="A144" s="268"/>
      <c r="B144" s="268"/>
      <c r="C144" s="268"/>
      <c r="D144" s="268"/>
      <c r="E144" s="268"/>
      <c r="F144" s="268"/>
      <c r="G144" s="268"/>
      <c r="H144" s="268"/>
      <c r="I144" s="268"/>
      <c r="J144" s="268"/>
      <c r="K144" s="268"/>
      <c r="L144" s="309"/>
      <c r="M144" s="268"/>
      <c r="N144" s="268"/>
      <c r="O144" s="310"/>
      <c r="P144" s="268"/>
      <c r="Q144" s="309"/>
      <c r="R144" s="268"/>
      <c r="S144" s="313"/>
      <c r="T144" s="313"/>
      <c r="U144" s="248"/>
      <c r="V144" s="253"/>
      <c r="W144" s="254"/>
      <c r="X144" s="248"/>
      <c r="Y144" s="248"/>
      <c r="Z144" s="248"/>
      <c r="AA144" s="268"/>
      <c r="AB144" s="268"/>
      <c r="AC144" s="268"/>
      <c r="AD144" s="268"/>
      <c r="AE144" s="268"/>
    </row>
    <row r="145" spans="1:31" ht="24.75" customHeight="1">
      <c r="A145" s="268"/>
      <c r="B145" s="268"/>
      <c r="C145" s="268"/>
      <c r="D145" s="268"/>
      <c r="E145" s="268"/>
      <c r="F145" s="268"/>
      <c r="G145" s="268"/>
      <c r="H145" s="268"/>
      <c r="I145" s="268"/>
      <c r="J145" s="268"/>
      <c r="K145" s="268"/>
      <c r="L145" s="309"/>
      <c r="M145" s="268"/>
      <c r="N145" s="268"/>
      <c r="O145" s="310"/>
      <c r="P145" s="268"/>
      <c r="Q145" s="309"/>
      <c r="R145" s="268"/>
      <c r="S145" s="313"/>
      <c r="T145" s="313"/>
      <c r="U145" s="248"/>
      <c r="V145" s="253"/>
      <c r="W145" s="254"/>
      <c r="X145" s="248"/>
      <c r="Y145" s="248"/>
      <c r="Z145" s="248"/>
      <c r="AA145" s="268"/>
      <c r="AB145" s="268"/>
      <c r="AC145" s="268"/>
      <c r="AD145" s="268"/>
      <c r="AE145" s="268"/>
    </row>
    <row r="146" spans="1:31" ht="24.75" customHeight="1">
      <c r="A146" s="268"/>
      <c r="B146" s="268"/>
      <c r="C146" s="268"/>
      <c r="D146" s="268"/>
      <c r="E146" s="268"/>
      <c r="F146" s="268"/>
      <c r="G146" s="268"/>
      <c r="H146" s="268"/>
      <c r="I146" s="268"/>
      <c r="J146" s="268"/>
      <c r="K146" s="268"/>
      <c r="L146" s="309"/>
      <c r="M146" s="268"/>
      <c r="N146" s="268"/>
      <c r="O146" s="310"/>
      <c r="P146" s="268"/>
      <c r="Q146" s="309"/>
      <c r="R146" s="268"/>
      <c r="S146" s="313"/>
      <c r="T146" s="313"/>
      <c r="U146" s="268"/>
      <c r="V146" s="309"/>
      <c r="W146" s="310"/>
      <c r="X146" s="268"/>
      <c r="Y146" s="268"/>
      <c r="Z146" s="268"/>
      <c r="AA146" s="268"/>
      <c r="AB146" s="268"/>
      <c r="AC146" s="268"/>
      <c r="AD146" s="268"/>
      <c r="AE146" s="268"/>
    </row>
    <row r="147" spans="1:31" ht="24.75" customHeight="1">
      <c r="A147" s="268"/>
      <c r="B147" s="268"/>
      <c r="C147" s="268"/>
      <c r="D147" s="268"/>
      <c r="E147" s="268"/>
      <c r="F147" s="268"/>
      <c r="G147" s="268"/>
      <c r="H147" s="268"/>
      <c r="I147" s="268"/>
      <c r="J147" s="268"/>
      <c r="K147" s="268"/>
      <c r="L147" s="309"/>
      <c r="M147" s="268"/>
      <c r="N147" s="268"/>
      <c r="O147" s="310"/>
      <c r="P147" s="268"/>
      <c r="Q147" s="309"/>
      <c r="R147" s="268"/>
      <c r="S147" s="313"/>
      <c r="T147" s="313"/>
      <c r="U147" s="248"/>
      <c r="V147" s="253"/>
      <c r="W147" s="254"/>
      <c r="X147" s="248"/>
      <c r="Y147" s="248"/>
      <c r="Z147" s="248"/>
      <c r="AA147" s="268"/>
      <c r="AB147" s="268"/>
      <c r="AC147" s="268"/>
      <c r="AD147" s="268"/>
      <c r="AE147" s="268"/>
    </row>
    <row r="148" spans="1:31" ht="24.75" customHeight="1">
      <c r="A148" s="268"/>
      <c r="B148" s="268"/>
      <c r="C148" s="268"/>
      <c r="D148" s="268"/>
      <c r="E148" s="268"/>
      <c r="F148" s="268"/>
      <c r="G148" s="268"/>
      <c r="H148" s="268"/>
      <c r="I148" s="268"/>
      <c r="J148" s="268"/>
      <c r="K148" s="268"/>
      <c r="L148" s="309"/>
      <c r="M148" s="268"/>
      <c r="N148" s="268"/>
      <c r="O148" s="310"/>
      <c r="P148" s="268"/>
      <c r="Q148" s="309"/>
      <c r="R148" s="268"/>
      <c r="S148" s="313"/>
      <c r="T148" s="313"/>
      <c r="U148" s="248"/>
      <c r="V148" s="253"/>
      <c r="W148" s="254"/>
      <c r="X148" s="248"/>
      <c r="Y148" s="248"/>
      <c r="Z148" s="248"/>
      <c r="AA148" s="268"/>
      <c r="AB148" s="268"/>
      <c r="AC148" s="268"/>
      <c r="AD148" s="268"/>
      <c r="AE148" s="268"/>
    </row>
    <row r="149" spans="1:31" ht="24.75" customHeight="1">
      <c r="A149" s="268"/>
      <c r="B149" s="268"/>
      <c r="C149" s="268"/>
      <c r="D149" s="268"/>
      <c r="E149" s="268"/>
      <c r="F149" s="268"/>
      <c r="G149" s="268"/>
      <c r="H149" s="268"/>
      <c r="I149" s="268"/>
      <c r="J149" s="268"/>
      <c r="K149" s="268"/>
      <c r="L149" s="309"/>
      <c r="M149" s="268"/>
      <c r="N149" s="268"/>
      <c r="O149" s="310"/>
      <c r="P149" s="268"/>
      <c r="Q149" s="309"/>
      <c r="R149" s="268"/>
      <c r="S149" s="313"/>
      <c r="T149" s="313"/>
      <c r="U149" s="268"/>
      <c r="V149" s="309"/>
      <c r="W149" s="310"/>
      <c r="X149" s="268"/>
      <c r="Y149" s="268"/>
      <c r="Z149" s="268"/>
      <c r="AA149" s="268"/>
      <c r="AB149" s="268"/>
      <c r="AC149" s="268"/>
      <c r="AD149" s="268"/>
      <c r="AE149" s="268"/>
    </row>
    <row r="150" spans="1:31" ht="24.75" customHeight="1">
      <c r="A150" s="268"/>
      <c r="B150" s="268"/>
      <c r="C150" s="268"/>
      <c r="D150" s="268"/>
      <c r="E150" s="268"/>
      <c r="F150" s="268"/>
      <c r="G150" s="268"/>
      <c r="H150" s="268"/>
      <c r="I150" s="268"/>
      <c r="J150" s="268"/>
      <c r="K150" s="268"/>
      <c r="L150" s="309"/>
      <c r="M150" s="268"/>
      <c r="N150" s="268"/>
      <c r="O150" s="310"/>
      <c r="P150" s="268"/>
      <c r="Q150" s="309"/>
      <c r="R150" s="268"/>
      <c r="S150" s="313"/>
      <c r="T150" s="313"/>
      <c r="U150" s="248"/>
      <c r="V150" s="253"/>
      <c r="W150" s="254"/>
      <c r="X150" s="248"/>
      <c r="Y150" s="248"/>
      <c r="Z150" s="248"/>
      <c r="AA150" s="268"/>
      <c r="AB150" s="268"/>
      <c r="AC150" s="268"/>
      <c r="AD150" s="268"/>
      <c r="AE150" s="268"/>
    </row>
    <row r="151" spans="1:31" ht="24.75" customHeight="1">
      <c r="A151" s="268"/>
      <c r="B151" s="268"/>
      <c r="C151" s="268"/>
      <c r="D151" s="268"/>
      <c r="E151" s="268"/>
      <c r="F151" s="268"/>
      <c r="G151" s="268"/>
      <c r="H151" s="268"/>
      <c r="I151" s="268"/>
      <c r="J151" s="268"/>
      <c r="K151" s="268"/>
      <c r="L151" s="309"/>
      <c r="M151" s="268"/>
      <c r="N151" s="268"/>
      <c r="O151" s="310"/>
      <c r="P151" s="268"/>
      <c r="Q151" s="309"/>
      <c r="R151" s="268"/>
      <c r="S151" s="313"/>
      <c r="T151" s="313"/>
      <c r="U151" s="248"/>
      <c r="V151" s="253"/>
      <c r="W151" s="254"/>
      <c r="X151" s="248"/>
      <c r="Y151" s="248"/>
      <c r="Z151" s="248"/>
      <c r="AA151" s="268"/>
      <c r="AB151" s="268"/>
      <c r="AC151" s="268"/>
      <c r="AD151" s="268"/>
      <c r="AE151" s="268"/>
    </row>
    <row r="152" spans="1:31" ht="24.75" customHeight="1">
      <c r="A152" s="268"/>
      <c r="B152" s="268"/>
      <c r="C152" s="268"/>
      <c r="D152" s="268"/>
      <c r="E152" s="268"/>
      <c r="F152" s="268"/>
      <c r="G152" s="268"/>
      <c r="H152" s="268"/>
      <c r="I152" s="268"/>
      <c r="J152" s="268"/>
      <c r="K152" s="268"/>
      <c r="L152" s="309"/>
      <c r="M152" s="268"/>
      <c r="N152" s="268"/>
      <c r="O152" s="310"/>
      <c r="P152" s="268"/>
      <c r="Q152" s="309"/>
      <c r="R152" s="268"/>
      <c r="S152" s="313"/>
      <c r="T152" s="313"/>
      <c r="U152" s="248"/>
      <c r="V152" s="253"/>
      <c r="W152" s="254"/>
      <c r="X152" s="248"/>
      <c r="Y152" s="248"/>
      <c r="Z152" s="248"/>
      <c r="AA152" s="268"/>
      <c r="AB152" s="268"/>
      <c r="AC152" s="268"/>
      <c r="AD152" s="268"/>
      <c r="AE152" s="268"/>
    </row>
    <row r="153" spans="1:31" ht="24.75" customHeight="1">
      <c r="A153" s="268"/>
      <c r="B153" s="268"/>
      <c r="C153" s="268"/>
      <c r="D153" s="268"/>
      <c r="E153" s="268"/>
      <c r="F153" s="268"/>
      <c r="G153" s="268"/>
      <c r="H153" s="268"/>
      <c r="I153" s="268"/>
      <c r="J153" s="268"/>
      <c r="K153" s="268"/>
      <c r="L153" s="309"/>
      <c r="M153" s="268"/>
      <c r="N153" s="268"/>
      <c r="O153" s="310"/>
      <c r="P153" s="268"/>
      <c r="Q153" s="309"/>
      <c r="R153" s="268"/>
      <c r="S153" s="313"/>
      <c r="T153" s="313"/>
      <c r="U153" s="268"/>
      <c r="V153" s="309"/>
      <c r="W153" s="310"/>
      <c r="X153" s="268"/>
      <c r="Y153" s="268"/>
      <c r="Z153" s="268"/>
      <c r="AA153" s="268"/>
      <c r="AB153" s="268"/>
      <c r="AC153" s="268"/>
      <c r="AD153" s="268"/>
      <c r="AE153" s="268"/>
    </row>
    <row r="154" spans="1:31" ht="24.75" customHeight="1">
      <c r="A154" s="268"/>
      <c r="B154" s="268"/>
      <c r="C154" s="268"/>
      <c r="D154" s="268"/>
      <c r="E154" s="268"/>
      <c r="F154" s="268"/>
      <c r="G154" s="268"/>
      <c r="H154" s="268"/>
      <c r="I154" s="268"/>
      <c r="J154" s="268"/>
      <c r="K154" s="268"/>
      <c r="L154" s="309"/>
      <c r="M154" s="268"/>
      <c r="N154" s="268"/>
      <c r="O154" s="310"/>
      <c r="P154" s="268"/>
      <c r="Q154" s="309"/>
      <c r="R154" s="268"/>
      <c r="S154" s="313"/>
      <c r="T154" s="313"/>
      <c r="U154" s="248"/>
      <c r="V154" s="253"/>
      <c r="W154" s="254"/>
      <c r="X154" s="248"/>
      <c r="Y154" s="248"/>
      <c r="Z154" s="248"/>
      <c r="AA154" s="268"/>
      <c r="AB154" s="268"/>
      <c r="AC154" s="268"/>
      <c r="AD154" s="268"/>
      <c r="AE154" s="268"/>
    </row>
    <row r="155" spans="1:31" ht="24.75" customHeight="1">
      <c r="A155" s="268"/>
      <c r="B155" s="268"/>
      <c r="C155" s="268"/>
      <c r="D155" s="268"/>
      <c r="E155" s="268"/>
      <c r="F155" s="268"/>
      <c r="G155" s="268"/>
      <c r="H155" s="268"/>
      <c r="I155" s="268"/>
      <c r="J155" s="268"/>
      <c r="K155" s="268"/>
      <c r="L155" s="309"/>
      <c r="M155" s="268"/>
      <c r="N155" s="268"/>
      <c r="O155" s="310"/>
      <c r="P155" s="268"/>
      <c r="Q155" s="309"/>
      <c r="R155" s="268"/>
      <c r="S155" s="313"/>
      <c r="T155" s="313"/>
      <c r="U155" s="248"/>
      <c r="V155" s="253"/>
      <c r="W155" s="254"/>
      <c r="X155" s="248"/>
      <c r="Y155" s="248"/>
      <c r="Z155" s="248"/>
      <c r="AA155" s="268"/>
      <c r="AB155" s="268"/>
      <c r="AC155" s="268"/>
      <c r="AD155" s="268"/>
      <c r="AE155" s="268"/>
    </row>
    <row r="156" spans="1:31" ht="24.75" customHeight="1">
      <c r="A156" s="268"/>
      <c r="B156" s="268"/>
      <c r="C156" s="268"/>
      <c r="D156" s="268"/>
      <c r="E156" s="268"/>
      <c r="F156" s="268"/>
      <c r="G156" s="268"/>
      <c r="H156" s="268"/>
      <c r="I156" s="268"/>
      <c r="J156" s="268"/>
      <c r="K156" s="268"/>
      <c r="L156" s="309"/>
      <c r="M156" s="268"/>
      <c r="N156" s="268"/>
      <c r="O156" s="310"/>
      <c r="P156" s="268"/>
      <c r="Q156" s="309"/>
      <c r="R156" s="268"/>
      <c r="S156" s="313"/>
      <c r="T156" s="313"/>
      <c r="U156" s="268"/>
      <c r="V156" s="309"/>
      <c r="W156" s="310"/>
      <c r="X156" s="268"/>
      <c r="Y156" s="268"/>
      <c r="Z156" s="268"/>
      <c r="AA156" s="268"/>
      <c r="AB156" s="268"/>
      <c r="AC156" s="268"/>
      <c r="AD156" s="268"/>
      <c r="AE156" s="268"/>
    </row>
    <row r="157" spans="1:31" ht="24.75" customHeight="1">
      <c r="A157" s="268"/>
      <c r="B157" s="268"/>
      <c r="C157" s="268"/>
      <c r="D157" s="268"/>
      <c r="E157" s="268"/>
      <c r="F157" s="268"/>
      <c r="G157" s="268"/>
      <c r="H157" s="268"/>
      <c r="I157" s="268"/>
      <c r="J157" s="268"/>
      <c r="K157" s="268"/>
      <c r="L157" s="309"/>
      <c r="M157" s="268"/>
      <c r="N157" s="268"/>
      <c r="O157" s="310"/>
      <c r="P157" s="268"/>
      <c r="Q157" s="309"/>
      <c r="R157" s="268"/>
      <c r="S157" s="313"/>
      <c r="T157" s="313"/>
      <c r="U157" s="248"/>
      <c r="V157" s="253"/>
      <c r="W157" s="254"/>
      <c r="X157" s="248"/>
      <c r="Y157" s="248"/>
      <c r="Z157" s="248"/>
      <c r="AA157" s="268"/>
      <c r="AB157" s="268"/>
      <c r="AC157" s="268"/>
      <c r="AD157" s="268"/>
      <c r="AE157" s="268"/>
    </row>
    <row r="158" spans="1:31" ht="24.75" customHeight="1">
      <c r="A158" s="268"/>
      <c r="B158" s="268"/>
      <c r="C158" s="268"/>
      <c r="D158" s="268"/>
      <c r="E158" s="268"/>
      <c r="F158" s="268"/>
      <c r="G158" s="268"/>
      <c r="H158" s="268"/>
      <c r="I158" s="268"/>
      <c r="J158" s="268"/>
      <c r="K158" s="268"/>
      <c r="L158" s="309"/>
      <c r="M158" s="268"/>
      <c r="N158" s="268"/>
      <c r="O158" s="310"/>
      <c r="P158" s="268"/>
      <c r="Q158" s="309"/>
      <c r="R158" s="268"/>
      <c r="S158" s="313"/>
      <c r="T158" s="313"/>
      <c r="U158" s="248"/>
      <c r="V158" s="253"/>
      <c r="W158" s="254"/>
      <c r="X158" s="248"/>
      <c r="Y158" s="248"/>
      <c r="Z158" s="248"/>
      <c r="AA158" s="268"/>
      <c r="AB158" s="268"/>
      <c r="AC158" s="268"/>
      <c r="AD158" s="268"/>
      <c r="AE158" s="268"/>
    </row>
    <row r="159" spans="1:31" ht="24.75" customHeight="1">
      <c r="A159" s="268"/>
      <c r="B159" s="268"/>
      <c r="C159" s="268"/>
      <c r="D159" s="268"/>
      <c r="E159" s="268"/>
      <c r="F159" s="268"/>
      <c r="G159" s="268"/>
      <c r="H159" s="268"/>
      <c r="I159" s="268"/>
      <c r="J159" s="268"/>
      <c r="K159" s="268"/>
      <c r="L159" s="309"/>
      <c r="M159" s="268"/>
      <c r="N159" s="268"/>
      <c r="O159" s="310"/>
      <c r="P159" s="268"/>
      <c r="Q159" s="309"/>
      <c r="R159" s="268"/>
      <c r="S159" s="313"/>
      <c r="T159" s="313"/>
      <c r="U159" s="230"/>
      <c r="V159" s="256"/>
      <c r="W159" s="257"/>
      <c r="X159" s="230"/>
      <c r="Y159" s="230"/>
      <c r="Z159" s="230"/>
      <c r="AA159" s="268"/>
      <c r="AB159" s="268"/>
      <c r="AC159" s="268"/>
      <c r="AD159" s="268"/>
      <c r="AE159" s="268"/>
    </row>
    <row r="160" spans="1:31" ht="24.75" customHeight="1">
      <c r="A160" s="268"/>
      <c r="B160" s="268"/>
      <c r="C160" s="268"/>
      <c r="D160" s="268"/>
      <c r="E160" s="268"/>
      <c r="F160" s="268"/>
      <c r="G160" s="268"/>
      <c r="H160" s="268"/>
      <c r="I160" s="268"/>
      <c r="J160" s="268"/>
      <c r="K160" s="268"/>
      <c r="L160" s="309"/>
      <c r="M160" s="268"/>
      <c r="N160" s="268"/>
      <c r="O160" s="310"/>
      <c r="P160" s="268"/>
      <c r="Q160" s="309"/>
      <c r="R160" s="268"/>
      <c r="S160" s="313"/>
      <c r="T160" s="313"/>
      <c r="U160" s="248"/>
      <c r="V160" s="253"/>
      <c r="W160" s="254"/>
      <c r="X160" s="248"/>
      <c r="Y160" s="248"/>
      <c r="Z160" s="248"/>
      <c r="AA160" s="268"/>
      <c r="AB160" s="268"/>
      <c r="AC160" s="268"/>
      <c r="AD160" s="268"/>
      <c r="AE160" s="268"/>
    </row>
    <row r="161" spans="1:31" ht="24.75" customHeight="1">
      <c r="A161" s="268"/>
      <c r="B161" s="268"/>
      <c r="C161" s="268"/>
      <c r="D161" s="268"/>
      <c r="E161" s="268"/>
      <c r="F161" s="268"/>
      <c r="G161" s="268"/>
      <c r="H161" s="268"/>
      <c r="I161" s="268"/>
      <c r="J161" s="268"/>
      <c r="K161" s="268"/>
      <c r="L161" s="309"/>
      <c r="M161" s="268"/>
      <c r="N161" s="268"/>
      <c r="O161" s="310"/>
      <c r="P161" s="268"/>
      <c r="Q161" s="309"/>
      <c r="R161" s="268"/>
      <c r="S161" s="313"/>
      <c r="T161" s="313"/>
      <c r="U161" s="248"/>
      <c r="V161" s="253"/>
      <c r="W161" s="254"/>
      <c r="X161" s="248"/>
      <c r="Y161" s="248"/>
      <c r="Z161" s="248"/>
      <c r="AA161" s="268"/>
      <c r="AB161" s="268"/>
      <c r="AC161" s="268"/>
      <c r="AD161" s="268"/>
      <c r="AE161" s="268"/>
    </row>
    <row r="162" spans="1:31" ht="24.75" customHeight="1">
      <c r="A162" s="268"/>
      <c r="B162" s="268"/>
      <c r="C162" s="268"/>
      <c r="D162" s="268"/>
      <c r="E162" s="268"/>
      <c r="F162" s="268"/>
      <c r="G162" s="268"/>
      <c r="H162" s="268"/>
      <c r="I162" s="268"/>
      <c r="J162" s="268"/>
      <c r="K162" s="268"/>
      <c r="L162" s="309"/>
      <c r="M162" s="268"/>
      <c r="N162" s="268"/>
      <c r="O162" s="310"/>
      <c r="P162" s="268"/>
      <c r="Q162" s="309"/>
      <c r="R162" s="268"/>
      <c r="S162" s="313"/>
      <c r="T162" s="313"/>
      <c r="U162" s="268"/>
      <c r="V162" s="309"/>
      <c r="W162" s="310"/>
      <c r="X162" s="268"/>
      <c r="Y162" s="268"/>
      <c r="Z162" s="268"/>
      <c r="AA162" s="268"/>
      <c r="AB162" s="268"/>
      <c r="AC162" s="268"/>
      <c r="AD162" s="268"/>
      <c r="AE162" s="268"/>
    </row>
    <row r="163" spans="1:31" ht="24.75" customHeight="1">
      <c r="A163" s="268"/>
      <c r="B163" s="268"/>
      <c r="C163" s="268"/>
      <c r="D163" s="268"/>
      <c r="E163" s="268"/>
      <c r="F163" s="268"/>
      <c r="G163" s="268"/>
      <c r="H163" s="268"/>
      <c r="I163" s="268"/>
      <c r="J163" s="268"/>
      <c r="K163" s="268"/>
      <c r="L163" s="309"/>
      <c r="M163" s="268"/>
      <c r="N163" s="268"/>
      <c r="O163" s="310"/>
      <c r="P163" s="268"/>
      <c r="Q163" s="309"/>
      <c r="R163" s="268"/>
      <c r="S163" s="313"/>
      <c r="T163" s="313"/>
      <c r="U163" s="248"/>
      <c r="V163" s="253"/>
      <c r="W163" s="254"/>
      <c r="X163" s="248"/>
      <c r="Y163" s="248"/>
      <c r="Z163" s="248"/>
      <c r="AA163" s="268"/>
      <c r="AB163" s="268"/>
      <c r="AC163" s="268"/>
      <c r="AD163" s="268"/>
      <c r="AE163" s="268"/>
    </row>
    <row r="164" spans="1:31" ht="24.75" customHeight="1">
      <c r="A164" s="268"/>
      <c r="B164" s="268"/>
      <c r="C164" s="268"/>
      <c r="D164" s="268"/>
      <c r="E164" s="268"/>
      <c r="F164" s="268"/>
      <c r="G164" s="268"/>
      <c r="H164" s="268"/>
      <c r="I164" s="268"/>
      <c r="J164" s="268"/>
      <c r="K164" s="268"/>
      <c r="L164" s="309"/>
      <c r="M164" s="268"/>
      <c r="N164" s="268"/>
      <c r="O164" s="310"/>
      <c r="P164" s="268"/>
      <c r="Q164" s="309"/>
      <c r="R164" s="268"/>
      <c r="S164" s="313"/>
      <c r="T164" s="313"/>
      <c r="U164" s="230"/>
      <c r="V164" s="256"/>
      <c r="W164" s="257"/>
      <c r="X164" s="230"/>
      <c r="Y164" s="230"/>
      <c r="Z164" s="230"/>
      <c r="AA164" s="268"/>
      <c r="AB164" s="268"/>
      <c r="AC164" s="268"/>
      <c r="AD164" s="268"/>
      <c r="AE164" s="268"/>
    </row>
    <row r="165" spans="1:31" ht="24.75" customHeight="1">
      <c r="A165" s="268"/>
      <c r="B165" s="268"/>
      <c r="C165" s="268"/>
      <c r="D165" s="268"/>
      <c r="E165" s="268"/>
      <c r="F165" s="268"/>
      <c r="G165" s="268"/>
      <c r="H165" s="268"/>
      <c r="I165" s="268"/>
      <c r="J165" s="268"/>
      <c r="K165" s="268"/>
      <c r="L165" s="309"/>
      <c r="M165" s="268"/>
      <c r="N165" s="268"/>
      <c r="O165" s="310"/>
      <c r="P165" s="268"/>
      <c r="Q165" s="309"/>
      <c r="R165" s="268"/>
      <c r="S165" s="313"/>
      <c r="T165" s="313"/>
      <c r="U165" s="230"/>
      <c r="V165" s="256"/>
      <c r="W165" s="257"/>
      <c r="X165" s="230"/>
      <c r="Y165" s="230"/>
      <c r="Z165" s="230"/>
      <c r="AA165" s="268"/>
      <c r="AB165" s="268"/>
      <c r="AC165" s="268"/>
      <c r="AD165" s="268"/>
      <c r="AE165" s="268"/>
    </row>
    <row r="166" spans="1:31" ht="24.75" customHeight="1">
      <c r="A166" s="268"/>
      <c r="B166" s="268"/>
      <c r="C166" s="268"/>
      <c r="D166" s="268"/>
      <c r="E166" s="268"/>
      <c r="F166" s="268"/>
      <c r="G166" s="268"/>
      <c r="H166" s="268"/>
      <c r="I166" s="268"/>
      <c r="J166" s="268"/>
      <c r="K166" s="268"/>
      <c r="L166" s="309"/>
      <c r="M166" s="268"/>
      <c r="N166" s="268"/>
      <c r="O166" s="310"/>
      <c r="P166" s="268"/>
      <c r="Q166" s="309"/>
      <c r="R166" s="268"/>
      <c r="S166" s="313"/>
      <c r="T166" s="313"/>
      <c r="U166" s="230"/>
      <c r="V166" s="256"/>
      <c r="W166" s="257"/>
      <c r="X166" s="230"/>
      <c r="Y166" s="230"/>
      <c r="Z166" s="230"/>
      <c r="AA166" s="268"/>
      <c r="AB166" s="268"/>
      <c r="AC166" s="268"/>
      <c r="AD166" s="268"/>
      <c r="AE166" s="268"/>
    </row>
    <row r="167" spans="1:31" ht="24.75" customHeight="1">
      <c r="A167" s="268"/>
      <c r="B167" s="268"/>
      <c r="C167" s="268"/>
      <c r="D167" s="268"/>
      <c r="E167" s="268"/>
      <c r="F167" s="268"/>
      <c r="G167" s="268"/>
      <c r="H167" s="268"/>
      <c r="I167" s="268"/>
      <c r="J167" s="268"/>
      <c r="K167" s="268"/>
      <c r="L167" s="309"/>
      <c r="M167" s="268"/>
      <c r="N167" s="268"/>
      <c r="O167" s="310"/>
      <c r="P167" s="268"/>
      <c r="Q167" s="309"/>
      <c r="R167" s="268"/>
      <c r="S167" s="313"/>
      <c r="T167" s="313"/>
      <c r="U167" s="230"/>
      <c r="V167" s="256"/>
      <c r="W167" s="257"/>
      <c r="X167" s="230"/>
      <c r="Y167" s="230"/>
      <c r="Z167" s="230"/>
      <c r="AA167" s="268"/>
      <c r="AB167" s="268"/>
      <c r="AC167" s="268"/>
      <c r="AD167" s="268"/>
      <c r="AE167" s="268"/>
    </row>
    <row r="168" spans="1:31" ht="24.75" customHeight="1">
      <c r="A168" s="268"/>
      <c r="B168" s="268"/>
      <c r="C168" s="268"/>
      <c r="D168" s="268"/>
      <c r="E168" s="268"/>
      <c r="F168" s="268"/>
      <c r="G168" s="268"/>
      <c r="H168" s="268"/>
      <c r="I168" s="268"/>
      <c r="J168" s="268"/>
      <c r="K168" s="268"/>
      <c r="L168" s="309"/>
      <c r="M168" s="268"/>
      <c r="N168" s="268"/>
      <c r="O168" s="310"/>
      <c r="P168" s="268"/>
      <c r="Q168" s="309"/>
      <c r="R168" s="268"/>
      <c r="S168" s="313"/>
      <c r="T168" s="313"/>
      <c r="U168" s="230"/>
      <c r="V168" s="256"/>
      <c r="W168" s="257"/>
      <c r="X168" s="230"/>
      <c r="Y168" s="230"/>
      <c r="Z168" s="230"/>
      <c r="AA168" s="268"/>
      <c r="AB168" s="268"/>
      <c r="AC168" s="268"/>
      <c r="AD168" s="268"/>
      <c r="AE168" s="268"/>
    </row>
    <row r="169" spans="1:31" ht="24.75" customHeight="1">
      <c r="A169" s="268"/>
      <c r="B169" s="268"/>
      <c r="C169" s="268"/>
      <c r="D169" s="268"/>
      <c r="E169" s="268"/>
      <c r="F169" s="268"/>
      <c r="G169" s="268"/>
      <c r="H169" s="268"/>
      <c r="I169" s="268"/>
      <c r="J169" s="268"/>
      <c r="K169" s="268"/>
      <c r="L169" s="309"/>
      <c r="M169" s="268"/>
      <c r="N169" s="268"/>
      <c r="O169" s="310"/>
      <c r="P169" s="268"/>
      <c r="Q169" s="309"/>
      <c r="R169" s="268"/>
      <c r="S169" s="313"/>
      <c r="T169" s="313"/>
      <c r="U169" s="230"/>
      <c r="V169" s="256"/>
      <c r="W169" s="257"/>
      <c r="X169" s="230"/>
      <c r="Y169" s="230"/>
      <c r="Z169" s="230"/>
      <c r="AA169" s="268"/>
      <c r="AB169" s="268"/>
      <c r="AC169" s="268"/>
      <c r="AD169" s="268"/>
      <c r="AE169" s="268"/>
    </row>
    <row r="170" spans="1:31" ht="24.75" customHeight="1">
      <c r="A170" s="268"/>
      <c r="B170" s="268"/>
      <c r="C170" s="268"/>
      <c r="D170" s="268"/>
      <c r="E170" s="268"/>
      <c r="F170" s="268"/>
      <c r="G170" s="268"/>
      <c r="H170" s="268"/>
      <c r="I170" s="268"/>
      <c r="J170" s="268"/>
      <c r="K170" s="268"/>
      <c r="L170" s="309"/>
      <c r="M170" s="268"/>
      <c r="N170" s="268"/>
      <c r="O170" s="310"/>
      <c r="P170" s="268"/>
      <c r="Q170" s="309"/>
      <c r="R170" s="268"/>
      <c r="S170" s="313"/>
      <c r="T170" s="313"/>
      <c r="U170" s="230"/>
      <c r="V170" s="256"/>
      <c r="W170" s="257"/>
      <c r="X170" s="230"/>
      <c r="Y170" s="230"/>
      <c r="Z170" s="230"/>
      <c r="AA170" s="268"/>
      <c r="AB170" s="268"/>
      <c r="AC170" s="268"/>
      <c r="AD170" s="268"/>
      <c r="AE170" s="268"/>
    </row>
    <row r="171" spans="1:31" ht="24.75" customHeight="1">
      <c r="A171" s="268"/>
      <c r="B171" s="268"/>
      <c r="C171" s="268"/>
      <c r="D171" s="268"/>
      <c r="E171" s="268"/>
      <c r="F171" s="268"/>
      <c r="G171" s="268"/>
      <c r="H171" s="268"/>
      <c r="I171" s="268"/>
      <c r="J171" s="268"/>
      <c r="K171" s="268"/>
      <c r="L171" s="309"/>
      <c r="M171" s="268"/>
      <c r="N171" s="268"/>
      <c r="O171" s="310"/>
      <c r="P171" s="268"/>
      <c r="Q171" s="309"/>
      <c r="R171" s="268"/>
      <c r="S171" s="313"/>
      <c r="T171" s="313"/>
      <c r="U171" s="230"/>
      <c r="V171" s="256"/>
      <c r="W171" s="257"/>
      <c r="X171" s="230"/>
      <c r="Y171" s="230"/>
      <c r="Z171" s="230"/>
      <c r="AA171" s="268"/>
      <c r="AB171" s="268"/>
      <c r="AC171" s="268"/>
      <c r="AD171" s="268"/>
      <c r="AE171" s="268"/>
    </row>
    <row r="172" spans="1:31" ht="24.75" customHeight="1">
      <c r="A172" s="268"/>
      <c r="B172" s="268"/>
      <c r="C172" s="268"/>
      <c r="D172" s="268"/>
      <c r="E172" s="268"/>
      <c r="F172" s="268"/>
      <c r="G172" s="268"/>
      <c r="H172" s="268"/>
      <c r="I172" s="268"/>
      <c r="J172" s="268"/>
      <c r="K172" s="268"/>
      <c r="L172" s="309"/>
      <c r="M172" s="268"/>
      <c r="N172" s="268"/>
      <c r="O172" s="310"/>
      <c r="P172" s="268"/>
      <c r="Q172" s="309"/>
      <c r="R172" s="268"/>
      <c r="S172" s="313"/>
      <c r="T172" s="313"/>
      <c r="U172" s="230"/>
      <c r="V172" s="256"/>
      <c r="W172" s="257"/>
      <c r="X172" s="230"/>
      <c r="Y172" s="230"/>
      <c r="Z172" s="230"/>
      <c r="AA172" s="268"/>
      <c r="AB172" s="268"/>
      <c r="AC172" s="268"/>
      <c r="AD172" s="268"/>
      <c r="AE172" s="268"/>
    </row>
    <row r="173" spans="1:31" ht="24.75" customHeight="1">
      <c r="A173" s="268"/>
      <c r="B173" s="268"/>
      <c r="C173" s="268"/>
      <c r="D173" s="268"/>
      <c r="E173" s="268"/>
      <c r="F173" s="268"/>
      <c r="G173" s="268"/>
      <c r="H173" s="268"/>
      <c r="I173" s="268"/>
      <c r="J173" s="268"/>
      <c r="K173" s="268"/>
      <c r="L173" s="309"/>
      <c r="M173" s="268"/>
      <c r="N173" s="268"/>
      <c r="O173" s="310"/>
      <c r="P173" s="268"/>
      <c r="Q173" s="309"/>
      <c r="R173" s="268"/>
      <c r="S173" s="313"/>
      <c r="T173" s="313"/>
      <c r="U173" s="248"/>
      <c r="V173" s="253"/>
      <c r="W173" s="254"/>
      <c r="X173" s="248"/>
      <c r="Y173" s="248"/>
      <c r="Z173" s="248"/>
      <c r="AA173" s="268"/>
      <c r="AB173" s="268"/>
      <c r="AC173" s="268"/>
      <c r="AD173" s="268"/>
      <c r="AE173" s="268"/>
    </row>
    <row r="174" spans="1:31" ht="24.75" customHeight="1">
      <c r="A174" s="268"/>
      <c r="B174" s="268"/>
      <c r="C174" s="268"/>
      <c r="D174" s="268"/>
      <c r="E174" s="268"/>
      <c r="F174" s="268"/>
      <c r="G174" s="268"/>
      <c r="H174" s="268"/>
      <c r="I174" s="268"/>
      <c r="J174" s="268"/>
      <c r="K174" s="268"/>
      <c r="L174" s="309"/>
      <c r="M174" s="268"/>
      <c r="N174" s="268"/>
      <c r="O174" s="310"/>
      <c r="P174" s="268"/>
      <c r="Q174" s="309"/>
      <c r="R174" s="268"/>
      <c r="S174" s="313"/>
      <c r="T174" s="313"/>
      <c r="U174" s="230"/>
      <c r="V174" s="256"/>
      <c r="W174" s="257"/>
      <c r="X174" s="230"/>
      <c r="Y174" s="230"/>
      <c r="Z174" s="230"/>
      <c r="AA174" s="268"/>
      <c r="AB174" s="268"/>
      <c r="AC174" s="268"/>
      <c r="AD174" s="268"/>
      <c r="AE174" s="268"/>
    </row>
    <row r="175" spans="1:31" ht="24.75" customHeight="1">
      <c r="A175" s="268"/>
      <c r="B175" s="268"/>
      <c r="C175" s="268"/>
      <c r="D175" s="268"/>
      <c r="E175" s="268"/>
      <c r="F175" s="268"/>
      <c r="G175" s="268"/>
      <c r="H175" s="268"/>
      <c r="I175" s="268"/>
      <c r="J175" s="268"/>
      <c r="K175" s="268"/>
      <c r="L175" s="309"/>
      <c r="M175" s="268"/>
      <c r="N175" s="268"/>
      <c r="O175" s="310"/>
      <c r="P175" s="268"/>
      <c r="Q175" s="309"/>
      <c r="R175" s="268"/>
      <c r="S175" s="313"/>
      <c r="T175" s="313"/>
      <c r="U175" s="268"/>
      <c r="V175" s="309"/>
      <c r="W175" s="310"/>
      <c r="X175" s="268"/>
      <c r="Y175" s="268"/>
      <c r="Z175" s="268"/>
      <c r="AA175" s="268"/>
      <c r="AB175" s="268"/>
      <c r="AC175" s="268"/>
      <c r="AD175" s="268"/>
      <c r="AE175" s="268"/>
    </row>
    <row r="176" spans="1:31" ht="24.75" customHeight="1">
      <c r="A176" s="268"/>
      <c r="B176" s="268"/>
      <c r="C176" s="268"/>
      <c r="D176" s="268"/>
      <c r="E176" s="268"/>
      <c r="F176" s="268"/>
      <c r="G176" s="268"/>
      <c r="H176" s="268"/>
      <c r="I176" s="268"/>
      <c r="J176" s="268"/>
      <c r="K176" s="268"/>
      <c r="L176" s="309"/>
      <c r="M176" s="268"/>
      <c r="N176" s="268"/>
      <c r="O176" s="310"/>
      <c r="P176" s="268"/>
      <c r="Q176" s="309"/>
      <c r="R176" s="268"/>
      <c r="S176" s="313"/>
      <c r="T176" s="313"/>
      <c r="U176" s="230"/>
      <c r="V176" s="256"/>
      <c r="W176" s="257"/>
      <c r="X176" s="230"/>
      <c r="Y176" s="230"/>
      <c r="Z176" s="230"/>
      <c r="AA176" s="268"/>
      <c r="AB176" s="268"/>
      <c r="AC176" s="268"/>
      <c r="AD176" s="268"/>
      <c r="AE176" s="268"/>
    </row>
    <row r="177" spans="1:31" ht="24.75" customHeight="1">
      <c r="A177" s="268"/>
      <c r="B177" s="268"/>
      <c r="C177" s="268"/>
      <c r="D177" s="268"/>
      <c r="E177" s="268"/>
      <c r="F177" s="268"/>
      <c r="G177" s="268"/>
      <c r="H177" s="268"/>
      <c r="I177" s="268"/>
      <c r="J177" s="268"/>
      <c r="K177" s="268"/>
      <c r="L177" s="309"/>
      <c r="M177" s="268"/>
      <c r="N177" s="268"/>
      <c r="O177" s="310"/>
      <c r="P177" s="268"/>
      <c r="Q177" s="309"/>
      <c r="R177" s="268"/>
      <c r="S177" s="313"/>
      <c r="T177" s="313"/>
      <c r="U177" s="268"/>
      <c r="V177" s="309"/>
      <c r="W177" s="310"/>
      <c r="X177" s="268"/>
      <c r="Y177" s="268"/>
      <c r="Z177" s="268"/>
      <c r="AA177" s="268"/>
      <c r="AB177" s="268"/>
      <c r="AC177" s="268"/>
      <c r="AD177" s="268"/>
      <c r="AE177" s="268"/>
    </row>
    <row r="178" spans="1:31" ht="24.75" customHeight="1">
      <c r="A178" s="268"/>
      <c r="B178" s="268"/>
      <c r="C178" s="268"/>
      <c r="D178" s="268"/>
      <c r="E178" s="268"/>
      <c r="F178" s="268"/>
      <c r="G178" s="268"/>
      <c r="H178" s="268"/>
      <c r="I178" s="268"/>
      <c r="J178" s="268"/>
      <c r="K178" s="268"/>
      <c r="L178" s="309"/>
      <c r="M178" s="268"/>
      <c r="N178" s="268"/>
      <c r="O178" s="310"/>
      <c r="P178" s="268"/>
      <c r="Q178" s="309"/>
      <c r="R178" s="268"/>
      <c r="S178" s="313"/>
      <c r="T178" s="313"/>
      <c r="U178" s="248"/>
      <c r="V178" s="253"/>
      <c r="W178" s="254"/>
      <c r="X178" s="248"/>
      <c r="Y178" s="248"/>
      <c r="Z178" s="248"/>
      <c r="AA178" s="268"/>
      <c r="AB178" s="268"/>
      <c r="AC178" s="268"/>
      <c r="AD178" s="268"/>
      <c r="AE178" s="268"/>
    </row>
    <row r="179" spans="1:31" ht="24.75" customHeight="1">
      <c r="A179" s="268"/>
      <c r="B179" s="268"/>
      <c r="C179" s="268"/>
      <c r="D179" s="268"/>
      <c r="E179" s="268"/>
      <c r="F179" s="268"/>
      <c r="G179" s="268"/>
      <c r="H179" s="268"/>
      <c r="I179" s="268"/>
      <c r="J179" s="268"/>
      <c r="K179" s="268"/>
      <c r="L179" s="309"/>
      <c r="M179" s="268"/>
      <c r="N179" s="268"/>
      <c r="O179" s="310"/>
      <c r="P179" s="268"/>
      <c r="Q179" s="309"/>
      <c r="R179" s="268"/>
      <c r="S179" s="313"/>
      <c r="T179" s="313"/>
      <c r="U179" s="230"/>
      <c r="V179" s="256"/>
      <c r="W179" s="257"/>
      <c r="X179" s="230"/>
      <c r="Y179" s="230"/>
      <c r="Z179" s="230"/>
      <c r="AA179" s="268"/>
      <c r="AB179" s="268"/>
      <c r="AC179" s="268"/>
      <c r="AD179" s="268"/>
      <c r="AE179" s="268"/>
    </row>
    <row r="180" spans="1:31" ht="24.75" customHeight="1">
      <c r="A180" s="268"/>
      <c r="B180" s="268"/>
      <c r="C180" s="268"/>
      <c r="D180" s="268"/>
      <c r="E180" s="268"/>
      <c r="F180" s="268"/>
      <c r="G180" s="268"/>
      <c r="H180" s="268"/>
      <c r="I180" s="268"/>
      <c r="J180" s="268"/>
      <c r="K180" s="268"/>
      <c r="L180" s="309"/>
      <c r="M180" s="268"/>
      <c r="N180" s="268"/>
      <c r="O180" s="310"/>
      <c r="P180" s="268"/>
      <c r="Q180" s="309"/>
      <c r="R180" s="268"/>
      <c r="S180" s="313"/>
      <c r="T180" s="313"/>
      <c r="U180" s="248"/>
      <c r="V180" s="253"/>
      <c r="W180" s="254"/>
      <c r="X180" s="248"/>
      <c r="Y180" s="248"/>
      <c r="Z180" s="248"/>
      <c r="AA180" s="268"/>
      <c r="AB180" s="268"/>
      <c r="AC180" s="268"/>
      <c r="AD180" s="268"/>
      <c r="AE180" s="268"/>
    </row>
    <row r="181" spans="1:31" ht="24.75" customHeight="1">
      <c r="A181" s="268"/>
      <c r="B181" s="268"/>
      <c r="C181" s="268"/>
      <c r="D181" s="268"/>
      <c r="E181" s="268"/>
      <c r="F181" s="268"/>
      <c r="G181" s="268"/>
      <c r="H181" s="268"/>
      <c r="I181" s="268"/>
      <c r="J181" s="268"/>
      <c r="K181" s="268"/>
      <c r="L181" s="309"/>
      <c r="M181" s="268"/>
      <c r="N181" s="268"/>
      <c r="O181" s="310"/>
      <c r="P181" s="268"/>
      <c r="Q181" s="309"/>
      <c r="R181" s="268"/>
      <c r="S181" s="313"/>
      <c r="T181" s="313"/>
      <c r="U181" s="248"/>
      <c r="V181" s="253"/>
      <c r="W181" s="254"/>
      <c r="X181" s="248"/>
      <c r="Y181" s="248"/>
      <c r="Z181" s="248"/>
      <c r="AA181" s="268"/>
      <c r="AB181" s="268"/>
      <c r="AC181" s="268"/>
      <c r="AD181" s="268"/>
      <c r="AE181" s="268"/>
    </row>
    <row r="182" spans="1:31" ht="24.75" customHeight="1">
      <c r="A182" s="268"/>
      <c r="B182" s="268"/>
      <c r="C182" s="268"/>
      <c r="D182" s="268"/>
      <c r="E182" s="268"/>
      <c r="F182" s="268"/>
      <c r="G182" s="268"/>
      <c r="H182" s="268"/>
      <c r="I182" s="268"/>
      <c r="J182" s="268"/>
      <c r="K182" s="268"/>
      <c r="L182" s="309"/>
      <c r="M182" s="268"/>
      <c r="N182" s="268"/>
      <c r="O182" s="310"/>
      <c r="P182" s="268"/>
      <c r="Q182" s="309"/>
      <c r="R182" s="268"/>
      <c r="S182" s="313"/>
      <c r="T182" s="313"/>
      <c r="U182" s="268"/>
      <c r="V182" s="309"/>
      <c r="W182" s="310"/>
      <c r="X182" s="268"/>
      <c r="Y182" s="268"/>
      <c r="Z182" s="268"/>
      <c r="AA182" s="268"/>
      <c r="AB182" s="268"/>
      <c r="AC182" s="268"/>
      <c r="AD182" s="268"/>
      <c r="AE182" s="268"/>
    </row>
    <row r="183" spans="1:31" ht="24.75" customHeight="1">
      <c r="A183" s="268"/>
      <c r="B183" s="268"/>
      <c r="C183" s="268"/>
      <c r="D183" s="268"/>
      <c r="E183" s="268"/>
      <c r="F183" s="268"/>
      <c r="G183" s="268"/>
      <c r="H183" s="268"/>
      <c r="I183" s="268"/>
      <c r="J183" s="268"/>
      <c r="K183" s="268"/>
      <c r="L183" s="309"/>
      <c r="M183" s="268"/>
      <c r="N183" s="268"/>
      <c r="O183" s="310"/>
      <c r="P183" s="268"/>
      <c r="Q183" s="309"/>
      <c r="R183" s="268"/>
      <c r="S183" s="313"/>
      <c r="T183" s="313"/>
      <c r="U183" s="292"/>
      <c r="V183" s="293"/>
      <c r="W183" s="294"/>
      <c r="X183" s="292"/>
      <c r="Y183" s="292"/>
      <c r="Z183" s="292"/>
      <c r="AA183" s="268"/>
      <c r="AB183" s="268"/>
      <c r="AC183" s="268"/>
      <c r="AD183" s="268"/>
      <c r="AE183" s="268"/>
    </row>
    <row r="184" spans="1:31" ht="24.75" customHeight="1">
      <c r="A184" s="268"/>
      <c r="B184" s="268"/>
      <c r="C184" s="268"/>
      <c r="D184" s="268"/>
      <c r="E184" s="268"/>
      <c r="F184" s="268"/>
      <c r="G184" s="268"/>
      <c r="H184" s="268"/>
      <c r="I184" s="268"/>
      <c r="J184" s="268"/>
      <c r="K184" s="268"/>
      <c r="L184" s="309"/>
      <c r="M184" s="268"/>
      <c r="N184" s="268"/>
      <c r="O184" s="310"/>
      <c r="P184" s="268"/>
      <c r="Q184" s="309"/>
      <c r="R184" s="268"/>
      <c r="S184" s="313"/>
      <c r="T184" s="313"/>
      <c r="U184" s="230"/>
      <c r="V184" s="256"/>
      <c r="W184" s="257"/>
      <c r="X184" s="230"/>
      <c r="Y184" s="230"/>
      <c r="Z184" s="230"/>
      <c r="AA184" s="268"/>
      <c r="AB184" s="268"/>
      <c r="AC184" s="268"/>
      <c r="AD184" s="268"/>
      <c r="AE184" s="268"/>
    </row>
    <row r="185" spans="1:31" ht="24.75" customHeight="1">
      <c r="A185" s="268"/>
      <c r="B185" s="268"/>
      <c r="C185" s="268"/>
      <c r="D185" s="268"/>
      <c r="E185" s="268"/>
      <c r="F185" s="268"/>
      <c r="G185" s="268"/>
      <c r="H185" s="268"/>
      <c r="I185" s="268"/>
      <c r="J185" s="268"/>
      <c r="K185" s="268"/>
      <c r="L185" s="309"/>
      <c r="M185" s="268"/>
      <c r="N185" s="268"/>
      <c r="O185" s="310"/>
      <c r="P185" s="268"/>
      <c r="Q185" s="309"/>
      <c r="R185" s="268"/>
      <c r="S185" s="313"/>
      <c r="T185" s="313"/>
      <c r="U185" s="268"/>
      <c r="V185" s="309"/>
      <c r="W185" s="310"/>
      <c r="X185" s="268"/>
      <c r="Y185" s="268"/>
      <c r="Z185" s="268"/>
      <c r="AA185" s="268"/>
      <c r="AB185" s="268"/>
      <c r="AC185" s="268"/>
      <c r="AD185" s="268"/>
      <c r="AE185" s="268"/>
    </row>
    <row r="186" spans="1:31" ht="24.75" customHeight="1">
      <c r="A186" s="268"/>
      <c r="B186" s="268"/>
      <c r="C186" s="268"/>
      <c r="D186" s="268"/>
      <c r="E186" s="268"/>
      <c r="F186" s="268"/>
      <c r="G186" s="268"/>
      <c r="H186" s="268"/>
      <c r="I186" s="268"/>
      <c r="J186" s="268"/>
      <c r="K186" s="268"/>
      <c r="L186" s="309"/>
      <c r="M186" s="268"/>
      <c r="N186" s="268"/>
      <c r="O186" s="310"/>
      <c r="P186" s="268"/>
      <c r="Q186" s="309"/>
      <c r="R186" s="268"/>
      <c r="S186" s="313"/>
      <c r="T186" s="313"/>
      <c r="U186" s="268"/>
      <c r="V186" s="309"/>
      <c r="W186" s="310"/>
      <c r="X186" s="268"/>
      <c r="Y186" s="268"/>
      <c r="Z186" s="268"/>
      <c r="AA186" s="268"/>
      <c r="AB186" s="268"/>
      <c r="AC186" s="268"/>
      <c r="AD186" s="268"/>
      <c r="AE186" s="268"/>
    </row>
    <row r="187" spans="1:31" ht="24.75" customHeight="1">
      <c r="A187" s="268"/>
      <c r="B187" s="268"/>
      <c r="C187" s="268"/>
      <c r="D187" s="268"/>
      <c r="E187" s="268"/>
      <c r="F187" s="268"/>
      <c r="G187" s="268"/>
      <c r="H187" s="268"/>
      <c r="I187" s="268"/>
      <c r="J187" s="268"/>
      <c r="K187" s="268"/>
      <c r="L187" s="309"/>
      <c r="M187" s="268"/>
      <c r="N187" s="268"/>
      <c r="O187" s="310"/>
      <c r="P187" s="268"/>
      <c r="Q187" s="309"/>
      <c r="R187" s="268"/>
      <c r="S187" s="313"/>
      <c r="T187" s="313"/>
      <c r="U187" s="230"/>
      <c r="V187" s="256"/>
      <c r="W187" s="257"/>
      <c r="X187" s="230"/>
      <c r="Y187" s="230"/>
      <c r="Z187" s="230"/>
      <c r="AA187" s="268"/>
      <c r="AB187" s="268"/>
      <c r="AC187" s="268"/>
      <c r="AD187" s="268"/>
      <c r="AE187" s="268"/>
    </row>
    <row r="188" spans="1:31" ht="24.75" customHeight="1">
      <c r="A188" s="268"/>
      <c r="B188" s="268"/>
      <c r="C188" s="268"/>
      <c r="D188" s="268"/>
      <c r="E188" s="268"/>
      <c r="F188" s="268"/>
      <c r="G188" s="268"/>
      <c r="H188" s="268"/>
      <c r="I188" s="268"/>
      <c r="J188" s="268"/>
      <c r="K188" s="268"/>
      <c r="L188" s="309"/>
      <c r="M188" s="268"/>
      <c r="N188" s="268"/>
      <c r="O188" s="310"/>
      <c r="P188" s="268"/>
      <c r="Q188" s="309"/>
      <c r="R188" s="268"/>
      <c r="S188" s="313"/>
      <c r="T188" s="313"/>
      <c r="U188" s="230"/>
      <c r="V188" s="256"/>
      <c r="W188" s="257"/>
      <c r="X188" s="230"/>
      <c r="Y188" s="230"/>
      <c r="Z188" s="230"/>
      <c r="AA188" s="268"/>
      <c r="AB188" s="268"/>
      <c r="AC188" s="268"/>
      <c r="AD188" s="268"/>
      <c r="AE188" s="268"/>
    </row>
    <row r="189" spans="1:31" ht="24.75" customHeight="1">
      <c r="A189" s="268"/>
      <c r="B189" s="268"/>
      <c r="C189" s="268"/>
      <c r="D189" s="268"/>
      <c r="E189" s="268"/>
      <c r="F189" s="268"/>
      <c r="G189" s="268"/>
      <c r="H189" s="268"/>
      <c r="I189" s="268"/>
      <c r="J189" s="268"/>
      <c r="K189" s="268"/>
      <c r="L189" s="309"/>
      <c r="M189" s="268"/>
      <c r="N189" s="268"/>
      <c r="O189" s="310"/>
      <c r="P189" s="268"/>
      <c r="Q189" s="309"/>
      <c r="R189" s="268"/>
      <c r="S189" s="313"/>
      <c r="T189" s="313"/>
      <c r="U189" s="268"/>
      <c r="V189" s="309"/>
      <c r="W189" s="310"/>
      <c r="X189" s="268"/>
      <c r="Y189" s="268"/>
      <c r="Z189" s="268"/>
      <c r="AA189" s="268"/>
      <c r="AB189" s="268"/>
      <c r="AC189" s="268"/>
      <c r="AD189" s="268"/>
      <c r="AE189" s="268"/>
    </row>
    <row r="190" spans="1:31" ht="24.75" customHeight="1">
      <c r="A190" s="268"/>
      <c r="B190" s="268"/>
      <c r="C190" s="268"/>
      <c r="D190" s="268"/>
      <c r="E190" s="268"/>
      <c r="F190" s="268"/>
      <c r="G190" s="268"/>
      <c r="H190" s="268"/>
      <c r="I190" s="268"/>
      <c r="J190" s="268"/>
      <c r="K190" s="268"/>
      <c r="L190" s="309"/>
      <c r="M190" s="268"/>
      <c r="N190" s="268"/>
      <c r="O190" s="310"/>
      <c r="P190" s="268"/>
      <c r="Q190" s="309"/>
      <c r="R190" s="268"/>
      <c r="S190" s="313"/>
      <c r="T190" s="313"/>
      <c r="U190" s="268"/>
      <c r="V190" s="309"/>
      <c r="W190" s="310"/>
      <c r="X190" s="268"/>
      <c r="Y190" s="268"/>
      <c r="Z190" s="268"/>
      <c r="AA190" s="268"/>
      <c r="AB190" s="268"/>
      <c r="AC190" s="268"/>
      <c r="AD190" s="268"/>
      <c r="AE190" s="268"/>
    </row>
    <row r="191" spans="1:31" ht="24.75" customHeight="1">
      <c r="A191" s="268"/>
      <c r="B191" s="268"/>
      <c r="C191" s="268"/>
      <c r="D191" s="268"/>
      <c r="E191" s="268"/>
      <c r="F191" s="268"/>
      <c r="G191" s="268"/>
      <c r="H191" s="268"/>
      <c r="I191" s="268"/>
      <c r="J191" s="268"/>
      <c r="K191" s="268"/>
      <c r="L191" s="309"/>
      <c r="M191" s="268"/>
      <c r="N191" s="268"/>
      <c r="O191" s="310"/>
      <c r="P191" s="268"/>
      <c r="Q191" s="309"/>
      <c r="R191" s="268"/>
      <c r="S191" s="313"/>
      <c r="T191" s="313"/>
      <c r="U191" s="268"/>
      <c r="V191" s="309"/>
      <c r="W191" s="310"/>
      <c r="X191" s="268"/>
      <c r="Y191" s="268"/>
      <c r="Z191" s="268"/>
      <c r="AA191" s="268"/>
      <c r="AB191" s="268"/>
      <c r="AC191" s="268"/>
      <c r="AD191" s="268"/>
      <c r="AE191" s="268"/>
    </row>
    <row r="192" spans="1:31" ht="24.75" customHeight="1">
      <c r="A192" s="268"/>
      <c r="B192" s="268"/>
      <c r="C192" s="268"/>
      <c r="D192" s="268"/>
      <c r="E192" s="268"/>
      <c r="F192" s="268"/>
      <c r="G192" s="268"/>
      <c r="H192" s="268"/>
      <c r="I192" s="268"/>
      <c r="J192" s="268"/>
      <c r="K192" s="268"/>
      <c r="L192" s="309"/>
      <c r="M192" s="268"/>
      <c r="N192" s="268"/>
      <c r="O192" s="310"/>
      <c r="P192" s="268"/>
      <c r="Q192" s="309"/>
      <c r="R192" s="268"/>
      <c r="S192" s="313"/>
      <c r="T192" s="313"/>
      <c r="U192" s="248"/>
      <c r="V192" s="253"/>
      <c r="W192" s="254"/>
      <c r="X192" s="248"/>
      <c r="Y192" s="248"/>
      <c r="Z192" s="248"/>
      <c r="AA192" s="268"/>
      <c r="AB192" s="268"/>
      <c r="AC192" s="268"/>
      <c r="AD192" s="268"/>
      <c r="AE192" s="268"/>
    </row>
    <row r="193" spans="1:31" ht="24.75" customHeight="1">
      <c r="A193" s="268"/>
      <c r="B193" s="268"/>
      <c r="C193" s="268"/>
      <c r="D193" s="268"/>
      <c r="E193" s="268"/>
      <c r="F193" s="268"/>
      <c r="G193" s="268"/>
      <c r="H193" s="268"/>
      <c r="I193" s="268"/>
      <c r="J193" s="268"/>
      <c r="K193" s="268"/>
      <c r="L193" s="309"/>
      <c r="M193" s="268"/>
      <c r="N193" s="268"/>
      <c r="O193" s="310"/>
      <c r="P193" s="268"/>
      <c r="Q193" s="309"/>
      <c r="R193" s="268"/>
      <c r="S193" s="313"/>
      <c r="T193" s="313"/>
      <c r="U193" s="268"/>
      <c r="V193" s="309"/>
      <c r="W193" s="310"/>
      <c r="X193" s="268"/>
      <c r="Y193" s="268"/>
      <c r="Z193" s="268"/>
      <c r="AA193" s="268"/>
      <c r="AB193" s="268"/>
      <c r="AC193" s="268"/>
      <c r="AD193" s="268"/>
      <c r="AE193" s="268"/>
    </row>
    <row r="194" spans="1:31" ht="24.75" customHeight="1">
      <c r="A194" s="268"/>
      <c r="B194" s="268"/>
      <c r="C194" s="268"/>
      <c r="D194" s="268"/>
      <c r="E194" s="268"/>
      <c r="F194" s="268"/>
      <c r="G194" s="268"/>
      <c r="H194" s="268"/>
      <c r="I194" s="268"/>
      <c r="J194" s="268"/>
      <c r="K194" s="268"/>
      <c r="L194" s="309"/>
      <c r="M194" s="268"/>
      <c r="N194" s="268"/>
      <c r="O194" s="310"/>
      <c r="P194" s="268"/>
      <c r="Q194" s="309"/>
      <c r="R194" s="268"/>
      <c r="S194" s="313"/>
      <c r="T194" s="313"/>
      <c r="U194" s="268"/>
      <c r="V194" s="309"/>
      <c r="W194" s="310"/>
      <c r="X194" s="268"/>
      <c r="Y194" s="268"/>
      <c r="Z194" s="268"/>
      <c r="AA194" s="268"/>
      <c r="AB194" s="268"/>
      <c r="AC194" s="268"/>
      <c r="AD194" s="268"/>
      <c r="AE194" s="268"/>
    </row>
    <row r="195" spans="1:31" ht="24.75" customHeight="1">
      <c r="A195" s="268"/>
      <c r="B195" s="268"/>
      <c r="C195" s="268"/>
      <c r="D195" s="268"/>
      <c r="E195" s="268"/>
      <c r="F195" s="268"/>
      <c r="G195" s="268"/>
      <c r="H195" s="268"/>
      <c r="I195" s="268"/>
      <c r="J195" s="268"/>
      <c r="K195" s="268"/>
      <c r="L195" s="309"/>
      <c r="M195" s="268"/>
      <c r="N195" s="268"/>
      <c r="O195" s="310"/>
      <c r="P195" s="268"/>
      <c r="Q195" s="309"/>
      <c r="R195" s="268"/>
      <c r="S195" s="313"/>
      <c r="T195" s="313"/>
      <c r="U195" s="292"/>
      <c r="V195" s="293"/>
      <c r="W195" s="294"/>
      <c r="X195" s="292"/>
      <c r="Y195" s="292"/>
      <c r="Z195" s="292"/>
      <c r="AA195" s="268"/>
      <c r="AB195" s="268"/>
      <c r="AC195" s="268"/>
      <c r="AD195" s="268"/>
      <c r="AE195" s="268"/>
    </row>
    <row r="196" spans="1:31" ht="24.75" customHeight="1">
      <c r="A196" s="268"/>
      <c r="B196" s="268"/>
      <c r="C196" s="268"/>
      <c r="D196" s="268"/>
      <c r="E196" s="268"/>
      <c r="F196" s="268"/>
      <c r="G196" s="268"/>
      <c r="H196" s="268"/>
      <c r="I196" s="268"/>
      <c r="J196" s="268"/>
      <c r="K196" s="268"/>
      <c r="L196" s="309"/>
      <c r="M196" s="268"/>
      <c r="N196" s="268"/>
      <c r="O196" s="310"/>
      <c r="P196" s="268"/>
      <c r="Q196" s="309"/>
      <c r="R196" s="268"/>
      <c r="S196" s="313"/>
      <c r="T196" s="313"/>
      <c r="U196" s="268"/>
      <c r="V196" s="309"/>
      <c r="W196" s="310"/>
      <c r="X196" s="268"/>
      <c r="Y196" s="268"/>
      <c r="Z196" s="268"/>
      <c r="AA196" s="268"/>
      <c r="AB196" s="268"/>
      <c r="AC196" s="268"/>
      <c r="AD196" s="268"/>
      <c r="AE196" s="268"/>
    </row>
    <row r="197" spans="1:31" ht="24.75" customHeight="1">
      <c r="A197" s="268"/>
      <c r="B197" s="268"/>
      <c r="C197" s="268"/>
      <c r="D197" s="268"/>
      <c r="E197" s="268"/>
      <c r="F197" s="268"/>
      <c r="G197" s="268"/>
      <c r="H197" s="268"/>
      <c r="I197" s="268"/>
      <c r="J197" s="268"/>
      <c r="K197" s="268"/>
      <c r="L197" s="309"/>
      <c r="M197" s="268"/>
      <c r="N197" s="268"/>
      <c r="O197" s="310"/>
      <c r="P197" s="268"/>
      <c r="Q197" s="309"/>
      <c r="R197" s="268"/>
      <c r="S197" s="313"/>
      <c r="T197" s="313"/>
      <c r="U197" s="248"/>
      <c r="V197" s="253"/>
      <c r="W197" s="254"/>
      <c r="X197" s="248"/>
      <c r="Y197" s="248"/>
      <c r="Z197" s="248"/>
      <c r="AA197" s="268"/>
      <c r="AB197" s="268"/>
      <c r="AC197" s="268"/>
      <c r="AD197" s="268"/>
      <c r="AE197" s="268"/>
    </row>
    <row r="198" spans="1:31" ht="24.75" customHeight="1">
      <c r="A198" s="268"/>
      <c r="B198" s="268"/>
      <c r="C198" s="268"/>
      <c r="D198" s="268"/>
      <c r="E198" s="268"/>
      <c r="F198" s="268"/>
      <c r="G198" s="268"/>
      <c r="H198" s="268"/>
      <c r="I198" s="268"/>
      <c r="J198" s="268"/>
      <c r="K198" s="268"/>
      <c r="L198" s="309"/>
      <c r="M198" s="268"/>
      <c r="N198" s="268"/>
      <c r="O198" s="310"/>
      <c r="P198" s="268"/>
      <c r="Q198" s="309"/>
      <c r="R198" s="268"/>
      <c r="S198" s="313"/>
      <c r="T198" s="313"/>
      <c r="U198" s="248"/>
      <c r="V198" s="253"/>
      <c r="W198" s="254"/>
      <c r="X198" s="248"/>
      <c r="Y198" s="248"/>
      <c r="Z198" s="248"/>
      <c r="AA198" s="268"/>
      <c r="AB198" s="268"/>
      <c r="AC198" s="268"/>
      <c r="AD198" s="268"/>
      <c r="AE198" s="268"/>
    </row>
    <row r="199" spans="1:31" ht="24.75" customHeight="1">
      <c r="A199" s="268"/>
      <c r="B199" s="268"/>
      <c r="C199" s="268"/>
      <c r="D199" s="268"/>
      <c r="E199" s="268"/>
      <c r="F199" s="268"/>
      <c r="G199" s="268"/>
      <c r="H199" s="268"/>
      <c r="I199" s="268"/>
      <c r="J199" s="268"/>
      <c r="K199" s="268"/>
      <c r="L199" s="309"/>
      <c r="M199" s="268"/>
      <c r="N199" s="268"/>
      <c r="O199" s="310"/>
      <c r="P199" s="268"/>
      <c r="Q199" s="309"/>
      <c r="R199" s="268"/>
      <c r="S199" s="313"/>
      <c r="T199" s="313"/>
      <c r="U199" s="268"/>
      <c r="V199" s="309"/>
      <c r="W199" s="310"/>
      <c r="X199" s="268"/>
      <c r="Y199" s="268"/>
      <c r="Z199" s="268"/>
      <c r="AA199" s="268"/>
      <c r="AB199" s="268"/>
      <c r="AC199" s="268"/>
      <c r="AD199" s="268"/>
      <c r="AE199" s="268"/>
    </row>
    <row r="200" spans="1:31" ht="24.75" customHeight="1">
      <c r="A200" s="268"/>
      <c r="B200" s="268"/>
      <c r="C200" s="268"/>
      <c r="D200" s="268"/>
      <c r="E200" s="268"/>
      <c r="F200" s="268"/>
      <c r="G200" s="268"/>
      <c r="H200" s="268"/>
      <c r="I200" s="268"/>
      <c r="J200" s="268"/>
      <c r="K200" s="268"/>
      <c r="L200" s="309"/>
      <c r="M200" s="268"/>
      <c r="N200" s="268"/>
      <c r="O200" s="310"/>
      <c r="P200" s="268"/>
      <c r="Q200" s="309"/>
      <c r="R200" s="268"/>
      <c r="S200" s="313"/>
      <c r="T200" s="313"/>
      <c r="U200" s="230"/>
      <c r="V200" s="256"/>
      <c r="W200" s="257"/>
      <c r="X200" s="230"/>
      <c r="Y200" s="230"/>
      <c r="Z200" s="230"/>
      <c r="AA200" s="268"/>
      <c r="AB200" s="268"/>
      <c r="AC200" s="268"/>
      <c r="AD200" s="268"/>
      <c r="AE200" s="268"/>
    </row>
    <row r="201" spans="1:31" ht="24.75" customHeight="1">
      <c r="A201" s="268"/>
      <c r="B201" s="268"/>
      <c r="C201" s="268"/>
      <c r="D201" s="268"/>
      <c r="E201" s="268"/>
      <c r="F201" s="268"/>
      <c r="G201" s="268"/>
      <c r="H201" s="268"/>
      <c r="I201" s="268"/>
      <c r="J201" s="268"/>
      <c r="K201" s="268"/>
      <c r="L201" s="309"/>
      <c r="M201" s="268"/>
      <c r="N201" s="268"/>
      <c r="O201" s="310"/>
      <c r="P201" s="268"/>
      <c r="Q201" s="309"/>
      <c r="R201" s="268"/>
      <c r="S201" s="313"/>
      <c r="T201" s="313"/>
      <c r="U201" s="268"/>
      <c r="V201" s="309"/>
      <c r="W201" s="310"/>
      <c r="X201" s="268"/>
      <c r="Y201" s="268"/>
      <c r="Z201" s="268"/>
      <c r="AA201" s="268"/>
      <c r="AB201" s="268"/>
      <c r="AC201" s="268"/>
      <c r="AD201" s="268"/>
      <c r="AE201" s="268"/>
    </row>
    <row r="202" spans="1:31" ht="24.75" customHeight="1">
      <c r="A202" s="268"/>
      <c r="B202" s="268"/>
      <c r="C202" s="268"/>
      <c r="D202" s="268"/>
      <c r="E202" s="268"/>
      <c r="F202" s="268"/>
      <c r="G202" s="268"/>
      <c r="H202" s="268"/>
      <c r="I202" s="268"/>
      <c r="J202" s="268"/>
      <c r="K202" s="268"/>
      <c r="L202" s="309"/>
      <c r="M202" s="268"/>
      <c r="N202" s="268"/>
      <c r="O202" s="310"/>
      <c r="P202" s="268"/>
      <c r="Q202" s="309"/>
      <c r="R202" s="268"/>
      <c r="S202" s="313"/>
      <c r="T202" s="313"/>
      <c r="U202" s="268"/>
      <c r="V202" s="309"/>
      <c r="W202" s="310"/>
      <c r="X202" s="268"/>
      <c r="Y202" s="268"/>
      <c r="Z202" s="268"/>
      <c r="AA202" s="268"/>
      <c r="AB202" s="268"/>
      <c r="AC202" s="268"/>
      <c r="AD202" s="268"/>
      <c r="AE202" s="268"/>
    </row>
    <row r="203" spans="1:31" ht="24.75" customHeight="1">
      <c r="A203" s="268"/>
      <c r="B203" s="268"/>
      <c r="C203" s="268"/>
      <c r="D203" s="268"/>
      <c r="E203" s="268"/>
      <c r="F203" s="268"/>
      <c r="G203" s="268"/>
      <c r="H203" s="268"/>
      <c r="I203" s="268"/>
      <c r="J203" s="268"/>
      <c r="K203" s="268"/>
      <c r="L203" s="309"/>
      <c r="M203" s="268"/>
      <c r="N203" s="268"/>
      <c r="O203" s="310"/>
      <c r="P203" s="268"/>
      <c r="Q203" s="309"/>
      <c r="R203" s="268"/>
      <c r="S203" s="313"/>
      <c r="T203" s="313"/>
      <c r="U203" s="268"/>
      <c r="V203" s="309"/>
      <c r="W203" s="310"/>
      <c r="X203" s="268"/>
      <c r="Y203" s="268"/>
      <c r="Z203" s="268"/>
      <c r="AA203" s="268"/>
      <c r="AB203" s="268"/>
      <c r="AC203" s="268"/>
      <c r="AD203" s="268"/>
      <c r="AE203" s="268"/>
    </row>
    <row r="204" spans="1:31" ht="24.75" customHeight="1">
      <c r="A204" s="268"/>
      <c r="B204" s="268"/>
      <c r="C204" s="268"/>
      <c r="D204" s="268"/>
      <c r="E204" s="268"/>
      <c r="F204" s="268"/>
      <c r="G204" s="268"/>
      <c r="H204" s="268"/>
      <c r="I204" s="268"/>
      <c r="J204" s="268"/>
      <c r="K204" s="268"/>
      <c r="L204" s="309"/>
      <c r="M204" s="268"/>
      <c r="N204" s="268"/>
      <c r="O204" s="310"/>
      <c r="P204" s="268"/>
      <c r="Q204" s="309"/>
      <c r="R204" s="268"/>
      <c r="S204" s="313"/>
      <c r="T204" s="313"/>
      <c r="U204" s="268"/>
      <c r="V204" s="309"/>
      <c r="W204" s="310"/>
      <c r="X204" s="268"/>
      <c r="Y204" s="268"/>
      <c r="Z204" s="268"/>
      <c r="AA204" s="268"/>
      <c r="AB204" s="268"/>
      <c r="AC204" s="268"/>
      <c r="AD204" s="268"/>
      <c r="AE204" s="268"/>
    </row>
    <row r="205" spans="1:31" ht="24.75" customHeight="1">
      <c r="A205" s="268"/>
      <c r="B205" s="268"/>
      <c r="C205" s="268"/>
      <c r="D205" s="268"/>
      <c r="E205" s="268"/>
      <c r="F205" s="268"/>
      <c r="G205" s="268"/>
      <c r="H205" s="268"/>
      <c r="I205" s="268"/>
      <c r="J205" s="268"/>
      <c r="K205" s="268"/>
      <c r="L205" s="309"/>
      <c r="M205" s="268"/>
      <c r="N205" s="268"/>
      <c r="O205" s="310"/>
      <c r="P205" s="268"/>
      <c r="Q205" s="309"/>
      <c r="R205" s="268"/>
      <c r="S205" s="313"/>
      <c r="T205" s="313"/>
      <c r="U205" s="268"/>
      <c r="V205" s="309"/>
      <c r="W205" s="310"/>
      <c r="X205" s="268"/>
      <c r="Y205" s="268"/>
      <c r="Z205" s="268"/>
      <c r="AA205" s="268"/>
      <c r="AB205" s="268"/>
      <c r="AC205" s="268"/>
      <c r="AD205" s="268"/>
      <c r="AE205" s="268"/>
    </row>
    <row r="206" spans="1:31" ht="24.75" customHeight="1">
      <c r="A206" s="268"/>
      <c r="B206" s="268"/>
      <c r="C206" s="268"/>
      <c r="D206" s="268"/>
      <c r="E206" s="268"/>
      <c r="F206" s="268"/>
      <c r="G206" s="268"/>
      <c r="H206" s="268"/>
      <c r="I206" s="268"/>
      <c r="J206" s="268"/>
      <c r="K206" s="268"/>
      <c r="L206" s="309"/>
      <c r="M206" s="268"/>
      <c r="N206" s="268"/>
      <c r="O206" s="310"/>
      <c r="P206" s="268"/>
      <c r="Q206" s="309"/>
      <c r="R206" s="268"/>
      <c r="S206" s="313"/>
      <c r="T206" s="313"/>
      <c r="U206" s="268"/>
      <c r="V206" s="309"/>
      <c r="W206" s="310"/>
      <c r="X206" s="268"/>
      <c r="Y206" s="268"/>
      <c r="Z206" s="268"/>
      <c r="AA206" s="268"/>
      <c r="AB206" s="268"/>
      <c r="AC206" s="268"/>
      <c r="AD206" s="268"/>
      <c r="AE206" s="268"/>
    </row>
    <row r="207" spans="1:31" ht="24.75" customHeight="1">
      <c r="A207" s="268"/>
      <c r="B207" s="268"/>
      <c r="C207" s="268"/>
      <c r="D207" s="268"/>
      <c r="E207" s="268"/>
      <c r="F207" s="268"/>
      <c r="G207" s="268"/>
      <c r="H207" s="268"/>
      <c r="I207" s="268"/>
      <c r="J207" s="268"/>
      <c r="K207" s="268"/>
      <c r="L207" s="309"/>
      <c r="M207" s="268"/>
      <c r="N207" s="268"/>
      <c r="O207" s="310"/>
      <c r="P207" s="268"/>
      <c r="Q207" s="309"/>
      <c r="R207" s="268"/>
      <c r="S207" s="313"/>
      <c r="T207" s="313"/>
      <c r="U207" s="230"/>
      <c r="V207" s="256"/>
      <c r="W207" s="257"/>
      <c r="X207" s="230"/>
      <c r="Y207" s="230"/>
      <c r="Z207" s="230"/>
      <c r="AA207" s="268"/>
      <c r="AB207" s="268"/>
      <c r="AC207" s="268"/>
      <c r="AD207" s="268"/>
      <c r="AE207" s="268"/>
    </row>
    <row r="208" spans="1:31" ht="24.75" customHeight="1">
      <c r="A208" s="268"/>
      <c r="B208" s="268"/>
      <c r="C208" s="268"/>
      <c r="D208" s="268"/>
      <c r="E208" s="268"/>
      <c r="F208" s="268"/>
      <c r="G208" s="268"/>
      <c r="H208" s="268"/>
      <c r="I208" s="268"/>
      <c r="J208" s="268"/>
      <c r="K208" s="268"/>
      <c r="L208" s="309"/>
      <c r="M208" s="268"/>
      <c r="N208" s="268"/>
      <c r="O208" s="310"/>
      <c r="P208" s="268"/>
      <c r="Q208" s="309"/>
      <c r="R208" s="268"/>
      <c r="S208" s="313"/>
      <c r="T208" s="313"/>
      <c r="U208" s="230"/>
      <c r="V208" s="256"/>
      <c r="W208" s="257"/>
      <c r="X208" s="230"/>
      <c r="Y208" s="230"/>
      <c r="Z208" s="230"/>
      <c r="AA208" s="268"/>
      <c r="AB208" s="268"/>
      <c r="AC208" s="268"/>
      <c r="AD208" s="268"/>
      <c r="AE208" s="268"/>
    </row>
    <row r="209" spans="1:31" ht="24.75" customHeight="1">
      <c r="A209" s="268"/>
      <c r="B209" s="268"/>
      <c r="C209" s="268"/>
      <c r="D209" s="268"/>
      <c r="E209" s="268"/>
      <c r="F209" s="268"/>
      <c r="G209" s="268"/>
      <c r="H209" s="268"/>
      <c r="I209" s="268"/>
      <c r="J209" s="268"/>
      <c r="K209" s="268"/>
      <c r="L209" s="309"/>
      <c r="M209" s="268"/>
      <c r="N209" s="268"/>
      <c r="O209" s="310"/>
      <c r="P209" s="268"/>
      <c r="Q209" s="309"/>
      <c r="R209" s="268"/>
      <c r="S209" s="313"/>
      <c r="T209" s="313"/>
      <c r="U209" s="268"/>
      <c r="V209" s="309"/>
      <c r="W209" s="310"/>
      <c r="X209" s="268"/>
      <c r="Y209" s="268"/>
      <c r="Z209" s="268"/>
      <c r="AA209" s="268"/>
      <c r="AB209" s="268"/>
      <c r="AC209" s="268"/>
      <c r="AD209" s="268"/>
      <c r="AE209" s="268"/>
    </row>
    <row r="210" spans="1:31" ht="24.75" customHeight="1">
      <c r="A210" s="268"/>
      <c r="B210" s="268"/>
      <c r="C210" s="268"/>
      <c r="D210" s="268"/>
      <c r="E210" s="268"/>
      <c r="F210" s="268"/>
      <c r="G210" s="268"/>
      <c r="H210" s="268"/>
      <c r="I210" s="268"/>
      <c r="J210" s="268"/>
      <c r="K210" s="268"/>
      <c r="L210" s="309"/>
      <c r="M210" s="268"/>
      <c r="N210" s="268"/>
      <c r="O210" s="310"/>
      <c r="P210" s="268"/>
      <c r="Q210" s="309"/>
      <c r="R210" s="268"/>
      <c r="S210" s="313"/>
      <c r="T210" s="313"/>
      <c r="U210" s="268"/>
      <c r="V210" s="309"/>
      <c r="W210" s="310"/>
      <c r="X210" s="268"/>
      <c r="Y210" s="268"/>
      <c r="Z210" s="268"/>
      <c r="AA210" s="268"/>
      <c r="AB210" s="268"/>
      <c r="AC210" s="268"/>
      <c r="AD210" s="268"/>
      <c r="AE210" s="268"/>
    </row>
    <row r="211" spans="1:31" ht="24.75" customHeight="1">
      <c r="A211" s="268"/>
      <c r="B211" s="268"/>
      <c r="C211" s="268"/>
      <c r="D211" s="268"/>
      <c r="E211" s="268"/>
      <c r="F211" s="268"/>
      <c r="G211" s="268"/>
      <c r="H211" s="268"/>
      <c r="I211" s="268"/>
      <c r="J211" s="268"/>
      <c r="K211" s="268"/>
      <c r="L211" s="309"/>
      <c r="M211" s="268"/>
      <c r="N211" s="268"/>
      <c r="O211" s="310"/>
      <c r="P211" s="268"/>
      <c r="Q211" s="309"/>
      <c r="R211" s="268"/>
      <c r="S211" s="313"/>
      <c r="T211" s="313"/>
      <c r="U211" s="268"/>
      <c r="V211" s="309"/>
      <c r="W211" s="310"/>
      <c r="X211" s="268"/>
      <c r="Y211" s="268"/>
      <c r="Z211" s="268"/>
      <c r="AA211" s="268"/>
      <c r="AB211" s="268"/>
      <c r="AC211" s="268"/>
      <c r="AD211" s="268"/>
      <c r="AE211" s="268"/>
    </row>
    <row r="212" spans="1:31" ht="24.75" customHeight="1">
      <c r="A212" s="268"/>
      <c r="B212" s="268"/>
      <c r="C212" s="268"/>
      <c r="D212" s="268"/>
      <c r="E212" s="268"/>
      <c r="F212" s="268"/>
      <c r="G212" s="268"/>
      <c r="H212" s="268"/>
      <c r="I212" s="268"/>
      <c r="J212" s="268"/>
      <c r="K212" s="268"/>
      <c r="L212" s="309"/>
      <c r="M212" s="268"/>
      <c r="N212" s="268"/>
      <c r="O212" s="310"/>
      <c r="P212" s="268"/>
      <c r="Q212" s="309"/>
      <c r="R212" s="268"/>
      <c r="S212" s="313"/>
      <c r="T212" s="313"/>
      <c r="U212" s="268"/>
      <c r="V212" s="309"/>
      <c r="W212" s="310"/>
      <c r="X212" s="268"/>
      <c r="Y212" s="268"/>
      <c r="Z212" s="268"/>
      <c r="AA212" s="268"/>
      <c r="AB212" s="268"/>
      <c r="AC212" s="268"/>
      <c r="AD212" s="268"/>
      <c r="AE212" s="268"/>
    </row>
    <row r="213" spans="1:31" ht="24.75" customHeight="1">
      <c r="A213" s="268"/>
      <c r="B213" s="268"/>
      <c r="C213" s="268"/>
      <c r="D213" s="268"/>
      <c r="E213" s="268"/>
      <c r="F213" s="268"/>
      <c r="G213" s="268"/>
      <c r="H213" s="268"/>
      <c r="I213" s="268"/>
      <c r="J213" s="268"/>
      <c r="K213" s="268"/>
      <c r="L213" s="309"/>
      <c r="M213" s="268"/>
      <c r="N213" s="268"/>
      <c r="O213" s="310"/>
      <c r="P213" s="268"/>
      <c r="Q213" s="309"/>
      <c r="R213" s="268"/>
      <c r="S213" s="313"/>
      <c r="T213" s="313"/>
      <c r="U213" s="268"/>
      <c r="V213" s="309"/>
      <c r="W213" s="310"/>
      <c r="X213" s="268"/>
      <c r="Y213" s="268"/>
      <c r="Z213" s="268"/>
      <c r="AA213" s="268"/>
      <c r="AB213" s="268"/>
      <c r="AC213" s="268"/>
      <c r="AD213" s="268"/>
      <c r="AE213" s="268"/>
    </row>
    <row r="214" spans="1:31" ht="24.75" customHeight="1">
      <c r="A214" s="268"/>
      <c r="B214" s="268"/>
      <c r="C214" s="268"/>
      <c r="D214" s="268"/>
      <c r="E214" s="268"/>
      <c r="F214" s="268"/>
      <c r="G214" s="268"/>
      <c r="H214" s="268"/>
      <c r="I214" s="268"/>
      <c r="J214" s="268"/>
      <c r="K214" s="268"/>
      <c r="L214" s="309"/>
      <c r="M214" s="268"/>
      <c r="N214" s="268"/>
      <c r="O214" s="310"/>
      <c r="P214" s="268"/>
      <c r="Q214" s="309"/>
      <c r="R214" s="268"/>
      <c r="S214" s="313"/>
      <c r="T214" s="313"/>
      <c r="U214" s="268"/>
      <c r="V214" s="309"/>
      <c r="W214" s="310"/>
      <c r="X214" s="268"/>
      <c r="Y214" s="268"/>
      <c r="Z214" s="268"/>
      <c r="AA214" s="268"/>
      <c r="AB214" s="268"/>
      <c r="AC214" s="268"/>
      <c r="AD214" s="268"/>
      <c r="AE214" s="268"/>
    </row>
    <row r="215" spans="1:31" ht="24.75" customHeight="1">
      <c r="A215" s="268"/>
      <c r="B215" s="268"/>
      <c r="C215" s="268"/>
      <c r="D215" s="268"/>
      <c r="E215" s="268"/>
      <c r="F215" s="268"/>
      <c r="G215" s="268"/>
      <c r="H215" s="268"/>
      <c r="I215" s="268"/>
      <c r="J215" s="268"/>
      <c r="K215" s="268"/>
      <c r="L215" s="309"/>
      <c r="M215" s="268"/>
      <c r="N215" s="268"/>
      <c r="O215" s="310"/>
      <c r="P215" s="268"/>
      <c r="Q215" s="309"/>
      <c r="R215" s="268"/>
      <c r="S215" s="313"/>
      <c r="T215" s="313"/>
      <c r="U215" s="268"/>
      <c r="V215" s="309"/>
      <c r="W215" s="310"/>
      <c r="X215" s="268"/>
      <c r="Y215" s="268"/>
      <c r="Z215" s="268"/>
      <c r="AA215" s="268"/>
      <c r="AB215" s="268"/>
      <c r="AC215" s="268"/>
      <c r="AD215" s="268"/>
      <c r="AE215" s="268"/>
    </row>
    <row r="216" spans="1:31" ht="24.75" customHeight="1">
      <c r="A216" s="268"/>
      <c r="B216" s="268"/>
      <c r="C216" s="268"/>
      <c r="D216" s="268"/>
      <c r="E216" s="268"/>
      <c r="F216" s="268"/>
      <c r="G216" s="268"/>
      <c r="H216" s="268"/>
      <c r="I216" s="268"/>
      <c r="J216" s="268"/>
      <c r="K216" s="268"/>
      <c r="L216" s="309"/>
      <c r="M216" s="268"/>
      <c r="N216" s="268"/>
      <c r="O216" s="310"/>
      <c r="P216" s="268"/>
      <c r="Q216" s="309"/>
      <c r="R216" s="268"/>
      <c r="S216" s="313"/>
      <c r="T216" s="313"/>
      <c r="U216" s="268"/>
      <c r="V216" s="309"/>
      <c r="W216" s="310"/>
      <c r="X216" s="268"/>
      <c r="Y216" s="268"/>
      <c r="Z216" s="268"/>
      <c r="AA216" s="268"/>
      <c r="AB216" s="268"/>
      <c r="AC216" s="268"/>
      <c r="AD216" s="268"/>
      <c r="AE216" s="268"/>
    </row>
    <row r="217" spans="1:31" ht="24.75" customHeight="1">
      <c r="A217" s="268"/>
      <c r="B217" s="268"/>
      <c r="C217" s="268"/>
      <c r="D217" s="268"/>
      <c r="E217" s="268"/>
      <c r="F217" s="268"/>
      <c r="G217" s="268"/>
      <c r="H217" s="268"/>
      <c r="I217" s="268"/>
      <c r="J217" s="268"/>
      <c r="K217" s="268"/>
      <c r="L217" s="309"/>
      <c r="M217" s="268"/>
      <c r="N217" s="268"/>
      <c r="O217" s="310"/>
      <c r="P217" s="268"/>
      <c r="Q217" s="309"/>
      <c r="R217" s="268"/>
      <c r="S217" s="313"/>
      <c r="T217" s="313"/>
      <c r="U217" s="268"/>
      <c r="V217" s="309"/>
      <c r="W217" s="310"/>
      <c r="X217" s="268"/>
      <c r="Y217" s="268"/>
      <c r="Z217" s="268"/>
      <c r="AA217" s="268"/>
      <c r="AB217" s="268"/>
      <c r="AC217" s="268"/>
      <c r="AD217" s="268"/>
      <c r="AE217" s="268"/>
    </row>
    <row r="218" spans="1:31" ht="24.75" customHeight="1">
      <c r="A218" s="268"/>
      <c r="B218" s="268"/>
      <c r="C218" s="268"/>
      <c r="D218" s="268"/>
      <c r="E218" s="268"/>
      <c r="F218" s="268"/>
      <c r="G218" s="268"/>
      <c r="H218" s="268"/>
      <c r="I218" s="268"/>
      <c r="J218" s="268"/>
      <c r="K218" s="268"/>
      <c r="L218" s="309"/>
      <c r="M218" s="268"/>
      <c r="N218" s="268"/>
      <c r="O218" s="310"/>
      <c r="P218" s="268"/>
      <c r="Q218" s="309"/>
      <c r="R218" s="268"/>
      <c r="S218" s="313"/>
      <c r="T218" s="313"/>
      <c r="U218" s="268"/>
      <c r="V218" s="309"/>
      <c r="W218" s="310"/>
      <c r="X218" s="268"/>
      <c r="Y218" s="268"/>
      <c r="Z218" s="268"/>
      <c r="AA218" s="268"/>
      <c r="AB218" s="268"/>
      <c r="AC218" s="268"/>
      <c r="AD218" s="268"/>
      <c r="AE218" s="268"/>
    </row>
    <row r="219" spans="1:31" ht="24.75" customHeight="1">
      <c r="A219" s="268"/>
      <c r="B219" s="268"/>
      <c r="C219" s="268"/>
      <c r="D219" s="268"/>
      <c r="E219" s="268"/>
      <c r="F219" s="268"/>
      <c r="G219" s="268"/>
      <c r="H219" s="268"/>
      <c r="I219" s="268"/>
      <c r="J219" s="268"/>
      <c r="K219" s="268"/>
      <c r="L219" s="309"/>
      <c r="M219" s="268"/>
      <c r="N219" s="268"/>
      <c r="O219" s="310"/>
      <c r="P219" s="268"/>
      <c r="Q219" s="309"/>
      <c r="R219" s="268"/>
      <c r="S219" s="313"/>
      <c r="T219" s="313"/>
      <c r="U219" s="268"/>
      <c r="V219" s="309"/>
      <c r="W219" s="310"/>
      <c r="X219" s="268"/>
      <c r="Y219" s="268"/>
      <c r="Z219" s="268"/>
      <c r="AA219" s="268"/>
      <c r="AB219" s="268"/>
      <c r="AC219" s="268"/>
      <c r="AD219" s="268"/>
      <c r="AE219" s="268"/>
    </row>
    <row r="220" spans="1:31" ht="24.75" customHeight="1">
      <c r="A220" s="268"/>
      <c r="B220" s="268"/>
      <c r="C220" s="268"/>
      <c r="D220" s="268"/>
      <c r="E220" s="268"/>
      <c r="F220" s="268"/>
      <c r="G220" s="268"/>
      <c r="H220" s="268"/>
      <c r="I220" s="268"/>
      <c r="J220" s="268"/>
      <c r="K220" s="268"/>
      <c r="L220" s="309"/>
      <c r="M220" s="268"/>
      <c r="N220" s="268"/>
      <c r="O220" s="310"/>
      <c r="P220" s="268"/>
      <c r="Q220" s="309"/>
      <c r="R220" s="268"/>
      <c r="S220" s="313"/>
      <c r="T220" s="313"/>
      <c r="U220" s="268"/>
      <c r="V220" s="309"/>
      <c r="W220" s="310"/>
      <c r="X220" s="268"/>
      <c r="Y220" s="268"/>
      <c r="Z220" s="268"/>
      <c r="AA220" s="268"/>
      <c r="AB220" s="268"/>
      <c r="AC220" s="268"/>
      <c r="AD220" s="268"/>
      <c r="AE220" s="268"/>
    </row>
    <row r="221" spans="1:31" ht="24.75" customHeight="1">
      <c r="A221" s="268"/>
      <c r="B221" s="268"/>
      <c r="C221" s="268"/>
      <c r="D221" s="268"/>
      <c r="E221" s="268"/>
      <c r="F221" s="268"/>
      <c r="G221" s="268"/>
      <c r="H221" s="268"/>
      <c r="I221" s="268"/>
      <c r="J221" s="268"/>
      <c r="K221" s="268"/>
      <c r="L221" s="309"/>
      <c r="M221" s="268"/>
      <c r="N221" s="268"/>
      <c r="O221" s="310"/>
      <c r="P221" s="268"/>
      <c r="Q221" s="309"/>
      <c r="R221" s="268"/>
      <c r="S221" s="313"/>
      <c r="T221" s="313"/>
      <c r="U221" s="268"/>
      <c r="V221" s="309"/>
      <c r="W221" s="310"/>
      <c r="X221" s="268"/>
      <c r="Y221" s="268"/>
      <c r="Z221" s="268"/>
      <c r="AA221" s="268"/>
      <c r="AB221" s="268"/>
      <c r="AC221" s="268"/>
      <c r="AD221" s="268"/>
      <c r="AE221" s="268"/>
    </row>
    <row r="222" spans="1:31" ht="24.75" customHeight="1">
      <c r="A222" s="268"/>
      <c r="B222" s="268"/>
      <c r="C222" s="268"/>
      <c r="D222" s="268"/>
      <c r="E222" s="268"/>
      <c r="F222" s="268"/>
      <c r="G222" s="268"/>
      <c r="H222" s="268"/>
      <c r="I222" s="268"/>
      <c r="J222" s="268"/>
      <c r="K222" s="268"/>
      <c r="L222" s="309"/>
      <c r="M222" s="268"/>
      <c r="N222" s="268"/>
      <c r="O222" s="310"/>
      <c r="P222" s="268"/>
      <c r="Q222" s="309"/>
      <c r="R222" s="268"/>
      <c r="S222" s="313"/>
      <c r="T222" s="313"/>
      <c r="U222" s="268"/>
      <c r="V222" s="309"/>
      <c r="W222" s="310"/>
      <c r="X222" s="268"/>
      <c r="Y222" s="268"/>
      <c r="Z222" s="268"/>
      <c r="AA222" s="268"/>
      <c r="AB222" s="268"/>
      <c r="AC222" s="268"/>
      <c r="AD222" s="268"/>
      <c r="AE222" s="268"/>
    </row>
    <row r="223" spans="1:31" ht="24.75" customHeight="1">
      <c r="A223" s="268"/>
      <c r="B223" s="268"/>
      <c r="C223" s="268"/>
      <c r="D223" s="268"/>
      <c r="E223" s="268"/>
      <c r="F223" s="268"/>
      <c r="G223" s="268"/>
      <c r="H223" s="268"/>
      <c r="I223" s="268"/>
      <c r="J223" s="268"/>
      <c r="K223" s="268"/>
      <c r="L223" s="309"/>
      <c r="M223" s="268"/>
      <c r="N223" s="268"/>
      <c r="O223" s="310"/>
      <c r="P223" s="268"/>
      <c r="Q223" s="309"/>
      <c r="R223" s="268"/>
      <c r="S223" s="313"/>
      <c r="T223" s="313"/>
      <c r="U223" s="268"/>
      <c r="V223" s="309"/>
      <c r="W223" s="310"/>
      <c r="X223" s="268"/>
      <c r="Y223" s="268"/>
      <c r="Z223" s="268"/>
      <c r="AA223" s="268"/>
      <c r="AB223" s="268"/>
      <c r="AC223" s="268"/>
      <c r="AD223" s="268"/>
      <c r="AE223" s="268"/>
    </row>
    <row r="224" spans="1:31" ht="24.75" customHeight="1">
      <c r="A224" s="268"/>
      <c r="B224" s="268"/>
      <c r="C224" s="268"/>
      <c r="D224" s="268"/>
      <c r="E224" s="268"/>
      <c r="F224" s="268"/>
      <c r="G224" s="268"/>
      <c r="H224" s="268"/>
      <c r="I224" s="268"/>
      <c r="J224" s="268"/>
      <c r="K224" s="268"/>
      <c r="L224" s="309"/>
      <c r="M224" s="268"/>
      <c r="N224" s="268"/>
      <c r="O224" s="310"/>
      <c r="P224" s="268"/>
      <c r="Q224" s="309"/>
      <c r="R224" s="268"/>
      <c r="S224" s="313"/>
      <c r="T224" s="313"/>
      <c r="U224" s="268"/>
      <c r="V224" s="309"/>
      <c r="W224" s="310"/>
      <c r="X224" s="268"/>
      <c r="Y224" s="268"/>
      <c r="Z224" s="268"/>
      <c r="AA224" s="268"/>
      <c r="AB224" s="268"/>
      <c r="AC224" s="268"/>
      <c r="AD224" s="268"/>
      <c r="AE224" s="268"/>
    </row>
    <row r="225" spans="1:31" ht="24.75" customHeight="1">
      <c r="A225" s="268"/>
      <c r="B225" s="268"/>
      <c r="C225" s="268"/>
      <c r="D225" s="268"/>
      <c r="E225" s="268"/>
      <c r="F225" s="268"/>
      <c r="G225" s="268"/>
      <c r="H225" s="268"/>
      <c r="I225" s="268"/>
      <c r="J225" s="268"/>
      <c r="K225" s="268"/>
      <c r="L225" s="309"/>
      <c r="M225" s="268"/>
      <c r="N225" s="268"/>
      <c r="O225" s="310"/>
      <c r="P225" s="268"/>
      <c r="Q225" s="309"/>
      <c r="R225" s="268"/>
      <c r="S225" s="313"/>
      <c r="T225" s="313"/>
      <c r="U225" s="268"/>
      <c r="V225" s="309"/>
      <c r="W225" s="310"/>
      <c r="X225" s="268"/>
      <c r="Y225" s="268"/>
      <c r="Z225" s="268"/>
      <c r="AA225" s="268"/>
      <c r="AB225" s="268"/>
      <c r="AC225" s="268"/>
      <c r="AD225" s="268"/>
      <c r="AE225" s="268"/>
    </row>
    <row r="226" spans="1:31" ht="24.75" customHeight="1">
      <c r="A226" s="268"/>
      <c r="B226" s="268"/>
      <c r="C226" s="268"/>
      <c r="D226" s="268"/>
      <c r="E226" s="268"/>
      <c r="F226" s="268"/>
      <c r="G226" s="268"/>
      <c r="H226" s="268"/>
      <c r="I226" s="268"/>
      <c r="J226" s="268"/>
      <c r="K226" s="268"/>
      <c r="L226" s="309"/>
      <c r="M226" s="268"/>
      <c r="N226" s="268"/>
      <c r="O226" s="310"/>
      <c r="P226" s="268"/>
      <c r="Q226" s="309"/>
      <c r="R226" s="268"/>
      <c r="S226" s="313"/>
      <c r="T226" s="313"/>
      <c r="U226" s="248"/>
      <c r="V226" s="253"/>
      <c r="W226" s="254"/>
      <c r="X226" s="248"/>
      <c r="Y226" s="248"/>
      <c r="Z226" s="248"/>
      <c r="AA226" s="268"/>
      <c r="AB226" s="268"/>
      <c r="AC226" s="268"/>
      <c r="AD226" s="268"/>
      <c r="AE226" s="268"/>
    </row>
    <row r="227" spans="1:31" ht="24.75" customHeight="1">
      <c r="A227" s="268"/>
      <c r="B227" s="268"/>
      <c r="C227" s="268"/>
      <c r="D227" s="268"/>
      <c r="E227" s="268"/>
      <c r="F227" s="268"/>
      <c r="G227" s="268"/>
      <c r="H227" s="268"/>
      <c r="I227" s="268"/>
      <c r="J227" s="268"/>
      <c r="K227" s="268"/>
      <c r="L227" s="309"/>
      <c r="M227" s="268"/>
      <c r="N227" s="268"/>
      <c r="O227" s="310"/>
      <c r="P227" s="268"/>
      <c r="Q227" s="309"/>
      <c r="R227" s="268"/>
      <c r="S227" s="313"/>
      <c r="T227" s="313"/>
      <c r="U227" s="230"/>
      <c r="V227" s="256"/>
      <c r="W227" s="257"/>
      <c r="X227" s="230"/>
      <c r="Y227" s="230"/>
      <c r="Z227" s="230"/>
      <c r="AA227" s="268"/>
      <c r="AB227" s="268"/>
      <c r="AC227" s="268"/>
      <c r="AD227" s="268"/>
      <c r="AE227" s="268"/>
    </row>
    <row r="228" spans="1:31" ht="24.75" customHeight="1">
      <c r="A228" s="268"/>
      <c r="B228" s="268"/>
      <c r="C228" s="268"/>
      <c r="D228" s="268"/>
      <c r="E228" s="268"/>
      <c r="F228" s="268"/>
      <c r="G228" s="268"/>
      <c r="H228" s="268"/>
      <c r="I228" s="268"/>
      <c r="J228" s="268"/>
      <c r="K228" s="268"/>
      <c r="L228" s="309"/>
      <c r="M228" s="268"/>
      <c r="N228" s="268"/>
      <c r="O228" s="310"/>
      <c r="P228" s="268"/>
      <c r="Q228" s="309"/>
      <c r="R228" s="268"/>
      <c r="S228" s="313"/>
      <c r="T228" s="313"/>
      <c r="U228" s="268"/>
      <c r="V228" s="309"/>
      <c r="W228" s="310"/>
      <c r="X228" s="268"/>
      <c r="Y228" s="268"/>
      <c r="Z228" s="268"/>
      <c r="AA228" s="268"/>
      <c r="AB228" s="268"/>
      <c r="AC228" s="268"/>
      <c r="AD228" s="268"/>
      <c r="AE228" s="268"/>
    </row>
    <row r="229" spans="1:31" ht="24.75" customHeight="1">
      <c r="A229" s="268"/>
      <c r="B229" s="268"/>
      <c r="C229" s="268"/>
      <c r="D229" s="268"/>
      <c r="E229" s="268"/>
      <c r="F229" s="268"/>
      <c r="G229" s="268"/>
      <c r="H229" s="268"/>
      <c r="I229" s="268"/>
      <c r="J229" s="268"/>
      <c r="K229" s="268"/>
      <c r="L229" s="309"/>
      <c r="M229" s="268"/>
      <c r="N229" s="268"/>
      <c r="O229" s="310"/>
      <c r="P229" s="268"/>
      <c r="Q229" s="309"/>
      <c r="R229" s="268"/>
      <c r="S229" s="313"/>
      <c r="T229" s="313"/>
      <c r="U229" s="248"/>
      <c r="V229" s="253"/>
      <c r="W229" s="254"/>
      <c r="X229" s="248"/>
      <c r="Y229" s="248"/>
      <c r="Z229" s="248"/>
      <c r="AA229" s="268"/>
      <c r="AB229" s="268"/>
      <c r="AC229" s="268"/>
      <c r="AD229" s="268"/>
      <c r="AE229" s="268"/>
    </row>
    <row r="230" spans="1:31" ht="24.75" customHeight="1">
      <c r="A230" s="268"/>
      <c r="B230" s="268"/>
      <c r="C230" s="268"/>
      <c r="D230" s="268"/>
      <c r="E230" s="268"/>
      <c r="F230" s="268"/>
      <c r="G230" s="268"/>
      <c r="H230" s="268"/>
      <c r="I230" s="268"/>
      <c r="J230" s="268"/>
      <c r="K230" s="268"/>
      <c r="L230" s="309"/>
      <c r="M230" s="268"/>
      <c r="N230" s="268"/>
      <c r="O230" s="310"/>
      <c r="P230" s="268"/>
      <c r="Q230" s="309"/>
      <c r="R230" s="268"/>
      <c r="S230" s="313"/>
      <c r="T230" s="313"/>
      <c r="U230" s="268"/>
      <c r="V230" s="309"/>
      <c r="W230" s="310"/>
      <c r="X230" s="268"/>
      <c r="Y230" s="268"/>
      <c r="Z230" s="268"/>
      <c r="AA230" s="268"/>
      <c r="AB230" s="268"/>
      <c r="AC230" s="268"/>
      <c r="AD230" s="268"/>
      <c r="AE230" s="268"/>
    </row>
    <row r="231" spans="1:31" ht="24.75" customHeight="1">
      <c r="A231" s="268"/>
      <c r="B231" s="268"/>
      <c r="C231" s="268"/>
      <c r="D231" s="268"/>
      <c r="E231" s="268"/>
      <c r="F231" s="268"/>
      <c r="G231" s="268"/>
      <c r="H231" s="268"/>
      <c r="I231" s="268"/>
      <c r="J231" s="268"/>
      <c r="K231" s="268"/>
      <c r="L231" s="309"/>
      <c r="M231" s="268"/>
      <c r="N231" s="268"/>
      <c r="O231" s="310"/>
      <c r="P231" s="268"/>
      <c r="Q231" s="309"/>
      <c r="R231" s="268"/>
      <c r="S231" s="313"/>
      <c r="T231" s="313"/>
      <c r="U231" s="248"/>
      <c r="V231" s="253"/>
      <c r="W231" s="254"/>
      <c r="X231" s="248"/>
      <c r="Y231" s="248"/>
      <c r="Z231" s="248"/>
      <c r="AA231" s="268"/>
      <c r="AB231" s="268"/>
      <c r="AC231" s="268"/>
      <c r="AD231" s="268"/>
      <c r="AE231" s="268"/>
    </row>
    <row r="232" spans="1:31" ht="24.75" customHeight="1">
      <c r="A232" s="268"/>
      <c r="B232" s="268"/>
      <c r="C232" s="268"/>
      <c r="D232" s="268"/>
      <c r="E232" s="268"/>
      <c r="F232" s="268"/>
      <c r="G232" s="268"/>
      <c r="H232" s="268"/>
      <c r="I232" s="268"/>
      <c r="J232" s="268"/>
      <c r="K232" s="268"/>
      <c r="L232" s="309"/>
      <c r="M232" s="268"/>
      <c r="N232" s="268"/>
      <c r="O232" s="310"/>
      <c r="P232" s="268"/>
      <c r="Q232" s="309"/>
      <c r="R232" s="268"/>
      <c r="S232" s="313"/>
      <c r="T232" s="313"/>
      <c r="U232" s="230"/>
      <c r="V232" s="256"/>
      <c r="W232" s="257"/>
      <c r="X232" s="230"/>
      <c r="Y232" s="230"/>
      <c r="Z232" s="230"/>
      <c r="AA232" s="268"/>
      <c r="AB232" s="268"/>
      <c r="AC232" s="268"/>
      <c r="AD232" s="268"/>
      <c r="AE232" s="268"/>
    </row>
    <row r="233" spans="1:31" ht="24.75" customHeight="1">
      <c r="A233" s="268"/>
      <c r="B233" s="268"/>
      <c r="C233" s="268"/>
      <c r="D233" s="268"/>
      <c r="E233" s="268"/>
      <c r="F233" s="268"/>
      <c r="G233" s="268"/>
      <c r="H233" s="268"/>
      <c r="I233" s="268"/>
      <c r="J233" s="268"/>
      <c r="K233" s="268"/>
      <c r="L233" s="309"/>
      <c r="M233" s="268"/>
      <c r="N233" s="268"/>
      <c r="O233" s="310"/>
      <c r="P233" s="268"/>
      <c r="Q233" s="309"/>
      <c r="R233" s="268"/>
      <c r="S233" s="313"/>
      <c r="T233" s="313"/>
      <c r="U233" s="268"/>
      <c r="V233" s="309"/>
      <c r="W233" s="310"/>
      <c r="X233" s="268"/>
      <c r="Y233" s="268"/>
      <c r="Z233" s="268"/>
      <c r="AA233" s="268"/>
      <c r="AB233" s="268"/>
      <c r="AC233" s="268"/>
      <c r="AD233" s="268"/>
      <c r="AE233" s="268"/>
    </row>
    <row r="234" spans="1:31" ht="24.75" customHeight="1">
      <c r="A234" s="268"/>
      <c r="B234" s="268"/>
      <c r="C234" s="268"/>
      <c r="D234" s="268"/>
      <c r="E234" s="268"/>
      <c r="F234" s="268"/>
      <c r="G234" s="268"/>
      <c r="H234" s="268"/>
      <c r="I234" s="268"/>
      <c r="J234" s="268"/>
      <c r="K234" s="268"/>
      <c r="L234" s="309"/>
      <c r="M234" s="268"/>
      <c r="N234" s="268"/>
      <c r="O234" s="310"/>
      <c r="P234" s="268"/>
      <c r="Q234" s="309"/>
      <c r="R234" s="268"/>
      <c r="S234" s="313"/>
      <c r="T234" s="313"/>
      <c r="U234" s="230"/>
      <c r="V234" s="256"/>
      <c r="W234" s="257"/>
      <c r="X234" s="230"/>
      <c r="Y234" s="230"/>
      <c r="Z234" s="230"/>
      <c r="AA234" s="268"/>
      <c r="AB234" s="268"/>
      <c r="AC234" s="268"/>
      <c r="AD234" s="268"/>
      <c r="AE234" s="268"/>
    </row>
    <row r="235" spans="1:31" ht="24.75" customHeight="1">
      <c r="A235" s="268"/>
      <c r="B235" s="268"/>
      <c r="C235" s="268"/>
      <c r="D235" s="268"/>
      <c r="E235" s="268"/>
      <c r="F235" s="268"/>
      <c r="G235" s="268"/>
      <c r="H235" s="268"/>
      <c r="I235" s="268"/>
      <c r="J235" s="268"/>
      <c r="K235" s="268"/>
      <c r="L235" s="309"/>
      <c r="M235" s="268"/>
      <c r="N235" s="268"/>
      <c r="O235" s="310"/>
      <c r="P235" s="268"/>
      <c r="Q235" s="309"/>
      <c r="R235" s="268"/>
      <c r="S235" s="313"/>
      <c r="T235" s="313"/>
      <c r="U235" s="230"/>
      <c r="V235" s="256"/>
      <c r="W235" s="257"/>
      <c r="X235" s="230"/>
      <c r="Y235" s="230"/>
      <c r="Z235" s="230"/>
      <c r="AA235" s="268"/>
      <c r="AB235" s="268"/>
      <c r="AC235" s="268"/>
      <c r="AD235" s="268"/>
      <c r="AE235" s="268"/>
    </row>
    <row r="236" spans="1:31" ht="24.75" customHeight="1">
      <c r="A236" s="268"/>
      <c r="B236" s="268"/>
      <c r="C236" s="268"/>
      <c r="D236" s="268"/>
      <c r="E236" s="268"/>
      <c r="F236" s="268"/>
      <c r="G236" s="268"/>
      <c r="H236" s="268"/>
      <c r="I236" s="268"/>
      <c r="J236" s="268"/>
      <c r="K236" s="268"/>
      <c r="L236" s="309"/>
      <c r="M236" s="268"/>
      <c r="N236" s="268"/>
      <c r="O236" s="310"/>
      <c r="P236" s="268"/>
      <c r="Q236" s="309"/>
      <c r="R236" s="268"/>
      <c r="S236" s="313"/>
      <c r="T236" s="313"/>
      <c r="U236" s="268"/>
      <c r="V236" s="309"/>
      <c r="W236" s="310"/>
      <c r="X236" s="268"/>
      <c r="Y236" s="268"/>
      <c r="Z236" s="268"/>
      <c r="AA236" s="268"/>
      <c r="AB236" s="268"/>
      <c r="AC236" s="268"/>
      <c r="AD236" s="268"/>
      <c r="AE236" s="268"/>
    </row>
    <row r="237" spans="1:31" ht="24.75" customHeight="1">
      <c r="A237" s="268"/>
      <c r="B237" s="268"/>
      <c r="C237" s="268"/>
      <c r="D237" s="268"/>
      <c r="E237" s="268"/>
      <c r="F237" s="268"/>
      <c r="G237" s="268"/>
      <c r="H237" s="268"/>
      <c r="I237" s="268"/>
      <c r="J237" s="268"/>
      <c r="K237" s="268"/>
      <c r="L237" s="309"/>
      <c r="M237" s="268"/>
      <c r="N237" s="268"/>
      <c r="O237" s="310"/>
      <c r="P237" s="268"/>
      <c r="Q237" s="309"/>
      <c r="R237" s="268"/>
      <c r="S237" s="313"/>
      <c r="T237" s="313"/>
      <c r="U237" s="268"/>
      <c r="V237" s="309"/>
      <c r="W237" s="310"/>
      <c r="X237" s="268"/>
      <c r="Y237" s="268"/>
      <c r="Z237" s="268"/>
      <c r="AA237" s="268"/>
      <c r="AB237" s="268"/>
      <c r="AC237" s="268"/>
      <c r="AD237" s="268"/>
      <c r="AE237" s="268"/>
    </row>
    <row r="238" spans="1:31" ht="24.75" customHeight="1">
      <c r="A238" s="268"/>
      <c r="B238" s="268"/>
      <c r="C238" s="268"/>
      <c r="D238" s="268"/>
      <c r="E238" s="268"/>
      <c r="F238" s="268"/>
      <c r="G238" s="268"/>
      <c r="H238" s="268"/>
      <c r="I238" s="268"/>
      <c r="J238" s="268"/>
      <c r="K238" s="268"/>
      <c r="L238" s="309"/>
      <c r="M238" s="268"/>
      <c r="N238" s="268"/>
      <c r="O238" s="310"/>
      <c r="P238" s="268"/>
      <c r="Q238" s="309"/>
      <c r="R238" s="268"/>
      <c r="S238" s="313"/>
      <c r="T238" s="313"/>
      <c r="U238" s="248"/>
      <c r="V238" s="253"/>
      <c r="W238" s="254"/>
      <c r="X238" s="248"/>
      <c r="Y238" s="248"/>
      <c r="Z238" s="248"/>
      <c r="AA238" s="268"/>
      <c r="AB238" s="268"/>
      <c r="AC238" s="268"/>
      <c r="AD238" s="268"/>
      <c r="AE238" s="268"/>
    </row>
    <row r="239" spans="1:31" ht="24.75" customHeight="1">
      <c r="A239" s="268"/>
      <c r="B239" s="268"/>
      <c r="C239" s="268"/>
      <c r="D239" s="268"/>
      <c r="E239" s="268"/>
      <c r="F239" s="268"/>
      <c r="G239" s="268"/>
      <c r="H239" s="268"/>
      <c r="I239" s="268"/>
      <c r="J239" s="268"/>
      <c r="K239" s="268"/>
      <c r="L239" s="309"/>
      <c r="M239" s="268"/>
      <c r="N239" s="268"/>
      <c r="O239" s="310"/>
      <c r="P239" s="268"/>
      <c r="Q239" s="309"/>
      <c r="R239" s="268"/>
      <c r="S239" s="313"/>
      <c r="T239" s="313"/>
      <c r="U239" s="268"/>
      <c r="V239" s="309"/>
      <c r="W239" s="310"/>
      <c r="X239" s="268"/>
      <c r="Y239" s="268"/>
      <c r="Z239" s="268"/>
      <c r="AA239" s="268"/>
      <c r="AB239" s="268"/>
      <c r="AC239" s="268"/>
      <c r="AD239" s="268"/>
      <c r="AE239" s="268"/>
    </row>
    <row r="240" spans="1:31" ht="24.75" customHeight="1">
      <c r="A240" s="268"/>
      <c r="B240" s="268"/>
      <c r="C240" s="268"/>
      <c r="D240" s="268"/>
      <c r="E240" s="268"/>
      <c r="F240" s="268"/>
      <c r="G240" s="268"/>
      <c r="H240" s="268"/>
      <c r="I240" s="268"/>
      <c r="J240" s="268"/>
      <c r="K240" s="268"/>
      <c r="L240" s="309"/>
      <c r="M240" s="268"/>
      <c r="N240" s="268"/>
      <c r="O240" s="310"/>
      <c r="P240" s="268"/>
      <c r="Q240" s="309"/>
      <c r="R240" s="268"/>
      <c r="S240" s="313"/>
      <c r="T240" s="313"/>
      <c r="U240" s="230"/>
      <c r="V240" s="256"/>
      <c r="W240" s="257"/>
      <c r="X240" s="230"/>
      <c r="Y240" s="230"/>
      <c r="Z240" s="230"/>
      <c r="AA240" s="268"/>
      <c r="AB240" s="268"/>
      <c r="AC240" s="268"/>
      <c r="AD240" s="268"/>
      <c r="AE240" s="268"/>
    </row>
    <row r="241" spans="1:31" ht="24.75" customHeight="1">
      <c r="A241" s="268"/>
      <c r="B241" s="268"/>
      <c r="C241" s="268"/>
      <c r="D241" s="268"/>
      <c r="E241" s="268"/>
      <c r="F241" s="268"/>
      <c r="G241" s="268"/>
      <c r="H241" s="268"/>
      <c r="I241" s="268"/>
      <c r="J241" s="268"/>
      <c r="K241" s="268"/>
      <c r="L241" s="309"/>
      <c r="M241" s="268"/>
      <c r="N241" s="268"/>
      <c r="O241" s="310"/>
      <c r="P241" s="268"/>
      <c r="Q241" s="309"/>
      <c r="R241" s="268"/>
      <c r="S241" s="313"/>
      <c r="T241" s="313"/>
      <c r="U241" s="268"/>
      <c r="V241" s="309"/>
      <c r="W241" s="310"/>
      <c r="X241" s="268"/>
      <c r="Y241" s="268"/>
      <c r="Z241" s="268"/>
      <c r="AA241" s="268"/>
      <c r="AB241" s="268"/>
      <c r="AC241" s="268"/>
      <c r="AD241" s="268"/>
      <c r="AE241" s="268"/>
    </row>
    <row r="242" spans="1:31" ht="24.75" customHeight="1">
      <c r="A242" s="268"/>
      <c r="B242" s="268"/>
      <c r="C242" s="268"/>
      <c r="D242" s="268"/>
      <c r="E242" s="268"/>
      <c r="F242" s="268"/>
      <c r="G242" s="268"/>
      <c r="H242" s="268"/>
      <c r="I242" s="268"/>
      <c r="J242" s="268"/>
      <c r="K242" s="268"/>
      <c r="L242" s="309"/>
      <c r="M242" s="268"/>
      <c r="N242" s="268"/>
      <c r="O242" s="310"/>
      <c r="P242" s="268"/>
      <c r="Q242" s="309"/>
      <c r="R242" s="268"/>
      <c r="S242" s="313"/>
      <c r="T242" s="313"/>
      <c r="U242" s="268"/>
      <c r="V242" s="309"/>
      <c r="W242" s="310"/>
      <c r="X242" s="268"/>
      <c r="Y242" s="268"/>
      <c r="Z242" s="268"/>
      <c r="AA242" s="268"/>
      <c r="AB242" s="268"/>
      <c r="AC242" s="268"/>
      <c r="AD242" s="268"/>
      <c r="AE242" s="268"/>
    </row>
    <row r="243" spans="1:31" ht="24.75" customHeight="1">
      <c r="A243" s="268"/>
      <c r="B243" s="268"/>
      <c r="C243" s="268"/>
      <c r="D243" s="268"/>
      <c r="E243" s="268"/>
      <c r="F243" s="268"/>
      <c r="G243" s="268"/>
      <c r="H243" s="268"/>
      <c r="I243" s="268"/>
      <c r="J243" s="268"/>
      <c r="K243" s="268"/>
      <c r="L243" s="309"/>
      <c r="M243" s="268"/>
      <c r="N243" s="268"/>
      <c r="O243" s="310"/>
      <c r="P243" s="268"/>
      <c r="Q243" s="309"/>
      <c r="R243" s="268"/>
      <c r="S243" s="313"/>
      <c r="T243" s="313"/>
      <c r="U243" s="268"/>
      <c r="V243" s="309"/>
      <c r="W243" s="310"/>
      <c r="X243" s="268"/>
      <c r="Y243" s="268"/>
      <c r="Z243" s="268"/>
      <c r="AA243" s="268"/>
      <c r="AB243" s="268"/>
      <c r="AC243" s="268"/>
      <c r="AD243" s="268"/>
      <c r="AE243" s="268"/>
    </row>
    <row r="244" spans="1:31" ht="24.75" customHeight="1">
      <c r="A244" s="268"/>
      <c r="B244" s="268"/>
      <c r="C244" s="268"/>
      <c r="D244" s="268"/>
      <c r="E244" s="268"/>
      <c r="F244" s="268"/>
      <c r="G244" s="268"/>
      <c r="H244" s="268"/>
      <c r="I244" s="268"/>
      <c r="J244" s="268"/>
      <c r="K244" s="268"/>
      <c r="L244" s="309"/>
      <c r="M244" s="268"/>
      <c r="N244" s="268"/>
      <c r="O244" s="310"/>
      <c r="P244" s="268"/>
      <c r="Q244" s="309"/>
      <c r="R244" s="268"/>
      <c r="S244" s="313"/>
      <c r="T244" s="313"/>
      <c r="U244" s="268"/>
      <c r="V244" s="309"/>
      <c r="W244" s="310"/>
      <c r="X244" s="268"/>
      <c r="Y244" s="268"/>
      <c r="Z244" s="268"/>
      <c r="AA244" s="268"/>
      <c r="AB244" s="268"/>
      <c r="AC244" s="268"/>
      <c r="AD244" s="268"/>
      <c r="AE244" s="268"/>
    </row>
    <row r="245" spans="1:31" ht="24.75" customHeight="1">
      <c r="A245" s="268"/>
      <c r="B245" s="268"/>
      <c r="C245" s="268"/>
      <c r="D245" s="268"/>
      <c r="E245" s="268"/>
      <c r="F245" s="268"/>
      <c r="G245" s="268"/>
      <c r="H245" s="268"/>
      <c r="I245" s="268"/>
      <c r="J245" s="268"/>
      <c r="K245" s="268"/>
      <c r="L245" s="309"/>
      <c r="M245" s="268"/>
      <c r="N245" s="268"/>
      <c r="O245" s="310"/>
      <c r="P245" s="268"/>
      <c r="Q245" s="309"/>
      <c r="R245" s="268"/>
      <c r="S245" s="313"/>
      <c r="T245" s="313"/>
      <c r="U245" s="268"/>
      <c r="V245" s="309"/>
      <c r="W245" s="310"/>
      <c r="X245" s="268"/>
      <c r="Y245" s="268"/>
      <c r="Z245" s="268"/>
      <c r="AA245" s="268"/>
      <c r="AB245" s="268"/>
      <c r="AC245" s="268"/>
      <c r="AD245" s="268"/>
      <c r="AE245" s="268"/>
    </row>
    <row r="246" spans="1:31" ht="24.75" customHeight="1">
      <c r="A246" s="268"/>
      <c r="B246" s="268"/>
      <c r="C246" s="268"/>
      <c r="D246" s="268"/>
      <c r="E246" s="268"/>
      <c r="F246" s="268"/>
      <c r="G246" s="268"/>
      <c r="H246" s="268"/>
      <c r="I246" s="268"/>
      <c r="J246" s="268"/>
      <c r="K246" s="268"/>
      <c r="L246" s="309"/>
      <c r="M246" s="268"/>
      <c r="N246" s="268"/>
      <c r="O246" s="310"/>
      <c r="P246" s="268"/>
      <c r="Q246" s="309"/>
      <c r="R246" s="268"/>
      <c r="S246" s="313"/>
      <c r="T246" s="313"/>
      <c r="U246" s="268"/>
      <c r="V246" s="309"/>
      <c r="W246" s="310"/>
      <c r="X246" s="268"/>
      <c r="Y246" s="268"/>
      <c r="Z246" s="268"/>
      <c r="AA246" s="268"/>
      <c r="AB246" s="268"/>
      <c r="AC246" s="268"/>
      <c r="AD246" s="268"/>
      <c r="AE246" s="268"/>
    </row>
    <row r="247" spans="1:31" ht="24.75" customHeight="1">
      <c r="A247" s="268"/>
      <c r="B247" s="268"/>
      <c r="C247" s="268"/>
      <c r="D247" s="268"/>
      <c r="E247" s="268"/>
      <c r="F247" s="268"/>
      <c r="G247" s="268"/>
      <c r="H247" s="268"/>
      <c r="I247" s="268"/>
      <c r="J247" s="268"/>
      <c r="K247" s="268"/>
      <c r="L247" s="309"/>
      <c r="M247" s="268"/>
      <c r="N247" s="268"/>
      <c r="O247" s="310"/>
      <c r="P247" s="268"/>
      <c r="Q247" s="309"/>
      <c r="R247" s="268"/>
      <c r="S247" s="313"/>
      <c r="T247" s="313"/>
      <c r="U247" s="268"/>
      <c r="V247" s="309"/>
      <c r="W247" s="310"/>
      <c r="X247" s="268"/>
      <c r="Y247" s="268"/>
      <c r="Z247" s="268"/>
      <c r="AA247" s="268"/>
      <c r="AB247" s="268"/>
      <c r="AC247" s="268"/>
      <c r="AD247" s="268"/>
      <c r="AE247" s="268"/>
    </row>
    <row r="248" spans="1:31" ht="24.75" customHeight="1">
      <c r="A248" s="268"/>
      <c r="B248" s="268"/>
      <c r="C248" s="268"/>
      <c r="D248" s="268"/>
      <c r="E248" s="268"/>
      <c r="F248" s="268"/>
      <c r="G248" s="268"/>
      <c r="H248" s="268"/>
      <c r="I248" s="268"/>
      <c r="J248" s="268"/>
      <c r="K248" s="268"/>
      <c r="L248" s="309"/>
      <c r="M248" s="268"/>
      <c r="N248" s="268"/>
      <c r="O248" s="310"/>
      <c r="P248" s="268"/>
      <c r="Q248" s="309"/>
      <c r="R248" s="268"/>
      <c r="S248" s="313"/>
      <c r="T248" s="313"/>
      <c r="U248" s="268"/>
      <c r="V248" s="309"/>
      <c r="W248" s="310"/>
      <c r="X248" s="268"/>
      <c r="Y248" s="268"/>
      <c r="Z248" s="268"/>
      <c r="AA248" s="268"/>
      <c r="AB248" s="268"/>
      <c r="AC248" s="268"/>
      <c r="AD248" s="268"/>
      <c r="AE248" s="268"/>
    </row>
    <row r="249" spans="1:31" ht="24.75" customHeight="1">
      <c r="A249" s="268"/>
      <c r="B249" s="268"/>
      <c r="C249" s="268"/>
      <c r="D249" s="268"/>
      <c r="E249" s="268"/>
      <c r="F249" s="268"/>
      <c r="G249" s="268"/>
      <c r="H249" s="268"/>
      <c r="I249" s="268"/>
      <c r="J249" s="268"/>
      <c r="K249" s="268"/>
      <c r="L249" s="309"/>
      <c r="M249" s="268"/>
      <c r="N249" s="268"/>
      <c r="O249" s="310"/>
      <c r="P249" s="268"/>
      <c r="Q249" s="309"/>
      <c r="R249" s="268"/>
      <c r="S249" s="313"/>
      <c r="T249" s="313"/>
      <c r="U249" s="230"/>
      <c r="V249" s="256"/>
      <c r="W249" s="257"/>
      <c r="X249" s="230"/>
      <c r="Y249" s="230"/>
      <c r="Z249" s="230"/>
      <c r="AA249" s="268"/>
      <c r="AB249" s="268"/>
      <c r="AC249" s="268"/>
      <c r="AD249" s="268"/>
      <c r="AE249" s="268"/>
    </row>
    <row r="250" spans="1:31" ht="24.75" customHeight="1">
      <c r="A250" s="268"/>
      <c r="B250" s="268"/>
      <c r="C250" s="268"/>
      <c r="D250" s="268"/>
      <c r="E250" s="268"/>
      <c r="F250" s="268"/>
      <c r="G250" s="268"/>
      <c r="H250" s="268"/>
      <c r="I250" s="268"/>
      <c r="J250" s="268"/>
      <c r="K250" s="268"/>
      <c r="L250" s="309"/>
      <c r="M250" s="268"/>
      <c r="N250" s="268"/>
      <c r="O250" s="310"/>
      <c r="P250" s="268"/>
      <c r="Q250" s="309"/>
      <c r="R250" s="268"/>
      <c r="S250" s="313"/>
      <c r="T250" s="313"/>
      <c r="U250" s="268"/>
      <c r="V250" s="309"/>
      <c r="W250" s="310"/>
      <c r="X250" s="268"/>
      <c r="Y250" s="268"/>
      <c r="Z250" s="268"/>
      <c r="AA250" s="268"/>
      <c r="AB250" s="268"/>
      <c r="AC250" s="268"/>
      <c r="AD250" s="268"/>
      <c r="AE250" s="268"/>
    </row>
    <row r="251" spans="1:31" ht="24.75" customHeight="1">
      <c r="A251" s="268"/>
      <c r="B251" s="268"/>
      <c r="C251" s="268"/>
      <c r="D251" s="268"/>
      <c r="E251" s="268"/>
      <c r="F251" s="268"/>
      <c r="G251" s="268"/>
      <c r="H251" s="268"/>
      <c r="I251" s="268"/>
      <c r="J251" s="268"/>
      <c r="K251" s="268"/>
      <c r="L251" s="309"/>
      <c r="M251" s="268"/>
      <c r="N251" s="268"/>
      <c r="O251" s="310"/>
      <c r="P251" s="268"/>
      <c r="Q251" s="309"/>
      <c r="R251" s="268"/>
      <c r="S251" s="313"/>
      <c r="T251" s="313"/>
      <c r="U251" s="268"/>
      <c r="V251" s="309"/>
      <c r="W251" s="310"/>
      <c r="X251" s="268"/>
      <c r="Y251" s="268"/>
      <c r="Z251" s="268"/>
      <c r="AA251" s="268"/>
      <c r="AB251" s="268"/>
      <c r="AC251" s="268"/>
      <c r="AD251" s="268"/>
      <c r="AE251" s="268"/>
    </row>
    <row r="252" spans="1:31" ht="24.75" customHeight="1">
      <c r="A252" s="268"/>
      <c r="B252" s="268"/>
      <c r="C252" s="268"/>
      <c r="D252" s="268"/>
      <c r="E252" s="268"/>
      <c r="F252" s="268"/>
      <c r="G252" s="268"/>
      <c r="H252" s="268"/>
      <c r="I252" s="268"/>
      <c r="J252" s="268"/>
      <c r="K252" s="268"/>
      <c r="L252" s="309"/>
      <c r="M252" s="268"/>
      <c r="N252" s="268"/>
      <c r="O252" s="310"/>
      <c r="P252" s="268"/>
      <c r="Q252" s="309"/>
      <c r="R252" s="268"/>
      <c r="S252" s="313"/>
      <c r="T252" s="313"/>
      <c r="U252" s="268"/>
      <c r="V252" s="309"/>
      <c r="W252" s="310"/>
      <c r="X252" s="268"/>
      <c r="Y252" s="268"/>
      <c r="Z252" s="268"/>
      <c r="AA252" s="268"/>
      <c r="AB252" s="268"/>
      <c r="AC252" s="268"/>
      <c r="AD252" s="268"/>
      <c r="AE252" s="268"/>
    </row>
    <row r="253" spans="1:31" ht="24.75" customHeight="1">
      <c r="A253" s="268"/>
      <c r="B253" s="268"/>
      <c r="C253" s="268"/>
      <c r="D253" s="268"/>
      <c r="E253" s="268"/>
      <c r="F253" s="268"/>
      <c r="G253" s="268"/>
      <c r="H253" s="268"/>
      <c r="I253" s="268"/>
      <c r="J253" s="268"/>
      <c r="K253" s="268"/>
      <c r="L253" s="309"/>
      <c r="M253" s="268"/>
      <c r="N253" s="268"/>
      <c r="O253" s="310"/>
      <c r="P253" s="268"/>
      <c r="Q253" s="309"/>
      <c r="R253" s="268"/>
      <c r="S253" s="313"/>
      <c r="T253" s="313"/>
      <c r="U253" s="268"/>
      <c r="V253" s="309"/>
      <c r="W253" s="310"/>
      <c r="X253" s="268"/>
      <c r="Y253" s="268"/>
      <c r="Z253" s="268"/>
      <c r="AA253" s="268"/>
      <c r="AB253" s="268"/>
      <c r="AC253" s="268"/>
      <c r="AD253" s="268"/>
      <c r="AE253" s="268"/>
    </row>
    <row r="254" spans="1:31" ht="24.75" customHeight="1">
      <c r="A254" s="268"/>
      <c r="B254" s="268"/>
      <c r="C254" s="268"/>
      <c r="D254" s="268"/>
      <c r="E254" s="268"/>
      <c r="F254" s="268"/>
      <c r="G254" s="268"/>
      <c r="H254" s="268"/>
      <c r="I254" s="268"/>
      <c r="J254" s="268"/>
      <c r="K254" s="268"/>
      <c r="L254" s="309"/>
      <c r="M254" s="268"/>
      <c r="N254" s="268"/>
      <c r="O254" s="310"/>
      <c r="P254" s="268"/>
      <c r="Q254" s="309"/>
      <c r="R254" s="268"/>
      <c r="S254" s="313"/>
      <c r="T254" s="313"/>
      <c r="U254" s="268"/>
      <c r="V254" s="309"/>
      <c r="W254" s="310"/>
      <c r="X254" s="268"/>
      <c r="Y254" s="268"/>
      <c r="Z254" s="268"/>
      <c r="AA254" s="268"/>
      <c r="AB254" s="268"/>
      <c r="AC254" s="268"/>
      <c r="AD254" s="268"/>
      <c r="AE254" s="268"/>
    </row>
    <row r="255" spans="1:31" ht="24.75" customHeight="1">
      <c r="A255" s="268"/>
      <c r="B255" s="268"/>
      <c r="C255" s="268"/>
      <c r="D255" s="268"/>
      <c r="E255" s="268"/>
      <c r="F255" s="268"/>
      <c r="G255" s="268"/>
      <c r="H255" s="268"/>
      <c r="I255" s="268"/>
      <c r="J255" s="268"/>
      <c r="K255" s="268"/>
      <c r="L255" s="309"/>
      <c r="M255" s="268"/>
      <c r="N255" s="268"/>
      <c r="O255" s="310"/>
      <c r="P255" s="268"/>
      <c r="Q255" s="309"/>
      <c r="R255" s="268"/>
      <c r="S255" s="313"/>
      <c r="T255" s="313"/>
      <c r="U255" s="268"/>
      <c r="V255" s="309"/>
      <c r="W255" s="310"/>
      <c r="X255" s="268"/>
      <c r="Y255" s="268"/>
      <c r="Z255" s="268"/>
      <c r="AA255" s="268"/>
      <c r="AB255" s="268"/>
      <c r="AC255" s="268"/>
      <c r="AD255" s="268"/>
      <c r="AE255" s="268"/>
    </row>
    <row r="256" spans="1:31" ht="24.75" customHeight="1">
      <c r="A256" s="268"/>
      <c r="B256" s="268"/>
      <c r="C256" s="268"/>
      <c r="D256" s="268"/>
      <c r="E256" s="268"/>
      <c r="F256" s="268"/>
      <c r="G256" s="268"/>
      <c r="H256" s="268"/>
      <c r="I256" s="268"/>
      <c r="J256" s="268"/>
      <c r="K256" s="268"/>
      <c r="L256" s="309"/>
      <c r="M256" s="268"/>
      <c r="N256" s="268"/>
      <c r="O256" s="310"/>
      <c r="P256" s="268"/>
      <c r="Q256" s="309"/>
      <c r="R256" s="268"/>
      <c r="S256" s="313"/>
      <c r="T256" s="313"/>
      <c r="U256" s="268"/>
      <c r="V256" s="309"/>
      <c r="W256" s="310"/>
      <c r="X256" s="268"/>
      <c r="Y256" s="268"/>
      <c r="Z256" s="268"/>
      <c r="AA256" s="268"/>
      <c r="AB256" s="268"/>
      <c r="AC256" s="268"/>
      <c r="AD256" s="268"/>
      <c r="AE256" s="268"/>
    </row>
    <row r="257" spans="1:31" ht="24.75" customHeight="1">
      <c r="A257" s="268"/>
      <c r="B257" s="268"/>
      <c r="C257" s="268"/>
      <c r="D257" s="268"/>
      <c r="E257" s="268"/>
      <c r="F257" s="268"/>
      <c r="G257" s="268"/>
      <c r="H257" s="268"/>
      <c r="I257" s="268"/>
      <c r="J257" s="268"/>
      <c r="K257" s="268"/>
      <c r="L257" s="309"/>
      <c r="M257" s="268"/>
      <c r="N257" s="268"/>
      <c r="O257" s="310"/>
      <c r="P257" s="268"/>
      <c r="Q257" s="309"/>
      <c r="R257" s="268"/>
      <c r="S257" s="313"/>
      <c r="T257" s="313"/>
      <c r="U257" s="268"/>
      <c r="V257" s="309"/>
      <c r="W257" s="310"/>
      <c r="X257" s="268"/>
      <c r="Y257" s="268"/>
      <c r="Z257" s="268"/>
      <c r="AA257" s="268"/>
      <c r="AB257" s="268"/>
      <c r="AC257" s="268"/>
      <c r="AD257" s="268"/>
      <c r="AE257" s="268"/>
    </row>
    <row r="258" spans="1:31" ht="24.75" customHeight="1">
      <c r="A258" s="268"/>
      <c r="B258" s="268"/>
      <c r="C258" s="268"/>
      <c r="D258" s="268"/>
      <c r="E258" s="268"/>
      <c r="F258" s="268"/>
      <c r="G258" s="268"/>
      <c r="H258" s="268"/>
      <c r="I258" s="268"/>
      <c r="J258" s="268"/>
      <c r="K258" s="268"/>
      <c r="L258" s="309"/>
      <c r="M258" s="268"/>
      <c r="N258" s="268"/>
      <c r="O258" s="310"/>
      <c r="P258" s="268"/>
      <c r="Q258" s="309"/>
      <c r="R258" s="268"/>
      <c r="S258" s="313"/>
      <c r="T258" s="313"/>
      <c r="U258" s="268"/>
      <c r="V258" s="309"/>
      <c r="W258" s="310"/>
      <c r="X258" s="268"/>
      <c r="Y258" s="268"/>
      <c r="Z258" s="268"/>
      <c r="AA258" s="268"/>
      <c r="AB258" s="268"/>
      <c r="AC258" s="268"/>
      <c r="AD258" s="268"/>
      <c r="AE258" s="268"/>
    </row>
    <row r="259" spans="1:31" ht="24.75" customHeight="1">
      <c r="A259" s="268"/>
      <c r="B259" s="268"/>
      <c r="C259" s="268"/>
      <c r="D259" s="268"/>
      <c r="E259" s="268"/>
      <c r="F259" s="268"/>
      <c r="G259" s="268"/>
      <c r="H259" s="268"/>
      <c r="I259" s="268"/>
      <c r="J259" s="268"/>
      <c r="K259" s="268"/>
      <c r="L259" s="309"/>
      <c r="M259" s="268"/>
      <c r="N259" s="268"/>
      <c r="O259" s="310"/>
      <c r="P259" s="268"/>
      <c r="Q259" s="309"/>
      <c r="R259" s="268"/>
      <c r="S259" s="313"/>
      <c r="T259" s="313"/>
      <c r="U259" s="268"/>
      <c r="V259" s="309"/>
      <c r="W259" s="310"/>
      <c r="X259" s="268"/>
      <c r="Y259" s="268"/>
      <c r="Z259" s="268"/>
      <c r="AA259" s="268"/>
      <c r="AB259" s="268"/>
      <c r="AC259" s="268"/>
      <c r="AD259" s="268"/>
      <c r="AE259" s="268"/>
    </row>
    <row r="260" spans="1:31" ht="24.75" customHeight="1">
      <c r="A260" s="268"/>
      <c r="B260" s="268"/>
      <c r="C260" s="268"/>
      <c r="D260" s="268"/>
      <c r="E260" s="268"/>
      <c r="F260" s="268"/>
      <c r="G260" s="268"/>
      <c r="H260" s="268"/>
      <c r="I260" s="268"/>
      <c r="J260" s="268"/>
      <c r="K260" s="268"/>
      <c r="L260" s="309"/>
      <c r="M260" s="268"/>
      <c r="N260" s="268"/>
      <c r="O260" s="310"/>
      <c r="P260" s="268"/>
      <c r="Q260" s="309"/>
      <c r="R260" s="268"/>
      <c r="S260" s="313"/>
      <c r="T260" s="313"/>
      <c r="U260" s="268"/>
      <c r="V260" s="309"/>
      <c r="W260" s="310"/>
      <c r="X260" s="268"/>
      <c r="Y260" s="268"/>
      <c r="Z260" s="268"/>
      <c r="AA260" s="268"/>
      <c r="AB260" s="268"/>
      <c r="AC260" s="268"/>
      <c r="AD260" s="268"/>
      <c r="AE260" s="268"/>
    </row>
    <row r="261" spans="1:31" ht="24.75" customHeight="1">
      <c r="A261" s="268"/>
      <c r="B261" s="268"/>
      <c r="C261" s="268"/>
      <c r="D261" s="268"/>
      <c r="E261" s="268"/>
      <c r="F261" s="268"/>
      <c r="G261" s="268"/>
      <c r="H261" s="268"/>
      <c r="I261" s="268"/>
      <c r="J261" s="268"/>
      <c r="K261" s="268"/>
      <c r="L261" s="309"/>
      <c r="M261" s="268"/>
      <c r="N261" s="268"/>
      <c r="O261" s="310"/>
      <c r="P261" s="268"/>
      <c r="Q261" s="309"/>
      <c r="R261" s="268"/>
      <c r="S261" s="313"/>
      <c r="T261" s="313"/>
      <c r="U261" s="268"/>
      <c r="V261" s="309"/>
      <c r="W261" s="310"/>
      <c r="X261" s="268"/>
      <c r="Y261" s="268"/>
      <c r="Z261" s="268"/>
      <c r="AA261" s="268"/>
      <c r="AB261" s="268"/>
      <c r="AC261" s="268"/>
      <c r="AD261" s="268"/>
      <c r="AE261" s="268"/>
    </row>
    <row r="262" spans="1:31" ht="24.75" customHeight="1">
      <c r="A262" s="268"/>
      <c r="B262" s="268"/>
      <c r="C262" s="268"/>
      <c r="D262" s="268"/>
      <c r="E262" s="268"/>
      <c r="F262" s="268"/>
      <c r="G262" s="268"/>
      <c r="H262" s="268"/>
      <c r="I262" s="268"/>
      <c r="J262" s="268"/>
      <c r="K262" s="268"/>
      <c r="L262" s="309"/>
      <c r="M262" s="268"/>
      <c r="N262" s="268"/>
      <c r="O262" s="310"/>
      <c r="P262" s="268"/>
      <c r="Q262" s="309"/>
      <c r="R262" s="268"/>
      <c r="S262" s="313"/>
      <c r="T262" s="313"/>
      <c r="U262" s="268"/>
      <c r="V262" s="309"/>
      <c r="W262" s="310"/>
      <c r="X262" s="268"/>
      <c r="Y262" s="268"/>
      <c r="Z262" s="268"/>
      <c r="AA262" s="268"/>
      <c r="AB262" s="268"/>
      <c r="AC262" s="268"/>
      <c r="AD262" s="268"/>
      <c r="AE262" s="268"/>
    </row>
    <row r="263" spans="1:31" ht="24.75" customHeight="1">
      <c r="A263" s="268"/>
      <c r="B263" s="268"/>
      <c r="C263" s="268"/>
      <c r="D263" s="268"/>
      <c r="E263" s="268"/>
      <c r="F263" s="268"/>
      <c r="G263" s="268"/>
      <c r="H263" s="268"/>
      <c r="I263" s="268"/>
      <c r="J263" s="268"/>
      <c r="K263" s="268"/>
      <c r="L263" s="309"/>
      <c r="M263" s="268"/>
      <c r="N263" s="268"/>
      <c r="O263" s="310"/>
      <c r="P263" s="268"/>
      <c r="Q263" s="309"/>
      <c r="R263" s="268"/>
      <c r="S263" s="313"/>
      <c r="T263" s="313"/>
      <c r="U263" s="268"/>
      <c r="V263" s="309"/>
      <c r="W263" s="310"/>
      <c r="X263" s="268"/>
      <c r="Y263" s="268"/>
      <c r="Z263" s="268"/>
      <c r="AA263" s="268"/>
      <c r="AB263" s="268"/>
      <c r="AC263" s="268"/>
      <c r="AD263" s="268"/>
      <c r="AE263" s="268"/>
    </row>
    <row r="264" spans="1:31" ht="24.75" customHeight="1">
      <c r="A264" s="268"/>
      <c r="B264" s="268"/>
      <c r="C264" s="268"/>
      <c r="D264" s="268"/>
      <c r="E264" s="268"/>
      <c r="F264" s="268"/>
      <c r="G264" s="268"/>
      <c r="H264" s="268"/>
      <c r="I264" s="268"/>
      <c r="J264" s="268"/>
      <c r="K264" s="268"/>
      <c r="L264" s="309"/>
      <c r="M264" s="268"/>
      <c r="N264" s="268"/>
      <c r="O264" s="310"/>
      <c r="P264" s="268"/>
      <c r="Q264" s="309"/>
      <c r="R264" s="268"/>
      <c r="S264" s="313"/>
      <c r="T264" s="313"/>
      <c r="U264" s="268"/>
      <c r="V264" s="309"/>
      <c r="W264" s="310"/>
      <c r="X264" s="268"/>
      <c r="Y264" s="268"/>
      <c r="Z264" s="268"/>
      <c r="AA264" s="268"/>
      <c r="AB264" s="268"/>
      <c r="AC264" s="268"/>
      <c r="AD264" s="268"/>
      <c r="AE264" s="268"/>
    </row>
    <row r="265" spans="1:31" ht="24.75" customHeight="1">
      <c r="A265" s="268"/>
      <c r="B265" s="268"/>
      <c r="C265" s="268"/>
      <c r="D265" s="268"/>
      <c r="E265" s="268"/>
      <c r="F265" s="268"/>
      <c r="G265" s="268"/>
      <c r="H265" s="268"/>
      <c r="I265" s="268"/>
      <c r="J265" s="268"/>
      <c r="K265" s="268"/>
      <c r="L265" s="309"/>
      <c r="M265" s="268"/>
      <c r="N265" s="268"/>
      <c r="O265" s="310"/>
      <c r="P265" s="268"/>
      <c r="Q265" s="309"/>
      <c r="R265" s="268"/>
      <c r="S265" s="313"/>
      <c r="T265" s="313"/>
      <c r="U265" s="268"/>
      <c r="V265" s="309"/>
      <c r="W265" s="310"/>
      <c r="X265" s="268"/>
      <c r="Y265" s="268"/>
      <c r="Z265" s="268"/>
      <c r="AA265" s="268"/>
      <c r="AB265" s="268"/>
      <c r="AC265" s="268"/>
      <c r="AD265" s="268"/>
      <c r="AE265" s="268"/>
    </row>
    <row r="266" spans="1:31" ht="24.75" customHeight="1">
      <c r="A266" s="268"/>
      <c r="B266" s="268"/>
      <c r="C266" s="268"/>
      <c r="D266" s="268"/>
      <c r="E266" s="268"/>
      <c r="F266" s="268"/>
      <c r="G266" s="268"/>
      <c r="H266" s="268"/>
      <c r="I266" s="268"/>
      <c r="J266" s="268"/>
      <c r="K266" s="268"/>
      <c r="L266" s="309"/>
      <c r="M266" s="268"/>
      <c r="N266" s="268"/>
      <c r="O266" s="310"/>
      <c r="P266" s="268"/>
      <c r="Q266" s="309"/>
      <c r="R266" s="268"/>
      <c r="S266" s="313"/>
      <c r="T266" s="313"/>
      <c r="U266" s="268"/>
      <c r="V266" s="309"/>
      <c r="W266" s="310"/>
      <c r="X266" s="268"/>
      <c r="Y266" s="268"/>
      <c r="Z266" s="268"/>
      <c r="AA266" s="268"/>
      <c r="AB266" s="268"/>
      <c r="AC266" s="268"/>
      <c r="AD266" s="268"/>
      <c r="AE266" s="268"/>
    </row>
    <row r="267" spans="1:31" ht="24.75" customHeight="1">
      <c r="A267" s="268"/>
      <c r="B267" s="268"/>
      <c r="C267" s="268"/>
      <c r="D267" s="268"/>
      <c r="E267" s="268"/>
      <c r="F267" s="268"/>
      <c r="G267" s="268"/>
      <c r="H267" s="268"/>
      <c r="I267" s="268"/>
      <c r="J267" s="268"/>
      <c r="K267" s="268"/>
      <c r="L267" s="309"/>
      <c r="M267" s="268"/>
      <c r="N267" s="268"/>
      <c r="O267" s="310"/>
      <c r="P267" s="268"/>
      <c r="Q267" s="309"/>
      <c r="R267" s="268"/>
      <c r="S267" s="313"/>
      <c r="T267" s="313"/>
      <c r="U267" s="268"/>
      <c r="V267" s="309"/>
      <c r="W267" s="310"/>
      <c r="X267" s="268"/>
      <c r="Y267" s="268"/>
      <c r="Z267" s="268"/>
      <c r="AA267" s="268"/>
      <c r="AB267" s="268"/>
      <c r="AC267" s="268"/>
      <c r="AD267" s="268"/>
      <c r="AE267" s="268"/>
    </row>
    <row r="268" spans="1:31" ht="24.75" customHeight="1">
      <c r="A268" s="268"/>
      <c r="B268" s="268"/>
      <c r="C268" s="268"/>
      <c r="D268" s="268"/>
      <c r="E268" s="268"/>
      <c r="F268" s="268"/>
      <c r="G268" s="268"/>
      <c r="H268" s="268"/>
      <c r="I268" s="268"/>
      <c r="J268" s="268"/>
      <c r="K268" s="268"/>
      <c r="L268" s="309"/>
      <c r="M268" s="268"/>
      <c r="N268" s="268"/>
      <c r="O268" s="310"/>
      <c r="P268" s="268"/>
      <c r="Q268" s="309"/>
      <c r="R268" s="268"/>
      <c r="S268" s="313"/>
      <c r="T268" s="313"/>
      <c r="U268" s="268"/>
      <c r="V268" s="309"/>
      <c r="W268" s="310"/>
      <c r="X268" s="268"/>
      <c r="Y268" s="268"/>
      <c r="Z268" s="268"/>
      <c r="AA268" s="268"/>
      <c r="AB268" s="268"/>
      <c r="AC268" s="268"/>
      <c r="AD268" s="268"/>
      <c r="AE268" s="268"/>
    </row>
    <row r="269" spans="1:31" ht="24.75" customHeight="1">
      <c r="A269" s="268"/>
      <c r="B269" s="268"/>
      <c r="C269" s="268"/>
      <c r="D269" s="268"/>
      <c r="E269" s="268"/>
      <c r="F269" s="268"/>
      <c r="G269" s="268"/>
      <c r="H269" s="268"/>
      <c r="I269" s="268"/>
      <c r="J269" s="268"/>
      <c r="K269" s="268"/>
      <c r="L269" s="309"/>
      <c r="M269" s="268"/>
      <c r="N269" s="268"/>
      <c r="O269" s="310"/>
      <c r="P269" s="268"/>
      <c r="Q269" s="309"/>
      <c r="R269" s="268"/>
      <c r="S269" s="313"/>
      <c r="T269" s="313"/>
      <c r="U269" s="268"/>
      <c r="V269" s="309"/>
      <c r="W269" s="310"/>
      <c r="X269" s="268"/>
      <c r="Y269" s="268"/>
      <c r="Z269" s="268"/>
      <c r="AA269" s="268"/>
      <c r="AB269" s="268"/>
      <c r="AC269" s="268"/>
      <c r="AD269" s="268"/>
      <c r="AE269" s="268"/>
    </row>
    <row r="270" spans="1:31" ht="24.75" customHeight="1">
      <c r="A270" s="268"/>
      <c r="B270" s="268"/>
      <c r="C270" s="268"/>
      <c r="D270" s="268"/>
      <c r="E270" s="268"/>
      <c r="F270" s="268"/>
      <c r="G270" s="268"/>
      <c r="H270" s="268"/>
      <c r="I270" s="268"/>
      <c r="J270" s="268"/>
      <c r="K270" s="268"/>
      <c r="L270" s="309"/>
      <c r="M270" s="268"/>
      <c r="N270" s="268"/>
      <c r="O270" s="310"/>
      <c r="P270" s="268"/>
      <c r="Q270" s="309"/>
      <c r="R270" s="268"/>
      <c r="S270" s="313"/>
      <c r="T270" s="313"/>
      <c r="U270" s="268"/>
      <c r="V270" s="309"/>
      <c r="W270" s="310"/>
      <c r="X270" s="268"/>
      <c r="Y270" s="268"/>
      <c r="Z270" s="268"/>
      <c r="AA270" s="268"/>
      <c r="AB270" s="268"/>
      <c r="AC270" s="268"/>
      <c r="AD270" s="268"/>
      <c r="AE270" s="268"/>
    </row>
    <row r="271" spans="1:31" ht="24.75" customHeight="1">
      <c r="A271" s="268"/>
      <c r="B271" s="268"/>
      <c r="C271" s="268"/>
      <c r="D271" s="268"/>
      <c r="E271" s="268"/>
      <c r="F271" s="268"/>
      <c r="G271" s="268"/>
      <c r="H271" s="268"/>
      <c r="I271" s="268"/>
      <c r="J271" s="268"/>
      <c r="K271" s="268"/>
      <c r="L271" s="309"/>
      <c r="M271" s="268"/>
      <c r="N271" s="268"/>
      <c r="O271" s="310"/>
      <c r="P271" s="268"/>
      <c r="Q271" s="309"/>
      <c r="R271" s="268"/>
      <c r="S271" s="313"/>
      <c r="T271" s="313"/>
      <c r="U271" s="268"/>
      <c r="V271" s="309"/>
      <c r="W271" s="310"/>
      <c r="X271" s="268"/>
      <c r="Y271" s="268"/>
      <c r="Z271" s="268"/>
      <c r="AA271" s="268"/>
      <c r="AB271" s="268"/>
      <c r="AC271" s="268"/>
      <c r="AD271" s="268"/>
      <c r="AE271" s="268"/>
    </row>
    <row r="272" spans="1:31" ht="24.75" customHeight="1">
      <c r="A272" s="268"/>
      <c r="B272" s="268"/>
      <c r="C272" s="268"/>
      <c r="D272" s="268"/>
      <c r="E272" s="268"/>
      <c r="F272" s="268"/>
      <c r="G272" s="268"/>
      <c r="H272" s="268"/>
      <c r="I272" s="268"/>
      <c r="J272" s="268"/>
      <c r="K272" s="268"/>
      <c r="L272" s="309"/>
      <c r="M272" s="268"/>
      <c r="N272" s="268"/>
      <c r="O272" s="310"/>
      <c r="P272" s="268"/>
      <c r="Q272" s="309"/>
      <c r="R272" s="268"/>
      <c r="S272" s="313"/>
      <c r="T272" s="313"/>
      <c r="U272" s="268"/>
      <c r="V272" s="309"/>
      <c r="W272" s="310"/>
      <c r="X272" s="268"/>
      <c r="Y272" s="268"/>
      <c r="Z272" s="268"/>
      <c r="AA272" s="268"/>
      <c r="AB272" s="268"/>
      <c r="AC272" s="268"/>
      <c r="AD272" s="268"/>
      <c r="AE272" s="268"/>
    </row>
    <row r="273" spans="1:31" ht="24.75" customHeight="1">
      <c r="A273" s="268"/>
      <c r="B273" s="268"/>
      <c r="C273" s="268"/>
      <c r="D273" s="268"/>
      <c r="E273" s="268"/>
      <c r="F273" s="268"/>
      <c r="G273" s="268"/>
      <c r="H273" s="268"/>
      <c r="I273" s="268"/>
      <c r="J273" s="268"/>
      <c r="K273" s="268"/>
      <c r="L273" s="309"/>
      <c r="M273" s="268"/>
      <c r="N273" s="268"/>
      <c r="O273" s="310"/>
      <c r="P273" s="268"/>
      <c r="Q273" s="309"/>
      <c r="R273" s="268"/>
      <c r="S273" s="313"/>
      <c r="T273" s="313"/>
      <c r="U273" s="268"/>
      <c r="V273" s="309"/>
      <c r="W273" s="310"/>
      <c r="X273" s="268"/>
      <c r="Y273" s="268"/>
      <c r="Z273" s="268"/>
      <c r="AA273" s="268"/>
      <c r="AB273" s="268"/>
      <c r="AC273" s="268"/>
      <c r="AD273" s="268"/>
      <c r="AE273" s="268"/>
    </row>
    <row r="274" spans="1:31" ht="24.75" customHeight="1">
      <c r="A274" s="268"/>
      <c r="B274" s="268"/>
      <c r="C274" s="268"/>
      <c r="D274" s="268"/>
      <c r="E274" s="268"/>
      <c r="F274" s="268"/>
      <c r="G274" s="268"/>
      <c r="H274" s="268"/>
      <c r="I274" s="268"/>
      <c r="J274" s="268"/>
      <c r="K274" s="268"/>
      <c r="L274" s="309"/>
      <c r="M274" s="268"/>
      <c r="N274" s="268"/>
      <c r="O274" s="310"/>
      <c r="P274" s="268"/>
      <c r="Q274" s="309"/>
      <c r="R274" s="268"/>
      <c r="S274" s="313"/>
      <c r="T274" s="313"/>
      <c r="U274" s="268"/>
      <c r="V274" s="309"/>
      <c r="W274" s="310"/>
      <c r="X274" s="268"/>
      <c r="Y274" s="268"/>
      <c r="Z274" s="268"/>
      <c r="AA274" s="268"/>
      <c r="AB274" s="268"/>
      <c r="AC274" s="268"/>
      <c r="AD274" s="268"/>
      <c r="AE274" s="268"/>
    </row>
    <row r="275" spans="1:31" ht="24.75" customHeight="1">
      <c r="A275" s="268"/>
      <c r="B275" s="268"/>
      <c r="C275" s="268"/>
      <c r="D275" s="268"/>
      <c r="E275" s="268"/>
      <c r="F275" s="268"/>
      <c r="G275" s="268"/>
      <c r="H275" s="268"/>
      <c r="I275" s="268"/>
      <c r="J275" s="268"/>
      <c r="K275" s="268"/>
      <c r="L275" s="309"/>
      <c r="M275" s="268"/>
      <c r="N275" s="268"/>
      <c r="O275" s="310"/>
      <c r="P275" s="268"/>
      <c r="Q275" s="309"/>
      <c r="R275" s="268"/>
      <c r="S275" s="313"/>
      <c r="T275" s="313"/>
      <c r="U275" s="268"/>
      <c r="V275" s="309"/>
      <c r="W275" s="310"/>
      <c r="X275" s="268"/>
      <c r="Y275" s="268"/>
      <c r="Z275" s="268"/>
      <c r="AA275" s="268"/>
      <c r="AB275" s="268"/>
      <c r="AC275" s="268"/>
      <c r="AD275" s="268"/>
      <c r="AE275" s="268"/>
    </row>
    <row r="276" spans="1:31" ht="24.75" customHeight="1">
      <c r="A276" s="268"/>
      <c r="B276" s="268"/>
      <c r="C276" s="268"/>
      <c r="D276" s="268"/>
      <c r="E276" s="268"/>
      <c r="F276" s="268"/>
      <c r="G276" s="268"/>
      <c r="H276" s="268"/>
      <c r="I276" s="268"/>
      <c r="J276" s="268"/>
      <c r="K276" s="268"/>
      <c r="L276" s="309"/>
      <c r="M276" s="268"/>
      <c r="N276" s="268"/>
      <c r="O276" s="310"/>
      <c r="P276" s="268"/>
      <c r="Q276" s="309"/>
      <c r="R276" s="268"/>
      <c r="S276" s="313"/>
      <c r="T276" s="313"/>
      <c r="U276" s="268"/>
      <c r="V276" s="309"/>
      <c r="W276" s="310"/>
      <c r="X276" s="268"/>
      <c r="Y276" s="268"/>
      <c r="Z276" s="268"/>
      <c r="AA276" s="268"/>
      <c r="AB276" s="268"/>
      <c r="AC276" s="268"/>
      <c r="AD276" s="268"/>
      <c r="AE276" s="268"/>
    </row>
    <row r="277" spans="1:31" ht="24.75" customHeight="1">
      <c r="A277" s="268"/>
      <c r="B277" s="268"/>
      <c r="C277" s="268"/>
      <c r="D277" s="268"/>
      <c r="E277" s="268"/>
      <c r="F277" s="268"/>
      <c r="G277" s="268"/>
      <c r="H277" s="268"/>
      <c r="I277" s="268"/>
      <c r="J277" s="268"/>
      <c r="K277" s="268"/>
      <c r="L277" s="309"/>
      <c r="M277" s="268"/>
      <c r="N277" s="268"/>
      <c r="O277" s="310"/>
      <c r="P277" s="268"/>
      <c r="Q277" s="309"/>
      <c r="R277" s="268"/>
      <c r="S277" s="313"/>
      <c r="T277" s="313"/>
      <c r="U277" s="268"/>
      <c r="V277" s="309"/>
      <c r="W277" s="310"/>
      <c r="X277" s="268"/>
      <c r="Y277" s="268"/>
      <c r="Z277" s="268"/>
      <c r="AA277" s="268"/>
      <c r="AB277" s="268"/>
      <c r="AC277" s="268"/>
      <c r="AD277" s="268"/>
      <c r="AE277" s="268"/>
    </row>
    <row r="278" spans="1:31" ht="24.75" customHeight="1">
      <c r="A278" s="268"/>
      <c r="B278" s="268"/>
      <c r="C278" s="268"/>
      <c r="D278" s="268"/>
      <c r="E278" s="268"/>
      <c r="F278" s="268"/>
      <c r="G278" s="268"/>
      <c r="H278" s="268"/>
      <c r="I278" s="268"/>
      <c r="J278" s="268"/>
      <c r="K278" s="268"/>
      <c r="L278" s="309"/>
      <c r="M278" s="268"/>
      <c r="N278" s="268"/>
      <c r="O278" s="310"/>
      <c r="P278" s="268"/>
      <c r="Q278" s="309"/>
      <c r="R278" s="268"/>
      <c r="S278" s="313"/>
      <c r="T278" s="313"/>
      <c r="U278" s="268"/>
      <c r="V278" s="309"/>
      <c r="W278" s="310"/>
      <c r="X278" s="268"/>
      <c r="Y278" s="268"/>
      <c r="Z278" s="268"/>
      <c r="AA278" s="268"/>
      <c r="AB278" s="268"/>
      <c r="AC278" s="268"/>
      <c r="AD278" s="268"/>
      <c r="AE278" s="268"/>
    </row>
    <row r="279" spans="1:31" ht="24.75" customHeight="1">
      <c r="A279" s="268"/>
      <c r="B279" s="268"/>
      <c r="C279" s="268"/>
      <c r="D279" s="268"/>
      <c r="E279" s="268"/>
      <c r="F279" s="268"/>
      <c r="G279" s="268"/>
      <c r="H279" s="268"/>
      <c r="I279" s="268"/>
      <c r="J279" s="268"/>
      <c r="K279" s="268"/>
      <c r="L279" s="309"/>
      <c r="M279" s="268"/>
      <c r="N279" s="268"/>
      <c r="O279" s="310"/>
      <c r="P279" s="268"/>
      <c r="Q279" s="309"/>
      <c r="R279" s="268"/>
      <c r="S279" s="313"/>
      <c r="T279" s="313"/>
      <c r="U279" s="268"/>
      <c r="V279" s="309"/>
      <c r="W279" s="310"/>
      <c r="X279" s="268"/>
      <c r="Y279" s="268"/>
      <c r="Z279" s="268"/>
      <c r="AA279" s="268"/>
      <c r="AB279" s="268"/>
      <c r="AC279" s="268"/>
      <c r="AD279" s="268"/>
      <c r="AE279" s="268"/>
    </row>
    <row r="280" spans="1:31" ht="24.75" customHeight="1">
      <c r="A280" s="268"/>
      <c r="B280" s="268"/>
      <c r="C280" s="268"/>
      <c r="D280" s="268"/>
      <c r="E280" s="268"/>
      <c r="F280" s="268"/>
      <c r="G280" s="268"/>
      <c r="H280" s="268"/>
      <c r="I280" s="268"/>
      <c r="J280" s="268"/>
      <c r="K280" s="268"/>
      <c r="L280" s="309"/>
      <c r="M280" s="268"/>
      <c r="N280" s="268"/>
      <c r="O280" s="310"/>
      <c r="P280" s="268"/>
      <c r="Q280" s="309"/>
      <c r="R280" s="268"/>
      <c r="S280" s="313"/>
      <c r="T280" s="313"/>
      <c r="U280" s="268"/>
      <c r="V280" s="309"/>
      <c r="W280" s="310"/>
      <c r="X280" s="268"/>
      <c r="Y280" s="268"/>
      <c r="Z280" s="268"/>
      <c r="AA280" s="268"/>
      <c r="AB280" s="268"/>
      <c r="AC280" s="268"/>
      <c r="AD280" s="268"/>
      <c r="AE280" s="268"/>
    </row>
    <row r="281" spans="1:31" ht="24.75" customHeight="1">
      <c r="A281" s="268"/>
      <c r="B281" s="268"/>
      <c r="C281" s="268"/>
      <c r="D281" s="268"/>
      <c r="E281" s="268"/>
      <c r="F281" s="268"/>
      <c r="G281" s="268"/>
      <c r="H281" s="268"/>
      <c r="I281" s="268"/>
      <c r="J281" s="268"/>
      <c r="K281" s="268"/>
      <c r="L281" s="309"/>
      <c r="M281" s="268"/>
      <c r="N281" s="268"/>
      <c r="O281" s="310"/>
      <c r="P281" s="268"/>
      <c r="Q281" s="309"/>
      <c r="R281" s="268"/>
      <c r="S281" s="313"/>
      <c r="T281" s="313"/>
      <c r="U281" s="268"/>
      <c r="V281" s="309"/>
      <c r="W281" s="310"/>
      <c r="X281" s="268"/>
      <c r="Y281" s="268"/>
      <c r="Z281" s="268"/>
      <c r="AA281" s="268"/>
      <c r="AB281" s="268"/>
      <c r="AC281" s="268"/>
      <c r="AD281" s="268"/>
      <c r="AE281" s="268"/>
    </row>
    <row r="282" spans="1:31" ht="24.75" customHeight="1">
      <c r="A282" s="268"/>
      <c r="B282" s="268"/>
      <c r="C282" s="268"/>
      <c r="D282" s="268"/>
      <c r="E282" s="268"/>
      <c r="F282" s="268"/>
      <c r="G282" s="268"/>
      <c r="H282" s="268"/>
      <c r="I282" s="268"/>
      <c r="J282" s="268"/>
      <c r="K282" s="268"/>
      <c r="L282" s="309"/>
      <c r="M282" s="268"/>
      <c r="N282" s="268"/>
      <c r="O282" s="310"/>
      <c r="P282" s="268"/>
      <c r="Q282" s="309"/>
      <c r="R282" s="268"/>
      <c r="S282" s="313"/>
      <c r="T282" s="313"/>
      <c r="U282" s="268"/>
      <c r="V282" s="309"/>
      <c r="W282" s="310"/>
      <c r="X282" s="268"/>
      <c r="Y282" s="268"/>
      <c r="Z282" s="268"/>
      <c r="AA282" s="268"/>
      <c r="AB282" s="268"/>
      <c r="AC282" s="268"/>
      <c r="AD282" s="268"/>
      <c r="AE282" s="268"/>
    </row>
    <row r="283" spans="1:31" ht="24.75" customHeight="1">
      <c r="A283" s="268"/>
      <c r="B283" s="268"/>
      <c r="C283" s="268"/>
      <c r="D283" s="268"/>
      <c r="E283" s="268"/>
      <c r="F283" s="268"/>
      <c r="G283" s="268"/>
      <c r="H283" s="268"/>
      <c r="I283" s="268"/>
      <c r="J283" s="268"/>
      <c r="K283" s="268"/>
      <c r="L283" s="309"/>
      <c r="M283" s="268"/>
      <c r="N283" s="268"/>
      <c r="O283" s="310"/>
      <c r="P283" s="268"/>
      <c r="Q283" s="309"/>
      <c r="R283" s="268"/>
      <c r="S283" s="313"/>
      <c r="T283" s="313"/>
      <c r="U283" s="268"/>
      <c r="V283" s="309"/>
      <c r="W283" s="310"/>
      <c r="X283" s="268"/>
      <c r="Y283" s="268"/>
      <c r="Z283" s="268"/>
      <c r="AA283" s="268"/>
      <c r="AB283" s="268"/>
      <c r="AC283" s="268"/>
      <c r="AD283" s="268"/>
      <c r="AE283" s="268"/>
    </row>
    <row r="284" spans="1:31" ht="24.75" customHeight="1">
      <c r="A284" s="268"/>
      <c r="B284" s="268"/>
      <c r="C284" s="268"/>
      <c r="D284" s="268"/>
      <c r="E284" s="268"/>
      <c r="F284" s="268"/>
      <c r="G284" s="268"/>
      <c r="H284" s="268"/>
      <c r="I284" s="268"/>
      <c r="J284" s="268"/>
      <c r="K284" s="268"/>
      <c r="L284" s="309"/>
      <c r="M284" s="268"/>
      <c r="N284" s="268"/>
      <c r="O284" s="310"/>
      <c r="P284" s="268"/>
      <c r="Q284" s="309"/>
      <c r="R284" s="268"/>
      <c r="S284" s="313"/>
      <c r="T284" s="313"/>
      <c r="U284" s="268"/>
      <c r="V284" s="309"/>
      <c r="W284" s="310"/>
      <c r="X284" s="268"/>
      <c r="Y284" s="268"/>
      <c r="Z284" s="268"/>
      <c r="AA284" s="268"/>
      <c r="AB284" s="268"/>
      <c r="AC284" s="268"/>
      <c r="AD284" s="268"/>
      <c r="AE284" s="268"/>
    </row>
    <row r="285" spans="1:31" ht="24.75" customHeight="1">
      <c r="A285" s="268"/>
      <c r="B285" s="268"/>
      <c r="C285" s="268"/>
      <c r="D285" s="268"/>
      <c r="E285" s="268"/>
      <c r="F285" s="268"/>
      <c r="G285" s="268"/>
      <c r="H285" s="268"/>
      <c r="I285" s="268"/>
      <c r="J285" s="268"/>
      <c r="K285" s="268"/>
      <c r="L285" s="309"/>
      <c r="M285" s="268"/>
      <c r="N285" s="268"/>
      <c r="O285" s="310"/>
      <c r="P285" s="268"/>
      <c r="Q285" s="309"/>
      <c r="R285" s="268"/>
      <c r="S285" s="313"/>
      <c r="T285" s="313"/>
      <c r="U285" s="268"/>
      <c r="V285" s="309"/>
      <c r="W285" s="310"/>
      <c r="X285" s="268"/>
      <c r="Y285" s="268"/>
      <c r="Z285" s="268"/>
      <c r="AA285" s="268"/>
      <c r="AB285" s="268"/>
      <c r="AC285" s="268"/>
      <c r="AD285" s="268"/>
      <c r="AE285" s="268"/>
    </row>
    <row r="286" spans="1:31" ht="24.75" customHeight="1">
      <c r="A286" s="268"/>
      <c r="B286" s="268"/>
      <c r="C286" s="268"/>
      <c r="D286" s="268"/>
      <c r="E286" s="268"/>
      <c r="F286" s="268"/>
      <c r="G286" s="268"/>
      <c r="H286" s="268"/>
      <c r="I286" s="268"/>
      <c r="J286" s="268"/>
      <c r="K286" s="268"/>
      <c r="L286" s="309"/>
      <c r="M286" s="268"/>
      <c r="N286" s="268"/>
      <c r="O286" s="310"/>
      <c r="P286" s="268"/>
      <c r="Q286" s="309"/>
      <c r="R286" s="268"/>
      <c r="S286" s="313"/>
      <c r="T286" s="313"/>
      <c r="U286" s="268"/>
      <c r="V286" s="309"/>
      <c r="W286" s="310"/>
      <c r="X286" s="268"/>
      <c r="Y286" s="268"/>
      <c r="Z286" s="268"/>
      <c r="AA286" s="268"/>
      <c r="AB286" s="268"/>
      <c r="AC286" s="268"/>
      <c r="AD286" s="268"/>
      <c r="AE286" s="268"/>
    </row>
    <row r="287" spans="1:31" ht="24.75" customHeight="1">
      <c r="A287" s="268"/>
      <c r="B287" s="268"/>
      <c r="C287" s="268"/>
      <c r="D287" s="268"/>
      <c r="E287" s="268"/>
      <c r="F287" s="268"/>
      <c r="G287" s="268"/>
      <c r="H287" s="268"/>
      <c r="I287" s="268"/>
      <c r="J287" s="268"/>
      <c r="K287" s="268"/>
      <c r="L287" s="309"/>
      <c r="M287" s="268"/>
      <c r="N287" s="268"/>
      <c r="O287" s="310"/>
      <c r="P287" s="268"/>
      <c r="Q287" s="309"/>
      <c r="R287" s="268"/>
      <c r="S287" s="313"/>
      <c r="T287" s="313"/>
      <c r="U287" s="268"/>
      <c r="V287" s="309"/>
      <c r="W287" s="310"/>
      <c r="X287" s="268"/>
      <c r="Y287" s="268"/>
      <c r="Z287" s="268"/>
      <c r="AA287" s="268"/>
      <c r="AB287" s="268"/>
      <c r="AC287" s="268"/>
      <c r="AD287" s="268"/>
      <c r="AE287" s="268"/>
    </row>
    <row r="288" spans="1:31" ht="24.75" customHeight="1">
      <c r="A288" s="268"/>
      <c r="B288" s="268"/>
      <c r="C288" s="268"/>
      <c r="D288" s="268"/>
      <c r="E288" s="268"/>
      <c r="F288" s="268"/>
      <c r="G288" s="268"/>
      <c r="H288" s="268"/>
      <c r="I288" s="268"/>
      <c r="J288" s="268"/>
      <c r="K288" s="268"/>
      <c r="L288" s="309"/>
      <c r="M288" s="268"/>
      <c r="N288" s="268"/>
      <c r="O288" s="310"/>
      <c r="P288" s="268"/>
      <c r="Q288" s="309"/>
      <c r="R288" s="268"/>
      <c r="S288" s="313"/>
      <c r="T288" s="313"/>
      <c r="U288" s="268"/>
      <c r="V288" s="309"/>
      <c r="W288" s="310"/>
      <c r="X288" s="268"/>
      <c r="Y288" s="268"/>
      <c r="Z288" s="268"/>
      <c r="AA288" s="268"/>
      <c r="AB288" s="268"/>
      <c r="AC288" s="268"/>
      <c r="AD288" s="268"/>
      <c r="AE288" s="268"/>
    </row>
    <row r="289" spans="1:31" ht="24.75" customHeight="1">
      <c r="A289" s="268"/>
      <c r="B289" s="268"/>
      <c r="C289" s="268"/>
      <c r="D289" s="268"/>
      <c r="E289" s="268"/>
      <c r="F289" s="268"/>
      <c r="G289" s="268"/>
      <c r="H289" s="268"/>
      <c r="I289" s="268"/>
      <c r="J289" s="268"/>
      <c r="K289" s="268"/>
      <c r="L289" s="309"/>
      <c r="M289" s="268"/>
      <c r="N289" s="268"/>
      <c r="O289" s="310"/>
      <c r="P289" s="268"/>
      <c r="Q289" s="309"/>
      <c r="R289" s="268"/>
      <c r="S289" s="313"/>
      <c r="T289" s="313"/>
      <c r="U289" s="268"/>
      <c r="V289" s="309"/>
      <c r="W289" s="310"/>
      <c r="X289" s="268"/>
      <c r="Y289" s="268"/>
      <c r="Z289" s="268"/>
      <c r="AA289" s="268"/>
      <c r="AB289" s="268"/>
      <c r="AC289" s="268"/>
      <c r="AD289" s="268"/>
      <c r="AE289" s="268"/>
    </row>
    <row r="290" spans="1:31" ht="24.75" customHeight="1">
      <c r="A290" s="268"/>
      <c r="B290" s="268"/>
      <c r="C290" s="268"/>
      <c r="D290" s="268"/>
      <c r="E290" s="268"/>
      <c r="F290" s="268"/>
      <c r="G290" s="268"/>
      <c r="H290" s="268"/>
      <c r="I290" s="268"/>
      <c r="J290" s="268"/>
      <c r="K290" s="268"/>
      <c r="L290" s="309"/>
      <c r="M290" s="268"/>
      <c r="N290" s="268"/>
      <c r="O290" s="310"/>
      <c r="P290" s="268"/>
      <c r="Q290" s="309"/>
      <c r="R290" s="268"/>
      <c r="S290" s="313"/>
      <c r="T290" s="313"/>
      <c r="U290" s="268"/>
      <c r="V290" s="309"/>
      <c r="W290" s="310"/>
      <c r="X290" s="268"/>
      <c r="Y290" s="268"/>
      <c r="Z290" s="268"/>
      <c r="AA290" s="268"/>
      <c r="AB290" s="268"/>
      <c r="AC290" s="268"/>
      <c r="AD290" s="268"/>
      <c r="AE290" s="268"/>
    </row>
    <row r="291" spans="1:31" ht="24.75" customHeight="1">
      <c r="A291" s="268"/>
      <c r="B291" s="268"/>
      <c r="C291" s="268"/>
      <c r="D291" s="268"/>
      <c r="E291" s="268"/>
      <c r="F291" s="268"/>
      <c r="G291" s="268"/>
      <c r="H291" s="268"/>
      <c r="I291" s="268"/>
      <c r="J291" s="268"/>
      <c r="K291" s="268"/>
      <c r="L291" s="309"/>
      <c r="M291" s="268"/>
      <c r="N291" s="268"/>
      <c r="O291" s="310"/>
      <c r="P291" s="268"/>
      <c r="Q291" s="309"/>
      <c r="R291" s="268"/>
      <c r="S291" s="313"/>
      <c r="T291" s="313"/>
      <c r="U291" s="268"/>
      <c r="V291" s="309"/>
      <c r="W291" s="310"/>
      <c r="X291" s="268"/>
      <c r="Y291" s="268"/>
      <c r="Z291" s="268"/>
      <c r="AA291" s="268"/>
      <c r="AB291" s="268"/>
      <c r="AC291" s="268"/>
      <c r="AD291" s="268"/>
      <c r="AE291" s="268"/>
    </row>
    <row r="292" spans="1:31" ht="24.75" customHeight="1">
      <c r="A292" s="268"/>
      <c r="B292" s="268"/>
      <c r="C292" s="268"/>
      <c r="D292" s="268"/>
      <c r="E292" s="268"/>
      <c r="F292" s="268"/>
      <c r="G292" s="268"/>
      <c r="H292" s="268"/>
      <c r="I292" s="268"/>
      <c r="J292" s="268"/>
      <c r="K292" s="268"/>
      <c r="L292" s="309"/>
      <c r="M292" s="268"/>
      <c r="N292" s="268"/>
      <c r="O292" s="310"/>
      <c r="P292" s="268"/>
      <c r="Q292" s="309"/>
      <c r="R292" s="268"/>
      <c r="S292" s="313"/>
      <c r="T292" s="313"/>
      <c r="U292" s="268"/>
      <c r="V292" s="309"/>
      <c r="W292" s="310"/>
      <c r="X292" s="268"/>
      <c r="Y292" s="268"/>
      <c r="Z292" s="268"/>
      <c r="AA292" s="268"/>
      <c r="AB292" s="268"/>
      <c r="AC292" s="268"/>
      <c r="AD292" s="268"/>
      <c r="AE292" s="268"/>
    </row>
    <row r="293" spans="1:31" ht="24.75" customHeight="1">
      <c r="A293" s="268"/>
      <c r="B293" s="268"/>
      <c r="C293" s="268"/>
      <c r="D293" s="268"/>
      <c r="E293" s="268"/>
      <c r="F293" s="268"/>
      <c r="G293" s="268"/>
      <c r="H293" s="268"/>
      <c r="I293" s="268"/>
      <c r="J293" s="268"/>
      <c r="K293" s="268"/>
      <c r="L293" s="309"/>
      <c r="M293" s="268"/>
      <c r="N293" s="268"/>
      <c r="O293" s="310"/>
      <c r="P293" s="268"/>
      <c r="Q293" s="309"/>
      <c r="R293" s="268"/>
      <c r="S293" s="313"/>
      <c r="T293" s="313"/>
      <c r="U293" s="268"/>
      <c r="V293" s="309"/>
      <c r="W293" s="310"/>
      <c r="X293" s="268"/>
      <c r="Y293" s="268"/>
      <c r="Z293" s="268"/>
      <c r="AA293" s="268"/>
      <c r="AB293" s="268"/>
      <c r="AC293" s="268"/>
      <c r="AD293" s="268"/>
      <c r="AE293" s="268"/>
    </row>
    <row r="294" spans="1:31" ht="24.75" customHeight="1">
      <c r="A294" s="268"/>
      <c r="B294" s="268"/>
      <c r="C294" s="268"/>
      <c r="D294" s="268"/>
      <c r="E294" s="268"/>
      <c r="F294" s="268"/>
      <c r="G294" s="268"/>
      <c r="H294" s="268"/>
      <c r="I294" s="268"/>
      <c r="J294" s="268"/>
      <c r="K294" s="268"/>
      <c r="L294" s="309"/>
      <c r="M294" s="268"/>
      <c r="N294" s="268"/>
      <c r="O294" s="310"/>
      <c r="P294" s="268"/>
      <c r="Q294" s="309"/>
      <c r="R294" s="268"/>
      <c r="S294" s="313"/>
      <c r="T294" s="313"/>
      <c r="U294" s="268"/>
      <c r="V294" s="309"/>
      <c r="W294" s="310"/>
      <c r="X294" s="268"/>
      <c r="Y294" s="268"/>
      <c r="Z294" s="268"/>
      <c r="AA294" s="268"/>
      <c r="AB294" s="268"/>
      <c r="AC294" s="268"/>
      <c r="AD294" s="268"/>
      <c r="AE294" s="268"/>
    </row>
    <row r="295" spans="1:31" ht="24.75" customHeight="1">
      <c r="A295" s="268"/>
      <c r="B295" s="268"/>
      <c r="C295" s="268"/>
      <c r="D295" s="268"/>
      <c r="E295" s="268"/>
      <c r="F295" s="268"/>
      <c r="G295" s="268"/>
      <c r="H295" s="268"/>
      <c r="I295" s="268"/>
      <c r="J295" s="268"/>
      <c r="K295" s="268"/>
      <c r="L295" s="309"/>
      <c r="M295" s="268"/>
      <c r="N295" s="268"/>
      <c r="O295" s="310"/>
      <c r="P295" s="268"/>
      <c r="Q295" s="309"/>
      <c r="R295" s="268"/>
      <c r="S295" s="313"/>
      <c r="T295" s="313"/>
      <c r="U295" s="268"/>
      <c r="V295" s="309"/>
      <c r="W295" s="310"/>
      <c r="X295" s="268"/>
      <c r="Y295" s="268"/>
      <c r="Z295" s="268"/>
      <c r="AA295" s="268"/>
      <c r="AB295" s="268"/>
      <c r="AC295" s="268"/>
      <c r="AD295" s="268"/>
      <c r="AE295" s="268"/>
    </row>
    <row r="296" spans="1:31" ht="24.75" customHeight="1">
      <c r="A296" s="268"/>
      <c r="B296" s="268"/>
      <c r="C296" s="268"/>
      <c r="D296" s="268"/>
      <c r="E296" s="268"/>
      <c r="F296" s="268"/>
      <c r="G296" s="268"/>
      <c r="H296" s="268"/>
      <c r="I296" s="268"/>
      <c r="J296" s="268"/>
      <c r="K296" s="268"/>
      <c r="L296" s="309"/>
      <c r="M296" s="268"/>
      <c r="N296" s="268"/>
      <c r="O296" s="310"/>
      <c r="P296" s="268"/>
      <c r="Q296" s="309"/>
      <c r="R296" s="268"/>
      <c r="S296" s="313"/>
      <c r="T296" s="313"/>
      <c r="U296" s="268"/>
      <c r="V296" s="309"/>
      <c r="W296" s="310"/>
      <c r="X296" s="268"/>
      <c r="Y296" s="268"/>
      <c r="Z296" s="268"/>
      <c r="AA296" s="268"/>
      <c r="AB296" s="268"/>
      <c r="AC296" s="268"/>
      <c r="AD296" s="268"/>
      <c r="AE296" s="268"/>
    </row>
    <row r="297" spans="1:31" ht="24.75" customHeight="1">
      <c r="A297" s="268"/>
      <c r="B297" s="268"/>
      <c r="C297" s="268"/>
      <c r="D297" s="268"/>
      <c r="E297" s="268"/>
      <c r="F297" s="268"/>
      <c r="G297" s="268"/>
      <c r="H297" s="268"/>
      <c r="I297" s="268"/>
      <c r="J297" s="268"/>
      <c r="K297" s="268"/>
      <c r="L297" s="309"/>
      <c r="M297" s="268"/>
      <c r="N297" s="268"/>
      <c r="O297" s="310"/>
      <c r="P297" s="268"/>
      <c r="Q297" s="309"/>
      <c r="R297" s="268"/>
      <c r="S297" s="313"/>
      <c r="T297" s="313"/>
      <c r="U297" s="268"/>
      <c r="V297" s="309"/>
      <c r="W297" s="310"/>
      <c r="X297" s="268"/>
      <c r="Y297" s="268"/>
      <c r="Z297" s="268"/>
      <c r="AA297" s="268"/>
      <c r="AB297" s="268"/>
      <c r="AC297" s="268"/>
      <c r="AD297" s="268"/>
      <c r="AE297" s="268"/>
    </row>
    <row r="298" spans="1:31" ht="24.75" customHeight="1">
      <c r="A298" s="268"/>
      <c r="B298" s="268"/>
      <c r="C298" s="268"/>
      <c r="D298" s="268"/>
      <c r="E298" s="268"/>
      <c r="F298" s="268"/>
      <c r="G298" s="268"/>
      <c r="H298" s="268"/>
      <c r="I298" s="268"/>
      <c r="J298" s="268"/>
      <c r="K298" s="268"/>
      <c r="L298" s="309"/>
      <c r="M298" s="268"/>
      <c r="N298" s="268"/>
      <c r="O298" s="310"/>
      <c r="P298" s="268"/>
      <c r="Q298" s="309"/>
      <c r="R298" s="268"/>
      <c r="S298" s="313"/>
      <c r="T298" s="313"/>
      <c r="U298" s="268"/>
      <c r="V298" s="309"/>
      <c r="W298" s="310"/>
      <c r="X298" s="268"/>
      <c r="Y298" s="268"/>
      <c r="Z298" s="268"/>
      <c r="AA298" s="268"/>
      <c r="AB298" s="268"/>
      <c r="AC298" s="268"/>
      <c r="AD298" s="268"/>
      <c r="AE298" s="268"/>
    </row>
    <row r="299" spans="1:31" ht="24.75" customHeight="1">
      <c r="A299" s="268"/>
      <c r="B299" s="268"/>
      <c r="C299" s="268"/>
      <c r="D299" s="268"/>
      <c r="E299" s="268"/>
      <c r="F299" s="268"/>
      <c r="G299" s="268"/>
      <c r="H299" s="268"/>
      <c r="I299" s="268"/>
      <c r="J299" s="268"/>
      <c r="K299" s="268"/>
      <c r="L299" s="309"/>
      <c r="M299" s="268"/>
      <c r="N299" s="268"/>
      <c r="O299" s="310"/>
      <c r="P299" s="268"/>
      <c r="Q299" s="309"/>
      <c r="R299" s="268"/>
      <c r="S299" s="313"/>
      <c r="T299" s="313"/>
      <c r="U299" s="268"/>
      <c r="V299" s="309"/>
      <c r="W299" s="310"/>
      <c r="X299" s="268"/>
      <c r="Y299" s="268"/>
      <c r="Z299" s="268"/>
      <c r="AA299" s="268"/>
      <c r="AB299" s="268"/>
      <c r="AC299" s="268"/>
      <c r="AD299" s="268"/>
      <c r="AE299" s="268"/>
    </row>
    <row r="300" spans="1:31" ht="24.75" customHeight="1">
      <c r="A300" s="268"/>
      <c r="B300" s="268"/>
      <c r="C300" s="268"/>
      <c r="D300" s="268"/>
      <c r="E300" s="268"/>
      <c r="F300" s="268"/>
      <c r="G300" s="268"/>
      <c r="H300" s="268"/>
      <c r="I300" s="268"/>
      <c r="J300" s="268"/>
      <c r="K300" s="268"/>
      <c r="L300" s="309"/>
      <c r="M300" s="268"/>
      <c r="N300" s="268"/>
      <c r="O300" s="310"/>
      <c r="P300" s="268"/>
      <c r="Q300" s="309"/>
      <c r="R300" s="268"/>
      <c r="S300" s="313"/>
      <c r="T300" s="313"/>
      <c r="U300" s="268"/>
      <c r="V300" s="309"/>
      <c r="W300" s="310"/>
      <c r="X300" s="268"/>
      <c r="Y300" s="268"/>
      <c r="Z300" s="268"/>
      <c r="AA300" s="268"/>
      <c r="AB300" s="268"/>
      <c r="AC300" s="268"/>
      <c r="AD300" s="268"/>
      <c r="AE300" s="268"/>
    </row>
    <row r="301" spans="1:31" ht="24.75" customHeight="1">
      <c r="A301" s="268"/>
      <c r="B301" s="268"/>
      <c r="C301" s="268"/>
      <c r="D301" s="268"/>
      <c r="E301" s="268"/>
      <c r="F301" s="268"/>
      <c r="G301" s="268"/>
      <c r="H301" s="268"/>
      <c r="I301" s="268"/>
      <c r="J301" s="268"/>
      <c r="K301" s="268"/>
      <c r="L301" s="309"/>
      <c r="M301" s="268"/>
      <c r="N301" s="268"/>
      <c r="O301" s="310"/>
      <c r="P301" s="268"/>
      <c r="Q301" s="309"/>
      <c r="R301" s="268"/>
      <c r="S301" s="313"/>
      <c r="T301" s="313"/>
      <c r="U301" s="268"/>
      <c r="V301" s="309"/>
      <c r="W301" s="310"/>
      <c r="X301" s="268"/>
      <c r="Y301" s="268"/>
      <c r="Z301" s="268"/>
      <c r="AA301" s="268"/>
      <c r="AB301" s="268"/>
      <c r="AC301" s="268"/>
      <c r="AD301" s="268"/>
      <c r="AE301" s="268"/>
    </row>
    <row r="302" spans="1:31" ht="24.75" customHeight="1">
      <c r="A302" s="268"/>
      <c r="B302" s="268"/>
      <c r="C302" s="268"/>
      <c r="D302" s="268"/>
      <c r="E302" s="268"/>
      <c r="F302" s="268"/>
      <c r="G302" s="268"/>
      <c r="H302" s="268"/>
      <c r="I302" s="268"/>
      <c r="J302" s="268"/>
      <c r="K302" s="268"/>
      <c r="L302" s="309"/>
      <c r="M302" s="268"/>
      <c r="N302" s="268"/>
      <c r="O302" s="310"/>
      <c r="P302" s="268"/>
      <c r="Q302" s="309"/>
      <c r="R302" s="268"/>
      <c r="S302" s="313"/>
      <c r="T302" s="313"/>
      <c r="U302" s="268"/>
      <c r="V302" s="309"/>
      <c r="W302" s="310"/>
      <c r="X302" s="268"/>
      <c r="Y302" s="268"/>
      <c r="Z302" s="268"/>
      <c r="AA302" s="268"/>
      <c r="AB302" s="268"/>
      <c r="AC302" s="268"/>
      <c r="AD302" s="268"/>
      <c r="AE302" s="268"/>
    </row>
    <row r="303" spans="1:31" ht="24.75" customHeight="1">
      <c r="A303" s="268"/>
      <c r="B303" s="268"/>
      <c r="C303" s="268"/>
      <c r="D303" s="268"/>
      <c r="E303" s="268"/>
      <c r="F303" s="268"/>
      <c r="G303" s="268"/>
      <c r="H303" s="268"/>
      <c r="I303" s="268"/>
      <c r="J303" s="268"/>
      <c r="K303" s="268"/>
      <c r="L303" s="309"/>
      <c r="M303" s="268"/>
      <c r="N303" s="268"/>
      <c r="O303" s="310"/>
      <c r="P303" s="268"/>
      <c r="Q303" s="309"/>
      <c r="R303" s="268"/>
      <c r="S303" s="313"/>
      <c r="T303" s="313"/>
      <c r="U303" s="268"/>
      <c r="V303" s="309"/>
      <c r="W303" s="310"/>
      <c r="X303" s="268"/>
      <c r="Y303" s="268"/>
      <c r="Z303" s="268"/>
      <c r="AA303" s="268"/>
      <c r="AB303" s="268"/>
      <c r="AC303" s="268"/>
      <c r="AD303" s="268"/>
      <c r="AE303" s="268"/>
    </row>
    <row r="304" spans="1:31" ht="24.75" customHeight="1">
      <c r="A304" s="268"/>
      <c r="B304" s="268"/>
      <c r="C304" s="268"/>
      <c r="D304" s="268"/>
      <c r="E304" s="268"/>
      <c r="F304" s="268"/>
      <c r="G304" s="268"/>
      <c r="H304" s="268"/>
      <c r="I304" s="268"/>
      <c r="J304" s="268"/>
      <c r="K304" s="268"/>
      <c r="L304" s="309"/>
      <c r="M304" s="268"/>
      <c r="N304" s="268"/>
      <c r="O304" s="310"/>
      <c r="P304" s="268"/>
      <c r="Q304" s="309"/>
      <c r="R304" s="268"/>
      <c r="S304" s="313"/>
      <c r="T304" s="313"/>
      <c r="U304" s="268"/>
      <c r="V304" s="309"/>
      <c r="W304" s="310"/>
      <c r="X304" s="268"/>
      <c r="Y304" s="268"/>
      <c r="Z304" s="268"/>
      <c r="AA304" s="268"/>
      <c r="AB304" s="268"/>
      <c r="AC304" s="268"/>
      <c r="AD304" s="268"/>
      <c r="AE304" s="268"/>
    </row>
    <row r="305" spans="1:31" ht="24.75" customHeight="1">
      <c r="A305" s="268"/>
      <c r="B305" s="268"/>
      <c r="C305" s="268"/>
      <c r="D305" s="268"/>
      <c r="E305" s="268"/>
      <c r="F305" s="268"/>
      <c r="G305" s="268"/>
      <c r="H305" s="268"/>
      <c r="I305" s="268"/>
      <c r="J305" s="268"/>
      <c r="K305" s="268"/>
      <c r="L305" s="309"/>
      <c r="M305" s="268"/>
      <c r="N305" s="268"/>
      <c r="O305" s="310"/>
      <c r="P305" s="268"/>
      <c r="Q305" s="309"/>
      <c r="R305" s="268"/>
      <c r="S305" s="313"/>
      <c r="T305" s="313"/>
      <c r="U305" s="268"/>
      <c r="V305" s="309"/>
      <c r="W305" s="310"/>
      <c r="X305" s="268"/>
      <c r="Y305" s="268"/>
      <c r="Z305" s="268"/>
      <c r="AA305" s="268"/>
      <c r="AB305" s="268"/>
      <c r="AC305" s="268"/>
      <c r="AD305" s="268"/>
      <c r="AE305" s="268"/>
    </row>
    <row r="306" spans="1:31" ht="24.75" customHeight="1">
      <c r="A306" s="268"/>
      <c r="B306" s="268"/>
      <c r="C306" s="268"/>
      <c r="D306" s="268"/>
      <c r="E306" s="268"/>
      <c r="F306" s="268"/>
      <c r="G306" s="268"/>
      <c r="H306" s="268"/>
      <c r="I306" s="268"/>
      <c r="J306" s="268"/>
      <c r="K306" s="268"/>
      <c r="L306" s="309"/>
      <c r="M306" s="268"/>
      <c r="N306" s="268"/>
      <c r="O306" s="310"/>
      <c r="P306" s="268"/>
      <c r="Q306" s="309"/>
      <c r="R306" s="268"/>
      <c r="S306" s="313"/>
      <c r="T306" s="313"/>
      <c r="U306" s="268"/>
      <c r="V306" s="309"/>
      <c r="W306" s="310"/>
      <c r="X306" s="268"/>
      <c r="Y306" s="268"/>
      <c r="Z306" s="268"/>
      <c r="AA306" s="268"/>
      <c r="AB306" s="268"/>
      <c r="AC306" s="268"/>
      <c r="AD306" s="268"/>
      <c r="AE306" s="268"/>
    </row>
    <row r="307" spans="1:31" ht="24.75" customHeight="1">
      <c r="A307" s="268"/>
      <c r="B307" s="268"/>
      <c r="C307" s="268"/>
      <c r="D307" s="268"/>
      <c r="E307" s="268"/>
      <c r="F307" s="268"/>
      <c r="G307" s="268"/>
      <c r="H307" s="268"/>
      <c r="I307" s="268"/>
      <c r="J307" s="268"/>
      <c r="K307" s="268"/>
      <c r="L307" s="309"/>
      <c r="M307" s="268"/>
      <c r="N307" s="268"/>
      <c r="O307" s="310"/>
      <c r="P307" s="268"/>
      <c r="Q307" s="309"/>
      <c r="R307" s="268"/>
      <c r="S307" s="313"/>
      <c r="T307" s="313"/>
      <c r="U307" s="268"/>
      <c r="V307" s="309"/>
      <c r="W307" s="310"/>
      <c r="X307" s="268"/>
      <c r="Y307" s="268"/>
      <c r="Z307" s="268"/>
      <c r="AA307" s="268"/>
      <c r="AB307" s="268"/>
      <c r="AC307" s="268"/>
      <c r="AD307" s="268"/>
      <c r="AE307" s="268"/>
    </row>
    <row r="308" spans="1:31" ht="24.75" customHeight="1">
      <c r="A308" s="268"/>
      <c r="B308" s="268"/>
      <c r="C308" s="268"/>
      <c r="D308" s="268"/>
      <c r="E308" s="268"/>
      <c r="F308" s="268"/>
      <c r="G308" s="268"/>
      <c r="H308" s="268"/>
      <c r="I308" s="268"/>
      <c r="J308" s="268"/>
      <c r="K308" s="268"/>
      <c r="L308" s="309"/>
      <c r="M308" s="268"/>
      <c r="N308" s="268"/>
      <c r="O308" s="310"/>
      <c r="P308" s="268"/>
      <c r="Q308" s="309"/>
      <c r="R308" s="268"/>
      <c r="S308" s="313"/>
      <c r="T308" s="313"/>
      <c r="U308" s="268"/>
      <c r="V308" s="309"/>
      <c r="W308" s="310"/>
      <c r="X308" s="268"/>
      <c r="Y308" s="268"/>
      <c r="Z308" s="268"/>
      <c r="AA308" s="268"/>
      <c r="AB308" s="268"/>
      <c r="AC308" s="268"/>
      <c r="AD308" s="268"/>
      <c r="AE308" s="268"/>
    </row>
    <row r="309" spans="1:31" ht="24.75" customHeight="1">
      <c r="A309" s="268"/>
      <c r="B309" s="268"/>
      <c r="C309" s="268"/>
      <c r="D309" s="268"/>
      <c r="E309" s="268"/>
      <c r="F309" s="268"/>
      <c r="G309" s="268"/>
      <c r="H309" s="268"/>
      <c r="I309" s="268"/>
      <c r="J309" s="268"/>
      <c r="K309" s="268"/>
      <c r="L309" s="309"/>
      <c r="M309" s="268"/>
      <c r="N309" s="268"/>
      <c r="O309" s="310"/>
      <c r="P309" s="268"/>
      <c r="Q309" s="309"/>
      <c r="R309" s="268"/>
      <c r="S309" s="313"/>
      <c r="T309" s="313"/>
      <c r="U309" s="268"/>
      <c r="V309" s="309"/>
      <c r="W309" s="310"/>
      <c r="X309" s="268"/>
      <c r="Y309" s="268"/>
      <c r="Z309" s="268"/>
      <c r="AA309" s="268"/>
      <c r="AB309" s="268"/>
      <c r="AC309" s="268"/>
      <c r="AD309" s="268"/>
      <c r="AE309" s="268"/>
    </row>
    <row r="310" spans="1:31" ht="24.75" customHeight="1">
      <c r="A310" s="268"/>
      <c r="B310" s="268"/>
      <c r="C310" s="268"/>
      <c r="D310" s="268"/>
      <c r="E310" s="268"/>
      <c r="F310" s="268"/>
      <c r="G310" s="268"/>
      <c r="H310" s="268"/>
      <c r="I310" s="268"/>
      <c r="J310" s="268"/>
      <c r="K310" s="268"/>
      <c r="L310" s="309"/>
      <c r="M310" s="268"/>
      <c r="N310" s="268"/>
      <c r="O310" s="310"/>
      <c r="P310" s="268"/>
      <c r="Q310" s="309"/>
      <c r="R310" s="268"/>
      <c r="S310" s="313"/>
      <c r="T310" s="313"/>
      <c r="U310" s="268"/>
      <c r="V310" s="309"/>
      <c r="W310" s="310"/>
      <c r="X310" s="268"/>
      <c r="Y310" s="268"/>
      <c r="Z310" s="268"/>
      <c r="AA310" s="268"/>
      <c r="AB310" s="268"/>
      <c r="AC310" s="268"/>
      <c r="AD310" s="268"/>
      <c r="AE310" s="268"/>
    </row>
    <row r="311" spans="1:31" ht="24.75" customHeight="1">
      <c r="A311" s="268"/>
      <c r="B311" s="268"/>
      <c r="C311" s="268"/>
      <c r="D311" s="268"/>
      <c r="E311" s="268"/>
      <c r="F311" s="268"/>
      <c r="G311" s="268"/>
      <c r="H311" s="268"/>
      <c r="I311" s="268"/>
      <c r="J311" s="268"/>
      <c r="K311" s="268"/>
      <c r="L311" s="309"/>
      <c r="M311" s="268"/>
      <c r="N311" s="268"/>
      <c r="O311" s="310"/>
      <c r="P311" s="268"/>
      <c r="Q311" s="309"/>
      <c r="R311" s="268"/>
      <c r="S311" s="313"/>
      <c r="T311" s="313"/>
      <c r="U311" s="268"/>
      <c r="V311" s="309"/>
      <c r="W311" s="310"/>
      <c r="X311" s="268"/>
      <c r="Y311" s="268"/>
      <c r="Z311" s="268"/>
      <c r="AA311" s="268"/>
      <c r="AB311" s="268"/>
      <c r="AC311" s="268"/>
      <c r="AD311" s="268"/>
      <c r="AE311" s="268"/>
    </row>
    <row r="312" spans="1:31" ht="24.75" customHeight="1">
      <c r="A312" s="268"/>
      <c r="B312" s="268"/>
      <c r="C312" s="268"/>
      <c r="D312" s="268"/>
      <c r="E312" s="268"/>
      <c r="F312" s="268"/>
      <c r="G312" s="268"/>
      <c r="H312" s="268"/>
      <c r="I312" s="268"/>
      <c r="J312" s="268"/>
      <c r="K312" s="268"/>
      <c r="L312" s="309"/>
      <c r="M312" s="268"/>
      <c r="N312" s="268"/>
      <c r="O312" s="310"/>
      <c r="P312" s="268"/>
      <c r="Q312" s="309"/>
      <c r="R312" s="268"/>
      <c r="S312" s="313"/>
      <c r="T312" s="313"/>
      <c r="U312" s="268"/>
      <c r="V312" s="309"/>
      <c r="W312" s="310"/>
      <c r="X312" s="268"/>
      <c r="Y312" s="268"/>
      <c r="Z312" s="268"/>
      <c r="AA312" s="268"/>
      <c r="AB312" s="268"/>
      <c r="AC312" s="268"/>
      <c r="AD312" s="268"/>
      <c r="AE312" s="268"/>
    </row>
    <row r="313" spans="1:31" ht="24.75" customHeight="1">
      <c r="A313" s="268"/>
      <c r="B313" s="268"/>
      <c r="C313" s="268"/>
      <c r="D313" s="268"/>
      <c r="E313" s="268"/>
      <c r="F313" s="268"/>
      <c r="G313" s="268"/>
      <c r="H313" s="268"/>
      <c r="I313" s="268"/>
      <c r="J313" s="268"/>
      <c r="K313" s="268"/>
      <c r="L313" s="309"/>
      <c r="M313" s="268"/>
      <c r="N313" s="268"/>
      <c r="O313" s="310"/>
      <c r="P313" s="268"/>
      <c r="Q313" s="309"/>
      <c r="R313" s="268"/>
      <c r="S313" s="313"/>
      <c r="T313" s="313"/>
      <c r="U313" s="268"/>
      <c r="V313" s="309"/>
      <c r="W313" s="310"/>
      <c r="X313" s="268"/>
      <c r="Y313" s="268"/>
      <c r="Z313" s="268"/>
      <c r="AA313" s="268"/>
      <c r="AB313" s="268"/>
      <c r="AC313" s="268"/>
      <c r="AD313" s="268"/>
      <c r="AE313" s="268"/>
    </row>
    <row r="314" spans="1:31" ht="24.75" customHeight="1">
      <c r="A314" s="268"/>
      <c r="B314" s="268"/>
      <c r="C314" s="268"/>
      <c r="D314" s="268"/>
      <c r="E314" s="268"/>
      <c r="F314" s="268"/>
      <c r="G314" s="268"/>
      <c r="H314" s="268"/>
      <c r="I314" s="268"/>
      <c r="J314" s="268"/>
      <c r="K314" s="268"/>
      <c r="L314" s="309"/>
      <c r="M314" s="268"/>
      <c r="N314" s="268"/>
      <c r="O314" s="310"/>
      <c r="P314" s="268"/>
      <c r="Q314" s="309"/>
      <c r="R314" s="268"/>
      <c r="S314" s="313"/>
      <c r="T314" s="313"/>
      <c r="U314" s="268"/>
      <c r="V314" s="309"/>
      <c r="W314" s="310"/>
      <c r="X314" s="268"/>
      <c r="Y314" s="268"/>
      <c r="Z314" s="268"/>
      <c r="AA314" s="268"/>
      <c r="AB314" s="268"/>
      <c r="AC314" s="268"/>
      <c r="AD314" s="268"/>
      <c r="AE314" s="268"/>
    </row>
    <row r="315" spans="1:31" ht="24.75" customHeight="1">
      <c r="A315" s="268"/>
      <c r="B315" s="268"/>
      <c r="C315" s="268"/>
      <c r="D315" s="268"/>
      <c r="E315" s="268"/>
      <c r="F315" s="268"/>
      <c r="G315" s="268"/>
      <c r="H315" s="268"/>
      <c r="I315" s="268"/>
      <c r="J315" s="268"/>
      <c r="K315" s="268"/>
      <c r="L315" s="309"/>
      <c r="M315" s="268"/>
      <c r="N315" s="268"/>
      <c r="O315" s="310"/>
      <c r="P315" s="268"/>
      <c r="Q315" s="309"/>
      <c r="R315" s="268"/>
      <c r="S315" s="313"/>
      <c r="T315" s="313"/>
      <c r="U315" s="268"/>
      <c r="V315" s="309"/>
      <c r="W315" s="310"/>
      <c r="X315" s="268"/>
      <c r="Y315" s="268"/>
      <c r="Z315" s="268"/>
      <c r="AA315" s="268"/>
      <c r="AB315" s="268"/>
      <c r="AC315" s="268"/>
      <c r="AD315" s="268"/>
      <c r="AE315" s="268"/>
    </row>
    <row r="316" spans="1:31" ht="24.75" customHeight="1">
      <c r="A316" s="268"/>
      <c r="B316" s="268"/>
      <c r="C316" s="268"/>
      <c r="D316" s="268"/>
      <c r="E316" s="268"/>
      <c r="F316" s="268"/>
      <c r="G316" s="268"/>
      <c r="H316" s="268"/>
      <c r="I316" s="268"/>
      <c r="J316" s="268"/>
      <c r="K316" s="268"/>
      <c r="L316" s="309"/>
      <c r="M316" s="268"/>
      <c r="N316" s="268"/>
      <c r="O316" s="310"/>
      <c r="P316" s="268"/>
      <c r="Q316" s="309"/>
      <c r="R316" s="268"/>
      <c r="S316" s="313"/>
      <c r="T316" s="313"/>
      <c r="U316" s="268"/>
      <c r="V316" s="309"/>
      <c r="W316" s="310"/>
      <c r="X316" s="268"/>
      <c r="Y316" s="268"/>
      <c r="Z316" s="268"/>
      <c r="AA316" s="268"/>
      <c r="AB316" s="268"/>
      <c r="AC316" s="268"/>
      <c r="AD316" s="268"/>
      <c r="AE316" s="268"/>
    </row>
    <row r="317" spans="1:31" ht="24.75" customHeight="1">
      <c r="A317" s="268"/>
      <c r="B317" s="268"/>
      <c r="C317" s="268"/>
      <c r="D317" s="268"/>
      <c r="E317" s="268"/>
      <c r="F317" s="268"/>
      <c r="G317" s="268"/>
      <c r="H317" s="268"/>
      <c r="I317" s="268"/>
      <c r="J317" s="268"/>
      <c r="K317" s="268"/>
      <c r="L317" s="309"/>
      <c r="M317" s="268"/>
      <c r="N317" s="268"/>
      <c r="O317" s="310"/>
      <c r="P317" s="268"/>
      <c r="Q317" s="309"/>
      <c r="R317" s="268"/>
      <c r="S317" s="313"/>
      <c r="T317" s="313"/>
      <c r="U317" s="268"/>
      <c r="V317" s="309"/>
      <c r="W317" s="310"/>
      <c r="X317" s="268"/>
      <c r="Y317" s="268"/>
      <c r="Z317" s="268"/>
      <c r="AA317" s="268"/>
      <c r="AB317" s="268"/>
      <c r="AC317" s="268"/>
      <c r="AD317" s="268"/>
      <c r="AE317" s="268"/>
    </row>
    <row r="318" spans="1:31" ht="24.75" customHeight="1">
      <c r="A318" s="268"/>
      <c r="B318" s="268"/>
      <c r="C318" s="268"/>
      <c r="D318" s="268"/>
      <c r="E318" s="268"/>
      <c r="F318" s="268"/>
      <c r="G318" s="268"/>
      <c r="H318" s="268"/>
      <c r="I318" s="268"/>
      <c r="J318" s="268"/>
      <c r="K318" s="268"/>
      <c r="L318" s="309"/>
      <c r="M318" s="268"/>
      <c r="N318" s="268"/>
      <c r="O318" s="310"/>
      <c r="P318" s="268"/>
      <c r="Q318" s="309"/>
      <c r="R318" s="268"/>
      <c r="S318" s="313"/>
      <c r="T318" s="313"/>
      <c r="U318" s="268"/>
      <c r="V318" s="309"/>
      <c r="W318" s="310"/>
      <c r="X318" s="268"/>
      <c r="Y318" s="268"/>
      <c r="Z318" s="268"/>
      <c r="AA318" s="268"/>
      <c r="AB318" s="268"/>
      <c r="AC318" s="268"/>
      <c r="AD318" s="268"/>
      <c r="AE318" s="268"/>
    </row>
    <row r="319" spans="1:31" ht="24.75" customHeight="1">
      <c r="A319" s="268"/>
      <c r="B319" s="268"/>
      <c r="C319" s="268"/>
      <c r="D319" s="268"/>
      <c r="E319" s="268"/>
      <c r="F319" s="268"/>
      <c r="G319" s="268"/>
      <c r="H319" s="268"/>
      <c r="I319" s="268"/>
      <c r="J319" s="268"/>
      <c r="K319" s="268"/>
      <c r="L319" s="309"/>
      <c r="M319" s="268"/>
      <c r="N319" s="268"/>
      <c r="O319" s="310"/>
      <c r="P319" s="268"/>
      <c r="Q319" s="309"/>
      <c r="R319" s="268"/>
      <c r="S319" s="313"/>
      <c r="T319" s="313"/>
      <c r="U319" s="268"/>
      <c r="V319" s="309"/>
      <c r="W319" s="310"/>
      <c r="X319" s="268"/>
      <c r="Y319" s="268"/>
      <c r="Z319" s="268"/>
      <c r="AA319" s="268"/>
      <c r="AB319" s="268"/>
      <c r="AC319" s="268"/>
      <c r="AD319" s="268"/>
      <c r="AE319" s="268"/>
    </row>
    <row r="320" spans="1:31" ht="24.75" customHeight="1">
      <c r="A320" s="268"/>
      <c r="B320" s="268"/>
      <c r="C320" s="268"/>
      <c r="D320" s="268"/>
      <c r="E320" s="268"/>
      <c r="F320" s="268"/>
      <c r="G320" s="268"/>
      <c r="H320" s="268"/>
      <c r="I320" s="268"/>
      <c r="J320" s="268"/>
      <c r="K320" s="268"/>
      <c r="L320" s="309"/>
      <c r="M320" s="268"/>
      <c r="N320" s="268"/>
      <c r="O320" s="310"/>
      <c r="P320" s="268"/>
      <c r="Q320" s="309"/>
      <c r="R320" s="268"/>
      <c r="S320" s="313"/>
      <c r="T320" s="313"/>
      <c r="U320" s="268"/>
      <c r="V320" s="309"/>
      <c r="W320" s="310"/>
      <c r="X320" s="268"/>
      <c r="Y320" s="268"/>
      <c r="Z320" s="268"/>
      <c r="AA320" s="268"/>
      <c r="AB320" s="268"/>
      <c r="AC320" s="268"/>
      <c r="AD320" s="268"/>
      <c r="AE320" s="268"/>
    </row>
    <row r="321" spans="1:31" ht="24.75" customHeight="1">
      <c r="A321" s="268"/>
      <c r="B321" s="268"/>
      <c r="C321" s="268"/>
      <c r="D321" s="268"/>
      <c r="E321" s="268"/>
      <c r="F321" s="268"/>
      <c r="G321" s="268"/>
      <c r="H321" s="268"/>
      <c r="I321" s="268"/>
      <c r="J321" s="268"/>
      <c r="K321" s="268"/>
      <c r="L321" s="309"/>
      <c r="M321" s="268"/>
      <c r="N321" s="268"/>
      <c r="O321" s="310"/>
      <c r="P321" s="268"/>
      <c r="Q321" s="309"/>
      <c r="R321" s="268"/>
      <c r="S321" s="313"/>
      <c r="T321" s="313"/>
      <c r="U321" s="268"/>
      <c r="V321" s="309"/>
      <c r="W321" s="310"/>
      <c r="X321" s="268"/>
      <c r="Y321" s="268"/>
      <c r="Z321" s="268"/>
      <c r="AA321" s="268"/>
      <c r="AB321" s="268"/>
      <c r="AC321" s="268"/>
      <c r="AD321" s="268"/>
      <c r="AE321" s="268"/>
    </row>
    <row r="322" spans="1:31" ht="24.75" customHeight="1">
      <c r="A322" s="268"/>
      <c r="B322" s="268"/>
      <c r="C322" s="268"/>
      <c r="D322" s="268"/>
      <c r="E322" s="268"/>
      <c r="F322" s="268"/>
      <c r="G322" s="268"/>
      <c r="H322" s="268"/>
      <c r="I322" s="268"/>
      <c r="J322" s="268"/>
      <c r="K322" s="268"/>
      <c r="L322" s="309"/>
      <c r="M322" s="268"/>
      <c r="N322" s="268"/>
      <c r="O322" s="310"/>
      <c r="P322" s="268"/>
      <c r="Q322" s="309"/>
      <c r="R322" s="268"/>
      <c r="S322" s="313"/>
      <c r="T322" s="313"/>
      <c r="U322" s="268"/>
      <c r="V322" s="309"/>
      <c r="W322" s="310"/>
      <c r="X322" s="268"/>
      <c r="Y322" s="268"/>
      <c r="Z322" s="268"/>
      <c r="AA322" s="268"/>
      <c r="AB322" s="268"/>
      <c r="AC322" s="268"/>
      <c r="AD322" s="268"/>
      <c r="AE322" s="268"/>
    </row>
    <row r="323" spans="1:31" ht="24.75" customHeight="1">
      <c r="A323" s="268"/>
      <c r="B323" s="268"/>
      <c r="C323" s="268"/>
      <c r="D323" s="268"/>
      <c r="E323" s="268"/>
      <c r="F323" s="268"/>
      <c r="G323" s="268"/>
      <c r="H323" s="268"/>
      <c r="I323" s="268"/>
      <c r="J323" s="268"/>
      <c r="K323" s="268"/>
      <c r="L323" s="309"/>
      <c r="M323" s="268"/>
      <c r="N323" s="268"/>
      <c r="O323" s="310"/>
      <c r="P323" s="268"/>
      <c r="Q323" s="309"/>
      <c r="R323" s="268"/>
      <c r="S323" s="313"/>
      <c r="T323" s="313"/>
      <c r="U323" s="268"/>
      <c r="V323" s="309"/>
      <c r="W323" s="310"/>
      <c r="X323" s="268"/>
      <c r="Y323" s="268"/>
      <c r="Z323" s="268"/>
      <c r="AA323" s="268"/>
      <c r="AB323" s="268"/>
      <c r="AC323" s="268"/>
      <c r="AD323" s="268"/>
      <c r="AE323" s="268"/>
    </row>
    <row r="324" spans="1:31" ht="24.75" customHeight="1">
      <c r="A324" s="268"/>
      <c r="B324" s="268"/>
      <c r="C324" s="268"/>
      <c r="D324" s="268"/>
      <c r="E324" s="268"/>
      <c r="F324" s="268"/>
      <c r="G324" s="268"/>
      <c r="H324" s="268"/>
      <c r="I324" s="268"/>
      <c r="J324" s="268"/>
      <c r="K324" s="268"/>
      <c r="L324" s="309"/>
      <c r="M324" s="268"/>
      <c r="N324" s="268"/>
      <c r="O324" s="310"/>
      <c r="P324" s="268"/>
      <c r="Q324" s="309"/>
      <c r="R324" s="268"/>
      <c r="S324" s="313"/>
      <c r="T324" s="313"/>
      <c r="U324" s="268"/>
      <c r="V324" s="309"/>
      <c r="W324" s="310"/>
      <c r="X324" s="268"/>
      <c r="Y324" s="268"/>
      <c r="Z324" s="268"/>
      <c r="AA324" s="268"/>
      <c r="AB324" s="268"/>
      <c r="AC324" s="268"/>
      <c r="AD324" s="268"/>
      <c r="AE324" s="268"/>
    </row>
    <row r="325" spans="1:31" ht="24.75" customHeight="1">
      <c r="A325" s="268"/>
      <c r="B325" s="268"/>
      <c r="C325" s="268"/>
      <c r="D325" s="268"/>
      <c r="E325" s="268"/>
      <c r="F325" s="268"/>
      <c r="G325" s="268"/>
      <c r="H325" s="268"/>
      <c r="I325" s="268"/>
      <c r="J325" s="268"/>
      <c r="K325" s="268"/>
      <c r="L325" s="309"/>
      <c r="M325" s="268"/>
      <c r="N325" s="268"/>
      <c r="O325" s="310"/>
      <c r="P325" s="268"/>
      <c r="Q325" s="309"/>
      <c r="R325" s="268"/>
      <c r="S325" s="313"/>
      <c r="T325" s="313"/>
      <c r="U325" s="268"/>
      <c r="V325" s="309"/>
      <c r="W325" s="310"/>
      <c r="X325" s="268"/>
      <c r="Y325" s="268"/>
      <c r="Z325" s="268"/>
      <c r="AA325" s="268"/>
      <c r="AB325" s="268"/>
      <c r="AC325" s="268"/>
      <c r="AD325" s="268"/>
      <c r="AE325" s="268"/>
    </row>
    <row r="326" spans="1:31" ht="24.75" customHeight="1">
      <c r="A326" s="268"/>
      <c r="B326" s="268"/>
      <c r="C326" s="268"/>
      <c r="D326" s="268"/>
      <c r="E326" s="268"/>
      <c r="F326" s="268"/>
      <c r="G326" s="268"/>
      <c r="H326" s="268"/>
      <c r="I326" s="268"/>
      <c r="J326" s="268"/>
      <c r="K326" s="268"/>
      <c r="L326" s="309"/>
      <c r="M326" s="268"/>
      <c r="N326" s="268"/>
      <c r="O326" s="310"/>
      <c r="P326" s="268"/>
      <c r="Q326" s="309"/>
      <c r="R326" s="268"/>
      <c r="S326" s="313"/>
      <c r="T326" s="313"/>
      <c r="U326" s="268"/>
      <c r="V326" s="309"/>
      <c r="W326" s="310"/>
      <c r="X326" s="268"/>
      <c r="Y326" s="268"/>
      <c r="Z326" s="268"/>
      <c r="AA326" s="268"/>
      <c r="AB326" s="268"/>
      <c r="AC326" s="268"/>
      <c r="AD326" s="268"/>
      <c r="AE326" s="268"/>
    </row>
    <row r="327" spans="1:31" ht="24.75" customHeight="1">
      <c r="A327" s="268"/>
      <c r="B327" s="268"/>
      <c r="C327" s="268"/>
      <c r="D327" s="268"/>
      <c r="E327" s="268"/>
      <c r="F327" s="268"/>
      <c r="G327" s="268"/>
      <c r="H327" s="268"/>
      <c r="I327" s="268"/>
      <c r="J327" s="268"/>
      <c r="K327" s="268"/>
      <c r="L327" s="309"/>
      <c r="M327" s="268"/>
      <c r="N327" s="268"/>
      <c r="O327" s="310"/>
      <c r="P327" s="268"/>
      <c r="Q327" s="309"/>
      <c r="R327" s="268"/>
      <c r="S327" s="313"/>
      <c r="T327" s="313"/>
      <c r="U327" s="268"/>
      <c r="V327" s="309"/>
      <c r="W327" s="310"/>
      <c r="X327" s="268"/>
      <c r="Y327" s="268"/>
      <c r="Z327" s="268"/>
      <c r="AA327" s="268"/>
      <c r="AB327" s="268"/>
      <c r="AC327" s="268"/>
      <c r="AD327" s="268"/>
      <c r="AE327" s="268"/>
    </row>
    <row r="328" spans="1:31" ht="24.75" customHeight="1">
      <c r="A328" s="268"/>
      <c r="B328" s="268"/>
      <c r="C328" s="268"/>
      <c r="D328" s="268"/>
      <c r="E328" s="268"/>
      <c r="F328" s="268"/>
      <c r="G328" s="268"/>
      <c r="H328" s="268"/>
      <c r="I328" s="268"/>
      <c r="J328" s="268"/>
      <c r="K328" s="268"/>
      <c r="L328" s="309"/>
      <c r="M328" s="268"/>
      <c r="N328" s="268"/>
      <c r="O328" s="310"/>
      <c r="P328" s="268"/>
      <c r="Q328" s="309"/>
      <c r="R328" s="268"/>
      <c r="S328" s="313"/>
      <c r="T328" s="313"/>
      <c r="U328" s="268"/>
      <c r="V328" s="309"/>
      <c r="W328" s="310"/>
      <c r="X328" s="268"/>
      <c r="Y328" s="268"/>
      <c r="Z328" s="268"/>
      <c r="AA328" s="268"/>
      <c r="AB328" s="268"/>
      <c r="AC328" s="268"/>
      <c r="AD328" s="268"/>
      <c r="AE328" s="268"/>
    </row>
    <row r="329" spans="1:31" ht="24.75" customHeight="1">
      <c r="A329" s="268"/>
      <c r="B329" s="268"/>
      <c r="C329" s="268"/>
      <c r="D329" s="268"/>
      <c r="E329" s="268"/>
      <c r="F329" s="268"/>
      <c r="G329" s="268"/>
      <c r="H329" s="268"/>
      <c r="I329" s="268"/>
      <c r="J329" s="268"/>
      <c r="K329" s="268"/>
      <c r="L329" s="309"/>
      <c r="M329" s="268"/>
      <c r="N329" s="268"/>
      <c r="O329" s="310"/>
      <c r="P329" s="268"/>
      <c r="Q329" s="309"/>
      <c r="R329" s="268"/>
      <c r="S329" s="313"/>
      <c r="T329" s="313"/>
      <c r="U329" s="268"/>
      <c r="V329" s="309"/>
      <c r="W329" s="310"/>
      <c r="X329" s="268"/>
      <c r="Y329" s="268"/>
      <c r="Z329" s="268"/>
      <c r="AA329" s="268"/>
      <c r="AB329" s="268"/>
      <c r="AC329" s="268"/>
      <c r="AD329" s="268"/>
      <c r="AE329" s="268"/>
    </row>
    <row r="330" spans="1:31" ht="24.75" customHeight="1">
      <c r="A330" s="268"/>
      <c r="B330" s="268"/>
      <c r="C330" s="268"/>
      <c r="D330" s="268"/>
      <c r="E330" s="268"/>
      <c r="F330" s="268"/>
      <c r="G330" s="268"/>
      <c r="H330" s="268"/>
      <c r="I330" s="268"/>
      <c r="J330" s="268"/>
      <c r="K330" s="268"/>
      <c r="L330" s="309"/>
      <c r="M330" s="268"/>
      <c r="N330" s="268"/>
      <c r="O330" s="310"/>
      <c r="P330" s="268"/>
      <c r="Q330" s="309"/>
      <c r="R330" s="268"/>
      <c r="S330" s="313"/>
      <c r="T330" s="313"/>
      <c r="U330" s="268"/>
      <c r="V330" s="309"/>
      <c r="W330" s="310"/>
      <c r="X330" s="268"/>
      <c r="Y330" s="268"/>
      <c r="Z330" s="268"/>
      <c r="AA330" s="268"/>
      <c r="AB330" s="268"/>
      <c r="AC330" s="268"/>
      <c r="AD330" s="268"/>
      <c r="AE330" s="268"/>
    </row>
    <row r="331" spans="1:31" ht="24.75" customHeight="1">
      <c r="A331" s="268"/>
      <c r="B331" s="268"/>
      <c r="C331" s="268"/>
      <c r="D331" s="268"/>
      <c r="E331" s="268"/>
      <c r="F331" s="268"/>
      <c r="G331" s="268"/>
      <c r="H331" s="268"/>
      <c r="I331" s="268"/>
      <c r="J331" s="268"/>
      <c r="K331" s="268"/>
      <c r="L331" s="309"/>
      <c r="M331" s="268"/>
      <c r="N331" s="268"/>
      <c r="O331" s="310"/>
      <c r="P331" s="268"/>
      <c r="Q331" s="309"/>
      <c r="R331" s="268"/>
      <c r="S331" s="313"/>
      <c r="T331" s="313"/>
      <c r="U331" s="268"/>
      <c r="V331" s="309"/>
      <c r="W331" s="310"/>
      <c r="X331" s="268"/>
      <c r="Y331" s="268"/>
      <c r="Z331" s="268"/>
      <c r="AA331" s="268"/>
      <c r="AB331" s="268"/>
      <c r="AC331" s="268"/>
      <c r="AD331" s="268"/>
      <c r="AE331" s="268"/>
    </row>
    <row r="332" spans="1:31" ht="24.75" customHeight="1">
      <c r="A332" s="268"/>
      <c r="B332" s="268"/>
      <c r="C332" s="268"/>
      <c r="D332" s="268"/>
      <c r="E332" s="268"/>
      <c r="F332" s="268"/>
      <c r="G332" s="268"/>
      <c r="H332" s="268"/>
      <c r="I332" s="268"/>
      <c r="J332" s="268"/>
      <c r="K332" s="268"/>
      <c r="L332" s="309"/>
      <c r="M332" s="268"/>
      <c r="N332" s="268"/>
      <c r="O332" s="310"/>
      <c r="P332" s="268"/>
      <c r="Q332" s="309"/>
      <c r="R332" s="268"/>
      <c r="S332" s="313"/>
      <c r="T332" s="313"/>
      <c r="U332" s="268"/>
      <c r="V332" s="309"/>
      <c r="W332" s="310"/>
      <c r="X332" s="268"/>
      <c r="Y332" s="268"/>
      <c r="Z332" s="268"/>
      <c r="AA332" s="268"/>
      <c r="AB332" s="268"/>
      <c r="AC332" s="268"/>
      <c r="AD332" s="268"/>
      <c r="AE332" s="268"/>
    </row>
    <row r="333" spans="1:31" ht="24.75" customHeight="1">
      <c r="A333" s="268"/>
      <c r="B333" s="268"/>
      <c r="C333" s="268"/>
      <c r="D333" s="268"/>
      <c r="E333" s="268"/>
      <c r="F333" s="268"/>
      <c r="G333" s="268"/>
      <c r="H333" s="268"/>
      <c r="I333" s="268"/>
      <c r="J333" s="268"/>
      <c r="K333" s="268"/>
      <c r="L333" s="309"/>
      <c r="M333" s="268"/>
      <c r="N333" s="268"/>
      <c r="O333" s="310"/>
      <c r="P333" s="268"/>
      <c r="Q333" s="309"/>
      <c r="R333" s="268"/>
      <c r="S333" s="313"/>
      <c r="T333" s="313"/>
      <c r="U333" s="268"/>
      <c r="V333" s="309"/>
      <c r="W333" s="310"/>
      <c r="X333" s="268"/>
      <c r="Y333" s="268"/>
      <c r="Z333" s="268"/>
      <c r="AA333" s="268"/>
      <c r="AB333" s="268"/>
      <c r="AC333" s="268"/>
      <c r="AD333" s="268"/>
      <c r="AE333" s="268"/>
    </row>
    <row r="334" spans="1:31" ht="24.75" customHeight="1">
      <c r="A334" s="268"/>
      <c r="B334" s="268"/>
      <c r="C334" s="268"/>
      <c r="D334" s="268"/>
      <c r="E334" s="268"/>
      <c r="F334" s="268"/>
      <c r="G334" s="268"/>
      <c r="H334" s="268"/>
      <c r="I334" s="268"/>
      <c r="J334" s="268"/>
      <c r="K334" s="268"/>
      <c r="L334" s="309"/>
      <c r="M334" s="268"/>
      <c r="N334" s="268"/>
      <c r="O334" s="310"/>
      <c r="P334" s="268"/>
      <c r="Q334" s="309"/>
      <c r="R334" s="268"/>
      <c r="S334" s="313"/>
      <c r="T334" s="313"/>
      <c r="U334" s="268"/>
      <c r="V334" s="309"/>
      <c r="W334" s="310"/>
      <c r="X334" s="268"/>
      <c r="Y334" s="268"/>
      <c r="Z334" s="268"/>
      <c r="AA334" s="268"/>
      <c r="AB334" s="268"/>
      <c r="AC334" s="268"/>
      <c r="AD334" s="268"/>
      <c r="AE334" s="268"/>
    </row>
    <row r="335" spans="1:31" ht="24.75" customHeight="1">
      <c r="A335" s="268"/>
      <c r="B335" s="268"/>
      <c r="C335" s="268"/>
      <c r="D335" s="268"/>
      <c r="E335" s="268"/>
      <c r="F335" s="268"/>
      <c r="G335" s="268"/>
      <c r="H335" s="268"/>
      <c r="I335" s="268"/>
      <c r="J335" s="268"/>
      <c r="K335" s="268"/>
      <c r="L335" s="309"/>
      <c r="M335" s="268"/>
      <c r="N335" s="268"/>
      <c r="O335" s="310"/>
      <c r="P335" s="268"/>
      <c r="Q335" s="309"/>
      <c r="R335" s="268"/>
      <c r="S335" s="313"/>
      <c r="T335" s="313"/>
      <c r="U335" s="268"/>
      <c r="V335" s="309"/>
      <c r="W335" s="310"/>
      <c r="X335" s="268"/>
      <c r="Y335" s="268"/>
      <c r="Z335" s="268"/>
      <c r="AA335" s="268"/>
      <c r="AB335" s="268"/>
      <c r="AC335" s="268"/>
      <c r="AD335" s="268"/>
      <c r="AE335" s="268"/>
    </row>
    <row r="336" spans="1:31" ht="24.75" customHeight="1">
      <c r="A336" s="268"/>
      <c r="B336" s="268"/>
      <c r="C336" s="268"/>
      <c r="D336" s="268"/>
      <c r="E336" s="268"/>
      <c r="F336" s="268"/>
      <c r="G336" s="268"/>
      <c r="H336" s="268"/>
      <c r="I336" s="268"/>
      <c r="J336" s="268"/>
      <c r="K336" s="268"/>
      <c r="L336" s="309"/>
      <c r="M336" s="268"/>
      <c r="N336" s="268"/>
      <c r="O336" s="310"/>
      <c r="P336" s="268"/>
      <c r="Q336" s="309"/>
      <c r="R336" s="268"/>
      <c r="S336" s="313"/>
      <c r="T336" s="313"/>
      <c r="U336" s="268"/>
      <c r="V336" s="309"/>
      <c r="W336" s="310"/>
      <c r="X336" s="268"/>
      <c r="Y336" s="268"/>
      <c r="Z336" s="268"/>
      <c r="AA336" s="268"/>
      <c r="AB336" s="268"/>
      <c r="AC336" s="268"/>
      <c r="AD336" s="268"/>
      <c r="AE336" s="268"/>
    </row>
    <row r="337" spans="1:31" ht="24.75" customHeight="1">
      <c r="A337" s="268"/>
      <c r="B337" s="268"/>
      <c r="C337" s="268"/>
      <c r="D337" s="268"/>
      <c r="E337" s="268"/>
      <c r="F337" s="268"/>
      <c r="G337" s="268"/>
      <c r="H337" s="268"/>
      <c r="I337" s="268"/>
      <c r="J337" s="268"/>
      <c r="K337" s="268"/>
      <c r="L337" s="309"/>
      <c r="M337" s="268"/>
      <c r="N337" s="268"/>
      <c r="O337" s="310"/>
      <c r="P337" s="268"/>
      <c r="Q337" s="309"/>
      <c r="R337" s="268"/>
      <c r="S337" s="313"/>
      <c r="T337" s="313"/>
      <c r="U337" s="268"/>
      <c r="V337" s="309"/>
      <c r="W337" s="310"/>
      <c r="X337" s="268"/>
      <c r="Y337" s="268"/>
      <c r="Z337" s="268"/>
      <c r="AA337" s="268"/>
      <c r="AB337" s="268"/>
      <c r="AC337" s="268"/>
      <c r="AD337" s="268"/>
      <c r="AE337" s="268"/>
    </row>
    <row r="338" spans="1:31" ht="24.75" customHeight="1">
      <c r="A338" s="268"/>
      <c r="B338" s="268"/>
      <c r="C338" s="268"/>
      <c r="D338" s="268"/>
      <c r="E338" s="268"/>
      <c r="F338" s="268"/>
      <c r="G338" s="268"/>
      <c r="H338" s="268"/>
      <c r="I338" s="268"/>
      <c r="J338" s="268"/>
      <c r="K338" s="268"/>
      <c r="L338" s="309"/>
      <c r="M338" s="268"/>
      <c r="N338" s="268"/>
      <c r="O338" s="310"/>
      <c r="P338" s="268"/>
      <c r="Q338" s="309"/>
      <c r="R338" s="268"/>
      <c r="S338" s="313"/>
      <c r="T338" s="313"/>
      <c r="U338" s="268"/>
      <c r="V338" s="309"/>
      <c r="W338" s="310"/>
      <c r="X338" s="268"/>
      <c r="Y338" s="268"/>
      <c r="Z338" s="268"/>
      <c r="AA338" s="268"/>
      <c r="AB338" s="268"/>
      <c r="AC338" s="268"/>
      <c r="AD338" s="268"/>
      <c r="AE338" s="268"/>
    </row>
    <row r="339" spans="1:31" ht="24.75" customHeight="1">
      <c r="A339" s="268"/>
      <c r="B339" s="268"/>
      <c r="C339" s="268"/>
      <c r="D339" s="268"/>
      <c r="E339" s="268"/>
      <c r="F339" s="268"/>
      <c r="G339" s="268"/>
      <c r="H339" s="268"/>
      <c r="I339" s="268"/>
      <c r="J339" s="268"/>
      <c r="K339" s="268"/>
      <c r="L339" s="309"/>
      <c r="M339" s="268"/>
      <c r="N339" s="268"/>
      <c r="O339" s="310"/>
      <c r="P339" s="268"/>
      <c r="Q339" s="309"/>
      <c r="R339" s="268"/>
      <c r="S339" s="313"/>
      <c r="T339" s="313"/>
      <c r="U339" s="268"/>
      <c r="V339" s="309"/>
      <c r="W339" s="310"/>
      <c r="X339" s="268"/>
      <c r="Y339" s="268"/>
      <c r="Z339" s="268"/>
      <c r="AA339" s="268"/>
      <c r="AB339" s="268"/>
      <c r="AC339" s="268"/>
      <c r="AD339" s="268"/>
      <c r="AE339" s="268"/>
    </row>
    <row r="340" spans="1:31" ht="24.75" customHeight="1">
      <c r="A340" s="268"/>
      <c r="B340" s="268"/>
      <c r="C340" s="268"/>
      <c r="D340" s="268"/>
      <c r="E340" s="268"/>
      <c r="F340" s="268"/>
      <c r="G340" s="268"/>
      <c r="H340" s="268"/>
      <c r="I340" s="268"/>
      <c r="J340" s="268"/>
      <c r="K340" s="268"/>
      <c r="L340" s="309"/>
      <c r="M340" s="268"/>
      <c r="N340" s="268"/>
      <c r="O340" s="310"/>
      <c r="P340" s="268"/>
      <c r="Q340" s="309"/>
      <c r="R340" s="268"/>
      <c r="S340" s="313"/>
      <c r="T340" s="313"/>
      <c r="U340" s="268"/>
      <c r="V340" s="309"/>
      <c r="W340" s="310"/>
      <c r="X340" s="268"/>
      <c r="Y340" s="268"/>
      <c r="Z340" s="268"/>
      <c r="AA340" s="268"/>
      <c r="AB340" s="268"/>
      <c r="AC340" s="268"/>
      <c r="AD340" s="268"/>
      <c r="AE340" s="268"/>
    </row>
    <row r="341" spans="1:31" ht="24.75" customHeight="1">
      <c r="A341" s="268"/>
      <c r="B341" s="268"/>
      <c r="C341" s="268"/>
      <c r="D341" s="268"/>
      <c r="E341" s="268"/>
      <c r="F341" s="268"/>
      <c r="G341" s="268"/>
      <c r="H341" s="268"/>
      <c r="I341" s="268"/>
      <c r="J341" s="268"/>
      <c r="K341" s="268"/>
      <c r="L341" s="309"/>
      <c r="M341" s="268"/>
      <c r="N341" s="268"/>
      <c r="O341" s="310"/>
      <c r="P341" s="268"/>
      <c r="Q341" s="309"/>
      <c r="R341" s="268"/>
      <c r="S341" s="313"/>
      <c r="T341" s="313"/>
      <c r="U341" s="268"/>
      <c r="V341" s="309"/>
      <c r="W341" s="310"/>
      <c r="X341" s="268"/>
      <c r="Y341" s="268"/>
      <c r="Z341" s="268"/>
      <c r="AA341" s="268"/>
      <c r="AB341" s="268"/>
      <c r="AC341" s="268"/>
      <c r="AD341" s="268"/>
      <c r="AE341" s="268"/>
    </row>
    <row r="342" spans="1:31" ht="24.75" customHeight="1">
      <c r="A342" s="268"/>
      <c r="B342" s="268"/>
      <c r="C342" s="268"/>
      <c r="D342" s="268"/>
      <c r="E342" s="268"/>
      <c r="F342" s="268"/>
      <c r="G342" s="268"/>
      <c r="H342" s="268"/>
      <c r="I342" s="268"/>
      <c r="J342" s="268"/>
      <c r="K342" s="268"/>
      <c r="L342" s="309"/>
      <c r="M342" s="268"/>
      <c r="N342" s="268"/>
      <c r="O342" s="310"/>
      <c r="P342" s="268"/>
      <c r="Q342" s="309"/>
      <c r="R342" s="268"/>
      <c r="S342" s="313"/>
      <c r="T342" s="313"/>
      <c r="U342" s="268"/>
      <c r="V342" s="309"/>
      <c r="W342" s="310"/>
      <c r="X342" s="268"/>
      <c r="Y342" s="268"/>
      <c r="Z342" s="268"/>
      <c r="AA342" s="268"/>
      <c r="AB342" s="268"/>
      <c r="AC342" s="268"/>
      <c r="AD342" s="268"/>
      <c r="AE342" s="268"/>
    </row>
    <row r="343" spans="1:31" ht="24.75" customHeight="1">
      <c r="A343" s="268"/>
      <c r="B343" s="268"/>
      <c r="C343" s="268"/>
      <c r="D343" s="268"/>
      <c r="E343" s="268"/>
      <c r="F343" s="268"/>
      <c r="G343" s="268"/>
      <c r="H343" s="268"/>
      <c r="I343" s="268"/>
      <c r="J343" s="268"/>
      <c r="K343" s="268"/>
      <c r="L343" s="309"/>
      <c r="M343" s="268"/>
      <c r="N343" s="268"/>
      <c r="O343" s="310"/>
      <c r="P343" s="268"/>
      <c r="Q343" s="309"/>
      <c r="R343" s="268"/>
      <c r="S343" s="313"/>
      <c r="T343" s="313"/>
      <c r="U343" s="268"/>
      <c r="V343" s="309"/>
      <c r="W343" s="310"/>
      <c r="X343" s="268"/>
      <c r="Y343" s="268"/>
      <c r="Z343" s="268"/>
      <c r="AA343" s="268"/>
      <c r="AB343" s="268"/>
      <c r="AC343" s="268"/>
      <c r="AD343" s="268"/>
      <c r="AE343" s="268"/>
    </row>
    <row r="344" spans="1:31" ht="24.75" customHeight="1">
      <c r="A344" s="268"/>
      <c r="B344" s="268"/>
      <c r="C344" s="268"/>
      <c r="D344" s="268"/>
      <c r="E344" s="268"/>
      <c r="F344" s="268"/>
      <c r="G344" s="268"/>
      <c r="H344" s="268"/>
      <c r="I344" s="268"/>
      <c r="J344" s="268"/>
      <c r="K344" s="268"/>
      <c r="L344" s="309"/>
      <c r="M344" s="268"/>
      <c r="N344" s="268"/>
      <c r="O344" s="310"/>
      <c r="P344" s="268"/>
      <c r="Q344" s="309"/>
      <c r="R344" s="268"/>
      <c r="S344" s="313"/>
      <c r="T344" s="313"/>
      <c r="U344" s="268"/>
      <c r="V344" s="309"/>
      <c r="W344" s="310"/>
      <c r="X344" s="268"/>
      <c r="Y344" s="268"/>
      <c r="Z344" s="268"/>
      <c r="AA344" s="268"/>
      <c r="AB344" s="268"/>
      <c r="AC344" s="268"/>
      <c r="AD344" s="268"/>
      <c r="AE344" s="268"/>
    </row>
    <row r="345" spans="1:31" ht="24.75" customHeight="1">
      <c r="A345" s="268"/>
      <c r="B345" s="268"/>
      <c r="C345" s="268"/>
      <c r="D345" s="268"/>
      <c r="E345" s="268"/>
      <c r="F345" s="268"/>
      <c r="G345" s="268"/>
      <c r="H345" s="268"/>
      <c r="I345" s="268"/>
      <c r="J345" s="268"/>
      <c r="K345" s="268"/>
      <c r="L345" s="309"/>
      <c r="M345" s="268"/>
      <c r="N345" s="268"/>
      <c r="O345" s="310"/>
      <c r="P345" s="268"/>
      <c r="Q345" s="309"/>
      <c r="R345" s="268"/>
      <c r="S345" s="313"/>
      <c r="T345" s="313"/>
      <c r="U345" s="268"/>
      <c r="V345" s="309"/>
      <c r="W345" s="310"/>
      <c r="X345" s="268"/>
      <c r="Y345" s="268"/>
      <c r="Z345" s="268"/>
      <c r="AA345" s="268"/>
      <c r="AB345" s="268"/>
      <c r="AC345" s="268"/>
      <c r="AD345" s="268"/>
      <c r="AE345" s="268"/>
    </row>
    <row r="346" spans="1:31" ht="24.75" customHeight="1">
      <c r="A346" s="268"/>
      <c r="B346" s="268"/>
      <c r="C346" s="268"/>
      <c r="D346" s="268"/>
      <c r="E346" s="268"/>
      <c r="F346" s="268"/>
      <c r="G346" s="268"/>
      <c r="H346" s="268"/>
      <c r="I346" s="268"/>
      <c r="J346" s="268"/>
      <c r="K346" s="268"/>
      <c r="L346" s="309"/>
      <c r="M346" s="268"/>
      <c r="N346" s="268"/>
      <c r="O346" s="310"/>
      <c r="P346" s="268"/>
      <c r="Q346" s="309"/>
      <c r="R346" s="268"/>
      <c r="S346" s="313"/>
      <c r="T346" s="313"/>
      <c r="U346" s="268"/>
      <c r="V346" s="309"/>
      <c r="W346" s="310"/>
      <c r="X346" s="268"/>
      <c r="Y346" s="268"/>
      <c r="Z346" s="268"/>
      <c r="AA346" s="268"/>
      <c r="AB346" s="268"/>
      <c r="AC346" s="268"/>
      <c r="AD346" s="268"/>
      <c r="AE346" s="268"/>
    </row>
    <row r="347" spans="1:31" ht="24.75" customHeight="1">
      <c r="A347" s="268"/>
      <c r="B347" s="268"/>
      <c r="C347" s="268"/>
      <c r="D347" s="268"/>
      <c r="E347" s="268"/>
      <c r="F347" s="268"/>
      <c r="G347" s="268"/>
      <c r="H347" s="268"/>
      <c r="I347" s="268"/>
      <c r="J347" s="268"/>
      <c r="K347" s="268"/>
      <c r="L347" s="309"/>
      <c r="M347" s="268"/>
      <c r="N347" s="268"/>
      <c r="O347" s="310"/>
      <c r="P347" s="268"/>
      <c r="Q347" s="309"/>
      <c r="R347" s="268"/>
      <c r="S347" s="313"/>
      <c r="T347" s="313"/>
      <c r="U347" s="268"/>
      <c r="V347" s="309"/>
      <c r="W347" s="310"/>
      <c r="X347" s="268"/>
      <c r="Y347" s="268"/>
      <c r="Z347" s="268"/>
      <c r="AA347" s="268"/>
      <c r="AB347" s="268"/>
      <c r="AC347" s="268"/>
      <c r="AD347" s="268"/>
      <c r="AE347" s="268"/>
    </row>
    <row r="348" spans="1:31" ht="24.75" customHeight="1">
      <c r="A348" s="268"/>
      <c r="B348" s="268"/>
      <c r="C348" s="268"/>
      <c r="D348" s="268"/>
      <c r="E348" s="268"/>
      <c r="F348" s="268"/>
      <c r="G348" s="268"/>
      <c r="H348" s="268"/>
      <c r="I348" s="268"/>
      <c r="J348" s="268"/>
      <c r="K348" s="268"/>
      <c r="L348" s="309"/>
      <c r="M348" s="268"/>
      <c r="N348" s="268"/>
      <c r="O348" s="310"/>
      <c r="P348" s="268"/>
      <c r="Q348" s="309"/>
      <c r="R348" s="268"/>
      <c r="S348" s="313"/>
      <c r="T348" s="313"/>
      <c r="U348" s="268"/>
      <c r="V348" s="309"/>
      <c r="W348" s="310"/>
      <c r="X348" s="268"/>
      <c r="Y348" s="268"/>
      <c r="Z348" s="268"/>
      <c r="AA348" s="268"/>
      <c r="AB348" s="268"/>
      <c r="AC348" s="268"/>
      <c r="AD348" s="268"/>
      <c r="AE348" s="268"/>
    </row>
    <row r="349" spans="1:31" ht="24.75" customHeight="1">
      <c r="A349" s="268"/>
      <c r="B349" s="268"/>
      <c r="C349" s="268"/>
      <c r="D349" s="268"/>
      <c r="E349" s="268"/>
      <c r="F349" s="268"/>
      <c r="G349" s="268"/>
      <c r="H349" s="268"/>
      <c r="I349" s="268"/>
      <c r="J349" s="268"/>
      <c r="K349" s="268"/>
      <c r="L349" s="309"/>
      <c r="M349" s="268"/>
      <c r="N349" s="268"/>
      <c r="O349" s="310"/>
      <c r="P349" s="268"/>
      <c r="Q349" s="309"/>
      <c r="R349" s="268"/>
      <c r="S349" s="313"/>
      <c r="T349" s="313"/>
      <c r="U349" s="268"/>
      <c r="V349" s="309"/>
      <c r="W349" s="310"/>
      <c r="X349" s="268"/>
      <c r="Y349" s="268"/>
      <c r="Z349" s="268"/>
      <c r="AA349" s="268"/>
      <c r="AB349" s="268"/>
      <c r="AC349" s="268"/>
      <c r="AD349" s="268"/>
      <c r="AE349" s="268"/>
    </row>
    <row r="350" spans="1:31" ht="24.75" customHeight="1">
      <c r="A350" s="268"/>
      <c r="B350" s="268"/>
      <c r="C350" s="268"/>
      <c r="D350" s="268"/>
      <c r="E350" s="268"/>
      <c r="F350" s="268"/>
      <c r="G350" s="268"/>
      <c r="H350" s="268"/>
      <c r="I350" s="268"/>
      <c r="J350" s="268"/>
      <c r="K350" s="268"/>
      <c r="L350" s="309"/>
      <c r="M350" s="268"/>
      <c r="N350" s="268"/>
      <c r="O350" s="310"/>
      <c r="P350" s="268"/>
      <c r="Q350" s="309"/>
      <c r="R350" s="268"/>
      <c r="S350" s="313"/>
      <c r="T350" s="313"/>
      <c r="U350" s="268"/>
      <c r="V350" s="309"/>
      <c r="W350" s="310"/>
      <c r="X350" s="268"/>
      <c r="Y350" s="268"/>
      <c r="Z350" s="268"/>
      <c r="AA350" s="268"/>
      <c r="AB350" s="268"/>
      <c r="AC350" s="268"/>
      <c r="AD350" s="268"/>
      <c r="AE350" s="268"/>
    </row>
    <row r="351" spans="1:31" ht="24.75" customHeight="1">
      <c r="A351" s="268"/>
      <c r="B351" s="268"/>
      <c r="C351" s="268"/>
      <c r="D351" s="268"/>
      <c r="E351" s="268"/>
      <c r="F351" s="268"/>
      <c r="G351" s="268"/>
      <c r="H351" s="268"/>
      <c r="I351" s="268"/>
      <c r="J351" s="268"/>
      <c r="K351" s="268"/>
      <c r="L351" s="309"/>
      <c r="M351" s="268"/>
      <c r="N351" s="268"/>
      <c r="O351" s="310"/>
      <c r="P351" s="268"/>
      <c r="Q351" s="309"/>
      <c r="R351" s="268"/>
      <c r="S351" s="313"/>
      <c r="T351" s="313"/>
      <c r="U351" s="268"/>
      <c r="V351" s="309"/>
      <c r="W351" s="310"/>
      <c r="X351" s="268"/>
      <c r="Y351" s="268"/>
      <c r="Z351" s="268"/>
      <c r="AA351" s="268"/>
      <c r="AB351" s="268"/>
      <c r="AC351" s="268"/>
      <c r="AD351" s="268"/>
      <c r="AE351" s="268"/>
    </row>
    <row r="352" spans="1:31" ht="24.75" customHeight="1">
      <c r="A352" s="268"/>
      <c r="B352" s="268"/>
      <c r="C352" s="268"/>
      <c r="D352" s="268"/>
      <c r="E352" s="268"/>
      <c r="F352" s="268"/>
      <c r="G352" s="268"/>
      <c r="H352" s="268"/>
      <c r="I352" s="268"/>
      <c r="J352" s="268"/>
      <c r="K352" s="268"/>
      <c r="L352" s="309"/>
      <c r="M352" s="268"/>
      <c r="N352" s="268"/>
      <c r="O352" s="310"/>
      <c r="P352" s="268"/>
      <c r="Q352" s="309"/>
      <c r="R352" s="268"/>
      <c r="S352" s="313"/>
      <c r="T352" s="313"/>
      <c r="U352" s="268"/>
      <c r="V352" s="309"/>
      <c r="W352" s="310"/>
      <c r="X352" s="268"/>
      <c r="Y352" s="268"/>
      <c r="Z352" s="268"/>
      <c r="AA352" s="268"/>
      <c r="AB352" s="268"/>
      <c r="AC352" s="268"/>
      <c r="AD352" s="268"/>
      <c r="AE352" s="268"/>
    </row>
    <row r="353" spans="1:31" ht="24.75" customHeight="1">
      <c r="A353" s="268"/>
      <c r="B353" s="268"/>
      <c r="C353" s="268"/>
      <c r="D353" s="268"/>
      <c r="E353" s="268"/>
      <c r="F353" s="268"/>
      <c r="G353" s="268"/>
      <c r="H353" s="268"/>
      <c r="I353" s="268"/>
      <c r="J353" s="268"/>
      <c r="K353" s="268"/>
      <c r="L353" s="309"/>
      <c r="M353" s="268"/>
      <c r="N353" s="268"/>
      <c r="O353" s="310"/>
      <c r="P353" s="268"/>
      <c r="Q353" s="309"/>
      <c r="R353" s="268"/>
      <c r="S353" s="313"/>
      <c r="T353" s="313"/>
      <c r="U353" s="268"/>
      <c r="V353" s="309"/>
      <c r="W353" s="310"/>
      <c r="X353" s="268"/>
      <c r="Y353" s="268"/>
      <c r="Z353" s="268"/>
      <c r="AA353" s="268"/>
      <c r="AB353" s="268"/>
      <c r="AC353" s="268"/>
      <c r="AD353" s="268"/>
      <c r="AE353" s="268"/>
    </row>
    <row r="354" spans="1:31" ht="24.75" customHeight="1">
      <c r="A354" s="268"/>
      <c r="B354" s="268"/>
      <c r="C354" s="268"/>
      <c r="D354" s="268"/>
      <c r="E354" s="268"/>
      <c r="F354" s="268"/>
      <c r="G354" s="268"/>
      <c r="H354" s="268"/>
      <c r="I354" s="268"/>
      <c r="J354" s="268"/>
      <c r="K354" s="268"/>
      <c r="L354" s="309"/>
      <c r="M354" s="268"/>
      <c r="N354" s="268"/>
      <c r="O354" s="310"/>
      <c r="P354" s="268"/>
      <c r="Q354" s="309"/>
      <c r="R354" s="268"/>
      <c r="S354" s="313"/>
      <c r="T354" s="313"/>
      <c r="U354" s="268"/>
      <c r="V354" s="309"/>
      <c r="W354" s="310"/>
      <c r="X354" s="268"/>
      <c r="Y354" s="268"/>
      <c r="Z354" s="268"/>
      <c r="AA354" s="268"/>
      <c r="AB354" s="268"/>
      <c r="AC354" s="268"/>
      <c r="AD354" s="268"/>
      <c r="AE354" s="268"/>
    </row>
    <row r="355" spans="1:31" ht="24.75" customHeight="1">
      <c r="A355" s="268"/>
      <c r="B355" s="268"/>
      <c r="C355" s="268"/>
      <c r="D355" s="268"/>
      <c r="E355" s="268"/>
      <c r="F355" s="268"/>
      <c r="G355" s="268"/>
      <c r="H355" s="268"/>
      <c r="I355" s="268"/>
      <c r="J355" s="268"/>
      <c r="K355" s="268"/>
      <c r="L355" s="309"/>
      <c r="M355" s="268"/>
      <c r="N355" s="268"/>
      <c r="O355" s="310"/>
      <c r="P355" s="268"/>
      <c r="Q355" s="309"/>
      <c r="R355" s="268"/>
      <c r="S355" s="313"/>
      <c r="T355" s="313"/>
      <c r="U355" s="268"/>
      <c r="V355" s="309"/>
      <c r="W355" s="310"/>
      <c r="X355" s="268"/>
      <c r="Y355" s="268"/>
      <c r="Z355" s="268"/>
      <c r="AA355" s="268"/>
      <c r="AB355" s="268"/>
      <c r="AC355" s="268"/>
      <c r="AD355" s="268"/>
      <c r="AE355" s="268"/>
    </row>
    <row r="356" spans="1:31" ht="24.75" customHeight="1">
      <c r="A356" s="268"/>
      <c r="B356" s="268"/>
      <c r="C356" s="268"/>
      <c r="D356" s="268"/>
      <c r="E356" s="268"/>
      <c r="F356" s="268"/>
      <c r="G356" s="268"/>
      <c r="H356" s="268"/>
      <c r="I356" s="268"/>
      <c r="J356" s="268"/>
      <c r="K356" s="268"/>
      <c r="L356" s="309"/>
      <c r="M356" s="268"/>
      <c r="N356" s="268"/>
      <c r="O356" s="310"/>
      <c r="P356" s="268"/>
      <c r="Q356" s="309"/>
      <c r="R356" s="268"/>
      <c r="S356" s="313"/>
      <c r="T356" s="313"/>
      <c r="U356" s="268"/>
      <c r="V356" s="309"/>
      <c r="W356" s="310"/>
      <c r="X356" s="268"/>
      <c r="Y356" s="268"/>
      <c r="Z356" s="268"/>
      <c r="AA356" s="268"/>
      <c r="AB356" s="268"/>
      <c r="AC356" s="268"/>
      <c r="AD356" s="268"/>
      <c r="AE356" s="268"/>
    </row>
    <row r="357" spans="1:31" ht="24.75" customHeight="1">
      <c r="A357" s="268"/>
      <c r="B357" s="268"/>
      <c r="C357" s="268"/>
      <c r="D357" s="268"/>
      <c r="E357" s="268"/>
      <c r="F357" s="268"/>
      <c r="G357" s="268"/>
      <c r="H357" s="268"/>
      <c r="I357" s="268"/>
      <c r="J357" s="268"/>
      <c r="K357" s="268"/>
      <c r="L357" s="309"/>
      <c r="M357" s="268"/>
      <c r="N357" s="268"/>
      <c r="O357" s="310"/>
      <c r="P357" s="268"/>
      <c r="Q357" s="309"/>
      <c r="R357" s="268"/>
      <c r="S357" s="313"/>
      <c r="T357" s="313"/>
      <c r="U357" s="268"/>
      <c r="V357" s="309"/>
      <c r="W357" s="310"/>
      <c r="X357" s="268"/>
      <c r="Y357" s="268"/>
      <c r="Z357" s="268"/>
      <c r="AA357" s="268"/>
      <c r="AB357" s="268"/>
      <c r="AC357" s="268"/>
      <c r="AD357" s="268"/>
      <c r="AE357" s="268"/>
    </row>
    <row r="358" spans="1:31" ht="24.75" customHeight="1">
      <c r="A358" s="268"/>
      <c r="B358" s="268"/>
      <c r="C358" s="268"/>
      <c r="D358" s="268"/>
      <c r="E358" s="268"/>
      <c r="F358" s="268"/>
      <c r="G358" s="268"/>
      <c r="H358" s="268"/>
      <c r="I358" s="268"/>
      <c r="J358" s="268"/>
      <c r="K358" s="268"/>
      <c r="L358" s="309"/>
      <c r="M358" s="268"/>
      <c r="N358" s="268"/>
      <c r="O358" s="310"/>
      <c r="P358" s="268"/>
      <c r="Q358" s="309"/>
      <c r="R358" s="268"/>
      <c r="S358" s="313"/>
      <c r="T358" s="313"/>
      <c r="U358" s="268"/>
      <c r="V358" s="309"/>
      <c r="W358" s="310"/>
      <c r="X358" s="268"/>
      <c r="Y358" s="268"/>
      <c r="Z358" s="268"/>
      <c r="AA358" s="268"/>
      <c r="AB358" s="268"/>
      <c r="AC358" s="268"/>
      <c r="AD358" s="268"/>
      <c r="AE358" s="268"/>
    </row>
    <row r="359" spans="1:31" ht="24.75" customHeight="1">
      <c r="A359" s="268"/>
      <c r="B359" s="268"/>
      <c r="C359" s="268"/>
      <c r="D359" s="268"/>
      <c r="E359" s="268"/>
      <c r="F359" s="268"/>
      <c r="G359" s="268"/>
      <c r="H359" s="268"/>
      <c r="I359" s="268"/>
      <c r="J359" s="268"/>
      <c r="K359" s="268"/>
      <c r="L359" s="309"/>
      <c r="M359" s="268"/>
      <c r="N359" s="268"/>
      <c r="O359" s="310"/>
      <c r="P359" s="268"/>
      <c r="Q359" s="309"/>
      <c r="R359" s="268"/>
      <c r="S359" s="313"/>
      <c r="T359" s="313"/>
      <c r="U359" s="268"/>
      <c r="V359" s="309"/>
      <c r="W359" s="310"/>
      <c r="X359" s="268"/>
      <c r="Y359" s="268"/>
      <c r="Z359" s="268"/>
      <c r="AA359" s="268"/>
      <c r="AB359" s="268"/>
      <c r="AC359" s="268"/>
      <c r="AD359" s="268"/>
      <c r="AE359" s="268"/>
    </row>
    <row r="360" spans="1:31" ht="24.75" customHeight="1">
      <c r="A360" s="268"/>
      <c r="B360" s="268"/>
      <c r="C360" s="268"/>
      <c r="D360" s="268"/>
      <c r="E360" s="268"/>
      <c r="F360" s="268"/>
      <c r="G360" s="268"/>
      <c r="H360" s="268"/>
      <c r="I360" s="268"/>
      <c r="J360" s="268"/>
      <c r="K360" s="268"/>
      <c r="L360" s="309"/>
      <c r="M360" s="268"/>
      <c r="N360" s="268"/>
      <c r="O360" s="310"/>
      <c r="P360" s="268"/>
      <c r="Q360" s="309"/>
      <c r="R360" s="268"/>
      <c r="S360" s="313"/>
      <c r="T360" s="313"/>
      <c r="U360" s="268"/>
      <c r="V360" s="309"/>
      <c r="W360" s="310"/>
      <c r="X360" s="268"/>
      <c r="Y360" s="268"/>
      <c r="Z360" s="268"/>
      <c r="AA360" s="268"/>
      <c r="AB360" s="268"/>
      <c r="AC360" s="268"/>
      <c r="AD360" s="268"/>
      <c r="AE360" s="268"/>
    </row>
    <row r="361" spans="1:31" ht="24.75" customHeight="1">
      <c r="A361" s="268"/>
      <c r="B361" s="268"/>
      <c r="C361" s="268"/>
      <c r="D361" s="268"/>
      <c r="E361" s="268"/>
      <c r="F361" s="268"/>
      <c r="G361" s="268"/>
      <c r="H361" s="268"/>
      <c r="I361" s="268"/>
      <c r="J361" s="268"/>
      <c r="K361" s="268"/>
      <c r="L361" s="309"/>
      <c r="M361" s="268"/>
      <c r="N361" s="268"/>
      <c r="O361" s="310"/>
      <c r="P361" s="268"/>
      <c r="Q361" s="309"/>
      <c r="R361" s="268"/>
      <c r="S361" s="313"/>
      <c r="T361" s="313"/>
      <c r="U361" s="268"/>
      <c r="V361" s="309"/>
      <c r="W361" s="310"/>
      <c r="X361" s="268"/>
      <c r="Y361" s="268"/>
      <c r="Z361" s="268"/>
      <c r="AA361" s="268"/>
      <c r="AB361" s="268"/>
      <c r="AC361" s="268"/>
      <c r="AD361" s="268"/>
      <c r="AE361" s="268"/>
    </row>
    <row r="362" spans="1:31" ht="24.75" customHeight="1">
      <c r="A362" s="268"/>
      <c r="B362" s="268"/>
      <c r="C362" s="268"/>
      <c r="D362" s="268"/>
      <c r="E362" s="268"/>
      <c r="F362" s="268"/>
      <c r="G362" s="268"/>
      <c r="H362" s="268"/>
      <c r="I362" s="268"/>
      <c r="J362" s="268"/>
      <c r="K362" s="268"/>
      <c r="L362" s="309"/>
      <c r="M362" s="268"/>
      <c r="N362" s="268"/>
      <c r="O362" s="310"/>
      <c r="P362" s="268"/>
      <c r="Q362" s="309"/>
      <c r="R362" s="268"/>
      <c r="S362" s="313"/>
      <c r="T362" s="313"/>
      <c r="U362" s="268"/>
      <c r="V362" s="309"/>
      <c r="W362" s="310"/>
      <c r="X362" s="268"/>
      <c r="Y362" s="268"/>
      <c r="Z362" s="268"/>
      <c r="AA362" s="268"/>
      <c r="AB362" s="268"/>
      <c r="AC362" s="268"/>
      <c r="AD362" s="268"/>
      <c r="AE362" s="268"/>
    </row>
    <row r="363" spans="1:31" ht="24.75" customHeight="1">
      <c r="A363" s="268"/>
      <c r="B363" s="268"/>
      <c r="C363" s="268"/>
      <c r="D363" s="268"/>
      <c r="E363" s="268"/>
      <c r="F363" s="268"/>
      <c r="G363" s="268"/>
      <c r="H363" s="268"/>
      <c r="I363" s="268"/>
      <c r="J363" s="268"/>
      <c r="K363" s="268"/>
      <c r="L363" s="309"/>
      <c r="M363" s="268"/>
      <c r="N363" s="268"/>
      <c r="O363" s="310"/>
      <c r="P363" s="268"/>
      <c r="Q363" s="309"/>
      <c r="R363" s="268"/>
      <c r="S363" s="313"/>
      <c r="T363" s="313"/>
      <c r="U363" s="268"/>
      <c r="V363" s="309"/>
      <c r="W363" s="310"/>
      <c r="X363" s="268"/>
      <c r="Y363" s="268"/>
      <c r="Z363" s="268"/>
      <c r="AA363" s="268"/>
      <c r="AB363" s="268"/>
      <c r="AC363" s="268"/>
      <c r="AD363" s="268"/>
      <c r="AE363" s="268"/>
    </row>
    <row r="364" spans="1:31" ht="24.75" customHeight="1">
      <c r="A364" s="268"/>
      <c r="B364" s="268"/>
      <c r="C364" s="268"/>
      <c r="D364" s="268"/>
      <c r="E364" s="268"/>
      <c r="F364" s="268"/>
      <c r="G364" s="268"/>
      <c r="H364" s="268"/>
      <c r="I364" s="268"/>
      <c r="J364" s="268"/>
      <c r="K364" s="268"/>
      <c r="L364" s="309"/>
      <c r="M364" s="268"/>
      <c r="N364" s="268"/>
      <c r="O364" s="310"/>
      <c r="P364" s="268"/>
      <c r="Q364" s="309"/>
      <c r="R364" s="268"/>
      <c r="S364" s="313"/>
      <c r="T364" s="313"/>
      <c r="U364" s="268"/>
      <c r="V364" s="309"/>
      <c r="W364" s="310"/>
      <c r="X364" s="268"/>
      <c r="Y364" s="268"/>
      <c r="Z364" s="268"/>
      <c r="AA364" s="268"/>
      <c r="AB364" s="268"/>
      <c r="AC364" s="268"/>
      <c r="AD364" s="268"/>
      <c r="AE364" s="268"/>
    </row>
    <row r="365" spans="1:31" ht="24.75" customHeight="1">
      <c r="A365" s="268"/>
      <c r="B365" s="268"/>
      <c r="C365" s="268"/>
      <c r="D365" s="268"/>
      <c r="E365" s="268"/>
      <c r="F365" s="268"/>
      <c r="G365" s="268"/>
      <c r="H365" s="268"/>
      <c r="I365" s="268"/>
      <c r="J365" s="268"/>
      <c r="K365" s="268"/>
      <c r="L365" s="309"/>
      <c r="M365" s="268"/>
      <c r="N365" s="268"/>
      <c r="O365" s="310"/>
      <c r="P365" s="268"/>
      <c r="Q365" s="309"/>
      <c r="R365" s="268"/>
      <c r="S365" s="313"/>
      <c r="T365" s="313"/>
      <c r="U365" s="268"/>
      <c r="V365" s="309"/>
      <c r="W365" s="310"/>
      <c r="X365" s="268"/>
      <c r="Y365" s="268"/>
      <c r="Z365" s="268"/>
      <c r="AA365" s="268"/>
      <c r="AB365" s="268"/>
      <c r="AC365" s="268"/>
      <c r="AD365" s="268"/>
      <c r="AE365" s="268"/>
    </row>
    <row r="366" spans="1:31" ht="24.75" customHeight="1">
      <c r="A366" s="268"/>
      <c r="B366" s="268"/>
      <c r="C366" s="268"/>
      <c r="D366" s="268"/>
      <c r="E366" s="268"/>
      <c r="F366" s="268"/>
      <c r="G366" s="268"/>
      <c r="H366" s="268"/>
      <c r="I366" s="268"/>
      <c r="J366" s="268"/>
      <c r="K366" s="268"/>
      <c r="L366" s="309"/>
      <c r="M366" s="268"/>
      <c r="N366" s="268"/>
      <c r="O366" s="310"/>
      <c r="P366" s="268"/>
      <c r="Q366" s="309"/>
      <c r="R366" s="268"/>
      <c r="S366" s="313"/>
      <c r="T366" s="313"/>
      <c r="U366" s="268"/>
      <c r="V366" s="309"/>
      <c r="W366" s="310"/>
      <c r="X366" s="268"/>
      <c r="Y366" s="268"/>
      <c r="Z366" s="268"/>
      <c r="AA366" s="268"/>
      <c r="AB366" s="268"/>
      <c r="AC366" s="268"/>
      <c r="AD366" s="268"/>
      <c r="AE366" s="268"/>
    </row>
    <row r="367" spans="1:31" ht="24.75" customHeight="1">
      <c r="A367" s="268"/>
      <c r="B367" s="268"/>
      <c r="C367" s="268"/>
      <c r="D367" s="268"/>
      <c r="E367" s="268"/>
      <c r="F367" s="268"/>
      <c r="G367" s="268"/>
      <c r="H367" s="268"/>
      <c r="I367" s="268"/>
      <c r="J367" s="268"/>
      <c r="K367" s="268"/>
      <c r="L367" s="309"/>
      <c r="M367" s="268"/>
      <c r="N367" s="268"/>
      <c r="O367" s="310"/>
      <c r="P367" s="268"/>
      <c r="Q367" s="309"/>
      <c r="R367" s="268"/>
      <c r="S367" s="313"/>
      <c r="T367" s="313"/>
      <c r="U367" s="268"/>
      <c r="V367" s="309"/>
      <c r="W367" s="310"/>
      <c r="X367" s="268"/>
      <c r="Y367" s="268"/>
      <c r="Z367" s="268"/>
      <c r="AA367" s="268"/>
      <c r="AB367" s="268"/>
      <c r="AC367" s="268"/>
      <c r="AD367" s="268"/>
      <c r="AE367" s="268"/>
    </row>
    <row r="368" spans="1:31" ht="24.75" customHeight="1">
      <c r="A368" s="268"/>
      <c r="B368" s="268"/>
      <c r="C368" s="268"/>
      <c r="D368" s="268"/>
      <c r="E368" s="268"/>
      <c r="F368" s="268"/>
      <c r="G368" s="268"/>
      <c r="H368" s="268"/>
      <c r="I368" s="268"/>
      <c r="J368" s="268"/>
      <c r="K368" s="268"/>
      <c r="L368" s="309"/>
      <c r="M368" s="268"/>
      <c r="N368" s="268"/>
      <c r="O368" s="310"/>
      <c r="P368" s="268"/>
      <c r="Q368" s="309"/>
      <c r="R368" s="268"/>
      <c r="S368" s="313"/>
      <c r="T368" s="313"/>
      <c r="U368" s="268"/>
      <c r="V368" s="309"/>
      <c r="W368" s="310"/>
      <c r="X368" s="268"/>
      <c r="Y368" s="268"/>
      <c r="Z368" s="268"/>
      <c r="AA368" s="268"/>
      <c r="AB368" s="268"/>
      <c r="AC368" s="268"/>
      <c r="AD368" s="268"/>
      <c r="AE368" s="268"/>
    </row>
    <row r="369" spans="1:31" ht="24.75" customHeight="1">
      <c r="A369" s="268"/>
      <c r="B369" s="268"/>
      <c r="C369" s="268"/>
      <c r="D369" s="268"/>
      <c r="E369" s="268"/>
      <c r="F369" s="268"/>
      <c r="G369" s="268"/>
      <c r="H369" s="268"/>
      <c r="I369" s="268"/>
      <c r="J369" s="268"/>
      <c r="K369" s="268"/>
      <c r="L369" s="309"/>
      <c r="M369" s="268"/>
      <c r="N369" s="268"/>
      <c r="O369" s="310"/>
      <c r="P369" s="268"/>
      <c r="Q369" s="309"/>
      <c r="R369" s="268"/>
      <c r="S369" s="313"/>
      <c r="T369" s="313"/>
      <c r="U369" s="268"/>
      <c r="V369" s="309"/>
      <c r="W369" s="310"/>
      <c r="X369" s="268"/>
      <c r="Y369" s="268"/>
      <c r="Z369" s="268"/>
      <c r="AA369" s="268"/>
      <c r="AB369" s="268"/>
      <c r="AC369" s="268"/>
      <c r="AD369" s="268"/>
      <c r="AE369" s="268"/>
    </row>
    <row r="370" spans="1:31" ht="24.75" customHeight="1">
      <c r="A370" s="268"/>
      <c r="B370" s="268"/>
      <c r="C370" s="268"/>
      <c r="D370" s="268"/>
      <c r="E370" s="268"/>
      <c r="F370" s="268"/>
      <c r="G370" s="268"/>
      <c r="H370" s="268"/>
      <c r="I370" s="268"/>
      <c r="J370" s="268"/>
      <c r="K370" s="268"/>
      <c r="L370" s="309"/>
      <c r="M370" s="268"/>
      <c r="N370" s="268"/>
      <c r="O370" s="310"/>
      <c r="P370" s="268"/>
      <c r="Q370" s="309"/>
      <c r="R370" s="268"/>
      <c r="S370" s="313"/>
      <c r="T370" s="313"/>
      <c r="U370" s="268"/>
      <c r="V370" s="309"/>
      <c r="W370" s="310"/>
      <c r="X370" s="268"/>
      <c r="Y370" s="268"/>
      <c r="Z370" s="268"/>
      <c r="AA370" s="268"/>
      <c r="AB370" s="268"/>
      <c r="AC370" s="268"/>
      <c r="AD370" s="268"/>
      <c r="AE370" s="268"/>
    </row>
    <row r="371" spans="1:31" ht="24.75" customHeight="1">
      <c r="A371" s="268"/>
      <c r="B371" s="268"/>
      <c r="C371" s="268"/>
      <c r="D371" s="268"/>
      <c r="E371" s="268"/>
      <c r="F371" s="268"/>
      <c r="G371" s="268"/>
      <c r="H371" s="268"/>
      <c r="I371" s="268"/>
      <c r="J371" s="268"/>
      <c r="K371" s="268"/>
      <c r="L371" s="309"/>
      <c r="M371" s="268"/>
      <c r="N371" s="268"/>
      <c r="O371" s="310"/>
      <c r="P371" s="268"/>
      <c r="Q371" s="309"/>
      <c r="R371" s="268"/>
      <c r="S371" s="313"/>
      <c r="T371" s="313"/>
      <c r="U371" s="268"/>
      <c r="V371" s="309"/>
      <c r="W371" s="310"/>
      <c r="X371" s="268"/>
      <c r="Y371" s="268"/>
      <c r="Z371" s="268"/>
      <c r="AA371" s="268"/>
      <c r="AB371" s="268"/>
      <c r="AC371" s="268"/>
      <c r="AD371" s="268"/>
      <c r="AE371" s="268"/>
    </row>
    <row r="372" spans="1:31" ht="24.75" customHeight="1">
      <c r="A372" s="268"/>
      <c r="B372" s="268"/>
      <c r="C372" s="268"/>
      <c r="D372" s="268"/>
      <c r="E372" s="268"/>
      <c r="F372" s="268"/>
      <c r="G372" s="268"/>
      <c r="H372" s="268"/>
      <c r="I372" s="268"/>
      <c r="J372" s="268"/>
      <c r="K372" s="268"/>
      <c r="L372" s="309"/>
      <c r="M372" s="268"/>
      <c r="N372" s="268"/>
      <c r="O372" s="310"/>
      <c r="P372" s="268"/>
      <c r="Q372" s="309"/>
      <c r="R372" s="268"/>
      <c r="S372" s="313"/>
      <c r="T372" s="313"/>
      <c r="U372" s="268"/>
      <c r="V372" s="309"/>
      <c r="W372" s="310"/>
      <c r="X372" s="268"/>
      <c r="Y372" s="268"/>
      <c r="Z372" s="268"/>
      <c r="AA372" s="268"/>
      <c r="AB372" s="268"/>
      <c r="AC372" s="268"/>
      <c r="AD372" s="268"/>
      <c r="AE372" s="268"/>
    </row>
    <row r="373" spans="1:31" ht="24.75" customHeight="1">
      <c r="A373" s="268"/>
      <c r="B373" s="268"/>
      <c r="C373" s="268"/>
      <c r="D373" s="268"/>
      <c r="E373" s="268"/>
      <c r="F373" s="268"/>
      <c r="G373" s="268"/>
      <c r="H373" s="268"/>
      <c r="I373" s="268"/>
      <c r="J373" s="268"/>
      <c r="K373" s="268"/>
      <c r="L373" s="309"/>
      <c r="M373" s="268"/>
      <c r="N373" s="268"/>
      <c r="O373" s="310"/>
      <c r="P373" s="268"/>
      <c r="Q373" s="309"/>
      <c r="R373" s="268"/>
      <c r="S373" s="313"/>
      <c r="T373" s="313"/>
      <c r="U373" s="268"/>
      <c r="V373" s="309"/>
      <c r="W373" s="310"/>
      <c r="X373" s="268"/>
      <c r="Y373" s="268"/>
      <c r="Z373" s="268"/>
      <c r="AA373" s="268"/>
      <c r="AB373" s="268"/>
      <c r="AC373" s="268"/>
      <c r="AD373" s="268"/>
      <c r="AE373" s="268"/>
    </row>
    <row r="374" spans="1:31" ht="24.75" customHeight="1">
      <c r="A374" s="268"/>
      <c r="B374" s="268"/>
      <c r="C374" s="268"/>
      <c r="D374" s="268"/>
      <c r="E374" s="268"/>
      <c r="F374" s="268"/>
      <c r="G374" s="268"/>
      <c r="H374" s="268"/>
      <c r="I374" s="268"/>
      <c r="J374" s="268"/>
      <c r="K374" s="268"/>
      <c r="L374" s="309"/>
      <c r="M374" s="268"/>
      <c r="N374" s="268"/>
      <c r="O374" s="310"/>
      <c r="P374" s="268"/>
      <c r="Q374" s="309"/>
      <c r="R374" s="268"/>
      <c r="S374" s="313"/>
      <c r="T374" s="313"/>
      <c r="U374" s="268"/>
      <c r="V374" s="309"/>
      <c r="W374" s="310"/>
      <c r="X374" s="268"/>
      <c r="Y374" s="268"/>
      <c r="Z374" s="268"/>
      <c r="AA374" s="268"/>
      <c r="AB374" s="268"/>
      <c r="AC374" s="268"/>
      <c r="AD374" s="268"/>
      <c r="AE374" s="268"/>
    </row>
    <row r="375" spans="1:31" ht="24.75" customHeight="1">
      <c r="A375" s="268"/>
      <c r="B375" s="268"/>
      <c r="C375" s="268"/>
      <c r="D375" s="268"/>
      <c r="E375" s="268"/>
      <c r="F375" s="268"/>
      <c r="G375" s="268"/>
      <c r="H375" s="268"/>
      <c r="I375" s="268"/>
      <c r="J375" s="268"/>
      <c r="K375" s="268"/>
      <c r="L375" s="309"/>
      <c r="M375" s="268"/>
      <c r="N375" s="268"/>
      <c r="O375" s="310"/>
      <c r="P375" s="268"/>
      <c r="Q375" s="309"/>
      <c r="R375" s="268"/>
      <c r="S375" s="313"/>
      <c r="T375" s="313"/>
      <c r="U375" s="268"/>
      <c r="V375" s="309"/>
      <c r="W375" s="310"/>
      <c r="X375" s="268"/>
      <c r="Y375" s="268"/>
      <c r="Z375" s="268"/>
      <c r="AA375" s="268"/>
      <c r="AB375" s="268"/>
      <c r="AC375" s="268"/>
      <c r="AD375" s="268"/>
      <c r="AE375" s="268"/>
    </row>
    <row r="376" spans="1:31" ht="24.75" customHeight="1">
      <c r="A376" s="268"/>
      <c r="B376" s="268"/>
      <c r="C376" s="268"/>
      <c r="D376" s="268"/>
      <c r="E376" s="268"/>
      <c r="F376" s="268"/>
      <c r="G376" s="268"/>
      <c r="H376" s="268"/>
      <c r="I376" s="268"/>
      <c r="J376" s="268"/>
      <c r="K376" s="268"/>
      <c r="L376" s="309"/>
      <c r="M376" s="268"/>
      <c r="N376" s="268"/>
      <c r="O376" s="310"/>
      <c r="P376" s="268"/>
      <c r="Q376" s="309"/>
      <c r="R376" s="268"/>
      <c r="S376" s="313"/>
      <c r="T376" s="313"/>
      <c r="U376" s="268"/>
      <c r="V376" s="309"/>
      <c r="W376" s="310"/>
      <c r="X376" s="268"/>
      <c r="Y376" s="268"/>
      <c r="Z376" s="268"/>
      <c r="AA376" s="268"/>
      <c r="AB376" s="268"/>
      <c r="AC376" s="268"/>
      <c r="AD376" s="268"/>
      <c r="AE376" s="268"/>
    </row>
    <row r="377" spans="1:31" ht="24.75" customHeight="1">
      <c r="A377" s="268"/>
      <c r="B377" s="268"/>
      <c r="C377" s="268"/>
      <c r="D377" s="268"/>
      <c r="E377" s="268"/>
      <c r="F377" s="268"/>
      <c r="G377" s="268"/>
      <c r="H377" s="268"/>
      <c r="I377" s="268"/>
      <c r="J377" s="268"/>
      <c r="K377" s="268"/>
      <c r="L377" s="309"/>
      <c r="M377" s="268"/>
      <c r="N377" s="268"/>
      <c r="O377" s="310"/>
      <c r="P377" s="268"/>
      <c r="Q377" s="309"/>
      <c r="R377" s="268"/>
      <c r="S377" s="313"/>
      <c r="T377" s="313"/>
      <c r="U377" s="268"/>
      <c r="V377" s="309"/>
      <c r="W377" s="310"/>
      <c r="X377" s="268"/>
      <c r="Y377" s="268"/>
      <c r="Z377" s="268"/>
      <c r="AA377" s="268"/>
      <c r="AB377" s="268"/>
      <c r="AC377" s="268"/>
      <c r="AD377" s="268"/>
      <c r="AE377" s="268"/>
    </row>
    <row r="378" spans="1:31" ht="24.75" customHeight="1">
      <c r="A378" s="268"/>
      <c r="B378" s="268"/>
      <c r="C378" s="268"/>
      <c r="D378" s="268"/>
      <c r="E378" s="268"/>
      <c r="F378" s="268"/>
      <c r="G378" s="268"/>
      <c r="H378" s="268"/>
      <c r="I378" s="268"/>
      <c r="J378" s="268"/>
      <c r="K378" s="268"/>
      <c r="L378" s="309"/>
      <c r="M378" s="268"/>
      <c r="N378" s="268"/>
      <c r="O378" s="310"/>
      <c r="P378" s="268"/>
      <c r="Q378" s="309"/>
      <c r="R378" s="268"/>
      <c r="S378" s="313"/>
      <c r="T378" s="313"/>
      <c r="U378" s="268"/>
      <c r="V378" s="309"/>
      <c r="W378" s="310"/>
      <c r="X378" s="268"/>
      <c r="Y378" s="268"/>
      <c r="Z378" s="268"/>
      <c r="AA378" s="268"/>
      <c r="AB378" s="268"/>
      <c r="AC378" s="268"/>
      <c r="AD378" s="268"/>
      <c r="AE378" s="268"/>
    </row>
    <row r="379" spans="1:31" ht="24.75" customHeight="1">
      <c r="A379" s="268"/>
      <c r="B379" s="268"/>
      <c r="C379" s="268"/>
      <c r="D379" s="268"/>
      <c r="E379" s="268"/>
      <c r="F379" s="268"/>
      <c r="G379" s="268"/>
      <c r="H379" s="268"/>
      <c r="I379" s="268"/>
      <c r="J379" s="268"/>
      <c r="K379" s="268"/>
      <c r="L379" s="309"/>
      <c r="M379" s="268"/>
      <c r="N379" s="268"/>
      <c r="O379" s="310"/>
      <c r="P379" s="268"/>
      <c r="Q379" s="309"/>
      <c r="R379" s="268"/>
      <c r="S379" s="313"/>
      <c r="T379" s="313"/>
      <c r="U379" s="268"/>
      <c r="V379" s="309"/>
      <c r="W379" s="310"/>
      <c r="X379" s="268"/>
      <c r="Y379" s="268"/>
      <c r="Z379" s="268"/>
      <c r="AA379" s="268"/>
      <c r="AB379" s="268"/>
      <c r="AC379" s="268"/>
      <c r="AD379" s="268"/>
      <c r="AE379" s="268"/>
    </row>
    <row r="380" spans="1:31" ht="24.75" customHeight="1">
      <c r="A380" s="268"/>
      <c r="B380" s="268"/>
      <c r="C380" s="268"/>
      <c r="D380" s="268"/>
      <c r="E380" s="268"/>
      <c r="F380" s="268"/>
      <c r="G380" s="268"/>
      <c r="H380" s="268"/>
      <c r="I380" s="268"/>
      <c r="J380" s="268"/>
      <c r="K380" s="268"/>
      <c r="L380" s="309"/>
      <c r="M380" s="268"/>
      <c r="N380" s="268"/>
      <c r="O380" s="310"/>
      <c r="P380" s="268"/>
      <c r="Q380" s="309"/>
      <c r="R380" s="268"/>
      <c r="S380" s="313"/>
      <c r="T380" s="313"/>
      <c r="U380" s="268"/>
      <c r="V380" s="309"/>
      <c r="W380" s="310"/>
      <c r="X380" s="268"/>
      <c r="Y380" s="268"/>
      <c r="Z380" s="268"/>
      <c r="AA380" s="268"/>
      <c r="AB380" s="268"/>
      <c r="AC380" s="268"/>
      <c r="AD380" s="268"/>
      <c r="AE380" s="268"/>
    </row>
    <row r="381" spans="1:31" ht="24.75" customHeight="1">
      <c r="A381" s="268"/>
      <c r="B381" s="268"/>
      <c r="C381" s="268"/>
      <c r="D381" s="268"/>
      <c r="E381" s="268"/>
      <c r="F381" s="268"/>
      <c r="G381" s="268"/>
      <c r="H381" s="268"/>
      <c r="I381" s="268"/>
      <c r="J381" s="268"/>
      <c r="K381" s="268"/>
      <c r="L381" s="309"/>
      <c r="M381" s="268"/>
      <c r="N381" s="268"/>
      <c r="O381" s="310"/>
      <c r="P381" s="268"/>
      <c r="Q381" s="309"/>
      <c r="R381" s="268"/>
      <c r="S381" s="313"/>
      <c r="T381" s="313"/>
      <c r="U381" s="268"/>
      <c r="V381" s="309"/>
      <c r="W381" s="310"/>
      <c r="X381" s="268"/>
      <c r="Y381" s="268"/>
      <c r="Z381" s="268"/>
      <c r="AA381" s="268"/>
      <c r="AB381" s="268"/>
      <c r="AC381" s="268"/>
      <c r="AD381" s="268"/>
      <c r="AE381" s="268"/>
    </row>
    <row r="382" spans="1:31" ht="24.75" customHeight="1">
      <c r="A382" s="268"/>
      <c r="B382" s="268"/>
      <c r="C382" s="268"/>
      <c r="D382" s="268"/>
      <c r="E382" s="268"/>
      <c r="F382" s="268"/>
      <c r="G382" s="268"/>
      <c r="H382" s="268"/>
      <c r="I382" s="268"/>
      <c r="J382" s="268"/>
      <c r="K382" s="268"/>
      <c r="L382" s="309"/>
      <c r="M382" s="268"/>
      <c r="N382" s="268"/>
      <c r="O382" s="310"/>
      <c r="P382" s="268"/>
      <c r="Q382" s="309"/>
      <c r="R382" s="268"/>
      <c r="S382" s="313"/>
      <c r="T382" s="313"/>
      <c r="U382" s="268"/>
      <c r="V382" s="309"/>
      <c r="W382" s="310"/>
      <c r="X382" s="268"/>
      <c r="Y382" s="268"/>
      <c r="Z382" s="268"/>
      <c r="AA382" s="268"/>
      <c r="AB382" s="268"/>
      <c r="AC382" s="268"/>
      <c r="AD382" s="268"/>
      <c r="AE382" s="268"/>
    </row>
    <row r="383" spans="1:31" ht="24.75" customHeight="1">
      <c r="A383" s="268"/>
      <c r="B383" s="268"/>
      <c r="C383" s="268"/>
      <c r="D383" s="268"/>
      <c r="E383" s="268"/>
      <c r="F383" s="268"/>
      <c r="G383" s="268"/>
      <c r="H383" s="268"/>
      <c r="I383" s="268"/>
      <c r="J383" s="268"/>
      <c r="K383" s="268"/>
      <c r="L383" s="309"/>
      <c r="M383" s="268"/>
      <c r="N383" s="268"/>
      <c r="O383" s="310"/>
      <c r="P383" s="268"/>
      <c r="Q383" s="309"/>
      <c r="R383" s="268"/>
      <c r="S383" s="313"/>
      <c r="T383" s="313"/>
      <c r="U383" s="268"/>
      <c r="V383" s="309"/>
      <c r="W383" s="310"/>
      <c r="X383" s="268"/>
      <c r="Y383" s="268"/>
      <c r="Z383" s="268"/>
      <c r="AA383" s="268"/>
      <c r="AB383" s="268"/>
      <c r="AC383" s="268"/>
      <c r="AD383" s="268"/>
      <c r="AE383" s="268"/>
    </row>
    <row r="384" spans="1:31" ht="24.75" customHeight="1">
      <c r="A384" s="268"/>
      <c r="B384" s="268"/>
      <c r="C384" s="268"/>
      <c r="D384" s="268"/>
      <c r="E384" s="268"/>
      <c r="F384" s="268"/>
      <c r="G384" s="268"/>
      <c r="H384" s="268"/>
      <c r="I384" s="268"/>
      <c r="J384" s="268"/>
      <c r="K384" s="268"/>
      <c r="L384" s="309"/>
      <c r="M384" s="268"/>
      <c r="N384" s="268"/>
      <c r="O384" s="310"/>
      <c r="P384" s="268"/>
      <c r="Q384" s="309"/>
      <c r="R384" s="268"/>
      <c r="S384" s="313"/>
      <c r="T384" s="313"/>
      <c r="U384" s="268"/>
      <c r="V384" s="309"/>
      <c r="W384" s="310"/>
      <c r="X384" s="268"/>
      <c r="Y384" s="268"/>
      <c r="Z384" s="268"/>
      <c r="AA384" s="268"/>
      <c r="AB384" s="268"/>
      <c r="AC384" s="268"/>
      <c r="AD384" s="268"/>
      <c r="AE384" s="268"/>
    </row>
    <row r="385" spans="1:31" ht="24.75" customHeight="1">
      <c r="A385" s="268"/>
      <c r="B385" s="268"/>
      <c r="C385" s="268"/>
      <c r="D385" s="268"/>
      <c r="E385" s="268"/>
      <c r="F385" s="268"/>
      <c r="G385" s="268"/>
      <c r="H385" s="268"/>
      <c r="I385" s="268"/>
      <c r="J385" s="268"/>
      <c r="K385" s="268"/>
      <c r="L385" s="309"/>
      <c r="M385" s="268"/>
      <c r="N385" s="268"/>
      <c r="O385" s="310"/>
      <c r="P385" s="268"/>
      <c r="Q385" s="309"/>
      <c r="R385" s="268"/>
      <c r="S385" s="313"/>
      <c r="T385" s="313"/>
      <c r="U385" s="268"/>
      <c r="V385" s="309"/>
      <c r="W385" s="310"/>
      <c r="X385" s="268"/>
      <c r="Y385" s="268"/>
      <c r="Z385" s="268"/>
      <c r="AA385" s="268"/>
      <c r="AB385" s="268"/>
      <c r="AC385" s="268"/>
      <c r="AD385" s="268"/>
      <c r="AE385" s="268"/>
    </row>
    <row r="386" spans="1:31" ht="24.75" customHeight="1">
      <c r="A386" s="268"/>
      <c r="B386" s="268"/>
      <c r="C386" s="268"/>
      <c r="D386" s="268"/>
      <c r="E386" s="268"/>
      <c r="F386" s="268"/>
      <c r="G386" s="268"/>
      <c r="H386" s="268"/>
      <c r="I386" s="268"/>
      <c r="J386" s="268"/>
      <c r="K386" s="268"/>
      <c r="L386" s="309"/>
      <c r="M386" s="268"/>
      <c r="N386" s="268"/>
      <c r="O386" s="310"/>
      <c r="P386" s="268"/>
      <c r="Q386" s="309"/>
      <c r="R386" s="268"/>
      <c r="S386" s="313"/>
      <c r="T386" s="313"/>
      <c r="U386" s="268"/>
      <c r="V386" s="309"/>
      <c r="W386" s="310"/>
      <c r="X386" s="268"/>
      <c r="Y386" s="268"/>
      <c r="Z386" s="268"/>
      <c r="AA386" s="268"/>
      <c r="AB386" s="268"/>
      <c r="AC386" s="268"/>
      <c r="AD386" s="268"/>
      <c r="AE386" s="268"/>
    </row>
    <row r="387" spans="1:31" ht="24.75" customHeight="1">
      <c r="A387" s="268"/>
      <c r="B387" s="268"/>
      <c r="C387" s="268"/>
      <c r="D387" s="268"/>
      <c r="E387" s="268"/>
      <c r="F387" s="268"/>
      <c r="G387" s="268"/>
      <c r="H387" s="268"/>
      <c r="I387" s="268"/>
      <c r="J387" s="268"/>
      <c r="K387" s="268"/>
      <c r="L387" s="309"/>
      <c r="M387" s="268"/>
      <c r="N387" s="268"/>
      <c r="O387" s="310"/>
      <c r="P387" s="268"/>
      <c r="Q387" s="309"/>
      <c r="R387" s="268"/>
      <c r="S387" s="313"/>
      <c r="T387" s="313"/>
      <c r="U387" s="268"/>
      <c r="V387" s="309"/>
      <c r="W387" s="310"/>
      <c r="X387" s="268"/>
      <c r="Y387" s="268"/>
      <c r="Z387" s="268"/>
      <c r="AA387" s="268"/>
      <c r="AB387" s="268"/>
      <c r="AC387" s="268"/>
      <c r="AD387" s="268"/>
      <c r="AE387" s="268"/>
    </row>
    <row r="388" spans="1:31" ht="24.75" customHeight="1">
      <c r="A388" s="268"/>
      <c r="B388" s="268"/>
      <c r="C388" s="268"/>
      <c r="D388" s="268"/>
      <c r="E388" s="268"/>
      <c r="F388" s="268"/>
      <c r="G388" s="268"/>
      <c r="H388" s="268"/>
      <c r="I388" s="268"/>
      <c r="J388" s="268"/>
      <c r="K388" s="268"/>
      <c r="L388" s="309"/>
      <c r="M388" s="268"/>
      <c r="N388" s="268"/>
      <c r="O388" s="310"/>
      <c r="P388" s="268"/>
      <c r="Q388" s="309"/>
      <c r="R388" s="268"/>
      <c r="S388" s="313"/>
      <c r="T388" s="313"/>
      <c r="U388" s="268"/>
      <c r="V388" s="309"/>
      <c r="W388" s="310"/>
      <c r="X388" s="268"/>
      <c r="Y388" s="268"/>
      <c r="Z388" s="268"/>
      <c r="AA388" s="268"/>
      <c r="AB388" s="268"/>
      <c r="AC388" s="268"/>
      <c r="AD388" s="268"/>
      <c r="AE388" s="268"/>
    </row>
    <row r="389" spans="1:31" ht="24.75" customHeight="1">
      <c r="A389" s="268"/>
      <c r="B389" s="268"/>
      <c r="C389" s="268"/>
      <c r="D389" s="268"/>
      <c r="E389" s="268"/>
      <c r="F389" s="268"/>
      <c r="G389" s="268"/>
      <c r="H389" s="268"/>
      <c r="I389" s="268"/>
      <c r="J389" s="268"/>
      <c r="K389" s="268"/>
      <c r="L389" s="309"/>
      <c r="M389" s="268"/>
      <c r="N389" s="268"/>
      <c r="O389" s="310"/>
      <c r="P389" s="268"/>
      <c r="Q389" s="309"/>
      <c r="R389" s="268"/>
      <c r="S389" s="313"/>
      <c r="T389" s="313"/>
      <c r="U389" s="268"/>
      <c r="V389" s="309"/>
      <c r="W389" s="310"/>
      <c r="X389" s="268"/>
      <c r="Y389" s="268"/>
      <c r="Z389" s="268"/>
      <c r="AA389" s="268"/>
      <c r="AB389" s="268"/>
      <c r="AC389" s="268"/>
      <c r="AD389" s="268"/>
      <c r="AE389" s="268"/>
    </row>
    <row r="390" spans="1:31" ht="24.75" customHeight="1">
      <c r="A390" s="268"/>
      <c r="B390" s="268"/>
      <c r="C390" s="268"/>
      <c r="D390" s="268"/>
      <c r="E390" s="268"/>
      <c r="F390" s="268"/>
      <c r="G390" s="268"/>
      <c r="H390" s="268"/>
      <c r="I390" s="268"/>
      <c r="J390" s="268"/>
      <c r="K390" s="268"/>
      <c r="L390" s="309"/>
      <c r="M390" s="268"/>
      <c r="N390" s="268"/>
      <c r="O390" s="310"/>
      <c r="P390" s="268"/>
      <c r="Q390" s="309"/>
      <c r="R390" s="268"/>
      <c r="S390" s="313"/>
      <c r="T390" s="313"/>
      <c r="U390" s="268"/>
      <c r="V390" s="309"/>
      <c r="W390" s="310"/>
      <c r="X390" s="268"/>
      <c r="Y390" s="268"/>
      <c r="Z390" s="268"/>
      <c r="AA390" s="268"/>
      <c r="AB390" s="268"/>
      <c r="AC390" s="268"/>
      <c r="AD390" s="268"/>
      <c r="AE390" s="268"/>
    </row>
    <row r="391" spans="1:31" ht="24.75" customHeight="1">
      <c r="A391" s="268"/>
      <c r="B391" s="268"/>
      <c r="C391" s="268"/>
      <c r="D391" s="268"/>
      <c r="E391" s="268"/>
      <c r="F391" s="268"/>
      <c r="G391" s="268"/>
      <c r="H391" s="268"/>
      <c r="I391" s="268"/>
      <c r="J391" s="268"/>
      <c r="K391" s="268"/>
      <c r="L391" s="309"/>
      <c r="M391" s="268"/>
      <c r="N391" s="268"/>
      <c r="O391" s="310"/>
      <c r="P391" s="268"/>
      <c r="Q391" s="309"/>
      <c r="R391" s="268"/>
      <c r="S391" s="313"/>
      <c r="T391" s="313"/>
      <c r="U391" s="268"/>
      <c r="V391" s="309"/>
      <c r="W391" s="310"/>
      <c r="X391" s="268"/>
      <c r="Y391" s="268"/>
      <c r="Z391" s="268"/>
      <c r="AA391" s="268"/>
      <c r="AB391" s="268"/>
      <c r="AC391" s="268"/>
      <c r="AD391" s="268"/>
      <c r="AE391" s="268"/>
    </row>
    <row r="392" spans="1:31" ht="24.75" customHeight="1">
      <c r="A392" s="268"/>
      <c r="B392" s="268"/>
      <c r="C392" s="268"/>
      <c r="D392" s="268"/>
      <c r="E392" s="268"/>
      <c r="F392" s="268"/>
      <c r="G392" s="268"/>
      <c r="H392" s="268"/>
      <c r="I392" s="268"/>
      <c r="J392" s="268"/>
      <c r="K392" s="268"/>
      <c r="L392" s="309"/>
      <c r="M392" s="268"/>
      <c r="N392" s="268"/>
      <c r="O392" s="310"/>
      <c r="P392" s="268"/>
      <c r="Q392" s="309"/>
      <c r="R392" s="268"/>
      <c r="S392" s="313"/>
      <c r="T392" s="313"/>
      <c r="U392" s="268"/>
      <c r="V392" s="309"/>
      <c r="W392" s="310"/>
      <c r="X392" s="268"/>
      <c r="Y392" s="268"/>
      <c r="Z392" s="268"/>
      <c r="AA392" s="268"/>
      <c r="AB392" s="268"/>
      <c r="AC392" s="268"/>
      <c r="AD392" s="268"/>
      <c r="AE392" s="268"/>
    </row>
    <row r="393" spans="1:31" ht="24.75" customHeight="1">
      <c r="A393" s="268"/>
      <c r="B393" s="268"/>
      <c r="C393" s="268"/>
      <c r="D393" s="268"/>
      <c r="E393" s="268"/>
      <c r="F393" s="268"/>
      <c r="G393" s="268"/>
      <c r="H393" s="268"/>
      <c r="I393" s="268"/>
      <c r="J393" s="268"/>
      <c r="K393" s="268"/>
      <c r="L393" s="309"/>
      <c r="M393" s="268"/>
      <c r="N393" s="268"/>
      <c r="O393" s="310"/>
      <c r="P393" s="268"/>
      <c r="Q393" s="309"/>
      <c r="R393" s="268"/>
      <c r="S393" s="313"/>
      <c r="T393" s="313"/>
      <c r="U393" s="268"/>
      <c r="V393" s="309"/>
      <c r="W393" s="310"/>
      <c r="X393" s="268"/>
      <c r="Y393" s="268"/>
      <c r="Z393" s="268"/>
      <c r="AA393" s="268"/>
      <c r="AB393" s="268"/>
      <c r="AC393" s="268"/>
      <c r="AD393" s="268"/>
      <c r="AE393" s="268"/>
    </row>
    <row r="394" spans="1:31" ht="24.75" customHeight="1">
      <c r="A394" s="268"/>
      <c r="B394" s="268"/>
      <c r="C394" s="268"/>
      <c r="D394" s="268"/>
      <c r="E394" s="268"/>
      <c r="F394" s="268"/>
      <c r="G394" s="268"/>
      <c r="H394" s="268"/>
      <c r="I394" s="268"/>
      <c r="J394" s="268"/>
      <c r="K394" s="268"/>
      <c r="L394" s="309"/>
      <c r="M394" s="268"/>
      <c r="N394" s="268"/>
      <c r="O394" s="310"/>
      <c r="P394" s="268"/>
      <c r="Q394" s="309"/>
      <c r="R394" s="268"/>
      <c r="S394" s="313"/>
      <c r="T394" s="313"/>
      <c r="U394" s="268"/>
      <c r="V394" s="309"/>
      <c r="W394" s="310"/>
      <c r="X394" s="268"/>
      <c r="Y394" s="268"/>
      <c r="Z394" s="268"/>
      <c r="AA394" s="268"/>
      <c r="AB394" s="268"/>
      <c r="AC394" s="268"/>
      <c r="AD394" s="268"/>
      <c r="AE394" s="268"/>
    </row>
    <row r="395" spans="1:31" ht="24.75" customHeight="1">
      <c r="A395" s="268"/>
      <c r="B395" s="268"/>
      <c r="C395" s="268"/>
      <c r="D395" s="268"/>
      <c r="E395" s="268"/>
      <c r="F395" s="268"/>
      <c r="G395" s="268"/>
      <c r="H395" s="268"/>
      <c r="I395" s="268"/>
      <c r="J395" s="268"/>
      <c r="K395" s="268"/>
      <c r="L395" s="309"/>
      <c r="M395" s="268"/>
      <c r="N395" s="268"/>
      <c r="O395" s="310"/>
      <c r="P395" s="268"/>
      <c r="Q395" s="309"/>
      <c r="R395" s="268"/>
      <c r="S395" s="313"/>
      <c r="T395" s="313"/>
      <c r="U395" s="268"/>
      <c r="V395" s="309"/>
      <c r="W395" s="310"/>
      <c r="X395" s="268"/>
      <c r="Y395" s="268"/>
      <c r="Z395" s="268"/>
      <c r="AA395" s="268"/>
      <c r="AB395" s="268"/>
      <c r="AC395" s="268"/>
      <c r="AD395" s="268"/>
      <c r="AE395" s="268"/>
    </row>
    <row r="396" spans="1:31" ht="24.75" customHeight="1">
      <c r="A396" s="268"/>
      <c r="B396" s="268"/>
      <c r="C396" s="268"/>
      <c r="D396" s="268"/>
      <c r="E396" s="268"/>
      <c r="F396" s="268"/>
      <c r="G396" s="268"/>
      <c r="H396" s="268"/>
      <c r="I396" s="268"/>
      <c r="J396" s="268"/>
      <c r="K396" s="268"/>
      <c r="L396" s="309"/>
      <c r="M396" s="268"/>
      <c r="N396" s="268"/>
      <c r="O396" s="310"/>
      <c r="P396" s="268"/>
      <c r="Q396" s="309"/>
      <c r="R396" s="268"/>
      <c r="S396" s="313"/>
      <c r="T396" s="313"/>
      <c r="U396" s="268"/>
      <c r="V396" s="309"/>
      <c r="W396" s="310"/>
      <c r="X396" s="268"/>
      <c r="Y396" s="268"/>
      <c r="Z396" s="268"/>
      <c r="AA396" s="268"/>
      <c r="AB396" s="268"/>
      <c r="AC396" s="268"/>
      <c r="AD396" s="268"/>
      <c r="AE396" s="268"/>
    </row>
    <row r="397" spans="1:31" ht="24.75" customHeight="1">
      <c r="A397" s="268"/>
      <c r="B397" s="268"/>
      <c r="C397" s="268"/>
      <c r="D397" s="268"/>
      <c r="E397" s="268"/>
      <c r="F397" s="268"/>
      <c r="G397" s="268"/>
      <c r="H397" s="268"/>
      <c r="I397" s="268"/>
      <c r="J397" s="268"/>
      <c r="K397" s="268"/>
      <c r="L397" s="309"/>
      <c r="M397" s="268"/>
      <c r="N397" s="268"/>
      <c r="O397" s="310"/>
      <c r="P397" s="268"/>
      <c r="Q397" s="309"/>
      <c r="R397" s="268"/>
      <c r="S397" s="313"/>
      <c r="T397" s="313"/>
      <c r="U397" s="268"/>
      <c r="V397" s="309"/>
      <c r="W397" s="310"/>
      <c r="X397" s="268"/>
      <c r="Y397" s="268"/>
      <c r="Z397" s="268"/>
      <c r="AA397" s="268"/>
      <c r="AB397" s="268"/>
      <c r="AC397" s="268"/>
      <c r="AD397" s="268"/>
      <c r="AE397" s="268"/>
    </row>
    <row r="398" spans="1:31" ht="24.75" customHeight="1">
      <c r="A398" s="268"/>
      <c r="B398" s="268"/>
      <c r="C398" s="268"/>
      <c r="D398" s="268"/>
      <c r="E398" s="268"/>
      <c r="F398" s="268"/>
      <c r="G398" s="268"/>
      <c r="H398" s="268"/>
      <c r="I398" s="268"/>
      <c r="J398" s="268"/>
      <c r="K398" s="268"/>
      <c r="L398" s="309"/>
      <c r="M398" s="268"/>
      <c r="N398" s="268"/>
      <c r="O398" s="310"/>
      <c r="P398" s="268"/>
      <c r="Q398" s="309"/>
      <c r="R398" s="268"/>
      <c r="S398" s="313"/>
      <c r="T398" s="313"/>
      <c r="U398" s="268"/>
      <c r="V398" s="309"/>
      <c r="W398" s="310"/>
      <c r="X398" s="268"/>
      <c r="Y398" s="268"/>
      <c r="Z398" s="268"/>
      <c r="AA398" s="268"/>
      <c r="AB398" s="268"/>
      <c r="AC398" s="268"/>
      <c r="AD398" s="268"/>
      <c r="AE398" s="268"/>
    </row>
    <row r="399" spans="1:31" ht="24.75" customHeight="1">
      <c r="A399" s="268"/>
      <c r="B399" s="268"/>
      <c r="C399" s="268"/>
      <c r="D399" s="268"/>
      <c r="E399" s="268"/>
      <c r="F399" s="268"/>
      <c r="G399" s="268"/>
      <c r="H399" s="268"/>
      <c r="I399" s="268"/>
      <c r="J399" s="268"/>
      <c r="K399" s="268"/>
      <c r="L399" s="309"/>
      <c r="M399" s="268"/>
      <c r="N399" s="268"/>
      <c r="O399" s="310"/>
      <c r="P399" s="268"/>
      <c r="Q399" s="309"/>
      <c r="R399" s="268"/>
      <c r="S399" s="313"/>
      <c r="T399" s="313"/>
      <c r="U399" s="268"/>
      <c r="V399" s="309"/>
      <c r="W399" s="310"/>
      <c r="X399" s="268"/>
      <c r="Y399" s="268"/>
      <c r="Z399" s="268"/>
      <c r="AA399" s="268"/>
      <c r="AB399" s="268"/>
      <c r="AC399" s="268"/>
      <c r="AD399" s="268"/>
      <c r="AE399" s="268"/>
    </row>
    <row r="400" spans="1:31" ht="24.75" customHeight="1">
      <c r="A400" s="268"/>
      <c r="B400" s="268"/>
      <c r="C400" s="268"/>
      <c r="D400" s="268"/>
      <c r="E400" s="268"/>
      <c r="F400" s="268"/>
      <c r="G400" s="268"/>
      <c r="H400" s="268"/>
      <c r="I400" s="268"/>
      <c r="J400" s="268"/>
      <c r="K400" s="268"/>
      <c r="L400" s="309"/>
      <c r="M400" s="268"/>
      <c r="N400" s="268"/>
      <c r="O400" s="310"/>
      <c r="P400" s="268"/>
      <c r="Q400" s="309"/>
      <c r="R400" s="268"/>
      <c r="S400" s="313"/>
      <c r="T400" s="313"/>
      <c r="U400" s="268"/>
      <c r="V400" s="309"/>
      <c r="W400" s="310"/>
      <c r="X400" s="268"/>
      <c r="Y400" s="268"/>
      <c r="Z400" s="268"/>
      <c r="AA400" s="268"/>
      <c r="AB400" s="268"/>
      <c r="AC400" s="268"/>
      <c r="AD400" s="268"/>
      <c r="AE400" s="268"/>
    </row>
    <row r="401" spans="1:31" ht="24.75" customHeight="1">
      <c r="A401" s="268"/>
      <c r="B401" s="268"/>
      <c r="C401" s="268"/>
      <c r="D401" s="268"/>
      <c r="E401" s="268"/>
      <c r="F401" s="268"/>
      <c r="G401" s="268"/>
      <c r="H401" s="268"/>
      <c r="I401" s="268"/>
      <c r="J401" s="268"/>
      <c r="K401" s="268"/>
      <c r="L401" s="309"/>
      <c r="M401" s="268"/>
      <c r="N401" s="268"/>
      <c r="O401" s="310"/>
      <c r="P401" s="268"/>
      <c r="Q401" s="309"/>
      <c r="R401" s="268"/>
      <c r="S401" s="313"/>
      <c r="T401" s="313"/>
      <c r="U401" s="268"/>
      <c r="V401" s="309"/>
      <c r="W401" s="310"/>
      <c r="X401" s="268"/>
      <c r="Y401" s="268"/>
      <c r="Z401" s="268"/>
      <c r="AA401" s="268"/>
      <c r="AB401" s="268"/>
      <c r="AC401" s="268"/>
      <c r="AD401" s="268"/>
      <c r="AE401" s="268"/>
    </row>
    <row r="402" spans="1:31" ht="24.75" customHeight="1">
      <c r="A402" s="268"/>
      <c r="B402" s="268"/>
      <c r="C402" s="268"/>
      <c r="D402" s="268"/>
      <c r="E402" s="268"/>
      <c r="F402" s="268"/>
      <c r="G402" s="268"/>
      <c r="H402" s="268"/>
      <c r="I402" s="268"/>
      <c r="J402" s="268"/>
      <c r="K402" s="268"/>
      <c r="L402" s="309"/>
      <c r="M402" s="268"/>
      <c r="N402" s="268"/>
      <c r="O402" s="310"/>
      <c r="P402" s="268"/>
      <c r="Q402" s="309"/>
      <c r="R402" s="268"/>
      <c r="S402" s="313"/>
      <c r="T402" s="313"/>
      <c r="U402" s="268"/>
      <c r="V402" s="309"/>
      <c r="W402" s="310"/>
      <c r="X402" s="268"/>
      <c r="Y402" s="268"/>
      <c r="Z402" s="268"/>
      <c r="AA402" s="268"/>
      <c r="AB402" s="268"/>
      <c r="AC402" s="268"/>
      <c r="AD402" s="268"/>
      <c r="AE402" s="268"/>
    </row>
    <row r="403" spans="1:31" ht="24.75" customHeight="1">
      <c r="A403" s="268"/>
      <c r="B403" s="268"/>
      <c r="C403" s="268"/>
      <c r="D403" s="268"/>
      <c r="E403" s="268"/>
      <c r="F403" s="268"/>
      <c r="G403" s="268"/>
      <c r="H403" s="268"/>
      <c r="I403" s="268"/>
      <c r="J403" s="268"/>
      <c r="K403" s="268"/>
      <c r="L403" s="309"/>
      <c r="M403" s="268"/>
      <c r="N403" s="268"/>
      <c r="O403" s="310"/>
      <c r="P403" s="268"/>
      <c r="Q403" s="309"/>
      <c r="R403" s="268"/>
      <c r="S403" s="313"/>
      <c r="T403" s="313"/>
      <c r="U403" s="268"/>
      <c r="V403" s="309"/>
      <c r="W403" s="310"/>
      <c r="X403" s="268"/>
      <c r="Y403" s="268"/>
      <c r="Z403" s="268"/>
      <c r="AA403" s="268"/>
      <c r="AB403" s="268"/>
      <c r="AC403" s="268"/>
      <c r="AD403" s="268"/>
      <c r="AE403" s="268"/>
    </row>
    <row r="404" spans="1:31" ht="24.75" customHeight="1">
      <c r="A404" s="268"/>
      <c r="B404" s="268"/>
      <c r="C404" s="268"/>
      <c r="D404" s="268"/>
      <c r="E404" s="268"/>
      <c r="F404" s="268"/>
      <c r="G404" s="268"/>
      <c r="H404" s="268"/>
      <c r="I404" s="268"/>
      <c r="J404" s="268"/>
      <c r="K404" s="268"/>
      <c r="L404" s="309"/>
      <c r="M404" s="268"/>
      <c r="N404" s="268"/>
      <c r="O404" s="310"/>
      <c r="P404" s="268"/>
      <c r="Q404" s="309"/>
      <c r="R404" s="268"/>
      <c r="S404" s="313"/>
      <c r="T404" s="313"/>
      <c r="U404" s="268"/>
      <c r="V404" s="309"/>
      <c r="W404" s="310"/>
      <c r="X404" s="268"/>
      <c r="Y404" s="268"/>
      <c r="Z404" s="268"/>
      <c r="AA404" s="268"/>
      <c r="AB404" s="268"/>
      <c r="AC404" s="268"/>
      <c r="AD404" s="268"/>
      <c r="AE404" s="268"/>
    </row>
    <row r="405" spans="1:31" ht="24.75" customHeight="1">
      <c r="A405" s="268"/>
      <c r="B405" s="268"/>
      <c r="C405" s="268"/>
      <c r="D405" s="268"/>
      <c r="E405" s="268"/>
      <c r="F405" s="268"/>
      <c r="G405" s="268"/>
      <c r="H405" s="268"/>
      <c r="I405" s="268"/>
      <c r="J405" s="268"/>
      <c r="K405" s="268"/>
      <c r="L405" s="309"/>
      <c r="M405" s="268"/>
      <c r="N405" s="268"/>
      <c r="O405" s="310"/>
      <c r="P405" s="268"/>
      <c r="Q405" s="309"/>
      <c r="R405" s="268"/>
      <c r="S405" s="313"/>
      <c r="T405" s="313"/>
      <c r="U405" s="268"/>
      <c r="V405" s="309"/>
      <c r="W405" s="310"/>
      <c r="X405" s="268"/>
      <c r="Y405" s="268"/>
      <c r="Z405" s="268"/>
      <c r="AA405" s="268"/>
      <c r="AB405" s="268"/>
      <c r="AC405" s="268"/>
      <c r="AD405" s="268"/>
      <c r="AE405" s="268"/>
    </row>
    <row r="406" spans="1:31" ht="24.75" customHeight="1">
      <c r="A406" s="268"/>
      <c r="B406" s="268"/>
      <c r="C406" s="268"/>
      <c r="D406" s="268"/>
      <c r="E406" s="268"/>
      <c r="F406" s="268"/>
      <c r="G406" s="268"/>
      <c r="H406" s="268"/>
      <c r="I406" s="268"/>
      <c r="J406" s="268"/>
      <c r="K406" s="268"/>
      <c r="L406" s="309"/>
      <c r="M406" s="268"/>
      <c r="N406" s="268"/>
      <c r="O406" s="310"/>
      <c r="P406" s="268"/>
      <c r="Q406" s="309"/>
      <c r="R406" s="268"/>
      <c r="S406" s="313"/>
      <c r="T406" s="313"/>
      <c r="U406" s="268"/>
      <c r="V406" s="309"/>
      <c r="W406" s="310"/>
      <c r="X406" s="268"/>
      <c r="Y406" s="268"/>
      <c r="Z406" s="268"/>
      <c r="AA406" s="268"/>
      <c r="AB406" s="268"/>
      <c r="AC406" s="268"/>
      <c r="AD406" s="268"/>
      <c r="AE406" s="268"/>
    </row>
    <row r="407" spans="1:31" ht="24.75" customHeight="1">
      <c r="A407" s="268"/>
      <c r="B407" s="268"/>
      <c r="C407" s="268"/>
      <c r="D407" s="268"/>
      <c r="E407" s="268"/>
      <c r="F407" s="268"/>
      <c r="G407" s="268"/>
      <c r="H407" s="268"/>
      <c r="I407" s="268"/>
      <c r="J407" s="268"/>
      <c r="K407" s="268"/>
      <c r="L407" s="309"/>
      <c r="M407" s="268"/>
      <c r="N407" s="268"/>
      <c r="O407" s="310"/>
      <c r="P407" s="268"/>
      <c r="Q407" s="309"/>
      <c r="R407" s="268"/>
      <c r="S407" s="313"/>
      <c r="T407" s="313"/>
      <c r="U407" s="268"/>
      <c r="V407" s="309"/>
      <c r="W407" s="310"/>
      <c r="X407" s="268"/>
      <c r="Y407" s="268"/>
      <c r="Z407" s="268"/>
      <c r="AA407" s="268"/>
      <c r="AB407" s="268"/>
      <c r="AC407" s="268"/>
      <c r="AD407" s="268"/>
      <c r="AE407" s="268"/>
    </row>
    <row r="408" spans="1:31" ht="24.75" customHeight="1">
      <c r="A408" s="268"/>
      <c r="B408" s="268"/>
      <c r="C408" s="268"/>
      <c r="D408" s="268"/>
      <c r="E408" s="268"/>
      <c r="F408" s="268"/>
      <c r="G408" s="268"/>
      <c r="H408" s="268"/>
      <c r="I408" s="268"/>
      <c r="J408" s="268"/>
      <c r="K408" s="268"/>
      <c r="L408" s="309"/>
      <c r="M408" s="268"/>
      <c r="N408" s="268"/>
      <c r="O408" s="310"/>
      <c r="P408" s="268"/>
      <c r="Q408" s="309"/>
      <c r="R408" s="268"/>
      <c r="S408" s="313"/>
      <c r="T408" s="313"/>
      <c r="U408" s="268"/>
      <c r="V408" s="309"/>
      <c r="W408" s="310"/>
      <c r="X408" s="268"/>
      <c r="Y408" s="268"/>
      <c r="Z408" s="268"/>
      <c r="AA408" s="268"/>
      <c r="AB408" s="268"/>
      <c r="AC408" s="268"/>
      <c r="AD408" s="268"/>
      <c r="AE408" s="268"/>
    </row>
    <row r="409" spans="1:31" ht="24.75" customHeight="1">
      <c r="A409" s="268"/>
      <c r="B409" s="268"/>
      <c r="C409" s="268"/>
      <c r="D409" s="268"/>
      <c r="E409" s="268"/>
      <c r="F409" s="268"/>
      <c r="G409" s="268"/>
      <c r="H409" s="268"/>
      <c r="I409" s="268"/>
      <c r="J409" s="268"/>
      <c r="K409" s="268"/>
      <c r="L409" s="309"/>
      <c r="M409" s="268"/>
      <c r="N409" s="268"/>
      <c r="O409" s="310"/>
      <c r="P409" s="268"/>
      <c r="Q409" s="309"/>
      <c r="R409" s="268"/>
      <c r="S409" s="313"/>
      <c r="T409" s="313"/>
      <c r="U409" s="268"/>
      <c r="V409" s="309"/>
      <c r="W409" s="310"/>
      <c r="X409" s="268"/>
      <c r="Y409" s="268"/>
      <c r="Z409" s="268"/>
      <c r="AA409" s="268"/>
      <c r="AB409" s="268"/>
      <c r="AC409" s="268"/>
      <c r="AD409" s="268"/>
      <c r="AE409" s="268"/>
    </row>
    <row r="410" spans="1:31" ht="24.75" customHeight="1">
      <c r="A410" s="268"/>
      <c r="B410" s="268"/>
      <c r="C410" s="268"/>
      <c r="D410" s="268"/>
      <c r="E410" s="268"/>
      <c r="F410" s="268"/>
      <c r="G410" s="268"/>
      <c r="H410" s="268"/>
      <c r="I410" s="268"/>
      <c r="J410" s="268"/>
      <c r="K410" s="268"/>
      <c r="L410" s="309"/>
      <c r="M410" s="268"/>
      <c r="N410" s="268"/>
      <c r="O410" s="310"/>
      <c r="P410" s="268"/>
      <c r="Q410" s="309"/>
      <c r="R410" s="268"/>
      <c r="S410" s="313"/>
      <c r="T410" s="313"/>
      <c r="U410" s="268"/>
      <c r="V410" s="309"/>
      <c r="W410" s="310"/>
      <c r="X410" s="268"/>
      <c r="Y410" s="268"/>
      <c r="Z410" s="268"/>
      <c r="AA410" s="268"/>
      <c r="AB410" s="268"/>
      <c r="AC410" s="268"/>
      <c r="AD410" s="268"/>
      <c r="AE410" s="268"/>
    </row>
    <row r="411" spans="1:31" ht="24.75" customHeight="1">
      <c r="A411" s="268"/>
      <c r="B411" s="268"/>
      <c r="C411" s="268"/>
      <c r="D411" s="268"/>
      <c r="E411" s="268"/>
      <c r="F411" s="268"/>
      <c r="G411" s="268"/>
      <c r="H411" s="268"/>
      <c r="I411" s="268"/>
      <c r="J411" s="268"/>
      <c r="K411" s="268"/>
      <c r="L411" s="309"/>
      <c r="M411" s="268"/>
      <c r="N411" s="268"/>
      <c r="O411" s="310"/>
      <c r="P411" s="268"/>
      <c r="Q411" s="309"/>
      <c r="R411" s="268"/>
      <c r="S411" s="313"/>
      <c r="T411" s="313"/>
      <c r="U411" s="268"/>
      <c r="V411" s="309"/>
      <c r="W411" s="310"/>
      <c r="X411" s="268"/>
      <c r="Y411" s="268"/>
      <c r="Z411" s="268"/>
      <c r="AA411" s="268"/>
      <c r="AB411" s="268"/>
      <c r="AC411" s="268"/>
      <c r="AD411" s="268"/>
      <c r="AE411" s="268"/>
    </row>
    <row r="412" spans="1:31" ht="24.75" customHeight="1">
      <c r="A412" s="268"/>
      <c r="B412" s="268"/>
      <c r="C412" s="268"/>
      <c r="D412" s="268"/>
      <c r="E412" s="268"/>
      <c r="F412" s="268"/>
      <c r="G412" s="268"/>
      <c r="H412" s="268"/>
      <c r="I412" s="268"/>
      <c r="J412" s="268"/>
      <c r="K412" s="268"/>
      <c r="L412" s="309"/>
      <c r="M412" s="268"/>
      <c r="N412" s="268"/>
      <c r="O412" s="310"/>
      <c r="P412" s="268"/>
      <c r="Q412" s="309"/>
      <c r="R412" s="268"/>
      <c r="S412" s="313"/>
      <c r="T412" s="313"/>
      <c r="U412" s="268"/>
      <c r="V412" s="309"/>
      <c r="W412" s="310"/>
      <c r="X412" s="268"/>
      <c r="Y412" s="268"/>
      <c r="Z412" s="268"/>
      <c r="AA412" s="268"/>
      <c r="AB412" s="268"/>
      <c r="AC412" s="268"/>
      <c r="AD412" s="268"/>
      <c r="AE412" s="268"/>
    </row>
    <row r="413" spans="1:31" ht="24.75" customHeight="1">
      <c r="A413" s="268"/>
      <c r="B413" s="268"/>
      <c r="C413" s="268"/>
      <c r="D413" s="268"/>
      <c r="E413" s="268"/>
      <c r="F413" s="268"/>
      <c r="G413" s="268"/>
      <c r="H413" s="268"/>
      <c r="I413" s="268"/>
      <c r="J413" s="268"/>
      <c r="K413" s="268"/>
      <c r="L413" s="309"/>
      <c r="M413" s="268"/>
      <c r="N413" s="268"/>
      <c r="O413" s="310"/>
      <c r="P413" s="268"/>
      <c r="Q413" s="309"/>
      <c r="R413" s="268"/>
      <c r="S413" s="313"/>
      <c r="T413" s="313"/>
      <c r="U413" s="268"/>
      <c r="V413" s="309"/>
      <c r="W413" s="310"/>
      <c r="X413" s="268"/>
      <c r="Y413" s="268"/>
      <c r="Z413" s="268"/>
      <c r="AA413" s="268"/>
      <c r="AB413" s="268"/>
      <c r="AC413" s="268"/>
      <c r="AD413" s="268"/>
      <c r="AE413" s="268"/>
    </row>
    <row r="414" spans="1:31" ht="24.75" customHeight="1">
      <c r="A414" s="268"/>
      <c r="B414" s="268"/>
      <c r="C414" s="268"/>
      <c r="D414" s="268"/>
      <c r="E414" s="268"/>
      <c r="F414" s="268"/>
      <c r="G414" s="268"/>
      <c r="H414" s="268"/>
      <c r="I414" s="268"/>
      <c r="J414" s="268"/>
      <c r="K414" s="268"/>
      <c r="L414" s="309"/>
      <c r="M414" s="268"/>
      <c r="N414" s="268"/>
      <c r="O414" s="310"/>
      <c r="P414" s="268"/>
      <c r="Q414" s="309"/>
      <c r="R414" s="268"/>
      <c r="S414" s="313"/>
      <c r="T414" s="313"/>
      <c r="U414" s="268"/>
      <c r="V414" s="309"/>
      <c r="W414" s="310"/>
      <c r="X414" s="268"/>
      <c r="Y414" s="268"/>
      <c r="Z414" s="268"/>
      <c r="AA414" s="268"/>
      <c r="AB414" s="268"/>
      <c r="AC414" s="268"/>
      <c r="AD414" s="268"/>
      <c r="AE414" s="268"/>
    </row>
    <row r="415" spans="1:31" ht="24.75" customHeight="1">
      <c r="A415" s="268"/>
      <c r="B415" s="268"/>
      <c r="C415" s="268"/>
      <c r="D415" s="268"/>
      <c r="E415" s="268"/>
      <c r="F415" s="268"/>
      <c r="G415" s="268"/>
      <c r="H415" s="268"/>
      <c r="I415" s="268"/>
      <c r="J415" s="268"/>
      <c r="K415" s="268"/>
      <c r="L415" s="309"/>
      <c r="M415" s="268"/>
      <c r="N415" s="268"/>
      <c r="O415" s="310"/>
      <c r="P415" s="268"/>
      <c r="Q415" s="309"/>
      <c r="R415" s="268"/>
      <c r="S415" s="313"/>
      <c r="T415" s="313"/>
      <c r="U415" s="268"/>
      <c r="V415" s="309"/>
      <c r="W415" s="310"/>
      <c r="X415" s="268"/>
      <c r="Y415" s="268"/>
      <c r="Z415" s="268"/>
      <c r="AA415" s="268"/>
      <c r="AB415" s="268"/>
      <c r="AC415" s="268"/>
      <c r="AD415" s="268"/>
      <c r="AE415" s="268"/>
    </row>
    <row r="416" spans="1:31" ht="24.75" customHeight="1">
      <c r="A416" s="268"/>
      <c r="B416" s="268"/>
      <c r="C416" s="268"/>
      <c r="D416" s="268"/>
      <c r="E416" s="268"/>
      <c r="F416" s="268"/>
      <c r="G416" s="268"/>
      <c r="H416" s="268"/>
      <c r="I416" s="268"/>
      <c r="J416" s="268"/>
      <c r="K416" s="268"/>
      <c r="L416" s="309"/>
      <c r="M416" s="268"/>
      <c r="N416" s="268"/>
      <c r="O416" s="310"/>
      <c r="P416" s="268"/>
      <c r="Q416" s="309"/>
      <c r="R416" s="268"/>
      <c r="S416" s="313"/>
      <c r="T416" s="313"/>
      <c r="U416" s="268"/>
      <c r="V416" s="309"/>
      <c r="W416" s="310"/>
      <c r="X416" s="268"/>
      <c r="Y416" s="268"/>
      <c r="Z416" s="268"/>
      <c r="AA416" s="268"/>
      <c r="AB416" s="268"/>
      <c r="AC416" s="268"/>
      <c r="AD416" s="268"/>
      <c r="AE416" s="268"/>
    </row>
    <row r="417" spans="1:31" ht="24.75" customHeight="1">
      <c r="A417" s="268"/>
      <c r="B417" s="268"/>
      <c r="C417" s="268"/>
      <c r="D417" s="268"/>
      <c r="E417" s="268"/>
      <c r="F417" s="268"/>
      <c r="G417" s="268"/>
      <c r="H417" s="268"/>
      <c r="I417" s="268"/>
      <c r="J417" s="268"/>
      <c r="K417" s="268"/>
      <c r="L417" s="309"/>
      <c r="M417" s="268"/>
      <c r="N417" s="268"/>
      <c r="O417" s="310"/>
      <c r="P417" s="268"/>
      <c r="Q417" s="309"/>
      <c r="R417" s="268"/>
      <c r="S417" s="313"/>
      <c r="T417" s="313"/>
      <c r="U417" s="268"/>
      <c r="V417" s="309"/>
      <c r="W417" s="310"/>
      <c r="X417" s="268"/>
      <c r="Y417" s="268"/>
      <c r="Z417" s="268"/>
      <c r="AA417" s="268"/>
      <c r="AB417" s="268"/>
      <c r="AC417" s="268"/>
      <c r="AD417" s="268"/>
      <c r="AE417" s="268"/>
    </row>
    <row r="418" spans="1:31" ht="24.75" customHeight="1">
      <c r="A418" s="268"/>
      <c r="B418" s="268"/>
      <c r="C418" s="268"/>
      <c r="D418" s="268"/>
      <c r="E418" s="268"/>
      <c r="F418" s="268"/>
      <c r="G418" s="268"/>
      <c r="H418" s="268"/>
      <c r="I418" s="268"/>
      <c r="J418" s="268"/>
      <c r="K418" s="268"/>
      <c r="L418" s="309"/>
      <c r="M418" s="268"/>
      <c r="N418" s="268"/>
      <c r="O418" s="310"/>
      <c r="P418" s="268"/>
      <c r="Q418" s="309"/>
      <c r="R418" s="268"/>
      <c r="S418" s="313"/>
      <c r="T418" s="313"/>
      <c r="U418" s="268"/>
      <c r="V418" s="309"/>
      <c r="W418" s="310"/>
      <c r="X418" s="268"/>
      <c r="Y418" s="268"/>
      <c r="Z418" s="268"/>
      <c r="AA418" s="268"/>
      <c r="AB418" s="268"/>
      <c r="AC418" s="268"/>
      <c r="AD418" s="268"/>
      <c r="AE418" s="268"/>
    </row>
    <row r="419" spans="1:31" ht="24.75" customHeight="1">
      <c r="A419" s="268"/>
      <c r="B419" s="268"/>
      <c r="C419" s="268"/>
      <c r="D419" s="268"/>
      <c r="E419" s="268"/>
      <c r="F419" s="268"/>
      <c r="G419" s="268"/>
      <c r="H419" s="268"/>
      <c r="I419" s="268"/>
      <c r="J419" s="268"/>
      <c r="K419" s="268"/>
      <c r="L419" s="309"/>
      <c r="M419" s="268"/>
      <c r="N419" s="268"/>
      <c r="O419" s="310"/>
      <c r="P419" s="268"/>
      <c r="Q419" s="309"/>
      <c r="R419" s="268"/>
      <c r="S419" s="313"/>
      <c r="T419" s="313"/>
      <c r="U419" s="268"/>
      <c r="V419" s="309"/>
      <c r="W419" s="310"/>
      <c r="X419" s="268"/>
      <c r="Y419" s="268"/>
      <c r="Z419" s="268"/>
      <c r="AA419" s="268"/>
      <c r="AB419" s="268"/>
      <c r="AC419" s="268"/>
      <c r="AD419" s="268"/>
      <c r="AE419" s="268"/>
    </row>
    <row r="420" spans="1:31" ht="24.75" customHeight="1">
      <c r="A420" s="268"/>
      <c r="B420" s="268"/>
      <c r="C420" s="268"/>
      <c r="D420" s="268"/>
      <c r="E420" s="268"/>
      <c r="F420" s="268"/>
      <c r="G420" s="268"/>
      <c r="H420" s="268"/>
      <c r="I420" s="268"/>
      <c r="J420" s="268"/>
      <c r="K420" s="268"/>
      <c r="L420" s="309"/>
      <c r="M420" s="268"/>
      <c r="N420" s="268"/>
      <c r="O420" s="310"/>
      <c r="P420" s="268"/>
      <c r="Q420" s="309"/>
      <c r="R420" s="268"/>
      <c r="S420" s="313"/>
      <c r="T420" s="313"/>
      <c r="U420" s="268"/>
      <c r="V420" s="309"/>
      <c r="W420" s="310"/>
      <c r="X420" s="268"/>
      <c r="Y420" s="268"/>
      <c r="Z420" s="268"/>
      <c r="AA420" s="268"/>
      <c r="AB420" s="268"/>
      <c r="AC420" s="268"/>
      <c r="AD420" s="268"/>
      <c r="AE420" s="268"/>
    </row>
    <row r="421" spans="1:31" ht="24.75" customHeight="1">
      <c r="A421" s="268"/>
      <c r="B421" s="268"/>
      <c r="C421" s="268"/>
      <c r="D421" s="268"/>
      <c r="E421" s="268"/>
      <c r="F421" s="268"/>
      <c r="G421" s="268"/>
      <c r="H421" s="268"/>
      <c r="I421" s="268"/>
      <c r="J421" s="268"/>
      <c r="K421" s="268"/>
      <c r="L421" s="309"/>
      <c r="M421" s="268"/>
      <c r="N421" s="268"/>
      <c r="O421" s="310"/>
      <c r="P421" s="268"/>
      <c r="Q421" s="309"/>
      <c r="R421" s="268"/>
      <c r="S421" s="313"/>
      <c r="T421" s="313"/>
      <c r="U421" s="268"/>
      <c r="V421" s="309"/>
      <c r="W421" s="310"/>
      <c r="X421" s="268"/>
      <c r="Y421" s="268"/>
      <c r="Z421" s="268"/>
      <c r="AA421" s="268"/>
      <c r="AB421" s="268"/>
      <c r="AC421" s="268"/>
      <c r="AD421" s="268"/>
      <c r="AE421" s="268"/>
    </row>
    <row r="422" spans="1:31" ht="24.75" customHeight="1">
      <c r="A422" s="268"/>
      <c r="B422" s="268"/>
      <c r="C422" s="268"/>
      <c r="D422" s="268"/>
      <c r="E422" s="268"/>
      <c r="F422" s="268"/>
      <c r="G422" s="268"/>
      <c r="H422" s="268"/>
      <c r="I422" s="268"/>
      <c r="J422" s="268"/>
      <c r="K422" s="268"/>
      <c r="L422" s="309"/>
      <c r="M422" s="268"/>
      <c r="N422" s="268"/>
      <c r="O422" s="310"/>
      <c r="P422" s="268"/>
      <c r="Q422" s="309"/>
      <c r="R422" s="268"/>
      <c r="S422" s="313"/>
      <c r="T422" s="313"/>
      <c r="U422" s="268"/>
      <c r="V422" s="309"/>
      <c r="W422" s="310"/>
      <c r="X422" s="268"/>
      <c r="Y422" s="268"/>
      <c r="Z422" s="268"/>
      <c r="AA422" s="268"/>
      <c r="AB422" s="268"/>
      <c r="AC422" s="268"/>
      <c r="AD422" s="268"/>
      <c r="AE422" s="268"/>
    </row>
    <row r="423" spans="1:31" ht="24.75" customHeight="1">
      <c r="A423" s="268"/>
      <c r="B423" s="268"/>
      <c r="C423" s="268"/>
      <c r="D423" s="268"/>
      <c r="E423" s="268"/>
      <c r="F423" s="268"/>
      <c r="G423" s="268"/>
      <c r="H423" s="268"/>
      <c r="I423" s="268"/>
      <c r="J423" s="268"/>
      <c r="K423" s="268"/>
      <c r="L423" s="309"/>
      <c r="M423" s="268"/>
      <c r="N423" s="268"/>
      <c r="O423" s="310"/>
      <c r="P423" s="268"/>
      <c r="Q423" s="309"/>
      <c r="R423" s="268"/>
      <c r="S423" s="313"/>
      <c r="T423" s="313"/>
      <c r="U423" s="268"/>
      <c r="V423" s="309"/>
      <c r="W423" s="310"/>
      <c r="X423" s="268"/>
      <c r="Y423" s="268"/>
      <c r="Z423" s="268"/>
      <c r="AA423" s="268"/>
      <c r="AB423" s="268"/>
      <c r="AC423" s="268"/>
      <c r="AD423" s="268"/>
      <c r="AE423" s="268"/>
    </row>
    <row r="424" spans="1:31" ht="24.75" customHeight="1">
      <c r="A424" s="268"/>
      <c r="B424" s="268"/>
      <c r="C424" s="268"/>
      <c r="D424" s="268"/>
      <c r="E424" s="268"/>
      <c r="F424" s="268"/>
      <c r="G424" s="268"/>
      <c r="H424" s="268"/>
      <c r="I424" s="268"/>
      <c r="J424" s="268"/>
      <c r="K424" s="268"/>
      <c r="L424" s="309"/>
      <c r="M424" s="268"/>
      <c r="N424" s="268"/>
      <c r="O424" s="310"/>
      <c r="P424" s="268"/>
      <c r="Q424" s="309"/>
      <c r="R424" s="268"/>
      <c r="S424" s="313"/>
      <c r="T424" s="313"/>
      <c r="U424" s="268"/>
      <c r="V424" s="309"/>
      <c r="W424" s="310"/>
      <c r="X424" s="268"/>
      <c r="Y424" s="268"/>
      <c r="Z424" s="268"/>
      <c r="AA424" s="268"/>
      <c r="AB424" s="268"/>
      <c r="AC424" s="268"/>
      <c r="AD424" s="268"/>
      <c r="AE424" s="268"/>
    </row>
    <row r="425" spans="1:31" ht="24.75" customHeight="1">
      <c r="A425" s="268"/>
      <c r="B425" s="268"/>
      <c r="C425" s="268"/>
      <c r="D425" s="268"/>
      <c r="E425" s="268"/>
      <c r="F425" s="268"/>
      <c r="G425" s="268"/>
      <c r="H425" s="268"/>
      <c r="I425" s="268"/>
      <c r="J425" s="268"/>
      <c r="K425" s="268"/>
      <c r="L425" s="309"/>
      <c r="M425" s="268"/>
      <c r="N425" s="268"/>
      <c r="O425" s="310"/>
      <c r="P425" s="268"/>
      <c r="Q425" s="309"/>
      <c r="R425" s="268"/>
      <c r="S425" s="313"/>
      <c r="T425" s="313"/>
      <c r="U425" s="268"/>
      <c r="V425" s="309"/>
      <c r="W425" s="310"/>
      <c r="X425" s="268"/>
      <c r="Y425" s="268"/>
      <c r="Z425" s="268"/>
      <c r="AA425" s="268"/>
      <c r="AB425" s="268"/>
      <c r="AC425" s="268"/>
      <c r="AD425" s="268"/>
      <c r="AE425" s="268"/>
    </row>
    <row r="426" spans="1:31" ht="24.75" customHeight="1">
      <c r="A426" s="268"/>
      <c r="B426" s="268"/>
      <c r="C426" s="268"/>
      <c r="D426" s="268"/>
      <c r="E426" s="268"/>
      <c r="F426" s="268"/>
      <c r="G426" s="268"/>
      <c r="H426" s="268"/>
      <c r="I426" s="268"/>
      <c r="J426" s="268"/>
      <c r="K426" s="268"/>
      <c r="L426" s="309"/>
      <c r="M426" s="268"/>
      <c r="N426" s="268"/>
      <c r="O426" s="310"/>
      <c r="P426" s="268"/>
      <c r="Q426" s="309"/>
      <c r="R426" s="268"/>
      <c r="S426" s="313"/>
      <c r="T426" s="313"/>
      <c r="U426" s="268"/>
      <c r="V426" s="309"/>
      <c r="W426" s="310"/>
      <c r="X426" s="268"/>
      <c r="Y426" s="268"/>
      <c r="Z426" s="268"/>
      <c r="AA426" s="268"/>
      <c r="AB426" s="268"/>
      <c r="AC426" s="268"/>
      <c r="AD426" s="268"/>
      <c r="AE426" s="268"/>
    </row>
    <row r="427" spans="1:31" ht="24.75" customHeight="1">
      <c r="A427" s="268"/>
      <c r="B427" s="268"/>
      <c r="C427" s="268"/>
      <c r="D427" s="268"/>
      <c r="E427" s="268"/>
      <c r="F427" s="268"/>
      <c r="G427" s="268"/>
      <c r="H427" s="268"/>
      <c r="I427" s="268"/>
      <c r="J427" s="268"/>
      <c r="K427" s="268"/>
      <c r="L427" s="309"/>
      <c r="M427" s="268"/>
      <c r="N427" s="268"/>
      <c r="O427" s="310"/>
      <c r="P427" s="268"/>
      <c r="Q427" s="309"/>
      <c r="R427" s="268"/>
      <c r="S427" s="313"/>
      <c r="T427" s="313"/>
      <c r="U427" s="268"/>
      <c r="V427" s="309"/>
      <c r="W427" s="310"/>
      <c r="X427" s="268"/>
      <c r="Y427" s="268"/>
      <c r="Z427" s="268"/>
      <c r="AA427" s="268"/>
      <c r="AB427" s="268"/>
      <c r="AC427" s="268"/>
      <c r="AD427" s="268"/>
      <c r="AE427" s="268"/>
    </row>
    <row r="428" spans="1:31" ht="24.75" customHeight="1">
      <c r="A428" s="268"/>
      <c r="B428" s="268"/>
      <c r="C428" s="268"/>
      <c r="D428" s="268"/>
      <c r="E428" s="268"/>
      <c r="F428" s="268"/>
      <c r="G428" s="268"/>
      <c r="H428" s="268"/>
      <c r="I428" s="268"/>
      <c r="J428" s="268"/>
      <c r="K428" s="268"/>
      <c r="L428" s="309"/>
      <c r="M428" s="268"/>
      <c r="N428" s="268"/>
      <c r="O428" s="310"/>
      <c r="P428" s="268"/>
      <c r="Q428" s="309"/>
      <c r="R428" s="268"/>
      <c r="S428" s="313"/>
      <c r="T428" s="313"/>
      <c r="U428" s="268"/>
      <c r="V428" s="309"/>
      <c r="W428" s="310"/>
      <c r="X428" s="268"/>
      <c r="Y428" s="268"/>
      <c r="Z428" s="268"/>
      <c r="AA428" s="268"/>
      <c r="AB428" s="268"/>
      <c r="AC428" s="268"/>
      <c r="AD428" s="268"/>
      <c r="AE428" s="268"/>
    </row>
    <row r="429" spans="1:31" ht="24.75" customHeight="1">
      <c r="A429" s="268"/>
      <c r="B429" s="268"/>
      <c r="C429" s="268"/>
      <c r="D429" s="268"/>
      <c r="E429" s="268"/>
      <c r="F429" s="268"/>
      <c r="G429" s="268"/>
      <c r="H429" s="268"/>
      <c r="I429" s="268"/>
      <c r="J429" s="268"/>
      <c r="K429" s="268"/>
      <c r="L429" s="309"/>
      <c r="M429" s="268"/>
      <c r="N429" s="268"/>
      <c r="O429" s="310"/>
      <c r="P429" s="268"/>
      <c r="Q429" s="309"/>
      <c r="R429" s="268"/>
      <c r="S429" s="313"/>
      <c r="T429" s="313"/>
      <c r="U429" s="268"/>
      <c r="V429" s="309"/>
      <c r="W429" s="310"/>
      <c r="X429" s="268"/>
      <c r="Y429" s="268"/>
      <c r="Z429" s="268"/>
      <c r="AA429" s="268"/>
      <c r="AB429" s="268"/>
      <c r="AC429" s="268"/>
      <c r="AD429" s="268"/>
      <c r="AE429" s="268"/>
    </row>
    <row r="430" spans="1:31" ht="24.75" customHeight="1">
      <c r="A430" s="268"/>
      <c r="B430" s="268"/>
      <c r="C430" s="268"/>
      <c r="D430" s="268"/>
      <c r="E430" s="268"/>
      <c r="F430" s="268"/>
      <c r="G430" s="268"/>
      <c r="H430" s="268"/>
      <c r="I430" s="268"/>
      <c r="J430" s="268"/>
      <c r="K430" s="268"/>
      <c r="L430" s="309"/>
      <c r="M430" s="268"/>
      <c r="N430" s="268"/>
      <c r="O430" s="310"/>
      <c r="P430" s="268"/>
      <c r="Q430" s="309"/>
      <c r="R430" s="268"/>
      <c r="S430" s="313"/>
      <c r="T430" s="313"/>
      <c r="U430" s="268"/>
      <c r="V430" s="309"/>
      <c r="W430" s="310"/>
      <c r="X430" s="268"/>
      <c r="Y430" s="268"/>
      <c r="Z430" s="268"/>
      <c r="AA430" s="268"/>
      <c r="AB430" s="268"/>
      <c r="AC430" s="268"/>
      <c r="AD430" s="268"/>
      <c r="AE430" s="268"/>
    </row>
    <row r="431" spans="1:31" ht="24.75" customHeight="1">
      <c r="A431" s="268"/>
      <c r="B431" s="268"/>
      <c r="C431" s="268"/>
      <c r="D431" s="268"/>
      <c r="E431" s="268"/>
      <c r="F431" s="268"/>
      <c r="G431" s="268"/>
      <c r="H431" s="268"/>
      <c r="I431" s="268"/>
      <c r="J431" s="268"/>
      <c r="K431" s="268"/>
      <c r="L431" s="309"/>
      <c r="M431" s="268"/>
      <c r="N431" s="268"/>
      <c r="O431" s="310"/>
      <c r="P431" s="268"/>
      <c r="Q431" s="309"/>
      <c r="R431" s="268"/>
      <c r="S431" s="313"/>
      <c r="T431" s="313"/>
      <c r="U431" s="268"/>
      <c r="V431" s="309"/>
      <c r="W431" s="310"/>
      <c r="X431" s="268"/>
      <c r="Y431" s="268"/>
      <c r="Z431" s="268"/>
      <c r="AA431" s="268"/>
      <c r="AB431" s="268"/>
      <c r="AC431" s="268"/>
      <c r="AD431" s="268"/>
      <c r="AE431" s="268"/>
    </row>
    <row r="432" spans="1:31" ht="24.75" customHeight="1">
      <c r="A432" s="268"/>
      <c r="B432" s="268"/>
      <c r="C432" s="268"/>
      <c r="D432" s="268"/>
      <c r="E432" s="268"/>
      <c r="F432" s="268"/>
      <c r="G432" s="268"/>
      <c r="H432" s="268"/>
      <c r="I432" s="268"/>
      <c r="J432" s="268"/>
      <c r="K432" s="268"/>
      <c r="L432" s="309"/>
      <c r="M432" s="268"/>
      <c r="N432" s="268"/>
      <c r="O432" s="310"/>
      <c r="P432" s="268"/>
      <c r="Q432" s="309"/>
      <c r="R432" s="268"/>
      <c r="S432" s="313"/>
      <c r="T432" s="313"/>
      <c r="U432" s="268"/>
      <c r="V432" s="309"/>
      <c r="W432" s="310"/>
      <c r="X432" s="268"/>
      <c r="Y432" s="268"/>
      <c r="Z432" s="268"/>
      <c r="AA432" s="268"/>
      <c r="AB432" s="268"/>
      <c r="AC432" s="268"/>
      <c r="AD432" s="268"/>
      <c r="AE432" s="268"/>
    </row>
    <row r="433" spans="1:31" ht="24.75" customHeight="1">
      <c r="A433" s="268"/>
      <c r="B433" s="268"/>
      <c r="C433" s="268"/>
      <c r="D433" s="268"/>
      <c r="E433" s="268"/>
      <c r="F433" s="268"/>
      <c r="G433" s="268"/>
      <c r="H433" s="268"/>
      <c r="I433" s="268"/>
      <c r="J433" s="268"/>
      <c r="K433" s="268"/>
      <c r="L433" s="309"/>
      <c r="M433" s="268"/>
      <c r="N433" s="268"/>
      <c r="O433" s="310"/>
      <c r="P433" s="268"/>
      <c r="Q433" s="309"/>
      <c r="R433" s="268"/>
      <c r="S433" s="313"/>
      <c r="T433" s="313"/>
      <c r="U433" s="268"/>
      <c r="V433" s="309"/>
      <c r="W433" s="310"/>
      <c r="X433" s="268"/>
      <c r="Y433" s="268"/>
      <c r="Z433" s="268"/>
      <c r="AA433" s="268"/>
      <c r="AB433" s="268"/>
      <c r="AC433" s="268"/>
      <c r="AD433" s="268"/>
      <c r="AE433" s="268"/>
    </row>
    <row r="434" spans="1:31" ht="24.75" customHeight="1">
      <c r="A434" s="268"/>
      <c r="B434" s="268"/>
      <c r="C434" s="268"/>
      <c r="D434" s="268"/>
      <c r="E434" s="268"/>
      <c r="F434" s="268"/>
      <c r="G434" s="268"/>
      <c r="H434" s="268"/>
      <c r="I434" s="268"/>
      <c r="J434" s="268"/>
      <c r="K434" s="268"/>
      <c r="L434" s="309"/>
      <c r="M434" s="268"/>
      <c r="N434" s="268"/>
      <c r="O434" s="310"/>
      <c r="P434" s="268"/>
      <c r="Q434" s="309"/>
      <c r="R434" s="268"/>
      <c r="S434" s="313"/>
      <c r="T434" s="313"/>
      <c r="U434" s="268"/>
      <c r="V434" s="309"/>
      <c r="W434" s="310"/>
      <c r="X434" s="268"/>
      <c r="Y434" s="268"/>
      <c r="Z434" s="268"/>
      <c r="AA434" s="268"/>
      <c r="AB434" s="268"/>
      <c r="AC434" s="268"/>
      <c r="AD434" s="268"/>
      <c r="AE434" s="268"/>
    </row>
    <row r="435" spans="1:31" ht="24.75" customHeight="1">
      <c r="A435" s="268"/>
      <c r="B435" s="268"/>
      <c r="C435" s="268"/>
      <c r="D435" s="268"/>
      <c r="E435" s="268"/>
      <c r="F435" s="268"/>
      <c r="G435" s="268"/>
      <c r="H435" s="268"/>
      <c r="I435" s="268"/>
      <c r="J435" s="268"/>
      <c r="K435" s="268"/>
      <c r="L435" s="309"/>
      <c r="M435" s="268"/>
      <c r="N435" s="268"/>
      <c r="O435" s="310"/>
      <c r="P435" s="268"/>
      <c r="Q435" s="309"/>
      <c r="R435" s="268"/>
      <c r="S435" s="313"/>
      <c r="T435" s="313"/>
      <c r="U435" s="268"/>
      <c r="V435" s="309"/>
      <c r="W435" s="310"/>
      <c r="X435" s="268"/>
      <c r="Y435" s="268"/>
      <c r="Z435" s="268"/>
      <c r="AA435" s="268"/>
      <c r="AB435" s="268"/>
      <c r="AC435" s="268"/>
      <c r="AD435" s="268"/>
      <c r="AE435" s="268"/>
    </row>
    <row r="436" spans="1:31" ht="24.75" customHeight="1">
      <c r="A436" s="268"/>
      <c r="B436" s="268"/>
      <c r="C436" s="268"/>
      <c r="D436" s="268"/>
      <c r="E436" s="268"/>
      <c r="F436" s="268"/>
      <c r="G436" s="268"/>
      <c r="H436" s="268"/>
      <c r="I436" s="268"/>
      <c r="J436" s="268"/>
      <c r="K436" s="268"/>
      <c r="L436" s="309"/>
      <c r="M436" s="268"/>
      <c r="N436" s="268"/>
      <c r="O436" s="310"/>
      <c r="P436" s="268"/>
      <c r="Q436" s="309"/>
      <c r="R436" s="268"/>
      <c r="S436" s="313"/>
      <c r="T436" s="313"/>
      <c r="U436" s="268"/>
      <c r="V436" s="309"/>
      <c r="W436" s="310"/>
      <c r="X436" s="268"/>
      <c r="Y436" s="268"/>
      <c r="Z436" s="268"/>
      <c r="AA436" s="268"/>
      <c r="AB436" s="268"/>
      <c r="AC436" s="268"/>
      <c r="AD436" s="268"/>
      <c r="AE436" s="268"/>
    </row>
    <row r="437" spans="1:31" ht="24.75" customHeight="1">
      <c r="A437" s="268"/>
      <c r="B437" s="268"/>
      <c r="C437" s="268"/>
      <c r="D437" s="268"/>
      <c r="E437" s="268"/>
      <c r="F437" s="268"/>
      <c r="G437" s="268"/>
      <c r="H437" s="268"/>
      <c r="I437" s="268"/>
      <c r="J437" s="268"/>
      <c r="K437" s="268"/>
      <c r="L437" s="309"/>
      <c r="M437" s="268"/>
      <c r="N437" s="268"/>
      <c r="O437" s="310"/>
      <c r="P437" s="268"/>
      <c r="Q437" s="309"/>
      <c r="R437" s="268"/>
      <c r="S437" s="313"/>
      <c r="T437" s="313"/>
      <c r="U437" s="268"/>
      <c r="V437" s="309"/>
      <c r="W437" s="310"/>
      <c r="X437" s="268"/>
      <c r="Y437" s="268"/>
      <c r="Z437" s="268"/>
      <c r="AA437" s="268"/>
      <c r="AB437" s="268"/>
      <c r="AC437" s="268"/>
      <c r="AD437" s="268"/>
      <c r="AE437" s="268"/>
    </row>
    <row r="438" spans="1:31" ht="24.75" customHeight="1">
      <c r="A438" s="268"/>
      <c r="B438" s="268"/>
      <c r="C438" s="268"/>
      <c r="D438" s="268"/>
      <c r="E438" s="268"/>
      <c r="F438" s="268"/>
      <c r="G438" s="268"/>
      <c r="H438" s="268"/>
      <c r="I438" s="268"/>
      <c r="J438" s="268"/>
      <c r="K438" s="268"/>
      <c r="L438" s="309"/>
      <c r="M438" s="268"/>
      <c r="N438" s="268"/>
      <c r="O438" s="310"/>
      <c r="P438" s="268"/>
      <c r="Q438" s="309"/>
      <c r="R438" s="268"/>
      <c r="S438" s="313"/>
      <c r="T438" s="313"/>
      <c r="U438" s="268"/>
      <c r="V438" s="309"/>
      <c r="W438" s="310"/>
      <c r="X438" s="268"/>
      <c r="Y438" s="268"/>
      <c r="Z438" s="268"/>
      <c r="AA438" s="268"/>
      <c r="AB438" s="268"/>
      <c r="AC438" s="268"/>
      <c r="AD438" s="268"/>
      <c r="AE438" s="268"/>
    </row>
    <row r="439" spans="1:31" ht="24.75" customHeight="1">
      <c r="A439" s="268"/>
      <c r="B439" s="268"/>
      <c r="C439" s="268"/>
      <c r="D439" s="268"/>
      <c r="E439" s="268"/>
      <c r="F439" s="268"/>
      <c r="G439" s="268"/>
      <c r="H439" s="268"/>
      <c r="I439" s="268"/>
      <c r="J439" s="268"/>
      <c r="K439" s="268"/>
      <c r="L439" s="309"/>
      <c r="M439" s="268"/>
      <c r="N439" s="268"/>
      <c r="O439" s="310"/>
      <c r="P439" s="268"/>
      <c r="Q439" s="309"/>
      <c r="R439" s="268"/>
      <c r="S439" s="313"/>
      <c r="T439" s="313"/>
      <c r="U439" s="268"/>
      <c r="V439" s="309"/>
      <c r="W439" s="310"/>
      <c r="X439" s="268"/>
      <c r="Y439" s="268"/>
      <c r="Z439" s="268"/>
      <c r="AA439" s="268"/>
      <c r="AB439" s="268"/>
      <c r="AC439" s="268"/>
      <c r="AD439" s="268"/>
      <c r="AE439" s="268"/>
    </row>
    <row r="440" spans="1:31" ht="24.75" customHeight="1">
      <c r="A440" s="268"/>
      <c r="B440" s="268"/>
      <c r="C440" s="268"/>
      <c r="D440" s="268"/>
      <c r="E440" s="268"/>
      <c r="F440" s="268"/>
      <c r="G440" s="268"/>
      <c r="H440" s="268"/>
      <c r="I440" s="268"/>
      <c r="J440" s="268"/>
      <c r="K440" s="268"/>
      <c r="L440" s="309"/>
      <c r="M440" s="268"/>
      <c r="N440" s="268"/>
      <c r="O440" s="310"/>
      <c r="P440" s="268"/>
      <c r="Q440" s="309"/>
      <c r="R440" s="268"/>
      <c r="S440" s="313"/>
      <c r="T440" s="313"/>
      <c r="U440" s="268"/>
      <c r="V440" s="309"/>
      <c r="W440" s="310"/>
      <c r="X440" s="268"/>
      <c r="Y440" s="268"/>
      <c r="Z440" s="268"/>
      <c r="AA440" s="268"/>
      <c r="AB440" s="268"/>
      <c r="AC440" s="268"/>
      <c r="AD440" s="268"/>
      <c r="AE440" s="268"/>
    </row>
    <row r="441" spans="1:31" ht="24.75" customHeight="1">
      <c r="A441" s="268"/>
      <c r="B441" s="268"/>
      <c r="C441" s="268"/>
      <c r="D441" s="268"/>
      <c r="E441" s="268"/>
      <c r="F441" s="268"/>
      <c r="G441" s="268"/>
      <c r="H441" s="268"/>
      <c r="I441" s="268"/>
      <c r="J441" s="268"/>
      <c r="K441" s="268"/>
      <c r="L441" s="309"/>
      <c r="M441" s="268"/>
      <c r="N441" s="268"/>
      <c r="O441" s="310"/>
      <c r="P441" s="268"/>
      <c r="Q441" s="309"/>
      <c r="R441" s="268"/>
      <c r="S441" s="313"/>
      <c r="T441" s="313"/>
      <c r="U441" s="268"/>
      <c r="V441" s="309"/>
      <c r="W441" s="310"/>
      <c r="X441" s="268"/>
      <c r="Y441" s="268"/>
      <c r="Z441" s="268"/>
      <c r="AA441" s="268"/>
      <c r="AB441" s="268"/>
      <c r="AC441" s="268"/>
      <c r="AD441" s="268"/>
      <c r="AE441" s="268"/>
    </row>
    <row r="442" spans="1:31" ht="24.75" customHeight="1">
      <c r="A442" s="268"/>
      <c r="B442" s="268"/>
      <c r="C442" s="268"/>
      <c r="D442" s="268"/>
      <c r="E442" s="268"/>
      <c r="F442" s="268"/>
      <c r="G442" s="268"/>
      <c r="H442" s="268"/>
      <c r="I442" s="268"/>
      <c r="J442" s="268"/>
      <c r="K442" s="268"/>
      <c r="L442" s="309"/>
      <c r="M442" s="268"/>
      <c r="N442" s="268"/>
      <c r="O442" s="310"/>
      <c r="P442" s="268"/>
      <c r="Q442" s="309"/>
      <c r="R442" s="268"/>
      <c r="S442" s="313"/>
      <c r="T442" s="313"/>
      <c r="U442" s="268"/>
      <c r="V442" s="309"/>
      <c r="W442" s="310"/>
      <c r="X442" s="268"/>
      <c r="Y442" s="268"/>
      <c r="Z442" s="268"/>
      <c r="AA442" s="268"/>
      <c r="AB442" s="268"/>
      <c r="AC442" s="268"/>
      <c r="AD442" s="268"/>
      <c r="AE442" s="268"/>
    </row>
    <row r="443" spans="1:31" ht="24.75" customHeight="1">
      <c r="A443" s="268"/>
      <c r="B443" s="268"/>
      <c r="C443" s="268"/>
      <c r="D443" s="268"/>
      <c r="E443" s="268"/>
      <c r="F443" s="268"/>
      <c r="G443" s="268"/>
      <c r="H443" s="268"/>
      <c r="I443" s="268"/>
      <c r="J443" s="268"/>
      <c r="K443" s="268"/>
      <c r="L443" s="309"/>
      <c r="M443" s="268"/>
      <c r="N443" s="268"/>
      <c r="O443" s="310"/>
      <c r="P443" s="268"/>
      <c r="Q443" s="309"/>
      <c r="R443" s="268"/>
      <c r="S443" s="313"/>
      <c r="T443" s="313"/>
      <c r="U443" s="268"/>
      <c r="V443" s="309"/>
      <c r="W443" s="310"/>
      <c r="X443" s="268"/>
      <c r="Y443" s="268"/>
      <c r="Z443" s="268"/>
      <c r="AA443" s="268"/>
      <c r="AB443" s="268"/>
      <c r="AC443" s="268"/>
      <c r="AD443" s="268"/>
      <c r="AE443" s="268"/>
    </row>
    <row r="444" spans="1:31" ht="24.75" customHeight="1">
      <c r="A444" s="268"/>
      <c r="B444" s="268"/>
      <c r="C444" s="268"/>
      <c r="D444" s="268"/>
      <c r="E444" s="268"/>
      <c r="F444" s="268"/>
      <c r="G444" s="268"/>
      <c r="H444" s="268"/>
      <c r="I444" s="268"/>
      <c r="J444" s="268"/>
      <c r="K444" s="268"/>
      <c r="L444" s="309"/>
      <c r="M444" s="268"/>
      <c r="N444" s="268"/>
      <c r="O444" s="310"/>
      <c r="P444" s="268"/>
      <c r="Q444" s="309"/>
      <c r="R444" s="268"/>
      <c r="S444" s="313"/>
      <c r="T444" s="313"/>
      <c r="U444" s="268"/>
      <c r="V444" s="309"/>
      <c r="W444" s="310"/>
      <c r="X444" s="268"/>
      <c r="Y444" s="268"/>
      <c r="Z444" s="268"/>
      <c r="AA444" s="268"/>
      <c r="AB444" s="268"/>
      <c r="AC444" s="268"/>
      <c r="AD444" s="268"/>
      <c r="AE444" s="268"/>
    </row>
    <row r="445" spans="1:31" ht="24.75" customHeight="1">
      <c r="A445" s="268"/>
      <c r="B445" s="268"/>
      <c r="C445" s="268"/>
      <c r="D445" s="268"/>
      <c r="E445" s="268"/>
      <c r="F445" s="268"/>
      <c r="G445" s="268"/>
      <c r="H445" s="268"/>
      <c r="I445" s="268"/>
      <c r="J445" s="268"/>
      <c r="K445" s="268"/>
      <c r="L445" s="309"/>
      <c r="M445" s="268"/>
      <c r="N445" s="268"/>
      <c r="O445" s="310"/>
      <c r="P445" s="268"/>
      <c r="Q445" s="309"/>
      <c r="R445" s="268"/>
      <c r="S445" s="313"/>
      <c r="T445" s="313"/>
      <c r="U445" s="268"/>
      <c r="V445" s="309"/>
      <c r="W445" s="310"/>
      <c r="X445" s="268"/>
      <c r="Y445" s="268"/>
      <c r="Z445" s="268"/>
      <c r="AA445" s="268"/>
      <c r="AB445" s="268"/>
      <c r="AC445" s="268"/>
      <c r="AD445" s="268"/>
      <c r="AE445" s="268"/>
    </row>
    <row r="446" spans="1:31" ht="24.75" customHeight="1">
      <c r="A446" s="268"/>
      <c r="B446" s="268"/>
      <c r="C446" s="268"/>
      <c r="D446" s="268"/>
      <c r="E446" s="268"/>
      <c r="F446" s="268"/>
      <c r="G446" s="268"/>
      <c r="H446" s="268"/>
      <c r="I446" s="268"/>
      <c r="J446" s="268"/>
      <c r="K446" s="268"/>
      <c r="L446" s="309"/>
      <c r="M446" s="268"/>
      <c r="N446" s="268"/>
      <c r="O446" s="310"/>
      <c r="P446" s="268"/>
      <c r="Q446" s="309"/>
      <c r="R446" s="268"/>
      <c r="S446" s="313"/>
      <c r="T446" s="313"/>
      <c r="U446" s="268"/>
      <c r="V446" s="309"/>
      <c r="W446" s="310"/>
      <c r="X446" s="268"/>
      <c r="Y446" s="268"/>
      <c r="Z446" s="268"/>
      <c r="AA446" s="268"/>
      <c r="AB446" s="268"/>
      <c r="AC446" s="268"/>
      <c r="AD446" s="268"/>
      <c r="AE446" s="268"/>
    </row>
    <row r="447" spans="1:31" ht="24.75" customHeight="1">
      <c r="A447" s="268"/>
      <c r="B447" s="268"/>
      <c r="C447" s="268"/>
      <c r="D447" s="268"/>
      <c r="E447" s="268"/>
      <c r="F447" s="268"/>
      <c r="G447" s="268"/>
      <c r="H447" s="268"/>
      <c r="I447" s="268"/>
      <c r="J447" s="268"/>
      <c r="K447" s="268"/>
      <c r="L447" s="309"/>
      <c r="M447" s="268"/>
      <c r="N447" s="268"/>
      <c r="O447" s="310"/>
      <c r="P447" s="268"/>
      <c r="Q447" s="309"/>
      <c r="R447" s="268"/>
      <c r="S447" s="313"/>
      <c r="T447" s="313"/>
      <c r="U447" s="268"/>
      <c r="V447" s="309"/>
      <c r="W447" s="310"/>
      <c r="X447" s="268"/>
      <c r="Y447" s="268"/>
      <c r="Z447" s="268"/>
      <c r="AA447" s="268"/>
      <c r="AB447" s="268"/>
      <c r="AC447" s="268"/>
      <c r="AD447" s="268"/>
      <c r="AE447" s="268"/>
    </row>
    <row r="448" spans="1:31" ht="24.75" customHeight="1">
      <c r="A448" s="268"/>
      <c r="B448" s="268"/>
      <c r="C448" s="268"/>
      <c r="D448" s="268"/>
      <c r="E448" s="268"/>
      <c r="F448" s="268"/>
      <c r="G448" s="268"/>
      <c r="H448" s="268"/>
      <c r="I448" s="268"/>
      <c r="J448" s="268"/>
      <c r="K448" s="268"/>
      <c r="L448" s="309"/>
      <c r="M448" s="268"/>
      <c r="N448" s="268"/>
      <c r="O448" s="310"/>
      <c r="P448" s="268"/>
      <c r="Q448" s="309"/>
      <c r="R448" s="268"/>
      <c r="S448" s="313"/>
      <c r="T448" s="313"/>
      <c r="U448" s="268"/>
      <c r="V448" s="309"/>
      <c r="W448" s="310"/>
      <c r="X448" s="268"/>
      <c r="Y448" s="268"/>
      <c r="Z448" s="268"/>
      <c r="AA448" s="268"/>
      <c r="AB448" s="268"/>
      <c r="AC448" s="268"/>
      <c r="AD448" s="268"/>
      <c r="AE448" s="268"/>
    </row>
    <row r="449" spans="1:31" ht="24.75" customHeight="1">
      <c r="A449" s="268"/>
      <c r="B449" s="268"/>
      <c r="C449" s="268"/>
      <c r="D449" s="268"/>
      <c r="E449" s="268"/>
      <c r="F449" s="268"/>
      <c r="G449" s="268"/>
      <c r="H449" s="268"/>
      <c r="I449" s="268"/>
      <c r="J449" s="268"/>
      <c r="K449" s="268"/>
      <c r="L449" s="309"/>
      <c r="M449" s="268"/>
      <c r="N449" s="268"/>
      <c r="O449" s="310"/>
      <c r="P449" s="268"/>
      <c r="Q449" s="309"/>
      <c r="R449" s="268"/>
      <c r="S449" s="313"/>
      <c r="T449" s="313"/>
      <c r="U449" s="268"/>
      <c r="V449" s="309"/>
      <c r="W449" s="310"/>
      <c r="X449" s="268"/>
      <c r="Y449" s="268"/>
      <c r="Z449" s="268"/>
      <c r="AA449" s="268"/>
      <c r="AB449" s="268"/>
      <c r="AC449" s="268"/>
      <c r="AD449" s="268"/>
      <c r="AE449" s="268"/>
    </row>
    <row r="450" spans="1:31" ht="24.75" customHeight="1">
      <c r="A450" s="268"/>
      <c r="B450" s="268"/>
      <c r="C450" s="268"/>
      <c r="D450" s="268"/>
      <c r="E450" s="268"/>
      <c r="F450" s="268"/>
      <c r="G450" s="268"/>
      <c r="H450" s="268"/>
      <c r="I450" s="268"/>
      <c r="J450" s="268"/>
      <c r="K450" s="268"/>
      <c r="L450" s="309"/>
      <c r="M450" s="268"/>
      <c r="N450" s="268"/>
      <c r="O450" s="310"/>
      <c r="P450" s="268"/>
      <c r="Q450" s="309"/>
      <c r="R450" s="268"/>
      <c r="S450" s="313"/>
      <c r="T450" s="313"/>
      <c r="U450" s="268"/>
      <c r="V450" s="309"/>
      <c r="W450" s="310"/>
      <c r="X450" s="268"/>
      <c r="Y450" s="268"/>
      <c r="Z450" s="268"/>
      <c r="AA450" s="268"/>
      <c r="AB450" s="268"/>
      <c r="AC450" s="268"/>
      <c r="AD450" s="268"/>
      <c r="AE450" s="268"/>
    </row>
    <row r="451" spans="1:31" ht="24.75" customHeight="1">
      <c r="A451" s="268"/>
      <c r="B451" s="268"/>
      <c r="C451" s="268"/>
      <c r="D451" s="268"/>
      <c r="E451" s="268"/>
      <c r="F451" s="268"/>
      <c r="G451" s="268"/>
      <c r="H451" s="268"/>
      <c r="I451" s="268"/>
      <c r="J451" s="268"/>
      <c r="K451" s="268"/>
      <c r="L451" s="309"/>
      <c r="M451" s="268"/>
      <c r="N451" s="268"/>
      <c r="O451" s="310"/>
      <c r="P451" s="268"/>
      <c r="Q451" s="309"/>
      <c r="R451" s="268"/>
      <c r="S451" s="313"/>
      <c r="T451" s="313"/>
      <c r="U451" s="268"/>
      <c r="V451" s="309"/>
      <c r="W451" s="310"/>
      <c r="X451" s="268"/>
      <c r="Y451" s="268"/>
      <c r="Z451" s="268"/>
      <c r="AA451" s="268"/>
      <c r="AB451" s="268"/>
      <c r="AC451" s="268"/>
      <c r="AD451" s="268"/>
      <c r="AE451" s="268"/>
    </row>
    <row r="452" spans="1:31" ht="24.75" customHeight="1">
      <c r="A452" s="268"/>
      <c r="B452" s="268"/>
      <c r="C452" s="268"/>
      <c r="D452" s="268"/>
      <c r="E452" s="268"/>
      <c r="F452" s="268"/>
      <c r="G452" s="268"/>
      <c r="H452" s="268"/>
      <c r="I452" s="268"/>
      <c r="J452" s="268"/>
      <c r="K452" s="268"/>
      <c r="L452" s="309"/>
      <c r="M452" s="268"/>
      <c r="N452" s="268"/>
      <c r="O452" s="310"/>
      <c r="P452" s="268"/>
      <c r="Q452" s="309"/>
      <c r="R452" s="268"/>
      <c r="S452" s="313"/>
      <c r="T452" s="313"/>
      <c r="U452" s="268"/>
      <c r="V452" s="309"/>
      <c r="W452" s="310"/>
      <c r="X452" s="268"/>
      <c r="Y452" s="268"/>
      <c r="Z452" s="268"/>
      <c r="AA452" s="268"/>
      <c r="AB452" s="268"/>
      <c r="AC452" s="268"/>
      <c r="AD452" s="268"/>
      <c r="AE452" s="268"/>
    </row>
    <row r="453" spans="1:31" ht="24.75" customHeight="1">
      <c r="A453" s="268"/>
      <c r="B453" s="268"/>
      <c r="C453" s="268"/>
      <c r="D453" s="268"/>
      <c r="E453" s="268"/>
      <c r="F453" s="268"/>
      <c r="G453" s="268"/>
      <c r="H453" s="268"/>
      <c r="I453" s="268"/>
      <c r="J453" s="268"/>
      <c r="K453" s="268"/>
      <c r="L453" s="309"/>
      <c r="M453" s="268"/>
      <c r="N453" s="268"/>
      <c r="O453" s="310"/>
      <c r="P453" s="268"/>
      <c r="Q453" s="309"/>
      <c r="R453" s="268"/>
      <c r="S453" s="313"/>
      <c r="T453" s="313"/>
      <c r="U453" s="268"/>
      <c r="V453" s="309"/>
      <c r="W453" s="310"/>
      <c r="X453" s="268"/>
      <c r="Y453" s="268"/>
      <c r="Z453" s="268"/>
      <c r="AA453" s="268"/>
      <c r="AB453" s="268"/>
      <c r="AC453" s="268"/>
      <c r="AD453" s="268"/>
      <c r="AE453" s="268"/>
    </row>
    <row r="454" spans="1:31" ht="24.75" customHeight="1">
      <c r="A454" s="268"/>
      <c r="B454" s="268"/>
      <c r="C454" s="268"/>
      <c r="D454" s="268"/>
      <c r="E454" s="268"/>
      <c r="F454" s="268"/>
      <c r="G454" s="268"/>
      <c r="H454" s="268"/>
      <c r="I454" s="268"/>
      <c r="J454" s="268"/>
      <c r="K454" s="268"/>
      <c r="L454" s="309"/>
      <c r="M454" s="268"/>
      <c r="N454" s="268"/>
      <c r="O454" s="310"/>
      <c r="P454" s="268"/>
      <c r="Q454" s="309"/>
      <c r="R454" s="268"/>
      <c r="S454" s="313"/>
      <c r="T454" s="313"/>
      <c r="U454" s="268"/>
      <c r="V454" s="309"/>
      <c r="W454" s="310"/>
      <c r="X454" s="268"/>
      <c r="Y454" s="268"/>
      <c r="Z454" s="268"/>
      <c r="AA454" s="268"/>
      <c r="AB454" s="268"/>
      <c r="AC454" s="268"/>
      <c r="AD454" s="268"/>
      <c r="AE454" s="268"/>
    </row>
    <row r="455" spans="1:31" ht="24.75" customHeight="1">
      <c r="A455" s="268"/>
      <c r="B455" s="268"/>
      <c r="C455" s="268"/>
      <c r="D455" s="268"/>
      <c r="E455" s="268"/>
      <c r="F455" s="268"/>
      <c r="G455" s="268"/>
      <c r="H455" s="268"/>
      <c r="I455" s="268"/>
      <c r="J455" s="268"/>
      <c r="K455" s="268"/>
      <c r="L455" s="309"/>
      <c r="M455" s="268"/>
      <c r="N455" s="268"/>
      <c r="O455" s="310"/>
      <c r="P455" s="268"/>
      <c r="Q455" s="309"/>
      <c r="R455" s="268"/>
      <c r="S455" s="313"/>
      <c r="T455" s="313"/>
      <c r="U455" s="268"/>
      <c r="V455" s="309"/>
      <c r="W455" s="310"/>
      <c r="X455" s="268"/>
      <c r="Y455" s="268"/>
      <c r="Z455" s="268"/>
      <c r="AA455" s="268"/>
      <c r="AB455" s="268"/>
      <c r="AC455" s="268"/>
      <c r="AD455" s="268"/>
      <c r="AE455" s="268"/>
    </row>
    <row r="456" spans="1:31" ht="24.75" customHeight="1">
      <c r="A456" s="268"/>
      <c r="B456" s="268"/>
      <c r="C456" s="268"/>
      <c r="D456" s="268"/>
      <c r="E456" s="268"/>
      <c r="F456" s="268"/>
      <c r="G456" s="268"/>
      <c r="H456" s="268"/>
      <c r="I456" s="268"/>
      <c r="J456" s="268"/>
      <c r="K456" s="268"/>
      <c r="L456" s="309"/>
      <c r="M456" s="268"/>
      <c r="N456" s="268"/>
      <c r="O456" s="310"/>
      <c r="P456" s="268"/>
      <c r="Q456" s="309"/>
      <c r="R456" s="268"/>
      <c r="S456" s="313"/>
      <c r="T456" s="313"/>
      <c r="U456" s="268"/>
      <c r="V456" s="309"/>
      <c r="W456" s="310"/>
      <c r="X456" s="268"/>
      <c r="Y456" s="268"/>
      <c r="Z456" s="268"/>
      <c r="AA456" s="268"/>
      <c r="AB456" s="268"/>
      <c r="AC456" s="268"/>
      <c r="AD456" s="268"/>
      <c r="AE456" s="268"/>
    </row>
    <row r="457" spans="1:31" ht="24.75" customHeight="1">
      <c r="A457" s="268"/>
      <c r="B457" s="268"/>
      <c r="C457" s="268"/>
      <c r="D457" s="268"/>
      <c r="E457" s="268"/>
      <c r="F457" s="268"/>
      <c r="G457" s="268"/>
      <c r="H457" s="268"/>
      <c r="I457" s="268"/>
      <c r="J457" s="268"/>
      <c r="K457" s="268"/>
      <c r="L457" s="309"/>
      <c r="M457" s="268"/>
      <c r="N457" s="268"/>
      <c r="O457" s="310"/>
      <c r="P457" s="268"/>
      <c r="Q457" s="309"/>
      <c r="R457" s="268"/>
      <c r="S457" s="313"/>
      <c r="T457" s="313"/>
      <c r="U457" s="268"/>
      <c r="V457" s="309"/>
      <c r="W457" s="310"/>
      <c r="X457" s="268"/>
      <c r="Y457" s="268"/>
      <c r="Z457" s="268"/>
      <c r="AA457" s="268"/>
      <c r="AB457" s="268"/>
      <c r="AC457" s="268"/>
      <c r="AD457" s="268"/>
      <c r="AE457" s="268"/>
    </row>
    <row r="458" spans="1:31" ht="24.75" customHeight="1">
      <c r="A458" s="268"/>
      <c r="B458" s="268"/>
      <c r="C458" s="268"/>
      <c r="D458" s="268"/>
      <c r="E458" s="268"/>
      <c r="F458" s="268"/>
      <c r="G458" s="268"/>
      <c r="H458" s="268"/>
      <c r="I458" s="268"/>
      <c r="J458" s="268"/>
      <c r="K458" s="268"/>
      <c r="L458" s="309"/>
      <c r="M458" s="268"/>
      <c r="N458" s="268"/>
      <c r="O458" s="310"/>
      <c r="P458" s="268"/>
      <c r="Q458" s="309"/>
      <c r="R458" s="268"/>
      <c r="S458" s="313"/>
      <c r="T458" s="313"/>
      <c r="U458" s="268"/>
      <c r="V458" s="309"/>
      <c r="W458" s="310"/>
      <c r="X458" s="268"/>
      <c r="Y458" s="268"/>
      <c r="Z458" s="268"/>
      <c r="AA458" s="268"/>
      <c r="AB458" s="268"/>
      <c r="AC458" s="268"/>
      <c r="AD458" s="268"/>
      <c r="AE458" s="268"/>
    </row>
    <row r="459" spans="1:31" ht="24.75" customHeight="1">
      <c r="A459" s="268"/>
      <c r="B459" s="268"/>
      <c r="C459" s="268"/>
      <c r="D459" s="268"/>
      <c r="E459" s="268"/>
      <c r="F459" s="268"/>
      <c r="G459" s="268"/>
      <c r="H459" s="268"/>
      <c r="I459" s="268"/>
      <c r="J459" s="268"/>
      <c r="K459" s="268"/>
      <c r="L459" s="309"/>
      <c r="M459" s="268"/>
      <c r="N459" s="268"/>
      <c r="O459" s="310"/>
      <c r="P459" s="268"/>
      <c r="Q459" s="309"/>
      <c r="R459" s="268"/>
      <c r="S459" s="313"/>
      <c r="T459" s="313"/>
      <c r="U459" s="268"/>
      <c r="V459" s="309"/>
      <c r="W459" s="310"/>
      <c r="X459" s="268"/>
      <c r="Y459" s="268"/>
      <c r="Z459" s="268"/>
      <c r="AA459" s="268"/>
      <c r="AB459" s="268"/>
      <c r="AC459" s="268"/>
      <c r="AD459" s="268"/>
      <c r="AE459" s="268"/>
    </row>
    <row r="460" spans="1:31" ht="24.75" customHeight="1">
      <c r="A460" s="268"/>
      <c r="B460" s="268"/>
      <c r="C460" s="268"/>
      <c r="D460" s="268"/>
      <c r="E460" s="268"/>
      <c r="F460" s="268"/>
      <c r="G460" s="268"/>
      <c r="H460" s="268"/>
      <c r="I460" s="268"/>
      <c r="J460" s="268"/>
      <c r="K460" s="268"/>
      <c r="L460" s="309"/>
      <c r="M460" s="268"/>
      <c r="N460" s="268"/>
      <c r="O460" s="310"/>
      <c r="P460" s="268"/>
      <c r="Q460" s="309"/>
      <c r="R460" s="268"/>
      <c r="S460" s="313"/>
      <c r="T460" s="313"/>
      <c r="U460" s="268"/>
      <c r="V460" s="309"/>
      <c r="W460" s="310"/>
      <c r="X460" s="268"/>
      <c r="Y460" s="268"/>
      <c r="Z460" s="268"/>
      <c r="AA460" s="268"/>
      <c r="AB460" s="268"/>
      <c r="AC460" s="268"/>
      <c r="AD460" s="268"/>
      <c r="AE460" s="268"/>
    </row>
    <row r="461" spans="1:31" ht="24.75" customHeight="1">
      <c r="A461" s="268"/>
      <c r="B461" s="268"/>
      <c r="C461" s="268"/>
      <c r="D461" s="268"/>
      <c r="E461" s="268"/>
      <c r="F461" s="268"/>
      <c r="G461" s="268"/>
      <c r="H461" s="268"/>
      <c r="I461" s="268"/>
      <c r="J461" s="268"/>
      <c r="K461" s="268"/>
      <c r="L461" s="309"/>
      <c r="M461" s="268"/>
      <c r="N461" s="268"/>
      <c r="O461" s="310"/>
      <c r="P461" s="268"/>
      <c r="Q461" s="309"/>
      <c r="R461" s="268"/>
      <c r="S461" s="313"/>
      <c r="T461" s="313"/>
      <c r="U461" s="268"/>
      <c r="V461" s="309"/>
      <c r="W461" s="310"/>
      <c r="X461" s="268"/>
      <c r="Y461" s="268"/>
      <c r="Z461" s="268"/>
      <c r="AA461" s="268"/>
      <c r="AB461" s="268"/>
      <c r="AC461" s="268"/>
      <c r="AD461" s="268"/>
      <c r="AE461" s="268"/>
    </row>
    <row r="462" spans="1:31" ht="24.75" customHeight="1">
      <c r="A462" s="268"/>
      <c r="B462" s="268"/>
      <c r="C462" s="268"/>
      <c r="D462" s="268"/>
      <c r="E462" s="268"/>
      <c r="F462" s="268"/>
      <c r="G462" s="268"/>
      <c r="H462" s="268"/>
      <c r="I462" s="268"/>
      <c r="J462" s="268"/>
      <c r="K462" s="268"/>
      <c r="L462" s="309"/>
      <c r="M462" s="268"/>
      <c r="N462" s="268"/>
      <c r="O462" s="310"/>
      <c r="P462" s="268"/>
      <c r="Q462" s="309"/>
      <c r="R462" s="268"/>
      <c r="S462" s="313"/>
      <c r="T462" s="313"/>
      <c r="U462" s="268"/>
      <c r="V462" s="309"/>
      <c r="W462" s="310"/>
      <c r="X462" s="268"/>
      <c r="Y462" s="268"/>
      <c r="Z462" s="268"/>
      <c r="AA462" s="268"/>
      <c r="AB462" s="268"/>
      <c r="AC462" s="268"/>
      <c r="AD462" s="268"/>
      <c r="AE462" s="268"/>
    </row>
    <row r="463" spans="1:31" ht="24.75" customHeight="1">
      <c r="A463" s="268"/>
      <c r="B463" s="268"/>
      <c r="C463" s="268"/>
      <c r="D463" s="268"/>
      <c r="E463" s="268"/>
      <c r="F463" s="268"/>
      <c r="G463" s="268"/>
      <c r="H463" s="268"/>
      <c r="I463" s="268"/>
      <c r="J463" s="268"/>
      <c r="K463" s="268"/>
      <c r="L463" s="309"/>
      <c r="M463" s="268"/>
      <c r="N463" s="268"/>
      <c r="O463" s="310"/>
      <c r="P463" s="268"/>
      <c r="Q463" s="309"/>
      <c r="R463" s="268"/>
      <c r="S463" s="313"/>
      <c r="T463" s="313"/>
      <c r="U463" s="268"/>
      <c r="V463" s="309"/>
      <c r="W463" s="310"/>
      <c r="X463" s="268"/>
      <c r="Y463" s="268"/>
      <c r="Z463" s="268"/>
      <c r="AA463" s="268"/>
      <c r="AB463" s="268"/>
      <c r="AC463" s="268"/>
      <c r="AD463" s="268"/>
      <c r="AE463" s="268"/>
    </row>
    <row r="464" spans="1:31" ht="24.75" customHeight="1">
      <c r="A464" s="268"/>
      <c r="B464" s="268"/>
      <c r="C464" s="268"/>
      <c r="D464" s="268"/>
      <c r="E464" s="268"/>
      <c r="F464" s="268"/>
      <c r="G464" s="268"/>
      <c r="H464" s="268"/>
      <c r="I464" s="268"/>
      <c r="J464" s="268"/>
      <c r="K464" s="268"/>
      <c r="L464" s="309"/>
      <c r="M464" s="268"/>
      <c r="N464" s="268"/>
      <c r="O464" s="310"/>
      <c r="P464" s="268"/>
      <c r="Q464" s="309"/>
      <c r="R464" s="268"/>
      <c r="S464" s="313"/>
      <c r="T464" s="313"/>
      <c r="U464" s="268"/>
      <c r="V464" s="309"/>
      <c r="W464" s="310"/>
      <c r="X464" s="268"/>
      <c r="Y464" s="268"/>
      <c r="Z464" s="268"/>
      <c r="AA464" s="268"/>
      <c r="AB464" s="268"/>
      <c r="AC464" s="268"/>
      <c r="AD464" s="268"/>
      <c r="AE464" s="268"/>
    </row>
    <row r="465" spans="1:31" ht="24.75" customHeight="1">
      <c r="A465" s="268"/>
      <c r="B465" s="268"/>
      <c r="C465" s="268"/>
      <c r="D465" s="268"/>
      <c r="E465" s="268"/>
      <c r="F465" s="268"/>
      <c r="G465" s="268"/>
      <c r="H465" s="268"/>
      <c r="I465" s="268"/>
      <c r="J465" s="268"/>
      <c r="K465" s="268"/>
      <c r="L465" s="309"/>
      <c r="M465" s="268"/>
      <c r="N465" s="268"/>
      <c r="O465" s="310"/>
      <c r="P465" s="268"/>
      <c r="Q465" s="309"/>
      <c r="R465" s="268"/>
      <c r="S465" s="313"/>
      <c r="T465" s="313"/>
      <c r="U465" s="268"/>
      <c r="V465" s="309"/>
      <c r="W465" s="310"/>
      <c r="X465" s="268"/>
      <c r="Y465" s="268"/>
      <c r="Z465" s="268"/>
      <c r="AA465" s="268"/>
      <c r="AB465" s="268"/>
      <c r="AC465" s="268"/>
      <c r="AD465" s="268"/>
      <c r="AE465" s="268"/>
    </row>
    <row r="466" spans="1:31" ht="24.75" customHeight="1">
      <c r="A466" s="268"/>
      <c r="B466" s="268"/>
      <c r="C466" s="268"/>
      <c r="D466" s="268"/>
      <c r="E466" s="268"/>
      <c r="F466" s="268"/>
      <c r="G466" s="268"/>
      <c r="H466" s="268"/>
      <c r="I466" s="268"/>
      <c r="J466" s="268"/>
      <c r="K466" s="268"/>
      <c r="L466" s="309"/>
      <c r="M466" s="268"/>
      <c r="N466" s="268"/>
      <c r="O466" s="310"/>
      <c r="P466" s="268"/>
      <c r="Q466" s="309"/>
      <c r="R466" s="268"/>
      <c r="S466" s="313"/>
      <c r="T466" s="313"/>
      <c r="U466" s="268"/>
      <c r="V466" s="309"/>
      <c r="W466" s="310"/>
      <c r="X466" s="268"/>
      <c r="Y466" s="268"/>
      <c r="Z466" s="268"/>
      <c r="AA466" s="268"/>
      <c r="AB466" s="268"/>
      <c r="AC466" s="268"/>
      <c r="AD466" s="268"/>
      <c r="AE466" s="268"/>
    </row>
    <row r="467" spans="1:31" ht="24.75" customHeight="1">
      <c r="A467" s="268"/>
      <c r="B467" s="268"/>
      <c r="C467" s="268"/>
      <c r="D467" s="268"/>
      <c r="E467" s="268"/>
      <c r="F467" s="268"/>
      <c r="G467" s="268"/>
      <c r="H467" s="268"/>
      <c r="I467" s="268"/>
      <c r="J467" s="268"/>
      <c r="K467" s="268"/>
      <c r="L467" s="309"/>
      <c r="M467" s="268"/>
      <c r="N467" s="268"/>
      <c r="O467" s="310"/>
      <c r="P467" s="268"/>
      <c r="Q467" s="309"/>
      <c r="R467" s="268"/>
      <c r="S467" s="313"/>
      <c r="T467" s="313"/>
      <c r="U467" s="268"/>
      <c r="V467" s="309"/>
      <c r="W467" s="310"/>
      <c r="X467" s="268"/>
      <c r="Y467" s="268"/>
      <c r="Z467" s="268"/>
      <c r="AA467" s="268"/>
      <c r="AB467" s="268"/>
      <c r="AC467" s="268"/>
      <c r="AD467" s="268"/>
      <c r="AE467" s="268"/>
    </row>
    <row r="468" spans="1:31" ht="24.75" customHeight="1">
      <c r="A468" s="268"/>
      <c r="B468" s="268"/>
      <c r="C468" s="268"/>
      <c r="D468" s="268"/>
      <c r="E468" s="268"/>
      <c r="F468" s="268"/>
      <c r="G468" s="268"/>
      <c r="H468" s="268"/>
      <c r="I468" s="268"/>
      <c r="J468" s="268"/>
      <c r="K468" s="268"/>
      <c r="L468" s="309"/>
      <c r="M468" s="268"/>
      <c r="N468" s="268"/>
      <c r="O468" s="310"/>
      <c r="P468" s="268"/>
      <c r="Q468" s="309"/>
      <c r="R468" s="268"/>
      <c r="S468" s="313"/>
      <c r="T468" s="313"/>
      <c r="U468" s="268"/>
      <c r="V468" s="309"/>
      <c r="W468" s="310"/>
      <c r="X468" s="268"/>
      <c r="Y468" s="268"/>
      <c r="Z468" s="268"/>
      <c r="AA468" s="268"/>
      <c r="AB468" s="268"/>
      <c r="AC468" s="268"/>
      <c r="AD468" s="268"/>
      <c r="AE468" s="268"/>
    </row>
    <row r="469" spans="1:31" ht="24.75" customHeight="1">
      <c r="A469" s="268"/>
      <c r="B469" s="268"/>
      <c r="C469" s="268"/>
      <c r="D469" s="268"/>
      <c r="E469" s="268"/>
      <c r="F469" s="268"/>
      <c r="G469" s="268"/>
      <c r="H469" s="268"/>
      <c r="I469" s="268"/>
      <c r="J469" s="268"/>
      <c r="K469" s="268"/>
      <c r="L469" s="309"/>
      <c r="M469" s="268"/>
      <c r="N469" s="268"/>
      <c r="O469" s="310"/>
      <c r="P469" s="268"/>
      <c r="Q469" s="309"/>
      <c r="R469" s="268"/>
      <c r="S469" s="313"/>
      <c r="T469" s="313"/>
      <c r="U469" s="268"/>
      <c r="V469" s="309"/>
      <c r="W469" s="310"/>
      <c r="X469" s="268"/>
      <c r="Y469" s="268"/>
      <c r="Z469" s="268"/>
      <c r="AA469" s="268"/>
      <c r="AB469" s="268"/>
      <c r="AC469" s="268"/>
      <c r="AD469" s="268"/>
      <c r="AE469" s="268"/>
    </row>
    <row r="470" spans="1:31" ht="24.75" customHeight="1">
      <c r="A470" s="268"/>
      <c r="B470" s="268"/>
      <c r="C470" s="268"/>
      <c r="D470" s="268"/>
      <c r="E470" s="268"/>
      <c r="F470" s="268"/>
      <c r="G470" s="268"/>
      <c r="H470" s="268"/>
      <c r="I470" s="268"/>
      <c r="J470" s="268"/>
      <c r="K470" s="268"/>
      <c r="L470" s="309"/>
      <c r="M470" s="268"/>
      <c r="N470" s="268"/>
      <c r="O470" s="310"/>
      <c r="P470" s="268"/>
      <c r="Q470" s="309"/>
      <c r="R470" s="268"/>
      <c r="S470" s="313"/>
      <c r="T470" s="313"/>
      <c r="U470" s="268"/>
      <c r="V470" s="309"/>
      <c r="W470" s="310"/>
      <c r="X470" s="268"/>
      <c r="Y470" s="268"/>
      <c r="Z470" s="268"/>
      <c r="AA470" s="268"/>
      <c r="AB470" s="268"/>
      <c r="AC470" s="268"/>
      <c r="AD470" s="268"/>
      <c r="AE470" s="268"/>
    </row>
    <row r="471" spans="1:31" ht="24.75" customHeight="1">
      <c r="A471" s="268"/>
      <c r="B471" s="268"/>
      <c r="C471" s="268"/>
      <c r="D471" s="268"/>
      <c r="E471" s="268"/>
      <c r="F471" s="268"/>
      <c r="G471" s="268"/>
      <c r="H471" s="268"/>
      <c r="I471" s="268"/>
      <c r="J471" s="268"/>
      <c r="K471" s="268"/>
      <c r="L471" s="309"/>
      <c r="M471" s="268"/>
      <c r="N471" s="268"/>
      <c r="O471" s="310"/>
      <c r="P471" s="268"/>
      <c r="Q471" s="309"/>
      <c r="R471" s="268"/>
      <c r="S471" s="313"/>
      <c r="T471" s="313"/>
      <c r="U471" s="268"/>
      <c r="V471" s="309"/>
      <c r="W471" s="310"/>
      <c r="X471" s="268"/>
      <c r="Y471" s="268"/>
      <c r="Z471" s="268"/>
      <c r="AA471" s="268"/>
      <c r="AB471" s="268"/>
      <c r="AC471" s="268"/>
      <c r="AD471" s="268"/>
      <c r="AE471" s="268"/>
    </row>
    <row r="472" spans="1:31" ht="24.75" customHeight="1">
      <c r="A472" s="268"/>
      <c r="B472" s="268"/>
      <c r="C472" s="268"/>
      <c r="D472" s="268"/>
      <c r="E472" s="268"/>
      <c r="F472" s="268"/>
      <c r="G472" s="268"/>
      <c r="H472" s="268"/>
      <c r="I472" s="268"/>
      <c r="J472" s="268"/>
      <c r="K472" s="268"/>
      <c r="L472" s="309"/>
      <c r="M472" s="268"/>
      <c r="N472" s="268"/>
      <c r="O472" s="310"/>
      <c r="P472" s="268"/>
      <c r="Q472" s="309"/>
      <c r="R472" s="268"/>
      <c r="S472" s="313"/>
      <c r="T472" s="313"/>
      <c r="U472" s="268"/>
      <c r="V472" s="309"/>
      <c r="W472" s="310"/>
      <c r="X472" s="268"/>
      <c r="Y472" s="268"/>
      <c r="Z472" s="268"/>
      <c r="AA472" s="268"/>
      <c r="AB472" s="268"/>
      <c r="AC472" s="268"/>
      <c r="AD472" s="268"/>
      <c r="AE472" s="268"/>
    </row>
    <row r="473" spans="1:31" ht="24.75" customHeight="1">
      <c r="A473" s="268"/>
      <c r="B473" s="268"/>
      <c r="C473" s="268"/>
      <c r="D473" s="268"/>
      <c r="E473" s="268"/>
      <c r="F473" s="268"/>
      <c r="G473" s="268"/>
      <c r="H473" s="268"/>
      <c r="I473" s="268"/>
      <c r="J473" s="268"/>
      <c r="K473" s="268"/>
      <c r="L473" s="309"/>
      <c r="M473" s="268"/>
      <c r="N473" s="268"/>
      <c r="O473" s="310"/>
      <c r="P473" s="268"/>
      <c r="Q473" s="309"/>
      <c r="R473" s="268"/>
      <c r="S473" s="313"/>
      <c r="T473" s="313"/>
      <c r="U473" s="268"/>
      <c r="V473" s="309"/>
      <c r="W473" s="310"/>
      <c r="X473" s="268"/>
      <c r="Y473" s="268"/>
      <c r="Z473" s="268"/>
      <c r="AA473" s="268"/>
      <c r="AB473" s="268"/>
      <c r="AC473" s="268"/>
      <c r="AD473" s="268"/>
      <c r="AE473" s="268"/>
    </row>
    <row r="474" spans="1:31" ht="24.75" customHeight="1">
      <c r="A474" s="268"/>
      <c r="B474" s="268"/>
      <c r="C474" s="268"/>
      <c r="D474" s="268"/>
      <c r="E474" s="268"/>
      <c r="F474" s="268"/>
      <c r="G474" s="268"/>
      <c r="H474" s="268"/>
      <c r="I474" s="268"/>
      <c r="J474" s="268"/>
      <c r="K474" s="268"/>
      <c r="L474" s="309"/>
      <c r="M474" s="268"/>
      <c r="N474" s="268"/>
      <c r="O474" s="310"/>
      <c r="P474" s="268"/>
      <c r="Q474" s="309"/>
      <c r="R474" s="268"/>
      <c r="S474" s="313"/>
      <c r="T474" s="313"/>
      <c r="U474" s="268"/>
      <c r="V474" s="309"/>
      <c r="W474" s="310"/>
      <c r="X474" s="268"/>
      <c r="Y474" s="268"/>
      <c r="Z474" s="268"/>
      <c r="AA474" s="268"/>
      <c r="AB474" s="268"/>
      <c r="AC474" s="268"/>
      <c r="AD474" s="268"/>
      <c r="AE474" s="268"/>
    </row>
    <row r="475" spans="1:31" ht="24.75" customHeight="1">
      <c r="A475" s="268"/>
      <c r="B475" s="268"/>
      <c r="C475" s="268"/>
      <c r="D475" s="268"/>
      <c r="E475" s="268"/>
      <c r="F475" s="268"/>
      <c r="G475" s="268"/>
      <c r="H475" s="268"/>
      <c r="I475" s="268"/>
      <c r="J475" s="268"/>
      <c r="K475" s="268"/>
      <c r="L475" s="309"/>
      <c r="M475" s="268"/>
      <c r="N475" s="268"/>
      <c r="O475" s="310"/>
      <c r="P475" s="268"/>
      <c r="Q475" s="309"/>
      <c r="R475" s="268"/>
      <c r="S475" s="313"/>
      <c r="T475" s="313"/>
      <c r="U475" s="268"/>
      <c r="V475" s="309"/>
      <c r="W475" s="310"/>
      <c r="X475" s="268"/>
      <c r="Y475" s="268"/>
      <c r="Z475" s="268"/>
      <c r="AA475" s="268"/>
      <c r="AB475" s="268"/>
      <c r="AC475" s="268"/>
      <c r="AD475" s="268"/>
      <c r="AE475" s="268"/>
    </row>
    <row r="476" spans="1:31" ht="24.75" customHeight="1">
      <c r="A476" s="268"/>
      <c r="B476" s="268"/>
      <c r="C476" s="268"/>
      <c r="D476" s="268"/>
      <c r="E476" s="268"/>
      <c r="F476" s="268"/>
      <c r="G476" s="268"/>
      <c r="H476" s="268"/>
      <c r="I476" s="268"/>
      <c r="J476" s="268"/>
      <c r="K476" s="268"/>
      <c r="L476" s="309"/>
      <c r="M476" s="268"/>
      <c r="N476" s="268"/>
      <c r="O476" s="310"/>
      <c r="P476" s="268"/>
      <c r="Q476" s="309"/>
      <c r="R476" s="268"/>
      <c r="S476" s="313"/>
      <c r="T476" s="313"/>
      <c r="U476" s="268"/>
      <c r="V476" s="309"/>
      <c r="W476" s="310"/>
      <c r="X476" s="268"/>
      <c r="Y476" s="268"/>
      <c r="Z476" s="268"/>
      <c r="AA476" s="268"/>
      <c r="AB476" s="268"/>
      <c r="AC476" s="268"/>
      <c r="AD476" s="268"/>
      <c r="AE476" s="268"/>
    </row>
    <row r="477" spans="1:31" ht="24.75" customHeight="1">
      <c r="A477" s="268"/>
      <c r="B477" s="268"/>
      <c r="C477" s="268"/>
      <c r="D477" s="268"/>
      <c r="E477" s="268"/>
      <c r="F477" s="268"/>
      <c r="G477" s="268"/>
      <c r="H477" s="268"/>
      <c r="I477" s="268"/>
      <c r="J477" s="268"/>
      <c r="K477" s="268"/>
      <c r="L477" s="309"/>
      <c r="M477" s="268"/>
      <c r="N477" s="268"/>
      <c r="O477" s="310"/>
      <c r="P477" s="268"/>
      <c r="Q477" s="309"/>
      <c r="R477" s="268"/>
      <c r="S477" s="313"/>
      <c r="T477" s="313"/>
      <c r="U477" s="268"/>
      <c r="V477" s="309"/>
      <c r="W477" s="310"/>
      <c r="X477" s="268"/>
      <c r="Y477" s="268"/>
      <c r="Z477" s="268"/>
      <c r="AA477" s="268"/>
      <c r="AB477" s="268"/>
      <c r="AC477" s="268"/>
      <c r="AD477" s="268"/>
      <c r="AE477" s="268"/>
    </row>
    <row r="478" spans="1:31" ht="24.75" customHeight="1">
      <c r="A478" s="268"/>
      <c r="B478" s="268"/>
      <c r="C478" s="268"/>
      <c r="D478" s="268"/>
      <c r="E478" s="268"/>
      <c r="F478" s="268"/>
      <c r="G478" s="268"/>
      <c r="H478" s="268"/>
      <c r="I478" s="268"/>
      <c r="J478" s="268"/>
      <c r="K478" s="268"/>
      <c r="L478" s="309"/>
      <c r="M478" s="268"/>
      <c r="N478" s="268"/>
      <c r="O478" s="310"/>
      <c r="P478" s="268"/>
      <c r="Q478" s="309"/>
      <c r="R478" s="268"/>
      <c r="S478" s="313"/>
      <c r="T478" s="313"/>
      <c r="U478" s="268"/>
      <c r="V478" s="309"/>
      <c r="W478" s="310"/>
      <c r="X478" s="268"/>
      <c r="Y478" s="268"/>
      <c r="Z478" s="268"/>
      <c r="AA478" s="268"/>
      <c r="AB478" s="268"/>
      <c r="AC478" s="268"/>
      <c r="AD478" s="268"/>
      <c r="AE478" s="268"/>
    </row>
    <row r="479" spans="1:31" ht="24.75" customHeight="1">
      <c r="A479" s="268"/>
      <c r="B479" s="268"/>
      <c r="C479" s="268"/>
      <c r="D479" s="268"/>
      <c r="E479" s="268"/>
      <c r="F479" s="268"/>
      <c r="G479" s="268"/>
      <c r="H479" s="268"/>
      <c r="I479" s="268"/>
      <c r="J479" s="268"/>
      <c r="K479" s="268"/>
      <c r="L479" s="309"/>
      <c r="M479" s="268"/>
      <c r="N479" s="268"/>
      <c r="O479" s="310"/>
      <c r="P479" s="268"/>
      <c r="Q479" s="309"/>
      <c r="R479" s="268"/>
      <c r="S479" s="313"/>
      <c r="T479" s="313"/>
      <c r="U479" s="268"/>
      <c r="V479" s="309"/>
      <c r="W479" s="310"/>
      <c r="X479" s="268"/>
      <c r="Y479" s="268"/>
      <c r="Z479" s="268"/>
      <c r="AA479" s="268"/>
      <c r="AB479" s="268"/>
      <c r="AC479" s="268"/>
      <c r="AD479" s="268"/>
      <c r="AE479" s="268"/>
    </row>
    <row r="480" spans="1:31" ht="24.75" customHeight="1">
      <c r="A480" s="268"/>
      <c r="B480" s="268"/>
      <c r="C480" s="268"/>
      <c r="D480" s="268"/>
      <c r="E480" s="268"/>
      <c r="F480" s="268"/>
      <c r="G480" s="268"/>
      <c r="H480" s="268"/>
      <c r="I480" s="268"/>
      <c r="J480" s="268"/>
      <c r="K480" s="268"/>
      <c r="L480" s="309"/>
      <c r="M480" s="268"/>
      <c r="N480" s="268"/>
      <c r="O480" s="310"/>
      <c r="P480" s="268"/>
      <c r="Q480" s="309"/>
      <c r="R480" s="268"/>
      <c r="S480" s="313"/>
      <c r="T480" s="313"/>
      <c r="U480" s="268"/>
      <c r="V480" s="309"/>
      <c r="W480" s="310"/>
      <c r="X480" s="268"/>
      <c r="Y480" s="268"/>
      <c r="Z480" s="268"/>
      <c r="AA480" s="268"/>
      <c r="AB480" s="268"/>
      <c r="AC480" s="268"/>
      <c r="AD480" s="268"/>
      <c r="AE480" s="268"/>
    </row>
    <row r="481" spans="1:31" ht="24.75" customHeight="1">
      <c r="A481" s="268"/>
      <c r="B481" s="268"/>
      <c r="C481" s="268"/>
      <c r="D481" s="268"/>
      <c r="E481" s="268"/>
      <c r="F481" s="268"/>
      <c r="G481" s="268"/>
      <c r="H481" s="268"/>
      <c r="I481" s="268"/>
      <c r="J481" s="268"/>
      <c r="K481" s="268"/>
      <c r="L481" s="309"/>
      <c r="M481" s="268"/>
      <c r="N481" s="268"/>
      <c r="O481" s="310"/>
      <c r="P481" s="268"/>
      <c r="Q481" s="309"/>
      <c r="R481" s="268"/>
      <c r="S481" s="313"/>
      <c r="T481" s="313"/>
      <c r="U481" s="268"/>
      <c r="V481" s="309"/>
      <c r="W481" s="310"/>
      <c r="X481" s="268"/>
      <c r="Y481" s="268"/>
      <c r="Z481" s="268"/>
      <c r="AA481" s="268"/>
      <c r="AB481" s="268"/>
      <c r="AC481" s="268"/>
      <c r="AD481" s="268"/>
      <c r="AE481" s="268"/>
    </row>
    <row r="482" spans="1:31" ht="24.75" customHeight="1">
      <c r="A482" s="268"/>
      <c r="B482" s="268"/>
      <c r="C482" s="268"/>
      <c r="D482" s="268"/>
      <c r="E482" s="268"/>
      <c r="F482" s="268"/>
      <c r="G482" s="268"/>
      <c r="H482" s="268"/>
      <c r="I482" s="268"/>
      <c r="J482" s="268"/>
      <c r="K482" s="268"/>
      <c r="L482" s="309"/>
      <c r="M482" s="268"/>
      <c r="N482" s="268"/>
      <c r="O482" s="310"/>
      <c r="P482" s="268"/>
      <c r="Q482" s="309"/>
      <c r="R482" s="268"/>
      <c r="S482" s="313"/>
      <c r="T482" s="313"/>
      <c r="U482" s="268"/>
      <c r="V482" s="309"/>
      <c r="W482" s="310"/>
      <c r="X482" s="268"/>
      <c r="Y482" s="268"/>
      <c r="Z482" s="268"/>
      <c r="AA482" s="268"/>
      <c r="AB482" s="268"/>
      <c r="AC482" s="268"/>
      <c r="AD482" s="268"/>
      <c r="AE482" s="268"/>
    </row>
    <row r="483" spans="1:31" ht="24.75" customHeight="1">
      <c r="A483" s="268"/>
      <c r="B483" s="268"/>
      <c r="C483" s="268"/>
      <c r="D483" s="268"/>
      <c r="E483" s="268"/>
      <c r="F483" s="268"/>
      <c r="G483" s="268"/>
      <c r="H483" s="268"/>
      <c r="I483" s="268"/>
      <c r="J483" s="268"/>
      <c r="K483" s="268"/>
      <c r="L483" s="309"/>
      <c r="M483" s="268"/>
      <c r="N483" s="268"/>
      <c r="O483" s="310"/>
      <c r="P483" s="268"/>
      <c r="Q483" s="309"/>
      <c r="R483" s="268"/>
      <c r="S483" s="313"/>
      <c r="T483" s="313"/>
      <c r="U483" s="268"/>
      <c r="V483" s="309"/>
      <c r="W483" s="310"/>
      <c r="X483" s="268"/>
      <c r="Y483" s="268"/>
      <c r="Z483" s="268"/>
      <c r="AA483" s="268"/>
      <c r="AB483" s="268"/>
      <c r="AC483" s="268"/>
      <c r="AD483" s="268"/>
      <c r="AE483" s="268"/>
    </row>
    <row r="484" spans="1:31" ht="24.75" customHeight="1">
      <c r="A484" s="268"/>
      <c r="B484" s="268"/>
      <c r="C484" s="268"/>
      <c r="D484" s="268"/>
      <c r="E484" s="268"/>
      <c r="F484" s="268"/>
      <c r="G484" s="268"/>
      <c r="H484" s="268"/>
      <c r="I484" s="268"/>
      <c r="J484" s="268"/>
      <c r="K484" s="268"/>
      <c r="L484" s="309"/>
      <c r="M484" s="268"/>
      <c r="N484" s="268"/>
      <c r="O484" s="310"/>
      <c r="P484" s="268"/>
      <c r="Q484" s="309"/>
      <c r="R484" s="268"/>
      <c r="S484" s="313"/>
      <c r="T484" s="313"/>
      <c r="U484" s="268"/>
      <c r="V484" s="309"/>
      <c r="W484" s="310"/>
      <c r="X484" s="268"/>
      <c r="Y484" s="268"/>
      <c r="Z484" s="268"/>
      <c r="AA484" s="268"/>
      <c r="AB484" s="268"/>
      <c r="AC484" s="268"/>
      <c r="AD484" s="268"/>
      <c r="AE484" s="268"/>
    </row>
    <row r="485" spans="1:31" ht="24.75" customHeight="1">
      <c r="A485" s="268"/>
      <c r="B485" s="268"/>
      <c r="C485" s="268"/>
      <c r="D485" s="268"/>
      <c r="E485" s="268"/>
      <c r="F485" s="268"/>
      <c r="G485" s="268"/>
      <c r="H485" s="268"/>
      <c r="I485" s="268"/>
      <c r="J485" s="268"/>
      <c r="K485" s="268"/>
      <c r="L485" s="309"/>
      <c r="M485" s="268"/>
      <c r="N485" s="268"/>
      <c r="O485" s="310"/>
      <c r="P485" s="268"/>
      <c r="Q485" s="309"/>
      <c r="R485" s="268"/>
      <c r="S485" s="313"/>
      <c r="T485" s="313"/>
      <c r="U485" s="268"/>
      <c r="V485" s="309"/>
      <c r="W485" s="310"/>
      <c r="X485" s="268"/>
      <c r="Y485" s="268"/>
      <c r="Z485" s="268"/>
      <c r="AA485" s="268"/>
      <c r="AB485" s="268"/>
      <c r="AC485" s="268"/>
      <c r="AD485" s="268"/>
      <c r="AE485" s="268"/>
    </row>
    <row r="486" spans="1:31" ht="24.75" customHeight="1">
      <c r="A486" s="268"/>
      <c r="B486" s="268"/>
      <c r="C486" s="268"/>
      <c r="D486" s="268"/>
      <c r="E486" s="268"/>
      <c r="F486" s="268"/>
      <c r="G486" s="268"/>
      <c r="H486" s="268"/>
      <c r="I486" s="268"/>
      <c r="J486" s="268"/>
      <c r="K486" s="268"/>
      <c r="L486" s="309"/>
      <c r="M486" s="268"/>
      <c r="N486" s="268"/>
      <c r="O486" s="310"/>
      <c r="P486" s="268"/>
      <c r="Q486" s="309"/>
      <c r="R486" s="268"/>
      <c r="S486" s="313"/>
      <c r="T486" s="313"/>
      <c r="U486" s="268"/>
      <c r="V486" s="309"/>
      <c r="W486" s="310"/>
      <c r="X486" s="268"/>
      <c r="Y486" s="268"/>
      <c r="Z486" s="268"/>
      <c r="AA486" s="268"/>
      <c r="AB486" s="268"/>
      <c r="AC486" s="268"/>
      <c r="AD486" s="268"/>
      <c r="AE486" s="268"/>
    </row>
    <row r="487" spans="1:31" ht="24.75" customHeight="1">
      <c r="A487" s="268"/>
      <c r="B487" s="268"/>
      <c r="C487" s="268"/>
      <c r="D487" s="268"/>
      <c r="E487" s="268"/>
      <c r="F487" s="268"/>
      <c r="G487" s="268"/>
      <c r="H487" s="268"/>
      <c r="I487" s="268"/>
      <c r="J487" s="268"/>
      <c r="K487" s="268"/>
      <c r="L487" s="309"/>
      <c r="M487" s="268"/>
      <c r="N487" s="268"/>
      <c r="O487" s="310"/>
      <c r="P487" s="268"/>
      <c r="Q487" s="309"/>
      <c r="R487" s="268"/>
      <c r="S487" s="313"/>
      <c r="T487" s="313"/>
      <c r="U487" s="268"/>
      <c r="V487" s="309"/>
      <c r="W487" s="310"/>
      <c r="X487" s="268"/>
      <c r="Y487" s="268"/>
      <c r="Z487" s="268"/>
      <c r="AA487" s="268"/>
      <c r="AB487" s="268"/>
      <c r="AC487" s="268"/>
      <c r="AD487" s="268"/>
      <c r="AE487" s="268"/>
    </row>
    <row r="488" spans="1:31" ht="24.75" customHeight="1">
      <c r="A488" s="268"/>
      <c r="B488" s="268"/>
      <c r="C488" s="268"/>
      <c r="D488" s="268"/>
      <c r="E488" s="268"/>
      <c r="F488" s="268"/>
      <c r="G488" s="268"/>
      <c r="H488" s="268"/>
      <c r="I488" s="268"/>
      <c r="J488" s="268"/>
      <c r="K488" s="268"/>
      <c r="L488" s="309"/>
      <c r="M488" s="268"/>
      <c r="N488" s="268"/>
      <c r="O488" s="310"/>
      <c r="P488" s="268"/>
      <c r="Q488" s="309"/>
      <c r="R488" s="268"/>
      <c r="S488" s="313"/>
      <c r="T488" s="313"/>
      <c r="U488" s="268"/>
      <c r="V488" s="309"/>
      <c r="W488" s="310"/>
      <c r="X488" s="268"/>
      <c r="Y488" s="268"/>
      <c r="Z488" s="268"/>
      <c r="AA488" s="268"/>
      <c r="AB488" s="268"/>
      <c r="AC488" s="268"/>
      <c r="AD488" s="268"/>
      <c r="AE488" s="268"/>
    </row>
    <row r="489" spans="1:31" ht="24.75" customHeight="1">
      <c r="A489" s="268"/>
      <c r="B489" s="268"/>
      <c r="C489" s="268"/>
      <c r="D489" s="268"/>
      <c r="E489" s="268"/>
      <c r="F489" s="268"/>
      <c r="G489" s="268"/>
      <c r="H489" s="268"/>
      <c r="I489" s="268"/>
      <c r="J489" s="268"/>
      <c r="K489" s="268"/>
      <c r="L489" s="309"/>
      <c r="M489" s="268"/>
      <c r="N489" s="268"/>
      <c r="O489" s="310"/>
      <c r="P489" s="268"/>
      <c r="Q489" s="309"/>
      <c r="R489" s="268"/>
      <c r="S489" s="313"/>
      <c r="T489" s="313"/>
      <c r="U489" s="268"/>
      <c r="V489" s="309"/>
      <c r="W489" s="310"/>
      <c r="X489" s="268"/>
      <c r="Y489" s="268"/>
      <c r="Z489" s="268"/>
      <c r="AA489" s="268"/>
      <c r="AB489" s="268"/>
      <c r="AC489" s="268"/>
      <c r="AD489" s="268"/>
      <c r="AE489" s="268"/>
    </row>
    <row r="490" spans="1:31" ht="24.75" customHeight="1">
      <c r="A490" s="268"/>
      <c r="B490" s="268"/>
      <c r="C490" s="268"/>
      <c r="D490" s="268"/>
      <c r="E490" s="268"/>
      <c r="F490" s="268"/>
      <c r="G490" s="268"/>
      <c r="H490" s="268"/>
      <c r="I490" s="268"/>
      <c r="J490" s="268"/>
      <c r="K490" s="268"/>
      <c r="L490" s="309"/>
      <c r="M490" s="268"/>
      <c r="N490" s="268"/>
      <c r="O490" s="310"/>
      <c r="P490" s="268"/>
      <c r="Q490" s="309"/>
      <c r="R490" s="268"/>
      <c r="S490" s="313"/>
      <c r="T490" s="313"/>
      <c r="U490" s="268"/>
      <c r="V490" s="309"/>
      <c r="W490" s="310"/>
      <c r="X490" s="268"/>
      <c r="Y490" s="268"/>
      <c r="Z490" s="268"/>
      <c r="AA490" s="268"/>
      <c r="AB490" s="268"/>
      <c r="AC490" s="268"/>
      <c r="AD490" s="268"/>
      <c r="AE490" s="268"/>
    </row>
    <row r="491" spans="1:31" ht="24.75" customHeight="1">
      <c r="A491" s="268"/>
      <c r="B491" s="268"/>
      <c r="C491" s="268"/>
      <c r="D491" s="268"/>
      <c r="E491" s="268"/>
      <c r="F491" s="268"/>
      <c r="G491" s="268"/>
      <c r="H491" s="268"/>
      <c r="I491" s="268"/>
      <c r="J491" s="268"/>
      <c r="K491" s="268"/>
      <c r="L491" s="309"/>
      <c r="M491" s="268"/>
      <c r="N491" s="268"/>
      <c r="O491" s="310"/>
      <c r="P491" s="268"/>
      <c r="Q491" s="309"/>
      <c r="R491" s="268"/>
      <c r="S491" s="313"/>
      <c r="T491" s="313"/>
      <c r="U491" s="268"/>
      <c r="V491" s="309"/>
      <c r="W491" s="310"/>
      <c r="X491" s="268"/>
      <c r="Y491" s="268"/>
      <c r="Z491" s="268"/>
      <c r="AA491" s="268"/>
      <c r="AB491" s="268"/>
      <c r="AC491" s="268"/>
      <c r="AD491" s="268"/>
      <c r="AE491" s="268"/>
    </row>
    <row r="492" spans="1:31" ht="24.75" customHeight="1">
      <c r="A492" s="268"/>
      <c r="B492" s="268"/>
      <c r="C492" s="268"/>
      <c r="D492" s="268"/>
      <c r="E492" s="268"/>
      <c r="F492" s="268"/>
      <c r="G492" s="268"/>
      <c r="H492" s="268"/>
      <c r="I492" s="268"/>
      <c r="J492" s="268"/>
      <c r="K492" s="268"/>
      <c r="L492" s="309"/>
      <c r="M492" s="268"/>
      <c r="N492" s="268"/>
      <c r="O492" s="310"/>
      <c r="P492" s="268"/>
      <c r="Q492" s="309"/>
      <c r="R492" s="268"/>
      <c r="S492" s="313"/>
      <c r="T492" s="313"/>
      <c r="U492" s="268"/>
      <c r="V492" s="309"/>
      <c r="W492" s="310"/>
      <c r="X492" s="268"/>
      <c r="Y492" s="268"/>
      <c r="Z492" s="268"/>
      <c r="AA492" s="268"/>
      <c r="AB492" s="268"/>
      <c r="AC492" s="268"/>
      <c r="AD492" s="268"/>
      <c r="AE492" s="268"/>
    </row>
    <row r="493" spans="1:31" ht="24.75" customHeight="1">
      <c r="A493" s="268"/>
      <c r="B493" s="268"/>
      <c r="C493" s="268"/>
      <c r="D493" s="268"/>
      <c r="E493" s="268"/>
      <c r="F493" s="268"/>
      <c r="G493" s="268"/>
      <c r="H493" s="268"/>
      <c r="I493" s="268"/>
      <c r="J493" s="268"/>
      <c r="K493" s="268"/>
      <c r="L493" s="309"/>
      <c r="M493" s="268"/>
      <c r="N493" s="268"/>
      <c r="O493" s="310"/>
      <c r="P493" s="268"/>
      <c r="Q493" s="309"/>
      <c r="R493" s="268"/>
      <c r="S493" s="313"/>
      <c r="T493" s="313"/>
      <c r="U493" s="268"/>
      <c r="V493" s="309"/>
      <c r="W493" s="310"/>
      <c r="X493" s="268"/>
      <c r="Y493" s="268"/>
      <c r="Z493" s="268"/>
      <c r="AA493" s="268"/>
      <c r="AB493" s="268"/>
      <c r="AC493" s="268"/>
      <c r="AD493" s="268"/>
      <c r="AE493" s="268"/>
    </row>
    <row r="494" spans="1:31" ht="24.75" customHeight="1">
      <c r="A494" s="268"/>
      <c r="B494" s="268"/>
      <c r="C494" s="268"/>
      <c r="D494" s="268"/>
      <c r="E494" s="268"/>
      <c r="F494" s="268"/>
      <c r="G494" s="268"/>
      <c r="H494" s="268"/>
      <c r="I494" s="268"/>
      <c r="J494" s="268"/>
      <c r="K494" s="268"/>
      <c r="L494" s="309"/>
      <c r="M494" s="268"/>
      <c r="N494" s="268"/>
      <c r="O494" s="310"/>
      <c r="P494" s="268"/>
      <c r="Q494" s="309"/>
      <c r="R494" s="268"/>
      <c r="S494" s="313"/>
      <c r="T494" s="313"/>
      <c r="U494" s="268"/>
      <c r="V494" s="309"/>
      <c r="W494" s="310"/>
      <c r="X494" s="268"/>
      <c r="Y494" s="268"/>
      <c r="Z494" s="268"/>
      <c r="AA494" s="268"/>
      <c r="AB494" s="268"/>
      <c r="AC494" s="268"/>
      <c r="AD494" s="268"/>
      <c r="AE494" s="268"/>
    </row>
    <row r="495" spans="1:31" ht="24.75" customHeight="1">
      <c r="A495" s="268"/>
      <c r="B495" s="268"/>
      <c r="C495" s="268"/>
      <c r="D495" s="268"/>
      <c r="E495" s="268"/>
      <c r="F495" s="268"/>
      <c r="G495" s="268"/>
      <c r="H495" s="268"/>
      <c r="I495" s="268"/>
      <c r="J495" s="268"/>
      <c r="K495" s="268"/>
      <c r="L495" s="309"/>
      <c r="M495" s="268"/>
      <c r="N495" s="268"/>
      <c r="O495" s="310"/>
      <c r="P495" s="268"/>
      <c r="Q495" s="309"/>
      <c r="R495" s="268"/>
      <c r="S495" s="313"/>
      <c r="T495" s="313"/>
      <c r="U495" s="268"/>
      <c r="V495" s="309"/>
      <c r="W495" s="310"/>
      <c r="X495" s="268"/>
      <c r="Y495" s="268"/>
      <c r="Z495" s="268"/>
      <c r="AA495" s="268"/>
      <c r="AB495" s="268"/>
      <c r="AC495" s="268"/>
      <c r="AD495" s="268"/>
      <c r="AE495" s="268"/>
    </row>
    <row r="496" spans="1:31" ht="24.75" customHeight="1">
      <c r="A496" s="268"/>
      <c r="B496" s="268"/>
      <c r="C496" s="268"/>
      <c r="D496" s="268"/>
      <c r="E496" s="268"/>
      <c r="F496" s="268"/>
      <c r="G496" s="268"/>
      <c r="H496" s="268"/>
      <c r="I496" s="268"/>
      <c r="J496" s="268"/>
      <c r="K496" s="268"/>
      <c r="L496" s="309"/>
      <c r="M496" s="268"/>
      <c r="N496" s="268"/>
      <c r="O496" s="310"/>
      <c r="P496" s="268"/>
      <c r="Q496" s="309"/>
      <c r="R496" s="268"/>
      <c r="S496" s="313"/>
      <c r="T496" s="313"/>
      <c r="U496" s="268"/>
      <c r="V496" s="309"/>
      <c r="W496" s="310"/>
      <c r="X496" s="268"/>
      <c r="Y496" s="268"/>
      <c r="Z496" s="268"/>
      <c r="AA496" s="268"/>
      <c r="AB496" s="268"/>
      <c r="AC496" s="268"/>
      <c r="AD496" s="268"/>
      <c r="AE496" s="268"/>
    </row>
    <row r="497" spans="1:31" ht="24.75" customHeight="1">
      <c r="A497" s="268"/>
      <c r="B497" s="268"/>
      <c r="C497" s="268"/>
      <c r="D497" s="268"/>
      <c r="E497" s="268"/>
      <c r="F497" s="268"/>
      <c r="G497" s="268"/>
      <c r="H497" s="268"/>
      <c r="I497" s="268"/>
      <c r="J497" s="268"/>
      <c r="K497" s="268"/>
      <c r="L497" s="309"/>
      <c r="M497" s="268"/>
      <c r="N497" s="268"/>
      <c r="O497" s="310"/>
      <c r="P497" s="268"/>
      <c r="Q497" s="309"/>
      <c r="R497" s="268"/>
      <c r="S497" s="313"/>
      <c r="T497" s="313"/>
      <c r="U497" s="268"/>
      <c r="V497" s="309"/>
      <c r="W497" s="310"/>
      <c r="X497" s="268"/>
      <c r="Y497" s="268"/>
      <c r="Z497" s="268"/>
      <c r="AA497" s="268"/>
      <c r="AB497" s="268"/>
      <c r="AC497" s="268"/>
      <c r="AD497" s="268"/>
      <c r="AE497" s="268"/>
    </row>
    <row r="498" spans="1:31" ht="24.75" customHeight="1">
      <c r="A498" s="268"/>
      <c r="B498" s="268"/>
      <c r="C498" s="268"/>
      <c r="D498" s="268"/>
      <c r="E498" s="268"/>
      <c r="F498" s="268"/>
      <c r="G498" s="268"/>
      <c r="H498" s="268"/>
      <c r="I498" s="268"/>
      <c r="J498" s="268"/>
      <c r="K498" s="268"/>
      <c r="L498" s="309"/>
      <c r="M498" s="268"/>
      <c r="N498" s="268"/>
      <c r="O498" s="310"/>
      <c r="P498" s="268"/>
      <c r="Q498" s="309"/>
      <c r="R498" s="268"/>
      <c r="S498" s="313"/>
      <c r="T498" s="313"/>
      <c r="U498" s="268"/>
      <c r="V498" s="309"/>
      <c r="W498" s="310"/>
      <c r="X498" s="268"/>
      <c r="Y498" s="268"/>
      <c r="Z498" s="268"/>
      <c r="AA498" s="268"/>
      <c r="AB498" s="268"/>
      <c r="AC498" s="268"/>
      <c r="AD498" s="268"/>
      <c r="AE498" s="268"/>
    </row>
    <row r="499" spans="1:31" ht="24.75" customHeight="1">
      <c r="A499" s="268"/>
      <c r="B499" s="268"/>
      <c r="C499" s="268"/>
      <c r="D499" s="268"/>
      <c r="E499" s="268"/>
      <c r="F499" s="268"/>
      <c r="G499" s="268"/>
      <c r="H499" s="268"/>
      <c r="I499" s="268"/>
      <c r="J499" s="268"/>
      <c r="K499" s="268"/>
      <c r="L499" s="309"/>
      <c r="M499" s="268"/>
      <c r="N499" s="268"/>
      <c r="O499" s="310"/>
      <c r="P499" s="268"/>
      <c r="Q499" s="309"/>
      <c r="R499" s="268"/>
      <c r="S499" s="313"/>
      <c r="T499" s="313"/>
      <c r="U499" s="268"/>
      <c r="V499" s="309"/>
      <c r="W499" s="310"/>
      <c r="X499" s="268"/>
      <c r="Y499" s="268"/>
      <c r="Z499" s="268"/>
      <c r="AA499" s="268"/>
      <c r="AB499" s="268"/>
      <c r="AC499" s="268"/>
      <c r="AD499" s="268"/>
      <c r="AE499" s="268"/>
    </row>
    <row r="500" spans="1:31" ht="24.75" customHeight="1">
      <c r="A500" s="268"/>
      <c r="B500" s="268"/>
      <c r="C500" s="268"/>
      <c r="D500" s="268"/>
      <c r="E500" s="268"/>
      <c r="F500" s="268"/>
      <c r="G500" s="268"/>
      <c r="H500" s="268"/>
      <c r="I500" s="268"/>
      <c r="J500" s="268"/>
      <c r="K500" s="268"/>
      <c r="L500" s="309"/>
      <c r="M500" s="268"/>
      <c r="N500" s="268"/>
      <c r="O500" s="310"/>
      <c r="P500" s="268"/>
      <c r="Q500" s="309"/>
      <c r="R500" s="268"/>
      <c r="S500" s="313"/>
      <c r="T500" s="313"/>
      <c r="U500" s="268"/>
      <c r="V500" s="309"/>
      <c r="W500" s="310"/>
      <c r="X500" s="268"/>
      <c r="Y500" s="268"/>
      <c r="Z500" s="268"/>
      <c r="AA500" s="268"/>
      <c r="AB500" s="268"/>
      <c r="AC500" s="268"/>
      <c r="AD500" s="268"/>
      <c r="AE500" s="268"/>
    </row>
    <row r="501" spans="1:31" ht="24.75" customHeight="1">
      <c r="A501" s="268"/>
      <c r="B501" s="268"/>
      <c r="C501" s="268"/>
      <c r="D501" s="268"/>
      <c r="E501" s="268"/>
      <c r="F501" s="268"/>
      <c r="G501" s="268"/>
      <c r="H501" s="268"/>
      <c r="I501" s="268"/>
      <c r="J501" s="268"/>
      <c r="K501" s="268"/>
      <c r="L501" s="309"/>
      <c r="M501" s="268"/>
      <c r="N501" s="268"/>
      <c r="O501" s="310"/>
      <c r="P501" s="268"/>
      <c r="Q501" s="309"/>
      <c r="R501" s="268"/>
      <c r="S501" s="313"/>
      <c r="T501" s="313"/>
      <c r="U501" s="268"/>
      <c r="V501" s="309"/>
      <c r="W501" s="310"/>
      <c r="X501" s="268"/>
      <c r="Y501" s="268"/>
      <c r="Z501" s="268"/>
      <c r="AA501" s="268"/>
      <c r="AB501" s="268"/>
      <c r="AC501" s="268"/>
      <c r="AD501" s="268"/>
      <c r="AE501" s="268"/>
    </row>
    <row r="502" spans="1:31" ht="24.75" customHeight="1">
      <c r="A502" s="268"/>
      <c r="B502" s="268"/>
      <c r="C502" s="268"/>
      <c r="D502" s="268"/>
      <c r="E502" s="268"/>
      <c r="F502" s="268"/>
      <c r="G502" s="268"/>
      <c r="H502" s="268"/>
      <c r="I502" s="268"/>
      <c r="J502" s="268"/>
      <c r="K502" s="268"/>
      <c r="L502" s="309"/>
      <c r="M502" s="268"/>
      <c r="N502" s="268"/>
      <c r="O502" s="310"/>
      <c r="P502" s="268"/>
      <c r="Q502" s="309"/>
      <c r="R502" s="268"/>
      <c r="S502" s="313"/>
      <c r="T502" s="313"/>
      <c r="U502" s="268"/>
      <c r="V502" s="309"/>
      <c r="W502" s="310"/>
      <c r="X502" s="268"/>
      <c r="Y502" s="268"/>
      <c r="Z502" s="268"/>
      <c r="AA502" s="268"/>
      <c r="AB502" s="268"/>
      <c r="AC502" s="268"/>
      <c r="AD502" s="268"/>
      <c r="AE502" s="268"/>
    </row>
    <row r="503" spans="1:31" ht="24.75" customHeight="1">
      <c r="A503" s="268"/>
      <c r="B503" s="268"/>
      <c r="C503" s="268"/>
      <c r="D503" s="268"/>
      <c r="E503" s="268"/>
      <c r="F503" s="268"/>
      <c r="G503" s="268"/>
      <c r="H503" s="268"/>
      <c r="I503" s="268"/>
      <c r="J503" s="268"/>
      <c r="K503" s="268"/>
      <c r="L503" s="309"/>
      <c r="M503" s="268"/>
      <c r="N503" s="268"/>
      <c r="O503" s="310"/>
      <c r="P503" s="268"/>
      <c r="Q503" s="309"/>
      <c r="R503" s="268"/>
      <c r="S503" s="313"/>
      <c r="T503" s="313"/>
      <c r="U503" s="268"/>
      <c r="V503" s="309"/>
      <c r="W503" s="310"/>
      <c r="X503" s="268"/>
      <c r="Y503" s="268"/>
      <c r="Z503" s="268"/>
      <c r="AA503" s="268"/>
      <c r="AB503" s="268"/>
      <c r="AC503" s="268"/>
      <c r="AD503" s="268"/>
      <c r="AE503" s="268"/>
    </row>
    <row r="504" spans="1:31" ht="24.75" customHeight="1">
      <c r="A504" s="268"/>
      <c r="B504" s="268"/>
      <c r="C504" s="268"/>
      <c r="D504" s="268"/>
      <c r="E504" s="268"/>
      <c r="F504" s="268"/>
      <c r="G504" s="268"/>
      <c r="H504" s="268"/>
      <c r="I504" s="268"/>
      <c r="J504" s="268"/>
      <c r="K504" s="268"/>
      <c r="L504" s="309"/>
      <c r="M504" s="268"/>
      <c r="N504" s="268"/>
      <c r="O504" s="310"/>
      <c r="P504" s="268"/>
      <c r="Q504" s="309"/>
      <c r="R504" s="268"/>
      <c r="S504" s="313"/>
      <c r="T504" s="313"/>
      <c r="U504" s="268"/>
      <c r="V504" s="309"/>
      <c r="W504" s="310"/>
      <c r="X504" s="268"/>
      <c r="Y504" s="268"/>
      <c r="Z504" s="268"/>
      <c r="AA504" s="268"/>
      <c r="AB504" s="268"/>
      <c r="AC504" s="268"/>
      <c r="AD504" s="268"/>
      <c r="AE504" s="268"/>
    </row>
    <row r="505" spans="1:31" ht="24.75" customHeight="1">
      <c r="A505" s="268"/>
      <c r="B505" s="268"/>
      <c r="C505" s="268"/>
      <c r="D505" s="268"/>
      <c r="E505" s="268"/>
      <c r="F505" s="268"/>
      <c r="G505" s="268"/>
      <c r="H505" s="268"/>
      <c r="I505" s="268"/>
      <c r="J505" s="268"/>
      <c r="K505" s="268"/>
      <c r="L505" s="309"/>
      <c r="M505" s="268"/>
      <c r="N505" s="268"/>
      <c r="O505" s="310"/>
      <c r="P505" s="268"/>
      <c r="Q505" s="309"/>
      <c r="R505" s="268"/>
      <c r="S505" s="313"/>
      <c r="T505" s="313"/>
      <c r="U505" s="268"/>
      <c r="V505" s="309"/>
      <c r="W505" s="310"/>
      <c r="X505" s="268"/>
      <c r="Y505" s="268"/>
      <c r="Z505" s="268"/>
      <c r="AA505" s="268"/>
      <c r="AB505" s="268"/>
      <c r="AC505" s="268"/>
      <c r="AD505" s="268"/>
      <c r="AE505" s="268"/>
    </row>
    <row r="506" spans="1:31" ht="24.75" customHeight="1">
      <c r="A506" s="268"/>
      <c r="B506" s="268"/>
      <c r="C506" s="268"/>
      <c r="D506" s="268"/>
      <c r="E506" s="268"/>
      <c r="F506" s="268"/>
      <c r="G506" s="268"/>
      <c r="H506" s="268"/>
      <c r="I506" s="268"/>
      <c r="J506" s="268"/>
      <c r="K506" s="268"/>
      <c r="L506" s="309"/>
      <c r="M506" s="268"/>
      <c r="N506" s="268"/>
      <c r="O506" s="310"/>
      <c r="P506" s="268"/>
      <c r="Q506" s="309"/>
      <c r="R506" s="268"/>
      <c r="S506" s="313"/>
      <c r="T506" s="313"/>
      <c r="U506" s="268"/>
      <c r="V506" s="309"/>
      <c r="W506" s="310"/>
      <c r="X506" s="268"/>
      <c r="Y506" s="268"/>
      <c r="Z506" s="268"/>
      <c r="AA506" s="268"/>
      <c r="AB506" s="268"/>
      <c r="AC506" s="268"/>
      <c r="AD506" s="268"/>
      <c r="AE506" s="268"/>
    </row>
    <row r="507" spans="1:31" ht="24.75" customHeight="1">
      <c r="A507" s="268"/>
      <c r="B507" s="268"/>
      <c r="C507" s="268"/>
      <c r="D507" s="268"/>
      <c r="E507" s="268"/>
      <c r="F507" s="268"/>
      <c r="G507" s="268"/>
      <c r="H507" s="268"/>
      <c r="I507" s="268"/>
      <c r="J507" s="268"/>
      <c r="K507" s="268"/>
      <c r="L507" s="309"/>
      <c r="M507" s="268"/>
      <c r="N507" s="268"/>
      <c r="O507" s="310"/>
      <c r="P507" s="268"/>
      <c r="Q507" s="309"/>
      <c r="R507" s="268"/>
      <c r="S507" s="313"/>
      <c r="T507" s="313"/>
      <c r="U507" s="268"/>
      <c r="V507" s="309"/>
      <c r="W507" s="310"/>
      <c r="X507" s="268"/>
      <c r="Y507" s="268"/>
      <c r="Z507" s="268"/>
      <c r="AA507" s="268"/>
      <c r="AB507" s="268"/>
      <c r="AC507" s="268"/>
      <c r="AD507" s="268"/>
      <c r="AE507" s="268"/>
    </row>
    <row r="508" spans="1:31" ht="24.75" customHeight="1">
      <c r="A508" s="268"/>
      <c r="B508" s="268"/>
      <c r="C508" s="268"/>
      <c r="D508" s="268"/>
      <c r="E508" s="268"/>
      <c r="F508" s="268"/>
      <c r="G508" s="268"/>
      <c r="H508" s="268"/>
      <c r="I508" s="268"/>
      <c r="J508" s="268"/>
      <c r="K508" s="268"/>
      <c r="L508" s="309"/>
      <c r="M508" s="268"/>
      <c r="N508" s="268"/>
      <c r="O508" s="310"/>
      <c r="P508" s="268"/>
      <c r="Q508" s="309"/>
      <c r="R508" s="268"/>
      <c r="S508" s="313"/>
      <c r="T508" s="313"/>
      <c r="U508" s="268"/>
      <c r="V508" s="309"/>
      <c r="W508" s="310"/>
      <c r="X508" s="268"/>
      <c r="Y508" s="268"/>
      <c r="Z508" s="268"/>
      <c r="AA508" s="268"/>
      <c r="AB508" s="268"/>
      <c r="AC508" s="268"/>
      <c r="AD508" s="268"/>
      <c r="AE508" s="268"/>
    </row>
    <row r="509" spans="1:31" ht="24.75" customHeight="1">
      <c r="A509" s="268"/>
      <c r="B509" s="268"/>
      <c r="C509" s="268"/>
      <c r="D509" s="268"/>
      <c r="E509" s="268"/>
      <c r="F509" s="268"/>
      <c r="G509" s="268"/>
      <c r="H509" s="268"/>
      <c r="I509" s="268"/>
      <c r="J509" s="268"/>
      <c r="K509" s="268"/>
      <c r="L509" s="309"/>
      <c r="M509" s="268"/>
      <c r="N509" s="268"/>
      <c r="O509" s="310"/>
      <c r="P509" s="268"/>
      <c r="Q509" s="309"/>
      <c r="R509" s="268"/>
      <c r="S509" s="313"/>
      <c r="T509" s="313"/>
      <c r="U509" s="268"/>
      <c r="V509" s="309"/>
      <c r="W509" s="310"/>
      <c r="X509" s="268"/>
      <c r="Y509" s="268"/>
      <c r="Z509" s="268"/>
      <c r="AA509" s="268"/>
      <c r="AB509" s="268"/>
      <c r="AC509" s="268"/>
      <c r="AD509" s="268"/>
      <c r="AE509" s="268"/>
    </row>
    <row r="510" spans="1:31" ht="24.75" customHeight="1">
      <c r="A510" s="268"/>
      <c r="B510" s="268"/>
      <c r="C510" s="268"/>
      <c r="D510" s="268"/>
      <c r="E510" s="268"/>
      <c r="F510" s="268"/>
      <c r="G510" s="268"/>
      <c r="H510" s="268"/>
      <c r="I510" s="268"/>
      <c r="J510" s="268"/>
      <c r="K510" s="268"/>
      <c r="L510" s="309"/>
      <c r="M510" s="268"/>
      <c r="N510" s="268"/>
      <c r="O510" s="310"/>
      <c r="P510" s="268"/>
      <c r="Q510" s="309"/>
      <c r="R510" s="268"/>
      <c r="S510" s="313"/>
      <c r="T510" s="313"/>
      <c r="U510" s="268"/>
      <c r="V510" s="309"/>
      <c r="W510" s="310"/>
      <c r="X510" s="268"/>
      <c r="Y510" s="268"/>
      <c r="Z510" s="268"/>
      <c r="AA510" s="268"/>
      <c r="AB510" s="268"/>
      <c r="AC510" s="268"/>
      <c r="AD510" s="268"/>
      <c r="AE510" s="268"/>
    </row>
    <row r="511" spans="1:31" ht="24.75" customHeight="1">
      <c r="A511" s="268"/>
      <c r="B511" s="268"/>
      <c r="C511" s="268"/>
      <c r="D511" s="268"/>
      <c r="E511" s="268"/>
      <c r="F511" s="268"/>
      <c r="G511" s="268"/>
      <c r="H511" s="268"/>
      <c r="I511" s="268"/>
      <c r="J511" s="268"/>
      <c r="K511" s="268"/>
      <c r="L511" s="309"/>
      <c r="M511" s="268"/>
      <c r="N511" s="268"/>
      <c r="O511" s="310"/>
      <c r="P511" s="268"/>
      <c r="Q511" s="309"/>
      <c r="R511" s="268"/>
      <c r="S511" s="313"/>
      <c r="T511" s="313"/>
      <c r="U511" s="268"/>
      <c r="V511" s="309"/>
      <c r="W511" s="310"/>
      <c r="X511" s="268"/>
      <c r="Y511" s="268"/>
      <c r="Z511" s="268"/>
      <c r="AA511" s="268"/>
      <c r="AB511" s="268"/>
      <c r="AC511" s="268"/>
      <c r="AD511" s="268"/>
      <c r="AE511" s="268"/>
    </row>
    <row r="512" spans="1:31" ht="24.75" customHeight="1">
      <c r="A512" s="268"/>
      <c r="B512" s="268"/>
      <c r="C512" s="268"/>
      <c r="D512" s="268"/>
      <c r="E512" s="268"/>
      <c r="F512" s="268"/>
      <c r="G512" s="268"/>
      <c r="H512" s="268"/>
      <c r="I512" s="268"/>
      <c r="J512" s="268"/>
      <c r="K512" s="268"/>
      <c r="L512" s="309"/>
      <c r="M512" s="268"/>
      <c r="N512" s="268"/>
      <c r="O512" s="310"/>
      <c r="P512" s="268"/>
      <c r="Q512" s="309"/>
      <c r="R512" s="268"/>
      <c r="S512" s="313"/>
      <c r="T512" s="313"/>
      <c r="U512" s="268"/>
      <c r="V512" s="309"/>
      <c r="W512" s="310"/>
      <c r="X512" s="268"/>
      <c r="Y512" s="268"/>
      <c r="Z512" s="268"/>
      <c r="AA512" s="268"/>
      <c r="AB512" s="268"/>
      <c r="AC512" s="268"/>
      <c r="AD512" s="268"/>
      <c r="AE512" s="268"/>
    </row>
    <row r="513" spans="1:31" ht="24.75" customHeight="1">
      <c r="A513" s="268"/>
      <c r="B513" s="268"/>
      <c r="C513" s="268"/>
      <c r="D513" s="268"/>
      <c r="E513" s="268"/>
      <c r="F513" s="268"/>
      <c r="G513" s="268"/>
      <c r="H513" s="268"/>
      <c r="I513" s="268"/>
      <c r="J513" s="268"/>
      <c r="K513" s="268"/>
      <c r="L513" s="309"/>
      <c r="M513" s="268"/>
      <c r="N513" s="268"/>
      <c r="O513" s="310"/>
      <c r="P513" s="268"/>
      <c r="Q513" s="309"/>
      <c r="R513" s="268"/>
      <c r="S513" s="313"/>
      <c r="T513" s="313"/>
      <c r="U513" s="268"/>
      <c r="V513" s="309"/>
      <c r="W513" s="310"/>
      <c r="X513" s="268"/>
      <c r="Y513" s="268"/>
      <c r="Z513" s="268"/>
      <c r="AA513" s="268"/>
      <c r="AB513" s="268"/>
      <c r="AC513" s="268"/>
      <c r="AD513" s="268"/>
      <c r="AE513" s="268"/>
    </row>
    <row r="514" spans="1:31" ht="24.75" customHeight="1">
      <c r="A514" s="268"/>
      <c r="B514" s="268"/>
      <c r="C514" s="268"/>
      <c r="D514" s="268"/>
      <c r="E514" s="268"/>
      <c r="F514" s="268"/>
      <c r="G514" s="268"/>
      <c r="H514" s="268"/>
      <c r="I514" s="268"/>
      <c r="J514" s="268"/>
      <c r="K514" s="268"/>
      <c r="L514" s="309"/>
      <c r="M514" s="268"/>
      <c r="N514" s="268"/>
      <c r="O514" s="310"/>
      <c r="P514" s="268"/>
      <c r="Q514" s="309"/>
      <c r="R514" s="268"/>
      <c r="S514" s="313"/>
      <c r="T514" s="313"/>
      <c r="U514" s="268"/>
      <c r="V514" s="309"/>
      <c r="W514" s="310"/>
      <c r="X514" s="268"/>
      <c r="Y514" s="268"/>
      <c r="Z514" s="268"/>
      <c r="AA514" s="268"/>
      <c r="AB514" s="268"/>
      <c r="AC514" s="268"/>
      <c r="AD514" s="268"/>
      <c r="AE514" s="268"/>
    </row>
    <row r="515" spans="1:31" ht="24.75" customHeight="1">
      <c r="A515" s="268"/>
      <c r="B515" s="268"/>
      <c r="C515" s="268"/>
      <c r="D515" s="268"/>
      <c r="E515" s="268"/>
      <c r="F515" s="268"/>
      <c r="G515" s="268"/>
      <c r="H515" s="268"/>
      <c r="I515" s="268"/>
      <c r="J515" s="268"/>
      <c r="K515" s="268"/>
      <c r="L515" s="309"/>
      <c r="M515" s="268"/>
      <c r="N515" s="268"/>
      <c r="O515" s="310"/>
      <c r="P515" s="268"/>
      <c r="Q515" s="309"/>
      <c r="R515" s="268"/>
      <c r="S515" s="313"/>
      <c r="T515" s="313"/>
      <c r="U515" s="268"/>
      <c r="V515" s="309"/>
      <c r="W515" s="310"/>
      <c r="X515" s="268"/>
      <c r="Y515" s="268"/>
      <c r="Z515" s="268"/>
      <c r="AA515" s="268"/>
      <c r="AB515" s="268"/>
      <c r="AC515" s="268"/>
      <c r="AD515" s="268"/>
      <c r="AE515" s="268"/>
    </row>
    <row r="516" spans="1:31" ht="24.75" customHeight="1">
      <c r="A516" s="268"/>
      <c r="B516" s="268"/>
      <c r="C516" s="268"/>
      <c r="D516" s="268"/>
      <c r="E516" s="268"/>
      <c r="F516" s="268"/>
      <c r="G516" s="268"/>
      <c r="H516" s="268"/>
      <c r="I516" s="268"/>
      <c r="J516" s="268"/>
      <c r="K516" s="268"/>
      <c r="L516" s="309"/>
      <c r="M516" s="268"/>
      <c r="N516" s="268"/>
      <c r="O516" s="310"/>
      <c r="P516" s="268"/>
      <c r="Q516" s="309"/>
      <c r="R516" s="268"/>
      <c r="S516" s="313"/>
      <c r="T516" s="313"/>
      <c r="U516" s="268"/>
      <c r="V516" s="309"/>
      <c r="W516" s="310"/>
      <c r="X516" s="268"/>
      <c r="Y516" s="268"/>
      <c r="Z516" s="268"/>
      <c r="AA516" s="268"/>
      <c r="AB516" s="268"/>
      <c r="AC516" s="268"/>
      <c r="AD516" s="268"/>
      <c r="AE516" s="268"/>
    </row>
    <row r="517" spans="1:31" ht="24.75" customHeight="1">
      <c r="A517" s="268"/>
      <c r="B517" s="268"/>
      <c r="C517" s="268"/>
      <c r="D517" s="268"/>
      <c r="E517" s="268"/>
      <c r="F517" s="268"/>
      <c r="G517" s="268"/>
      <c r="H517" s="268"/>
      <c r="I517" s="268"/>
      <c r="J517" s="268"/>
      <c r="K517" s="268"/>
      <c r="L517" s="309"/>
      <c r="M517" s="268"/>
      <c r="N517" s="268"/>
      <c r="O517" s="310"/>
      <c r="P517" s="268"/>
      <c r="Q517" s="309"/>
      <c r="R517" s="268"/>
      <c r="S517" s="313"/>
      <c r="T517" s="313"/>
      <c r="U517" s="268"/>
      <c r="V517" s="309"/>
      <c r="W517" s="310"/>
      <c r="X517" s="268"/>
      <c r="Y517" s="268"/>
      <c r="Z517" s="268"/>
      <c r="AA517" s="268"/>
      <c r="AB517" s="268"/>
      <c r="AC517" s="268"/>
      <c r="AD517" s="268"/>
      <c r="AE517" s="268"/>
    </row>
    <row r="518" spans="1:31" ht="24.75" customHeight="1">
      <c r="A518" s="268"/>
      <c r="B518" s="268"/>
      <c r="C518" s="268"/>
      <c r="D518" s="268"/>
      <c r="E518" s="268"/>
      <c r="F518" s="268"/>
      <c r="G518" s="268"/>
      <c r="H518" s="268"/>
      <c r="I518" s="268"/>
      <c r="J518" s="268"/>
      <c r="K518" s="268"/>
      <c r="L518" s="309"/>
      <c r="M518" s="268"/>
      <c r="N518" s="268"/>
      <c r="O518" s="310"/>
      <c r="P518" s="268"/>
      <c r="Q518" s="309"/>
      <c r="R518" s="268"/>
      <c r="S518" s="313"/>
      <c r="T518" s="313"/>
      <c r="U518" s="268"/>
      <c r="V518" s="309"/>
      <c r="W518" s="310"/>
      <c r="X518" s="268"/>
      <c r="Y518" s="268"/>
      <c r="Z518" s="268"/>
      <c r="AA518" s="268"/>
      <c r="AB518" s="268"/>
      <c r="AC518" s="268"/>
      <c r="AD518" s="268"/>
      <c r="AE518" s="268"/>
    </row>
    <row r="519" spans="1:31" ht="24.75" customHeight="1">
      <c r="A519" s="268"/>
      <c r="B519" s="268"/>
      <c r="C519" s="268"/>
      <c r="D519" s="268"/>
      <c r="E519" s="268"/>
      <c r="F519" s="268"/>
      <c r="G519" s="268"/>
      <c r="H519" s="268"/>
      <c r="I519" s="268"/>
      <c r="J519" s="268"/>
      <c r="K519" s="268"/>
      <c r="L519" s="309"/>
      <c r="M519" s="268"/>
      <c r="N519" s="268"/>
      <c r="O519" s="310"/>
      <c r="P519" s="268"/>
      <c r="Q519" s="309"/>
      <c r="R519" s="268"/>
      <c r="S519" s="313"/>
      <c r="T519" s="313"/>
      <c r="U519" s="268"/>
      <c r="V519" s="309"/>
      <c r="W519" s="310"/>
      <c r="X519" s="268"/>
      <c r="Y519" s="268"/>
      <c r="Z519" s="268"/>
      <c r="AA519" s="268"/>
      <c r="AB519" s="268"/>
      <c r="AC519" s="268"/>
      <c r="AD519" s="268"/>
      <c r="AE519" s="268"/>
    </row>
    <row r="520" spans="1:31" ht="24.75" customHeight="1">
      <c r="A520" s="268"/>
      <c r="B520" s="268"/>
      <c r="C520" s="268"/>
      <c r="D520" s="268"/>
      <c r="E520" s="268"/>
      <c r="F520" s="268"/>
      <c r="G520" s="268"/>
      <c r="H520" s="268"/>
      <c r="I520" s="268"/>
      <c r="J520" s="268"/>
      <c r="K520" s="268"/>
      <c r="L520" s="309"/>
      <c r="M520" s="268"/>
      <c r="N520" s="268"/>
      <c r="O520" s="310"/>
      <c r="P520" s="268"/>
      <c r="Q520" s="309"/>
      <c r="R520" s="268"/>
      <c r="S520" s="313"/>
      <c r="T520" s="313"/>
      <c r="U520" s="268"/>
      <c r="V520" s="309"/>
      <c r="W520" s="310"/>
      <c r="X520" s="268"/>
      <c r="Y520" s="268"/>
      <c r="Z520" s="268"/>
      <c r="AA520" s="268"/>
      <c r="AB520" s="268"/>
      <c r="AC520" s="268"/>
      <c r="AD520" s="268"/>
      <c r="AE520" s="268"/>
    </row>
    <row r="521" spans="1:31" ht="24.75" customHeight="1">
      <c r="A521" s="268"/>
      <c r="B521" s="268"/>
      <c r="C521" s="268"/>
      <c r="D521" s="268"/>
      <c r="E521" s="268"/>
      <c r="F521" s="268"/>
      <c r="G521" s="268"/>
      <c r="H521" s="268"/>
      <c r="I521" s="268"/>
      <c r="J521" s="268"/>
      <c r="K521" s="268"/>
      <c r="L521" s="309"/>
      <c r="M521" s="268"/>
      <c r="N521" s="268"/>
      <c r="O521" s="310"/>
      <c r="P521" s="268"/>
      <c r="Q521" s="309"/>
      <c r="R521" s="268"/>
      <c r="S521" s="313"/>
      <c r="T521" s="313"/>
      <c r="U521" s="268"/>
      <c r="V521" s="309"/>
      <c r="W521" s="310"/>
      <c r="X521" s="268"/>
      <c r="Y521" s="268"/>
      <c r="Z521" s="268"/>
      <c r="AA521" s="268"/>
      <c r="AB521" s="268"/>
      <c r="AC521" s="268"/>
      <c r="AD521" s="268"/>
      <c r="AE521" s="268"/>
    </row>
    <row r="522" spans="1:31" ht="24.75" customHeight="1">
      <c r="A522" s="268"/>
      <c r="B522" s="268"/>
      <c r="C522" s="268"/>
      <c r="D522" s="268"/>
      <c r="E522" s="268"/>
      <c r="F522" s="268"/>
      <c r="G522" s="268"/>
      <c r="H522" s="268"/>
      <c r="I522" s="268"/>
      <c r="J522" s="268"/>
      <c r="K522" s="268"/>
      <c r="L522" s="309"/>
      <c r="M522" s="268"/>
      <c r="N522" s="268"/>
      <c r="O522" s="310"/>
      <c r="P522" s="268"/>
      <c r="Q522" s="309"/>
      <c r="R522" s="268"/>
      <c r="S522" s="313"/>
      <c r="T522" s="313"/>
      <c r="U522" s="268"/>
      <c r="V522" s="309"/>
      <c r="W522" s="310"/>
      <c r="X522" s="268"/>
      <c r="Y522" s="268"/>
      <c r="Z522" s="268"/>
      <c r="AA522" s="268"/>
      <c r="AB522" s="268"/>
      <c r="AC522" s="268"/>
      <c r="AD522" s="268"/>
      <c r="AE522" s="268"/>
    </row>
    <row r="523" spans="1:31" ht="24.75" customHeight="1">
      <c r="A523" s="268"/>
      <c r="B523" s="268"/>
      <c r="C523" s="268"/>
      <c r="D523" s="268"/>
      <c r="E523" s="268"/>
      <c r="F523" s="268"/>
      <c r="G523" s="268"/>
      <c r="H523" s="268"/>
      <c r="I523" s="268"/>
      <c r="J523" s="268"/>
      <c r="K523" s="268"/>
      <c r="L523" s="309"/>
      <c r="M523" s="268"/>
      <c r="N523" s="268"/>
      <c r="O523" s="310"/>
      <c r="P523" s="268"/>
      <c r="Q523" s="309"/>
      <c r="R523" s="268"/>
      <c r="S523" s="313"/>
      <c r="T523" s="313"/>
      <c r="U523" s="268"/>
      <c r="V523" s="309"/>
      <c r="W523" s="310"/>
      <c r="X523" s="268"/>
      <c r="Y523" s="268"/>
      <c r="Z523" s="268"/>
      <c r="AA523" s="268"/>
      <c r="AB523" s="268"/>
      <c r="AC523" s="268"/>
      <c r="AD523" s="268"/>
      <c r="AE523" s="268"/>
    </row>
    <row r="524" spans="1:31" ht="24.75" customHeight="1">
      <c r="A524" s="268"/>
      <c r="B524" s="268"/>
      <c r="C524" s="268"/>
      <c r="D524" s="268"/>
      <c r="E524" s="268"/>
      <c r="F524" s="268"/>
      <c r="G524" s="268"/>
      <c r="H524" s="268"/>
      <c r="I524" s="268"/>
      <c r="J524" s="268"/>
      <c r="K524" s="268"/>
      <c r="L524" s="309"/>
      <c r="M524" s="268"/>
      <c r="N524" s="268"/>
      <c r="O524" s="310"/>
      <c r="P524" s="268"/>
      <c r="Q524" s="309"/>
      <c r="R524" s="268"/>
      <c r="S524" s="313"/>
      <c r="T524" s="313"/>
      <c r="U524" s="268"/>
      <c r="V524" s="309"/>
      <c r="W524" s="310"/>
      <c r="X524" s="268"/>
      <c r="Y524" s="268"/>
      <c r="Z524" s="268"/>
      <c r="AA524" s="268"/>
      <c r="AB524" s="268"/>
      <c r="AC524" s="268"/>
      <c r="AD524" s="268"/>
      <c r="AE524" s="268"/>
    </row>
    <row r="525" spans="1:31" ht="24.75" customHeight="1">
      <c r="A525" s="268"/>
      <c r="B525" s="268"/>
      <c r="C525" s="268"/>
      <c r="D525" s="268"/>
      <c r="E525" s="268"/>
      <c r="F525" s="268"/>
      <c r="G525" s="268"/>
      <c r="H525" s="268"/>
      <c r="I525" s="268"/>
      <c r="J525" s="268"/>
      <c r="K525" s="268"/>
      <c r="L525" s="309"/>
      <c r="M525" s="268"/>
      <c r="N525" s="268"/>
      <c r="O525" s="310"/>
      <c r="P525" s="268"/>
      <c r="Q525" s="309"/>
      <c r="R525" s="268"/>
      <c r="S525" s="313"/>
      <c r="T525" s="313"/>
      <c r="U525" s="268"/>
      <c r="V525" s="309"/>
      <c r="W525" s="310"/>
      <c r="X525" s="268"/>
      <c r="Y525" s="268"/>
      <c r="Z525" s="268"/>
      <c r="AA525" s="268"/>
      <c r="AB525" s="268"/>
      <c r="AC525" s="268"/>
      <c r="AD525" s="268"/>
      <c r="AE525" s="268"/>
    </row>
    <row r="526" spans="1:31" ht="24.75" customHeight="1">
      <c r="A526" s="268"/>
      <c r="B526" s="268"/>
      <c r="C526" s="268"/>
      <c r="D526" s="268"/>
      <c r="E526" s="268"/>
      <c r="F526" s="268"/>
      <c r="G526" s="268"/>
      <c r="H526" s="268"/>
      <c r="I526" s="268"/>
      <c r="J526" s="268"/>
      <c r="K526" s="268"/>
      <c r="L526" s="309"/>
      <c r="M526" s="268"/>
      <c r="N526" s="268"/>
      <c r="O526" s="310"/>
      <c r="P526" s="268"/>
      <c r="Q526" s="309"/>
      <c r="R526" s="268"/>
      <c r="S526" s="313"/>
      <c r="T526" s="313"/>
      <c r="U526" s="268"/>
      <c r="V526" s="309"/>
      <c r="W526" s="310"/>
      <c r="X526" s="268"/>
      <c r="Y526" s="268"/>
      <c r="Z526" s="268"/>
      <c r="AA526" s="268"/>
      <c r="AB526" s="268"/>
      <c r="AC526" s="268"/>
      <c r="AD526" s="268"/>
      <c r="AE526" s="268"/>
    </row>
    <row r="527" spans="1:31" ht="24.75" customHeight="1">
      <c r="A527" s="268"/>
      <c r="B527" s="268"/>
      <c r="C527" s="268"/>
      <c r="D527" s="268"/>
      <c r="E527" s="268"/>
      <c r="F527" s="268"/>
      <c r="G527" s="268"/>
      <c r="H527" s="268"/>
      <c r="I527" s="268"/>
      <c r="J527" s="268"/>
      <c r="K527" s="268"/>
      <c r="L527" s="309"/>
      <c r="M527" s="268"/>
      <c r="N527" s="268"/>
      <c r="O527" s="310"/>
      <c r="P527" s="268"/>
      <c r="Q527" s="309"/>
      <c r="R527" s="268"/>
      <c r="S527" s="313"/>
      <c r="T527" s="313"/>
      <c r="U527" s="268"/>
      <c r="V527" s="309"/>
      <c r="W527" s="310"/>
      <c r="X527" s="268"/>
      <c r="Y527" s="268"/>
      <c r="Z527" s="268"/>
      <c r="AA527" s="268"/>
      <c r="AB527" s="268"/>
      <c r="AC527" s="268"/>
      <c r="AD527" s="268"/>
      <c r="AE527" s="268"/>
    </row>
    <row r="528" spans="1:31" ht="24.75" customHeight="1">
      <c r="A528" s="268"/>
      <c r="B528" s="268"/>
      <c r="C528" s="268"/>
      <c r="D528" s="268"/>
      <c r="E528" s="268"/>
      <c r="F528" s="268"/>
      <c r="G528" s="268"/>
      <c r="H528" s="268"/>
      <c r="I528" s="268"/>
      <c r="J528" s="268"/>
      <c r="K528" s="268"/>
      <c r="L528" s="309"/>
      <c r="M528" s="268"/>
      <c r="N528" s="268"/>
      <c r="O528" s="310"/>
      <c r="P528" s="268"/>
      <c r="Q528" s="309"/>
      <c r="R528" s="268"/>
      <c r="S528" s="313"/>
      <c r="T528" s="313"/>
      <c r="U528" s="268"/>
      <c r="V528" s="309"/>
      <c r="W528" s="310"/>
      <c r="X528" s="268"/>
      <c r="Y528" s="268"/>
      <c r="Z528" s="268"/>
      <c r="AA528" s="268"/>
      <c r="AB528" s="268"/>
      <c r="AC528" s="268"/>
      <c r="AD528" s="268"/>
      <c r="AE528" s="268"/>
    </row>
    <row r="529" spans="1:31" ht="24.75" customHeight="1">
      <c r="A529" s="268"/>
      <c r="B529" s="268"/>
      <c r="C529" s="268"/>
      <c r="D529" s="268"/>
      <c r="E529" s="268"/>
      <c r="F529" s="268"/>
      <c r="G529" s="268"/>
      <c r="H529" s="268"/>
      <c r="I529" s="268"/>
      <c r="J529" s="268"/>
      <c r="K529" s="268"/>
      <c r="L529" s="309"/>
      <c r="M529" s="268"/>
      <c r="N529" s="268"/>
      <c r="O529" s="310"/>
      <c r="P529" s="268"/>
      <c r="Q529" s="309"/>
      <c r="R529" s="268"/>
      <c r="S529" s="313"/>
      <c r="T529" s="313"/>
      <c r="U529" s="268"/>
      <c r="V529" s="309"/>
      <c r="W529" s="310"/>
      <c r="X529" s="268"/>
      <c r="Y529" s="268"/>
      <c r="Z529" s="268"/>
      <c r="AA529" s="268"/>
      <c r="AB529" s="268"/>
      <c r="AC529" s="268"/>
      <c r="AD529" s="268"/>
      <c r="AE529" s="268"/>
    </row>
    <row r="530" spans="1:31" ht="24.75" customHeight="1">
      <c r="A530" s="268"/>
      <c r="B530" s="268"/>
      <c r="C530" s="268"/>
      <c r="D530" s="268"/>
      <c r="E530" s="268"/>
      <c r="F530" s="268"/>
      <c r="G530" s="268"/>
      <c r="H530" s="268"/>
      <c r="I530" s="268"/>
      <c r="J530" s="268"/>
      <c r="K530" s="268"/>
      <c r="L530" s="309"/>
      <c r="M530" s="268"/>
      <c r="N530" s="268"/>
      <c r="O530" s="310"/>
      <c r="P530" s="268"/>
      <c r="Q530" s="309"/>
      <c r="R530" s="268"/>
      <c r="S530" s="313"/>
      <c r="T530" s="313"/>
      <c r="U530" s="268"/>
      <c r="V530" s="309"/>
      <c r="W530" s="310"/>
      <c r="X530" s="268"/>
      <c r="Y530" s="268"/>
      <c r="Z530" s="268"/>
      <c r="AA530" s="268"/>
      <c r="AB530" s="268"/>
      <c r="AC530" s="268"/>
      <c r="AD530" s="268"/>
      <c r="AE530" s="268"/>
    </row>
    <row r="531" spans="1:31" ht="24.75" customHeight="1">
      <c r="A531" s="268"/>
      <c r="B531" s="268"/>
      <c r="C531" s="268"/>
      <c r="D531" s="268"/>
      <c r="E531" s="268"/>
      <c r="F531" s="268"/>
      <c r="G531" s="268"/>
      <c r="H531" s="268"/>
      <c r="I531" s="268"/>
      <c r="J531" s="268"/>
      <c r="K531" s="268"/>
      <c r="L531" s="309"/>
      <c r="M531" s="268"/>
      <c r="N531" s="268"/>
      <c r="O531" s="310"/>
      <c r="P531" s="268"/>
      <c r="Q531" s="309"/>
      <c r="R531" s="268"/>
      <c r="S531" s="313"/>
      <c r="T531" s="313"/>
      <c r="U531" s="268"/>
      <c r="V531" s="309"/>
      <c r="W531" s="310"/>
      <c r="X531" s="268"/>
      <c r="Y531" s="268"/>
      <c r="Z531" s="268"/>
      <c r="AA531" s="268"/>
      <c r="AB531" s="268"/>
      <c r="AC531" s="268"/>
      <c r="AD531" s="268"/>
      <c r="AE531" s="268"/>
    </row>
    <row r="532" spans="1:31" ht="24.75" customHeight="1">
      <c r="A532" s="268"/>
      <c r="B532" s="268"/>
      <c r="C532" s="268"/>
      <c r="D532" s="268"/>
      <c r="E532" s="268"/>
      <c r="F532" s="268"/>
      <c r="G532" s="268"/>
      <c r="H532" s="268"/>
      <c r="I532" s="268"/>
      <c r="J532" s="268"/>
      <c r="K532" s="268"/>
      <c r="L532" s="309"/>
      <c r="M532" s="268"/>
      <c r="N532" s="268"/>
      <c r="O532" s="310"/>
      <c r="P532" s="268"/>
      <c r="Q532" s="309"/>
      <c r="R532" s="268"/>
      <c r="S532" s="313"/>
      <c r="T532" s="313"/>
      <c r="U532" s="268"/>
      <c r="V532" s="309"/>
      <c r="W532" s="310"/>
      <c r="X532" s="268"/>
      <c r="Y532" s="268"/>
      <c r="Z532" s="268"/>
      <c r="AA532" s="268"/>
      <c r="AB532" s="268"/>
      <c r="AC532" s="268"/>
      <c r="AD532" s="268"/>
      <c r="AE532" s="268"/>
    </row>
    <row r="533" spans="1:31" ht="24.75" customHeight="1">
      <c r="A533" s="268"/>
      <c r="B533" s="268"/>
      <c r="C533" s="268"/>
      <c r="D533" s="268"/>
      <c r="E533" s="268"/>
      <c r="F533" s="268"/>
      <c r="G533" s="268"/>
      <c r="H533" s="268"/>
      <c r="I533" s="268"/>
      <c r="J533" s="268"/>
      <c r="K533" s="268"/>
      <c r="L533" s="309"/>
      <c r="M533" s="268"/>
      <c r="N533" s="268"/>
      <c r="O533" s="310"/>
      <c r="P533" s="268"/>
      <c r="Q533" s="309"/>
      <c r="R533" s="268"/>
      <c r="S533" s="313"/>
      <c r="T533" s="313"/>
      <c r="U533" s="268"/>
      <c r="V533" s="309"/>
      <c r="W533" s="310"/>
      <c r="X533" s="268"/>
      <c r="Y533" s="268"/>
      <c r="Z533" s="268"/>
      <c r="AA533" s="268"/>
      <c r="AB533" s="268"/>
      <c r="AC533" s="268"/>
      <c r="AD533" s="268"/>
      <c r="AE533" s="268"/>
    </row>
    <row r="534" spans="1:31" ht="24.75" customHeight="1">
      <c r="A534" s="268"/>
      <c r="B534" s="268"/>
      <c r="C534" s="268"/>
      <c r="D534" s="268"/>
      <c r="E534" s="268"/>
      <c r="F534" s="268"/>
      <c r="G534" s="268"/>
      <c r="H534" s="268"/>
      <c r="I534" s="268"/>
      <c r="J534" s="268"/>
      <c r="K534" s="268"/>
      <c r="L534" s="309"/>
      <c r="M534" s="268"/>
      <c r="N534" s="268"/>
      <c r="O534" s="310"/>
      <c r="P534" s="268"/>
      <c r="Q534" s="309"/>
      <c r="R534" s="268"/>
      <c r="S534" s="313"/>
      <c r="T534" s="313"/>
      <c r="U534" s="268"/>
      <c r="V534" s="309"/>
      <c r="W534" s="310"/>
      <c r="X534" s="268"/>
      <c r="Y534" s="268"/>
      <c r="Z534" s="268"/>
      <c r="AA534" s="268"/>
      <c r="AB534" s="268"/>
      <c r="AC534" s="268"/>
      <c r="AD534" s="268"/>
      <c r="AE534" s="268"/>
    </row>
    <row r="535" spans="1:31" ht="24.75" customHeight="1">
      <c r="A535" s="268"/>
      <c r="B535" s="268"/>
      <c r="C535" s="268"/>
      <c r="D535" s="268"/>
      <c r="E535" s="268"/>
      <c r="F535" s="268"/>
      <c r="G535" s="268"/>
      <c r="H535" s="268"/>
      <c r="I535" s="268"/>
      <c r="J535" s="268"/>
      <c r="K535" s="268"/>
      <c r="L535" s="309"/>
      <c r="M535" s="268"/>
      <c r="N535" s="268"/>
      <c r="O535" s="310"/>
      <c r="P535" s="268"/>
      <c r="Q535" s="309"/>
      <c r="R535" s="268"/>
      <c r="S535" s="313"/>
      <c r="T535" s="313"/>
      <c r="U535" s="268"/>
      <c r="V535" s="309"/>
      <c r="W535" s="310"/>
      <c r="X535" s="268"/>
      <c r="Y535" s="268"/>
      <c r="Z535" s="268"/>
      <c r="AA535" s="268"/>
      <c r="AB535" s="268"/>
      <c r="AC535" s="268"/>
      <c r="AD535" s="268"/>
      <c r="AE535" s="268"/>
    </row>
    <row r="536" spans="1:31" ht="24.75" customHeight="1">
      <c r="A536" s="268"/>
      <c r="B536" s="268"/>
      <c r="C536" s="268"/>
      <c r="D536" s="268"/>
      <c r="E536" s="268"/>
      <c r="F536" s="268"/>
      <c r="G536" s="268"/>
      <c r="H536" s="268"/>
      <c r="I536" s="268"/>
      <c r="J536" s="268"/>
      <c r="K536" s="268"/>
      <c r="L536" s="309"/>
      <c r="M536" s="268"/>
      <c r="N536" s="268"/>
      <c r="O536" s="310"/>
      <c r="P536" s="268"/>
      <c r="Q536" s="309"/>
      <c r="R536" s="268"/>
      <c r="S536" s="313"/>
      <c r="T536" s="313"/>
      <c r="U536" s="268"/>
      <c r="V536" s="309"/>
      <c r="W536" s="310"/>
      <c r="X536" s="268"/>
      <c r="Y536" s="268"/>
      <c r="Z536" s="268"/>
      <c r="AA536" s="268"/>
      <c r="AB536" s="268"/>
      <c r="AC536" s="268"/>
      <c r="AD536" s="268"/>
      <c r="AE536" s="268"/>
    </row>
    <row r="537" spans="1:31" ht="24.75" customHeight="1">
      <c r="A537" s="268"/>
      <c r="B537" s="268"/>
      <c r="C537" s="268"/>
      <c r="D537" s="268"/>
      <c r="E537" s="268"/>
      <c r="F537" s="268"/>
      <c r="G537" s="268"/>
      <c r="H537" s="268"/>
      <c r="I537" s="268"/>
      <c r="J537" s="268"/>
      <c r="K537" s="268"/>
      <c r="L537" s="309"/>
      <c r="M537" s="268"/>
      <c r="N537" s="268"/>
      <c r="O537" s="310"/>
      <c r="P537" s="268"/>
      <c r="Q537" s="309"/>
      <c r="R537" s="268"/>
      <c r="S537" s="313"/>
      <c r="T537" s="313"/>
      <c r="U537" s="268"/>
      <c r="V537" s="309"/>
      <c r="W537" s="310"/>
      <c r="X537" s="268"/>
      <c r="Y537" s="268"/>
      <c r="Z537" s="268"/>
      <c r="AA537" s="268"/>
      <c r="AB537" s="268"/>
      <c r="AC537" s="268"/>
      <c r="AD537" s="268"/>
      <c r="AE537" s="268"/>
    </row>
    <row r="538" spans="1:31" ht="24.75" customHeight="1">
      <c r="A538" s="268"/>
      <c r="B538" s="268"/>
      <c r="C538" s="268"/>
      <c r="D538" s="268"/>
      <c r="E538" s="268"/>
      <c r="F538" s="268"/>
      <c r="G538" s="268"/>
      <c r="H538" s="268"/>
      <c r="I538" s="268"/>
      <c r="J538" s="268"/>
      <c r="K538" s="268"/>
      <c r="L538" s="309"/>
      <c r="M538" s="268"/>
      <c r="N538" s="268"/>
      <c r="O538" s="310"/>
      <c r="P538" s="268"/>
      <c r="Q538" s="309"/>
      <c r="R538" s="268"/>
      <c r="S538" s="313"/>
      <c r="T538" s="313"/>
      <c r="U538" s="268"/>
      <c r="V538" s="309"/>
      <c r="W538" s="310"/>
      <c r="X538" s="268"/>
      <c r="Y538" s="268"/>
      <c r="Z538" s="268"/>
      <c r="AA538" s="268"/>
      <c r="AB538" s="268"/>
      <c r="AC538" s="268"/>
      <c r="AD538" s="268"/>
      <c r="AE538" s="268"/>
    </row>
    <row r="539" spans="1:31" ht="24.75" customHeight="1">
      <c r="A539" s="268"/>
      <c r="B539" s="268"/>
      <c r="C539" s="268"/>
      <c r="D539" s="268"/>
      <c r="E539" s="268"/>
      <c r="F539" s="268"/>
      <c r="G539" s="268"/>
      <c r="H539" s="268"/>
      <c r="I539" s="268"/>
      <c r="J539" s="268"/>
      <c r="K539" s="268"/>
      <c r="L539" s="309"/>
      <c r="M539" s="268"/>
      <c r="N539" s="268"/>
      <c r="O539" s="310"/>
      <c r="P539" s="268"/>
      <c r="Q539" s="309"/>
      <c r="R539" s="268"/>
      <c r="S539" s="313"/>
      <c r="T539" s="313"/>
      <c r="U539" s="268"/>
      <c r="V539" s="309"/>
      <c r="W539" s="310"/>
      <c r="X539" s="268"/>
      <c r="Y539" s="268"/>
      <c r="Z539" s="268"/>
      <c r="AA539" s="268"/>
      <c r="AB539" s="268"/>
      <c r="AC539" s="268"/>
      <c r="AD539" s="268"/>
      <c r="AE539" s="268"/>
    </row>
    <row r="540" spans="1:31" ht="24.75" customHeight="1">
      <c r="A540" s="268"/>
      <c r="B540" s="268"/>
      <c r="C540" s="268"/>
      <c r="D540" s="268"/>
      <c r="E540" s="268"/>
      <c r="F540" s="268"/>
      <c r="G540" s="268"/>
      <c r="H540" s="268"/>
      <c r="I540" s="268"/>
      <c r="J540" s="268"/>
      <c r="K540" s="268"/>
      <c r="L540" s="309"/>
      <c r="M540" s="268"/>
      <c r="N540" s="268"/>
      <c r="O540" s="310"/>
      <c r="P540" s="268"/>
      <c r="Q540" s="309"/>
      <c r="R540" s="268"/>
      <c r="S540" s="313"/>
      <c r="T540" s="313"/>
      <c r="U540" s="268"/>
      <c r="V540" s="309"/>
      <c r="W540" s="310"/>
      <c r="X540" s="268"/>
      <c r="Y540" s="268"/>
      <c r="Z540" s="268"/>
      <c r="AA540" s="268"/>
      <c r="AB540" s="268"/>
      <c r="AC540" s="268"/>
      <c r="AD540" s="268"/>
      <c r="AE540" s="268"/>
    </row>
    <row r="541" spans="1:31" ht="24.75" customHeight="1">
      <c r="A541" s="268"/>
      <c r="B541" s="268"/>
      <c r="C541" s="268"/>
      <c r="D541" s="268"/>
      <c r="E541" s="268"/>
      <c r="F541" s="268"/>
      <c r="G541" s="268"/>
      <c r="H541" s="268"/>
      <c r="I541" s="268"/>
      <c r="J541" s="268"/>
      <c r="K541" s="268"/>
      <c r="L541" s="309"/>
      <c r="M541" s="268"/>
      <c r="N541" s="268"/>
      <c r="O541" s="310"/>
      <c r="P541" s="268"/>
      <c r="Q541" s="309"/>
      <c r="R541" s="268"/>
      <c r="S541" s="313"/>
      <c r="T541" s="313"/>
      <c r="U541" s="268"/>
      <c r="V541" s="309"/>
      <c r="W541" s="310"/>
      <c r="X541" s="268"/>
      <c r="Y541" s="268"/>
      <c r="Z541" s="268"/>
      <c r="AA541" s="268"/>
      <c r="AB541" s="268"/>
      <c r="AC541" s="268"/>
      <c r="AD541" s="268"/>
      <c r="AE541" s="268"/>
    </row>
    <row r="542" spans="1:31" ht="24.75" customHeight="1">
      <c r="A542" s="268"/>
      <c r="B542" s="268"/>
      <c r="C542" s="268"/>
      <c r="D542" s="268"/>
      <c r="E542" s="268"/>
      <c r="F542" s="268"/>
      <c r="G542" s="268"/>
      <c r="H542" s="268"/>
      <c r="I542" s="268"/>
      <c r="J542" s="268"/>
      <c r="K542" s="268"/>
      <c r="L542" s="309"/>
      <c r="M542" s="268"/>
      <c r="N542" s="268"/>
      <c r="O542" s="310"/>
      <c r="P542" s="268"/>
      <c r="Q542" s="309"/>
      <c r="R542" s="268"/>
      <c r="S542" s="313"/>
      <c r="T542" s="313"/>
      <c r="U542" s="268"/>
      <c r="V542" s="309"/>
      <c r="W542" s="310"/>
      <c r="X542" s="268"/>
      <c r="Y542" s="268"/>
      <c r="Z542" s="268"/>
      <c r="AA542" s="268"/>
      <c r="AB542" s="268"/>
      <c r="AC542" s="268"/>
      <c r="AD542" s="268"/>
      <c r="AE542" s="268"/>
    </row>
    <row r="543" spans="1:31" ht="24.75" customHeight="1">
      <c r="A543" s="268"/>
      <c r="B543" s="268"/>
      <c r="C543" s="268"/>
      <c r="D543" s="268"/>
      <c r="E543" s="268"/>
      <c r="F543" s="268"/>
      <c r="G543" s="268"/>
      <c r="H543" s="268"/>
      <c r="I543" s="268"/>
      <c r="J543" s="268"/>
      <c r="K543" s="268"/>
      <c r="L543" s="309"/>
      <c r="M543" s="268"/>
      <c r="N543" s="268"/>
      <c r="O543" s="310"/>
      <c r="P543" s="268"/>
      <c r="Q543" s="309"/>
      <c r="R543" s="268"/>
      <c r="S543" s="313"/>
      <c r="T543" s="313"/>
      <c r="U543" s="268"/>
      <c r="V543" s="309"/>
      <c r="W543" s="310"/>
      <c r="X543" s="268"/>
      <c r="Y543" s="268"/>
      <c r="Z543" s="268"/>
      <c r="AA543" s="268"/>
      <c r="AB543" s="268"/>
      <c r="AC543" s="268"/>
      <c r="AD543" s="268"/>
      <c r="AE543" s="268"/>
    </row>
    <row r="544" spans="1:31" ht="24.75" customHeight="1">
      <c r="A544" s="268"/>
      <c r="B544" s="268"/>
      <c r="C544" s="268"/>
      <c r="D544" s="268"/>
      <c r="E544" s="268"/>
      <c r="F544" s="268"/>
      <c r="G544" s="268"/>
      <c r="H544" s="268"/>
      <c r="I544" s="268"/>
      <c r="J544" s="268"/>
      <c r="K544" s="268"/>
      <c r="L544" s="309"/>
      <c r="M544" s="268"/>
      <c r="N544" s="268"/>
      <c r="O544" s="310"/>
      <c r="P544" s="268"/>
      <c r="Q544" s="309"/>
      <c r="R544" s="268"/>
      <c r="S544" s="313"/>
      <c r="T544" s="313"/>
      <c r="U544" s="268"/>
      <c r="V544" s="309"/>
      <c r="W544" s="310"/>
      <c r="X544" s="268"/>
      <c r="Y544" s="268"/>
      <c r="Z544" s="268"/>
      <c r="AA544" s="268"/>
      <c r="AB544" s="268"/>
      <c r="AC544" s="268"/>
      <c r="AD544" s="268"/>
      <c r="AE544" s="268"/>
    </row>
    <row r="545" spans="1:31" ht="24.75" customHeight="1">
      <c r="A545" s="268"/>
      <c r="B545" s="268"/>
      <c r="C545" s="268"/>
      <c r="D545" s="268"/>
      <c r="E545" s="268"/>
      <c r="F545" s="268"/>
      <c r="G545" s="268"/>
      <c r="H545" s="268"/>
      <c r="I545" s="268"/>
      <c r="J545" s="268"/>
      <c r="K545" s="268"/>
      <c r="L545" s="309"/>
      <c r="M545" s="268"/>
      <c r="N545" s="268"/>
      <c r="O545" s="310"/>
      <c r="P545" s="268"/>
      <c r="Q545" s="309"/>
      <c r="R545" s="268"/>
      <c r="S545" s="313"/>
      <c r="T545" s="313"/>
      <c r="U545" s="268"/>
      <c r="V545" s="309"/>
      <c r="W545" s="310"/>
      <c r="X545" s="268"/>
      <c r="Y545" s="268"/>
      <c r="Z545" s="268"/>
      <c r="AA545" s="268"/>
      <c r="AB545" s="268"/>
      <c r="AC545" s="268"/>
      <c r="AD545" s="268"/>
      <c r="AE545" s="268"/>
    </row>
    <row r="546" spans="1:31" ht="24.75" customHeight="1">
      <c r="A546" s="268"/>
      <c r="B546" s="268"/>
      <c r="C546" s="268"/>
      <c r="D546" s="268"/>
      <c r="E546" s="268"/>
      <c r="F546" s="268"/>
      <c r="G546" s="268"/>
      <c r="H546" s="268"/>
      <c r="I546" s="268"/>
      <c r="J546" s="268"/>
      <c r="K546" s="268"/>
      <c r="L546" s="309"/>
      <c r="M546" s="268"/>
      <c r="N546" s="268"/>
      <c r="O546" s="310"/>
      <c r="P546" s="268"/>
      <c r="Q546" s="309"/>
      <c r="R546" s="268"/>
      <c r="S546" s="313"/>
      <c r="T546" s="313"/>
      <c r="U546" s="268"/>
      <c r="V546" s="309"/>
      <c r="W546" s="310"/>
      <c r="X546" s="268"/>
      <c r="Y546" s="268"/>
      <c r="Z546" s="268"/>
      <c r="AA546" s="268"/>
      <c r="AB546" s="268"/>
      <c r="AC546" s="268"/>
      <c r="AD546" s="268"/>
      <c r="AE546" s="268"/>
    </row>
    <row r="547" spans="1:31" ht="24.75" customHeight="1">
      <c r="A547" s="268"/>
      <c r="B547" s="268"/>
      <c r="C547" s="268"/>
      <c r="D547" s="268"/>
      <c r="E547" s="268"/>
      <c r="F547" s="268"/>
      <c r="G547" s="268"/>
      <c r="H547" s="268"/>
      <c r="I547" s="268"/>
      <c r="J547" s="268"/>
      <c r="K547" s="268"/>
      <c r="L547" s="309"/>
      <c r="M547" s="268"/>
      <c r="N547" s="268"/>
      <c r="O547" s="310"/>
      <c r="P547" s="268"/>
      <c r="Q547" s="309"/>
      <c r="R547" s="268"/>
      <c r="S547" s="313"/>
      <c r="T547" s="313"/>
      <c r="U547" s="268"/>
      <c r="V547" s="309"/>
      <c r="W547" s="310"/>
      <c r="X547" s="268"/>
      <c r="Y547" s="268"/>
      <c r="Z547" s="268"/>
      <c r="AA547" s="268"/>
      <c r="AB547" s="268"/>
      <c r="AC547" s="268"/>
      <c r="AD547" s="268"/>
      <c r="AE547" s="268"/>
    </row>
    <row r="548" spans="1:31" ht="24.75" customHeight="1">
      <c r="A548" s="268"/>
      <c r="B548" s="268"/>
      <c r="C548" s="268"/>
      <c r="D548" s="268"/>
      <c r="E548" s="268"/>
      <c r="F548" s="268"/>
      <c r="G548" s="268"/>
      <c r="H548" s="268"/>
      <c r="I548" s="268"/>
      <c r="J548" s="268"/>
      <c r="K548" s="268"/>
      <c r="L548" s="309"/>
      <c r="M548" s="268"/>
      <c r="N548" s="268"/>
      <c r="O548" s="310"/>
      <c r="P548" s="268"/>
      <c r="Q548" s="309"/>
      <c r="R548" s="268"/>
      <c r="S548" s="313"/>
      <c r="T548" s="313"/>
      <c r="U548" s="268"/>
      <c r="V548" s="309"/>
      <c r="W548" s="310"/>
      <c r="X548" s="268"/>
      <c r="Y548" s="268"/>
      <c r="Z548" s="268"/>
      <c r="AA548" s="268"/>
      <c r="AB548" s="268"/>
      <c r="AC548" s="268"/>
      <c r="AD548" s="268"/>
      <c r="AE548" s="268"/>
    </row>
    <row r="549" spans="1:31" ht="24.75" customHeight="1">
      <c r="A549" s="268"/>
      <c r="B549" s="268"/>
      <c r="C549" s="268"/>
      <c r="D549" s="268"/>
      <c r="E549" s="268"/>
      <c r="F549" s="268"/>
      <c r="G549" s="268"/>
      <c r="H549" s="268"/>
      <c r="I549" s="268"/>
      <c r="J549" s="268"/>
      <c r="K549" s="268"/>
      <c r="L549" s="309"/>
      <c r="M549" s="268"/>
      <c r="N549" s="268"/>
      <c r="O549" s="310"/>
      <c r="P549" s="268"/>
      <c r="Q549" s="309"/>
      <c r="R549" s="268"/>
      <c r="S549" s="313"/>
      <c r="T549" s="313"/>
      <c r="U549" s="268"/>
      <c r="V549" s="309"/>
      <c r="W549" s="310"/>
      <c r="X549" s="268"/>
      <c r="Y549" s="268"/>
      <c r="Z549" s="268"/>
      <c r="AA549" s="268"/>
      <c r="AB549" s="268"/>
      <c r="AC549" s="268"/>
      <c r="AD549" s="268"/>
      <c r="AE549" s="268"/>
    </row>
    <row r="550" spans="1:31" ht="24.75" customHeight="1">
      <c r="A550" s="268"/>
      <c r="B550" s="268"/>
      <c r="C550" s="268"/>
      <c r="D550" s="268"/>
      <c r="E550" s="268"/>
      <c r="F550" s="268"/>
      <c r="G550" s="268"/>
      <c r="H550" s="268"/>
      <c r="I550" s="268"/>
      <c r="J550" s="268"/>
      <c r="K550" s="268"/>
      <c r="L550" s="309"/>
      <c r="M550" s="268"/>
      <c r="N550" s="268"/>
      <c r="O550" s="310"/>
      <c r="P550" s="268"/>
      <c r="Q550" s="309"/>
      <c r="R550" s="268"/>
      <c r="S550" s="313"/>
      <c r="T550" s="313"/>
      <c r="U550" s="268"/>
      <c r="V550" s="309"/>
      <c r="W550" s="310"/>
      <c r="X550" s="268"/>
      <c r="Y550" s="268"/>
      <c r="Z550" s="268"/>
      <c r="AA550" s="268"/>
      <c r="AB550" s="268"/>
      <c r="AC550" s="268"/>
      <c r="AD550" s="268"/>
      <c r="AE550" s="268"/>
    </row>
    <row r="551" spans="1:31" ht="24.75" customHeight="1">
      <c r="A551" s="268"/>
      <c r="B551" s="268"/>
      <c r="C551" s="268"/>
      <c r="D551" s="268"/>
      <c r="E551" s="268"/>
      <c r="F551" s="268"/>
      <c r="G551" s="268"/>
      <c r="H551" s="268"/>
      <c r="I551" s="268"/>
      <c r="J551" s="268"/>
      <c r="K551" s="268"/>
      <c r="L551" s="309"/>
      <c r="M551" s="268"/>
      <c r="N551" s="268"/>
      <c r="O551" s="310"/>
      <c r="P551" s="268"/>
      <c r="Q551" s="309"/>
      <c r="R551" s="268"/>
      <c r="S551" s="313"/>
      <c r="T551" s="313"/>
      <c r="U551" s="268"/>
      <c r="V551" s="309"/>
      <c r="W551" s="310"/>
      <c r="X551" s="268"/>
      <c r="Y551" s="268"/>
      <c r="Z551" s="268"/>
      <c r="AA551" s="268"/>
      <c r="AB551" s="268"/>
      <c r="AC551" s="268"/>
      <c r="AD551" s="268"/>
      <c r="AE551" s="268"/>
    </row>
    <row r="552" spans="1:31" ht="24.75" customHeight="1">
      <c r="A552" s="268"/>
      <c r="B552" s="268"/>
      <c r="C552" s="268"/>
      <c r="D552" s="268"/>
      <c r="E552" s="268"/>
      <c r="F552" s="268"/>
      <c r="G552" s="268"/>
      <c r="H552" s="268"/>
      <c r="I552" s="268"/>
      <c r="J552" s="268"/>
      <c r="K552" s="268"/>
      <c r="L552" s="309"/>
      <c r="M552" s="268"/>
      <c r="N552" s="268"/>
      <c r="O552" s="310"/>
      <c r="P552" s="268"/>
      <c r="Q552" s="309"/>
      <c r="R552" s="268"/>
      <c r="S552" s="313"/>
      <c r="T552" s="313"/>
      <c r="U552" s="268"/>
      <c r="V552" s="309"/>
      <c r="W552" s="310"/>
      <c r="X552" s="268"/>
      <c r="Y552" s="268"/>
      <c r="Z552" s="268"/>
      <c r="AA552" s="268"/>
      <c r="AB552" s="268"/>
      <c r="AC552" s="268"/>
      <c r="AD552" s="268"/>
      <c r="AE552" s="268"/>
    </row>
    <row r="553" spans="1:31" ht="24.75" customHeight="1">
      <c r="A553" s="268"/>
      <c r="B553" s="268"/>
      <c r="C553" s="268"/>
      <c r="D553" s="268"/>
      <c r="E553" s="268"/>
      <c r="F553" s="268"/>
      <c r="G553" s="268"/>
      <c r="H553" s="268"/>
      <c r="I553" s="268"/>
      <c r="J553" s="268"/>
      <c r="K553" s="268"/>
      <c r="L553" s="309"/>
      <c r="M553" s="268"/>
      <c r="N553" s="268"/>
      <c r="O553" s="310"/>
      <c r="P553" s="268"/>
      <c r="Q553" s="309"/>
      <c r="R553" s="268"/>
      <c r="S553" s="313"/>
      <c r="T553" s="313"/>
      <c r="U553" s="268"/>
      <c r="V553" s="309"/>
      <c r="W553" s="310"/>
      <c r="X553" s="268"/>
      <c r="Y553" s="268"/>
      <c r="Z553" s="268"/>
      <c r="AA553" s="268"/>
      <c r="AB553" s="268"/>
      <c r="AC553" s="268"/>
      <c r="AD553" s="268"/>
      <c r="AE553" s="268"/>
    </row>
    <row r="554" spans="1:31" ht="24.75" customHeight="1">
      <c r="A554" s="268"/>
      <c r="B554" s="268"/>
      <c r="C554" s="268"/>
      <c r="D554" s="268"/>
      <c r="E554" s="268"/>
      <c r="F554" s="268"/>
      <c r="G554" s="268"/>
      <c r="H554" s="268"/>
      <c r="I554" s="268"/>
      <c r="J554" s="268"/>
      <c r="K554" s="268"/>
      <c r="L554" s="309"/>
      <c r="M554" s="268"/>
      <c r="N554" s="268"/>
      <c r="O554" s="310"/>
      <c r="P554" s="268"/>
      <c r="Q554" s="309"/>
      <c r="R554" s="268"/>
      <c r="S554" s="313"/>
      <c r="T554" s="313"/>
      <c r="U554" s="268"/>
      <c r="V554" s="309"/>
      <c r="W554" s="310"/>
      <c r="X554" s="268"/>
      <c r="Y554" s="268"/>
      <c r="Z554" s="268"/>
      <c r="AA554" s="268"/>
      <c r="AB554" s="268"/>
      <c r="AC554" s="268"/>
      <c r="AD554" s="268"/>
      <c r="AE554" s="268"/>
    </row>
    <row r="555" spans="1:31" ht="24.75" customHeight="1">
      <c r="A555" s="268"/>
      <c r="B555" s="268"/>
      <c r="C555" s="268"/>
      <c r="D555" s="268"/>
      <c r="E555" s="268"/>
      <c r="F555" s="268"/>
      <c r="G555" s="268"/>
      <c r="H555" s="268"/>
      <c r="I555" s="268"/>
      <c r="J555" s="268"/>
      <c r="K555" s="268"/>
      <c r="L555" s="309"/>
      <c r="M555" s="268"/>
      <c r="N555" s="268"/>
      <c r="O555" s="310"/>
      <c r="P555" s="268"/>
      <c r="Q555" s="309"/>
      <c r="R555" s="268"/>
      <c r="S555" s="313"/>
      <c r="T555" s="313"/>
      <c r="U555" s="268"/>
      <c r="V555" s="309"/>
      <c r="W555" s="310"/>
      <c r="X555" s="268"/>
      <c r="Y555" s="268"/>
      <c r="Z555" s="268"/>
      <c r="AA555" s="268"/>
      <c r="AB555" s="268"/>
      <c r="AC555" s="268"/>
      <c r="AD555" s="268"/>
      <c r="AE555" s="268"/>
    </row>
    <row r="556" spans="1:31" ht="24.75" customHeight="1">
      <c r="A556" s="268"/>
      <c r="B556" s="268"/>
      <c r="C556" s="268"/>
      <c r="D556" s="268"/>
      <c r="E556" s="268"/>
      <c r="F556" s="268"/>
      <c r="G556" s="268"/>
      <c r="H556" s="268"/>
      <c r="I556" s="268"/>
      <c r="J556" s="268"/>
      <c r="K556" s="268"/>
      <c r="L556" s="309"/>
      <c r="M556" s="268"/>
      <c r="N556" s="268"/>
      <c r="O556" s="310"/>
      <c r="P556" s="268"/>
      <c r="Q556" s="309"/>
      <c r="R556" s="268"/>
      <c r="S556" s="313"/>
      <c r="T556" s="313"/>
      <c r="U556" s="268"/>
      <c r="V556" s="309"/>
      <c r="W556" s="310"/>
      <c r="X556" s="268"/>
      <c r="Y556" s="268"/>
      <c r="Z556" s="268"/>
      <c r="AA556" s="268"/>
      <c r="AB556" s="268"/>
      <c r="AC556" s="268"/>
      <c r="AD556" s="268"/>
      <c r="AE556" s="268"/>
    </row>
    <row r="557" spans="1:31" ht="24.75" customHeight="1">
      <c r="A557" s="268"/>
      <c r="B557" s="268"/>
      <c r="C557" s="268"/>
      <c r="D557" s="268"/>
      <c r="E557" s="268"/>
      <c r="F557" s="268"/>
      <c r="G557" s="268"/>
      <c r="H557" s="268"/>
      <c r="I557" s="268"/>
      <c r="J557" s="268"/>
      <c r="K557" s="268"/>
      <c r="L557" s="309"/>
      <c r="M557" s="268"/>
      <c r="N557" s="268"/>
      <c r="O557" s="310"/>
      <c r="P557" s="268"/>
      <c r="Q557" s="309"/>
      <c r="R557" s="268"/>
      <c r="S557" s="313"/>
      <c r="T557" s="313"/>
      <c r="U557" s="268"/>
      <c r="V557" s="309"/>
      <c r="W557" s="310"/>
      <c r="X557" s="268"/>
      <c r="Y557" s="268"/>
      <c r="Z557" s="268"/>
      <c r="AA557" s="268"/>
      <c r="AB557" s="268"/>
      <c r="AC557" s="268"/>
      <c r="AD557" s="268"/>
      <c r="AE557" s="268"/>
    </row>
    <row r="558" spans="1:31" ht="24.75" customHeight="1">
      <c r="A558" s="268"/>
      <c r="B558" s="268"/>
      <c r="C558" s="268"/>
      <c r="D558" s="268"/>
      <c r="E558" s="268"/>
      <c r="F558" s="268"/>
      <c r="G558" s="268"/>
      <c r="H558" s="268"/>
      <c r="I558" s="268"/>
      <c r="J558" s="268"/>
      <c r="K558" s="268"/>
      <c r="L558" s="309"/>
      <c r="M558" s="268"/>
      <c r="N558" s="268"/>
      <c r="O558" s="310"/>
      <c r="P558" s="268"/>
      <c r="Q558" s="309"/>
      <c r="R558" s="268"/>
      <c r="S558" s="313"/>
      <c r="T558" s="313"/>
      <c r="U558" s="268"/>
      <c r="V558" s="309"/>
      <c r="W558" s="310"/>
      <c r="X558" s="268"/>
      <c r="Y558" s="268"/>
      <c r="Z558" s="268"/>
      <c r="AA558" s="268"/>
      <c r="AB558" s="268"/>
      <c r="AC558" s="268"/>
      <c r="AD558" s="268"/>
      <c r="AE558" s="268"/>
    </row>
    <row r="559" spans="1:31" ht="24.75" customHeight="1">
      <c r="A559" s="268"/>
      <c r="B559" s="268"/>
      <c r="C559" s="268"/>
      <c r="D559" s="268"/>
      <c r="E559" s="268"/>
      <c r="F559" s="268"/>
      <c r="G559" s="268"/>
      <c r="H559" s="268"/>
      <c r="I559" s="268"/>
      <c r="J559" s="268"/>
      <c r="K559" s="268"/>
      <c r="L559" s="309"/>
      <c r="M559" s="268"/>
      <c r="N559" s="268"/>
      <c r="O559" s="310"/>
      <c r="P559" s="268"/>
      <c r="Q559" s="309"/>
      <c r="R559" s="268"/>
      <c r="S559" s="313"/>
      <c r="T559" s="313"/>
      <c r="U559" s="268"/>
      <c r="V559" s="309"/>
      <c r="W559" s="310"/>
      <c r="X559" s="268"/>
      <c r="Y559" s="268"/>
      <c r="Z559" s="268"/>
      <c r="AA559" s="268"/>
      <c r="AB559" s="268"/>
      <c r="AC559" s="268"/>
      <c r="AD559" s="268"/>
      <c r="AE559" s="268"/>
    </row>
    <row r="560" spans="1:31" ht="24.75" customHeight="1">
      <c r="A560" s="268"/>
      <c r="B560" s="268"/>
      <c r="C560" s="268"/>
      <c r="D560" s="268"/>
      <c r="E560" s="268"/>
      <c r="F560" s="268"/>
      <c r="G560" s="268"/>
      <c r="H560" s="268"/>
      <c r="I560" s="268"/>
      <c r="J560" s="268"/>
      <c r="K560" s="268"/>
      <c r="L560" s="309"/>
      <c r="M560" s="268"/>
      <c r="N560" s="268"/>
      <c r="O560" s="310"/>
      <c r="P560" s="268"/>
      <c r="Q560" s="309"/>
      <c r="R560" s="268"/>
      <c r="S560" s="313"/>
      <c r="T560" s="313"/>
      <c r="U560" s="268"/>
      <c r="V560" s="309"/>
      <c r="W560" s="310"/>
      <c r="X560" s="268"/>
      <c r="Y560" s="268"/>
      <c r="Z560" s="268"/>
      <c r="AA560" s="268"/>
      <c r="AB560" s="268"/>
      <c r="AC560" s="268"/>
      <c r="AD560" s="268"/>
      <c r="AE560" s="268"/>
    </row>
    <row r="561" spans="1:31" ht="24.75" customHeight="1">
      <c r="A561" s="268"/>
      <c r="B561" s="268"/>
      <c r="C561" s="268"/>
      <c r="D561" s="268"/>
      <c r="E561" s="268"/>
      <c r="F561" s="268"/>
      <c r="G561" s="268"/>
      <c r="H561" s="268"/>
      <c r="I561" s="268"/>
      <c r="J561" s="268"/>
      <c r="K561" s="268"/>
      <c r="L561" s="309"/>
      <c r="M561" s="268"/>
      <c r="N561" s="268"/>
      <c r="O561" s="310"/>
      <c r="P561" s="268"/>
      <c r="Q561" s="309"/>
      <c r="R561" s="268"/>
      <c r="S561" s="313"/>
      <c r="T561" s="313"/>
      <c r="U561" s="268"/>
      <c r="V561" s="309"/>
      <c r="W561" s="310"/>
      <c r="X561" s="268"/>
      <c r="Y561" s="268"/>
      <c r="Z561" s="268"/>
      <c r="AA561" s="268"/>
      <c r="AB561" s="268"/>
      <c r="AC561" s="268"/>
      <c r="AD561" s="268"/>
      <c r="AE561" s="268"/>
    </row>
    <row r="562" spans="1:31" ht="24.75" customHeight="1">
      <c r="A562" s="268"/>
      <c r="B562" s="268"/>
      <c r="C562" s="268"/>
      <c r="D562" s="268"/>
      <c r="E562" s="268"/>
      <c r="F562" s="268"/>
      <c r="G562" s="268"/>
      <c r="H562" s="268"/>
      <c r="I562" s="268"/>
      <c r="J562" s="268"/>
      <c r="K562" s="268"/>
      <c r="L562" s="309"/>
      <c r="M562" s="268"/>
      <c r="N562" s="268"/>
      <c r="O562" s="310"/>
      <c r="P562" s="268"/>
      <c r="Q562" s="309"/>
      <c r="R562" s="268"/>
      <c r="S562" s="313"/>
      <c r="T562" s="313"/>
      <c r="U562" s="268"/>
      <c r="V562" s="309"/>
      <c r="W562" s="310"/>
      <c r="X562" s="268"/>
      <c r="Y562" s="268"/>
      <c r="Z562" s="268"/>
      <c r="AA562" s="268"/>
      <c r="AB562" s="268"/>
      <c r="AC562" s="268"/>
      <c r="AD562" s="268"/>
      <c r="AE562" s="268"/>
    </row>
    <row r="563" spans="1:31" ht="24.75" customHeight="1">
      <c r="A563" s="268"/>
      <c r="B563" s="268"/>
      <c r="C563" s="268"/>
      <c r="D563" s="268"/>
      <c r="E563" s="268"/>
      <c r="F563" s="268"/>
      <c r="G563" s="268"/>
      <c r="H563" s="268"/>
      <c r="I563" s="268"/>
      <c r="J563" s="268"/>
      <c r="K563" s="268"/>
      <c r="L563" s="309"/>
      <c r="M563" s="268"/>
      <c r="N563" s="268"/>
      <c r="O563" s="310"/>
      <c r="P563" s="268"/>
      <c r="Q563" s="309"/>
      <c r="R563" s="268"/>
      <c r="S563" s="313"/>
      <c r="T563" s="313"/>
      <c r="U563" s="268"/>
      <c r="V563" s="309"/>
      <c r="W563" s="310"/>
      <c r="X563" s="268"/>
      <c r="Y563" s="268"/>
      <c r="Z563" s="268"/>
      <c r="AA563" s="268"/>
      <c r="AB563" s="268"/>
      <c r="AC563" s="268"/>
      <c r="AD563" s="268"/>
      <c r="AE563" s="268"/>
    </row>
    <row r="564" spans="1:31" ht="24.75" customHeight="1">
      <c r="A564" s="268"/>
      <c r="B564" s="268"/>
      <c r="C564" s="268"/>
      <c r="D564" s="268"/>
      <c r="E564" s="268"/>
      <c r="F564" s="268"/>
      <c r="G564" s="268"/>
      <c r="H564" s="268"/>
      <c r="I564" s="268"/>
      <c r="J564" s="268"/>
      <c r="K564" s="268"/>
      <c r="L564" s="309"/>
      <c r="M564" s="268"/>
      <c r="N564" s="268"/>
      <c r="O564" s="310"/>
      <c r="P564" s="268"/>
      <c r="Q564" s="309"/>
      <c r="R564" s="268"/>
      <c r="S564" s="313"/>
      <c r="T564" s="313"/>
      <c r="U564" s="268"/>
      <c r="V564" s="309"/>
      <c r="W564" s="310"/>
      <c r="X564" s="268"/>
      <c r="Y564" s="268"/>
      <c r="Z564" s="268"/>
      <c r="AA564" s="268"/>
      <c r="AB564" s="268"/>
      <c r="AC564" s="268"/>
      <c r="AD564" s="268"/>
      <c r="AE564" s="268"/>
    </row>
    <row r="565" spans="1:31" ht="24.75" customHeight="1">
      <c r="A565" s="268"/>
      <c r="B565" s="268"/>
      <c r="C565" s="268"/>
      <c r="D565" s="268"/>
      <c r="E565" s="268"/>
      <c r="F565" s="268"/>
      <c r="G565" s="268"/>
      <c r="H565" s="268"/>
      <c r="I565" s="268"/>
      <c r="J565" s="268"/>
      <c r="K565" s="268"/>
      <c r="L565" s="309"/>
      <c r="M565" s="268"/>
      <c r="N565" s="268"/>
      <c r="O565" s="310"/>
      <c r="P565" s="268"/>
      <c r="Q565" s="309"/>
      <c r="R565" s="268"/>
      <c r="S565" s="313"/>
      <c r="T565" s="313"/>
      <c r="U565" s="268"/>
      <c r="V565" s="309"/>
      <c r="W565" s="310"/>
      <c r="X565" s="268"/>
      <c r="Y565" s="268"/>
      <c r="Z565" s="268"/>
      <c r="AA565" s="268"/>
      <c r="AB565" s="268"/>
      <c r="AC565" s="268"/>
      <c r="AD565" s="268"/>
      <c r="AE565" s="268"/>
    </row>
    <row r="566" spans="1:31" ht="24.75" customHeight="1">
      <c r="A566" s="268"/>
      <c r="B566" s="268"/>
      <c r="C566" s="268"/>
      <c r="D566" s="268"/>
      <c r="E566" s="268"/>
      <c r="F566" s="268"/>
      <c r="G566" s="268"/>
      <c r="H566" s="268"/>
      <c r="I566" s="268"/>
      <c r="J566" s="268"/>
      <c r="K566" s="268"/>
      <c r="L566" s="309"/>
      <c r="M566" s="268"/>
      <c r="N566" s="268"/>
      <c r="O566" s="310"/>
      <c r="P566" s="268"/>
      <c r="Q566" s="309"/>
      <c r="R566" s="268"/>
      <c r="S566" s="313"/>
      <c r="T566" s="313"/>
      <c r="U566" s="268"/>
      <c r="V566" s="309"/>
      <c r="W566" s="310"/>
      <c r="X566" s="268"/>
      <c r="Y566" s="268"/>
      <c r="Z566" s="268"/>
      <c r="AA566" s="268"/>
      <c r="AB566" s="268"/>
      <c r="AC566" s="268"/>
      <c r="AD566" s="268"/>
      <c r="AE566" s="268"/>
    </row>
    <row r="567" spans="1:31" ht="24.75" customHeight="1">
      <c r="A567" s="268"/>
      <c r="B567" s="268"/>
      <c r="C567" s="268"/>
      <c r="D567" s="268"/>
      <c r="E567" s="268"/>
      <c r="F567" s="268"/>
      <c r="G567" s="268"/>
      <c r="H567" s="268"/>
      <c r="I567" s="268"/>
      <c r="J567" s="268"/>
      <c r="K567" s="268"/>
      <c r="L567" s="309"/>
      <c r="M567" s="268"/>
      <c r="N567" s="268"/>
      <c r="O567" s="310"/>
      <c r="P567" s="268"/>
      <c r="Q567" s="309"/>
      <c r="R567" s="268"/>
      <c r="S567" s="313"/>
      <c r="T567" s="313"/>
      <c r="U567" s="268"/>
      <c r="V567" s="309"/>
      <c r="W567" s="310"/>
      <c r="X567" s="268"/>
      <c r="Y567" s="268"/>
      <c r="Z567" s="268"/>
      <c r="AA567" s="268"/>
      <c r="AB567" s="268"/>
      <c r="AC567" s="268"/>
      <c r="AD567" s="268"/>
      <c r="AE567" s="268"/>
    </row>
    <row r="568" spans="1:31" ht="24.75" customHeight="1">
      <c r="A568" s="268"/>
      <c r="B568" s="268"/>
      <c r="C568" s="268"/>
      <c r="D568" s="268"/>
      <c r="E568" s="268"/>
      <c r="F568" s="268"/>
      <c r="G568" s="268"/>
      <c r="H568" s="268"/>
      <c r="I568" s="268"/>
      <c r="J568" s="268"/>
      <c r="K568" s="268"/>
      <c r="L568" s="309"/>
      <c r="M568" s="268"/>
      <c r="N568" s="268"/>
      <c r="O568" s="310"/>
      <c r="P568" s="268"/>
      <c r="Q568" s="309"/>
      <c r="R568" s="268"/>
      <c r="S568" s="313"/>
      <c r="T568" s="313"/>
      <c r="U568" s="268"/>
      <c r="V568" s="309"/>
      <c r="W568" s="310"/>
      <c r="X568" s="268"/>
      <c r="Y568" s="268"/>
      <c r="Z568" s="268"/>
      <c r="AA568" s="268"/>
      <c r="AB568" s="268"/>
      <c r="AC568" s="268"/>
      <c r="AD568" s="268"/>
      <c r="AE568" s="268"/>
    </row>
    <row r="569" spans="1:31" ht="24.75" customHeight="1">
      <c r="A569" s="268"/>
      <c r="B569" s="268"/>
      <c r="C569" s="268"/>
      <c r="D569" s="268"/>
      <c r="E569" s="268"/>
      <c r="F569" s="268"/>
      <c r="G569" s="268"/>
      <c r="H569" s="268"/>
      <c r="I569" s="268"/>
      <c r="J569" s="268"/>
      <c r="K569" s="268"/>
      <c r="L569" s="309"/>
      <c r="M569" s="268"/>
      <c r="N569" s="268"/>
      <c r="O569" s="310"/>
      <c r="P569" s="268"/>
      <c r="Q569" s="309"/>
      <c r="R569" s="268"/>
      <c r="S569" s="313"/>
      <c r="T569" s="313"/>
      <c r="U569" s="268"/>
      <c r="V569" s="309"/>
      <c r="W569" s="310"/>
      <c r="X569" s="268"/>
      <c r="Y569" s="268"/>
      <c r="Z569" s="268"/>
      <c r="AA569" s="268"/>
      <c r="AB569" s="268"/>
      <c r="AC569" s="268"/>
      <c r="AD569" s="268"/>
      <c r="AE569" s="268"/>
    </row>
    <row r="570" spans="1:31" ht="24.75" customHeight="1">
      <c r="A570" s="268"/>
      <c r="B570" s="268"/>
      <c r="C570" s="268"/>
      <c r="D570" s="268"/>
      <c r="E570" s="268"/>
      <c r="F570" s="268"/>
      <c r="G570" s="268"/>
      <c r="H570" s="268"/>
      <c r="I570" s="268"/>
      <c r="J570" s="268"/>
      <c r="K570" s="268"/>
      <c r="L570" s="309"/>
      <c r="M570" s="268"/>
      <c r="N570" s="268"/>
      <c r="O570" s="310"/>
      <c r="P570" s="268"/>
      <c r="Q570" s="309"/>
      <c r="R570" s="268"/>
      <c r="S570" s="313"/>
      <c r="T570" s="313"/>
      <c r="U570" s="268"/>
      <c r="V570" s="309"/>
      <c r="W570" s="310"/>
      <c r="X570" s="268"/>
      <c r="Y570" s="268"/>
      <c r="Z570" s="268"/>
      <c r="AA570" s="268"/>
      <c r="AB570" s="268"/>
      <c r="AC570" s="268"/>
      <c r="AD570" s="268"/>
      <c r="AE570" s="268"/>
    </row>
    <row r="571" spans="1:31" ht="24.75" customHeight="1">
      <c r="A571" s="268"/>
      <c r="B571" s="268"/>
      <c r="C571" s="268"/>
      <c r="D571" s="268"/>
      <c r="E571" s="268"/>
      <c r="F571" s="268"/>
      <c r="G571" s="268"/>
      <c r="H571" s="268"/>
      <c r="I571" s="268"/>
      <c r="J571" s="268"/>
      <c r="K571" s="268"/>
      <c r="L571" s="309"/>
      <c r="M571" s="268"/>
      <c r="N571" s="268"/>
      <c r="O571" s="310"/>
      <c r="P571" s="268"/>
      <c r="Q571" s="309"/>
      <c r="R571" s="268"/>
      <c r="S571" s="313"/>
      <c r="T571" s="313"/>
      <c r="U571" s="268"/>
      <c r="V571" s="309"/>
      <c r="W571" s="310"/>
      <c r="X571" s="268"/>
      <c r="Y571" s="268"/>
      <c r="Z571" s="268"/>
      <c r="AA571" s="268"/>
      <c r="AB571" s="268"/>
      <c r="AC571" s="268"/>
      <c r="AD571" s="268"/>
      <c r="AE571" s="268"/>
    </row>
    <row r="572" spans="1:31" ht="24.75" customHeight="1">
      <c r="A572" s="268"/>
      <c r="B572" s="268"/>
      <c r="C572" s="268"/>
      <c r="D572" s="268"/>
      <c r="E572" s="268"/>
      <c r="F572" s="268"/>
      <c r="G572" s="268"/>
      <c r="H572" s="268"/>
      <c r="I572" s="268"/>
      <c r="J572" s="268"/>
      <c r="K572" s="268"/>
      <c r="L572" s="309"/>
      <c r="M572" s="268"/>
      <c r="N572" s="268"/>
      <c r="O572" s="310"/>
      <c r="P572" s="268"/>
      <c r="Q572" s="309"/>
      <c r="R572" s="268"/>
      <c r="S572" s="313"/>
      <c r="T572" s="313"/>
      <c r="U572" s="268"/>
      <c r="V572" s="309"/>
      <c r="W572" s="310"/>
      <c r="X572" s="268"/>
      <c r="Y572" s="268"/>
      <c r="Z572" s="268"/>
      <c r="AA572" s="268"/>
      <c r="AB572" s="268"/>
      <c r="AC572" s="268"/>
      <c r="AD572" s="268"/>
      <c r="AE572" s="268"/>
    </row>
    <row r="573" spans="1:31" ht="24.75" customHeight="1">
      <c r="A573" s="268"/>
      <c r="B573" s="268"/>
      <c r="C573" s="268"/>
      <c r="D573" s="268"/>
      <c r="E573" s="268"/>
      <c r="F573" s="268"/>
      <c r="G573" s="268"/>
      <c r="H573" s="268"/>
      <c r="I573" s="268"/>
      <c r="J573" s="268"/>
      <c r="K573" s="268"/>
      <c r="L573" s="309"/>
      <c r="M573" s="268"/>
      <c r="N573" s="268"/>
      <c r="O573" s="310"/>
      <c r="P573" s="268"/>
      <c r="Q573" s="309"/>
      <c r="R573" s="268"/>
      <c r="S573" s="313"/>
      <c r="T573" s="313"/>
      <c r="U573" s="268"/>
      <c r="V573" s="309"/>
      <c r="W573" s="310"/>
      <c r="X573" s="268"/>
      <c r="Y573" s="268"/>
      <c r="Z573" s="268"/>
      <c r="AA573" s="268"/>
      <c r="AB573" s="268"/>
      <c r="AC573" s="268"/>
      <c r="AD573" s="268"/>
      <c r="AE573" s="268"/>
    </row>
    <row r="574" spans="1:31" ht="24.75" customHeight="1">
      <c r="A574" s="268"/>
      <c r="B574" s="268"/>
      <c r="C574" s="268"/>
      <c r="D574" s="268"/>
      <c r="E574" s="268"/>
      <c r="F574" s="268"/>
      <c r="G574" s="268"/>
      <c r="H574" s="268"/>
      <c r="I574" s="268"/>
      <c r="J574" s="268"/>
      <c r="K574" s="268"/>
      <c r="L574" s="309"/>
      <c r="M574" s="268"/>
      <c r="N574" s="268"/>
      <c r="O574" s="310"/>
      <c r="P574" s="268"/>
      <c r="Q574" s="309"/>
      <c r="R574" s="268"/>
      <c r="S574" s="313"/>
      <c r="T574" s="313"/>
      <c r="U574" s="268"/>
      <c r="V574" s="309"/>
      <c r="W574" s="310"/>
      <c r="X574" s="268"/>
      <c r="Y574" s="268"/>
      <c r="Z574" s="268"/>
      <c r="AA574" s="268"/>
      <c r="AB574" s="268"/>
      <c r="AC574" s="268"/>
      <c r="AD574" s="268"/>
      <c r="AE574" s="268"/>
    </row>
    <row r="575" spans="1:31" ht="24.75" customHeight="1">
      <c r="A575" s="268"/>
      <c r="B575" s="268"/>
      <c r="C575" s="268"/>
      <c r="D575" s="268"/>
      <c r="E575" s="268"/>
      <c r="F575" s="268"/>
      <c r="G575" s="268"/>
      <c r="H575" s="268"/>
      <c r="I575" s="268"/>
      <c r="J575" s="268"/>
      <c r="K575" s="268"/>
      <c r="L575" s="309"/>
      <c r="M575" s="268"/>
      <c r="N575" s="268"/>
      <c r="O575" s="310"/>
      <c r="P575" s="268"/>
      <c r="Q575" s="309"/>
      <c r="R575" s="268"/>
      <c r="S575" s="313"/>
      <c r="T575" s="313"/>
      <c r="U575" s="268"/>
      <c r="V575" s="309"/>
      <c r="W575" s="310"/>
      <c r="X575" s="268"/>
      <c r="Y575" s="268"/>
      <c r="Z575" s="268"/>
      <c r="AA575" s="268"/>
      <c r="AB575" s="268"/>
      <c r="AC575" s="268"/>
      <c r="AD575" s="268"/>
      <c r="AE575" s="268"/>
    </row>
    <row r="576" spans="1:31" ht="24.75" customHeight="1">
      <c r="A576" s="268"/>
      <c r="B576" s="268"/>
      <c r="C576" s="268"/>
      <c r="D576" s="268"/>
      <c r="E576" s="268"/>
      <c r="F576" s="268"/>
      <c r="G576" s="268"/>
      <c r="H576" s="268"/>
      <c r="I576" s="268"/>
      <c r="J576" s="268"/>
      <c r="K576" s="268"/>
      <c r="L576" s="309"/>
      <c r="M576" s="268"/>
      <c r="N576" s="268"/>
      <c r="O576" s="310"/>
      <c r="P576" s="268"/>
      <c r="Q576" s="309"/>
      <c r="R576" s="268"/>
      <c r="S576" s="313"/>
      <c r="T576" s="313"/>
      <c r="U576" s="268"/>
      <c r="V576" s="309"/>
      <c r="W576" s="310"/>
      <c r="X576" s="268"/>
      <c r="Y576" s="268"/>
      <c r="Z576" s="268"/>
      <c r="AA576" s="268"/>
      <c r="AB576" s="268"/>
      <c r="AC576" s="268"/>
      <c r="AD576" s="268"/>
      <c r="AE576" s="268"/>
    </row>
    <row r="577" spans="1:31" ht="24.75" customHeight="1">
      <c r="A577" s="268"/>
      <c r="B577" s="268"/>
      <c r="C577" s="268"/>
      <c r="D577" s="268"/>
      <c r="E577" s="268"/>
      <c r="F577" s="268"/>
      <c r="G577" s="268"/>
      <c r="H577" s="268"/>
      <c r="I577" s="268"/>
      <c r="J577" s="268"/>
      <c r="K577" s="268"/>
      <c r="L577" s="309"/>
      <c r="M577" s="268"/>
      <c r="N577" s="268"/>
      <c r="O577" s="310"/>
      <c r="P577" s="268"/>
      <c r="Q577" s="309"/>
      <c r="R577" s="268"/>
      <c r="S577" s="313"/>
      <c r="T577" s="313"/>
      <c r="U577" s="268"/>
      <c r="V577" s="309"/>
      <c r="W577" s="310"/>
      <c r="X577" s="268"/>
      <c r="Y577" s="268"/>
      <c r="Z577" s="268"/>
      <c r="AA577" s="268"/>
      <c r="AB577" s="268"/>
      <c r="AC577" s="268"/>
      <c r="AD577" s="268"/>
      <c r="AE577" s="268"/>
    </row>
    <row r="578" spans="1:31" ht="24.75" customHeight="1">
      <c r="A578" s="268"/>
      <c r="B578" s="268"/>
      <c r="C578" s="268"/>
      <c r="D578" s="268"/>
      <c r="E578" s="268"/>
      <c r="F578" s="268"/>
      <c r="G578" s="268"/>
      <c r="H578" s="268"/>
      <c r="I578" s="268"/>
      <c r="J578" s="268"/>
      <c r="K578" s="268"/>
      <c r="L578" s="309"/>
      <c r="M578" s="268"/>
      <c r="N578" s="268"/>
      <c r="O578" s="310"/>
      <c r="P578" s="268"/>
      <c r="Q578" s="309"/>
      <c r="R578" s="268"/>
      <c r="S578" s="313"/>
      <c r="T578" s="313"/>
      <c r="U578" s="268"/>
      <c r="V578" s="309"/>
      <c r="W578" s="310"/>
      <c r="X578" s="268"/>
      <c r="Y578" s="268"/>
      <c r="Z578" s="268"/>
      <c r="AA578" s="268"/>
      <c r="AB578" s="268"/>
      <c r="AC578" s="268"/>
      <c r="AD578" s="268"/>
      <c r="AE578" s="268"/>
    </row>
    <row r="579" spans="1:31" ht="24.75" customHeight="1">
      <c r="A579" s="268"/>
      <c r="B579" s="268"/>
      <c r="C579" s="268"/>
      <c r="D579" s="268"/>
      <c r="E579" s="268"/>
      <c r="F579" s="268"/>
      <c r="G579" s="268"/>
      <c r="H579" s="268"/>
      <c r="I579" s="268"/>
      <c r="J579" s="268"/>
      <c r="K579" s="268"/>
      <c r="L579" s="309"/>
      <c r="M579" s="268"/>
      <c r="N579" s="268"/>
      <c r="O579" s="310"/>
      <c r="P579" s="268"/>
      <c r="Q579" s="309"/>
      <c r="R579" s="268"/>
      <c r="S579" s="313"/>
      <c r="T579" s="313"/>
      <c r="U579" s="268"/>
      <c r="V579" s="309"/>
      <c r="W579" s="310"/>
      <c r="X579" s="268"/>
      <c r="Y579" s="268"/>
      <c r="Z579" s="268"/>
      <c r="AA579" s="268"/>
      <c r="AB579" s="268"/>
      <c r="AC579" s="268"/>
      <c r="AD579" s="268"/>
      <c r="AE579" s="268"/>
    </row>
    <row r="580" spans="1:31" ht="24.75" customHeight="1">
      <c r="A580" s="268"/>
      <c r="B580" s="268"/>
      <c r="C580" s="268"/>
      <c r="D580" s="268"/>
      <c r="E580" s="268"/>
      <c r="F580" s="268"/>
      <c r="G580" s="268"/>
      <c r="H580" s="268"/>
      <c r="I580" s="268"/>
      <c r="J580" s="268"/>
      <c r="K580" s="268"/>
      <c r="L580" s="309"/>
      <c r="M580" s="268"/>
      <c r="N580" s="268"/>
      <c r="O580" s="310"/>
      <c r="P580" s="268"/>
      <c r="Q580" s="309"/>
      <c r="R580" s="268"/>
      <c r="S580" s="313"/>
      <c r="T580" s="313"/>
      <c r="U580" s="268"/>
      <c r="V580" s="309"/>
      <c r="W580" s="310"/>
      <c r="X580" s="268"/>
      <c r="Y580" s="268"/>
      <c r="Z580" s="268"/>
      <c r="AA580" s="268"/>
      <c r="AB580" s="268"/>
      <c r="AC580" s="268"/>
      <c r="AD580" s="268"/>
      <c r="AE580" s="268"/>
    </row>
    <row r="581" spans="1:31" ht="24.75" customHeight="1">
      <c r="A581" s="268"/>
      <c r="B581" s="268"/>
      <c r="C581" s="268"/>
      <c r="D581" s="268"/>
      <c r="E581" s="268"/>
      <c r="F581" s="268"/>
      <c r="G581" s="268"/>
      <c r="H581" s="268"/>
      <c r="I581" s="268"/>
      <c r="J581" s="268"/>
      <c r="K581" s="268"/>
      <c r="L581" s="309"/>
      <c r="M581" s="268"/>
      <c r="N581" s="268"/>
      <c r="O581" s="310"/>
      <c r="P581" s="268"/>
      <c r="Q581" s="309"/>
      <c r="R581" s="268"/>
      <c r="S581" s="313"/>
      <c r="T581" s="313"/>
      <c r="U581" s="268"/>
      <c r="V581" s="309"/>
      <c r="W581" s="310"/>
      <c r="X581" s="268"/>
      <c r="Y581" s="268"/>
      <c r="Z581" s="268"/>
      <c r="AA581" s="268"/>
      <c r="AB581" s="268"/>
      <c r="AC581" s="268"/>
      <c r="AD581" s="268"/>
      <c r="AE581" s="268"/>
    </row>
    <row r="582" spans="1:31" ht="24.75" customHeight="1">
      <c r="A582" s="268"/>
      <c r="B582" s="268"/>
      <c r="C582" s="268"/>
      <c r="D582" s="268"/>
      <c r="E582" s="268"/>
      <c r="F582" s="268"/>
      <c r="G582" s="268"/>
      <c r="H582" s="268"/>
      <c r="I582" s="268"/>
      <c r="J582" s="268"/>
      <c r="K582" s="268"/>
      <c r="L582" s="309"/>
      <c r="M582" s="268"/>
      <c r="N582" s="268"/>
      <c r="O582" s="310"/>
      <c r="P582" s="268"/>
      <c r="Q582" s="309"/>
      <c r="R582" s="268"/>
      <c r="S582" s="313"/>
      <c r="T582" s="313"/>
      <c r="U582" s="268"/>
      <c r="V582" s="309"/>
      <c r="W582" s="310"/>
      <c r="X582" s="268"/>
      <c r="Y582" s="268"/>
      <c r="Z582" s="268"/>
      <c r="AA582" s="268"/>
      <c r="AB582" s="268"/>
      <c r="AC582" s="268"/>
      <c r="AD582" s="268"/>
      <c r="AE582" s="268"/>
    </row>
    <row r="583" spans="1:31" ht="24.75" customHeight="1">
      <c r="A583" s="268"/>
      <c r="B583" s="268"/>
      <c r="C583" s="268"/>
      <c r="D583" s="268"/>
      <c r="E583" s="268"/>
      <c r="F583" s="268"/>
      <c r="G583" s="268"/>
      <c r="H583" s="268"/>
      <c r="I583" s="268"/>
      <c r="J583" s="268"/>
      <c r="K583" s="268"/>
      <c r="L583" s="309"/>
      <c r="M583" s="268"/>
      <c r="N583" s="268"/>
      <c r="O583" s="310"/>
      <c r="P583" s="268"/>
      <c r="Q583" s="309"/>
      <c r="R583" s="268"/>
      <c r="S583" s="313"/>
      <c r="T583" s="313"/>
      <c r="U583" s="268"/>
      <c r="V583" s="309"/>
      <c r="W583" s="310"/>
      <c r="X583" s="268"/>
      <c r="Y583" s="268"/>
      <c r="Z583" s="268"/>
      <c r="AA583" s="268"/>
      <c r="AB583" s="268"/>
      <c r="AC583" s="268"/>
      <c r="AD583" s="268"/>
      <c r="AE583" s="268"/>
    </row>
    <row r="584" spans="1:31" ht="24.75" customHeight="1">
      <c r="A584" s="268"/>
      <c r="B584" s="268"/>
      <c r="C584" s="268"/>
      <c r="D584" s="268"/>
      <c r="E584" s="268"/>
      <c r="F584" s="268"/>
      <c r="G584" s="268"/>
      <c r="H584" s="268"/>
      <c r="I584" s="268"/>
      <c r="J584" s="268"/>
      <c r="K584" s="268"/>
      <c r="L584" s="309"/>
      <c r="M584" s="268"/>
      <c r="N584" s="268"/>
      <c r="O584" s="310"/>
      <c r="P584" s="268"/>
      <c r="Q584" s="309"/>
      <c r="R584" s="268"/>
      <c r="S584" s="313"/>
      <c r="T584" s="313"/>
      <c r="U584" s="268"/>
      <c r="V584" s="309"/>
      <c r="W584" s="310"/>
      <c r="X584" s="268"/>
      <c r="Y584" s="268"/>
      <c r="Z584" s="268"/>
      <c r="AA584" s="268"/>
      <c r="AB584" s="268"/>
      <c r="AC584" s="268"/>
      <c r="AD584" s="268"/>
      <c r="AE584" s="268"/>
    </row>
    <row r="585" spans="1:31" ht="24.75" customHeight="1">
      <c r="A585" s="268"/>
      <c r="B585" s="268"/>
      <c r="C585" s="268"/>
      <c r="D585" s="268"/>
      <c r="E585" s="268"/>
      <c r="F585" s="268"/>
      <c r="G585" s="268"/>
      <c r="H585" s="268"/>
      <c r="I585" s="268"/>
      <c r="J585" s="268"/>
      <c r="K585" s="268"/>
      <c r="L585" s="309"/>
      <c r="M585" s="268"/>
      <c r="N585" s="268"/>
      <c r="O585" s="310"/>
      <c r="P585" s="268"/>
      <c r="Q585" s="309"/>
      <c r="R585" s="268"/>
      <c r="S585" s="313"/>
      <c r="T585" s="313"/>
      <c r="U585" s="268"/>
      <c r="V585" s="309"/>
      <c r="W585" s="310"/>
      <c r="X585" s="268"/>
      <c r="Y585" s="268"/>
      <c r="Z585" s="268"/>
      <c r="AA585" s="268"/>
      <c r="AB585" s="268"/>
      <c r="AC585" s="268"/>
      <c r="AD585" s="268"/>
      <c r="AE585" s="268"/>
    </row>
    <row r="586" spans="1:31" ht="24.75" customHeight="1">
      <c r="A586" s="268"/>
      <c r="B586" s="268"/>
      <c r="C586" s="268"/>
      <c r="D586" s="268"/>
      <c r="E586" s="268"/>
      <c r="F586" s="268"/>
      <c r="G586" s="268"/>
      <c r="H586" s="268"/>
      <c r="I586" s="268"/>
      <c r="J586" s="268"/>
      <c r="K586" s="268"/>
      <c r="L586" s="309"/>
      <c r="M586" s="268"/>
      <c r="N586" s="268"/>
      <c r="O586" s="310"/>
      <c r="P586" s="268"/>
      <c r="Q586" s="309"/>
      <c r="R586" s="268"/>
      <c r="S586" s="313"/>
      <c r="T586" s="313"/>
      <c r="U586" s="268"/>
      <c r="V586" s="309"/>
      <c r="W586" s="310"/>
      <c r="X586" s="268"/>
      <c r="Y586" s="268"/>
      <c r="Z586" s="268"/>
      <c r="AA586" s="268"/>
      <c r="AB586" s="268"/>
      <c r="AC586" s="268"/>
      <c r="AD586" s="268"/>
      <c r="AE586" s="268"/>
    </row>
    <row r="587" spans="1:31" ht="24.75" customHeight="1">
      <c r="A587" s="268"/>
      <c r="B587" s="268"/>
      <c r="C587" s="268"/>
      <c r="D587" s="268"/>
      <c r="E587" s="268"/>
      <c r="F587" s="268"/>
      <c r="G587" s="268"/>
      <c r="H587" s="268"/>
      <c r="I587" s="268"/>
      <c r="J587" s="268"/>
      <c r="K587" s="268"/>
      <c r="L587" s="309"/>
      <c r="M587" s="268"/>
      <c r="N587" s="268"/>
      <c r="O587" s="310"/>
      <c r="P587" s="268"/>
      <c r="Q587" s="309"/>
      <c r="R587" s="268"/>
      <c r="S587" s="313"/>
      <c r="T587" s="313"/>
      <c r="U587" s="268"/>
      <c r="V587" s="309"/>
      <c r="W587" s="310"/>
      <c r="X587" s="268"/>
      <c r="Y587" s="268"/>
      <c r="Z587" s="268"/>
      <c r="AA587" s="268"/>
      <c r="AB587" s="268"/>
      <c r="AC587" s="268"/>
      <c r="AD587" s="268"/>
      <c r="AE587" s="268"/>
    </row>
    <row r="588" spans="1:31" ht="24.75" customHeight="1">
      <c r="A588" s="268"/>
      <c r="B588" s="268"/>
      <c r="C588" s="268"/>
      <c r="D588" s="268"/>
      <c r="E588" s="268"/>
      <c r="F588" s="268"/>
      <c r="G588" s="268"/>
      <c r="H588" s="268"/>
      <c r="I588" s="268"/>
      <c r="J588" s="268"/>
      <c r="K588" s="268"/>
      <c r="L588" s="309"/>
      <c r="M588" s="268"/>
      <c r="N588" s="268"/>
      <c r="O588" s="310"/>
      <c r="P588" s="268"/>
      <c r="Q588" s="309"/>
      <c r="R588" s="268"/>
      <c r="S588" s="313"/>
      <c r="T588" s="313"/>
      <c r="U588" s="268"/>
      <c r="V588" s="309"/>
      <c r="W588" s="310"/>
      <c r="X588" s="268"/>
      <c r="Y588" s="268"/>
      <c r="Z588" s="268"/>
      <c r="AA588" s="268"/>
      <c r="AB588" s="268"/>
      <c r="AC588" s="268"/>
      <c r="AD588" s="268"/>
      <c r="AE588" s="268"/>
    </row>
    <row r="589" spans="1:31" ht="24.75" customHeight="1">
      <c r="A589" s="268"/>
      <c r="B589" s="268"/>
      <c r="C589" s="268"/>
      <c r="D589" s="268"/>
      <c r="E589" s="268"/>
      <c r="F589" s="268"/>
      <c r="G589" s="268"/>
      <c r="H589" s="268"/>
      <c r="I589" s="268"/>
      <c r="J589" s="268"/>
      <c r="K589" s="268"/>
      <c r="L589" s="309"/>
      <c r="M589" s="268"/>
      <c r="N589" s="268"/>
      <c r="O589" s="310"/>
      <c r="P589" s="268"/>
      <c r="Q589" s="309"/>
      <c r="R589" s="268"/>
      <c r="S589" s="313"/>
      <c r="T589" s="313"/>
      <c r="U589" s="268"/>
      <c r="V589" s="309"/>
      <c r="W589" s="310"/>
      <c r="X589" s="268"/>
      <c r="Y589" s="268"/>
      <c r="Z589" s="268"/>
      <c r="AA589" s="268"/>
      <c r="AB589" s="268"/>
      <c r="AC589" s="268"/>
      <c r="AD589" s="268"/>
      <c r="AE589" s="268"/>
    </row>
    <row r="590" spans="1:31" ht="24.75" customHeight="1">
      <c r="A590" s="268"/>
      <c r="B590" s="268"/>
      <c r="C590" s="268"/>
      <c r="D590" s="268"/>
      <c r="E590" s="268"/>
      <c r="F590" s="268"/>
      <c r="G590" s="268"/>
      <c r="H590" s="268"/>
      <c r="I590" s="268"/>
      <c r="J590" s="268"/>
      <c r="K590" s="268"/>
      <c r="L590" s="309"/>
      <c r="M590" s="268"/>
      <c r="N590" s="268"/>
      <c r="O590" s="310"/>
      <c r="P590" s="268"/>
      <c r="Q590" s="309"/>
      <c r="R590" s="268"/>
      <c r="S590" s="313"/>
      <c r="T590" s="313"/>
      <c r="U590" s="268"/>
      <c r="V590" s="309"/>
      <c r="W590" s="310"/>
      <c r="X590" s="268"/>
      <c r="Y590" s="268"/>
      <c r="Z590" s="268"/>
      <c r="AA590" s="268"/>
      <c r="AB590" s="268"/>
      <c r="AC590" s="268"/>
      <c r="AD590" s="268"/>
      <c r="AE590" s="268"/>
    </row>
    <row r="591" spans="1:31" ht="24.75" customHeight="1">
      <c r="A591" s="268"/>
      <c r="B591" s="268"/>
      <c r="C591" s="268"/>
      <c r="D591" s="268"/>
      <c r="E591" s="268"/>
      <c r="F591" s="268"/>
      <c r="G591" s="268"/>
      <c r="H591" s="268"/>
      <c r="I591" s="268"/>
      <c r="J591" s="268"/>
      <c r="K591" s="268"/>
      <c r="L591" s="309"/>
      <c r="M591" s="268"/>
      <c r="N591" s="268"/>
      <c r="O591" s="310"/>
      <c r="P591" s="268"/>
      <c r="Q591" s="309"/>
      <c r="R591" s="268"/>
      <c r="S591" s="313"/>
      <c r="T591" s="313"/>
      <c r="U591" s="268"/>
      <c r="V591" s="309"/>
      <c r="W591" s="310"/>
      <c r="X591" s="268"/>
      <c r="Y591" s="268"/>
      <c r="Z591" s="268"/>
      <c r="AA591" s="268"/>
      <c r="AB591" s="268"/>
      <c r="AC591" s="268"/>
      <c r="AD591" s="268"/>
      <c r="AE591" s="268"/>
    </row>
    <row r="592" spans="1:31" ht="24.75" customHeight="1">
      <c r="A592" s="268"/>
      <c r="B592" s="268"/>
      <c r="C592" s="268"/>
      <c r="D592" s="268"/>
      <c r="E592" s="268"/>
      <c r="F592" s="268"/>
      <c r="G592" s="268"/>
      <c r="H592" s="268"/>
      <c r="I592" s="268"/>
      <c r="J592" s="268"/>
      <c r="K592" s="268"/>
      <c r="L592" s="309"/>
      <c r="M592" s="268"/>
      <c r="N592" s="268"/>
      <c r="O592" s="310"/>
      <c r="P592" s="268"/>
      <c r="Q592" s="309"/>
      <c r="R592" s="268"/>
      <c r="S592" s="313"/>
      <c r="T592" s="313"/>
      <c r="U592" s="268"/>
      <c r="V592" s="309"/>
      <c r="W592" s="310"/>
      <c r="X592" s="268"/>
      <c r="Y592" s="268"/>
      <c r="Z592" s="268"/>
      <c r="AA592" s="268"/>
      <c r="AB592" s="268"/>
      <c r="AC592" s="268"/>
      <c r="AD592" s="268"/>
      <c r="AE592" s="268"/>
    </row>
    <row r="593" spans="1:31" ht="24.75" customHeight="1">
      <c r="A593" s="268"/>
      <c r="B593" s="268"/>
      <c r="C593" s="268"/>
      <c r="D593" s="268"/>
      <c r="E593" s="268"/>
      <c r="F593" s="268"/>
      <c r="G593" s="268"/>
      <c r="H593" s="268"/>
      <c r="I593" s="268"/>
      <c r="J593" s="268"/>
      <c r="K593" s="268"/>
      <c r="L593" s="309"/>
      <c r="M593" s="268"/>
      <c r="N593" s="268"/>
      <c r="O593" s="310"/>
      <c r="P593" s="268"/>
      <c r="Q593" s="309"/>
      <c r="R593" s="268"/>
      <c r="S593" s="313"/>
      <c r="T593" s="313"/>
      <c r="U593" s="268"/>
      <c r="V593" s="309"/>
      <c r="W593" s="310"/>
      <c r="X593" s="268"/>
      <c r="Y593" s="268"/>
      <c r="Z593" s="268"/>
      <c r="AA593" s="268"/>
      <c r="AB593" s="268"/>
      <c r="AC593" s="268"/>
      <c r="AD593" s="268"/>
      <c r="AE593" s="268"/>
    </row>
    <row r="594" spans="1:31" ht="24.75" customHeight="1">
      <c r="A594" s="268"/>
      <c r="B594" s="268"/>
      <c r="C594" s="268"/>
      <c r="D594" s="268"/>
      <c r="E594" s="268"/>
      <c r="F594" s="268"/>
      <c r="G594" s="268"/>
      <c r="H594" s="268"/>
      <c r="I594" s="268"/>
      <c r="J594" s="268"/>
      <c r="K594" s="268"/>
      <c r="L594" s="309"/>
      <c r="M594" s="268"/>
      <c r="N594" s="268"/>
      <c r="O594" s="310"/>
      <c r="P594" s="268"/>
      <c r="Q594" s="309"/>
      <c r="R594" s="268"/>
      <c r="S594" s="313"/>
      <c r="T594" s="313"/>
      <c r="U594" s="268"/>
      <c r="V594" s="309"/>
      <c r="W594" s="310"/>
      <c r="X594" s="268"/>
      <c r="Y594" s="268"/>
      <c r="Z594" s="268"/>
      <c r="AA594" s="268"/>
      <c r="AB594" s="268"/>
      <c r="AC594" s="268"/>
      <c r="AD594" s="268"/>
      <c r="AE594" s="268"/>
    </row>
    <row r="595" spans="1:31" ht="24.75" customHeight="1">
      <c r="A595" s="268"/>
      <c r="B595" s="268"/>
      <c r="C595" s="268"/>
      <c r="D595" s="268"/>
      <c r="E595" s="268"/>
      <c r="F595" s="268"/>
      <c r="G595" s="268"/>
      <c r="H595" s="268"/>
      <c r="I595" s="268"/>
      <c r="J595" s="268"/>
      <c r="K595" s="268"/>
      <c r="L595" s="309"/>
      <c r="M595" s="268"/>
      <c r="N595" s="268"/>
      <c r="O595" s="310"/>
      <c r="P595" s="268"/>
      <c r="Q595" s="309"/>
      <c r="R595" s="268"/>
      <c r="S595" s="313"/>
      <c r="T595" s="313"/>
      <c r="U595" s="268"/>
      <c r="V595" s="309"/>
      <c r="W595" s="310"/>
      <c r="X595" s="268"/>
      <c r="Y595" s="268"/>
      <c r="Z595" s="268"/>
      <c r="AA595" s="268"/>
      <c r="AB595" s="268"/>
      <c r="AC595" s="268"/>
      <c r="AD595" s="268"/>
      <c r="AE595" s="268"/>
    </row>
    <row r="596" spans="1:31" ht="24.75" customHeight="1">
      <c r="A596" s="268"/>
      <c r="B596" s="268"/>
      <c r="C596" s="268"/>
      <c r="D596" s="268"/>
      <c r="E596" s="268"/>
      <c r="F596" s="268"/>
      <c r="G596" s="268"/>
      <c r="H596" s="268"/>
      <c r="I596" s="268"/>
      <c r="J596" s="268"/>
      <c r="K596" s="268"/>
      <c r="L596" s="309"/>
      <c r="M596" s="268"/>
      <c r="N596" s="268"/>
      <c r="O596" s="310"/>
      <c r="P596" s="268"/>
      <c r="Q596" s="309"/>
      <c r="R596" s="268"/>
      <c r="S596" s="313"/>
      <c r="T596" s="313"/>
      <c r="U596" s="268"/>
      <c r="V596" s="309"/>
      <c r="W596" s="310"/>
      <c r="X596" s="268"/>
      <c r="Y596" s="268"/>
      <c r="Z596" s="268"/>
      <c r="AA596" s="268"/>
      <c r="AB596" s="268"/>
      <c r="AC596" s="268"/>
      <c r="AD596" s="268"/>
      <c r="AE596" s="268"/>
    </row>
    <row r="597" spans="1:31" ht="24.75" customHeight="1">
      <c r="A597" s="268"/>
      <c r="B597" s="268"/>
      <c r="C597" s="268"/>
      <c r="D597" s="268"/>
      <c r="E597" s="268"/>
      <c r="F597" s="268"/>
      <c r="G597" s="268"/>
      <c r="H597" s="268"/>
      <c r="I597" s="268"/>
      <c r="J597" s="268"/>
      <c r="K597" s="268"/>
      <c r="L597" s="309"/>
      <c r="M597" s="268"/>
      <c r="N597" s="268"/>
      <c r="O597" s="310"/>
      <c r="P597" s="268"/>
      <c r="Q597" s="309"/>
      <c r="R597" s="268"/>
      <c r="S597" s="313"/>
      <c r="T597" s="313"/>
      <c r="U597" s="268"/>
      <c r="V597" s="309"/>
      <c r="W597" s="310"/>
      <c r="X597" s="268"/>
      <c r="Y597" s="268"/>
      <c r="Z597" s="268"/>
      <c r="AA597" s="268"/>
      <c r="AB597" s="268"/>
      <c r="AC597" s="268"/>
      <c r="AD597" s="268"/>
      <c r="AE597" s="268"/>
    </row>
    <row r="598" spans="1:31" ht="24.75" customHeight="1">
      <c r="A598" s="268"/>
      <c r="B598" s="268"/>
      <c r="C598" s="268"/>
      <c r="D598" s="268"/>
      <c r="E598" s="268"/>
      <c r="F598" s="268"/>
      <c r="G598" s="268"/>
      <c r="H598" s="268"/>
      <c r="I598" s="268"/>
      <c r="J598" s="268"/>
      <c r="K598" s="268"/>
      <c r="L598" s="309"/>
      <c r="M598" s="268"/>
      <c r="N598" s="268"/>
      <c r="O598" s="310"/>
      <c r="P598" s="268"/>
      <c r="Q598" s="309"/>
      <c r="R598" s="268"/>
      <c r="S598" s="313"/>
      <c r="T598" s="313"/>
      <c r="U598" s="268"/>
      <c r="V598" s="309"/>
      <c r="W598" s="310"/>
      <c r="X598" s="268"/>
      <c r="Y598" s="268"/>
      <c r="Z598" s="268"/>
      <c r="AA598" s="268"/>
      <c r="AB598" s="268"/>
      <c r="AC598" s="268"/>
      <c r="AD598" s="268"/>
      <c r="AE598" s="268"/>
    </row>
    <row r="599" spans="1:31" ht="24.75" customHeight="1">
      <c r="A599" s="268"/>
      <c r="B599" s="268"/>
      <c r="C599" s="268"/>
      <c r="D599" s="268"/>
      <c r="E599" s="268"/>
      <c r="F599" s="268"/>
      <c r="G599" s="268"/>
      <c r="H599" s="268"/>
      <c r="I599" s="268"/>
      <c r="J599" s="268"/>
      <c r="K599" s="268"/>
      <c r="L599" s="309"/>
      <c r="M599" s="268"/>
      <c r="N599" s="268"/>
      <c r="O599" s="310"/>
      <c r="P599" s="268"/>
      <c r="Q599" s="309"/>
      <c r="R599" s="268"/>
      <c r="S599" s="313"/>
      <c r="T599" s="313"/>
      <c r="U599" s="268"/>
      <c r="V599" s="309"/>
      <c r="W599" s="310"/>
      <c r="X599" s="268"/>
      <c r="Y599" s="268"/>
      <c r="Z599" s="268"/>
      <c r="AA599" s="268"/>
      <c r="AB599" s="268"/>
      <c r="AC599" s="268"/>
      <c r="AD599" s="268"/>
      <c r="AE599" s="268"/>
    </row>
    <row r="600" spans="1:31" ht="24.75" customHeight="1">
      <c r="A600" s="268"/>
      <c r="B600" s="268"/>
      <c r="C600" s="268"/>
      <c r="D600" s="268"/>
      <c r="E600" s="268"/>
      <c r="F600" s="268"/>
      <c r="G600" s="268"/>
      <c r="H600" s="268"/>
      <c r="I600" s="268"/>
      <c r="J600" s="268"/>
      <c r="K600" s="268"/>
      <c r="L600" s="309"/>
      <c r="M600" s="268"/>
      <c r="N600" s="268"/>
      <c r="O600" s="310"/>
      <c r="P600" s="268"/>
      <c r="Q600" s="309"/>
      <c r="R600" s="268"/>
      <c r="S600" s="313"/>
      <c r="T600" s="313"/>
      <c r="U600" s="268"/>
      <c r="V600" s="309"/>
      <c r="W600" s="310"/>
      <c r="X600" s="268"/>
      <c r="Y600" s="268"/>
      <c r="Z600" s="268"/>
      <c r="AA600" s="268"/>
      <c r="AB600" s="268"/>
      <c r="AC600" s="268"/>
      <c r="AD600" s="268"/>
      <c r="AE600" s="268"/>
    </row>
    <row r="601" spans="1:31" ht="24.75" customHeight="1">
      <c r="A601" s="268"/>
      <c r="B601" s="268"/>
      <c r="C601" s="268"/>
      <c r="D601" s="268"/>
      <c r="E601" s="268"/>
      <c r="F601" s="268"/>
      <c r="G601" s="268"/>
      <c r="H601" s="268"/>
      <c r="I601" s="268"/>
      <c r="J601" s="268"/>
      <c r="K601" s="268"/>
      <c r="L601" s="309"/>
      <c r="M601" s="268"/>
      <c r="N601" s="268"/>
      <c r="O601" s="310"/>
      <c r="P601" s="268"/>
      <c r="Q601" s="309"/>
      <c r="R601" s="268"/>
      <c r="S601" s="313"/>
      <c r="T601" s="313"/>
      <c r="U601" s="268"/>
      <c r="V601" s="309"/>
      <c r="W601" s="310"/>
      <c r="X601" s="268"/>
      <c r="Y601" s="268"/>
      <c r="Z601" s="268"/>
      <c r="AA601" s="268"/>
      <c r="AB601" s="268"/>
      <c r="AC601" s="268"/>
      <c r="AD601" s="268"/>
      <c r="AE601" s="268"/>
    </row>
    <row r="602" spans="1:31" ht="24.75" customHeight="1">
      <c r="A602" s="268"/>
      <c r="B602" s="268"/>
      <c r="C602" s="268"/>
      <c r="D602" s="268"/>
      <c r="E602" s="268"/>
      <c r="F602" s="268"/>
      <c r="G602" s="268"/>
      <c r="H602" s="268"/>
      <c r="I602" s="268"/>
      <c r="J602" s="268"/>
      <c r="K602" s="268"/>
      <c r="L602" s="309"/>
      <c r="M602" s="268"/>
      <c r="N602" s="268"/>
      <c r="O602" s="310"/>
      <c r="P602" s="268"/>
      <c r="Q602" s="309"/>
      <c r="R602" s="268"/>
      <c r="S602" s="313"/>
      <c r="T602" s="313"/>
      <c r="U602" s="268"/>
      <c r="V602" s="309"/>
      <c r="W602" s="310"/>
      <c r="X602" s="268"/>
      <c r="Y602" s="268"/>
      <c r="Z602" s="268"/>
      <c r="AA602" s="268"/>
      <c r="AB602" s="268"/>
      <c r="AC602" s="268"/>
      <c r="AD602" s="268"/>
      <c r="AE602" s="268"/>
    </row>
    <row r="603" spans="1:31" ht="24.75" customHeight="1">
      <c r="A603" s="268"/>
      <c r="B603" s="268"/>
      <c r="C603" s="268"/>
      <c r="D603" s="268"/>
      <c r="E603" s="268"/>
      <c r="F603" s="268"/>
      <c r="G603" s="268"/>
      <c r="H603" s="268"/>
      <c r="I603" s="268"/>
      <c r="J603" s="268"/>
      <c r="K603" s="268"/>
      <c r="L603" s="309"/>
      <c r="M603" s="268"/>
      <c r="N603" s="268"/>
      <c r="O603" s="310"/>
      <c r="P603" s="268"/>
      <c r="Q603" s="309"/>
      <c r="R603" s="268"/>
      <c r="S603" s="313"/>
      <c r="T603" s="313"/>
      <c r="U603" s="268"/>
      <c r="V603" s="309"/>
      <c r="W603" s="310"/>
      <c r="X603" s="268"/>
      <c r="Y603" s="268"/>
      <c r="Z603" s="268"/>
      <c r="AA603" s="268"/>
      <c r="AB603" s="268"/>
      <c r="AC603" s="268"/>
      <c r="AD603" s="268"/>
      <c r="AE603" s="268"/>
    </row>
    <row r="604" spans="1:31" ht="24.75" customHeight="1">
      <c r="A604" s="268"/>
      <c r="B604" s="268"/>
      <c r="C604" s="268"/>
      <c r="D604" s="268"/>
      <c r="E604" s="268"/>
      <c r="F604" s="268"/>
      <c r="G604" s="268"/>
      <c r="H604" s="268"/>
      <c r="I604" s="268"/>
      <c r="J604" s="268"/>
      <c r="K604" s="268"/>
      <c r="L604" s="309"/>
      <c r="M604" s="268"/>
      <c r="N604" s="268"/>
      <c r="O604" s="310"/>
      <c r="P604" s="268"/>
      <c r="Q604" s="309"/>
      <c r="R604" s="268"/>
      <c r="S604" s="313"/>
      <c r="T604" s="313"/>
      <c r="U604" s="268"/>
      <c r="V604" s="309"/>
      <c r="W604" s="310"/>
      <c r="X604" s="268"/>
      <c r="Y604" s="268"/>
      <c r="Z604" s="268"/>
      <c r="AA604" s="268"/>
      <c r="AB604" s="268"/>
      <c r="AC604" s="268"/>
      <c r="AD604" s="268"/>
      <c r="AE604" s="268"/>
    </row>
    <row r="605" spans="1:31" ht="24.75" customHeight="1">
      <c r="A605" s="268"/>
      <c r="B605" s="268"/>
      <c r="C605" s="268"/>
      <c r="D605" s="268"/>
      <c r="E605" s="268"/>
      <c r="F605" s="268"/>
      <c r="G605" s="268"/>
      <c r="H605" s="268"/>
      <c r="I605" s="268"/>
      <c r="J605" s="268"/>
      <c r="K605" s="268"/>
      <c r="L605" s="309"/>
      <c r="M605" s="268"/>
      <c r="N605" s="268"/>
      <c r="O605" s="310"/>
      <c r="P605" s="268"/>
      <c r="Q605" s="309"/>
      <c r="R605" s="268"/>
      <c r="S605" s="313"/>
      <c r="T605" s="313"/>
      <c r="U605" s="268"/>
      <c r="V605" s="309"/>
      <c r="W605" s="310"/>
      <c r="X605" s="268"/>
      <c r="Y605" s="268"/>
      <c r="Z605" s="268"/>
      <c r="AA605" s="268"/>
      <c r="AB605" s="268"/>
      <c r="AC605" s="268"/>
      <c r="AD605" s="268"/>
      <c r="AE605" s="268"/>
    </row>
    <row r="606" spans="1:31" ht="24.75" customHeight="1">
      <c r="A606" s="268"/>
      <c r="B606" s="268"/>
      <c r="C606" s="268"/>
      <c r="D606" s="268"/>
      <c r="E606" s="268"/>
      <c r="F606" s="268"/>
      <c r="G606" s="268"/>
      <c r="H606" s="268"/>
      <c r="I606" s="268"/>
      <c r="J606" s="268"/>
      <c r="K606" s="268"/>
      <c r="L606" s="309"/>
      <c r="M606" s="268"/>
      <c r="N606" s="268"/>
      <c r="O606" s="310"/>
      <c r="P606" s="268"/>
      <c r="Q606" s="309"/>
      <c r="R606" s="268"/>
      <c r="S606" s="313"/>
      <c r="T606" s="313"/>
      <c r="U606" s="268"/>
      <c r="V606" s="309"/>
      <c r="W606" s="310"/>
      <c r="X606" s="268"/>
      <c r="Y606" s="268"/>
      <c r="Z606" s="268"/>
      <c r="AA606" s="268"/>
      <c r="AB606" s="268"/>
      <c r="AC606" s="268"/>
      <c r="AD606" s="268"/>
      <c r="AE606" s="268"/>
    </row>
    <row r="607" spans="1:31" ht="24.75" customHeight="1">
      <c r="A607" s="268"/>
      <c r="B607" s="268"/>
      <c r="C607" s="268"/>
      <c r="D607" s="268"/>
      <c r="E607" s="268"/>
      <c r="F607" s="268"/>
      <c r="G607" s="268"/>
      <c r="H607" s="268"/>
      <c r="I607" s="268"/>
      <c r="J607" s="268"/>
      <c r="K607" s="268"/>
      <c r="L607" s="309"/>
      <c r="M607" s="268"/>
      <c r="N607" s="268"/>
      <c r="O607" s="310"/>
      <c r="P607" s="268"/>
      <c r="Q607" s="309"/>
      <c r="R607" s="268"/>
      <c r="S607" s="313"/>
      <c r="T607" s="313"/>
      <c r="U607" s="268"/>
      <c r="V607" s="309"/>
      <c r="W607" s="310"/>
      <c r="X607" s="268"/>
      <c r="Y607" s="268"/>
      <c r="Z607" s="268"/>
      <c r="AA607" s="268"/>
      <c r="AB607" s="268"/>
      <c r="AC607" s="268"/>
      <c r="AD607" s="268"/>
      <c r="AE607" s="268"/>
    </row>
    <row r="608" spans="1:31" ht="24.75" customHeight="1">
      <c r="A608" s="268"/>
      <c r="B608" s="268"/>
      <c r="C608" s="268"/>
      <c r="D608" s="268"/>
      <c r="E608" s="268"/>
      <c r="F608" s="268"/>
      <c r="G608" s="268"/>
      <c r="H608" s="268"/>
      <c r="I608" s="268"/>
      <c r="J608" s="268"/>
      <c r="K608" s="268"/>
      <c r="L608" s="309"/>
      <c r="M608" s="268"/>
      <c r="N608" s="268"/>
      <c r="O608" s="310"/>
      <c r="P608" s="268"/>
      <c r="Q608" s="309"/>
      <c r="R608" s="268"/>
      <c r="S608" s="313"/>
      <c r="T608" s="313"/>
      <c r="U608" s="268"/>
      <c r="V608" s="309"/>
      <c r="W608" s="310"/>
      <c r="X608" s="268"/>
      <c r="Y608" s="268"/>
      <c r="Z608" s="268"/>
      <c r="AA608" s="268"/>
      <c r="AB608" s="268"/>
      <c r="AC608" s="268"/>
      <c r="AD608" s="268"/>
      <c r="AE608" s="268"/>
    </row>
    <row r="609" spans="1:31" ht="24.75" customHeight="1">
      <c r="A609" s="268"/>
      <c r="B609" s="268"/>
      <c r="C609" s="268"/>
      <c r="D609" s="268"/>
      <c r="E609" s="268"/>
      <c r="F609" s="268"/>
      <c r="G609" s="268"/>
      <c r="H609" s="268"/>
      <c r="I609" s="268"/>
      <c r="J609" s="268"/>
      <c r="K609" s="268"/>
      <c r="L609" s="309"/>
      <c r="M609" s="268"/>
      <c r="N609" s="268"/>
      <c r="O609" s="310"/>
      <c r="P609" s="268"/>
      <c r="Q609" s="309"/>
      <c r="R609" s="268"/>
      <c r="S609" s="313"/>
      <c r="T609" s="313"/>
      <c r="U609" s="268"/>
      <c r="V609" s="309"/>
      <c r="W609" s="310"/>
      <c r="X609" s="268"/>
      <c r="Y609" s="268"/>
      <c r="Z609" s="268"/>
      <c r="AA609" s="268"/>
      <c r="AB609" s="268"/>
      <c r="AC609" s="268"/>
      <c r="AD609" s="268"/>
      <c r="AE609" s="268"/>
    </row>
    <row r="610" spans="1:31" ht="24.75" customHeight="1">
      <c r="A610" s="268"/>
      <c r="B610" s="268"/>
      <c r="C610" s="268"/>
      <c r="D610" s="268"/>
      <c r="E610" s="268"/>
      <c r="F610" s="268"/>
      <c r="G610" s="268"/>
      <c r="H610" s="268"/>
      <c r="I610" s="268"/>
      <c r="J610" s="268"/>
      <c r="K610" s="268"/>
      <c r="L610" s="309"/>
      <c r="M610" s="268"/>
      <c r="N610" s="268"/>
      <c r="O610" s="310"/>
      <c r="P610" s="268"/>
      <c r="Q610" s="309"/>
      <c r="R610" s="268"/>
      <c r="S610" s="313"/>
      <c r="T610" s="313"/>
      <c r="U610" s="268"/>
      <c r="V610" s="309"/>
      <c r="W610" s="310"/>
      <c r="X610" s="268"/>
      <c r="Y610" s="268"/>
      <c r="Z610" s="268"/>
      <c r="AA610" s="268"/>
      <c r="AB610" s="268"/>
      <c r="AC610" s="268"/>
      <c r="AD610" s="268"/>
      <c r="AE610" s="268"/>
    </row>
    <row r="611" spans="1:31" ht="24.75" customHeight="1">
      <c r="A611" s="268"/>
      <c r="B611" s="268"/>
      <c r="C611" s="268"/>
      <c r="D611" s="268"/>
      <c r="E611" s="268"/>
      <c r="F611" s="268"/>
      <c r="G611" s="268"/>
      <c r="H611" s="268"/>
      <c r="I611" s="268"/>
      <c r="J611" s="268"/>
      <c r="K611" s="268"/>
      <c r="L611" s="309"/>
      <c r="M611" s="268"/>
      <c r="N611" s="268"/>
      <c r="O611" s="310"/>
      <c r="P611" s="268"/>
      <c r="Q611" s="309"/>
      <c r="R611" s="268"/>
      <c r="S611" s="313"/>
      <c r="T611" s="313"/>
      <c r="U611" s="268"/>
      <c r="V611" s="309"/>
      <c r="W611" s="310"/>
      <c r="X611" s="268"/>
      <c r="Y611" s="268"/>
      <c r="Z611" s="268"/>
      <c r="AA611" s="268"/>
      <c r="AB611" s="268"/>
      <c r="AC611" s="268"/>
      <c r="AD611" s="268"/>
      <c r="AE611" s="268"/>
    </row>
    <row r="612" spans="1:31" ht="24.75" customHeight="1">
      <c r="A612" s="268"/>
      <c r="B612" s="268"/>
      <c r="C612" s="268"/>
      <c r="D612" s="268"/>
      <c r="E612" s="268"/>
      <c r="F612" s="268"/>
      <c r="G612" s="268"/>
      <c r="H612" s="268"/>
      <c r="I612" s="268"/>
      <c r="J612" s="268"/>
      <c r="K612" s="268"/>
      <c r="L612" s="309"/>
      <c r="M612" s="268"/>
      <c r="N612" s="268"/>
      <c r="O612" s="310"/>
      <c r="P612" s="268"/>
      <c r="Q612" s="309"/>
      <c r="R612" s="268"/>
      <c r="S612" s="313"/>
      <c r="T612" s="313"/>
      <c r="U612" s="268"/>
      <c r="V612" s="309"/>
      <c r="W612" s="310"/>
      <c r="X612" s="268"/>
      <c r="Y612" s="268"/>
      <c r="Z612" s="268"/>
      <c r="AA612" s="268"/>
      <c r="AB612" s="268"/>
      <c r="AC612" s="268"/>
      <c r="AD612" s="268"/>
      <c r="AE612" s="268"/>
    </row>
    <row r="613" spans="1:31" ht="24.75" customHeight="1">
      <c r="A613" s="268"/>
      <c r="B613" s="268"/>
      <c r="C613" s="268"/>
      <c r="D613" s="268"/>
      <c r="E613" s="268"/>
      <c r="F613" s="268"/>
      <c r="G613" s="268"/>
      <c r="H613" s="268"/>
      <c r="I613" s="268"/>
      <c r="J613" s="268"/>
      <c r="K613" s="268"/>
      <c r="L613" s="309"/>
      <c r="M613" s="268"/>
      <c r="N613" s="268"/>
      <c r="O613" s="310"/>
      <c r="P613" s="268"/>
      <c r="Q613" s="309"/>
      <c r="R613" s="268"/>
      <c r="S613" s="313"/>
      <c r="T613" s="313"/>
      <c r="U613" s="268"/>
      <c r="V613" s="309"/>
      <c r="W613" s="310"/>
      <c r="X613" s="268"/>
      <c r="Y613" s="268"/>
      <c r="Z613" s="268"/>
      <c r="AA613" s="268"/>
      <c r="AB613" s="268"/>
      <c r="AC613" s="268"/>
      <c r="AD613" s="268"/>
      <c r="AE613" s="268"/>
    </row>
    <row r="614" spans="1:31" ht="24.75" customHeight="1">
      <c r="A614" s="268"/>
      <c r="B614" s="268"/>
      <c r="C614" s="268"/>
      <c r="D614" s="268"/>
      <c r="E614" s="268"/>
      <c r="F614" s="268"/>
      <c r="G614" s="268"/>
      <c r="H614" s="268"/>
      <c r="I614" s="268"/>
      <c r="J614" s="268"/>
      <c r="K614" s="268"/>
      <c r="L614" s="309"/>
      <c r="M614" s="268"/>
      <c r="N614" s="268"/>
      <c r="O614" s="310"/>
      <c r="P614" s="268"/>
      <c r="Q614" s="309"/>
      <c r="R614" s="268"/>
      <c r="S614" s="313"/>
      <c r="T614" s="313"/>
      <c r="U614" s="268"/>
      <c r="V614" s="309"/>
      <c r="W614" s="310"/>
      <c r="X614" s="268"/>
      <c r="Y614" s="268"/>
      <c r="Z614" s="268"/>
      <c r="AA614" s="268"/>
      <c r="AB614" s="268"/>
      <c r="AC614" s="268"/>
      <c r="AD614" s="268"/>
      <c r="AE614" s="268"/>
    </row>
    <row r="615" spans="1:31" ht="24.75" customHeight="1">
      <c r="A615" s="268"/>
      <c r="B615" s="268"/>
      <c r="C615" s="268"/>
      <c r="D615" s="268"/>
      <c r="E615" s="268"/>
      <c r="F615" s="268"/>
      <c r="G615" s="268"/>
      <c r="H615" s="268"/>
      <c r="I615" s="268"/>
      <c r="J615" s="268"/>
      <c r="K615" s="268"/>
      <c r="L615" s="309"/>
      <c r="M615" s="268"/>
      <c r="N615" s="268"/>
      <c r="O615" s="310"/>
      <c r="P615" s="268"/>
      <c r="Q615" s="309"/>
      <c r="R615" s="268"/>
      <c r="S615" s="313"/>
      <c r="T615" s="313"/>
      <c r="U615" s="268"/>
      <c r="V615" s="309"/>
      <c r="W615" s="310"/>
      <c r="X615" s="268"/>
      <c r="Y615" s="268"/>
      <c r="Z615" s="268"/>
      <c r="AA615" s="268"/>
      <c r="AB615" s="268"/>
      <c r="AC615" s="268"/>
      <c r="AD615" s="268"/>
      <c r="AE615" s="268"/>
    </row>
    <row r="616" spans="1:31" ht="24.75" customHeight="1">
      <c r="A616" s="268"/>
      <c r="B616" s="268"/>
      <c r="C616" s="268"/>
      <c r="D616" s="268"/>
      <c r="E616" s="268"/>
      <c r="F616" s="268"/>
      <c r="G616" s="268"/>
      <c r="H616" s="268"/>
      <c r="I616" s="268"/>
      <c r="J616" s="268"/>
      <c r="K616" s="268"/>
      <c r="L616" s="309"/>
      <c r="M616" s="268"/>
      <c r="N616" s="268"/>
      <c r="O616" s="310"/>
      <c r="P616" s="268"/>
      <c r="Q616" s="309"/>
      <c r="R616" s="268"/>
      <c r="S616" s="313"/>
      <c r="T616" s="313"/>
      <c r="U616" s="268"/>
      <c r="V616" s="309"/>
      <c r="W616" s="310"/>
      <c r="X616" s="268"/>
      <c r="Y616" s="268"/>
      <c r="Z616" s="268"/>
      <c r="AA616" s="268"/>
      <c r="AB616" s="268"/>
      <c r="AC616" s="268"/>
      <c r="AD616" s="268"/>
      <c r="AE616" s="268"/>
    </row>
    <row r="617" spans="1:31" ht="24.75" customHeight="1">
      <c r="A617" s="268"/>
      <c r="B617" s="268"/>
      <c r="C617" s="268"/>
      <c r="D617" s="268"/>
      <c r="E617" s="268"/>
      <c r="F617" s="268"/>
      <c r="G617" s="268"/>
      <c r="H617" s="268"/>
      <c r="I617" s="268"/>
      <c r="J617" s="268"/>
      <c r="K617" s="268"/>
      <c r="L617" s="309"/>
      <c r="M617" s="268"/>
      <c r="N617" s="268"/>
      <c r="O617" s="310"/>
      <c r="P617" s="268"/>
      <c r="Q617" s="309"/>
      <c r="R617" s="268"/>
      <c r="S617" s="313"/>
      <c r="T617" s="313"/>
      <c r="U617" s="268"/>
      <c r="V617" s="309"/>
      <c r="W617" s="310"/>
      <c r="X617" s="268"/>
      <c r="Y617" s="268"/>
      <c r="Z617" s="268"/>
      <c r="AA617" s="268"/>
      <c r="AB617" s="268"/>
      <c r="AC617" s="268"/>
      <c r="AD617" s="268"/>
      <c r="AE617" s="268"/>
    </row>
    <row r="618" spans="1:31" ht="24.75" customHeight="1">
      <c r="A618" s="268"/>
      <c r="B618" s="268"/>
      <c r="C618" s="268"/>
      <c r="D618" s="268"/>
      <c r="E618" s="268"/>
      <c r="F618" s="268"/>
      <c r="G618" s="268"/>
      <c r="H618" s="268"/>
      <c r="I618" s="268"/>
      <c r="J618" s="268"/>
      <c r="K618" s="268"/>
      <c r="L618" s="309"/>
      <c r="M618" s="268"/>
      <c r="N618" s="268"/>
      <c r="O618" s="310"/>
      <c r="P618" s="268"/>
      <c r="Q618" s="309"/>
      <c r="R618" s="268"/>
      <c r="S618" s="313"/>
      <c r="T618" s="313"/>
      <c r="U618" s="268"/>
      <c r="V618" s="309"/>
      <c r="W618" s="310"/>
      <c r="X618" s="268"/>
      <c r="Y618" s="268"/>
      <c r="Z618" s="268"/>
      <c r="AA618" s="268"/>
      <c r="AB618" s="268"/>
      <c r="AC618" s="268"/>
      <c r="AD618" s="268"/>
      <c r="AE618" s="268"/>
    </row>
    <row r="619" spans="1:31" ht="24.75" customHeight="1">
      <c r="A619" s="268"/>
      <c r="B619" s="268"/>
      <c r="C619" s="268"/>
      <c r="D619" s="268"/>
      <c r="E619" s="268"/>
      <c r="F619" s="268"/>
      <c r="G619" s="268"/>
      <c r="H619" s="268"/>
      <c r="I619" s="268"/>
      <c r="J619" s="268"/>
      <c r="K619" s="268"/>
      <c r="L619" s="309"/>
      <c r="M619" s="268"/>
      <c r="N619" s="268"/>
      <c r="O619" s="310"/>
      <c r="P619" s="268"/>
      <c r="Q619" s="309"/>
      <c r="R619" s="268"/>
      <c r="S619" s="313"/>
      <c r="T619" s="313"/>
      <c r="U619" s="268"/>
      <c r="V619" s="309"/>
      <c r="W619" s="310"/>
      <c r="X619" s="268"/>
      <c r="Y619" s="268"/>
      <c r="Z619" s="268"/>
      <c r="AA619" s="268"/>
      <c r="AB619" s="268"/>
      <c r="AC619" s="268"/>
      <c r="AD619" s="268"/>
      <c r="AE619" s="268"/>
    </row>
    <row r="620" spans="1:31" ht="24.75" customHeight="1">
      <c r="A620" s="268"/>
      <c r="B620" s="268"/>
      <c r="C620" s="268"/>
      <c r="D620" s="268"/>
      <c r="E620" s="268"/>
      <c r="F620" s="268"/>
      <c r="G620" s="268"/>
      <c r="H620" s="268"/>
      <c r="I620" s="268"/>
      <c r="J620" s="268"/>
      <c r="K620" s="268"/>
      <c r="L620" s="309"/>
      <c r="M620" s="268"/>
      <c r="N620" s="268"/>
      <c r="O620" s="310"/>
      <c r="P620" s="268"/>
      <c r="Q620" s="309"/>
      <c r="R620" s="268"/>
      <c r="S620" s="313"/>
      <c r="T620" s="313"/>
      <c r="U620" s="268"/>
      <c r="V620" s="309"/>
      <c r="W620" s="310"/>
      <c r="X620" s="268"/>
      <c r="Y620" s="268"/>
      <c r="Z620" s="268"/>
      <c r="AA620" s="268"/>
      <c r="AB620" s="268"/>
      <c r="AC620" s="268"/>
      <c r="AD620" s="268"/>
      <c r="AE620" s="268"/>
    </row>
    <row r="621" spans="1:31" ht="24.75" customHeight="1">
      <c r="A621" s="268"/>
      <c r="B621" s="268"/>
      <c r="C621" s="268"/>
      <c r="D621" s="268"/>
      <c r="E621" s="268"/>
      <c r="F621" s="268"/>
      <c r="G621" s="268"/>
      <c r="H621" s="268"/>
      <c r="I621" s="268"/>
      <c r="J621" s="268"/>
      <c r="K621" s="268"/>
      <c r="L621" s="309"/>
      <c r="M621" s="268"/>
      <c r="N621" s="268"/>
      <c r="O621" s="310"/>
      <c r="P621" s="268"/>
      <c r="Q621" s="309"/>
      <c r="R621" s="268"/>
      <c r="S621" s="313"/>
      <c r="T621" s="313"/>
      <c r="U621" s="268"/>
      <c r="V621" s="309"/>
      <c r="W621" s="310"/>
      <c r="X621" s="268"/>
      <c r="Y621" s="268"/>
      <c r="Z621" s="268"/>
      <c r="AA621" s="268"/>
      <c r="AB621" s="268"/>
      <c r="AC621" s="268"/>
      <c r="AD621" s="268"/>
      <c r="AE621" s="268"/>
    </row>
    <row r="622" spans="1:31" ht="24.75" customHeight="1">
      <c r="A622" s="268"/>
      <c r="B622" s="268"/>
      <c r="C622" s="268"/>
      <c r="D622" s="268"/>
      <c r="E622" s="268"/>
      <c r="F622" s="268"/>
      <c r="G622" s="268"/>
      <c r="H622" s="268"/>
      <c r="I622" s="268"/>
      <c r="J622" s="268"/>
      <c r="K622" s="268"/>
      <c r="L622" s="309"/>
      <c r="M622" s="268"/>
      <c r="N622" s="268"/>
      <c r="O622" s="310"/>
      <c r="P622" s="268"/>
      <c r="Q622" s="309"/>
      <c r="R622" s="268"/>
      <c r="S622" s="313"/>
      <c r="T622" s="313"/>
      <c r="U622" s="268"/>
      <c r="V622" s="309"/>
      <c r="W622" s="310"/>
      <c r="X622" s="268"/>
      <c r="Y622" s="268"/>
      <c r="Z622" s="268"/>
      <c r="AA622" s="268"/>
      <c r="AB622" s="268"/>
      <c r="AC622" s="268"/>
      <c r="AD622" s="268"/>
      <c r="AE622" s="268"/>
    </row>
    <row r="623" spans="1:31" ht="24.75" customHeight="1">
      <c r="A623" s="268"/>
      <c r="B623" s="268"/>
      <c r="C623" s="268"/>
      <c r="D623" s="268"/>
      <c r="E623" s="268"/>
      <c r="F623" s="268"/>
      <c r="G623" s="268"/>
      <c r="H623" s="268"/>
      <c r="I623" s="268"/>
      <c r="J623" s="268"/>
      <c r="K623" s="268"/>
      <c r="L623" s="309"/>
      <c r="M623" s="268"/>
      <c r="N623" s="268"/>
      <c r="O623" s="310"/>
      <c r="P623" s="268"/>
      <c r="Q623" s="309"/>
      <c r="R623" s="268"/>
      <c r="S623" s="313"/>
      <c r="T623" s="313"/>
      <c r="U623" s="268"/>
      <c r="V623" s="309"/>
      <c r="W623" s="310"/>
      <c r="X623" s="268"/>
      <c r="Y623" s="268"/>
      <c r="Z623" s="268"/>
      <c r="AA623" s="268"/>
      <c r="AB623" s="268"/>
      <c r="AC623" s="268"/>
      <c r="AD623" s="268"/>
      <c r="AE623" s="268"/>
    </row>
    <row r="624" spans="1:31" ht="24.75" customHeight="1">
      <c r="A624" s="268"/>
      <c r="B624" s="268"/>
      <c r="C624" s="268"/>
      <c r="D624" s="268"/>
      <c r="E624" s="268"/>
      <c r="F624" s="268"/>
      <c r="G624" s="268"/>
      <c r="H624" s="268"/>
      <c r="I624" s="268"/>
      <c r="J624" s="268"/>
      <c r="K624" s="268"/>
      <c r="L624" s="309"/>
      <c r="M624" s="268"/>
      <c r="N624" s="268"/>
      <c r="O624" s="310"/>
      <c r="P624" s="268"/>
      <c r="Q624" s="309"/>
      <c r="R624" s="268"/>
      <c r="S624" s="313"/>
      <c r="T624" s="313"/>
      <c r="U624" s="268"/>
      <c r="V624" s="309"/>
      <c r="W624" s="310"/>
      <c r="X624" s="268"/>
      <c r="Y624" s="268"/>
      <c r="Z624" s="268"/>
      <c r="AA624" s="268"/>
      <c r="AB624" s="268"/>
      <c r="AC624" s="268"/>
      <c r="AD624" s="268"/>
      <c r="AE624" s="268"/>
    </row>
    <row r="625" spans="1:31" ht="24.75" customHeight="1">
      <c r="A625" s="268"/>
      <c r="B625" s="268"/>
      <c r="C625" s="268"/>
      <c r="D625" s="268"/>
      <c r="E625" s="268"/>
      <c r="F625" s="268"/>
      <c r="G625" s="268"/>
      <c r="H625" s="268"/>
      <c r="I625" s="268"/>
      <c r="J625" s="268"/>
      <c r="K625" s="268"/>
      <c r="L625" s="309"/>
      <c r="M625" s="268"/>
      <c r="N625" s="268"/>
      <c r="O625" s="310"/>
      <c r="P625" s="268"/>
      <c r="Q625" s="309"/>
      <c r="R625" s="268"/>
      <c r="S625" s="313"/>
      <c r="T625" s="313"/>
      <c r="U625" s="268"/>
      <c r="V625" s="309"/>
      <c r="W625" s="310"/>
      <c r="X625" s="268"/>
      <c r="Y625" s="268"/>
      <c r="Z625" s="268"/>
      <c r="AA625" s="268"/>
      <c r="AB625" s="268"/>
      <c r="AC625" s="268"/>
      <c r="AD625" s="268"/>
      <c r="AE625" s="268"/>
    </row>
    <row r="626" spans="1:31" ht="24.75" customHeight="1">
      <c r="A626" s="268"/>
      <c r="B626" s="268"/>
      <c r="C626" s="268"/>
      <c r="D626" s="268"/>
      <c r="E626" s="268"/>
      <c r="F626" s="268"/>
      <c r="G626" s="268"/>
      <c r="H626" s="268"/>
      <c r="I626" s="268"/>
      <c r="J626" s="268"/>
      <c r="K626" s="268"/>
      <c r="L626" s="309"/>
      <c r="M626" s="268"/>
      <c r="N626" s="268"/>
      <c r="O626" s="310"/>
      <c r="P626" s="268"/>
      <c r="Q626" s="309"/>
      <c r="R626" s="268"/>
      <c r="S626" s="313"/>
      <c r="T626" s="313"/>
      <c r="U626" s="268"/>
      <c r="V626" s="309"/>
      <c r="W626" s="310"/>
      <c r="X626" s="268"/>
      <c r="Y626" s="268"/>
      <c r="Z626" s="268"/>
      <c r="AA626" s="268"/>
      <c r="AB626" s="268"/>
      <c r="AC626" s="268"/>
      <c r="AD626" s="268"/>
      <c r="AE626" s="268"/>
    </row>
    <row r="627" spans="1:31" ht="24.75" customHeight="1">
      <c r="A627" s="268"/>
      <c r="B627" s="268"/>
      <c r="C627" s="268"/>
      <c r="D627" s="268"/>
      <c r="E627" s="268"/>
      <c r="F627" s="268"/>
      <c r="G627" s="268"/>
      <c r="H627" s="268"/>
      <c r="I627" s="268"/>
      <c r="J627" s="268"/>
      <c r="K627" s="268"/>
      <c r="L627" s="309"/>
      <c r="M627" s="268"/>
      <c r="N627" s="268"/>
      <c r="O627" s="310"/>
      <c r="P627" s="268"/>
      <c r="Q627" s="309"/>
      <c r="R627" s="268"/>
      <c r="S627" s="313"/>
      <c r="T627" s="313"/>
      <c r="U627" s="268"/>
      <c r="V627" s="309"/>
      <c r="W627" s="310"/>
      <c r="X627" s="268"/>
      <c r="Y627" s="268"/>
      <c r="Z627" s="268"/>
      <c r="AA627" s="268"/>
      <c r="AB627" s="268"/>
      <c r="AC627" s="268"/>
      <c r="AD627" s="268"/>
      <c r="AE627" s="268"/>
    </row>
    <row r="628" spans="1:31" ht="24.75" customHeight="1">
      <c r="A628" s="268"/>
      <c r="B628" s="268"/>
      <c r="C628" s="268"/>
      <c r="D628" s="268"/>
      <c r="E628" s="268"/>
      <c r="F628" s="268"/>
      <c r="G628" s="268"/>
      <c r="H628" s="268"/>
      <c r="I628" s="268"/>
      <c r="J628" s="268"/>
      <c r="K628" s="268"/>
      <c r="L628" s="309"/>
      <c r="M628" s="268"/>
      <c r="N628" s="268"/>
      <c r="O628" s="310"/>
      <c r="P628" s="268"/>
      <c r="Q628" s="309"/>
      <c r="R628" s="268"/>
      <c r="S628" s="313"/>
      <c r="T628" s="313"/>
      <c r="U628" s="268"/>
      <c r="V628" s="309"/>
      <c r="W628" s="310"/>
      <c r="X628" s="268"/>
      <c r="Y628" s="268"/>
      <c r="Z628" s="268"/>
      <c r="AA628" s="268"/>
      <c r="AB628" s="268"/>
      <c r="AC628" s="268"/>
      <c r="AD628" s="268"/>
      <c r="AE628" s="268"/>
    </row>
    <row r="629" spans="1:31" ht="24.75" customHeight="1">
      <c r="A629" s="268"/>
      <c r="B629" s="268"/>
      <c r="C629" s="268"/>
      <c r="D629" s="268"/>
      <c r="E629" s="268"/>
      <c r="F629" s="268"/>
      <c r="G629" s="268"/>
      <c r="H629" s="268"/>
      <c r="I629" s="268"/>
      <c r="J629" s="268"/>
      <c r="K629" s="268"/>
      <c r="L629" s="309"/>
      <c r="M629" s="268"/>
      <c r="N629" s="268"/>
      <c r="O629" s="310"/>
      <c r="P629" s="268"/>
      <c r="Q629" s="309"/>
      <c r="R629" s="268"/>
      <c r="S629" s="313"/>
      <c r="T629" s="313"/>
      <c r="U629" s="268"/>
      <c r="V629" s="309"/>
      <c r="W629" s="310"/>
      <c r="X629" s="268"/>
      <c r="Y629" s="268"/>
      <c r="Z629" s="268"/>
      <c r="AA629" s="268"/>
      <c r="AB629" s="268"/>
      <c r="AC629" s="268"/>
      <c r="AD629" s="268"/>
      <c r="AE629" s="268"/>
    </row>
    <row r="630" spans="1:31" ht="24.75" customHeight="1">
      <c r="A630" s="268"/>
      <c r="B630" s="268"/>
      <c r="C630" s="268"/>
      <c r="D630" s="268"/>
      <c r="E630" s="268"/>
      <c r="F630" s="268"/>
      <c r="G630" s="268"/>
      <c r="H630" s="268"/>
      <c r="I630" s="268"/>
      <c r="J630" s="268"/>
      <c r="K630" s="268"/>
      <c r="L630" s="309"/>
      <c r="M630" s="268"/>
      <c r="N630" s="268"/>
      <c r="O630" s="310"/>
      <c r="P630" s="268"/>
      <c r="Q630" s="309"/>
      <c r="R630" s="268"/>
      <c r="S630" s="313"/>
      <c r="T630" s="313"/>
      <c r="U630" s="268"/>
      <c r="V630" s="309"/>
      <c r="W630" s="310"/>
      <c r="X630" s="268"/>
      <c r="Y630" s="268"/>
      <c r="Z630" s="268"/>
      <c r="AA630" s="268"/>
      <c r="AB630" s="268"/>
      <c r="AC630" s="268"/>
      <c r="AD630" s="268"/>
      <c r="AE630" s="268"/>
    </row>
    <row r="631" spans="1:31" ht="24.75" customHeight="1">
      <c r="A631" s="268"/>
      <c r="B631" s="268"/>
      <c r="C631" s="268"/>
      <c r="D631" s="268"/>
      <c r="E631" s="268"/>
      <c r="F631" s="268"/>
      <c r="G631" s="268"/>
      <c r="H631" s="268"/>
      <c r="I631" s="268"/>
      <c r="J631" s="268"/>
      <c r="K631" s="268"/>
      <c r="L631" s="309"/>
      <c r="M631" s="268"/>
      <c r="N631" s="268"/>
      <c r="O631" s="310"/>
      <c r="P631" s="268"/>
      <c r="Q631" s="309"/>
      <c r="R631" s="268"/>
      <c r="S631" s="313"/>
      <c r="T631" s="313"/>
      <c r="U631" s="268"/>
      <c r="V631" s="309"/>
      <c r="W631" s="310"/>
      <c r="X631" s="268"/>
      <c r="Y631" s="268"/>
      <c r="Z631" s="268"/>
      <c r="AA631" s="268"/>
      <c r="AB631" s="268"/>
      <c r="AC631" s="268"/>
      <c r="AD631" s="268"/>
      <c r="AE631" s="268"/>
    </row>
    <row r="632" spans="1:31" ht="24.75" customHeight="1">
      <c r="A632" s="268"/>
      <c r="B632" s="268"/>
      <c r="C632" s="268"/>
      <c r="D632" s="268"/>
      <c r="E632" s="268"/>
      <c r="F632" s="268"/>
      <c r="G632" s="268"/>
      <c r="H632" s="268"/>
      <c r="I632" s="268"/>
      <c r="J632" s="268"/>
      <c r="K632" s="268"/>
      <c r="L632" s="309"/>
      <c r="M632" s="268"/>
      <c r="N632" s="268"/>
      <c r="O632" s="310"/>
      <c r="P632" s="268"/>
      <c r="Q632" s="309"/>
      <c r="R632" s="268"/>
      <c r="S632" s="313"/>
      <c r="T632" s="313"/>
      <c r="U632" s="268"/>
      <c r="V632" s="309"/>
      <c r="W632" s="310"/>
      <c r="X632" s="268"/>
      <c r="Y632" s="268"/>
      <c r="Z632" s="268"/>
      <c r="AA632" s="268"/>
      <c r="AB632" s="268"/>
      <c r="AC632" s="268"/>
      <c r="AD632" s="268"/>
      <c r="AE632" s="268"/>
    </row>
    <row r="633" spans="1:31" ht="24.75" customHeight="1">
      <c r="A633" s="268"/>
      <c r="B633" s="268"/>
      <c r="C633" s="268"/>
      <c r="D633" s="268"/>
      <c r="E633" s="268"/>
      <c r="F633" s="268"/>
      <c r="G633" s="268"/>
      <c r="H633" s="268"/>
      <c r="I633" s="268"/>
      <c r="J633" s="268"/>
      <c r="K633" s="268"/>
      <c r="L633" s="309"/>
      <c r="M633" s="268"/>
      <c r="N633" s="268"/>
      <c r="O633" s="310"/>
      <c r="P633" s="268"/>
      <c r="Q633" s="309"/>
      <c r="R633" s="268"/>
      <c r="S633" s="313"/>
      <c r="T633" s="313"/>
      <c r="U633" s="268"/>
      <c r="V633" s="309"/>
      <c r="W633" s="310"/>
      <c r="X633" s="268"/>
      <c r="Y633" s="268"/>
      <c r="Z633" s="268"/>
      <c r="AA633" s="268"/>
      <c r="AB633" s="268"/>
      <c r="AC633" s="268"/>
      <c r="AD633" s="268"/>
      <c r="AE633" s="268"/>
    </row>
    <row r="634" spans="1:31" ht="24.75" customHeight="1">
      <c r="A634" s="268"/>
      <c r="B634" s="268"/>
      <c r="C634" s="268"/>
      <c r="D634" s="268"/>
      <c r="E634" s="268"/>
      <c r="F634" s="268"/>
      <c r="G634" s="268"/>
      <c r="H634" s="268"/>
      <c r="I634" s="268"/>
      <c r="J634" s="268"/>
      <c r="K634" s="268"/>
      <c r="L634" s="309"/>
      <c r="M634" s="268"/>
      <c r="N634" s="268"/>
      <c r="O634" s="310"/>
      <c r="P634" s="268"/>
      <c r="Q634" s="309"/>
      <c r="R634" s="268"/>
      <c r="S634" s="313"/>
      <c r="T634" s="313"/>
      <c r="U634" s="268"/>
      <c r="V634" s="309"/>
      <c r="W634" s="310"/>
      <c r="X634" s="268"/>
      <c r="Y634" s="268"/>
      <c r="Z634" s="268"/>
      <c r="AA634" s="268"/>
      <c r="AB634" s="268"/>
      <c r="AC634" s="268"/>
      <c r="AD634" s="268"/>
      <c r="AE634" s="268"/>
    </row>
    <row r="635" spans="1:31" ht="24.75" customHeight="1">
      <c r="A635" s="268"/>
      <c r="B635" s="268"/>
      <c r="C635" s="268"/>
      <c r="D635" s="268"/>
      <c r="E635" s="268"/>
      <c r="F635" s="268"/>
      <c r="G635" s="268"/>
      <c r="H635" s="268"/>
      <c r="I635" s="268"/>
      <c r="J635" s="268"/>
      <c r="K635" s="268"/>
      <c r="L635" s="309"/>
      <c r="M635" s="268"/>
      <c r="N635" s="268"/>
      <c r="O635" s="310"/>
      <c r="P635" s="268"/>
      <c r="Q635" s="309"/>
      <c r="R635" s="268"/>
      <c r="S635" s="313"/>
      <c r="T635" s="313"/>
      <c r="U635" s="268"/>
      <c r="V635" s="309"/>
      <c r="W635" s="310"/>
      <c r="X635" s="268"/>
      <c r="Y635" s="268"/>
      <c r="Z635" s="268"/>
      <c r="AA635" s="268"/>
      <c r="AB635" s="268"/>
      <c r="AC635" s="268"/>
      <c r="AD635" s="268"/>
      <c r="AE635" s="268"/>
    </row>
    <row r="636" spans="1:31" ht="24.75" customHeight="1">
      <c r="A636" s="268"/>
      <c r="B636" s="268"/>
      <c r="C636" s="268"/>
      <c r="D636" s="268"/>
      <c r="E636" s="268"/>
      <c r="F636" s="268"/>
      <c r="G636" s="268"/>
      <c r="H636" s="268"/>
      <c r="I636" s="268"/>
      <c r="J636" s="268"/>
      <c r="K636" s="268"/>
      <c r="L636" s="309"/>
      <c r="M636" s="268"/>
      <c r="N636" s="268"/>
      <c r="O636" s="310"/>
      <c r="P636" s="268"/>
      <c r="Q636" s="309"/>
      <c r="R636" s="268"/>
      <c r="S636" s="313"/>
      <c r="T636" s="313"/>
      <c r="U636" s="268"/>
      <c r="V636" s="309"/>
      <c r="W636" s="310"/>
      <c r="X636" s="268"/>
      <c r="Y636" s="268"/>
      <c r="Z636" s="268"/>
      <c r="AA636" s="268"/>
      <c r="AB636" s="268"/>
      <c r="AC636" s="268"/>
      <c r="AD636" s="268"/>
      <c r="AE636" s="268"/>
    </row>
    <row r="637" spans="1:31" ht="24.75" customHeight="1">
      <c r="A637" s="268"/>
      <c r="B637" s="268"/>
      <c r="C637" s="268"/>
      <c r="D637" s="268"/>
      <c r="E637" s="268"/>
      <c r="F637" s="268"/>
      <c r="G637" s="268"/>
      <c r="H637" s="268"/>
      <c r="I637" s="268"/>
      <c r="J637" s="268"/>
      <c r="K637" s="268"/>
      <c r="L637" s="309"/>
      <c r="M637" s="268"/>
      <c r="N637" s="268"/>
      <c r="O637" s="310"/>
      <c r="P637" s="268"/>
      <c r="Q637" s="309"/>
      <c r="R637" s="268"/>
      <c r="S637" s="313"/>
      <c r="T637" s="313"/>
      <c r="U637" s="268"/>
      <c r="V637" s="309"/>
      <c r="W637" s="310"/>
      <c r="X637" s="268"/>
      <c r="Y637" s="268"/>
      <c r="Z637" s="268"/>
      <c r="AA637" s="268"/>
      <c r="AB637" s="268"/>
      <c r="AC637" s="268"/>
      <c r="AD637" s="268"/>
      <c r="AE637" s="268"/>
    </row>
    <row r="638" spans="1:31" ht="24.75" customHeight="1">
      <c r="A638" s="268"/>
      <c r="B638" s="268"/>
      <c r="C638" s="268"/>
      <c r="D638" s="268"/>
      <c r="E638" s="268"/>
      <c r="F638" s="268"/>
      <c r="G638" s="268"/>
      <c r="H638" s="268"/>
      <c r="I638" s="268"/>
      <c r="J638" s="268"/>
      <c r="K638" s="268"/>
      <c r="L638" s="309"/>
      <c r="M638" s="268"/>
      <c r="N638" s="268"/>
      <c r="O638" s="310"/>
      <c r="P638" s="268"/>
      <c r="Q638" s="309"/>
      <c r="R638" s="268"/>
      <c r="S638" s="313"/>
      <c r="T638" s="313"/>
      <c r="U638" s="268"/>
      <c r="V638" s="309"/>
      <c r="W638" s="310"/>
      <c r="X638" s="268"/>
      <c r="Y638" s="268"/>
      <c r="Z638" s="268"/>
      <c r="AA638" s="268"/>
      <c r="AB638" s="268"/>
      <c r="AC638" s="268"/>
      <c r="AD638" s="268"/>
      <c r="AE638" s="268"/>
    </row>
    <row r="639" spans="1:31" ht="24.75" customHeight="1">
      <c r="A639" s="268"/>
      <c r="B639" s="268"/>
      <c r="C639" s="268"/>
      <c r="D639" s="268"/>
      <c r="E639" s="268"/>
      <c r="F639" s="268"/>
      <c r="G639" s="268"/>
      <c r="H639" s="268"/>
      <c r="I639" s="268"/>
      <c r="J639" s="268"/>
      <c r="K639" s="268"/>
      <c r="L639" s="309"/>
      <c r="M639" s="268"/>
      <c r="N639" s="268"/>
      <c r="O639" s="310"/>
      <c r="P639" s="268"/>
      <c r="Q639" s="309"/>
      <c r="R639" s="268"/>
      <c r="S639" s="313"/>
      <c r="T639" s="313"/>
      <c r="U639" s="268"/>
      <c r="V639" s="309"/>
      <c r="W639" s="310"/>
      <c r="X639" s="268"/>
      <c r="Y639" s="268"/>
      <c r="Z639" s="268"/>
      <c r="AA639" s="268"/>
      <c r="AB639" s="268"/>
      <c r="AC639" s="268"/>
      <c r="AD639" s="268"/>
      <c r="AE639" s="268"/>
    </row>
    <row r="640" spans="1:31" ht="24.75" customHeight="1">
      <c r="A640" s="268"/>
      <c r="B640" s="268"/>
      <c r="C640" s="268"/>
      <c r="D640" s="268"/>
      <c r="E640" s="268"/>
      <c r="F640" s="268"/>
      <c r="G640" s="268"/>
      <c r="H640" s="268"/>
      <c r="I640" s="268"/>
      <c r="J640" s="268"/>
      <c r="K640" s="268"/>
      <c r="L640" s="309"/>
      <c r="M640" s="268"/>
      <c r="N640" s="268"/>
      <c r="O640" s="310"/>
      <c r="P640" s="268"/>
      <c r="Q640" s="309"/>
      <c r="R640" s="268"/>
      <c r="S640" s="313"/>
      <c r="T640" s="313"/>
      <c r="U640" s="268"/>
      <c r="V640" s="309"/>
      <c r="W640" s="310"/>
      <c r="X640" s="268"/>
      <c r="Y640" s="268"/>
      <c r="Z640" s="268"/>
      <c r="AA640" s="268"/>
      <c r="AB640" s="268"/>
      <c r="AC640" s="268"/>
      <c r="AD640" s="268"/>
      <c r="AE640" s="268"/>
    </row>
    <row r="641" spans="1:31" ht="24.75" customHeight="1">
      <c r="A641" s="268"/>
      <c r="B641" s="268"/>
      <c r="C641" s="268"/>
      <c r="D641" s="268"/>
      <c r="E641" s="268"/>
      <c r="F641" s="268"/>
      <c r="G641" s="268"/>
      <c r="H641" s="268"/>
      <c r="I641" s="268"/>
      <c r="J641" s="268"/>
      <c r="K641" s="268"/>
      <c r="L641" s="309"/>
      <c r="M641" s="268"/>
      <c r="N641" s="268"/>
      <c r="O641" s="310"/>
      <c r="P641" s="268"/>
      <c r="Q641" s="309"/>
      <c r="R641" s="268"/>
      <c r="S641" s="313"/>
      <c r="T641" s="313"/>
      <c r="U641" s="268"/>
      <c r="V641" s="309"/>
      <c r="W641" s="310"/>
      <c r="X641" s="268"/>
      <c r="Y641" s="268"/>
      <c r="Z641" s="268"/>
      <c r="AA641" s="268"/>
      <c r="AB641" s="268"/>
      <c r="AC641" s="268"/>
      <c r="AD641" s="268"/>
      <c r="AE641" s="268"/>
    </row>
    <row r="642" spans="1:31" ht="24.75" customHeight="1">
      <c r="A642" s="268"/>
      <c r="B642" s="268"/>
      <c r="C642" s="268"/>
      <c r="D642" s="268"/>
      <c r="E642" s="268"/>
      <c r="F642" s="268"/>
      <c r="G642" s="268"/>
      <c r="H642" s="268"/>
      <c r="I642" s="268"/>
      <c r="J642" s="268"/>
      <c r="K642" s="268"/>
      <c r="L642" s="309"/>
      <c r="M642" s="268"/>
      <c r="N642" s="268"/>
      <c r="O642" s="310"/>
      <c r="P642" s="268"/>
      <c r="Q642" s="309"/>
      <c r="R642" s="268"/>
      <c r="S642" s="313"/>
      <c r="T642" s="313"/>
      <c r="U642" s="268"/>
      <c r="V642" s="309"/>
      <c r="W642" s="310"/>
      <c r="X642" s="268"/>
      <c r="Y642" s="268"/>
      <c r="Z642" s="268"/>
      <c r="AA642" s="268"/>
      <c r="AB642" s="268"/>
      <c r="AC642" s="268"/>
      <c r="AD642" s="268"/>
      <c r="AE642" s="268"/>
    </row>
    <row r="643" spans="1:31" ht="24.75" customHeight="1">
      <c r="A643" s="268"/>
      <c r="B643" s="268"/>
      <c r="C643" s="268"/>
      <c r="D643" s="268"/>
      <c r="E643" s="268"/>
      <c r="F643" s="268"/>
      <c r="G643" s="268"/>
      <c r="H643" s="268"/>
      <c r="I643" s="268"/>
      <c r="J643" s="268"/>
      <c r="K643" s="268"/>
      <c r="L643" s="309"/>
      <c r="M643" s="268"/>
      <c r="N643" s="268"/>
      <c r="O643" s="310"/>
      <c r="P643" s="268"/>
      <c r="Q643" s="309"/>
      <c r="R643" s="268"/>
      <c r="S643" s="313"/>
      <c r="T643" s="313"/>
      <c r="U643" s="268"/>
      <c r="V643" s="309"/>
      <c r="W643" s="310"/>
      <c r="X643" s="268"/>
      <c r="Y643" s="268"/>
      <c r="Z643" s="268"/>
      <c r="AA643" s="268"/>
      <c r="AB643" s="268"/>
      <c r="AC643" s="268"/>
      <c r="AD643" s="268"/>
      <c r="AE643" s="268"/>
    </row>
    <row r="644" spans="1:31" ht="24.75" customHeight="1">
      <c r="A644" s="268"/>
      <c r="B644" s="268"/>
      <c r="C644" s="268"/>
      <c r="D644" s="268"/>
      <c r="E644" s="268"/>
      <c r="F644" s="268"/>
      <c r="G644" s="268"/>
      <c r="H644" s="268"/>
      <c r="I644" s="268"/>
      <c r="J644" s="268"/>
      <c r="K644" s="268"/>
      <c r="L644" s="309"/>
      <c r="M644" s="268"/>
      <c r="N644" s="268"/>
      <c r="O644" s="310"/>
      <c r="P644" s="268"/>
      <c r="Q644" s="309"/>
      <c r="R644" s="268"/>
      <c r="S644" s="313"/>
      <c r="T644" s="313"/>
      <c r="U644" s="268"/>
      <c r="V644" s="309"/>
      <c r="W644" s="310"/>
      <c r="X644" s="268"/>
      <c r="Y644" s="268"/>
      <c r="Z644" s="268"/>
      <c r="AA644" s="268"/>
      <c r="AB644" s="268"/>
      <c r="AC644" s="268"/>
      <c r="AD644" s="268"/>
      <c r="AE644" s="268"/>
    </row>
    <row r="645" spans="1:31" ht="24.75" customHeight="1">
      <c r="A645" s="268"/>
      <c r="B645" s="268"/>
      <c r="C645" s="268"/>
      <c r="D645" s="268"/>
      <c r="E645" s="268"/>
      <c r="F645" s="268"/>
      <c r="G645" s="268"/>
      <c r="H645" s="268"/>
      <c r="I645" s="268"/>
      <c r="J645" s="268"/>
      <c r="K645" s="268"/>
      <c r="L645" s="309"/>
      <c r="M645" s="268"/>
      <c r="N645" s="268"/>
      <c r="O645" s="310"/>
      <c r="P645" s="268"/>
      <c r="Q645" s="309"/>
      <c r="R645" s="268"/>
      <c r="S645" s="313"/>
      <c r="T645" s="313"/>
      <c r="U645" s="268"/>
      <c r="V645" s="309"/>
      <c r="W645" s="310"/>
      <c r="X645" s="268"/>
      <c r="Y645" s="268"/>
      <c r="Z645" s="268"/>
      <c r="AA645" s="268"/>
      <c r="AB645" s="268"/>
      <c r="AC645" s="268"/>
      <c r="AD645" s="268"/>
      <c r="AE645" s="268"/>
    </row>
    <row r="646" spans="1:31" ht="24.75" customHeight="1">
      <c r="A646" s="268"/>
      <c r="B646" s="268"/>
      <c r="C646" s="268"/>
      <c r="D646" s="268"/>
      <c r="E646" s="268"/>
      <c r="F646" s="268"/>
      <c r="G646" s="268"/>
      <c r="H646" s="268"/>
      <c r="I646" s="268"/>
      <c r="J646" s="268"/>
      <c r="K646" s="268"/>
      <c r="L646" s="309"/>
      <c r="M646" s="268"/>
      <c r="N646" s="268"/>
      <c r="O646" s="310"/>
      <c r="P646" s="268"/>
      <c r="Q646" s="309"/>
      <c r="R646" s="268"/>
      <c r="S646" s="313"/>
      <c r="T646" s="313"/>
      <c r="U646" s="268"/>
      <c r="V646" s="309"/>
      <c r="W646" s="310"/>
      <c r="X646" s="268"/>
      <c r="Y646" s="268"/>
      <c r="Z646" s="268"/>
      <c r="AA646" s="268"/>
      <c r="AB646" s="268"/>
      <c r="AC646" s="268"/>
      <c r="AD646" s="268"/>
      <c r="AE646" s="268"/>
    </row>
    <row r="647" spans="1:31" ht="24.75" customHeight="1">
      <c r="A647" s="268"/>
      <c r="B647" s="268"/>
      <c r="C647" s="268"/>
      <c r="D647" s="268"/>
      <c r="E647" s="268"/>
      <c r="F647" s="268"/>
      <c r="G647" s="268"/>
      <c r="H647" s="268"/>
      <c r="I647" s="268"/>
      <c r="J647" s="268"/>
      <c r="K647" s="268"/>
      <c r="L647" s="309"/>
      <c r="M647" s="268"/>
      <c r="N647" s="268"/>
      <c r="O647" s="310"/>
      <c r="P647" s="268"/>
      <c r="Q647" s="309"/>
      <c r="R647" s="268"/>
      <c r="S647" s="313"/>
      <c r="T647" s="313"/>
      <c r="U647" s="268"/>
      <c r="V647" s="309"/>
      <c r="W647" s="310"/>
      <c r="X647" s="268"/>
      <c r="Y647" s="268"/>
      <c r="Z647" s="268"/>
      <c r="AA647" s="268"/>
      <c r="AB647" s="268"/>
      <c r="AC647" s="268"/>
      <c r="AD647" s="268"/>
      <c r="AE647" s="268"/>
    </row>
    <row r="648" spans="1:31" ht="24.75" customHeight="1">
      <c r="A648" s="268"/>
      <c r="B648" s="268"/>
      <c r="C648" s="268"/>
      <c r="D648" s="268"/>
      <c r="E648" s="268"/>
      <c r="F648" s="268"/>
      <c r="G648" s="268"/>
      <c r="H648" s="268"/>
      <c r="I648" s="268"/>
      <c r="J648" s="268"/>
      <c r="K648" s="268"/>
      <c r="L648" s="309"/>
      <c r="M648" s="268"/>
      <c r="N648" s="268"/>
      <c r="O648" s="310"/>
      <c r="P648" s="268"/>
      <c r="Q648" s="309"/>
      <c r="R648" s="268"/>
      <c r="S648" s="313"/>
      <c r="T648" s="313"/>
      <c r="U648" s="268"/>
      <c r="V648" s="309"/>
      <c r="W648" s="310"/>
      <c r="X648" s="268"/>
      <c r="Y648" s="268"/>
      <c r="Z648" s="268"/>
      <c r="AA648" s="268"/>
      <c r="AB648" s="268"/>
      <c r="AC648" s="268"/>
      <c r="AD648" s="268"/>
      <c r="AE648" s="268"/>
    </row>
    <row r="649" spans="1:31" ht="24.75" customHeight="1">
      <c r="A649" s="268"/>
      <c r="B649" s="268"/>
      <c r="C649" s="268"/>
      <c r="D649" s="268"/>
      <c r="E649" s="268"/>
      <c r="F649" s="268"/>
      <c r="G649" s="268"/>
      <c r="H649" s="268"/>
      <c r="I649" s="268"/>
      <c r="J649" s="268"/>
      <c r="K649" s="268"/>
      <c r="L649" s="309"/>
      <c r="M649" s="268"/>
      <c r="N649" s="268"/>
      <c r="O649" s="310"/>
      <c r="P649" s="268"/>
      <c r="Q649" s="309"/>
      <c r="R649" s="268"/>
      <c r="S649" s="313"/>
      <c r="T649" s="313"/>
      <c r="U649" s="268"/>
      <c r="V649" s="309"/>
      <c r="W649" s="310"/>
      <c r="X649" s="268"/>
      <c r="Y649" s="268"/>
      <c r="Z649" s="268"/>
      <c r="AA649" s="268"/>
      <c r="AB649" s="268"/>
      <c r="AC649" s="268"/>
      <c r="AD649" s="268"/>
      <c r="AE649" s="268"/>
    </row>
    <row r="650" spans="1:31" ht="24.75" customHeight="1">
      <c r="A650" s="268"/>
      <c r="B650" s="268"/>
      <c r="C650" s="268"/>
      <c r="D650" s="268"/>
      <c r="E650" s="268"/>
      <c r="F650" s="268"/>
      <c r="G650" s="268"/>
      <c r="H650" s="268"/>
      <c r="I650" s="268"/>
      <c r="J650" s="268"/>
      <c r="K650" s="268"/>
      <c r="L650" s="309"/>
      <c r="M650" s="268"/>
      <c r="N650" s="268"/>
      <c r="O650" s="310"/>
      <c r="P650" s="268"/>
      <c r="Q650" s="309"/>
      <c r="R650" s="268"/>
      <c r="S650" s="313"/>
      <c r="T650" s="313"/>
      <c r="U650" s="268"/>
      <c r="V650" s="309"/>
      <c r="W650" s="310"/>
      <c r="X650" s="268"/>
      <c r="Y650" s="268"/>
      <c r="Z650" s="268"/>
      <c r="AA650" s="268"/>
      <c r="AB650" s="268"/>
      <c r="AC650" s="268"/>
      <c r="AD650" s="268"/>
      <c r="AE650" s="268"/>
    </row>
    <row r="651" spans="1:31" ht="24.75" customHeight="1">
      <c r="A651" s="268"/>
      <c r="B651" s="268"/>
      <c r="C651" s="268"/>
      <c r="D651" s="268"/>
      <c r="E651" s="268"/>
      <c r="F651" s="268"/>
      <c r="G651" s="268"/>
      <c r="H651" s="268"/>
      <c r="I651" s="268"/>
      <c r="J651" s="268"/>
      <c r="K651" s="268"/>
      <c r="L651" s="309"/>
      <c r="M651" s="268"/>
      <c r="N651" s="268"/>
      <c r="O651" s="310"/>
      <c r="P651" s="268"/>
      <c r="Q651" s="309"/>
      <c r="R651" s="268"/>
      <c r="S651" s="313"/>
      <c r="T651" s="313"/>
      <c r="U651" s="268"/>
      <c r="V651" s="309"/>
      <c r="W651" s="310"/>
      <c r="X651" s="268"/>
      <c r="Y651" s="268"/>
      <c r="Z651" s="268"/>
      <c r="AA651" s="268"/>
      <c r="AB651" s="268"/>
      <c r="AC651" s="268"/>
      <c r="AD651" s="268"/>
      <c r="AE651" s="268"/>
    </row>
    <row r="652" spans="1:31" ht="24.75" customHeight="1">
      <c r="A652" s="268"/>
      <c r="B652" s="268"/>
      <c r="C652" s="268"/>
      <c r="D652" s="268"/>
      <c r="E652" s="268"/>
      <c r="F652" s="268"/>
      <c r="G652" s="268"/>
      <c r="H652" s="268"/>
      <c r="I652" s="268"/>
      <c r="J652" s="268"/>
      <c r="K652" s="268"/>
      <c r="L652" s="309"/>
      <c r="M652" s="268"/>
      <c r="N652" s="268"/>
      <c r="O652" s="310"/>
      <c r="P652" s="268"/>
      <c r="Q652" s="309"/>
      <c r="R652" s="268"/>
      <c r="S652" s="313"/>
      <c r="T652" s="313"/>
      <c r="U652" s="268"/>
      <c r="V652" s="309"/>
      <c r="W652" s="310"/>
      <c r="X652" s="268"/>
      <c r="Y652" s="268"/>
      <c r="Z652" s="268"/>
      <c r="AA652" s="268"/>
      <c r="AB652" s="268"/>
      <c r="AC652" s="268"/>
      <c r="AD652" s="268"/>
      <c r="AE652" s="268"/>
    </row>
    <row r="653" spans="1:31" ht="24.75" customHeight="1">
      <c r="A653" s="268"/>
      <c r="B653" s="268"/>
      <c r="C653" s="268"/>
      <c r="D653" s="268"/>
      <c r="E653" s="268"/>
      <c r="F653" s="268"/>
      <c r="G653" s="268"/>
      <c r="H653" s="268"/>
      <c r="I653" s="268"/>
      <c r="J653" s="268"/>
      <c r="K653" s="268"/>
      <c r="L653" s="309"/>
      <c r="M653" s="268"/>
      <c r="N653" s="268"/>
      <c r="O653" s="310"/>
      <c r="P653" s="268"/>
      <c r="Q653" s="309"/>
      <c r="R653" s="268"/>
      <c r="S653" s="313"/>
      <c r="T653" s="313"/>
      <c r="U653" s="268"/>
      <c r="V653" s="309"/>
      <c r="W653" s="310"/>
      <c r="X653" s="268"/>
      <c r="Y653" s="268"/>
      <c r="Z653" s="268"/>
      <c r="AA653" s="268"/>
      <c r="AB653" s="268"/>
      <c r="AC653" s="268"/>
      <c r="AD653" s="268"/>
      <c r="AE653" s="268"/>
    </row>
    <row r="654" spans="1:31" ht="24.75" customHeight="1">
      <c r="A654" s="268"/>
      <c r="B654" s="268"/>
      <c r="C654" s="268"/>
      <c r="D654" s="268"/>
      <c r="E654" s="268"/>
      <c r="F654" s="268"/>
      <c r="G654" s="268"/>
      <c r="H654" s="268"/>
      <c r="I654" s="268"/>
      <c r="J654" s="268"/>
      <c r="K654" s="268"/>
      <c r="L654" s="309"/>
      <c r="M654" s="268"/>
      <c r="N654" s="268"/>
      <c r="O654" s="310"/>
      <c r="P654" s="268"/>
      <c r="Q654" s="309"/>
      <c r="R654" s="268"/>
      <c r="S654" s="313"/>
      <c r="T654" s="313"/>
      <c r="U654" s="268"/>
      <c r="V654" s="309"/>
      <c r="W654" s="310"/>
      <c r="X654" s="268"/>
      <c r="Y654" s="268"/>
      <c r="Z654" s="268"/>
      <c r="AA654" s="268"/>
      <c r="AB654" s="268"/>
      <c r="AC654" s="268"/>
      <c r="AD654" s="268"/>
      <c r="AE654" s="268"/>
    </row>
    <row r="655" spans="1:31" ht="24.75" customHeight="1">
      <c r="A655" s="268"/>
      <c r="B655" s="268"/>
      <c r="C655" s="268"/>
      <c r="D655" s="268"/>
      <c r="E655" s="268"/>
      <c r="F655" s="268"/>
      <c r="G655" s="268"/>
      <c r="H655" s="268"/>
      <c r="I655" s="268"/>
      <c r="J655" s="268"/>
      <c r="K655" s="268"/>
      <c r="L655" s="309"/>
      <c r="M655" s="268"/>
      <c r="N655" s="268"/>
      <c r="O655" s="310"/>
      <c r="P655" s="268"/>
      <c r="Q655" s="309"/>
      <c r="R655" s="268"/>
      <c r="S655" s="313"/>
      <c r="T655" s="313"/>
      <c r="U655" s="268"/>
      <c r="V655" s="309"/>
      <c r="W655" s="310"/>
      <c r="X655" s="268"/>
      <c r="Y655" s="268"/>
      <c r="Z655" s="268"/>
      <c r="AA655" s="268"/>
      <c r="AB655" s="268"/>
      <c r="AC655" s="268"/>
      <c r="AD655" s="268"/>
      <c r="AE655" s="268"/>
    </row>
    <row r="656" spans="1:31" ht="24.75" customHeight="1">
      <c r="A656" s="268"/>
      <c r="B656" s="268"/>
      <c r="C656" s="268"/>
      <c r="D656" s="268"/>
      <c r="E656" s="268"/>
      <c r="F656" s="268"/>
      <c r="G656" s="268"/>
      <c r="H656" s="268"/>
      <c r="I656" s="268"/>
      <c r="J656" s="268"/>
      <c r="K656" s="268"/>
      <c r="L656" s="309"/>
      <c r="M656" s="268"/>
      <c r="N656" s="268"/>
      <c r="O656" s="310"/>
      <c r="P656" s="268"/>
      <c r="Q656" s="309"/>
      <c r="R656" s="268"/>
      <c r="S656" s="313"/>
      <c r="T656" s="313"/>
      <c r="U656" s="268"/>
      <c r="V656" s="309"/>
      <c r="W656" s="310"/>
      <c r="X656" s="268"/>
      <c r="Y656" s="268"/>
      <c r="Z656" s="268"/>
      <c r="AA656" s="268"/>
      <c r="AB656" s="268"/>
      <c r="AC656" s="268"/>
      <c r="AD656" s="268"/>
      <c r="AE656" s="268"/>
    </row>
    <row r="657" spans="1:31" ht="24.75" customHeight="1">
      <c r="A657" s="268"/>
      <c r="B657" s="268"/>
      <c r="C657" s="268"/>
      <c r="D657" s="268"/>
      <c r="E657" s="268"/>
      <c r="F657" s="268"/>
      <c r="G657" s="268"/>
      <c r="H657" s="268"/>
      <c r="I657" s="268"/>
      <c r="J657" s="268"/>
      <c r="K657" s="268"/>
      <c r="L657" s="309"/>
      <c r="M657" s="268"/>
      <c r="N657" s="268"/>
      <c r="O657" s="310"/>
      <c r="P657" s="268"/>
      <c r="Q657" s="309"/>
      <c r="R657" s="268"/>
      <c r="S657" s="313"/>
      <c r="T657" s="313"/>
      <c r="U657" s="268"/>
      <c r="V657" s="309"/>
      <c r="W657" s="310"/>
      <c r="X657" s="268"/>
      <c r="Y657" s="268"/>
      <c r="Z657" s="268"/>
      <c r="AA657" s="268"/>
      <c r="AB657" s="268"/>
      <c r="AC657" s="268"/>
      <c r="AD657" s="268"/>
      <c r="AE657" s="268"/>
    </row>
    <row r="658" spans="1:31" ht="24.75" customHeight="1">
      <c r="A658" s="268"/>
      <c r="B658" s="268"/>
      <c r="C658" s="268"/>
      <c r="D658" s="268"/>
      <c r="E658" s="268"/>
      <c r="F658" s="268"/>
      <c r="G658" s="268"/>
      <c r="H658" s="268"/>
      <c r="I658" s="268"/>
      <c r="J658" s="268"/>
      <c r="K658" s="268"/>
      <c r="L658" s="309"/>
      <c r="M658" s="268"/>
      <c r="N658" s="268"/>
      <c r="O658" s="310"/>
      <c r="P658" s="268"/>
      <c r="Q658" s="309"/>
      <c r="R658" s="268"/>
      <c r="S658" s="313"/>
      <c r="T658" s="313"/>
      <c r="U658" s="268"/>
      <c r="V658" s="309"/>
      <c r="W658" s="310"/>
      <c r="X658" s="268"/>
      <c r="Y658" s="268"/>
      <c r="Z658" s="268"/>
      <c r="AA658" s="268"/>
      <c r="AB658" s="268"/>
      <c r="AC658" s="268"/>
      <c r="AD658" s="268"/>
      <c r="AE658" s="268"/>
    </row>
    <row r="659" spans="1:31" ht="24.75" customHeight="1">
      <c r="A659" s="268"/>
      <c r="B659" s="268"/>
      <c r="C659" s="268"/>
      <c r="D659" s="268"/>
      <c r="E659" s="268"/>
      <c r="F659" s="268"/>
      <c r="G659" s="268"/>
      <c r="H659" s="268"/>
      <c r="I659" s="268"/>
      <c r="J659" s="268"/>
      <c r="K659" s="268"/>
      <c r="L659" s="309"/>
      <c r="M659" s="268"/>
      <c r="N659" s="268"/>
      <c r="O659" s="310"/>
      <c r="P659" s="268"/>
      <c r="Q659" s="309"/>
      <c r="R659" s="268"/>
      <c r="S659" s="313"/>
      <c r="T659" s="313"/>
      <c r="U659" s="268"/>
      <c r="V659" s="309"/>
      <c r="W659" s="310"/>
      <c r="X659" s="268"/>
      <c r="Y659" s="268"/>
      <c r="Z659" s="268"/>
      <c r="AA659" s="268"/>
      <c r="AB659" s="268"/>
      <c r="AC659" s="268"/>
      <c r="AD659" s="268"/>
      <c r="AE659" s="268"/>
    </row>
    <row r="660" spans="1:31" ht="24.75" customHeight="1">
      <c r="A660" s="268"/>
      <c r="B660" s="268"/>
      <c r="C660" s="268"/>
      <c r="D660" s="268"/>
      <c r="E660" s="268"/>
      <c r="F660" s="268"/>
      <c r="G660" s="268"/>
      <c r="H660" s="268"/>
      <c r="I660" s="268"/>
      <c r="J660" s="268"/>
      <c r="K660" s="268"/>
      <c r="L660" s="309"/>
      <c r="M660" s="268"/>
      <c r="N660" s="268"/>
      <c r="O660" s="310"/>
      <c r="P660" s="268"/>
      <c r="Q660" s="309"/>
      <c r="R660" s="268"/>
      <c r="S660" s="313"/>
      <c r="T660" s="313"/>
      <c r="U660" s="268"/>
      <c r="V660" s="309"/>
      <c r="W660" s="310"/>
      <c r="X660" s="268"/>
      <c r="Y660" s="268"/>
      <c r="Z660" s="268"/>
      <c r="AA660" s="268"/>
      <c r="AB660" s="268"/>
      <c r="AC660" s="268"/>
      <c r="AD660" s="268"/>
      <c r="AE660" s="268"/>
    </row>
    <row r="661" spans="1:31" ht="24.75" customHeight="1">
      <c r="A661" s="268"/>
      <c r="B661" s="268"/>
      <c r="C661" s="268"/>
      <c r="D661" s="268"/>
      <c r="E661" s="268"/>
      <c r="F661" s="268"/>
      <c r="G661" s="268"/>
      <c r="H661" s="268"/>
      <c r="I661" s="268"/>
      <c r="J661" s="268"/>
      <c r="K661" s="268"/>
      <c r="L661" s="309"/>
      <c r="M661" s="268"/>
      <c r="N661" s="268"/>
      <c r="O661" s="310"/>
      <c r="P661" s="268"/>
      <c r="Q661" s="309"/>
      <c r="R661" s="268"/>
      <c r="S661" s="313"/>
      <c r="T661" s="313"/>
      <c r="U661" s="268"/>
      <c r="V661" s="309"/>
      <c r="W661" s="310"/>
      <c r="X661" s="268"/>
      <c r="Y661" s="268"/>
      <c r="Z661" s="268"/>
      <c r="AA661" s="268"/>
      <c r="AB661" s="268"/>
      <c r="AC661" s="268"/>
      <c r="AD661" s="268"/>
      <c r="AE661" s="268"/>
    </row>
    <row r="662" spans="1:31" ht="24.75" customHeight="1">
      <c r="A662" s="268"/>
      <c r="B662" s="268"/>
      <c r="C662" s="268"/>
      <c r="D662" s="268"/>
      <c r="E662" s="268"/>
      <c r="F662" s="268"/>
      <c r="G662" s="268"/>
      <c r="H662" s="268"/>
      <c r="I662" s="268"/>
      <c r="J662" s="268"/>
      <c r="K662" s="268"/>
      <c r="L662" s="309"/>
      <c r="M662" s="268"/>
      <c r="N662" s="268"/>
      <c r="O662" s="310"/>
      <c r="P662" s="268"/>
      <c r="Q662" s="309"/>
      <c r="R662" s="268"/>
      <c r="S662" s="313"/>
      <c r="T662" s="313"/>
      <c r="U662" s="268"/>
      <c r="V662" s="309"/>
      <c r="W662" s="310"/>
      <c r="X662" s="268"/>
      <c r="Y662" s="268"/>
      <c r="Z662" s="268"/>
      <c r="AA662" s="268"/>
      <c r="AB662" s="268"/>
      <c r="AC662" s="268"/>
      <c r="AD662" s="268"/>
      <c r="AE662" s="268"/>
    </row>
    <row r="663" spans="1:31" ht="24.75" customHeight="1">
      <c r="A663" s="268"/>
      <c r="B663" s="268"/>
      <c r="C663" s="268"/>
      <c r="D663" s="268"/>
      <c r="E663" s="268"/>
      <c r="F663" s="268"/>
      <c r="G663" s="268"/>
      <c r="H663" s="268"/>
      <c r="I663" s="268"/>
      <c r="J663" s="268"/>
      <c r="K663" s="268"/>
      <c r="L663" s="309"/>
      <c r="M663" s="268"/>
      <c r="N663" s="268"/>
      <c r="O663" s="310"/>
      <c r="P663" s="268"/>
      <c r="Q663" s="309"/>
      <c r="R663" s="268"/>
      <c r="S663" s="313"/>
      <c r="T663" s="313"/>
      <c r="U663" s="268"/>
      <c r="V663" s="309"/>
      <c r="W663" s="310"/>
      <c r="X663" s="268"/>
      <c r="Y663" s="268"/>
      <c r="Z663" s="268"/>
      <c r="AA663" s="268"/>
      <c r="AB663" s="268"/>
      <c r="AC663" s="268"/>
      <c r="AD663" s="268"/>
      <c r="AE663" s="268"/>
    </row>
    <row r="664" spans="1:31" ht="24.75" customHeight="1">
      <c r="A664" s="268"/>
      <c r="B664" s="268"/>
      <c r="C664" s="268"/>
      <c r="D664" s="268"/>
      <c r="E664" s="268"/>
      <c r="F664" s="268"/>
      <c r="G664" s="268"/>
      <c r="H664" s="268"/>
      <c r="I664" s="268"/>
      <c r="J664" s="268"/>
      <c r="K664" s="268"/>
      <c r="L664" s="309"/>
      <c r="M664" s="268"/>
      <c r="N664" s="268"/>
      <c r="O664" s="310"/>
      <c r="P664" s="268"/>
      <c r="Q664" s="309"/>
      <c r="R664" s="268"/>
      <c r="S664" s="313"/>
      <c r="T664" s="313"/>
      <c r="U664" s="268"/>
      <c r="V664" s="309"/>
      <c r="W664" s="310"/>
      <c r="X664" s="268"/>
      <c r="Y664" s="268"/>
      <c r="Z664" s="268"/>
      <c r="AA664" s="268"/>
      <c r="AB664" s="268"/>
      <c r="AC664" s="268"/>
      <c r="AD664" s="268"/>
      <c r="AE664" s="268"/>
    </row>
    <row r="665" spans="1:31" ht="24.75" customHeight="1">
      <c r="A665" s="268"/>
      <c r="B665" s="268"/>
      <c r="C665" s="268"/>
      <c r="D665" s="268"/>
      <c r="E665" s="268"/>
      <c r="F665" s="268"/>
      <c r="G665" s="268"/>
      <c r="H665" s="268"/>
      <c r="I665" s="268"/>
      <c r="J665" s="268"/>
      <c r="K665" s="268"/>
      <c r="L665" s="309"/>
      <c r="M665" s="268"/>
      <c r="N665" s="268"/>
      <c r="O665" s="310"/>
      <c r="P665" s="268"/>
      <c r="Q665" s="309"/>
      <c r="R665" s="268"/>
      <c r="S665" s="313"/>
      <c r="T665" s="313"/>
      <c r="U665" s="268"/>
      <c r="V665" s="309"/>
      <c r="W665" s="310"/>
      <c r="X665" s="268"/>
      <c r="Y665" s="268"/>
      <c r="Z665" s="268"/>
      <c r="AA665" s="268"/>
      <c r="AB665" s="268"/>
      <c r="AC665" s="268"/>
      <c r="AD665" s="268"/>
      <c r="AE665" s="268"/>
    </row>
    <row r="666" spans="1:31" ht="24.75" customHeight="1">
      <c r="A666" s="268"/>
      <c r="B666" s="268"/>
      <c r="C666" s="268"/>
      <c r="D666" s="268"/>
      <c r="E666" s="268"/>
      <c r="F666" s="268"/>
      <c r="G666" s="268"/>
      <c r="H666" s="268"/>
      <c r="I666" s="268"/>
      <c r="J666" s="268"/>
      <c r="K666" s="268"/>
      <c r="L666" s="309"/>
      <c r="M666" s="268"/>
      <c r="N666" s="268"/>
      <c r="O666" s="310"/>
      <c r="P666" s="268"/>
      <c r="Q666" s="309"/>
      <c r="R666" s="268"/>
      <c r="S666" s="313"/>
      <c r="T666" s="313"/>
      <c r="U666" s="268"/>
      <c r="V666" s="309"/>
      <c r="W666" s="310"/>
      <c r="X666" s="268"/>
      <c r="Y666" s="268"/>
      <c r="Z666" s="268"/>
      <c r="AA666" s="268"/>
      <c r="AB666" s="268"/>
      <c r="AC666" s="268"/>
      <c r="AD666" s="268"/>
      <c r="AE666" s="268"/>
    </row>
    <row r="667" spans="1:31" ht="24.75" customHeight="1">
      <c r="A667" s="268"/>
      <c r="B667" s="268"/>
      <c r="C667" s="268"/>
      <c r="D667" s="268"/>
      <c r="E667" s="268"/>
      <c r="F667" s="268"/>
      <c r="G667" s="268"/>
      <c r="H667" s="268"/>
      <c r="I667" s="268"/>
      <c r="J667" s="268"/>
      <c r="K667" s="268"/>
      <c r="L667" s="309"/>
      <c r="M667" s="268"/>
      <c r="N667" s="268"/>
      <c r="O667" s="310"/>
      <c r="P667" s="268"/>
      <c r="Q667" s="309"/>
      <c r="R667" s="268"/>
      <c r="S667" s="313"/>
      <c r="T667" s="313"/>
      <c r="U667" s="268"/>
      <c r="V667" s="309"/>
      <c r="W667" s="310"/>
      <c r="X667" s="268"/>
      <c r="Y667" s="268"/>
      <c r="Z667" s="268"/>
      <c r="AA667" s="268"/>
      <c r="AB667" s="268"/>
      <c r="AC667" s="268"/>
      <c r="AD667" s="268"/>
      <c r="AE667" s="268"/>
    </row>
    <row r="668" spans="1:31" ht="24.75" customHeight="1">
      <c r="A668" s="268"/>
      <c r="B668" s="268"/>
      <c r="C668" s="268"/>
      <c r="D668" s="268"/>
      <c r="E668" s="268"/>
      <c r="F668" s="268"/>
      <c r="G668" s="268"/>
      <c r="H668" s="268"/>
      <c r="I668" s="268"/>
      <c r="J668" s="268"/>
      <c r="K668" s="268"/>
      <c r="L668" s="309"/>
      <c r="M668" s="268"/>
      <c r="N668" s="268"/>
      <c r="O668" s="310"/>
      <c r="P668" s="268"/>
      <c r="Q668" s="309"/>
      <c r="R668" s="268"/>
      <c r="S668" s="313"/>
      <c r="T668" s="313"/>
      <c r="U668" s="268"/>
      <c r="V668" s="309"/>
      <c r="W668" s="310"/>
      <c r="X668" s="268"/>
      <c r="Y668" s="268"/>
      <c r="Z668" s="268"/>
      <c r="AA668" s="268"/>
      <c r="AB668" s="268"/>
      <c r="AC668" s="268"/>
      <c r="AD668" s="268"/>
      <c r="AE668" s="268"/>
    </row>
    <row r="669" spans="1:31" ht="24.75" customHeight="1">
      <c r="A669" s="268"/>
      <c r="B669" s="268"/>
      <c r="C669" s="268"/>
      <c r="D669" s="268"/>
      <c r="E669" s="268"/>
      <c r="F669" s="268"/>
      <c r="G669" s="268"/>
      <c r="H669" s="268"/>
      <c r="I669" s="268"/>
      <c r="J669" s="268"/>
      <c r="K669" s="268"/>
      <c r="L669" s="309"/>
      <c r="M669" s="268"/>
      <c r="N669" s="268"/>
      <c r="O669" s="310"/>
      <c r="P669" s="268"/>
      <c r="Q669" s="309"/>
      <c r="R669" s="268"/>
      <c r="S669" s="313"/>
      <c r="T669" s="313"/>
      <c r="U669" s="268"/>
      <c r="V669" s="309"/>
      <c r="W669" s="310"/>
      <c r="X669" s="268"/>
      <c r="Y669" s="268"/>
      <c r="Z669" s="268"/>
      <c r="AA669" s="268"/>
      <c r="AB669" s="268"/>
      <c r="AC669" s="268"/>
      <c r="AD669" s="268"/>
      <c r="AE669" s="268"/>
    </row>
    <row r="670" spans="1:31" ht="24.75" customHeight="1">
      <c r="A670" s="268"/>
      <c r="B670" s="268"/>
      <c r="C670" s="268"/>
      <c r="D670" s="268"/>
      <c r="E670" s="268"/>
      <c r="F670" s="268"/>
      <c r="G670" s="268"/>
      <c r="H670" s="268"/>
      <c r="I670" s="268"/>
      <c r="J670" s="268"/>
      <c r="K670" s="268"/>
      <c r="L670" s="309"/>
      <c r="M670" s="268"/>
      <c r="N670" s="268"/>
      <c r="O670" s="310"/>
      <c r="P670" s="268"/>
      <c r="Q670" s="309"/>
      <c r="R670" s="268"/>
      <c r="S670" s="313"/>
      <c r="T670" s="313"/>
      <c r="U670" s="268"/>
      <c r="V670" s="309"/>
      <c r="W670" s="310"/>
      <c r="X670" s="268"/>
      <c r="Y670" s="268"/>
      <c r="Z670" s="268"/>
      <c r="AA670" s="268"/>
      <c r="AB670" s="268"/>
      <c r="AC670" s="268"/>
      <c r="AD670" s="268"/>
      <c r="AE670" s="268"/>
    </row>
    <row r="671" spans="1:31" ht="24.75" customHeight="1">
      <c r="A671" s="268"/>
      <c r="B671" s="268"/>
      <c r="C671" s="268"/>
      <c r="D671" s="268"/>
      <c r="E671" s="268"/>
      <c r="F671" s="268"/>
      <c r="G671" s="268"/>
      <c r="H671" s="268"/>
      <c r="I671" s="268"/>
      <c r="J671" s="268"/>
      <c r="K671" s="268"/>
      <c r="L671" s="309"/>
      <c r="M671" s="268"/>
      <c r="N671" s="268"/>
      <c r="O671" s="310"/>
      <c r="P671" s="268"/>
      <c r="Q671" s="309"/>
      <c r="R671" s="268"/>
      <c r="S671" s="313"/>
      <c r="T671" s="313"/>
      <c r="U671" s="268"/>
      <c r="V671" s="309"/>
      <c r="W671" s="310"/>
      <c r="X671" s="268"/>
      <c r="Y671" s="268"/>
      <c r="Z671" s="268"/>
      <c r="AA671" s="268"/>
      <c r="AB671" s="268"/>
      <c r="AC671" s="268"/>
      <c r="AD671" s="268"/>
      <c r="AE671" s="268"/>
    </row>
    <row r="672" spans="1:31" ht="24.75" customHeight="1">
      <c r="A672" s="268"/>
      <c r="B672" s="268"/>
      <c r="C672" s="268"/>
      <c r="D672" s="268"/>
      <c r="E672" s="268"/>
      <c r="F672" s="268"/>
      <c r="G672" s="268"/>
      <c r="H672" s="268"/>
      <c r="I672" s="268"/>
      <c r="J672" s="268"/>
      <c r="K672" s="268"/>
      <c r="L672" s="309"/>
      <c r="M672" s="268"/>
      <c r="N672" s="268"/>
      <c r="O672" s="310"/>
      <c r="P672" s="268"/>
      <c r="Q672" s="309"/>
      <c r="R672" s="268"/>
      <c r="S672" s="313"/>
      <c r="T672" s="313"/>
      <c r="U672" s="268"/>
      <c r="V672" s="309"/>
      <c r="W672" s="310"/>
      <c r="X672" s="268"/>
      <c r="Y672" s="268"/>
      <c r="Z672" s="268"/>
      <c r="AA672" s="268"/>
      <c r="AB672" s="268"/>
      <c r="AC672" s="268"/>
      <c r="AD672" s="268"/>
      <c r="AE672" s="268"/>
    </row>
    <row r="673" spans="1:31" ht="24.75" customHeight="1">
      <c r="A673" s="268"/>
      <c r="B673" s="268"/>
      <c r="C673" s="268"/>
      <c r="D673" s="268"/>
      <c r="E673" s="268"/>
      <c r="F673" s="268"/>
      <c r="G673" s="268"/>
      <c r="H673" s="268"/>
      <c r="I673" s="268"/>
      <c r="J673" s="268"/>
      <c r="K673" s="268"/>
      <c r="L673" s="309"/>
      <c r="M673" s="268"/>
      <c r="N673" s="268"/>
      <c r="O673" s="310"/>
      <c r="P673" s="268"/>
      <c r="Q673" s="309"/>
      <c r="R673" s="268"/>
      <c r="S673" s="313"/>
      <c r="T673" s="313"/>
      <c r="U673" s="268"/>
      <c r="V673" s="309"/>
      <c r="W673" s="310"/>
      <c r="X673" s="268"/>
      <c r="Y673" s="268"/>
      <c r="Z673" s="268"/>
      <c r="AA673" s="268"/>
      <c r="AB673" s="268"/>
      <c r="AC673" s="268"/>
      <c r="AD673" s="268"/>
      <c r="AE673" s="268"/>
    </row>
    <row r="674" spans="1:31" ht="24.75" customHeight="1">
      <c r="A674" s="268"/>
      <c r="B674" s="268"/>
      <c r="C674" s="268"/>
      <c r="D674" s="268"/>
      <c r="E674" s="268"/>
      <c r="F674" s="268"/>
      <c r="G674" s="268"/>
      <c r="H674" s="268"/>
      <c r="I674" s="268"/>
      <c r="J674" s="268"/>
      <c r="K674" s="268"/>
      <c r="L674" s="309"/>
      <c r="M674" s="268"/>
      <c r="N674" s="268"/>
      <c r="O674" s="310"/>
      <c r="P674" s="268"/>
      <c r="Q674" s="309"/>
      <c r="R674" s="268"/>
      <c r="S674" s="313"/>
      <c r="T674" s="313"/>
      <c r="U674" s="268"/>
      <c r="V674" s="309"/>
      <c r="W674" s="310"/>
      <c r="X674" s="268"/>
      <c r="Y674" s="268"/>
      <c r="Z674" s="268"/>
      <c r="AA674" s="268"/>
      <c r="AB674" s="268"/>
      <c r="AC674" s="268"/>
      <c r="AD674" s="268"/>
      <c r="AE674" s="268"/>
    </row>
    <row r="675" spans="1:31" ht="24.75" customHeight="1">
      <c r="A675" s="268"/>
      <c r="B675" s="268"/>
      <c r="C675" s="268"/>
      <c r="D675" s="268"/>
      <c r="E675" s="268"/>
      <c r="F675" s="268"/>
      <c r="G675" s="268"/>
      <c r="H675" s="268"/>
      <c r="I675" s="268"/>
      <c r="J675" s="268"/>
      <c r="K675" s="268"/>
      <c r="L675" s="309"/>
      <c r="M675" s="268"/>
      <c r="N675" s="268"/>
      <c r="O675" s="310"/>
      <c r="P675" s="268"/>
      <c r="Q675" s="309"/>
      <c r="R675" s="268"/>
      <c r="S675" s="313"/>
      <c r="T675" s="313"/>
      <c r="U675" s="268"/>
      <c r="V675" s="309"/>
      <c r="W675" s="310"/>
      <c r="X675" s="268"/>
      <c r="Y675" s="268"/>
      <c r="Z675" s="268"/>
      <c r="AA675" s="268"/>
      <c r="AB675" s="268"/>
      <c r="AC675" s="268"/>
      <c r="AD675" s="268"/>
      <c r="AE675" s="268"/>
    </row>
    <row r="676" spans="1:31" ht="24.75" customHeight="1">
      <c r="A676" s="268"/>
      <c r="B676" s="268"/>
      <c r="C676" s="268"/>
      <c r="D676" s="268"/>
      <c r="E676" s="268"/>
      <c r="F676" s="268"/>
      <c r="G676" s="268"/>
      <c r="H676" s="268"/>
      <c r="I676" s="268"/>
      <c r="J676" s="268"/>
      <c r="K676" s="268"/>
      <c r="L676" s="309"/>
      <c r="M676" s="268"/>
      <c r="N676" s="268"/>
      <c r="O676" s="310"/>
      <c r="P676" s="268"/>
      <c r="Q676" s="309"/>
      <c r="R676" s="268"/>
      <c r="S676" s="313"/>
      <c r="T676" s="313"/>
      <c r="U676" s="268"/>
      <c r="V676" s="309"/>
      <c r="W676" s="310"/>
      <c r="X676" s="268"/>
      <c r="Y676" s="268"/>
      <c r="Z676" s="268"/>
      <c r="AA676" s="268"/>
      <c r="AB676" s="268"/>
      <c r="AC676" s="268"/>
      <c r="AD676" s="268"/>
      <c r="AE676" s="268"/>
    </row>
    <row r="677" spans="1:31" ht="24.75" customHeight="1">
      <c r="A677" s="268"/>
      <c r="B677" s="268"/>
      <c r="C677" s="268"/>
      <c r="D677" s="268"/>
      <c r="E677" s="268"/>
      <c r="F677" s="268"/>
      <c r="G677" s="268"/>
      <c r="H677" s="268"/>
      <c r="I677" s="268"/>
      <c r="J677" s="268"/>
      <c r="K677" s="268"/>
      <c r="L677" s="309"/>
      <c r="M677" s="268"/>
      <c r="N677" s="268"/>
      <c r="O677" s="310"/>
      <c r="P677" s="268"/>
      <c r="Q677" s="309"/>
      <c r="R677" s="268"/>
      <c r="S677" s="313"/>
      <c r="T677" s="313"/>
      <c r="U677" s="268"/>
      <c r="V677" s="309"/>
      <c r="W677" s="310"/>
      <c r="X677" s="268"/>
      <c r="Y677" s="268"/>
      <c r="Z677" s="268"/>
      <c r="AA677" s="268"/>
      <c r="AB677" s="268"/>
      <c r="AC677" s="268"/>
      <c r="AD677" s="268"/>
      <c r="AE677" s="268"/>
    </row>
    <row r="678" spans="1:31" ht="24.75" customHeight="1">
      <c r="A678" s="268"/>
      <c r="B678" s="268"/>
      <c r="C678" s="268"/>
      <c r="D678" s="268"/>
      <c r="E678" s="268"/>
      <c r="F678" s="268"/>
      <c r="G678" s="268"/>
      <c r="H678" s="268"/>
      <c r="I678" s="268"/>
      <c r="J678" s="268"/>
      <c r="K678" s="268"/>
      <c r="L678" s="309"/>
      <c r="M678" s="268"/>
      <c r="N678" s="268"/>
      <c r="O678" s="310"/>
      <c r="P678" s="268"/>
      <c r="Q678" s="309"/>
      <c r="R678" s="268"/>
      <c r="S678" s="313"/>
      <c r="T678" s="313"/>
      <c r="U678" s="268"/>
      <c r="V678" s="309"/>
      <c r="W678" s="310"/>
      <c r="X678" s="268"/>
      <c r="Y678" s="268"/>
      <c r="Z678" s="268"/>
      <c r="AA678" s="268"/>
      <c r="AB678" s="268"/>
      <c r="AC678" s="268"/>
      <c r="AD678" s="268"/>
      <c r="AE678" s="268"/>
    </row>
    <row r="679" spans="1:31" ht="24.75" customHeight="1">
      <c r="A679" s="268"/>
      <c r="B679" s="268"/>
      <c r="C679" s="268"/>
      <c r="D679" s="268"/>
      <c r="E679" s="268"/>
      <c r="F679" s="268"/>
      <c r="G679" s="268"/>
      <c r="H679" s="268"/>
      <c r="I679" s="268"/>
      <c r="J679" s="268"/>
      <c r="K679" s="268"/>
      <c r="L679" s="309"/>
      <c r="M679" s="268"/>
      <c r="N679" s="268"/>
      <c r="O679" s="310"/>
      <c r="P679" s="268"/>
      <c r="Q679" s="309"/>
      <c r="R679" s="268"/>
      <c r="S679" s="313"/>
      <c r="T679" s="313"/>
      <c r="U679" s="268"/>
      <c r="V679" s="309"/>
      <c r="W679" s="310"/>
      <c r="X679" s="268"/>
      <c r="Y679" s="268"/>
      <c r="Z679" s="268"/>
      <c r="AA679" s="268"/>
      <c r="AB679" s="268"/>
      <c r="AC679" s="268"/>
      <c r="AD679" s="268"/>
      <c r="AE679" s="268"/>
    </row>
    <row r="680" spans="1:31" ht="24.75" customHeight="1">
      <c r="A680" s="268"/>
      <c r="B680" s="268"/>
      <c r="C680" s="268"/>
      <c r="D680" s="268"/>
      <c r="E680" s="268"/>
      <c r="F680" s="268"/>
      <c r="G680" s="268"/>
      <c r="H680" s="268"/>
      <c r="I680" s="268"/>
      <c r="J680" s="268"/>
      <c r="K680" s="268"/>
      <c r="L680" s="309"/>
      <c r="M680" s="268"/>
      <c r="N680" s="268"/>
      <c r="O680" s="310"/>
      <c r="P680" s="268"/>
      <c r="Q680" s="309"/>
      <c r="R680" s="268"/>
      <c r="S680" s="313"/>
      <c r="T680" s="313"/>
      <c r="U680" s="268"/>
      <c r="V680" s="309"/>
      <c r="W680" s="310"/>
      <c r="X680" s="268"/>
      <c r="Y680" s="268"/>
      <c r="Z680" s="268"/>
      <c r="AA680" s="268"/>
      <c r="AB680" s="268"/>
      <c r="AC680" s="268"/>
      <c r="AD680" s="268"/>
      <c r="AE680" s="268"/>
    </row>
    <row r="681" spans="1:31" ht="24.75" customHeight="1">
      <c r="A681" s="268"/>
      <c r="B681" s="268"/>
      <c r="C681" s="268"/>
      <c r="D681" s="268"/>
      <c r="E681" s="268"/>
      <c r="F681" s="268"/>
      <c r="G681" s="268"/>
      <c r="H681" s="268"/>
      <c r="I681" s="268"/>
      <c r="J681" s="268"/>
      <c r="K681" s="268"/>
      <c r="L681" s="309"/>
      <c r="M681" s="268"/>
      <c r="N681" s="268"/>
      <c r="O681" s="310"/>
      <c r="P681" s="268"/>
      <c r="Q681" s="309"/>
      <c r="R681" s="268"/>
      <c r="S681" s="313"/>
      <c r="T681" s="313"/>
      <c r="U681" s="268"/>
      <c r="V681" s="309"/>
      <c r="W681" s="310"/>
      <c r="X681" s="268"/>
      <c r="Y681" s="268"/>
      <c r="Z681" s="268"/>
      <c r="AA681" s="268"/>
      <c r="AB681" s="268"/>
      <c r="AC681" s="268"/>
      <c r="AD681" s="268"/>
      <c r="AE681" s="268"/>
    </row>
    <row r="682" spans="1:31" ht="24.75" customHeight="1">
      <c r="A682" s="268"/>
      <c r="B682" s="268"/>
      <c r="C682" s="268"/>
      <c r="D682" s="268"/>
      <c r="E682" s="268"/>
      <c r="F682" s="268"/>
      <c r="G682" s="268"/>
      <c r="H682" s="268"/>
      <c r="I682" s="268"/>
      <c r="J682" s="268"/>
      <c r="K682" s="268"/>
      <c r="L682" s="309"/>
      <c r="M682" s="268"/>
      <c r="N682" s="268"/>
      <c r="O682" s="310"/>
      <c r="P682" s="268"/>
      <c r="Q682" s="309"/>
      <c r="R682" s="268"/>
      <c r="S682" s="313"/>
      <c r="T682" s="313"/>
      <c r="U682" s="268"/>
      <c r="V682" s="309"/>
      <c r="W682" s="310"/>
      <c r="X682" s="268"/>
      <c r="Y682" s="268"/>
      <c r="Z682" s="268"/>
      <c r="AA682" s="268"/>
      <c r="AB682" s="268"/>
      <c r="AC682" s="268"/>
      <c r="AD682" s="268"/>
      <c r="AE682" s="268"/>
    </row>
    <row r="683" spans="1:31" ht="24.75" customHeight="1">
      <c r="A683" s="268"/>
      <c r="B683" s="268"/>
      <c r="C683" s="268"/>
      <c r="D683" s="268"/>
      <c r="E683" s="268"/>
      <c r="F683" s="268"/>
      <c r="G683" s="268"/>
      <c r="H683" s="268"/>
      <c r="I683" s="268"/>
      <c r="J683" s="268"/>
      <c r="K683" s="268"/>
      <c r="L683" s="309"/>
      <c r="M683" s="268"/>
      <c r="N683" s="268"/>
      <c r="O683" s="310"/>
      <c r="P683" s="268"/>
      <c r="Q683" s="309"/>
      <c r="R683" s="268"/>
      <c r="S683" s="313"/>
      <c r="T683" s="313"/>
      <c r="U683" s="268"/>
      <c r="V683" s="309"/>
      <c r="W683" s="310"/>
      <c r="X683" s="268"/>
      <c r="Y683" s="268"/>
      <c r="Z683" s="268"/>
      <c r="AA683" s="268"/>
      <c r="AB683" s="268"/>
      <c r="AC683" s="268"/>
      <c r="AD683" s="268"/>
      <c r="AE683" s="268"/>
    </row>
    <row r="684" spans="1:31" ht="24.75" customHeight="1">
      <c r="A684" s="268"/>
      <c r="B684" s="268"/>
      <c r="C684" s="268"/>
      <c r="D684" s="268"/>
      <c r="E684" s="268"/>
      <c r="F684" s="268"/>
      <c r="G684" s="268"/>
      <c r="H684" s="268"/>
      <c r="I684" s="268"/>
      <c r="J684" s="268"/>
      <c r="K684" s="268"/>
      <c r="L684" s="309"/>
      <c r="M684" s="268"/>
      <c r="N684" s="268"/>
      <c r="O684" s="310"/>
      <c r="P684" s="268"/>
      <c r="Q684" s="309"/>
      <c r="R684" s="268"/>
      <c r="S684" s="313"/>
      <c r="T684" s="313"/>
      <c r="U684" s="268"/>
      <c r="V684" s="309"/>
      <c r="W684" s="310"/>
      <c r="X684" s="268"/>
      <c r="Y684" s="268"/>
      <c r="Z684" s="268"/>
      <c r="AA684" s="268"/>
      <c r="AB684" s="268"/>
      <c r="AC684" s="268"/>
      <c r="AD684" s="268"/>
      <c r="AE684" s="268"/>
    </row>
    <row r="685" spans="1:31" ht="24.75" customHeight="1">
      <c r="A685" s="268"/>
      <c r="B685" s="268"/>
      <c r="C685" s="268"/>
      <c r="D685" s="268"/>
      <c r="E685" s="268"/>
      <c r="F685" s="268"/>
      <c r="G685" s="268"/>
      <c r="H685" s="268"/>
      <c r="I685" s="268"/>
      <c r="J685" s="268"/>
      <c r="K685" s="268"/>
      <c r="L685" s="309"/>
      <c r="M685" s="268"/>
      <c r="N685" s="268"/>
      <c r="O685" s="310"/>
      <c r="P685" s="268"/>
      <c r="Q685" s="309"/>
      <c r="R685" s="268"/>
      <c r="S685" s="313"/>
      <c r="T685" s="313"/>
      <c r="U685" s="268"/>
      <c r="V685" s="309"/>
      <c r="W685" s="310"/>
      <c r="X685" s="268"/>
      <c r="Y685" s="268"/>
      <c r="Z685" s="268"/>
      <c r="AA685" s="268"/>
      <c r="AB685" s="268"/>
      <c r="AC685" s="268"/>
      <c r="AD685" s="268"/>
      <c r="AE685" s="268"/>
    </row>
    <row r="686" spans="1:31" ht="24.75" customHeight="1">
      <c r="A686" s="268"/>
      <c r="B686" s="268"/>
      <c r="C686" s="268"/>
      <c r="D686" s="268"/>
      <c r="E686" s="268"/>
      <c r="F686" s="268"/>
      <c r="G686" s="268"/>
      <c r="H686" s="268"/>
      <c r="I686" s="268"/>
      <c r="J686" s="268"/>
      <c r="K686" s="268"/>
      <c r="L686" s="309"/>
      <c r="M686" s="268"/>
      <c r="N686" s="268"/>
      <c r="O686" s="310"/>
      <c r="P686" s="268"/>
      <c r="Q686" s="309"/>
      <c r="R686" s="268"/>
      <c r="S686" s="313"/>
      <c r="T686" s="313"/>
      <c r="U686" s="268"/>
      <c r="V686" s="309"/>
      <c r="W686" s="310"/>
      <c r="X686" s="268"/>
      <c r="Y686" s="268"/>
      <c r="Z686" s="268"/>
      <c r="AA686" s="268"/>
      <c r="AB686" s="268"/>
      <c r="AC686" s="268"/>
      <c r="AD686" s="268"/>
      <c r="AE686" s="268"/>
    </row>
    <row r="687" spans="1:31" ht="24.75" customHeight="1">
      <c r="A687" s="268"/>
      <c r="B687" s="268"/>
      <c r="C687" s="268"/>
      <c r="D687" s="268"/>
      <c r="E687" s="268"/>
      <c r="F687" s="268"/>
      <c r="G687" s="268"/>
      <c r="H687" s="268"/>
      <c r="I687" s="268"/>
      <c r="J687" s="268"/>
      <c r="K687" s="268"/>
      <c r="L687" s="309"/>
      <c r="M687" s="268"/>
      <c r="N687" s="268"/>
      <c r="O687" s="310"/>
      <c r="P687" s="268"/>
      <c r="Q687" s="309"/>
      <c r="R687" s="268"/>
      <c r="S687" s="313"/>
      <c r="T687" s="313"/>
      <c r="U687" s="268"/>
      <c r="V687" s="309"/>
      <c r="W687" s="310"/>
      <c r="X687" s="268"/>
      <c r="Y687" s="268"/>
      <c r="Z687" s="268"/>
      <c r="AA687" s="268"/>
      <c r="AB687" s="268"/>
      <c r="AC687" s="268"/>
      <c r="AD687" s="268"/>
      <c r="AE687" s="268"/>
    </row>
    <row r="688" spans="1:31" ht="24.75" customHeight="1">
      <c r="A688" s="268"/>
      <c r="B688" s="268"/>
      <c r="C688" s="268"/>
      <c r="D688" s="268"/>
      <c r="E688" s="268"/>
      <c r="F688" s="268"/>
      <c r="G688" s="268"/>
      <c r="H688" s="268"/>
      <c r="I688" s="268"/>
      <c r="J688" s="268"/>
      <c r="K688" s="268"/>
      <c r="L688" s="309"/>
      <c r="M688" s="268"/>
      <c r="N688" s="268"/>
      <c r="O688" s="310"/>
      <c r="P688" s="268"/>
      <c r="Q688" s="309"/>
      <c r="R688" s="268"/>
      <c r="S688" s="313"/>
      <c r="T688" s="313"/>
      <c r="U688" s="268"/>
      <c r="V688" s="309"/>
      <c r="W688" s="310"/>
      <c r="X688" s="268"/>
      <c r="Y688" s="268"/>
      <c r="Z688" s="268"/>
      <c r="AA688" s="268"/>
      <c r="AB688" s="268"/>
      <c r="AC688" s="268"/>
      <c r="AD688" s="268"/>
      <c r="AE688" s="268"/>
    </row>
    <row r="689" spans="1:31" ht="24.75" customHeight="1">
      <c r="A689" s="268"/>
      <c r="B689" s="268"/>
      <c r="C689" s="268"/>
      <c r="D689" s="268"/>
      <c r="E689" s="268"/>
      <c r="F689" s="268"/>
      <c r="G689" s="268"/>
      <c r="H689" s="268"/>
      <c r="I689" s="268"/>
      <c r="J689" s="268"/>
      <c r="K689" s="268"/>
      <c r="L689" s="309"/>
      <c r="M689" s="268"/>
      <c r="N689" s="268"/>
      <c r="O689" s="310"/>
      <c r="P689" s="268"/>
      <c r="Q689" s="309"/>
      <c r="R689" s="268"/>
      <c r="S689" s="313"/>
      <c r="T689" s="313"/>
      <c r="U689" s="268"/>
      <c r="V689" s="309"/>
      <c r="W689" s="310"/>
      <c r="X689" s="268"/>
      <c r="Y689" s="268"/>
      <c r="Z689" s="268"/>
      <c r="AA689" s="268"/>
      <c r="AB689" s="268"/>
      <c r="AC689" s="268"/>
      <c r="AD689" s="268"/>
      <c r="AE689" s="268"/>
    </row>
    <row r="690" spans="1:31" ht="24.75" customHeight="1">
      <c r="A690" s="268"/>
      <c r="B690" s="268"/>
      <c r="C690" s="268"/>
      <c r="D690" s="268"/>
      <c r="E690" s="268"/>
      <c r="F690" s="268"/>
      <c r="G690" s="268"/>
      <c r="H690" s="268"/>
      <c r="I690" s="268"/>
      <c r="J690" s="268"/>
      <c r="K690" s="268"/>
      <c r="L690" s="309"/>
      <c r="M690" s="268"/>
      <c r="N690" s="268"/>
      <c r="O690" s="310"/>
      <c r="P690" s="268"/>
      <c r="Q690" s="309"/>
      <c r="R690" s="268"/>
      <c r="S690" s="313"/>
      <c r="T690" s="313"/>
      <c r="U690" s="268"/>
      <c r="V690" s="309"/>
      <c r="W690" s="310"/>
      <c r="X690" s="268"/>
      <c r="Y690" s="268"/>
      <c r="Z690" s="268"/>
      <c r="AA690" s="268"/>
      <c r="AB690" s="268"/>
      <c r="AC690" s="268"/>
      <c r="AD690" s="268"/>
      <c r="AE690" s="268"/>
    </row>
    <row r="691" spans="1:31" ht="24.75" customHeight="1">
      <c r="A691" s="268"/>
      <c r="B691" s="268"/>
      <c r="C691" s="268"/>
      <c r="D691" s="268"/>
      <c r="E691" s="268"/>
      <c r="F691" s="268"/>
      <c r="G691" s="268"/>
      <c r="H691" s="268"/>
      <c r="I691" s="268"/>
      <c r="J691" s="268"/>
      <c r="K691" s="268"/>
      <c r="L691" s="309"/>
      <c r="M691" s="268"/>
      <c r="N691" s="268"/>
      <c r="O691" s="310"/>
      <c r="P691" s="268"/>
      <c r="Q691" s="309"/>
      <c r="R691" s="268"/>
      <c r="S691" s="313"/>
      <c r="T691" s="313"/>
      <c r="U691" s="268"/>
      <c r="V691" s="309"/>
      <c r="W691" s="310"/>
      <c r="X691" s="268"/>
      <c r="Y691" s="268"/>
      <c r="Z691" s="268"/>
      <c r="AA691" s="268"/>
      <c r="AB691" s="268"/>
      <c r="AC691" s="268"/>
      <c r="AD691" s="268"/>
      <c r="AE691" s="268"/>
    </row>
    <row r="692" spans="1:31" ht="24.75" customHeight="1">
      <c r="A692" s="268"/>
      <c r="B692" s="268"/>
      <c r="C692" s="268"/>
      <c r="D692" s="268"/>
      <c r="E692" s="268"/>
      <c r="F692" s="268"/>
      <c r="G692" s="268"/>
      <c r="H692" s="268"/>
      <c r="I692" s="268"/>
      <c r="J692" s="268"/>
      <c r="K692" s="268"/>
      <c r="L692" s="309"/>
      <c r="M692" s="268"/>
      <c r="N692" s="268"/>
      <c r="O692" s="310"/>
      <c r="P692" s="268"/>
      <c r="Q692" s="309"/>
      <c r="R692" s="268"/>
      <c r="S692" s="313"/>
      <c r="T692" s="313"/>
      <c r="U692" s="268"/>
      <c r="V692" s="309"/>
      <c r="W692" s="310"/>
      <c r="X692" s="268"/>
      <c r="Y692" s="268"/>
      <c r="Z692" s="268"/>
      <c r="AA692" s="268"/>
      <c r="AB692" s="268"/>
      <c r="AC692" s="268"/>
      <c r="AD692" s="268"/>
      <c r="AE692" s="268"/>
    </row>
    <row r="693" spans="1:31" ht="24.75" customHeight="1">
      <c r="A693" s="268"/>
      <c r="B693" s="268"/>
      <c r="C693" s="268"/>
      <c r="D693" s="268"/>
      <c r="E693" s="268"/>
      <c r="F693" s="268"/>
      <c r="G693" s="268"/>
      <c r="H693" s="268"/>
      <c r="I693" s="268"/>
      <c r="J693" s="268"/>
      <c r="K693" s="268"/>
      <c r="L693" s="309"/>
      <c r="M693" s="268"/>
      <c r="N693" s="268"/>
      <c r="O693" s="310"/>
      <c r="P693" s="268"/>
      <c r="Q693" s="309"/>
      <c r="R693" s="268"/>
      <c r="S693" s="313"/>
      <c r="T693" s="313"/>
      <c r="U693" s="268"/>
      <c r="V693" s="309"/>
      <c r="W693" s="310"/>
      <c r="X693" s="268"/>
      <c r="Y693" s="268"/>
      <c r="Z693" s="268"/>
      <c r="AA693" s="268"/>
      <c r="AB693" s="268"/>
      <c r="AC693" s="268"/>
      <c r="AD693" s="268"/>
      <c r="AE693" s="268"/>
    </row>
    <row r="694" spans="1:31" ht="24.75" customHeight="1">
      <c r="A694" s="268"/>
      <c r="B694" s="268"/>
      <c r="C694" s="268"/>
      <c r="D694" s="268"/>
      <c r="E694" s="268"/>
      <c r="F694" s="268"/>
      <c r="G694" s="268"/>
      <c r="H694" s="268"/>
      <c r="I694" s="268"/>
      <c r="J694" s="268"/>
      <c r="K694" s="268"/>
      <c r="L694" s="309"/>
      <c r="M694" s="268"/>
      <c r="N694" s="268"/>
      <c r="O694" s="310"/>
      <c r="P694" s="268"/>
      <c r="Q694" s="309"/>
      <c r="R694" s="268"/>
      <c r="S694" s="313"/>
      <c r="T694" s="313"/>
      <c r="U694" s="268"/>
      <c r="V694" s="309"/>
      <c r="W694" s="310"/>
      <c r="X694" s="268"/>
      <c r="Y694" s="268"/>
      <c r="Z694" s="268"/>
      <c r="AA694" s="268"/>
      <c r="AB694" s="268"/>
      <c r="AC694" s="268"/>
      <c r="AD694" s="268"/>
      <c r="AE694" s="268"/>
    </row>
    <row r="695" spans="1:31" ht="24.75" customHeight="1">
      <c r="A695" s="268"/>
      <c r="B695" s="268"/>
      <c r="C695" s="268"/>
      <c r="D695" s="268"/>
      <c r="E695" s="268"/>
      <c r="F695" s="268"/>
      <c r="G695" s="268"/>
      <c r="H695" s="268"/>
      <c r="I695" s="268"/>
      <c r="J695" s="268"/>
      <c r="K695" s="268"/>
      <c r="L695" s="309"/>
      <c r="M695" s="268"/>
      <c r="N695" s="268"/>
      <c r="O695" s="310"/>
      <c r="P695" s="268"/>
      <c r="Q695" s="309"/>
      <c r="R695" s="268"/>
      <c r="S695" s="313"/>
      <c r="T695" s="313"/>
      <c r="U695" s="268"/>
      <c r="V695" s="309"/>
      <c r="W695" s="310"/>
      <c r="X695" s="268"/>
      <c r="Y695" s="268"/>
      <c r="Z695" s="268"/>
      <c r="AA695" s="268"/>
      <c r="AB695" s="268"/>
      <c r="AC695" s="268"/>
      <c r="AD695" s="268"/>
      <c r="AE695" s="268"/>
    </row>
    <row r="696" spans="1:31" ht="24.75" customHeight="1">
      <c r="A696" s="268"/>
      <c r="B696" s="268"/>
      <c r="C696" s="268"/>
      <c r="D696" s="268"/>
      <c r="E696" s="268"/>
      <c r="F696" s="268"/>
      <c r="G696" s="268"/>
      <c r="H696" s="268"/>
      <c r="I696" s="268"/>
      <c r="J696" s="268"/>
      <c r="K696" s="268"/>
      <c r="L696" s="309"/>
      <c r="M696" s="268"/>
      <c r="N696" s="268"/>
      <c r="O696" s="310"/>
      <c r="P696" s="268"/>
      <c r="Q696" s="309"/>
      <c r="R696" s="268"/>
      <c r="S696" s="313"/>
      <c r="T696" s="313"/>
      <c r="U696" s="268"/>
      <c r="V696" s="309"/>
      <c r="W696" s="310"/>
      <c r="X696" s="268"/>
      <c r="Y696" s="268"/>
      <c r="Z696" s="268"/>
      <c r="AA696" s="268"/>
      <c r="AB696" s="268"/>
      <c r="AC696" s="268"/>
      <c r="AD696" s="268"/>
      <c r="AE696" s="268"/>
    </row>
    <row r="697" spans="1:31" ht="24.75" customHeight="1">
      <c r="A697" s="268"/>
      <c r="B697" s="268"/>
      <c r="C697" s="268"/>
      <c r="D697" s="268"/>
      <c r="E697" s="268"/>
      <c r="F697" s="268"/>
      <c r="G697" s="268"/>
      <c r="H697" s="268"/>
      <c r="I697" s="268"/>
      <c r="J697" s="268"/>
      <c r="K697" s="268"/>
      <c r="L697" s="309"/>
      <c r="M697" s="268"/>
      <c r="N697" s="268"/>
      <c r="O697" s="310"/>
      <c r="P697" s="268"/>
      <c r="Q697" s="309"/>
      <c r="R697" s="268"/>
      <c r="S697" s="313"/>
      <c r="T697" s="313"/>
      <c r="U697" s="268"/>
      <c r="V697" s="309"/>
      <c r="W697" s="310"/>
      <c r="X697" s="268"/>
      <c r="Y697" s="268"/>
      <c r="Z697" s="268"/>
      <c r="AA697" s="268"/>
      <c r="AB697" s="268"/>
      <c r="AC697" s="268"/>
      <c r="AD697" s="268"/>
      <c r="AE697" s="268"/>
    </row>
    <row r="698" spans="1:31" ht="24.75" customHeight="1">
      <c r="A698" s="268"/>
      <c r="B698" s="268"/>
      <c r="C698" s="268"/>
      <c r="D698" s="268"/>
      <c r="E698" s="268"/>
      <c r="F698" s="268"/>
      <c r="G698" s="268"/>
      <c r="H698" s="268"/>
      <c r="I698" s="268"/>
      <c r="J698" s="268"/>
      <c r="K698" s="268"/>
      <c r="L698" s="309"/>
      <c r="M698" s="268"/>
      <c r="N698" s="268"/>
      <c r="O698" s="310"/>
      <c r="P698" s="268"/>
      <c r="Q698" s="309"/>
      <c r="R698" s="268"/>
      <c r="S698" s="313"/>
      <c r="T698" s="313"/>
      <c r="U698" s="268"/>
      <c r="V698" s="309"/>
      <c r="W698" s="310"/>
      <c r="X698" s="268"/>
      <c r="Y698" s="268"/>
      <c r="Z698" s="268"/>
      <c r="AA698" s="268"/>
      <c r="AB698" s="268"/>
      <c r="AC698" s="268"/>
      <c r="AD698" s="268"/>
      <c r="AE698" s="268"/>
    </row>
    <row r="699" spans="1:31" ht="24.75" customHeight="1">
      <c r="A699" s="268"/>
      <c r="B699" s="268"/>
      <c r="C699" s="268"/>
      <c r="D699" s="268"/>
      <c r="E699" s="268"/>
      <c r="F699" s="268"/>
      <c r="G699" s="268"/>
      <c r="H699" s="268"/>
      <c r="I699" s="268"/>
      <c r="J699" s="268"/>
      <c r="K699" s="268"/>
      <c r="L699" s="309"/>
      <c r="M699" s="268"/>
      <c r="N699" s="268"/>
      <c r="O699" s="310"/>
      <c r="P699" s="268"/>
      <c r="Q699" s="309"/>
      <c r="R699" s="268"/>
      <c r="S699" s="313"/>
      <c r="T699" s="313"/>
      <c r="U699" s="268"/>
      <c r="V699" s="309"/>
      <c r="W699" s="310"/>
      <c r="X699" s="268"/>
      <c r="Y699" s="268"/>
      <c r="Z699" s="268"/>
      <c r="AA699" s="268"/>
      <c r="AB699" s="268"/>
      <c r="AC699" s="268"/>
      <c r="AD699" s="268"/>
      <c r="AE699" s="268"/>
    </row>
    <row r="700" spans="1:31" ht="24.75" customHeight="1">
      <c r="A700" s="268"/>
      <c r="B700" s="268"/>
      <c r="C700" s="268"/>
      <c r="D700" s="268"/>
      <c r="E700" s="268"/>
      <c r="F700" s="268"/>
      <c r="G700" s="268"/>
      <c r="H700" s="268"/>
      <c r="I700" s="268"/>
      <c r="J700" s="268"/>
      <c r="K700" s="268"/>
      <c r="L700" s="309"/>
      <c r="M700" s="268"/>
      <c r="N700" s="268"/>
      <c r="O700" s="310"/>
      <c r="P700" s="268"/>
      <c r="Q700" s="309"/>
      <c r="R700" s="268"/>
      <c r="S700" s="313"/>
      <c r="T700" s="313"/>
      <c r="U700" s="268"/>
      <c r="V700" s="309"/>
      <c r="W700" s="310"/>
      <c r="X700" s="268"/>
      <c r="Y700" s="268"/>
      <c r="Z700" s="268"/>
      <c r="AA700" s="268"/>
      <c r="AB700" s="268"/>
      <c r="AC700" s="268"/>
      <c r="AD700" s="268"/>
      <c r="AE700" s="268"/>
    </row>
    <row r="701" spans="1:31" ht="24.75" customHeight="1">
      <c r="A701" s="268"/>
      <c r="B701" s="268"/>
      <c r="C701" s="268"/>
      <c r="D701" s="268"/>
      <c r="E701" s="268"/>
      <c r="F701" s="268"/>
      <c r="G701" s="268"/>
      <c r="H701" s="268"/>
      <c r="I701" s="268"/>
      <c r="J701" s="268"/>
      <c r="K701" s="268"/>
      <c r="L701" s="309"/>
      <c r="M701" s="268"/>
      <c r="N701" s="268"/>
      <c r="O701" s="310"/>
      <c r="P701" s="268"/>
      <c r="Q701" s="309"/>
      <c r="R701" s="268"/>
      <c r="S701" s="313"/>
      <c r="T701" s="313"/>
      <c r="U701" s="268"/>
      <c r="V701" s="309"/>
      <c r="W701" s="310"/>
      <c r="X701" s="268"/>
      <c r="Y701" s="268"/>
      <c r="Z701" s="268"/>
      <c r="AA701" s="268"/>
      <c r="AB701" s="268"/>
      <c r="AC701" s="268"/>
      <c r="AD701" s="268"/>
      <c r="AE701" s="268"/>
    </row>
    <row r="702" spans="1:31" ht="24.75" customHeight="1">
      <c r="A702" s="268"/>
      <c r="B702" s="268"/>
      <c r="C702" s="268"/>
      <c r="D702" s="268"/>
      <c r="E702" s="268"/>
      <c r="F702" s="268"/>
      <c r="G702" s="268"/>
      <c r="H702" s="268"/>
      <c r="I702" s="268"/>
      <c r="J702" s="268"/>
      <c r="K702" s="268"/>
      <c r="L702" s="309"/>
      <c r="M702" s="268"/>
      <c r="N702" s="268"/>
      <c r="O702" s="310"/>
      <c r="P702" s="268"/>
      <c r="Q702" s="309"/>
      <c r="R702" s="268"/>
      <c r="S702" s="313"/>
      <c r="T702" s="313"/>
      <c r="U702" s="268"/>
      <c r="V702" s="309"/>
      <c r="W702" s="310"/>
      <c r="X702" s="268"/>
      <c r="Y702" s="268"/>
      <c r="Z702" s="268"/>
      <c r="AA702" s="268"/>
      <c r="AB702" s="268"/>
      <c r="AC702" s="268"/>
      <c r="AD702" s="268"/>
      <c r="AE702" s="268"/>
    </row>
    <row r="703" spans="1:31" ht="24.75" customHeight="1">
      <c r="A703" s="268"/>
      <c r="B703" s="268"/>
      <c r="C703" s="268"/>
      <c r="D703" s="268"/>
      <c r="E703" s="268"/>
      <c r="F703" s="268"/>
      <c r="G703" s="268"/>
      <c r="H703" s="268"/>
      <c r="I703" s="268"/>
      <c r="J703" s="268"/>
      <c r="K703" s="268"/>
      <c r="L703" s="309"/>
      <c r="M703" s="268"/>
      <c r="N703" s="268"/>
      <c r="O703" s="310"/>
      <c r="P703" s="268"/>
      <c r="Q703" s="309"/>
      <c r="R703" s="268"/>
      <c r="S703" s="313"/>
      <c r="T703" s="313"/>
      <c r="U703" s="268"/>
      <c r="V703" s="309"/>
      <c r="W703" s="310"/>
      <c r="X703" s="268"/>
      <c r="Y703" s="268"/>
      <c r="Z703" s="268"/>
      <c r="AA703" s="268"/>
      <c r="AB703" s="268"/>
      <c r="AC703" s="268"/>
      <c r="AD703" s="268"/>
      <c r="AE703" s="268"/>
    </row>
    <row r="704" spans="1:31" ht="24.75" customHeight="1">
      <c r="A704" s="268"/>
      <c r="B704" s="268"/>
      <c r="C704" s="268"/>
      <c r="D704" s="268"/>
      <c r="E704" s="268"/>
      <c r="F704" s="268"/>
      <c r="G704" s="268"/>
      <c r="H704" s="268"/>
      <c r="I704" s="268"/>
      <c r="J704" s="268"/>
      <c r="K704" s="268"/>
      <c r="L704" s="309"/>
      <c r="M704" s="268"/>
      <c r="N704" s="268"/>
      <c r="O704" s="310"/>
      <c r="P704" s="268"/>
      <c r="Q704" s="309"/>
      <c r="R704" s="268"/>
      <c r="S704" s="313"/>
      <c r="T704" s="313"/>
      <c r="U704" s="268"/>
      <c r="V704" s="309"/>
      <c r="W704" s="310"/>
      <c r="X704" s="268"/>
      <c r="Y704" s="268"/>
      <c r="Z704" s="268"/>
      <c r="AA704" s="268"/>
      <c r="AB704" s="268"/>
      <c r="AC704" s="268"/>
      <c r="AD704" s="268"/>
      <c r="AE704" s="268"/>
    </row>
    <row r="705" spans="1:31" ht="24.75" customHeight="1">
      <c r="A705" s="268"/>
      <c r="B705" s="268"/>
      <c r="C705" s="268"/>
      <c r="D705" s="268"/>
      <c r="E705" s="268"/>
      <c r="F705" s="268"/>
      <c r="G705" s="268"/>
      <c r="H705" s="268"/>
      <c r="I705" s="268"/>
      <c r="J705" s="268"/>
      <c r="K705" s="268"/>
      <c r="L705" s="309"/>
      <c r="M705" s="268"/>
      <c r="N705" s="268"/>
      <c r="O705" s="310"/>
      <c r="P705" s="268"/>
      <c r="Q705" s="309"/>
      <c r="R705" s="268"/>
      <c r="S705" s="313"/>
      <c r="T705" s="313"/>
      <c r="U705" s="268"/>
      <c r="V705" s="309"/>
      <c r="W705" s="310"/>
      <c r="X705" s="268"/>
      <c r="Y705" s="268"/>
      <c r="Z705" s="268"/>
      <c r="AA705" s="268"/>
      <c r="AB705" s="268"/>
      <c r="AC705" s="268"/>
      <c r="AD705" s="268"/>
      <c r="AE705" s="268"/>
    </row>
    <row r="706" spans="1:31" ht="24.75" customHeight="1">
      <c r="A706" s="268"/>
      <c r="B706" s="268"/>
      <c r="C706" s="268"/>
      <c r="D706" s="268"/>
      <c r="E706" s="268"/>
      <c r="F706" s="268"/>
      <c r="G706" s="268"/>
      <c r="H706" s="268"/>
      <c r="I706" s="268"/>
      <c r="J706" s="268"/>
      <c r="K706" s="268"/>
      <c r="L706" s="309"/>
      <c r="M706" s="268"/>
      <c r="N706" s="268"/>
      <c r="O706" s="310"/>
      <c r="P706" s="268"/>
      <c r="Q706" s="309"/>
      <c r="R706" s="268"/>
      <c r="S706" s="313"/>
      <c r="T706" s="313"/>
      <c r="U706" s="268"/>
      <c r="V706" s="309"/>
      <c r="W706" s="310"/>
      <c r="X706" s="268"/>
      <c r="Y706" s="268"/>
      <c r="Z706" s="268"/>
      <c r="AA706" s="268"/>
      <c r="AB706" s="268"/>
      <c r="AC706" s="268"/>
      <c r="AD706" s="268"/>
      <c r="AE706" s="268"/>
    </row>
    <row r="707" spans="1:31" ht="24.75" customHeight="1">
      <c r="A707" s="268"/>
      <c r="B707" s="268"/>
      <c r="C707" s="268"/>
      <c r="D707" s="268"/>
      <c r="E707" s="268"/>
      <c r="F707" s="268"/>
      <c r="G707" s="268"/>
      <c r="H707" s="268"/>
      <c r="I707" s="268"/>
      <c r="J707" s="268"/>
      <c r="K707" s="268"/>
      <c r="L707" s="309"/>
      <c r="M707" s="268"/>
      <c r="N707" s="268"/>
      <c r="O707" s="310"/>
      <c r="P707" s="268"/>
      <c r="Q707" s="309"/>
      <c r="R707" s="268"/>
      <c r="S707" s="313"/>
      <c r="T707" s="313"/>
      <c r="U707" s="268"/>
      <c r="V707" s="309"/>
      <c r="W707" s="310"/>
      <c r="X707" s="268"/>
      <c r="Y707" s="268"/>
      <c r="Z707" s="268"/>
      <c r="AA707" s="268"/>
      <c r="AB707" s="268"/>
      <c r="AC707" s="268"/>
      <c r="AD707" s="268"/>
      <c r="AE707" s="268"/>
    </row>
    <row r="708" spans="1:31" ht="24.75" customHeight="1">
      <c r="A708" s="268"/>
      <c r="B708" s="268"/>
      <c r="C708" s="268"/>
      <c r="D708" s="268"/>
      <c r="E708" s="268"/>
      <c r="F708" s="268"/>
      <c r="G708" s="268"/>
      <c r="H708" s="268"/>
      <c r="I708" s="268"/>
      <c r="J708" s="268"/>
      <c r="K708" s="268"/>
      <c r="L708" s="309"/>
      <c r="M708" s="268"/>
      <c r="N708" s="268"/>
      <c r="O708" s="310"/>
      <c r="P708" s="268"/>
      <c r="Q708" s="309"/>
      <c r="R708" s="268"/>
      <c r="S708" s="313"/>
      <c r="T708" s="313"/>
      <c r="U708" s="268"/>
      <c r="V708" s="309"/>
      <c r="W708" s="310"/>
      <c r="X708" s="268"/>
      <c r="Y708" s="268"/>
      <c r="Z708" s="268"/>
      <c r="AA708" s="268"/>
      <c r="AB708" s="268"/>
      <c r="AC708" s="268"/>
      <c r="AD708" s="268"/>
      <c r="AE708" s="268"/>
    </row>
    <row r="709" spans="1:31" ht="24.75" customHeight="1">
      <c r="A709" s="268"/>
      <c r="B709" s="268"/>
      <c r="C709" s="268"/>
      <c r="D709" s="268"/>
      <c r="E709" s="268"/>
      <c r="F709" s="268"/>
      <c r="G709" s="268"/>
      <c r="H709" s="268"/>
      <c r="I709" s="268"/>
      <c r="J709" s="268"/>
      <c r="K709" s="268"/>
      <c r="L709" s="309"/>
      <c r="M709" s="268"/>
      <c r="N709" s="268"/>
      <c r="O709" s="310"/>
      <c r="P709" s="268"/>
      <c r="Q709" s="309"/>
      <c r="R709" s="268"/>
      <c r="S709" s="313"/>
      <c r="T709" s="313"/>
      <c r="U709" s="268"/>
      <c r="V709" s="309"/>
      <c r="W709" s="310"/>
      <c r="X709" s="268"/>
      <c r="Y709" s="268"/>
      <c r="Z709" s="268"/>
      <c r="AA709" s="268"/>
      <c r="AB709" s="268"/>
      <c r="AC709" s="268"/>
      <c r="AD709" s="268"/>
      <c r="AE709" s="268"/>
    </row>
    <row r="710" spans="1:31" ht="24.75" customHeight="1">
      <c r="A710" s="268"/>
      <c r="B710" s="268"/>
      <c r="C710" s="268"/>
      <c r="D710" s="268"/>
      <c r="E710" s="268"/>
      <c r="F710" s="268"/>
      <c r="G710" s="268"/>
      <c r="H710" s="268"/>
      <c r="I710" s="268"/>
      <c r="J710" s="268"/>
      <c r="K710" s="268"/>
      <c r="L710" s="309"/>
      <c r="M710" s="268"/>
      <c r="N710" s="268"/>
      <c r="O710" s="310"/>
      <c r="P710" s="268"/>
      <c r="Q710" s="309"/>
      <c r="R710" s="268"/>
      <c r="S710" s="313"/>
      <c r="T710" s="313"/>
      <c r="U710" s="268"/>
      <c r="V710" s="309"/>
      <c r="W710" s="310"/>
      <c r="X710" s="268"/>
      <c r="Y710" s="268"/>
      <c r="Z710" s="268"/>
      <c r="AA710" s="268"/>
      <c r="AB710" s="268"/>
      <c r="AC710" s="268"/>
      <c r="AD710" s="268"/>
      <c r="AE710" s="268"/>
    </row>
    <row r="711" spans="1:31" ht="24.75" customHeight="1">
      <c r="A711" s="268"/>
      <c r="B711" s="268"/>
      <c r="C711" s="268"/>
      <c r="D711" s="268"/>
      <c r="E711" s="268"/>
      <c r="F711" s="268"/>
      <c r="G711" s="268"/>
      <c r="H711" s="268"/>
      <c r="I711" s="268"/>
      <c r="J711" s="268"/>
      <c r="K711" s="268"/>
      <c r="L711" s="309"/>
      <c r="M711" s="268"/>
      <c r="N711" s="268"/>
      <c r="O711" s="310"/>
      <c r="P711" s="268"/>
      <c r="Q711" s="309"/>
      <c r="R711" s="268"/>
      <c r="S711" s="313"/>
      <c r="T711" s="313"/>
      <c r="U711" s="268"/>
      <c r="V711" s="309"/>
      <c r="W711" s="310"/>
      <c r="X711" s="268"/>
      <c r="Y711" s="268"/>
      <c r="Z711" s="268"/>
      <c r="AA711" s="268"/>
      <c r="AB711" s="268"/>
      <c r="AC711" s="268"/>
      <c r="AD711" s="268"/>
      <c r="AE711" s="268"/>
    </row>
    <row r="712" spans="1:31" ht="24.75" customHeight="1">
      <c r="A712" s="268"/>
      <c r="B712" s="268"/>
      <c r="C712" s="268"/>
      <c r="D712" s="268"/>
      <c r="E712" s="268"/>
      <c r="F712" s="268"/>
      <c r="G712" s="268"/>
      <c r="H712" s="268"/>
      <c r="I712" s="268"/>
      <c r="J712" s="268"/>
      <c r="K712" s="268"/>
      <c r="L712" s="309"/>
      <c r="M712" s="268"/>
      <c r="N712" s="268"/>
      <c r="O712" s="310"/>
      <c r="P712" s="268"/>
      <c r="Q712" s="309"/>
      <c r="R712" s="268"/>
      <c r="S712" s="313"/>
      <c r="T712" s="313"/>
      <c r="U712" s="268"/>
      <c r="V712" s="309"/>
      <c r="W712" s="310"/>
      <c r="X712" s="268"/>
      <c r="Y712" s="268"/>
      <c r="Z712" s="268"/>
      <c r="AA712" s="268"/>
      <c r="AB712" s="268"/>
      <c r="AC712" s="268"/>
      <c r="AD712" s="268"/>
      <c r="AE712" s="268"/>
    </row>
    <row r="713" spans="1:31" ht="24.75" customHeight="1">
      <c r="A713" s="268"/>
      <c r="B713" s="268"/>
      <c r="C713" s="268"/>
      <c r="D713" s="268"/>
      <c r="E713" s="268"/>
      <c r="F713" s="268"/>
      <c r="G713" s="268"/>
      <c r="H713" s="268"/>
      <c r="I713" s="268"/>
      <c r="J713" s="268"/>
      <c r="K713" s="268"/>
      <c r="L713" s="309"/>
      <c r="M713" s="268"/>
      <c r="N713" s="268"/>
      <c r="O713" s="310"/>
      <c r="P713" s="268"/>
      <c r="Q713" s="309"/>
      <c r="R713" s="268"/>
      <c r="S713" s="313"/>
      <c r="T713" s="313"/>
      <c r="U713" s="268"/>
      <c r="V713" s="309"/>
      <c r="W713" s="310"/>
      <c r="X713" s="268"/>
      <c r="Y713" s="268"/>
      <c r="Z713" s="268"/>
      <c r="AA713" s="268"/>
      <c r="AB713" s="268"/>
      <c r="AC713" s="268"/>
      <c r="AD713" s="268"/>
      <c r="AE713" s="268"/>
    </row>
    <row r="714" spans="1:31" ht="24.75" customHeight="1">
      <c r="A714" s="268"/>
      <c r="B714" s="268"/>
      <c r="C714" s="268"/>
      <c r="D714" s="268"/>
      <c r="E714" s="268"/>
      <c r="F714" s="268"/>
      <c r="G714" s="268"/>
      <c r="H714" s="268"/>
      <c r="I714" s="268"/>
      <c r="J714" s="268"/>
      <c r="K714" s="268"/>
      <c r="L714" s="309"/>
      <c r="M714" s="268"/>
      <c r="N714" s="268"/>
      <c r="O714" s="310"/>
      <c r="P714" s="268"/>
      <c r="Q714" s="309"/>
      <c r="R714" s="268"/>
      <c r="S714" s="313"/>
      <c r="T714" s="313"/>
      <c r="U714" s="268"/>
      <c r="V714" s="309"/>
      <c r="W714" s="310"/>
      <c r="X714" s="268"/>
      <c r="Y714" s="268"/>
      <c r="Z714" s="268"/>
      <c r="AA714" s="268"/>
      <c r="AB714" s="268"/>
      <c r="AC714" s="268"/>
      <c r="AD714" s="268"/>
      <c r="AE714" s="268"/>
    </row>
    <row r="715" spans="1:31" ht="24.75" customHeight="1">
      <c r="A715" s="268"/>
      <c r="B715" s="268"/>
      <c r="C715" s="268"/>
      <c r="D715" s="268"/>
      <c r="E715" s="268"/>
      <c r="F715" s="268"/>
      <c r="G715" s="268"/>
      <c r="H715" s="268"/>
      <c r="I715" s="268"/>
      <c r="J715" s="268"/>
      <c r="K715" s="268"/>
      <c r="L715" s="309"/>
      <c r="M715" s="268"/>
      <c r="N715" s="268"/>
      <c r="O715" s="310"/>
      <c r="P715" s="268"/>
      <c r="Q715" s="309"/>
      <c r="R715" s="268"/>
      <c r="S715" s="313"/>
      <c r="T715" s="313"/>
      <c r="U715" s="268"/>
      <c r="V715" s="309"/>
      <c r="W715" s="310"/>
      <c r="X715" s="268"/>
      <c r="Y715" s="268"/>
      <c r="Z715" s="268"/>
      <c r="AA715" s="268"/>
      <c r="AB715" s="268"/>
      <c r="AC715" s="268"/>
      <c r="AD715" s="268"/>
      <c r="AE715" s="268"/>
    </row>
    <row r="716" spans="1:31" ht="24.75" customHeight="1">
      <c r="A716" s="268"/>
      <c r="B716" s="268"/>
      <c r="C716" s="268"/>
      <c r="D716" s="268"/>
      <c r="E716" s="268"/>
      <c r="F716" s="268"/>
      <c r="G716" s="268"/>
      <c r="H716" s="268"/>
      <c r="I716" s="268"/>
      <c r="J716" s="268"/>
      <c r="K716" s="268"/>
      <c r="L716" s="309"/>
      <c r="M716" s="268"/>
      <c r="N716" s="268"/>
      <c r="O716" s="310"/>
      <c r="P716" s="268"/>
      <c r="Q716" s="309"/>
      <c r="R716" s="268"/>
      <c r="S716" s="313"/>
      <c r="T716" s="313"/>
      <c r="U716" s="268"/>
      <c r="V716" s="309"/>
      <c r="W716" s="310"/>
      <c r="X716" s="268"/>
      <c r="Y716" s="268"/>
      <c r="Z716" s="268"/>
      <c r="AA716" s="268"/>
      <c r="AB716" s="268"/>
      <c r="AC716" s="268"/>
      <c r="AD716" s="268"/>
      <c r="AE716" s="268"/>
    </row>
    <row r="717" spans="1:31" ht="24.75" customHeight="1">
      <c r="A717" s="268"/>
      <c r="B717" s="268"/>
      <c r="C717" s="268"/>
      <c r="D717" s="268"/>
      <c r="E717" s="268"/>
      <c r="F717" s="268"/>
      <c r="G717" s="268"/>
      <c r="H717" s="268"/>
      <c r="I717" s="268"/>
      <c r="J717" s="268"/>
      <c r="K717" s="268"/>
      <c r="L717" s="309"/>
      <c r="M717" s="268"/>
      <c r="N717" s="268"/>
      <c r="O717" s="310"/>
      <c r="P717" s="268"/>
      <c r="Q717" s="309"/>
      <c r="R717" s="268"/>
      <c r="S717" s="313"/>
      <c r="T717" s="313"/>
      <c r="U717" s="268"/>
      <c r="V717" s="309"/>
      <c r="W717" s="310"/>
      <c r="X717" s="268"/>
      <c r="Y717" s="268"/>
      <c r="Z717" s="268"/>
      <c r="AA717" s="268"/>
      <c r="AB717" s="268"/>
      <c r="AC717" s="268"/>
      <c r="AD717" s="268"/>
      <c r="AE717" s="268"/>
    </row>
    <row r="718" spans="1:31" ht="24.75" customHeight="1">
      <c r="A718" s="268"/>
      <c r="B718" s="268"/>
      <c r="C718" s="268"/>
      <c r="D718" s="268"/>
      <c r="E718" s="268"/>
      <c r="F718" s="268"/>
      <c r="G718" s="268"/>
      <c r="H718" s="268"/>
      <c r="I718" s="268"/>
      <c r="J718" s="268"/>
      <c r="K718" s="268"/>
      <c r="L718" s="309"/>
      <c r="M718" s="268"/>
      <c r="N718" s="268"/>
      <c r="O718" s="310"/>
      <c r="P718" s="268"/>
      <c r="Q718" s="309"/>
      <c r="R718" s="268"/>
      <c r="S718" s="313"/>
      <c r="T718" s="313"/>
      <c r="U718" s="268"/>
      <c r="V718" s="309"/>
      <c r="W718" s="310"/>
      <c r="X718" s="268"/>
      <c r="Y718" s="268"/>
      <c r="Z718" s="268"/>
      <c r="AA718" s="268"/>
      <c r="AB718" s="268"/>
      <c r="AC718" s="268"/>
      <c r="AD718" s="268"/>
      <c r="AE718" s="268"/>
    </row>
    <row r="719" spans="1:31" ht="24.75" customHeight="1">
      <c r="A719" s="268"/>
      <c r="B719" s="268"/>
      <c r="C719" s="268"/>
      <c r="D719" s="268"/>
      <c r="E719" s="268"/>
      <c r="F719" s="268"/>
      <c r="G719" s="268"/>
      <c r="H719" s="268"/>
      <c r="I719" s="268"/>
      <c r="J719" s="268"/>
      <c r="K719" s="268"/>
      <c r="L719" s="309"/>
      <c r="M719" s="268"/>
      <c r="N719" s="268"/>
      <c r="O719" s="310"/>
      <c r="P719" s="268"/>
      <c r="Q719" s="309"/>
      <c r="R719" s="268"/>
      <c r="S719" s="313"/>
      <c r="T719" s="313"/>
      <c r="U719" s="268"/>
      <c r="V719" s="309"/>
      <c r="W719" s="310"/>
      <c r="X719" s="268"/>
      <c r="Y719" s="268"/>
      <c r="Z719" s="268"/>
      <c r="AA719" s="268"/>
      <c r="AB719" s="268"/>
      <c r="AC719" s="268"/>
      <c r="AD719" s="268"/>
      <c r="AE719" s="268"/>
    </row>
    <row r="720" spans="1:31" ht="24.75" customHeight="1">
      <c r="A720" s="268"/>
      <c r="B720" s="268"/>
      <c r="C720" s="268"/>
      <c r="D720" s="268"/>
      <c r="E720" s="268"/>
      <c r="F720" s="268"/>
      <c r="G720" s="268"/>
      <c r="H720" s="268"/>
      <c r="I720" s="268"/>
      <c r="J720" s="268"/>
      <c r="K720" s="268"/>
      <c r="L720" s="309"/>
      <c r="M720" s="268"/>
      <c r="N720" s="268"/>
      <c r="O720" s="310"/>
      <c r="P720" s="268"/>
      <c r="Q720" s="309"/>
      <c r="R720" s="268"/>
      <c r="S720" s="313"/>
      <c r="T720" s="313"/>
      <c r="U720" s="268"/>
      <c r="V720" s="309"/>
      <c r="W720" s="310"/>
      <c r="X720" s="268"/>
      <c r="Y720" s="268"/>
      <c r="Z720" s="268"/>
      <c r="AA720" s="268"/>
      <c r="AB720" s="268"/>
      <c r="AC720" s="268"/>
      <c r="AD720" s="268"/>
      <c r="AE720" s="268"/>
    </row>
    <row r="721" spans="1:31" ht="24.75" customHeight="1">
      <c r="A721" s="268"/>
      <c r="B721" s="268"/>
      <c r="C721" s="268"/>
      <c r="D721" s="268"/>
      <c r="E721" s="268"/>
      <c r="F721" s="268"/>
      <c r="G721" s="268"/>
      <c r="H721" s="268"/>
      <c r="I721" s="268"/>
      <c r="J721" s="268"/>
      <c r="K721" s="268"/>
      <c r="L721" s="309"/>
      <c r="M721" s="268"/>
      <c r="N721" s="268"/>
      <c r="O721" s="310"/>
      <c r="P721" s="268"/>
      <c r="Q721" s="309"/>
      <c r="R721" s="268"/>
      <c r="S721" s="313"/>
      <c r="T721" s="313"/>
      <c r="U721" s="268"/>
      <c r="V721" s="309"/>
      <c r="W721" s="310"/>
      <c r="X721" s="268"/>
      <c r="Y721" s="268"/>
      <c r="Z721" s="268"/>
      <c r="AA721" s="268"/>
      <c r="AB721" s="268"/>
      <c r="AC721" s="268"/>
      <c r="AD721" s="268"/>
      <c r="AE721" s="268"/>
    </row>
    <row r="722" spans="1:31" ht="24.75" customHeight="1">
      <c r="A722" s="268"/>
      <c r="B722" s="268"/>
      <c r="C722" s="268"/>
      <c r="D722" s="268"/>
      <c r="E722" s="268"/>
      <c r="F722" s="268"/>
      <c r="G722" s="268"/>
      <c r="H722" s="268"/>
      <c r="I722" s="268"/>
      <c r="J722" s="268"/>
      <c r="K722" s="268"/>
      <c r="L722" s="309"/>
      <c r="M722" s="268"/>
      <c r="N722" s="268"/>
      <c r="O722" s="310"/>
      <c r="P722" s="268"/>
      <c r="Q722" s="309"/>
      <c r="R722" s="268"/>
      <c r="S722" s="313"/>
      <c r="T722" s="313"/>
      <c r="U722" s="268"/>
      <c r="V722" s="309"/>
      <c r="W722" s="310"/>
      <c r="X722" s="268"/>
      <c r="Y722" s="268"/>
      <c r="Z722" s="268"/>
      <c r="AA722" s="268"/>
      <c r="AB722" s="268"/>
      <c r="AC722" s="268"/>
      <c r="AD722" s="268"/>
      <c r="AE722" s="268"/>
    </row>
    <row r="723" spans="1:31" ht="24.75" customHeight="1">
      <c r="A723" s="268"/>
      <c r="B723" s="268"/>
      <c r="C723" s="268"/>
      <c r="D723" s="268"/>
      <c r="E723" s="268"/>
      <c r="F723" s="268"/>
      <c r="G723" s="268"/>
      <c r="H723" s="268"/>
      <c r="I723" s="268"/>
      <c r="J723" s="268"/>
      <c r="K723" s="268"/>
      <c r="L723" s="309"/>
      <c r="M723" s="268"/>
      <c r="N723" s="268"/>
      <c r="O723" s="310"/>
      <c r="P723" s="268"/>
      <c r="Q723" s="309"/>
      <c r="R723" s="268"/>
      <c r="S723" s="313"/>
      <c r="T723" s="313"/>
      <c r="U723" s="268"/>
      <c r="V723" s="309"/>
      <c r="W723" s="310"/>
      <c r="X723" s="268"/>
      <c r="Y723" s="268"/>
      <c r="Z723" s="268"/>
      <c r="AA723" s="268"/>
      <c r="AB723" s="268"/>
      <c r="AC723" s="268"/>
      <c r="AD723" s="268"/>
      <c r="AE723" s="268"/>
    </row>
    <row r="724" spans="1:31" ht="24.75" customHeight="1">
      <c r="A724" s="268"/>
      <c r="B724" s="268"/>
      <c r="C724" s="268"/>
      <c r="D724" s="268"/>
      <c r="E724" s="268"/>
      <c r="F724" s="268"/>
      <c r="G724" s="268"/>
      <c r="H724" s="268"/>
      <c r="I724" s="268"/>
      <c r="J724" s="268"/>
      <c r="K724" s="268"/>
      <c r="L724" s="309"/>
      <c r="M724" s="268"/>
      <c r="N724" s="268"/>
      <c r="O724" s="310"/>
      <c r="P724" s="268"/>
      <c r="Q724" s="309"/>
      <c r="R724" s="268"/>
      <c r="S724" s="313"/>
      <c r="T724" s="313"/>
      <c r="U724" s="268"/>
      <c r="V724" s="309"/>
      <c r="W724" s="310"/>
      <c r="X724" s="268"/>
      <c r="Y724" s="268"/>
      <c r="Z724" s="268"/>
      <c r="AA724" s="268"/>
      <c r="AB724" s="268"/>
      <c r="AC724" s="268"/>
      <c r="AD724" s="268"/>
      <c r="AE724" s="268"/>
    </row>
    <row r="725" spans="1:31" ht="24.75" customHeight="1">
      <c r="A725" s="268"/>
      <c r="B725" s="268"/>
      <c r="C725" s="268"/>
      <c r="D725" s="268"/>
      <c r="E725" s="268"/>
      <c r="F725" s="268"/>
      <c r="G725" s="268"/>
      <c r="H725" s="268"/>
      <c r="I725" s="268"/>
      <c r="J725" s="268"/>
      <c r="K725" s="268"/>
      <c r="L725" s="309"/>
      <c r="M725" s="268"/>
      <c r="N725" s="268"/>
      <c r="O725" s="310"/>
      <c r="P725" s="268"/>
      <c r="Q725" s="309"/>
      <c r="R725" s="268"/>
      <c r="S725" s="313"/>
      <c r="T725" s="313"/>
      <c r="U725" s="268"/>
      <c r="V725" s="309"/>
      <c r="W725" s="310"/>
      <c r="X725" s="268"/>
      <c r="Y725" s="268"/>
      <c r="Z725" s="268"/>
      <c r="AA725" s="268"/>
      <c r="AB725" s="268"/>
      <c r="AC725" s="268"/>
      <c r="AD725" s="268"/>
      <c r="AE725" s="268"/>
    </row>
    <row r="726" spans="1:31" ht="24.75" customHeight="1">
      <c r="A726" s="268"/>
      <c r="B726" s="268"/>
      <c r="C726" s="268"/>
      <c r="D726" s="268"/>
      <c r="E726" s="268"/>
      <c r="F726" s="268"/>
      <c r="G726" s="268"/>
      <c r="H726" s="268"/>
      <c r="I726" s="268"/>
      <c r="J726" s="268"/>
      <c r="K726" s="268"/>
      <c r="L726" s="309"/>
      <c r="M726" s="268"/>
      <c r="N726" s="268"/>
      <c r="O726" s="310"/>
      <c r="P726" s="268"/>
      <c r="Q726" s="309"/>
      <c r="R726" s="268"/>
      <c r="S726" s="313"/>
      <c r="T726" s="313"/>
      <c r="U726" s="268"/>
      <c r="V726" s="309"/>
      <c r="W726" s="310"/>
      <c r="X726" s="268"/>
      <c r="Y726" s="268"/>
      <c r="Z726" s="268"/>
      <c r="AA726" s="268"/>
      <c r="AB726" s="268"/>
      <c r="AC726" s="268"/>
      <c r="AD726" s="268"/>
      <c r="AE726" s="268"/>
    </row>
    <row r="727" spans="1:31" ht="24.75" customHeight="1">
      <c r="A727" s="268"/>
      <c r="B727" s="268"/>
      <c r="C727" s="268"/>
      <c r="D727" s="268"/>
      <c r="E727" s="268"/>
      <c r="F727" s="268"/>
      <c r="G727" s="268"/>
      <c r="H727" s="268"/>
      <c r="I727" s="268"/>
      <c r="J727" s="268"/>
      <c r="K727" s="268"/>
      <c r="L727" s="309"/>
      <c r="M727" s="268"/>
      <c r="N727" s="268"/>
      <c r="O727" s="310"/>
      <c r="P727" s="268"/>
      <c r="Q727" s="309"/>
      <c r="R727" s="268"/>
      <c r="S727" s="313"/>
      <c r="T727" s="313"/>
      <c r="U727" s="268"/>
      <c r="V727" s="309"/>
      <c r="W727" s="310"/>
      <c r="X727" s="268"/>
      <c r="Y727" s="268"/>
      <c r="Z727" s="268"/>
      <c r="AA727" s="268"/>
      <c r="AB727" s="268"/>
      <c r="AC727" s="268"/>
      <c r="AD727" s="268"/>
      <c r="AE727" s="268"/>
    </row>
    <row r="728" spans="1:31" ht="24.75" customHeight="1">
      <c r="A728" s="268"/>
      <c r="B728" s="268"/>
      <c r="C728" s="268"/>
      <c r="D728" s="268"/>
      <c r="E728" s="268"/>
      <c r="F728" s="268"/>
      <c r="G728" s="268"/>
      <c r="H728" s="268"/>
      <c r="I728" s="268"/>
      <c r="J728" s="268"/>
      <c r="K728" s="268"/>
      <c r="L728" s="309"/>
      <c r="M728" s="268"/>
      <c r="N728" s="268"/>
      <c r="O728" s="310"/>
      <c r="P728" s="268"/>
      <c r="Q728" s="309"/>
      <c r="R728" s="268"/>
      <c r="S728" s="313"/>
      <c r="T728" s="313"/>
      <c r="U728" s="268"/>
      <c r="V728" s="309"/>
      <c r="W728" s="310"/>
      <c r="X728" s="268"/>
      <c r="Y728" s="268"/>
      <c r="Z728" s="268"/>
      <c r="AA728" s="268"/>
      <c r="AB728" s="268"/>
      <c r="AC728" s="268"/>
      <c r="AD728" s="268"/>
      <c r="AE728" s="268"/>
    </row>
    <row r="729" spans="1:31" ht="24.75" customHeight="1">
      <c r="A729" s="268"/>
      <c r="B729" s="268"/>
      <c r="C729" s="268"/>
      <c r="D729" s="268"/>
      <c r="E729" s="268"/>
      <c r="F729" s="268"/>
      <c r="G729" s="268"/>
      <c r="H729" s="268"/>
      <c r="I729" s="268"/>
      <c r="J729" s="268"/>
      <c r="K729" s="268"/>
      <c r="L729" s="309"/>
      <c r="M729" s="268"/>
      <c r="N729" s="268"/>
      <c r="O729" s="310"/>
      <c r="P729" s="268"/>
      <c r="Q729" s="309"/>
      <c r="R729" s="268"/>
      <c r="S729" s="313"/>
      <c r="T729" s="313"/>
      <c r="U729" s="268"/>
      <c r="V729" s="309"/>
      <c r="W729" s="310"/>
      <c r="X729" s="268"/>
      <c r="Y729" s="268"/>
      <c r="Z729" s="268"/>
      <c r="AA729" s="268"/>
      <c r="AB729" s="268"/>
      <c r="AC729" s="268"/>
      <c r="AD729" s="268"/>
      <c r="AE729" s="268"/>
    </row>
    <row r="730" spans="1:31" ht="24.75" customHeight="1">
      <c r="A730" s="268"/>
      <c r="B730" s="268"/>
      <c r="C730" s="268"/>
      <c r="D730" s="268"/>
      <c r="E730" s="268"/>
      <c r="F730" s="268"/>
      <c r="G730" s="268"/>
      <c r="H730" s="268"/>
      <c r="I730" s="268"/>
      <c r="J730" s="268"/>
      <c r="K730" s="268"/>
      <c r="L730" s="309"/>
      <c r="M730" s="268"/>
      <c r="N730" s="268"/>
      <c r="O730" s="310"/>
      <c r="P730" s="268"/>
      <c r="Q730" s="309"/>
      <c r="R730" s="268"/>
      <c r="S730" s="313"/>
      <c r="T730" s="313"/>
      <c r="U730" s="268"/>
      <c r="V730" s="309"/>
      <c r="W730" s="310"/>
      <c r="X730" s="268"/>
      <c r="Y730" s="268"/>
      <c r="Z730" s="268"/>
      <c r="AA730" s="268"/>
      <c r="AB730" s="268"/>
      <c r="AC730" s="268"/>
      <c r="AD730" s="268"/>
      <c r="AE730" s="268"/>
    </row>
    <row r="731" spans="1:31" ht="24.75" customHeight="1">
      <c r="A731" s="268"/>
      <c r="B731" s="268"/>
      <c r="C731" s="268"/>
      <c r="D731" s="268"/>
      <c r="E731" s="268"/>
      <c r="F731" s="268"/>
      <c r="G731" s="268"/>
      <c r="H731" s="268"/>
      <c r="I731" s="268"/>
      <c r="J731" s="268"/>
      <c r="K731" s="268"/>
      <c r="L731" s="309"/>
      <c r="M731" s="268"/>
      <c r="N731" s="268"/>
      <c r="O731" s="310"/>
      <c r="P731" s="268"/>
      <c r="Q731" s="309"/>
      <c r="R731" s="268"/>
      <c r="S731" s="313"/>
      <c r="T731" s="313"/>
      <c r="U731" s="268"/>
      <c r="V731" s="309"/>
      <c r="W731" s="310"/>
      <c r="X731" s="268"/>
      <c r="Y731" s="268"/>
      <c r="Z731" s="268"/>
      <c r="AA731" s="268"/>
      <c r="AB731" s="268"/>
      <c r="AC731" s="268"/>
      <c r="AD731" s="268"/>
      <c r="AE731" s="268"/>
    </row>
    <row r="732" spans="1:31" ht="24.75" customHeight="1">
      <c r="A732" s="268"/>
      <c r="B732" s="268"/>
      <c r="C732" s="268"/>
      <c r="D732" s="268"/>
      <c r="E732" s="268"/>
      <c r="F732" s="268"/>
      <c r="G732" s="268"/>
      <c r="H732" s="268"/>
      <c r="I732" s="268"/>
      <c r="J732" s="268"/>
      <c r="K732" s="268"/>
      <c r="L732" s="309"/>
      <c r="M732" s="268"/>
      <c r="N732" s="268"/>
      <c r="O732" s="310"/>
      <c r="P732" s="268"/>
      <c r="Q732" s="309"/>
      <c r="R732" s="268"/>
      <c r="S732" s="313"/>
      <c r="T732" s="313"/>
      <c r="U732" s="268"/>
      <c r="V732" s="309"/>
      <c r="W732" s="310"/>
      <c r="X732" s="268"/>
      <c r="Y732" s="268"/>
      <c r="Z732" s="268"/>
      <c r="AA732" s="268"/>
      <c r="AB732" s="268"/>
      <c r="AC732" s="268"/>
      <c r="AD732" s="268"/>
      <c r="AE732" s="268"/>
    </row>
    <row r="733" spans="1:31" ht="24.75" customHeight="1">
      <c r="A733" s="268"/>
      <c r="B733" s="268"/>
      <c r="C733" s="268"/>
      <c r="D733" s="268"/>
      <c r="E733" s="268"/>
      <c r="F733" s="268"/>
      <c r="G733" s="268"/>
      <c r="H733" s="268"/>
      <c r="I733" s="268"/>
      <c r="J733" s="268"/>
      <c r="K733" s="268"/>
      <c r="L733" s="309"/>
      <c r="M733" s="268"/>
      <c r="N733" s="268"/>
      <c r="O733" s="310"/>
      <c r="P733" s="268"/>
      <c r="Q733" s="309"/>
      <c r="R733" s="268"/>
      <c r="S733" s="313"/>
      <c r="T733" s="313"/>
      <c r="U733" s="268"/>
      <c r="V733" s="309"/>
      <c r="W733" s="310"/>
      <c r="X733" s="268"/>
      <c r="Y733" s="268"/>
      <c r="Z733" s="268"/>
      <c r="AA733" s="268"/>
      <c r="AB733" s="268"/>
      <c r="AC733" s="268"/>
      <c r="AD733" s="268"/>
      <c r="AE733" s="268"/>
    </row>
    <row r="734" spans="1:31" ht="24.75" customHeight="1">
      <c r="A734" s="268"/>
      <c r="B734" s="268"/>
      <c r="C734" s="268"/>
      <c r="D734" s="268"/>
      <c r="E734" s="268"/>
      <c r="F734" s="268"/>
      <c r="G734" s="268"/>
      <c r="H734" s="268"/>
      <c r="I734" s="268"/>
      <c r="J734" s="268"/>
      <c r="K734" s="268"/>
      <c r="L734" s="309"/>
      <c r="M734" s="268"/>
      <c r="N734" s="268"/>
      <c r="O734" s="310"/>
      <c r="P734" s="268"/>
      <c r="Q734" s="309"/>
      <c r="R734" s="268"/>
      <c r="S734" s="313"/>
      <c r="T734" s="313"/>
      <c r="U734" s="268"/>
      <c r="V734" s="309"/>
      <c r="W734" s="310"/>
      <c r="X734" s="268"/>
      <c r="Y734" s="268"/>
      <c r="Z734" s="268"/>
      <c r="AA734" s="268"/>
      <c r="AB734" s="268"/>
      <c r="AC734" s="268"/>
      <c r="AD734" s="268"/>
      <c r="AE734" s="268"/>
    </row>
    <row r="735" spans="1:31" ht="24.75" customHeight="1">
      <c r="A735" s="268"/>
      <c r="B735" s="268"/>
      <c r="C735" s="268"/>
      <c r="D735" s="268"/>
      <c r="E735" s="268"/>
      <c r="F735" s="268"/>
      <c r="G735" s="268"/>
      <c r="H735" s="268"/>
      <c r="I735" s="268"/>
      <c r="J735" s="268"/>
      <c r="K735" s="268"/>
      <c r="L735" s="309"/>
      <c r="M735" s="268"/>
      <c r="N735" s="268"/>
      <c r="O735" s="310"/>
      <c r="P735" s="268"/>
      <c r="Q735" s="309"/>
      <c r="R735" s="268"/>
      <c r="S735" s="313"/>
      <c r="T735" s="313"/>
      <c r="U735" s="268"/>
      <c r="V735" s="309"/>
      <c r="W735" s="310"/>
      <c r="X735" s="268"/>
      <c r="Y735" s="268"/>
      <c r="Z735" s="268"/>
      <c r="AA735" s="268"/>
      <c r="AB735" s="268"/>
      <c r="AC735" s="268"/>
      <c r="AD735" s="268"/>
      <c r="AE735" s="268"/>
    </row>
    <row r="736" spans="1:31" ht="24.75" customHeight="1">
      <c r="A736" s="268"/>
      <c r="B736" s="268"/>
      <c r="C736" s="268"/>
      <c r="D736" s="268"/>
      <c r="E736" s="268"/>
      <c r="F736" s="268"/>
      <c r="G736" s="268"/>
      <c r="H736" s="268"/>
      <c r="I736" s="268"/>
      <c r="J736" s="268"/>
      <c r="K736" s="268"/>
      <c r="L736" s="309"/>
      <c r="M736" s="268"/>
      <c r="N736" s="268"/>
      <c r="O736" s="310"/>
      <c r="P736" s="268"/>
      <c r="Q736" s="309"/>
      <c r="R736" s="268"/>
      <c r="S736" s="313"/>
      <c r="T736" s="313"/>
      <c r="U736" s="268"/>
      <c r="V736" s="309"/>
      <c r="W736" s="310"/>
      <c r="X736" s="268"/>
      <c r="Y736" s="268"/>
      <c r="Z736" s="268"/>
      <c r="AA736" s="268"/>
      <c r="AB736" s="268"/>
      <c r="AC736" s="268"/>
      <c r="AD736" s="268"/>
      <c r="AE736" s="268"/>
    </row>
    <row r="737" spans="1:31" ht="24.75" customHeight="1">
      <c r="A737" s="268"/>
      <c r="B737" s="268"/>
      <c r="C737" s="268"/>
      <c r="D737" s="268"/>
      <c r="E737" s="268"/>
      <c r="F737" s="268"/>
      <c r="G737" s="268"/>
      <c r="H737" s="268"/>
      <c r="I737" s="268"/>
      <c r="J737" s="268"/>
      <c r="K737" s="268"/>
      <c r="L737" s="309"/>
      <c r="M737" s="268"/>
      <c r="N737" s="268"/>
      <c r="O737" s="310"/>
      <c r="P737" s="268"/>
      <c r="Q737" s="309"/>
      <c r="R737" s="268"/>
      <c r="S737" s="313"/>
      <c r="T737" s="313"/>
      <c r="U737" s="268"/>
      <c r="V737" s="309"/>
      <c r="W737" s="310"/>
      <c r="X737" s="268"/>
      <c r="Y737" s="268"/>
      <c r="Z737" s="268"/>
      <c r="AA737" s="268"/>
      <c r="AB737" s="268"/>
      <c r="AC737" s="268"/>
      <c r="AD737" s="268"/>
      <c r="AE737" s="268"/>
    </row>
    <row r="738" spans="1:31" ht="24.75" customHeight="1">
      <c r="A738" s="268"/>
      <c r="B738" s="268"/>
      <c r="C738" s="268"/>
      <c r="D738" s="268"/>
      <c r="E738" s="268"/>
      <c r="F738" s="268"/>
      <c r="G738" s="268"/>
      <c r="H738" s="268"/>
      <c r="I738" s="268"/>
      <c r="J738" s="268"/>
      <c r="K738" s="268"/>
      <c r="L738" s="309"/>
      <c r="M738" s="268"/>
      <c r="N738" s="268"/>
      <c r="O738" s="310"/>
      <c r="P738" s="268"/>
      <c r="Q738" s="309"/>
      <c r="R738" s="268"/>
      <c r="S738" s="313"/>
      <c r="T738" s="313"/>
      <c r="U738" s="268"/>
      <c r="V738" s="309"/>
      <c r="W738" s="310"/>
      <c r="X738" s="268"/>
      <c r="Y738" s="268"/>
      <c r="Z738" s="268"/>
      <c r="AA738" s="268"/>
      <c r="AB738" s="268"/>
      <c r="AC738" s="268"/>
      <c r="AD738" s="268"/>
      <c r="AE738" s="268"/>
    </row>
    <row r="739" spans="1:31" ht="24.75" customHeight="1">
      <c r="A739" s="268"/>
      <c r="B739" s="268"/>
      <c r="C739" s="268"/>
      <c r="D739" s="268"/>
      <c r="E739" s="268"/>
      <c r="F739" s="268"/>
      <c r="G739" s="268"/>
      <c r="H739" s="268"/>
      <c r="I739" s="268"/>
      <c r="J739" s="268"/>
      <c r="K739" s="268"/>
      <c r="L739" s="309"/>
      <c r="M739" s="268"/>
      <c r="N739" s="268"/>
      <c r="O739" s="310"/>
      <c r="P739" s="268"/>
      <c r="Q739" s="309"/>
      <c r="R739" s="268"/>
      <c r="S739" s="313"/>
      <c r="T739" s="313"/>
      <c r="U739" s="268"/>
      <c r="V739" s="309"/>
      <c r="W739" s="310"/>
      <c r="X739" s="268"/>
      <c r="Y739" s="268"/>
      <c r="Z739" s="268"/>
      <c r="AA739" s="268"/>
      <c r="AB739" s="268"/>
      <c r="AC739" s="268"/>
      <c r="AD739" s="268"/>
      <c r="AE739" s="268"/>
    </row>
    <row r="740" spans="1:31" ht="24.75" customHeight="1">
      <c r="A740" s="268"/>
      <c r="B740" s="268"/>
      <c r="C740" s="268"/>
      <c r="D740" s="268"/>
      <c r="E740" s="268"/>
      <c r="F740" s="268"/>
      <c r="G740" s="268"/>
      <c r="H740" s="268"/>
      <c r="I740" s="268"/>
      <c r="J740" s="268"/>
      <c r="K740" s="268"/>
      <c r="L740" s="309"/>
      <c r="M740" s="268"/>
      <c r="N740" s="268"/>
      <c r="O740" s="310"/>
      <c r="P740" s="268"/>
      <c r="Q740" s="309"/>
      <c r="R740" s="268"/>
      <c r="S740" s="313"/>
      <c r="T740" s="313"/>
      <c r="U740" s="268"/>
      <c r="V740" s="309"/>
      <c r="W740" s="310"/>
      <c r="X740" s="268"/>
      <c r="Y740" s="268"/>
      <c r="Z740" s="268"/>
      <c r="AA740" s="268"/>
      <c r="AB740" s="268"/>
      <c r="AC740" s="268"/>
      <c r="AD740" s="268"/>
      <c r="AE740" s="268"/>
    </row>
    <row r="741" spans="1:31" ht="24.75" customHeight="1">
      <c r="A741" s="268"/>
      <c r="B741" s="268"/>
      <c r="C741" s="268"/>
      <c r="D741" s="268"/>
      <c r="E741" s="268"/>
      <c r="F741" s="268"/>
      <c r="G741" s="268"/>
      <c r="H741" s="268"/>
      <c r="I741" s="268"/>
      <c r="J741" s="268"/>
      <c r="K741" s="268"/>
      <c r="L741" s="309"/>
      <c r="M741" s="268"/>
      <c r="N741" s="268"/>
      <c r="O741" s="310"/>
      <c r="P741" s="268"/>
      <c r="Q741" s="309"/>
      <c r="R741" s="268"/>
      <c r="S741" s="313"/>
      <c r="T741" s="313"/>
      <c r="U741" s="268"/>
      <c r="V741" s="309"/>
      <c r="W741" s="310"/>
      <c r="X741" s="268"/>
      <c r="Y741" s="268"/>
      <c r="Z741" s="268"/>
      <c r="AA741" s="268"/>
      <c r="AB741" s="268"/>
      <c r="AC741" s="268"/>
      <c r="AD741" s="268"/>
      <c r="AE741" s="268"/>
    </row>
    <row r="742" spans="1:31" ht="24.75" customHeight="1">
      <c r="A742" s="268"/>
      <c r="B742" s="268"/>
      <c r="C742" s="268"/>
      <c r="D742" s="268"/>
      <c r="E742" s="268"/>
      <c r="F742" s="268"/>
      <c r="G742" s="268"/>
      <c r="H742" s="268"/>
      <c r="I742" s="268"/>
      <c r="J742" s="268"/>
      <c r="K742" s="268"/>
      <c r="L742" s="309"/>
      <c r="M742" s="268"/>
      <c r="N742" s="268"/>
      <c r="O742" s="310"/>
      <c r="P742" s="268"/>
      <c r="Q742" s="309"/>
      <c r="R742" s="268"/>
      <c r="S742" s="313"/>
      <c r="T742" s="313"/>
      <c r="U742" s="268"/>
      <c r="V742" s="309"/>
      <c r="W742" s="310"/>
      <c r="X742" s="268"/>
      <c r="Y742" s="268"/>
      <c r="Z742" s="268"/>
      <c r="AA742" s="268"/>
      <c r="AB742" s="268"/>
      <c r="AC742" s="268"/>
      <c r="AD742" s="268"/>
      <c r="AE742" s="268"/>
    </row>
    <row r="743" spans="1:31" ht="24.75" customHeight="1">
      <c r="A743" s="268"/>
      <c r="B743" s="268"/>
      <c r="C743" s="268"/>
      <c r="D743" s="268"/>
      <c r="E743" s="268"/>
      <c r="F743" s="268"/>
      <c r="G743" s="268"/>
      <c r="H743" s="268"/>
      <c r="I743" s="268"/>
      <c r="J743" s="268"/>
      <c r="K743" s="268"/>
      <c r="L743" s="309"/>
      <c r="M743" s="268"/>
      <c r="N743" s="268"/>
      <c r="O743" s="310"/>
      <c r="P743" s="268"/>
      <c r="Q743" s="309"/>
      <c r="R743" s="268"/>
      <c r="S743" s="313"/>
      <c r="T743" s="313"/>
      <c r="U743" s="268"/>
      <c r="V743" s="309"/>
      <c r="W743" s="310"/>
      <c r="X743" s="268"/>
      <c r="Y743" s="268"/>
      <c r="Z743" s="268"/>
      <c r="AA743" s="268"/>
      <c r="AB743" s="268"/>
      <c r="AC743" s="268"/>
      <c r="AD743" s="268"/>
      <c r="AE743" s="268"/>
    </row>
    <row r="744" spans="1:31" ht="24.75" customHeight="1">
      <c r="A744" s="268"/>
      <c r="B744" s="268"/>
      <c r="C744" s="268"/>
      <c r="D744" s="268"/>
      <c r="E744" s="268"/>
      <c r="F744" s="268"/>
      <c r="G744" s="268"/>
      <c r="H744" s="268"/>
      <c r="I744" s="268"/>
      <c r="J744" s="268"/>
      <c r="K744" s="268"/>
      <c r="L744" s="309"/>
      <c r="M744" s="268"/>
      <c r="N744" s="268"/>
      <c r="O744" s="310"/>
      <c r="P744" s="268"/>
      <c r="Q744" s="309"/>
      <c r="R744" s="268"/>
      <c r="S744" s="313"/>
      <c r="T744" s="313"/>
      <c r="U744" s="268"/>
      <c r="V744" s="309"/>
      <c r="W744" s="310"/>
      <c r="X744" s="268"/>
      <c r="Y744" s="268"/>
      <c r="Z744" s="268"/>
      <c r="AA744" s="268"/>
      <c r="AB744" s="268"/>
      <c r="AC744" s="268"/>
      <c r="AD744" s="268"/>
      <c r="AE744" s="268"/>
    </row>
    <row r="745" spans="1:31" ht="24.75" customHeight="1">
      <c r="A745" s="268"/>
      <c r="B745" s="268"/>
      <c r="C745" s="268"/>
      <c r="D745" s="268"/>
      <c r="E745" s="268"/>
      <c r="F745" s="268"/>
      <c r="G745" s="268"/>
      <c r="H745" s="268"/>
      <c r="I745" s="268"/>
      <c r="J745" s="268"/>
      <c r="K745" s="268"/>
      <c r="L745" s="309"/>
      <c r="M745" s="268"/>
      <c r="N745" s="268"/>
      <c r="O745" s="310"/>
      <c r="P745" s="268"/>
      <c r="Q745" s="309"/>
      <c r="R745" s="268"/>
      <c r="S745" s="313"/>
      <c r="T745" s="313"/>
      <c r="U745" s="268"/>
      <c r="V745" s="309"/>
      <c r="W745" s="310"/>
      <c r="X745" s="268"/>
      <c r="Y745" s="268"/>
      <c r="Z745" s="268"/>
      <c r="AA745" s="268"/>
      <c r="AB745" s="268"/>
      <c r="AC745" s="268"/>
      <c r="AD745" s="268"/>
      <c r="AE745" s="268"/>
    </row>
    <row r="746" spans="1:31" ht="24.75" customHeight="1">
      <c r="A746" s="268"/>
      <c r="B746" s="268"/>
      <c r="C746" s="268"/>
      <c r="D746" s="268"/>
      <c r="E746" s="268"/>
      <c r="F746" s="268"/>
      <c r="G746" s="268"/>
      <c r="H746" s="268"/>
      <c r="I746" s="268"/>
      <c r="J746" s="268"/>
      <c r="K746" s="268"/>
      <c r="L746" s="309"/>
      <c r="M746" s="268"/>
      <c r="N746" s="268"/>
      <c r="O746" s="310"/>
      <c r="P746" s="268"/>
      <c r="Q746" s="309"/>
      <c r="R746" s="268"/>
      <c r="S746" s="313"/>
      <c r="T746" s="313"/>
      <c r="U746" s="268"/>
      <c r="V746" s="309"/>
      <c r="W746" s="310"/>
      <c r="X746" s="268"/>
      <c r="Y746" s="268"/>
      <c r="Z746" s="268"/>
      <c r="AA746" s="268"/>
      <c r="AB746" s="268"/>
      <c r="AC746" s="268"/>
      <c r="AD746" s="268"/>
      <c r="AE746" s="268"/>
    </row>
    <row r="747" spans="1:31" ht="24.75" customHeight="1">
      <c r="A747" s="268"/>
      <c r="B747" s="268"/>
      <c r="C747" s="268"/>
      <c r="D747" s="268"/>
      <c r="E747" s="268"/>
      <c r="F747" s="268"/>
      <c r="G747" s="268"/>
      <c r="H747" s="268"/>
      <c r="I747" s="268"/>
      <c r="J747" s="268"/>
      <c r="K747" s="268"/>
      <c r="L747" s="309"/>
      <c r="M747" s="268"/>
      <c r="N747" s="268"/>
      <c r="O747" s="310"/>
      <c r="P747" s="268"/>
      <c r="Q747" s="309"/>
      <c r="R747" s="268"/>
      <c r="S747" s="313"/>
      <c r="T747" s="313"/>
      <c r="U747" s="268"/>
      <c r="V747" s="309"/>
      <c r="W747" s="310"/>
      <c r="X747" s="268"/>
      <c r="Y747" s="268"/>
      <c r="Z747" s="268"/>
      <c r="AA747" s="268"/>
      <c r="AB747" s="268"/>
      <c r="AC747" s="268"/>
      <c r="AD747" s="268"/>
      <c r="AE747" s="268"/>
    </row>
    <row r="748" spans="1:31" ht="24.75" customHeight="1">
      <c r="A748" s="268"/>
      <c r="B748" s="268"/>
      <c r="C748" s="268"/>
      <c r="D748" s="268"/>
      <c r="E748" s="268"/>
      <c r="F748" s="268"/>
      <c r="G748" s="268"/>
      <c r="H748" s="268"/>
      <c r="I748" s="268"/>
      <c r="J748" s="268"/>
      <c r="K748" s="268"/>
      <c r="L748" s="309"/>
      <c r="M748" s="268"/>
      <c r="N748" s="268"/>
      <c r="O748" s="310"/>
      <c r="P748" s="268"/>
      <c r="Q748" s="309"/>
      <c r="R748" s="268"/>
      <c r="S748" s="313"/>
      <c r="T748" s="313"/>
      <c r="U748" s="268"/>
      <c r="V748" s="309"/>
      <c r="W748" s="310"/>
      <c r="X748" s="268"/>
      <c r="Y748" s="268"/>
      <c r="Z748" s="268"/>
      <c r="AA748" s="268"/>
      <c r="AB748" s="268"/>
      <c r="AC748" s="268"/>
      <c r="AD748" s="268"/>
      <c r="AE748" s="268"/>
    </row>
    <row r="749" spans="1:31" ht="24.75" customHeight="1">
      <c r="A749" s="268"/>
      <c r="B749" s="268"/>
      <c r="C749" s="268"/>
      <c r="D749" s="268"/>
      <c r="E749" s="268"/>
      <c r="F749" s="268"/>
      <c r="G749" s="268"/>
      <c r="H749" s="268"/>
      <c r="I749" s="268"/>
      <c r="J749" s="268"/>
      <c r="K749" s="268"/>
      <c r="L749" s="309"/>
      <c r="M749" s="268"/>
      <c r="N749" s="268"/>
      <c r="O749" s="310"/>
      <c r="P749" s="268"/>
      <c r="Q749" s="309"/>
      <c r="R749" s="268"/>
      <c r="S749" s="313"/>
      <c r="T749" s="313"/>
      <c r="U749" s="268"/>
      <c r="V749" s="309"/>
      <c r="W749" s="310"/>
      <c r="X749" s="268"/>
      <c r="Y749" s="268"/>
      <c r="Z749" s="268"/>
      <c r="AA749" s="268"/>
      <c r="AB749" s="268"/>
      <c r="AC749" s="268"/>
      <c r="AD749" s="268"/>
      <c r="AE749" s="268"/>
    </row>
    <row r="750" spans="1:31" ht="24.75" customHeight="1">
      <c r="A750" s="268"/>
      <c r="B750" s="268"/>
      <c r="C750" s="268"/>
      <c r="D750" s="268"/>
      <c r="E750" s="268"/>
      <c r="F750" s="268"/>
      <c r="G750" s="268"/>
      <c r="H750" s="268"/>
      <c r="I750" s="268"/>
      <c r="J750" s="268"/>
      <c r="K750" s="268"/>
      <c r="L750" s="309"/>
      <c r="M750" s="268"/>
      <c r="N750" s="268"/>
      <c r="O750" s="310"/>
      <c r="P750" s="268"/>
      <c r="Q750" s="309"/>
      <c r="R750" s="268"/>
      <c r="S750" s="313"/>
      <c r="T750" s="313"/>
      <c r="U750" s="268"/>
      <c r="V750" s="309"/>
      <c r="W750" s="310"/>
      <c r="X750" s="268"/>
      <c r="Y750" s="268"/>
      <c r="Z750" s="268"/>
      <c r="AA750" s="268"/>
      <c r="AB750" s="268"/>
      <c r="AC750" s="268"/>
      <c r="AD750" s="268"/>
      <c r="AE750" s="268"/>
    </row>
    <row r="751" spans="1:31" ht="24.75" customHeight="1">
      <c r="A751" s="268"/>
      <c r="B751" s="268"/>
      <c r="C751" s="268"/>
      <c r="D751" s="268"/>
      <c r="E751" s="268"/>
      <c r="F751" s="268"/>
      <c r="G751" s="268"/>
      <c r="H751" s="268"/>
      <c r="I751" s="268"/>
      <c r="J751" s="268"/>
      <c r="K751" s="268"/>
      <c r="L751" s="309"/>
      <c r="M751" s="268"/>
      <c r="N751" s="268"/>
      <c r="O751" s="310"/>
      <c r="P751" s="268"/>
      <c r="Q751" s="309"/>
      <c r="R751" s="268"/>
      <c r="S751" s="313"/>
      <c r="T751" s="313"/>
      <c r="U751" s="268"/>
      <c r="V751" s="309"/>
      <c r="W751" s="310"/>
      <c r="X751" s="268"/>
      <c r="Y751" s="268"/>
      <c r="Z751" s="268"/>
      <c r="AA751" s="268"/>
      <c r="AB751" s="268"/>
      <c r="AC751" s="268"/>
      <c r="AD751" s="268"/>
      <c r="AE751" s="268"/>
    </row>
    <row r="752" spans="1:31" ht="24.75" customHeight="1">
      <c r="A752" s="268"/>
      <c r="B752" s="268"/>
      <c r="C752" s="268"/>
      <c r="D752" s="268"/>
      <c r="E752" s="268"/>
      <c r="F752" s="268"/>
      <c r="G752" s="268"/>
      <c r="H752" s="268"/>
      <c r="I752" s="268"/>
      <c r="J752" s="268"/>
      <c r="K752" s="268"/>
      <c r="L752" s="309"/>
      <c r="M752" s="268"/>
      <c r="N752" s="268"/>
      <c r="O752" s="310"/>
      <c r="P752" s="268"/>
      <c r="Q752" s="309"/>
      <c r="R752" s="268"/>
      <c r="S752" s="313"/>
      <c r="T752" s="313"/>
      <c r="U752" s="268"/>
      <c r="V752" s="309"/>
      <c r="W752" s="310"/>
      <c r="X752" s="268"/>
      <c r="Y752" s="268"/>
      <c r="Z752" s="268"/>
      <c r="AA752" s="268"/>
      <c r="AB752" s="268"/>
      <c r="AC752" s="268"/>
      <c r="AD752" s="268"/>
      <c r="AE752" s="268"/>
    </row>
    <row r="753" spans="1:31" ht="24.75" customHeight="1">
      <c r="A753" s="268"/>
      <c r="B753" s="268"/>
      <c r="C753" s="268"/>
      <c r="D753" s="268"/>
      <c r="E753" s="268"/>
      <c r="F753" s="268"/>
      <c r="G753" s="268"/>
      <c r="H753" s="268"/>
      <c r="I753" s="268"/>
      <c r="J753" s="268"/>
      <c r="K753" s="268"/>
      <c r="L753" s="309"/>
      <c r="M753" s="268"/>
      <c r="N753" s="268"/>
      <c r="O753" s="310"/>
      <c r="P753" s="268"/>
      <c r="Q753" s="309"/>
      <c r="R753" s="268"/>
      <c r="S753" s="313"/>
      <c r="T753" s="313"/>
      <c r="U753" s="268"/>
      <c r="V753" s="309"/>
      <c r="W753" s="310"/>
      <c r="X753" s="268"/>
      <c r="Y753" s="268"/>
      <c r="Z753" s="268"/>
      <c r="AA753" s="268"/>
      <c r="AB753" s="268"/>
      <c r="AC753" s="268"/>
      <c r="AD753" s="268"/>
      <c r="AE753" s="268"/>
    </row>
    <row r="754" spans="1:31" ht="24.75" customHeight="1">
      <c r="A754" s="268"/>
      <c r="B754" s="268"/>
      <c r="C754" s="268"/>
      <c r="D754" s="268"/>
      <c r="E754" s="268"/>
      <c r="F754" s="268"/>
      <c r="G754" s="268"/>
      <c r="H754" s="268"/>
      <c r="I754" s="268"/>
      <c r="J754" s="268"/>
      <c r="K754" s="268"/>
      <c r="L754" s="309"/>
      <c r="M754" s="268"/>
      <c r="N754" s="268"/>
      <c r="O754" s="310"/>
      <c r="P754" s="268"/>
      <c r="Q754" s="309"/>
      <c r="R754" s="268"/>
      <c r="S754" s="313"/>
      <c r="T754" s="313"/>
      <c r="U754" s="268"/>
      <c r="V754" s="309"/>
      <c r="W754" s="310"/>
      <c r="X754" s="268"/>
      <c r="Y754" s="268"/>
      <c r="Z754" s="268"/>
      <c r="AA754" s="268"/>
      <c r="AB754" s="268"/>
      <c r="AC754" s="268"/>
      <c r="AD754" s="268"/>
      <c r="AE754" s="268"/>
    </row>
    <row r="755" spans="1:31" ht="24.75" customHeight="1">
      <c r="A755" s="268"/>
      <c r="B755" s="268"/>
      <c r="C755" s="268"/>
      <c r="D755" s="268"/>
      <c r="E755" s="268"/>
      <c r="F755" s="268"/>
      <c r="G755" s="268"/>
      <c r="H755" s="268"/>
      <c r="I755" s="268"/>
      <c r="J755" s="268"/>
      <c r="K755" s="268"/>
      <c r="L755" s="309"/>
      <c r="M755" s="268"/>
      <c r="N755" s="268"/>
      <c r="O755" s="310"/>
      <c r="P755" s="268"/>
      <c r="Q755" s="309"/>
      <c r="R755" s="268"/>
      <c r="S755" s="313"/>
      <c r="T755" s="313"/>
      <c r="U755" s="268"/>
      <c r="V755" s="309"/>
      <c r="W755" s="310"/>
      <c r="X755" s="268"/>
      <c r="Y755" s="268"/>
      <c r="Z755" s="268"/>
      <c r="AA755" s="268"/>
      <c r="AB755" s="268"/>
      <c r="AC755" s="268"/>
      <c r="AD755" s="268"/>
      <c r="AE755" s="268"/>
    </row>
    <row r="756" spans="1:31" ht="24.75" customHeight="1">
      <c r="A756" s="268"/>
      <c r="B756" s="268"/>
      <c r="C756" s="268"/>
      <c r="D756" s="268"/>
      <c r="E756" s="268"/>
      <c r="F756" s="268"/>
      <c r="G756" s="268"/>
      <c r="H756" s="268"/>
      <c r="I756" s="268"/>
      <c r="J756" s="268"/>
      <c r="K756" s="268"/>
      <c r="L756" s="309"/>
      <c r="M756" s="268"/>
      <c r="N756" s="268"/>
      <c r="O756" s="310"/>
      <c r="P756" s="268"/>
      <c r="Q756" s="309"/>
      <c r="R756" s="268"/>
      <c r="S756" s="313"/>
      <c r="T756" s="313"/>
      <c r="U756" s="268"/>
      <c r="V756" s="309"/>
      <c r="W756" s="310"/>
      <c r="X756" s="268"/>
      <c r="Y756" s="268"/>
      <c r="Z756" s="268"/>
      <c r="AA756" s="268"/>
      <c r="AB756" s="268"/>
      <c r="AC756" s="268"/>
      <c r="AD756" s="268"/>
      <c r="AE756" s="268"/>
    </row>
    <row r="757" spans="1:31" ht="24.75" customHeight="1">
      <c r="A757" s="268"/>
      <c r="B757" s="268"/>
      <c r="C757" s="268"/>
      <c r="D757" s="268"/>
      <c r="E757" s="268"/>
      <c r="F757" s="268"/>
      <c r="G757" s="268"/>
      <c r="H757" s="268"/>
      <c r="I757" s="268"/>
      <c r="J757" s="268"/>
      <c r="K757" s="268"/>
      <c r="L757" s="309"/>
      <c r="M757" s="268"/>
      <c r="N757" s="268"/>
      <c r="O757" s="310"/>
      <c r="P757" s="268"/>
      <c r="Q757" s="309"/>
      <c r="R757" s="268"/>
      <c r="S757" s="313"/>
      <c r="T757" s="313"/>
      <c r="U757" s="268"/>
      <c r="V757" s="309"/>
      <c r="W757" s="310"/>
      <c r="X757" s="268"/>
      <c r="Y757" s="268"/>
      <c r="Z757" s="268"/>
      <c r="AA757" s="268"/>
      <c r="AB757" s="268"/>
      <c r="AC757" s="268"/>
      <c r="AD757" s="268"/>
      <c r="AE757" s="268"/>
    </row>
    <row r="758" spans="1:31" ht="24.75" customHeight="1">
      <c r="A758" s="268"/>
      <c r="B758" s="268"/>
      <c r="C758" s="268"/>
      <c r="D758" s="268"/>
      <c r="E758" s="268"/>
      <c r="F758" s="268"/>
      <c r="G758" s="268"/>
      <c r="H758" s="268"/>
      <c r="I758" s="268"/>
      <c r="J758" s="268"/>
      <c r="K758" s="268"/>
      <c r="L758" s="309"/>
      <c r="M758" s="268"/>
      <c r="N758" s="268"/>
      <c r="O758" s="310"/>
      <c r="P758" s="268"/>
      <c r="Q758" s="309"/>
      <c r="R758" s="268"/>
      <c r="S758" s="313"/>
      <c r="T758" s="313"/>
      <c r="U758" s="268"/>
      <c r="V758" s="309"/>
      <c r="W758" s="310"/>
      <c r="X758" s="268"/>
      <c r="Y758" s="268"/>
      <c r="Z758" s="268"/>
      <c r="AA758" s="268"/>
      <c r="AB758" s="268"/>
      <c r="AC758" s="268"/>
      <c r="AD758" s="268"/>
      <c r="AE758" s="268"/>
    </row>
    <row r="759" spans="1:31" ht="24.75" customHeight="1">
      <c r="A759" s="268"/>
      <c r="B759" s="268"/>
      <c r="C759" s="268"/>
      <c r="D759" s="268"/>
      <c r="E759" s="268"/>
      <c r="F759" s="268"/>
      <c r="G759" s="268"/>
      <c r="H759" s="268"/>
      <c r="I759" s="268"/>
      <c r="J759" s="268"/>
      <c r="K759" s="268"/>
      <c r="L759" s="309"/>
      <c r="M759" s="268"/>
      <c r="N759" s="268"/>
      <c r="O759" s="310"/>
      <c r="P759" s="268"/>
      <c r="Q759" s="309"/>
      <c r="R759" s="268"/>
      <c r="S759" s="313"/>
      <c r="T759" s="313"/>
      <c r="U759" s="268"/>
      <c r="V759" s="309"/>
      <c r="W759" s="310"/>
      <c r="X759" s="268"/>
      <c r="Y759" s="268"/>
      <c r="Z759" s="268"/>
      <c r="AA759" s="268"/>
      <c r="AB759" s="268"/>
      <c r="AC759" s="268"/>
      <c r="AD759" s="268"/>
      <c r="AE759" s="268"/>
    </row>
    <row r="760" spans="1:31" ht="24.75" customHeight="1">
      <c r="A760" s="268"/>
      <c r="B760" s="268"/>
      <c r="C760" s="268"/>
      <c r="D760" s="268"/>
      <c r="E760" s="268"/>
      <c r="F760" s="268"/>
      <c r="G760" s="268"/>
      <c r="H760" s="268"/>
      <c r="I760" s="268"/>
      <c r="J760" s="268"/>
      <c r="K760" s="268"/>
      <c r="L760" s="309"/>
      <c r="M760" s="268"/>
      <c r="N760" s="268"/>
      <c r="O760" s="310"/>
      <c r="P760" s="268"/>
      <c r="Q760" s="309"/>
      <c r="R760" s="268"/>
      <c r="S760" s="313"/>
      <c r="T760" s="313"/>
      <c r="U760" s="268"/>
      <c r="V760" s="309"/>
      <c r="W760" s="310"/>
      <c r="X760" s="268"/>
      <c r="Y760" s="268"/>
      <c r="Z760" s="268"/>
      <c r="AA760" s="268"/>
      <c r="AB760" s="268"/>
      <c r="AC760" s="268"/>
      <c r="AD760" s="268"/>
      <c r="AE760" s="268"/>
    </row>
    <row r="761" spans="1:31" ht="24.75" customHeight="1">
      <c r="A761" s="268"/>
      <c r="B761" s="268"/>
      <c r="C761" s="268"/>
      <c r="D761" s="268"/>
      <c r="E761" s="268"/>
      <c r="F761" s="268"/>
      <c r="G761" s="268"/>
      <c r="H761" s="268"/>
      <c r="I761" s="268"/>
      <c r="J761" s="268"/>
      <c r="K761" s="268"/>
      <c r="L761" s="309"/>
      <c r="M761" s="268"/>
      <c r="N761" s="268"/>
      <c r="O761" s="310"/>
      <c r="P761" s="268"/>
      <c r="Q761" s="309"/>
      <c r="R761" s="268"/>
      <c r="S761" s="313"/>
      <c r="T761" s="313"/>
      <c r="U761" s="268"/>
      <c r="V761" s="309"/>
      <c r="W761" s="310"/>
      <c r="X761" s="268"/>
      <c r="Y761" s="268"/>
      <c r="Z761" s="268"/>
      <c r="AA761" s="268"/>
      <c r="AB761" s="268"/>
      <c r="AC761" s="268"/>
      <c r="AD761" s="268"/>
      <c r="AE761" s="268"/>
    </row>
    <row r="762" spans="1:31" ht="24.75" customHeight="1">
      <c r="A762" s="268"/>
      <c r="B762" s="268"/>
      <c r="C762" s="268"/>
      <c r="D762" s="268"/>
      <c r="E762" s="268"/>
      <c r="F762" s="268"/>
      <c r="G762" s="268"/>
      <c r="H762" s="268"/>
      <c r="I762" s="268"/>
      <c r="J762" s="268"/>
      <c r="K762" s="268"/>
      <c r="L762" s="309"/>
      <c r="M762" s="268"/>
      <c r="N762" s="268"/>
      <c r="O762" s="310"/>
      <c r="P762" s="268"/>
      <c r="Q762" s="309"/>
      <c r="R762" s="268"/>
      <c r="S762" s="313"/>
      <c r="T762" s="313"/>
      <c r="U762" s="268"/>
      <c r="V762" s="309"/>
      <c r="W762" s="310"/>
      <c r="X762" s="268"/>
      <c r="Y762" s="268"/>
      <c r="Z762" s="268"/>
      <c r="AA762" s="268"/>
      <c r="AB762" s="268"/>
      <c r="AC762" s="268"/>
      <c r="AD762" s="268"/>
      <c r="AE762" s="268"/>
    </row>
    <row r="763" spans="1:31" ht="24.75" customHeight="1">
      <c r="A763" s="268"/>
      <c r="B763" s="268"/>
      <c r="C763" s="268"/>
      <c r="D763" s="268"/>
      <c r="E763" s="268"/>
      <c r="F763" s="268"/>
      <c r="G763" s="268"/>
      <c r="H763" s="268"/>
      <c r="I763" s="268"/>
      <c r="J763" s="268"/>
      <c r="K763" s="268"/>
      <c r="L763" s="309"/>
      <c r="M763" s="268"/>
      <c r="N763" s="268"/>
      <c r="O763" s="310"/>
      <c r="P763" s="268"/>
      <c r="Q763" s="309"/>
      <c r="R763" s="268"/>
      <c r="S763" s="313"/>
      <c r="T763" s="313"/>
      <c r="U763" s="268"/>
      <c r="V763" s="309"/>
      <c r="W763" s="310"/>
      <c r="X763" s="268"/>
      <c r="Y763" s="268"/>
      <c r="Z763" s="268"/>
      <c r="AA763" s="268"/>
      <c r="AB763" s="268"/>
      <c r="AC763" s="268"/>
      <c r="AD763" s="268"/>
      <c r="AE763" s="268"/>
    </row>
    <row r="764" spans="1:31" ht="24.75" customHeight="1">
      <c r="A764" s="268"/>
      <c r="B764" s="268"/>
      <c r="C764" s="268"/>
      <c r="D764" s="268"/>
      <c r="E764" s="268"/>
      <c r="F764" s="268"/>
      <c r="G764" s="268"/>
      <c r="H764" s="268"/>
      <c r="I764" s="268"/>
      <c r="J764" s="268"/>
      <c r="K764" s="268"/>
      <c r="L764" s="309"/>
      <c r="M764" s="268"/>
      <c r="N764" s="268"/>
      <c r="O764" s="310"/>
      <c r="P764" s="268"/>
      <c r="Q764" s="309"/>
      <c r="R764" s="268"/>
      <c r="S764" s="313"/>
      <c r="T764" s="313"/>
      <c r="U764" s="268"/>
      <c r="V764" s="309"/>
      <c r="W764" s="310"/>
      <c r="X764" s="268"/>
      <c r="Y764" s="268"/>
      <c r="Z764" s="268"/>
      <c r="AA764" s="268"/>
      <c r="AB764" s="268"/>
      <c r="AC764" s="268"/>
      <c r="AD764" s="268"/>
      <c r="AE764" s="268"/>
    </row>
    <row r="765" spans="1:31" ht="24.75" customHeight="1">
      <c r="A765" s="268"/>
      <c r="B765" s="268"/>
      <c r="C765" s="268"/>
      <c r="D765" s="268"/>
      <c r="E765" s="268"/>
      <c r="F765" s="268"/>
      <c r="G765" s="268"/>
      <c r="H765" s="268"/>
      <c r="I765" s="268"/>
      <c r="J765" s="268"/>
      <c r="K765" s="268"/>
      <c r="L765" s="309"/>
      <c r="M765" s="268"/>
      <c r="N765" s="268"/>
      <c r="O765" s="310"/>
      <c r="P765" s="268"/>
      <c r="Q765" s="309"/>
      <c r="R765" s="268"/>
      <c r="S765" s="313"/>
      <c r="T765" s="313"/>
      <c r="U765" s="268"/>
      <c r="V765" s="309"/>
      <c r="W765" s="310"/>
      <c r="X765" s="268"/>
      <c r="Y765" s="268"/>
      <c r="Z765" s="268"/>
      <c r="AA765" s="268"/>
      <c r="AB765" s="268"/>
      <c r="AC765" s="268"/>
      <c r="AD765" s="268"/>
      <c r="AE765" s="268"/>
    </row>
    <row r="766" spans="1:31" ht="24.75" customHeight="1">
      <c r="A766" s="268"/>
      <c r="B766" s="268"/>
      <c r="C766" s="268"/>
      <c r="D766" s="268"/>
      <c r="E766" s="268"/>
      <c r="F766" s="268"/>
      <c r="G766" s="268"/>
      <c r="H766" s="268"/>
      <c r="I766" s="268"/>
      <c r="J766" s="268"/>
      <c r="K766" s="268"/>
      <c r="L766" s="309"/>
      <c r="M766" s="268"/>
      <c r="N766" s="268"/>
      <c r="O766" s="310"/>
      <c r="P766" s="268"/>
      <c r="Q766" s="309"/>
      <c r="R766" s="268"/>
      <c r="S766" s="313"/>
      <c r="T766" s="313"/>
      <c r="U766" s="268"/>
      <c r="V766" s="309"/>
      <c r="W766" s="310"/>
      <c r="X766" s="268"/>
      <c r="Y766" s="268"/>
      <c r="Z766" s="268"/>
      <c r="AA766" s="268"/>
      <c r="AB766" s="268"/>
      <c r="AC766" s="268"/>
      <c r="AD766" s="268"/>
      <c r="AE766" s="268"/>
    </row>
    <row r="767" spans="1:31" ht="24.75" customHeight="1">
      <c r="A767" s="268"/>
      <c r="B767" s="268"/>
      <c r="C767" s="268"/>
      <c r="D767" s="268"/>
      <c r="E767" s="268"/>
      <c r="F767" s="268"/>
      <c r="G767" s="268"/>
      <c r="H767" s="268"/>
      <c r="I767" s="268"/>
      <c r="J767" s="268"/>
      <c r="K767" s="268"/>
      <c r="L767" s="309"/>
      <c r="M767" s="268"/>
      <c r="N767" s="268"/>
      <c r="O767" s="310"/>
      <c r="P767" s="268"/>
      <c r="Q767" s="309"/>
      <c r="R767" s="268"/>
      <c r="S767" s="313"/>
      <c r="T767" s="313"/>
      <c r="U767" s="268"/>
      <c r="V767" s="309"/>
      <c r="W767" s="310"/>
      <c r="X767" s="268"/>
      <c r="Y767" s="268"/>
      <c r="Z767" s="268"/>
      <c r="AA767" s="268"/>
      <c r="AB767" s="268"/>
      <c r="AC767" s="268"/>
      <c r="AD767" s="268"/>
      <c r="AE767" s="268"/>
    </row>
    <row r="768" spans="1:31" ht="24.75" customHeight="1">
      <c r="A768" s="268"/>
      <c r="B768" s="268"/>
      <c r="C768" s="268"/>
      <c r="D768" s="268"/>
      <c r="E768" s="268"/>
      <c r="F768" s="268"/>
      <c r="G768" s="268"/>
      <c r="H768" s="268"/>
      <c r="I768" s="268"/>
      <c r="J768" s="268"/>
      <c r="K768" s="268"/>
      <c r="L768" s="309"/>
      <c r="M768" s="268"/>
      <c r="N768" s="268"/>
      <c r="O768" s="310"/>
      <c r="P768" s="268"/>
      <c r="Q768" s="309"/>
      <c r="R768" s="268"/>
      <c r="S768" s="313"/>
      <c r="T768" s="313"/>
      <c r="U768" s="268"/>
      <c r="V768" s="309"/>
      <c r="W768" s="310"/>
      <c r="X768" s="268"/>
      <c r="Y768" s="268"/>
      <c r="Z768" s="268"/>
      <c r="AA768" s="268"/>
      <c r="AB768" s="268"/>
      <c r="AC768" s="268"/>
      <c r="AD768" s="268"/>
      <c r="AE768" s="268"/>
    </row>
    <row r="769" spans="1:31" ht="24.75" customHeight="1">
      <c r="A769" s="268"/>
      <c r="B769" s="268"/>
      <c r="C769" s="268"/>
      <c r="D769" s="268"/>
      <c r="E769" s="268"/>
      <c r="F769" s="268"/>
      <c r="G769" s="268"/>
      <c r="H769" s="268"/>
      <c r="I769" s="268"/>
      <c r="J769" s="268"/>
      <c r="K769" s="268"/>
      <c r="L769" s="309"/>
      <c r="M769" s="268"/>
      <c r="N769" s="268"/>
      <c r="O769" s="310"/>
      <c r="P769" s="268"/>
      <c r="Q769" s="309"/>
      <c r="R769" s="268"/>
      <c r="S769" s="313"/>
      <c r="T769" s="313"/>
      <c r="U769" s="268"/>
      <c r="V769" s="309"/>
      <c r="W769" s="310"/>
      <c r="X769" s="268"/>
      <c r="Y769" s="268"/>
      <c r="Z769" s="268"/>
      <c r="AA769" s="268"/>
      <c r="AB769" s="268"/>
      <c r="AC769" s="268"/>
      <c r="AD769" s="268"/>
      <c r="AE769" s="268"/>
    </row>
    <row r="770" spans="1:31" ht="24.75" customHeight="1">
      <c r="A770" s="268"/>
      <c r="B770" s="268"/>
      <c r="C770" s="268"/>
      <c r="D770" s="268"/>
      <c r="E770" s="268"/>
      <c r="F770" s="268"/>
      <c r="G770" s="268"/>
      <c r="H770" s="268"/>
      <c r="I770" s="268"/>
      <c r="J770" s="268"/>
      <c r="K770" s="268"/>
      <c r="L770" s="309"/>
      <c r="M770" s="268"/>
      <c r="N770" s="268"/>
      <c r="O770" s="310"/>
      <c r="P770" s="268"/>
      <c r="Q770" s="309"/>
      <c r="R770" s="268"/>
      <c r="S770" s="313"/>
      <c r="T770" s="313"/>
      <c r="U770" s="268"/>
      <c r="V770" s="309"/>
      <c r="W770" s="310"/>
      <c r="X770" s="268"/>
      <c r="Y770" s="268"/>
      <c r="Z770" s="268"/>
      <c r="AA770" s="268"/>
      <c r="AB770" s="268"/>
      <c r="AC770" s="268"/>
      <c r="AD770" s="268"/>
      <c r="AE770" s="268"/>
    </row>
    <row r="771" spans="1:31" ht="24.75" customHeight="1">
      <c r="A771" s="268"/>
      <c r="B771" s="268"/>
      <c r="C771" s="268"/>
      <c r="D771" s="268"/>
      <c r="E771" s="268"/>
      <c r="F771" s="268"/>
      <c r="G771" s="268"/>
      <c r="H771" s="268"/>
      <c r="I771" s="268"/>
      <c r="J771" s="268"/>
      <c r="K771" s="268"/>
      <c r="L771" s="309"/>
      <c r="M771" s="268"/>
      <c r="N771" s="268"/>
      <c r="O771" s="310"/>
      <c r="P771" s="268"/>
      <c r="Q771" s="309"/>
      <c r="R771" s="268"/>
      <c r="S771" s="313"/>
      <c r="T771" s="313"/>
      <c r="U771" s="268"/>
      <c r="V771" s="309"/>
      <c r="W771" s="310"/>
      <c r="X771" s="268"/>
      <c r="Y771" s="268"/>
      <c r="Z771" s="268"/>
      <c r="AA771" s="268"/>
      <c r="AB771" s="268"/>
      <c r="AC771" s="268"/>
      <c r="AD771" s="268"/>
      <c r="AE771" s="268"/>
    </row>
    <row r="772" spans="1:31" ht="24.75" customHeight="1">
      <c r="A772" s="268"/>
      <c r="B772" s="268"/>
      <c r="C772" s="268"/>
      <c r="D772" s="268"/>
      <c r="E772" s="268"/>
      <c r="F772" s="268"/>
      <c r="G772" s="268"/>
      <c r="H772" s="268"/>
      <c r="I772" s="268"/>
      <c r="J772" s="268"/>
      <c r="K772" s="268"/>
      <c r="L772" s="309"/>
      <c r="M772" s="268"/>
      <c r="N772" s="268"/>
      <c r="O772" s="310"/>
      <c r="P772" s="268"/>
      <c r="Q772" s="309"/>
      <c r="R772" s="268"/>
      <c r="S772" s="313"/>
      <c r="T772" s="313"/>
      <c r="U772" s="268"/>
      <c r="V772" s="309"/>
      <c r="W772" s="310"/>
      <c r="X772" s="268"/>
      <c r="Y772" s="268"/>
      <c r="Z772" s="268"/>
      <c r="AA772" s="268"/>
      <c r="AB772" s="268"/>
      <c r="AC772" s="268"/>
      <c r="AD772" s="268"/>
      <c r="AE772" s="268"/>
    </row>
    <row r="773" spans="1:31" ht="24.75" customHeight="1">
      <c r="A773" s="268"/>
      <c r="B773" s="268"/>
      <c r="C773" s="268"/>
      <c r="D773" s="268"/>
      <c r="E773" s="268"/>
      <c r="F773" s="268"/>
      <c r="G773" s="268"/>
      <c r="H773" s="268"/>
      <c r="I773" s="268"/>
      <c r="J773" s="268"/>
      <c r="K773" s="268"/>
      <c r="L773" s="309"/>
      <c r="M773" s="268"/>
      <c r="N773" s="268"/>
      <c r="O773" s="310"/>
      <c r="P773" s="268"/>
      <c r="Q773" s="309"/>
      <c r="R773" s="268"/>
      <c r="S773" s="313"/>
      <c r="T773" s="313"/>
      <c r="U773" s="268"/>
      <c r="V773" s="309"/>
      <c r="W773" s="310"/>
      <c r="X773" s="268"/>
      <c r="Y773" s="268"/>
      <c r="Z773" s="268"/>
      <c r="AA773" s="268"/>
      <c r="AB773" s="268"/>
      <c r="AC773" s="268"/>
      <c r="AD773" s="268"/>
      <c r="AE773" s="268"/>
    </row>
    <row r="774" spans="1:31" ht="24.75" customHeight="1">
      <c r="A774" s="268"/>
      <c r="B774" s="268"/>
      <c r="C774" s="268"/>
      <c r="D774" s="268"/>
      <c r="E774" s="268"/>
      <c r="F774" s="268"/>
      <c r="G774" s="268"/>
      <c r="H774" s="268"/>
      <c r="I774" s="268"/>
      <c r="J774" s="268"/>
      <c r="K774" s="268"/>
      <c r="L774" s="309"/>
      <c r="M774" s="268"/>
      <c r="N774" s="268"/>
      <c r="O774" s="310"/>
      <c r="P774" s="268"/>
      <c r="Q774" s="309"/>
      <c r="R774" s="268"/>
      <c r="S774" s="313"/>
      <c r="T774" s="313"/>
      <c r="U774" s="268"/>
      <c r="V774" s="309"/>
      <c r="W774" s="310"/>
      <c r="X774" s="268"/>
      <c r="Y774" s="268"/>
      <c r="Z774" s="268"/>
      <c r="AA774" s="268"/>
      <c r="AB774" s="268"/>
      <c r="AC774" s="268"/>
      <c r="AD774" s="268"/>
      <c r="AE774" s="268"/>
    </row>
    <row r="775" spans="1:31" ht="24.75" customHeight="1">
      <c r="A775" s="268"/>
      <c r="B775" s="268"/>
      <c r="C775" s="268"/>
      <c r="D775" s="268"/>
      <c r="E775" s="268"/>
      <c r="F775" s="268"/>
      <c r="G775" s="268"/>
      <c r="H775" s="268"/>
      <c r="I775" s="268"/>
      <c r="J775" s="268"/>
      <c r="K775" s="268"/>
      <c r="L775" s="309"/>
      <c r="M775" s="268"/>
      <c r="N775" s="268"/>
      <c r="O775" s="310"/>
      <c r="P775" s="268"/>
      <c r="Q775" s="309"/>
      <c r="R775" s="268"/>
      <c r="S775" s="313"/>
      <c r="T775" s="313"/>
      <c r="U775" s="268"/>
      <c r="V775" s="309"/>
      <c r="W775" s="310"/>
      <c r="X775" s="268"/>
      <c r="Y775" s="268"/>
      <c r="Z775" s="268"/>
      <c r="AA775" s="268"/>
      <c r="AB775" s="268"/>
      <c r="AC775" s="268"/>
      <c r="AD775" s="268"/>
      <c r="AE775" s="268"/>
    </row>
    <row r="776" spans="1:31" ht="24.75" customHeight="1">
      <c r="A776" s="268"/>
      <c r="B776" s="268"/>
      <c r="C776" s="268"/>
      <c r="D776" s="268"/>
      <c r="E776" s="268"/>
      <c r="F776" s="268"/>
      <c r="G776" s="268"/>
      <c r="H776" s="268"/>
      <c r="I776" s="268"/>
      <c r="J776" s="268"/>
      <c r="K776" s="268"/>
      <c r="L776" s="309"/>
      <c r="M776" s="268"/>
      <c r="N776" s="268"/>
      <c r="O776" s="310"/>
      <c r="P776" s="268"/>
      <c r="Q776" s="309"/>
      <c r="R776" s="268"/>
      <c r="S776" s="313"/>
      <c r="T776" s="313"/>
      <c r="U776" s="268"/>
      <c r="V776" s="309"/>
      <c r="W776" s="310"/>
      <c r="X776" s="268"/>
      <c r="Y776" s="268"/>
      <c r="Z776" s="268"/>
      <c r="AA776" s="268"/>
      <c r="AB776" s="268"/>
      <c r="AC776" s="268"/>
      <c r="AD776" s="268"/>
      <c r="AE776" s="268"/>
    </row>
    <row r="777" spans="1:31" ht="24.75" customHeight="1">
      <c r="A777" s="268"/>
      <c r="B777" s="268"/>
      <c r="C777" s="268"/>
      <c r="D777" s="268"/>
      <c r="E777" s="268"/>
      <c r="F777" s="268"/>
      <c r="G777" s="268"/>
      <c r="H777" s="268"/>
      <c r="I777" s="268"/>
      <c r="J777" s="268"/>
      <c r="K777" s="268"/>
      <c r="L777" s="309"/>
      <c r="M777" s="268"/>
      <c r="N777" s="268"/>
      <c r="O777" s="310"/>
      <c r="P777" s="268"/>
      <c r="Q777" s="309"/>
      <c r="R777" s="268"/>
      <c r="S777" s="313"/>
      <c r="T777" s="313"/>
      <c r="U777" s="268"/>
      <c r="V777" s="309"/>
      <c r="W777" s="310"/>
      <c r="X777" s="268"/>
      <c r="Y777" s="268"/>
      <c r="Z777" s="268"/>
      <c r="AA777" s="268"/>
      <c r="AB777" s="268"/>
      <c r="AC777" s="268"/>
      <c r="AD777" s="268"/>
      <c r="AE777" s="268"/>
    </row>
    <row r="778" spans="1:31" ht="24.75" customHeight="1">
      <c r="A778" s="268"/>
      <c r="B778" s="268"/>
      <c r="C778" s="268"/>
      <c r="D778" s="268"/>
      <c r="E778" s="268"/>
      <c r="F778" s="268"/>
      <c r="G778" s="268"/>
      <c r="H778" s="268"/>
      <c r="I778" s="268"/>
      <c r="J778" s="268"/>
      <c r="K778" s="268"/>
      <c r="L778" s="309"/>
      <c r="M778" s="268"/>
      <c r="N778" s="268"/>
      <c r="O778" s="310"/>
      <c r="P778" s="268"/>
      <c r="Q778" s="309"/>
      <c r="R778" s="268"/>
      <c r="S778" s="313"/>
      <c r="T778" s="313"/>
      <c r="U778" s="268"/>
      <c r="V778" s="309"/>
      <c r="W778" s="310"/>
      <c r="X778" s="268"/>
      <c r="Y778" s="268"/>
      <c r="Z778" s="268"/>
      <c r="AA778" s="268"/>
      <c r="AB778" s="268"/>
      <c r="AC778" s="268"/>
      <c r="AD778" s="268"/>
      <c r="AE778" s="268"/>
    </row>
    <row r="779" spans="1:31" ht="24.75" customHeight="1">
      <c r="A779" s="268"/>
      <c r="B779" s="268"/>
      <c r="C779" s="268"/>
      <c r="D779" s="268"/>
      <c r="E779" s="268"/>
      <c r="F779" s="268"/>
      <c r="G779" s="268"/>
      <c r="H779" s="268"/>
      <c r="I779" s="268"/>
      <c r="J779" s="268"/>
      <c r="K779" s="268"/>
      <c r="L779" s="309"/>
      <c r="M779" s="268"/>
      <c r="N779" s="268"/>
      <c r="O779" s="310"/>
      <c r="P779" s="268"/>
      <c r="Q779" s="309"/>
      <c r="R779" s="268"/>
      <c r="S779" s="313"/>
      <c r="T779" s="313"/>
      <c r="U779" s="268"/>
      <c r="V779" s="309"/>
      <c r="W779" s="310"/>
      <c r="X779" s="268"/>
      <c r="Y779" s="268"/>
      <c r="Z779" s="268"/>
      <c r="AA779" s="268"/>
      <c r="AB779" s="268"/>
      <c r="AC779" s="268"/>
      <c r="AD779" s="268"/>
      <c r="AE779" s="268"/>
    </row>
    <row r="780" spans="1:31" ht="24.75" customHeight="1">
      <c r="A780" s="268"/>
      <c r="B780" s="268"/>
      <c r="C780" s="268"/>
      <c r="D780" s="268"/>
      <c r="E780" s="268"/>
      <c r="F780" s="268"/>
      <c r="G780" s="268"/>
      <c r="H780" s="268"/>
      <c r="I780" s="268"/>
      <c r="J780" s="268"/>
      <c r="K780" s="268"/>
      <c r="L780" s="309"/>
      <c r="M780" s="268"/>
      <c r="N780" s="268"/>
      <c r="O780" s="310"/>
      <c r="P780" s="268"/>
      <c r="Q780" s="309"/>
      <c r="R780" s="268"/>
      <c r="S780" s="313"/>
      <c r="T780" s="313"/>
      <c r="U780" s="268"/>
      <c r="V780" s="309"/>
      <c r="W780" s="310"/>
      <c r="X780" s="268"/>
      <c r="Y780" s="268"/>
      <c r="Z780" s="268"/>
      <c r="AA780" s="268"/>
      <c r="AB780" s="268"/>
      <c r="AC780" s="268"/>
      <c r="AD780" s="268"/>
      <c r="AE780" s="268"/>
    </row>
    <row r="781" spans="1:31" ht="24.75" customHeight="1">
      <c r="A781" s="268"/>
      <c r="B781" s="268"/>
      <c r="C781" s="268"/>
      <c r="D781" s="268"/>
      <c r="E781" s="268"/>
      <c r="F781" s="268"/>
      <c r="G781" s="268"/>
      <c r="H781" s="268"/>
      <c r="I781" s="268"/>
      <c r="J781" s="268"/>
      <c r="K781" s="268"/>
      <c r="L781" s="309"/>
      <c r="M781" s="268"/>
      <c r="N781" s="268"/>
      <c r="O781" s="310"/>
      <c r="P781" s="268"/>
      <c r="Q781" s="309"/>
      <c r="R781" s="268"/>
      <c r="S781" s="313"/>
      <c r="T781" s="313"/>
      <c r="U781" s="268"/>
      <c r="V781" s="309"/>
      <c r="W781" s="310"/>
      <c r="X781" s="268"/>
      <c r="Y781" s="268"/>
      <c r="Z781" s="268"/>
      <c r="AA781" s="268"/>
      <c r="AB781" s="268"/>
      <c r="AC781" s="268"/>
      <c r="AD781" s="268"/>
      <c r="AE781" s="268"/>
    </row>
    <row r="782" spans="1:31" ht="24.75" customHeight="1">
      <c r="A782" s="268"/>
      <c r="B782" s="268"/>
      <c r="C782" s="268"/>
      <c r="D782" s="268"/>
      <c r="E782" s="268"/>
      <c r="F782" s="268"/>
      <c r="G782" s="268"/>
      <c r="H782" s="268"/>
      <c r="I782" s="268"/>
      <c r="J782" s="268"/>
      <c r="K782" s="268"/>
      <c r="L782" s="309"/>
      <c r="M782" s="268"/>
      <c r="N782" s="268"/>
      <c r="O782" s="310"/>
      <c r="P782" s="268"/>
      <c r="Q782" s="309"/>
      <c r="R782" s="268"/>
      <c r="S782" s="313"/>
      <c r="T782" s="313"/>
      <c r="U782" s="268"/>
      <c r="V782" s="309"/>
      <c r="W782" s="310"/>
      <c r="X782" s="268"/>
      <c r="Y782" s="268"/>
      <c r="Z782" s="268"/>
      <c r="AA782" s="268"/>
      <c r="AB782" s="268"/>
      <c r="AC782" s="268"/>
      <c r="AD782" s="268"/>
      <c r="AE782" s="268"/>
    </row>
    <row r="783" spans="1:31" ht="24.75" customHeight="1">
      <c r="A783" s="268"/>
      <c r="B783" s="268"/>
      <c r="C783" s="268"/>
      <c r="D783" s="268"/>
      <c r="E783" s="268"/>
      <c r="F783" s="268"/>
      <c r="G783" s="268"/>
      <c r="H783" s="268"/>
      <c r="I783" s="268"/>
      <c r="J783" s="268"/>
      <c r="K783" s="268"/>
      <c r="L783" s="309"/>
      <c r="M783" s="268"/>
      <c r="N783" s="268"/>
      <c r="O783" s="310"/>
      <c r="P783" s="268"/>
      <c r="Q783" s="309"/>
      <c r="R783" s="268"/>
      <c r="S783" s="313"/>
      <c r="T783" s="313"/>
      <c r="U783" s="268"/>
      <c r="V783" s="309"/>
      <c r="W783" s="310"/>
      <c r="X783" s="268"/>
      <c r="Y783" s="268"/>
      <c r="Z783" s="268"/>
      <c r="AA783" s="268"/>
      <c r="AB783" s="268"/>
      <c r="AC783" s="268"/>
      <c r="AD783" s="268"/>
      <c r="AE783" s="268"/>
    </row>
    <row r="784" spans="1:31" ht="24.75" customHeight="1">
      <c r="A784" s="268"/>
      <c r="B784" s="268"/>
      <c r="C784" s="268"/>
      <c r="D784" s="268"/>
      <c r="E784" s="268"/>
      <c r="F784" s="268"/>
      <c r="G784" s="268"/>
      <c r="H784" s="268"/>
      <c r="I784" s="268"/>
      <c r="J784" s="268"/>
      <c r="K784" s="268"/>
      <c r="L784" s="309"/>
      <c r="M784" s="268"/>
      <c r="N784" s="268"/>
      <c r="O784" s="310"/>
      <c r="P784" s="268"/>
      <c r="Q784" s="309"/>
      <c r="R784" s="268"/>
      <c r="S784" s="313"/>
      <c r="T784" s="313"/>
      <c r="U784" s="268"/>
      <c r="V784" s="309"/>
      <c r="W784" s="310"/>
      <c r="X784" s="268"/>
      <c r="Y784" s="268"/>
      <c r="Z784" s="268"/>
      <c r="AA784" s="268"/>
      <c r="AB784" s="268"/>
      <c r="AC784" s="268"/>
      <c r="AD784" s="268"/>
      <c r="AE784" s="268"/>
    </row>
    <row r="785" spans="1:31" ht="24.75" customHeight="1">
      <c r="A785" s="268"/>
      <c r="B785" s="268"/>
      <c r="C785" s="268"/>
      <c r="D785" s="268"/>
      <c r="E785" s="268"/>
      <c r="F785" s="268"/>
      <c r="G785" s="268"/>
      <c r="H785" s="268"/>
      <c r="I785" s="268"/>
      <c r="J785" s="268"/>
      <c r="K785" s="268"/>
      <c r="L785" s="309"/>
      <c r="M785" s="268"/>
      <c r="N785" s="268"/>
      <c r="O785" s="310"/>
      <c r="P785" s="268"/>
      <c r="Q785" s="309"/>
      <c r="R785" s="268"/>
      <c r="S785" s="313"/>
      <c r="T785" s="313"/>
      <c r="U785" s="268"/>
      <c r="V785" s="309"/>
      <c r="W785" s="310"/>
      <c r="X785" s="268"/>
      <c r="Y785" s="268"/>
      <c r="Z785" s="268"/>
      <c r="AA785" s="268"/>
      <c r="AB785" s="268"/>
      <c r="AC785" s="268"/>
      <c r="AD785" s="268"/>
      <c r="AE785" s="268"/>
    </row>
    <row r="786" spans="1:31" ht="24.75" customHeight="1">
      <c r="A786" s="268"/>
      <c r="B786" s="268"/>
      <c r="C786" s="268"/>
      <c r="D786" s="268"/>
      <c r="E786" s="268"/>
      <c r="F786" s="268"/>
      <c r="G786" s="268"/>
      <c r="H786" s="268"/>
      <c r="I786" s="268"/>
      <c r="J786" s="268"/>
      <c r="K786" s="268"/>
      <c r="L786" s="309"/>
      <c r="M786" s="268"/>
      <c r="N786" s="268"/>
      <c r="O786" s="310"/>
      <c r="P786" s="268"/>
      <c r="Q786" s="309"/>
      <c r="R786" s="268"/>
      <c r="S786" s="313"/>
      <c r="T786" s="313"/>
      <c r="U786" s="268"/>
      <c r="V786" s="309"/>
      <c r="W786" s="310"/>
      <c r="X786" s="268"/>
      <c r="Y786" s="268"/>
      <c r="Z786" s="268"/>
      <c r="AA786" s="268"/>
      <c r="AB786" s="268"/>
      <c r="AC786" s="268"/>
      <c r="AD786" s="268"/>
      <c r="AE786" s="268"/>
    </row>
    <row r="787" spans="1:31" ht="24.75" customHeight="1">
      <c r="A787" s="268"/>
      <c r="B787" s="268"/>
      <c r="C787" s="268"/>
      <c r="D787" s="268"/>
      <c r="E787" s="268"/>
      <c r="F787" s="268"/>
      <c r="G787" s="268"/>
      <c r="H787" s="268"/>
      <c r="I787" s="268"/>
      <c r="J787" s="268"/>
      <c r="K787" s="268"/>
      <c r="L787" s="309"/>
      <c r="M787" s="268"/>
      <c r="N787" s="268"/>
      <c r="O787" s="310"/>
      <c r="P787" s="268"/>
      <c r="Q787" s="309"/>
      <c r="R787" s="268"/>
      <c r="S787" s="313"/>
      <c r="T787" s="313"/>
      <c r="U787" s="268"/>
      <c r="V787" s="309"/>
      <c r="W787" s="310"/>
      <c r="X787" s="268"/>
      <c r="Y787" s="268"/>
      <c r="Z787" s="268"/>
      <c r="AA787" s="268"/>
      <c r="AB787" s="268"/>
      <c r="AC787" s="268"/>
      <c r="AD787" s="268"/>
      <c r="AE787" s="268"/>
    </row>
    <row r="788" spans="1:31" ht="24.75" customHeight="1">
      <c r="A788" s="268"/>
      <c r="B788" s="268"/>
      <c r="C788" s="268"/>
      <c r="D788" s="268"/>
      <c r="E788" s="268"/>
      <c r="F788" s="268"/>
      <c r="G788" s="268"/>
      <c r="H788" s="268"/>
      <c r="I788" s="268"/>
      <c r="J788" s="268"/>
      <c r="K788" s="268"/>
      <c r="L788" s="309"/>
      <c r="M788" s="268"/>
      <c r="N788" s="268"/>
      <c r="O788" s="310"/>
      <c r="P788" s="268"/>
      <c r="Q788" s="309"/>
      <c r="R788" s="268"/>
      <c r="S788" s="313"/>
      <c r="T788" s="313"/>
      <c r="U788" s="268"/>
      <c r="V788" s="309"/>
      <c r="W788" s="310"/>
      <c r="X788" s="268"/>
      <c r="Y788" s="268"/>
      <c r="Z788" s="268"/>
      <c r="AA788" s="268"/>
      <c r="AB788" s="268"/>
      <c r="AC788" s="268"/>
      <c r="AD788" s="268"/>
      <c r="AE788" s="268"/>
    </row>
    <row r="789" spans="1:31" ht="24.75" customHeight="1">
      <c r="A789" s="268"/>
      <c r="B789" s="268"/>
      <c r="C789" s="268"/>
      <c r="D789" s="268"/>
      <c r="E789" s="268"/>
      <c r="F789" s="268"/>
      <c r="G789" s="268"/>
      <c r="H789" s="268"/>
      <c r="I789" s="268"/>
      <c r="J789" s="268"/>
      <c r="K789" s="268"/>
      <c r="L789" s="309"/>
      <c r="M789" s="268"/>
      <c r="N789" s="268"/>
      <c r="O789" s="310"/>
      <c r="P789" s="268"/>
      <c r="Q789" s="309"/>
      <c r="R789" s="268"/>
      <c r="S789" s="313"/>
      <c r="T789" s="313"/>
      <c r="U789" s="268"/>
      <c r="V789" s="309"/>
      <c r="W789" s="310"/>
      <c r="X789" s="268"/>
      <c r="Y789" s="268"/>
      <c r="Z789" s="268"/>
      <c r="AA789" s="268"/>
      <c r="AB789" s="268"/>
      <c r="AC789" s="268"/>
      <c r="AD789" s="268"/>
      <c r="AE789" s="268"/>
    </row>
    <row r="790" spans="1:31" ht="24.75" customHeight="1">
      <c r="A790" s="268"/>
      <c r="B790" s="268"/>
      <c r="C790" s="268"/>
      <c r="D790" s="268"/>
      <c r="E790" s="268"/>
      <c r="F790" s="268"/>
      <c r="G790" s="268"/>
      <c r="H790" s="268"/>
      <c r="I790" s="268"/>
      <c r="J790" s="268"/>
      <c r="K790" s="268"/>
      <c r="L790" s="309"/>
      <c r="M790" s="268"/>
      <c r="N790" s="268"/>
      <c r="O790" s="310"/>
      <c r="P790" s="268"/>
      <c r="Q790" s="309"/>
      <c r="R790" s="268"/>
      <c r="S790" s="313"/>
      <c r="T790" s="313"/>
      <c r="U790" s="268"/>
      <c r="V790" s="309"/>
      <c r="W790" s="310"/>
      <c r="X790" s="268"/>
      <c r="Y790" s="268"/>
      <c r="Z790" s="268"/>
      <c r="AA790" s="268"/>
      <c r="AB790" s="268"/>
      <c r="AC790" s="268"/>
      <c r="AD790" s="268"/>
      <c r="AE790" s="268"/>
    </row>
    <row r="791" spans="1:31" ht="24.75" customHeight="1">
      <c r="A791" s="268"/>
      <c r="B791" s="268"/>
      <c r="C791" s="268"/>
      <c r="D791" s="268"/>
      <c r="E791" s="268"/>
      <c r="F791" s="268"/>
      <c r="G791" s="268"/>
      <c r="H791" s="268"/>
      <c r="I791" s="268"/>
      <c r="J791" s="268"/>
      <c r="K791" s="268"/>
      <c r="L791" s="309"/>
      <c r="M791" s="268"/>
      <c r="N791" s="268"/>
      <c r="O791" s="310"/>
      <c r="P791" s="268"/>
      <c r="Q791" s="309"/>
      <c r="R791" s="268"/>
      <c r="S791" s="313"/>
      <c r="T791" s="313"/>
      <c r="U791" s="268"/>
      <c r="V791" s="309"/>
      <c r="W791" s="310"/>
      <c r="X791" s="268"/>
      <c r="Y791" s="268"/>
      <c r="Z791" s="268"/>
      <c r="AA791" s="268"/>
      <c r="AB791" s="268"/>
      <c r="AC791" s="268"/>
      <c r="AD791" s="268"/>
      <c r="AE791" s="268"/>
    </row>
    <row r="792" spans="1:31" ht="24.75" customHeight="1">
      <c r="A792" s="268"/>
      <c r="B792" s="268"/>
      <c r="C792" s="268"/>
      <c r="D792" s="268"/>
      <c r="E792" s="268"/>
      <c r="F792" s="268"/>
      <c r="G792" s="268"/>
      <c r="H792" s="268"/>
      <c r="I792" s="268"/>
      <c r="J792" s="268"/>
      <c r="K792" s="268"/>
      <c r="L792" s="309"/>
      <c r="M792" s="268"/>
      <c r="N792" s="268"/>
      <c r="O792" s="310"/>
      <c r="P792" s="268"/>
      <c r="Q792" s="309"/>
      <c r="R792" s="268"/>
      <c r="S792" s="313"/>
      <c r="T792" s="313"/>
      <c r="U792" s="268"/>
      <c r="V792" s="309"/>
      <c r="W792" s="310"/>
      <c r="X792" s="268"/>
      <c r="Y792" s="268"/>
      <c r="Z792" s="268"/>
      <c r="AA792" s="268"/>
      <c r="AB792" s="268"/>
      <c r="AC792" s="268"/>
      <c r="AD792" s="268"/>
      <c r="AE792" s="268"/>
    </row>
    <row r="793" spans="1:31" ht="24.75" customHeight="1">
      <c r="A793" s="268"/>
      <c r="B793" s="268"/>
      <c r="C793" s="268"/>
      <c r="D793" s="268"/>
      <c r="E793" s="268"/>
      <c r="F793" s="268"/>
      <c r="G793" s="268"/>
      <c r="H793" s="268"/>
      <c r="I793" s="268"/>
      <c r="J793" s="268"/>
      <c r="K793" s="268"/>
      <c r="L793" s="309"/>
      <c r="M793" s="268"/>
      <c r="N793" s="268"/>
      <c r="O793" s="310"/>
      <c r="P793" s="268"/>
      <c r="Q793" s="309"/>
      <c r="R793" s="268"/>
      <c r="S793" s="313"/>
      <c r="T793" s="313"/>
      <c r="U793" s="268"/>
      <c r="V793" s="309"/>
      <c r="W793" s="310"/>
      <c r="X793" s="268"/>
      <c r="Y793" s="268"/>
      <c r="Z793" s="268"/>
      <c r="AA793" s="268"/>
      <c r="AB793" s="268"/>
      <c r="AC793" s="268"/>
      <c r="AD793" s="268"/>
      <c r="AE793" s="268"/>
    </row>
    <row r="794" spans="1:31" ht="24.75" customHeight="1">
      <c r="A794" s="268"/>
      <c r="B794" s="268"/>
      <c r="C794" s="268"/>
      <c r="D794" s="268"/>
      <c r="E794" s="268"/>
      <c r="F794" s="268"/>
      <c r="G794" s="268"/>
      <c r="H794" s="268"/>
      <c r="I794" s="268"/>
      <c r="J794" s="268"/>
      <c r="K794" s="268"/>
      <c r="L794" s="309"/>
      <c r="M794" s="268"/>
      <c r="N794" s="268"/>
      <c r="O794" s="310"/>
      <c r="P794" s="268"/>
      <c r="Q794" s="309"/>
      <c r="R794" s="268"/>
      <c r="S794" s="313"/>
      <c r="T794" s="313"/>
      <c r="U794" s="268"/>
      <c r="V794" s="309"/>
      <c r="W794" s="310"/>
      <c r="X794" s="268"/>
      <c r="Y794" s="268"/>
      <c r="Z794" s="268"/>
      <c r="AA794" s="268"/>
      <c r="AB794" s="268"/>
      <c r="AC794" s="268"/>
      <c r="AD794" s="268"/>
      <c r="AE794" s="268"/>
    </row>
    <row r="795" spans="1:31" ht="24.75" customHeight="1">
      <c r="A795" s="268"/>
      <c r="B795" s="268"/>
      <c r="C795" s="268"/>
      <c r="D795" s="268"/>
      <c r="E795" s="268"/>
      <c r="F795" s="268"/>
      <c r="G795" s="268"/>
      <c r="H795" s="268"/>
      <c r="I795" s="268"/>
      <c r="J795" s="268"/>
      <c r="K795" s="268"/>
      <c r="L795" s="309"/>
      <c r="M795" s="268"/>
      <c r="N795" s="268"/>
      <c r="O795" s="310"/>
      <c r="P795" s="268"/>
      <c r="Q795" s="309"/>
      <c r="R795" s="268"/>
      <c r="S795" s="313"/>
      <c r="T795" s="313"/>
      <c r="U795" s="268"/>
      <c r="V795" s="309"/>
      <c r="W795" s="310"/>
      <c r="X795" s="268"/>
      <c r="Y795" s="268"/>
      <c r="Z795" s="268"/>
      <c r="AA795" s="268"/>
      <c r="AB795" s="268"/>
      <c r="AC795" s="268"/>
      <c r="AD795" s="268"/>
      <c r="AE795" s="268"/>
    </row>
    <row r="796" spans="1:31" ht="24.75" customHeight="1">
      <c r="A796" s="268"/>
      <c r="B796" s="268"/>
      <c r="C796" s="268"/>
      <c r="D796" s="268"/>
      <c r="E796" s="268"/>
      <c r="F796" s="268"/>
      <c r="G796" s="268"/>
      <c r="H796" s="268"/>
      <c r="I796" s="268"/>
      <c r="J796" s="268"/>
      <c r="K796" s="268"/>
      <c r="L796" s="309"/>
      <c r="M796" s="268"/>
      <c r="N796" s="268"/>
      <c r="O796" s="310"/>
      <c r="P796" s="268"/>
      <c r="Q796" s="309"/>
      <c r="R796" s="268"/>
      <c r="S796" s="313"/>
      <c r="T796" s="313"/>
      <c r="U796" s="268"/>
      <c r="V796" s="309"/>
      <c r="W796" s="310"/>
      <c r="X796" s="268"/>
      <c r="Y796" s="268"/>
      <c r="Z796" s="268"/>
      <c r="AA796" s="268"/>
      <c r="AB796" s="268"/>
      <c r="AC796" s="268"/>
      <c r="AD796" s="268"/>
      <c r="AE796" s="268"/>
    </row>
    <row r="797" spans="1:31" ht="24.75" customHeight="1">
      <c r="A797" s="268"/>
      <c r="B797" s="268"/>
      <c r="C797" s="268"/>
      <c r="D797" s="268"/>
      <c r="E797" s="268"/>
      <c r="F797" s="268"/>
      <c r="G797" s="268"/>
      <c r="H797" s="268"/>
      <c r="I797" s="268"/>
      <c r="J797" s="268"/>
      <c r="K797" s="268"/>
      <c r="L797" s="309"/>
      <c r="M797" s="268"/>
      <c r="N797" s="268"/>
      <c r="O797" s="310"/>
      <c r="P797" s="268"/>
      <c r="Q797" s="309"/>
      <c r="R797" s="268"/>
      <c r="S797" s="313"/>
      <c r="T797" s="313"/>
      <c r="U797" s="268"/>
      <c r="V797" s="309"/>
      <c r="W797" s="310"/>
      <c r="X797" s="268"/>
      <c r="Y797" s="268"/>
      <c r="Z797" s="268"/>
      <c r="AA797" s="268"/>
      <c r="AB797" s="268"/>
      <c r="AC797" s="268"/>
      <c r="AD797" s="268"/>
      <c r="AE797" s="268"/>
    </row>
    <row r="798" spans="1:31" ht="24.75" customHeight="1">
      <c r="A798" s="268"/>
      <c r="B798" s="268"/>
      <c r="C798" s="268"/>
      <c r="D798" s="268"/>
      <c r="E798" s="268"/>
      <c r="F798" s="268"/>
      <c r="G798" s="268"/>
      <c r="H798" s="268"/>
      <c r="I798" s="268"/>
      <c r="J798" s="268"/>
      <c r="K798" s="268"/>
      <c r="L798" s="309"/>
      <c r="M798" s="268"/>
      <c r="N798" s="268"/>
      <c r="O798" s="310"/>
      <c r="P798" s="268"/>
      <c r="Q798" s="309"/>
      <c r="R798" s="268"/>
      <c r="S798" s="313"/>
      <c r="T798" s="313"/>
      <c r="U798" s="268"/>
      <c r="V798" s="309"/>
      <c r="W798" s="310"/>
      <c r="X798" s="268"/>
      <c r="Y798" s="268"/>
      <c r="Z798" s="268"/>
      <c r="AA798" s="268"/>
      <c r="AB798" s="268"/>
      <c r="AC798" s="268"/>
      <c r="AD798" s="268"/>
      <c r="AE798" s="268"/>
    </row>
    <row r="799" spans="1:31" ht="24.75" customHeight="1">
      <c r="A799" s="268"/>
      <c r="B799" s="268"/>
      <c r="C799" s="268"/>
      <c r="D799" s="268"/>
      <c r="E799" s="268"/>
      <c r="F799" s="268"/>
      <c r="G799" s="268"/>
      <c r="H799" s="268"/>
      <c r="I799" s="268"/>
      <c r="J799" s="268"/>
      <c r="K799" s="268"/>
      <c r="L799" s="309"/>
      <c r="M799" s="268"/>
      <c r="N799" s="268"/>
      <c r="O799" s="310"/>
      <c r="P799" s="268"/>
      <c r="Q799" s="309"/>
      <c r="R799" s="268"/>
      <c r="S799" s="313"/>
      <c r="T799" s="313"/>
      <c r="U799" s="268"/>
      <c r="V799" s="309"/>
      <c r="W799" s="310"/>
      <c r="X799" s="268"/>
      <c r="Y799" s="268"/>
      <c r="Z799" s="268"/>
      <c r="AA799" s="268"/>
      <c r="AB799" s="268"/>
      <c r="AC799" s="268"/>
      <c r="AD799" s="268"/>
      <c r="AE799" s="268"/>
    </row>
    <row r="800" spans="1:31" ht="24.75" customHeight="1">
      <c r="A800" s="268"/>
      <c r="B800" s="268"/>
      <c r="C800" s="268"/>
      <c r="D800" s="268"/>
      <c r="E800" s="268"/>
      <c r="F800" s="268"/>
      <c r="G800" s="268"/>
      <c r="H800" s="268"/>
      <c r="I800" s="268"/>
      <c r="J800" s="268"/>
      <c r="K800" s="268"/>
      <c r="L800" s="309"/>
      <c r="M800" s="268"/>
      <c r="N800" s="268"/>
      <c r="O800" s="310"/>
      <c r="P800" s="268"/>
      <c r="Q800" s="309"/>
      <c r="R800" s="268"/>
      <c r="S800" s="313"/>
      <c r="T800" s="313"/>
      <c r="U800" s="268"/>
      <c r="V800" s="309"/>
      <c r="W800" s="310"/>
      <c r="X800" s="268"/>
      <c r="Y800" s="268"/>
      <c r="Z800" s="268"/>
      <c r="AA800" s="268"/>
      <c r="AB800" s="268"/>
      <c r="AC800" s="268"/>
      <c r="AD800" s="268"/>
      <c r="AE800" s="268"/>
    </row>
    <row r="801" spans="1:31" ht="24.75" customHeight="1">
      <c r="A801" s="268"/>
      <c r="B801" s="268"/>
      <c r="C801" s="268"/>
      <c r="D801" s="268"/>
      <c r="E801" s="268"/>
      <c r="F801" s="268"/>
      <c r="G801" s="268"/>
      <c r="H801" s="268"/>
      <c r="I801" s="268"/>
      <c r="J801" s="268"/>
      <c r="K801" s="268"/>
      <c r="L801" s="309"/>
      <c r="M801" s="268"/>
      <c r="N801" s="268"/>
      <c r="O801" s="310"/>
      <c r="P801" s="268"/>
      <c r="Q801" s="309"/>
      <c r="R801" s="268"/>
      <c r="S801" s="313"/>
      <c r="T801" s="313"/>
      <c r="U801" s="268"/>
      <c r="V801" s="309"/>
      <c r="W801" s="310"/>
      <c r="X801" s="268"/>
      <c r="Y801" s="268"/>
      <c r="Z801" s="268"/>
      <c r="AA801" s="268"/>
      <c r="AB801" s="268"/>
      <c r="AC801" s="268"/>
      <c r="AD801" s="268"/>
      <c r="AE801" s="268"/>
    </row>
    <row r="802" spans="1:31" ht="24.75" customHeight="1">
      <c r="A802" s="268"/>
      <c r="B802" s="268"/>
      <c r="C802" s="268"/>
      <c r="D802" s="268"/>
      <c r="E802" s="268"/>
      <c r="F802" s="268"/>
      <c r="G802" s="268"/>
      <c r="H802" s="268"/>
      <c r="I802" s="268"/>
      <c r="J802" s="268"/>
      <c r="K802" s="268"/>
      <c r="L802" s="309"/>
      <c r="M802" s="268"/>
      <c r="N802" s="268"/>
      <c r="O802" s="310"/>
      <c r="P802" s="268"/>
      <c r="Q802" s="309"/>
      <c r="R802" s="268"/>
      <c r="S802" s="313"/>
      <c r="T802" s="313"/>
      <c r="U802" s="268"/>
      <c r="V802" s="309"/>
      <c r="W802" s="310"/>
      <c r="X802" s="268"/>
      <c r="Y802" s="268"/>
      <c r="Z802" s="268"/>
      <c r="AA802" s="268"/>
      <c r="AB802" s="268"/>
      <c r="AC802" s="268"/>
      <c r="AD802" s="268"/>
      <c r="AE802" s="268"/>
    </row>
    <row r="803" spans="1:31" ht="24.75" customHeight="1">
      <c r="A803" s="268"/>
      <c r="B803" s="268"/>
      <c r="C803" s="268"/>
      <c r="D803" s="268"/>
      <c r="E803" s="268"/>
      <c r="F803" s="268"/>
      <c r="G803" s="268"/>
      <c r="H803" s="268"/>
      <c r="I803" s="268"/>
      <c r="J803" s="268"/>
      <c r="K803" s="268"/>
      <c r="L803" s="309"/>
      <c r="M803" s="268"/>
      <c r="N803" s="268"/>
      <c r="O803" s="310"/>
      <c r="P803" s="268"/>
      <c r="Q803" s="309"/>
      <c r="R803" s="268"/>
      <c r="S803" s="313"/>
      <c r="T803" s="313"/>
      <c r="U803" s="268"/>
      <c r="V803" s="309"/>
      <c r="W803" s="310"/>
      <c r="X803" s="268"/>
      <c r="Y803" s="268"/>
      <c r="Z803" s="268"/>
      <c r="AA803" s="268"/>
      <c r="AB803" s="268"/>
      <c r="AC803" s="268"/>
      <c r="AD803" s="268"/>
      <c r="AE803" s="268"/>
    </row>
    <row r="804" spans="1:31" ht="24.75" customHeight="1">
      <c r="A804" s="268"/>
      <c r="B804" s="268"/>
      <c r="C804" s="268"/>
      <c r="D804" s="268"/>
      <c r="E804" s="268"/>
      <c r="F804" s="268"/>
      <c r="G804" s="268"/>
      <c r="H804" s="268"/>
      <c r="I804" s="268"/>
      <c r="J804" s="268"/>
      <c r="K804" s="268"/>
      <c r="L804" s="309"/>
      <c r="M804" s="268"/>
      <c r="N804" s="268"/>
      <c r="O804" s="310"/>
      <c r="P804" s="268"/>
      <c r="Q804" s="309"/>
      <c r="R804" s="268"/>
      <c r="S804" s="313"/>
      <c r="T804" s="313"/>
      <c r="U804" s="268"/>
      <c r="V804" s="309"/>
      <c r="W804" s="310"/>
      <c r="X804" s="268"/>
      <c r="Y804" s="268"/>
      <c r="Z804" s="268"/>
      <c r="AA804" s="268"/>
      <c r="AB804" s="268"/>
      <c r="AC804" s="268"/>
      <c r="AD804" s="268"/>
      <c r="AE804" s="268"/>
    </row>
    <row r="805" spans="1:31" ht="24.75" customHeight="1">
      <c r="A805" s="268"/>
      <c r="B805" s="268"/>
      <c r="C805" s="268"/>
      <c r="D805" s="268"/>
      <c r="E805" s="268"/>
      <c r="F805" s="268"/>
      <c r="G805" s="268"/>
      <c r="H805" s="268"/>
      <c r="I805" s="268"/>
      <c r="J805" s="268"/>
      <c r="K805" s="268"/>
      <c r="L805" s="309"/>
      <c r="M805" s="268"/>
      <c r="N805" s="268"/>
      <c r="O805" s="310"/>
      <c r="P805" s="268"/>
      <c r="Q805" s="309"/>
      <c r="R805" s="268"/>
      <c r="S805" s="313"/>
      <c r="T805" s="313"/>
      <c r="U805" s="268"/>
      <c r="V805" s="309"/>
      <c r="W805" s="310"/>
      <c r="X805" s="268"/>
      <c r="Y805" s="268"/>
      <c r="Z805" s="268"/>
      <c r="AA805" s="268"/>
      <c r="AB805" s="268"/>
      <c r="AC805" s="268"/>
      <c r="AD805" s="268"/>
      <c r="AE805" s="268"/>
    </row>
    <row r="806" spans="1:31" ht="24.75" customHeight="1">
      <c r="A806" s="268"/>
      <c r="B806" s="268"/>
      <c r="C806" s="268"/>
      <c r="D806" s="268"/>
      <c r="E806" s="268"/>
      <c r="F806" s="268"/>
      <c r="G806" s="268"/>
      <c r="H806" s="268"/>
      <c r="I806" s="268"/>
      <c r="J806" s="268"/>
      <c r="K806" s="268"/>
      <c r="L806" s="309"/>
      <c r="M806" s="268"/>
      <c r="N806" s="268"/>
      <c r="O806" s="310"/>
      <c r="P806" s="268"/>
      <c r="Q806" s="309"/>
      <c r="R806" s="268"/>
      <c r="S806" s="313"/>
      <c r="T806" s="313"/>
      <c r="U806" s="268"/>
      <c r="V806" s="309"/>
      <c r="W806" s="310"/>
      <c r="X806" s="268"/>
      <c r="Y806" s="268"/>
      <c r="Z806" s="268"/>
      <c r="AA806" s="268"/>
      <c r="AB806" s="268"/>
      <c r="AC806" s="268"/>
      <c r="AD806" s="268"/>
      <c r="AE806" s="268"/>
    </row>
    <row r="807" spans="1:31" ht="24.75" customHeight="1">
      <c r="A807" s="268"/>
      <c r="B807" s="268"/>
      <c r="C807" s="268"/>
      <c r="D807" s="268"/>
      <c r="E807" s="268"/>
      <c r="F807" s="268"/>
      <c r="G807" s="268"/>
      <c r="H807" s="268"/>
      <c r="I807" s="268"/>
      <c r="J807" s="268"/>
      <c r="K807" s="268"/>
      <c r="L807" s="309"/>
      <c r="M807" s="268"/>
      <c r="N807" s="268"/>
      <c r="O807" s="310"/>
      <c r="P807" s="268"/>
      <c r="Q807" s="309"/>
      <c r="R807" s="268"/>
      <c r="S807" s="313"/>
      <c r="T807" s="313"/>
      <c r="U807" s="268"/>
      <c r="V807" s="309"/>
      <c r="W807" s="310"/>
      <c r="X807" s="268"/>
      <c r="Y807" s="268"/>
      <c r="Z807" s="268"/>
      <c r="AA807" s="268"/>
      <c r="AB807" s="268"/>
      <c r="AC807" s="268"/>
      <c r="AD807" s="268"/>
      <c r="AE807" s="268"/>
    </row>
    <row r="808" spans="1:31" ht="24.75" customHeight="1">
      <c r="A808" s="268"/>
      <c r="B808" s="268"/>
      <c r="C808" s="268"/>
      <c r="D808" s="268"/>
      <c r="E808" s="268"/>
      <c r="F808" s="268"/>
      <c r="G808" s="268"/>
      <c r="H808" s="268"/>
      <c r="I808" s="268"/>
      <c r="J808" s="268"/>
      <c r="K808" s="268"/>
      <c r="L808" s="309"/>
      <c r="M808" s="268"/>
      <c r="N808" s="268"/>
      <c r="O808" s="310"/>
      <c r="P808" s="268"/>
      <c r="Q808" s="309"/>
      <c r="R808" s="268"/>
      <c r="S808" s="313"/>
      <c r="T808" s="313"/>
      <c r="U808" s="268"/>
      <c r="V808" s="309"/>
      <c r="W808" s="310"/>
      <c r="X808" s="268"/>
      <c r="Y808" s="268"/>
      <c r="Z808" s="268"/>
      <c r="AA808" s="268"/>
      <c r="AB808" s="268"/>
      <c r="AC808" s="268"/>
      <c r="AD808" s="268"/>
      <c r="AE808" s="268"/>
    </row>
    <row r="809" spans="1:31" ht="24.75" customHeight="1">
      <c r="A809" s="268"/>
      <c r="B809" s="268"/>
      <c r="C809" s="268"/>
      <c r="D809" s="268"/>
      <c r="E809" s="268"/>
      <c r="F809" s="268"/>
      <c r="G809" s="268"/>
      <c r="H809" s="268"/>
      <c r="I809" s="268"/>
      <c r="J809" s="268"/>
      <c r="K809" s="268"/>
      <c r="L809" s="309"/>
      <c r="M809" s="268"/>
      <c r="N809" s="268"/>
      <c r="O809" s="310"/>
      <c r="P809" s="268"/>
      <c r="Q809" s="309"/>
      <c r="R809" s="268"/>
      <c r="S809" s="313"/>
      <c r="T809" s="313"/>
      <c r="U809" s="268"/>
      <c r="V809" s="309"/>
      <c r="W809" s="310"/>
      <c r="X809" s="268"/>
      <c r="Y809" s="268"/>
      <c r="Z809" s="268"/>
      <c r="AA809" s="268"/>
      <c r="AB809" s="268"/>
      <c r="AC809" s="268"/>
      <c r="AD809" s="268"/>
      <c r="AE809" s="268"/>
    </row>
    <row r="810" spans="1:31" ht="24.75" customHeight="1">
      <c r="A810" s="268"/>
      <c r="B810" s="268"/>
      <c r="C810" s="268"/>
      <c r="D810" s="268"/>
      <c r="E810" s="268"/>
      <c r="F810" s="268"/>
      <c r="G810" s="268"/>
      <c r="H810" s="268"/>
      <c r="I810" s="268"/>
      <c r="J810" s="268"/>
      <c r="K810" s="268"/>
      <c r="L810" s="309"/>
      <c r="M810" s="268"/>
      <c r="N810" s="268"/>
      <c r="O810" s="310"/>
      <c r="P810" s="268"/>
      <c r="Q810" s="309"/>
      <c r="R810" s="268"/>
      <c r="S810" s="313"/>
      <c r="T810" s="313"/>
      <c r="U810" s="268"/>
      <c r="V810" s="309"/>
      <c r="W810" s="310"/>
      <c r="X810" s="268"/>
      <c r="Y810" s="268"/>
      <c r="Z810" s="268"/>
      <c r="AA810" s="268"/>
      <c r="AB810" s="268"/>
      <c r="AC810" s="268"/>
      <c r="AD810" s="268"/>
      <c r="AE810" s="268"/>
    </row>
    <row r="811" spans="1:31" ht="24.75" customHeight="1">
      <c r="A811" s="268"/>
      <c r="B811" s="268"/>
      <c r="C811" s="268"/>
      <c r="D811" s="268"/>
      <c r="E811" s="268"/>
      <c r="F811" s="268"/>
      <c r="G811" s="268"/>
      <c r="H811" s="268"/>
      <c r="I811" s="268"/>
      <c r="J811" s="268"/>
      <c r="K811" s="268"/>
      <c r="L811" s="309"/>
      <c r="M811" s="268"/>
      <c r="N811" s="268"/>
      <c r="O811" s="310"/>
      <c r="P811" s="268"/>
      <c r="Q811" s="309"/>
      <c r="R811" s="268"/>
      <c r="S811" s="313"/>
      <c r="T811" s="313"/>
      <c r="U811" s="268"/>
      <c r="V811" s="309"/>
      <c r="W811" s="310"/>
      <c r="X811" s="268"/>
      <c r="Y811" s="268"/>
      <c r="Z811" s="268"/>
      <c r="AA811" s="268"/>
      <c r="AB811" s="268"/>
      <c r="AC811" s="268"/>
      <c r="AD811" s="268"/>
      <c r="AE811" s="268"/>
    </row>
    <row r="812" spans="1:31" ht="24.75" customHeight="1">
      <c r="A812" s="268"/>
      <c r="B812" s="268"/>
      <c r="C812" s="268"/>
      <c r="D812" s="268"/>
      <c r="E812" s="268"/>
      <c r="F812" s="268"/>
      <c r="G812" s="268"/>
      <c r="H812" s="268"/>
      <c r="I812" s="268"/>
      <c r="J812" s="268"/>
      <c r="K812" s="268"/>
      <c r="L812" s="309"/>
      <c r="M812" s="268"/>
      <c r="N812" s="268"/>
      <c r="O812" s="310"/>
      <c r="P812" s="268"/>
      <c r="Q812" s="309"/>
      <c r="R812" s="268"/>
      <c r="S812" s="313"/>
      <c r="T812" s="313"/>
      <c r="U812" s="268"/>
      <c r="V812" s="309"/>
      <c r="W812" s="310"/>
      <c r="X812" s="268"/>
      <c r="Y812" s="268"/>
      <c r="Z812" s="268"/>
      <c r="AA812" s="268"/>
      <c r="AB812" s="268"/>
      <c r="AC812" s="268"/>
      <c r="AD812" s="268"/>
      <c r="AE812" s="268"/>
    </row>
    <row r="813" spans="1:31" ht="24.75" customHeight="1">
      <c r="A813" s="268"/>
      <c r="B813" s="268"/>
      <c r="C813" s="268"/>
      <c r="D813" s="268"/>
      <c r="E813" s="268"/>
      <c r="F813" s="268"/>
      <c r="G813" s="268"/>
      <c r="H813" s="268"/>
      <c r="I813" s="268"/>
      <c r="J813" s="268"/>
      <c r="K813" s="268"/>
      <c r="L813" s="309"/>
      <c r="M813" s="268"/>
      <c r="N813" s="268"/>
      <c r="O813" s="310"/>
      <c r="P813" s="268"/>
      <c r="Q813" s="309"/>
      <c r="R813" s="268"/>
      <c r="S813" s="313"/>
      <c r="T813" s="313"/>
      <c r="U813" s="268"/>
      <c r="V813" s="309"/>
      <c r="W813" s="310"/>
      <c r="X813" s="268"/>
      <c r="Y813" s="268"/>
      <c r="Z813" s="268"/>
      <c r="AA813" s="268"/>
      <c r="AB813" s="268"/>
      <c r="AC813" s="268"/>
      <c r="AD813" s="268"/>
      <c r="AE813" s="268"/>
    </row>
    <row r="814" spans="1:31" ht="24.75" customHeight="1">
      <c r="A814" s="268"/>
      <c r="B814" s="268"/>
      <c r="C814" s="268"/>
      <c r="D814" s="268"/>
      <c r="E814" s="268"/>
      <c r="F814" s="268"/>
      <c r="G814" s="268"/>
      <c r="H814" s="268"/>
      <c r="I814" s="268"/>
      <c r="J814" s="268"/>
      <c r="K814" s="268"/>
      <c r="L814" s="309"/>
      <c r="M814" s="268"/>
      <c r="N814" s="268"/>
      <c r="O814" s="310"/>
      <c r="P814" s="268"/>
      <c r="Q814" s="309"/>
      <c r="R814" s="268"/>
      <c r="S814" s="313"/>
      <c r="T814" s="313"/>
      <c r="U814" s="268"/>
      <c r="V814" s="309"/>
      <c r="W814" s="310"/>
      <c r="X814" s="268"/>
      <c r="Y814" s="268"/>
      <c r="Z814" s="268"/>
      <c r="AA814" s="268"/>
      <c r="AB814" s="268"/>
      <c r="AC814" s="268"/>
      <c r="AD814" s="268"/>
      <c r="AE814" s="268"/>
    </row>
    <row r="815" spans="1:31" ht="24.75" customHeight="1">
      <c r="A815" s="268"/>
      <c r="B815" s="268"/>
      <c r="C815" s="268"/>
      <c r="D815" s="268"/>
      <c r="E815" s="268"/>
      <c r="F815" s="268"/>
      <c r="G815" s="268"/>
      <c r="H815" s="268"/>
      <c r="I815" s="268"/>
      <c r="J815" s="268"/>
      <c r="K815" s="268"/>
      <c r="L815" s="309"/>
      <c r="M815" s="268"/>
      <c r="N815" s="268"/>
      <c r="O815" s="310"/>
      <c r="P815" s="268"/>
      <c r="Q815" s="309"/>
      <c r="R815" s="268"/>
      <c r="S815" s="313"/>
      <c r="T815" s="313"/>
      <c r="U815" s="268"/>
      <c r="V815" s="309"/>
      <c r="W815" s="310"/>
      <c r="X815" s="268"/>
      <c r="Y815" s="268"/>
      <c r="Z815" s="268"/>
      <c r="AA815" s="268"/>
      <c r="AB815" s="268"/>
      <c r="AC815" s="268"/>
      <c r="AD815" s="268"/>
      <c r="AE815" s="268"/>
    </row>
    <row r="816" spans="1:31" ht="24.75" customHeight="1">
      <c r="A816" s="268"/>
      <c r="B816" s="268"/>
      <c r="C816" s="268"/>
      <c r="D816" s="268"/>
      <c r="E816" s="268"/>
      <c r="F816" s="268"/>
      <c r="G816" s="268"/>
      <c r="H816" s="268"/>
      <c r="I816" s="268"/>
      <c r="J816" s="268"/>
      <c r="K816" s="268"/>
      <c r="L816" s="309"/>
      <c r="M816" s="268"/>
      <c r="N816" s="268"/>
      <c r="O816" s="310"/>
      <c r="P816" s="268"/>
      <c r="Q816" s="309"/>
      <c r="R816" s="268"/>
      <c r="S816" s="313"/>
      <c r="T816" s="313"/>
      <c r="U816" s="268"/>
      <c r="V816" s="309"/>
      <c r="W816" s="310"/>
      <c r="X816" s="268"/>
      <c r="Y816" s="268"/>
      <c r="Z816" s="268"/>
      <c r="AA816" s="268"/>
      <c r="AB816" s="268"/>
      <c r="AC816" s="268"/>
      <c r="AD816" s="268"/>
      <c r="AE816" s="268"/>
    </row>
    <row r="817" spans="1:31" ht="24.75" customHeight="1">
      <c r="A817" s="268"/>
      <c r="B817" s="268"/>
      <c r="C817" s="268"/>
      <c r="D817" s="268"/>
      <c r="E817" s="268"/>
      <c r="F817" s="268"/>
      <c r="G817" s="268"/>
      <c r="H817" s="268"/>
      <c r="I817" s="268"/>
      <c r="J817" s="268"/>
      <c r="K817" s="268"/>
      <c r="L817" s="309"/>
      <c r="M817" s="268"/>
      <c r="N817" s="268"/>
      <c r="O817" s="310"/>
      <c r="P817" s="268"/>
      <c r="Q817" s="309"/>
      <c r="R817" s="268"/>
      <c r="S817" s="313"/>
      <c r="T817" s="313"/>
      <c r="U817" s="268"/>
      <c r="V817" s="309"/>
      <c r="W817" s="310"/>
      <c r="X817" s="268"/>
      <c r="Y817" s="268"/>
      <c r="Z817" s="268"/>
      <c r="AA817" s="268"/>
      <c r="AB817" s="268"/>
      <c r="AC817" s="268"/>
      <c r="AD817" s="268"/>
      <c r="AE817" s="268"/>
    </row>
    <row r="818" spans="1:31" ht="24.75" customHeight="1">
      <c r="A818" s="268"/>
      <c r="B818" s="268"/>
      <c r="C818" s="268"/>
      <c r="D818" s="268"/>
      <c r="E818" s="268"/>
      <c r="F818" s="268"/>
      <c r="G818" s="268"/>
      <c r="H818" s="268"/>
      <c r="I818" s="268"/>
      <c r="J818" s="268"/>
      <c r="K818" s="268"/>
      <c r="L818" s="309"/>
      <c r="M818" s="268"/>
      <c r="N818" s="268"/>
      <c r="O818" s="310"/>
      <c r="P818" s="268"/>
      <c r="Q818" s="309"/>
      <c r="R818" s="268"/>
      <c r="S818" s="313"/>
      <c r="T818" s="313"/>
      <c r="U818" s="268"/>
      <c r="V818" s="309"/>
      <c r="W818" s="310"/>
      <c r="X818" s="268"/>
      <c r="Y818" s="268"/>
      <c r="Z818" s="268"/>
      <c r="AA818" s="268"/>
      <c r="AB818" s="268"/>
      <c r="AC818" s="268"/>
      <c r="AD818" s="268"/>
      <c r="AE818" s="268"/>
    </row>
    <row r="819" spans="1:31" ht="24.75" customHeight="1">
      <c r="A819" s="268"/>
      <c r="B819" s="268"/>
      <c r="C819" s="268"/>
      <c r="D819" s="268"/>
      <c r="E819" s="268"/>
      <c r="F819" s="268"/>
      <c r="G819" s="268"/>
      <c r="H819" s="268"/>
      <c r="I819" s="268"/>
      <c r="J819" s="268"/>
      <c r="K819" s="268"/>
      <c r="L819" s="309"/>
      <c r="M819" s="268"/>
      <c r="N819" s="268"/>
      <c r="O819" s="310"/>
      <c r="P819" s="268"/>
      <c r="Q819" s="309"/>
      <c r="R819" s="268"/>
      <c r="S819" s="313"/>
      <c r="T819" s="313"/>
      <c r="U819" s="268"/>
      <c r="V819" s="309"/>
      <c r="W819" s="310"/>
      <c r="X819" s="268"/>
      <c r="Y819" s="268"/>
      <c r="Z819" s="268"/>
      <c r="AA819" s="268"/>
      <c r="AB819" s="268"/>
      <c r="AC819" s="268"/>
      <c r="AD819" s="268"/>
      <c r="AE819" s="268"/>
    </row>
    <row r="820" spans="1:31" ht="24.75" customHeight="1">
      <c r="A820" s="268"/>
      <c r="B820" s="268"/>
      <c r="C820" s="268"/>
      <c r="D820" s="268"/>
      <c r="E820" s="268"/>
      <c r="F820" s="268"/>
      <c r="G820" s="268"/>
      <c r="H820" s="268"/>
      <c r="I820" s="268"/>
      <c r="J820" s="268"/>
      <c r="K820" s="268"/>
      <c r="L820" s="309"/>
      <c r="M820" s="268"/>
      <c r="N820" s="268"/>
      <c r="O820" s="310"/>
      <c r="P820" s="268"/>
      <c r="Q820" s="309"/>
      <c r="R820" s="268"/>
      <c r="S820" s="313"/>
      <c r="T820" s="313"/>
      <c r="U820" s="268"/>
      <c r="V820" s="309"/>
      <c r="W820" s="310"/>
      <c r="X820" s="268"/>
      <c r="Y820" s="268"/>
      <c r="Z820" s="268"/>
      <c r="AA820" s="268"/>
      <c r="AB820" s="268"/>
      <c r="AC820" s="268"/>
      <c r="AD820" s="268"/>
      <c r="AE820" s="268"/>
    </row>
    <row r="821" spans="1:31" ht="24.75" customHeight="1">
      <c r="A821" s="268"/>
      <c r="B821" s="268"/>
      <c r="C821" s="268"/>
      <c r="D821" s="268"/>
      <c r="E821" s="268"/>
      <c r="F821" s="268"/>
      <c r="G821" s="268"/>
      <c r="H821" s="268"/>
      <c r="I821" s="268"/>
      <c r="J821" s="268"/>
      <c r="K821" s="268"/>
      <c r="L821" s="309"/>
      <c r="M821" s="268"/>
      <c r="N821" s="268"/>
      <c r="O821" s="310"/>
      <c r="P821" s="268"/>
      <c r="Q821" s="309"/>
      <c r="R821" s="268"/>
      <c r="S821" s="313"/>
      <c r="T821" s="313"/>
      <c r="U821" s="268"/>
      <c r="V821" s="309"/>
      <c r="W821" s="310"/>
      <c r="X821" s="268"/>
      <c r="Y821" s="268"/>
      <c r="Z821" s="268"/>
      <c r="AA821" s="268"/>
      <c r="AB821" s="268"/>
      <c r="AC821" s="268"/>
      <c r="AD821" s="268"/>
      <c r="AE821" s="268"/>
    </row>
    <row r="822" spans="1:31" ht="24.75" customHeight="1">
      <c r="A822" s="268"/>
      <c r="B822" s="268"/>
      <c r="C822" s="268"/>
      <c r="D822" s="268"/>
      <c r="E822" s="268"/>
      <c r="F822" s="268"/>
      <c r="G822" s="268"/>
      <c r="H822" s="268"/>
      <c r="I822" s="268"/>
      <c r="J822" s="268"/>
      <c r="K822" s="268"/>
      <c r="L822" s="309"/>
      <c r="M822" s="268"/>
      <c r="N822" s="268"/>
      <c r="O822" s="310"/>
      <c r="P822" s="268"/>
      <c r="Q822" s="309"/>
      <c r="R822" s="268"/>
      <c r="S822" s="313"/>
      <c r="T822" s="313"/>
      <c r="U822" s="268"/>
      <c r="V822" s="309"/>
      <c r="W822" s="310"/>
      <c r="X822" s="268"/>
      <c r="Y822" s="268"/>
      <c r="Z822" s="268"/>
      <c r="AA822" s="268"/>
      <c r="AB822" s="268"/>
      <c r="AC822" s="268"/>
      <c r="AD822" s="268"/>
      <c r="AE822" s="268"/>
    </row>
    <row r="823" spans="1:31" ht="24.75" customHeight="1">
      <c r="A823" s="268"/>
      <c r="B823" s="268"/>
      <c r="C823" s="268"/>
      <c r="D823" s="268"/>
      <c r="E823" s="268"/>
      <c r="F823" s="268"/>
      <c r="G823" s="268"/>
      <c r="H823" s="268"/>
      <c r="I823" s="268"/>
      <c r="J823" s="268"/>
      <c r="K823" s="268"/>
      <c r="L823" s="309"/>
      <c r="M823" s="268"/>
      <c r="N823" s="268"/>
      <c r="O823" s="310"/>
      <c r="P823" s="268"/>
      <c r="Q823" s="309"/>
      <c r="R823" s="268"/>
      <c r="S823" s="313"/>
      <c r="T823" s="313"/>
      <c r="U823" s="268"/>
      <c r="V823" s="309"/>
      <c r="W823" s="310"/>
      <c r="X823" s="268"/>
      <c r="Y823" s="268"/>
      <c r="Z823" s="268"/>
      <c r="AA823" s="268"/>
      <c r="AB823" s="268"/>
      <c r="AC823" s="268"/>
      <c r="AD823" s="268"/>
      <c r="AE823" s="268"/>
    </row>
    <row r="824" spans="1:31" ht="24.75" customHeight="1">
      <c r="A824" s="268"/>
      <c r="B824" s="268"/>
      <c r="C824" s="268"/>
      <c r="D824" s="268"/>
      <c r="E824" s="268"/>
      <c r="F824" s="268"/>
      <c r="G824" s="268"/>
      <c r="H824" s="268"/>
      <c r="I824" s="268"/>
      <c r="J824" s="268"/>
      <c r="K824" s="268"/>
      <c r="L824" s="309"/>
      <c r="M824" s="268"/>
      <c r="N824" s="268"/>
      <c r="O824" s="310"/>
      <c r="P824" s="268"/>
      <c r="Q824" s="309"/>
      <c r="R824" s="268"/>
      <c r="S824" s="313"/>
      <c r="T824" s="313"/>
      <c r="U824" s="268"/>
      <c r="V824" s="309"/>
      <c r="W824" s="310"/>
      <c r="X824" s="268"/>
      <c r="Y824" s="268"/>
      <c r="Z824" s="268"/>
      <c r="AA824" s="268"/>
      <c r="AB824" s="268"/>
      <c r="AC824" s="268"/>
      <c r="AD824" s="268"/>
      <c r="AE824" s="268"/>
    </row>
    <row r="825" spans="1:31" ht="24.75" customHeight="1">
      <c r="A825" s="268"/>
      <c r="B825" s="268"/>
      <c r="C825" s="268"/>
      <c r="D825" s="268"/>
      <c r="E825" s="268"/>
      <c r="F825" s="268"/>
      <c r="G825" s="268"/>
      <c r="H825" s="268"/>
      <c r="I825" s="268"/>
      <c r="J825" s="268"/>
      <c r="K825" s="268"/>
      <c r="L825" s="309"/>
      <c r="M825" s="268"/>
      <c r="N825" s="268"/>
      <c r="O825" s="310"/>
      <c r="P825" s="268"/>
      <c r="Q825" s="309"/>
      <c r="R825" s="268"/>
      <c r="S825" s="313"/>
      <c r="T825" s="313"/>
      <c r="U825" s="268"/>
      <c r="V825" s="309"/>
      <c r="W825" s="310"/>
      <c r="X825" s="268"/>
      <c r="Y825" s="268"/>
      <c r="Z825" s="268"/>
      <c r="AA825" s="268"/>
      <c r="AB825" s="268"/>
      <c r="AC825" s="268"/>
      <c r="AD825" s="268"/>
      <c r="AE825" s="268"/>
    </row>
    <row r="826" spans="1:31" ht="24.75" customHeight="1">
      <c r="A826" s="268"/>
      <c r="B826" s="268"/>
      <c r="C826" s="268"/>
      <c r="D826" s="268"/>
      <c r="E826" s="268"/>
      <c r="F826" s="268"/>
      <c r="G826" s="268"/>
      <c r="H826" s="268"/>
      <c r="I826" s="268"/>
      <c r="J826" s="268"/>
      <c r="K826" s="268"/>
      <c r="L826" s="309"/>
      <c r="M826" s="268"/>
      <c r="N826" s="268"/>
      <c r="O826" s="310"/>
      <c r="P826" s="268"/>
      <c r="Q826" s="309"/>
      <c r="R826" s="268"/>
      <c r="S826" s="313"/>
      <c r="T826" s="313"/>
      <c r="U826" s="268"/>
      <c r="V826" s="309"/>
      <c r="W826" s="310"/>
      <c r="X826" s="268"/>
      <c r="Y826" s="268"/>
      <c r="Z826" s="268"/>
      <c r="AA826" s="268"/>
      <c r="AB826" s="268"/>
      <c r="AC826" s="268"/>
      <c r="AD826" s="268"/>
      <c r="AE826" s="268"/>
    </row>
    <row r="827" spans="1:31" ht="24.75" customHeight="1">
      <c r="A827" s="268"/>
      <c r="B827" s="268"/>
      <c r="C827" s="268"/>
      <c r="D827" s="268"/>
      <c r="E827" s="268"/>
      <c r="F827" s="268"/>
      <c r="G827" s="268"/>
      <c r="H827" s="268"/>
      <c r="I827" s="268"/>
      <c r="J827" s="268"/>
      <c r="K827" s="268"/>
      <c r="L827" s="309"/>
      <c r="M827" s="268"/>
      <c r="N827" s="268"/>
      <c r="O827" s="310"/>
      <c r="P827" s="268"/>
      <c r="Q827" s="309"/>
      <c r="R827" s="268"/>
      <c r="S827" s="313"/>
      <c r="T827" s="313"/>
      <c r="U827" s="268"/>
      <c r="V827" s="309"/>
      <c r="W827" s="310"/>
      <c r="X827" s="268"/>
      <c r="Y827" s="268"/>
      <c r="Z827" s="268"/>
      <c r="AA827" s="268"/>
      <c r="AB827" s="268"/>
      <c r="AC827" s="268"/>
      <c r="AD827" s="268"/>
      <c r="AE827" s="268"/>
    </row>
    <row r="828" spans="1:31" ht="24.75" customHeight="1">
      <c r="A828" s="268"/>
      <c r="B828" s="268"/>
      <c r="C828" s="268"/>
      <c r="D828" s="268"/>
      <c r="E828" s="268"/>
      <c r="F828" s="268"/>
      <c r="G828" s="268"/>
      <c r="H828" s="268"/>
      <c r="I828" s="268"/>
      <c r="J828" s="268"/>
      <c r="K828" s="268"/>
      <c r="L828" s="309"/>
      <c r="M828" s="268"/>
      <c r="N828" s="268"/>
      <c r="O828" s="310"/>
      <c r="P828" s="268"/>
      <c r="Q828" s="309"/>
      <c r="R828" s="268"/>
      <c r="S828" s="313"/>
      <c r="T828" s="313"/>
      <c r="U828" s="268"/>
      <c r="V828" s="309"/>
      <c r="W828" s="310"/>
      <c r="X828" s="268"/>
      <c r="Y828" s="268"/>
      <c r="Z828" s="268"/>
      <c r="AA828" s="268"/>
      <c r="AB828" s="268"/>
      <c r="AC828" s="268"/>
      <c r="AD828" s="268"/>
      <c r="AE828" s="268"/>
    </row>
    <row r="829" spans="1:31" ht="24.75" customHeight="1">
      <c r="A829" s="268"/>
      <c r="B829" s="268"/>
      <c r="C829" s="268"/>
      <c r="D829" s="268"/>
      <c r="E829" s="268"/>
      <c r="F829" s="268"/>
      <c r="G829" s="268"/>
      <c r="H829" s="268"/>
      <c r="I829" s="268"/>
      <c r="J829" s="268"/>
      <c r="K829" s="268"/>
      <c r="L829" s="309"/>
      <c r="M829" s="268"/>
      <c r="N829" s="268"/>
      <c r="O829" s="310"/>
      <c r="P829" s="268"/>
      <c r="Q829" s="309"/>
      <c r="R829" s="268"/>
      <c r="S829" s="313"/>
      <c r="T829" s="313"/>
      <c r="U829" s="268"/>
      <c r="V829" s="309"/>
      <c r="W829" s="310"/>
      <c r="X829" s="268"/>
      <c r="Y829" s="268"/>
      <c r="Z829" s="268"/>
      <c r="AA829" s="268"/>
      <c r="AB829" s="268"/>
      <c r="AC829" s="268"/>
      <c r="AD829" s="268"/>
      <c r="AE829" s="268"/>
    </row>
    <row r="830" spans="1:31" ht="24.75" customHeight="1">
      <c r="A830" s="268"/>
      <c r="B830" s="268"/>
      <c r="C830" s="268"/>
      <c r="D830" s="268"/>
      <c r="E830" s="268"/>
      <c r="F830" s="268"/>
      <c r="G830" s="268"/>
      <c r="H830" s="268"/>
      <c r="I830" s="268"/>
      <c r="J830" s="268"/>
      <c r="K830" s="268"/>
      <c r="L830" s="309"/>
      <c r="M830" s="268"/>
      <c r="N830" s="268"/>
      <c r="O830" s="310"/>
      <c r="P830" s="268"/>
      <c r="Q830" s="309"/>
      <c r="R830" s="268"/>
      <c r="S830" s="313"/>
      <c r="T830" s="313"/>
      <c r="U830" s="268"/>
      <c r="V830" s="309"/>
      <c r="W830" s="310"/>
      <c r="X830" s="268"/>
      <c r="Y830" s="268"/>
      <c r="Z830" s="268"/>
      <c r="AA830" s="268"/>
      <c r="AB830" s="268"/>
      <c r="AC830" s="268"/>
      <c r="AD830" s="268"/>
      <c r="AE830" s="268"/>
    </row>
    <row r="831" spans="1:31" ht="24.75" customHeight="1">
      <c r="A831" s="268"/>
      <c r="B831" s="268"/>
      <c r="C831" s="268"/>
      <c r="D831" s="268"/>
      <c r="E831" s="268"/>
      <c r="F831" s="268"/>
      <c r="G831" s="268"/>
      <c r="H831" s="268"/>
      <c r="I831" s="268"/>
      <c r="J831" s="268"/>
      <c r="K831" s="268"/>
      <c r="L831" s="309"/>
      <c r="M831" s="268"/>
      <c r="N831" s="268"/>
      <c r="O831" s="310"/>
      <c r="P831" s="268"/>
      <c r="Q831" s="309"/>
      <c r="R831" s="268"/>
      <c r="S831" s="313"/>
      <c r="T831" s="313"/>
      <c r="U831" s="268"/>
      <c r="V831" s="309"/>
      <c r="W831" s="310"/>
      <c r="X831" s="268"/>
      <c r="Y831" s="268"/>
      <c r="Z831" s="268"/>
      <c r="AA831" s="268"/>
      <c r="AB831" s="268"/>
      <c r="AC831" s="268"/>
      <c r="AD831" s="268"/>
      <c r="AE831" s="268"/>
    </row>
    <row r="832" spans="1:31" ht="24.75" customHeight="1">
      <c r="A832" s="268"/>
      <c r="B832" s="268"/>
      <c r="C832" s="268"/>
      <c r="D832" s="268"/>
      <c r="E832" s="268"/>
      <c r="F832" s="268"/>
      <c r="G832" s="268"/>
      <c r="H832" s="268"/>
      <c r="I832" s="268"/>
      <c r="J832" s="268"/>
      <c r="K832" s="268"/>
      <c r="L832" s="309"/>
      <c r="M832" s="268"/>
      <c r="N832" s="268"/>
      <c r="O832" s="310"/>
      <c r="P832" s="268"/>
      <c r="Q832" s="309"/>
      <c r="R832" s="268"/>
      <c r="S832" s="313"/>
      <c r="T832" s="313"/>
      <c r="U832" s="268"/>
      <c r="V832" s="309"/>
      <c r="W832" s="310"/>
      <c r="X832" s="268"/>
      <c r="Y832" s="268"/>
      <c r="Z832" s="268"/>
      <c r="AA832" s="268"/>
      <c r="AB832" s="268"/>
      <c r="AC832" s="268"/>
      <c r="AD832" s="268"/>
      <c r="AE832" s="268"/>
    </row>
    <row r="833" spans="1:31" ht="24.75" customHeight="1">
      <c r="A833" s="268"/>
      <c r="B833" s="268"/>
      <c r="C833" s="268"/>
      <c r="D833" s="268"/>
      <c r="E833" s="268"/>
      <c r="F833" s="268"/>
      <c r="G833" s="268"/>
      <c r="H833" s="268"/>
      <c r="I833" s="268"/>
      <c r="J833" s="268"/>
      <c r="K833" s="268"/>
      <c r="L833" s="309"/>
      <c r="M833" s="268"/>
      <c r="N833" s="268"/>
      <c r="O833" s="310"/>
      <c r="P833" s="268"/>
      <c r="Q833" s="309"/>
      <c r="R833" s="268"/>
      <c r="S833" s="313"/>
      <c r="T833" s="313"/>
      <c r="U833" s="268"/>
      <c r="V833" s="309"/>
      <c r="W833" s="310"/>
      <c r="X833" s="268"/>
      <c r="Y833" s="268"/>
      <c r="Z833" s="268"/>
      <c r="AA833" s="268"/>
      <c r="AB833" s="268"/>
      <c r="AC833" s="268"/>
      <c r="AD833" s="268"/>
      <c r="AE833" s="268"/>
    </row>
    <row r="834" spans="1:31" ht="24.75" customHeight="1">
      <c r="A834" s="268"/>
      <c r="B834" s="268"/>
      <c r="C834" s="268"/>
      <c r="D834" s="268"/>
      <c r="E834" s="268"/>
      <c r="F834" s="268"/>
      <c r="G834" s="268"/>
      <c r="H834" s="268"/>
      <c r="I834" s="268"/>
      <c r="J834" s="268"/>
      <c r="K834" s="268"/>
      <c r="L834" s="309"/>
      <c r="M834" s="268"/>
      <c r="N834" s="268"/>
      <c r="O834" s="310"/>
      <c r="P834" s="268"/>
      <c r="Q834" s="309"/>
      <c r="R834" s="268"/>
      <c r="S834" s="313"/>
      <c r="T834" s="313"/>
      <c r="U834" s="268"/>
      <c r="V834" s="309"/>
      <c r="W834" s="310"/>
      <c r="X834" s="268"/>
      <c r="Y834" s="268"/>
      <c r="Z834" s="268"/>
      <c r="AA834" s="268"/>
      <c r="AB834" s="268"/>
      <c r="AC834" s="268"/>
      <c r="AD834" s="268"/>
      <c r="AE834" s="268"/>
    </row>
    <row r="835" spans="1:31" ht="24.75" customHeight="1">
      <c r="A835" s="268"/>
      <c r="B835" s="268"/>
      <c r="C835" s="268"/>
      <c r="D835" s="268"/>
      <c r="E835" s="268"/>
      <c r="F835" s="268"/>
      <c r="G835" s="268"/>
      <c r="H835" s="268"/>
      <c r="I835" s="268"/>
      <c r="J835" s="268"/>
      <c r="K835" s="268"/>
      <c r="L835" s="309"/>
      <c r="M835" s="268"/>
      <c r="N835" s="268"/>
      <c r="O835" s="310"/>
      <c r="P835" s="268"/>
      <c r="Q835" s="309"/>
      <c r="R835" s="268"/>
      <c r="S835" s="313"/>
      <c r="T835" s="313"/>
      <c r="U835" s="268"/>
      <c r="V835" s="309"/>
      <c r="W835" s="310"/>
      <c r="X835" s="268"/>
      <c r="Y835" s="268"/>
      <c r="Z835" s="268"/>
      <c r="AA835" s="268"/>
      <c r="AB835" s="268"/>
      <c r="AC835" s="268"/>
      <c r="AD835" s="268"/>
      <c r="AE835" s="268"/>
    </row>
    <row r="836" spans="1:31" ht="24.75" customHeight="1">
      <c r="A836" s="268"/>
      <c r="B836" s="268"/>
      <c r="C836" s="268"/>
      <c r="D836" s="268"/>
      <c r="E836" s="268"/>
      <c r="F836" s="268"/>
      <c r="G836" s="268"/>
      <c r="H836" s="268"/>
      <c r="I836" s="268"/>
      <c r="J836" s="268"/>
      <c r="K836" s="268"/>
      <c r="L836" s="309"/>
      <c r="M836" s="268"/>
      <c r="N836" s="268"/>
      <c r="O836" s="310"/>
      <c r="P836" s="268"/>
      <c r="Q836" s="309"/>
      <c r="R836" s="268"/>
      <c r="S836" s="313"/>
      <c r="T836" s="313"/>
      <c r="U836" s="268"/>
      <c r="V836" s="309"/>
      <c r="W836" s="310"/>
      <c r="X836" s="268"/>
      <c r="Y836" s="268"/>
      <c r="Z836" s="268"/>
      <c r="AA836" s="268"/>
      <c r="AB836" s="268"/>
      <c r="AC836" s="268"/>
      <c r="AD836" s="268"/>
      <c r="AE836" s="268"/>
    </row>
    <row r="837" spans="1:31" ht="24.75" customHeight="1">
      <c r="A837" s="268"/>
      <c r="B837" s="268"/>
      <c r="C837" s="268"/>
      <c r="D837" s="268"/>
      <c r="E837" s="268"/>
      <c r="F837" s="268"/>
      <c r="G837" s="268"/>
      <c r="H837" s="268"/>
      <c r="I837" s="268"/>
      <c r="J837" s="268"/>
      <c r="K837" s="268"/>
      <c r="L837" s="309"/>
      <c r="M837" s="268"/>
      <c r="N837" s="268"/>
      <c r="O837" s="310"/>
      <c r="P837" s="268"/>
      <c r="Q837" s="309"/>
      <c r="R837" s="268"/>
      <c r="S837" s="313"/>
      <c r="T837" s="313"/>
      <c r="U837" s="268"/>
      <c r="V837" s="309"/>
      <c r="W837" s="310"/>
      <c r="X837" s="268"/>
      <c r="Y837" s="268"/>
      <c r="Z837" s="268"/>
      <c r="AA837" s="268"/>
      <c r="AB837" s="268"/>
      <c r="AC837" s="268"/>
      <c r="AD837" s="268"/>
      <c r="AE837" s="268"/>
    </row>
    <row r="838" spans="1:31" ht="24.75" customHeight="1">
      <c r="A838" s="268"/>
      <c r="B838" s="268"/>
      <c r="C838" s="268"/>
      <c r="D838" s="268"/>
      <c r="E838" s="268"/>
      <c r="F838" s="268"/>
      <c r="G838" s="268"/>
      <c r="H838" s="268"/>
      <c r="I838" s="268"/>
      <c r="J838" s="268"/>
      <c r="K838" s="268"/>
      <c r="L838" s="309"/>
      <c r="M838" s="268"/>
      <c r="N838" s="268"/>
      <c r="O838" s="310"/>
      <c r="P838" s="268"/>
      <c r="Q838" s="309"/>
      <c r="R838" s="268"/>
      <c r="S838" s="313"/>
      <c r="T838" s="313"/>
      <c r="U838" s="268"/>
      <c r="V838" s="309"/>
      <c r="W838" s="310"/>
      <c r="X838" s="268"/>
      <c r="Y838" s="268"/>
      <c r="Z838" s="268"/>
      <c r="AA838" s="268"/>
      <c r="AB838" s="268"/>
      <c r="AC838" s="268"/>
      <c r="AD838" s="268"/>
      <c r="AE838" s="268"/>
    </row>
    <row r="839" spans="1:31" ht="24.75" customHeight="1">
      <c r="A839" s="268"/>
      <c r="B839" s="268"/>
      <c r="C839" s="268"/>
      <c r="D839" s="268"/>
      <c r="E839" s="268"/>
      <c r="F839" s="268"/>
      <c r="G839" s="268"/>
      <c r="H839" s="268"/>
      <c r="I839" s="268"/>
      <c r="J839" s="268"/>
      <c r="K839" s="268"/>
      <c r="L839" s="309"/>
      <c r="M839" s="268"/>
      <c r="N839" s="268"/>
      <c r="O839" s="310"/>
      <c r="P839" s="268"/>
      <c r="Q839" s="309"/>
      <c r="R839" s="268"/>
      <c r="S839" s="313"/>
      <c r="T839" s="313"/>
      <c r="U839" s="268"/>
      <c r="V839" s="309"/>
      <c r="W839" s="310"/>
      <c r="X839" s="268"/>
      <c r="Y839" s="268"/>
      <c r="Z839" s="268"/>
      <c r="AA839" s="268"/>
      <c r="AB839" s="268"/>
      <c r="AC839" s="268"/>
      <c r="AD839" s="268"/>
      <c r="AE839" s="268"/>
    </row>
    <row r="840" spans="1:31" ht="24.75" customHeight="1">
      <c r="A840" s="268"/>
      <c r="B840" s="268"/>
      <c r="C840" s="268"/>
      <c r="D840" s="268"/>
      <c r="E840" s="268"/>
      <c r="F840" s="268"/>
      <c r="G840" s="268"/>
      <c r="H840" s="268"/>
      <c r="I840" s="268"/>
      <c r="J840" s="268"/>
      <c r="K840" s="268"/>
      <c r="L840" s="309"/>
      <c r="M840" s="268"/>
      <c r="N840" s="268"/>
      <c r="O840" s="310"/>
      <c r="P840" s="268"/>
      <c r="Q840" s="309"/>
      <c r="R840" s="268"/>
      <c r="S840" s="313"/>
      <c r="T840" s="313"/>
      <c r="U840" s="268"/>
      <c r="V840" s="309"/>
      <c r="W840" s="310"/>
      <c r="X840" s="268"/>
      <c r="Y840" s="268"/>
      <c r="Z840" s="268"/>
      <c r="AA840" s="268"/>
      <c r="AB840" s="268"/>
      <c r="AC840" s="268"/>
      <c r="AD840" s="268"/>
      <c r="AE840" s="268"/>
    </row>
    <row r="841" spans="1:31" ht="24.75" customHeight="1">
      <c r="A841" s="268"/>
      <c r="B841" s="268"/>
      <c r="C841" s="268"/>
      <c r="D841" s="268"/>
      <c r="E841" s="268"/>
      <c r="F841" s="268"/>
      <c r="G841" s="268"/>
      <c r="H841" s="268"/>
      <c r="I841" s="268"/>
      <c r="J841" s="268"/>
      <c r="K841" s="268"/>
      <c r="L841" s="309"/>
      <c r="M841" s="268"/>
      <c r="N841" s="268"/>
      <c r="O841" s="310"/>
      <c r="P841" s="268"/>
      <c r="Q841" s="309"/>
      <c r="R841" s="268"/>
      <c r="S841" s="313"/>
      <c r="T841" s="313"/>
      <c r="U841" s="268"/>
      <c r="V841" s="309"/>
      <c r="W841" s="310"/>
      <c r="X841" s="268"/>
      <c r="Y841" s="268"/>
      <c r="Z841" s="268"/>
      <c r="AA841" s="268"/>
      <c r="AB841" s="268"/>
      <c r="AC841" s="268"/>
      <c r="AD841" s="268"/>
      <c r="AE841" s="268"/>
    </row>
    <row r="842" spans="1:31" ht="24.75" customHeight="1">
      <c r="A842" s="268"/>
      <c r="B842" s="268"/>
      <c r="C842" s="268"/>
      <c r="D842" s="268"/>
      <c r="E842" s="268"/>
      <c r="F842" s="268"/>
      <c r="G842" s="268"/>
      <c r="H842" s="268"/>
      <c r="I842" s="268"/>
      <c r="J842" s="268"/>
      <c r="K842" s="268"/>
      <c r="L842" s="309"/>
      <c r="M842" s="268"/>
      <c r="N842" s="268"/>
      <c r="O842" s="310"/>
      <c r="P842" s="268"/>
      <c r="Q842" s="309"/>
      <c r="R842" s="268"/>
      <c r="S842" s="313"/>
      <c r="T842" s="313"/>
      <c r="U842" s="268"/>
      <c r="V842" s="309"/>
      <c r="W842" s="310"/>
      <c r="X842" s="268"/>
      <c r="Y842" s="268"/>
      <c r="Z842" s="268"/>
      <c r="AA842" s="268"/>
      <c r="AB842" s="268"/>
      <c r="AC842" s="268"/>
      <c r="AD842" s="268"/>
      <c r="AE842" s="268"/>
    </row>
    <row r="843" spans="1:31" ht="24.75" customHeight="1">
      <c r="A843" s="268"/>
      <c r="B843" s="268"/>
      <c r="C843" s="268"/>
      <c r="D843" s="268"/>
      <c r="E843" s="268"/>
      <c r="F843" s="268"/>
      <c r="G843" s="268"/>
      <c r="H843" s="268"/>
      <c r="I843" s="268"/>
      <c r="J843" s="268"/>
      <c r="K843" s="268"/>
      <c r="L843" s="309"/>
      <c r="M843" s="268"/>
      <c r="N843" s="268"/>
      <c r="O843" s="310"/>
      <c r="P843" s="268"/>
      <c r="Q843" s="309"/>
      <c r="R843" s="268"/>
      <c r="S843" s="313"/>
      <c r="T843" s="313"/>
      <c r="U843" s="268"/>
      <c r="V843" s="309"/>
      <c r="W843" s="310"/>
      <c r="X843" s="268"/>
      <c r="Y843" s="268"/>
      <c r="Z843" s="268"/>
      <c r="AA843" s="268"/>
      <c r="AB843" s="268"/>
      <c r="AC843" s="268"/>
      <c r="AD843" s="268"/>
      <c r="AE843" s="268"/>
    </row>
    <row r="844" spans="1:31" ht="24.75" customHeight="1">
      <c r="A844" s="268"/>
      <c r="B844" s="268"/>
      <c r="C844" s="268"/>
      <c r="D844" s="268"/>
      <c r="E844" s="268"/>
      <c r="F844" s="268"/>
      <c r="G844" s="268"/>
      <c r="H844" s="268"/>
      <c r="I844" s="268"/>
      <c r="J844" s="268"/>
      <c r="K844" s="268"/>
      <c r="L844" s="309"/>
      <c r="M844" s="268"/>
      <c r="N844" s="268"/>
      <c r="O844" s="310"/>
      <c r="P844" s="268"/>
      <c r="Q844" s="309"/>
      <c r="R844" s="268"/>
      <c r="S844" s="313"/>
      <c r="T844" s="313"/>
      <c r="U844" s="268"/>
      <c r="V844" s="309"/>
      <c r="W844" s="310"/>
      <c r="X844" s="268"/>
      <c r="Y844" s="268"/>
      <c r="Z844" s="268"/>
      <c r="AA844" s="268"/>
      <c r="AB844" s="268"/>
      <c r="AC844" s="268"/>
      <c r="AD844" s="268"/>
      <c r="AE844" s="268"/>
    </row>
    <row r="845" spans="1:31" ht="24.75" customHeight="1">
      <c r="A845" s="268"/>
      <c r="B845" s="268"/>
      <c r="C845" s="268"/>
      <c r="D845" s="268"/>
      <c r="E845" s="268"/>
      <c r="F845" s="268"/>
      <c r="G845" s="268"/>
      <c r="H845" s="268"/>
      <c r="I845" s="268"/>
      <c r="J845" s="268"/>
      <c r="K845" s="268"/>
      <c r="L845" s="309"/>
      <c r="M845" s="268"/>
      <c r="N845" s="268"/>
      <c r="O845" s="310"/>
      <c r="P845" s="268"/>
      <c r="Q845" s="309"/>
      <c r="R845" s="268"/>
      <c r="S845" s="313"/>
      <c r="T845" s="313"/>
      <c r="U845" s="268"/>
      <c r="V845" s="309"/>
      <c r="W845" s="310"/>
      <c r="X845" s="268"/>
      <c r="Y845" s="268"/>
      <c r="Z845" s="268"/>
      <c r="AA845" s="268"/>
      <c r="AB845" s="268"/>
      <c r="AC845" s="268"/>
      <c r="AD845" s="268"/>
      <c r="AE845" s="268"/>
    </row>
    <row r="846" spans="1:31" ht="24.75" customHeight="1">
      <c r="A846" s="268"/>
      <c r="B846" s="268"/>
      <c r="C846" s="268"/>
      <c r="D846" s="268"/>
      <c r="E846" s="268"/>
      <c r="F846" s="268"/>
      <c r="G846" s="268"/>
      <c r="H846" s="268"/>
      <c r="I846" s="268"/>
      <c r="J846" s="268"/>
      <c r="K846" s="268"/>
      <c r="L846" s="309"/>
      <c r="M846" s="268"/>
      <c r="N846" s="268"/>
      <c r="O846" s="310"/>
      <c r="P846" s="268"/>
      <c r="Q846" s="309"/>
      <c r="R846" s="268"/>
      <c r="S846" s="313"/>
      <c r="T846" s="313"/>
      <c r="U846" s="268"/>
      <c r="V846" s="309"/>
      <c r="W846" s="310"/>
      <c r="X846" s="268"/>
      <c r="Y846" s="268"/>
      <c r="Z846" s="268"/>
      <c r="AA846" s="268"/>
      <c r="AB846" s="268"/>
      <c r="AC846" s="268"/>
      <c r="AD846" s="268"/>
      <c r="AE846" s="268"/>
    </row>
    <row r="847" spans="1:31" ht="24.75" customHeight="1">
      <c r="A847" s="268"/>
      <c r="B847" s="268"/>
      <c r="C847" s="268"/>
      <c r="D847" s="268"/>
      <c r="E847" s="268"/>
      <c r="F847" s="268"/>
      <c r="G847" s="268"/>
      <c r="H847" s="268"/>
      <c r="I847" s="268"/>
      <c r="J847" s="268"/>
      <c r="K847" s="268"/>
      <c r="L847" s="309"/>
      <c r="M847" s="268"/>
      <c r="N847" s="268"/>
      <c r="O847" s="310"/>
      <c r="P847" s="268"/>
      <c r="Q847" s="309"/>
      <c r="R847" s="268"/>
      <c r="S847" s="313"/>
      <c r="T847" s="313"/>
      <c r="U847" s="268"/>
      <c r="V847" s="309"/>
      <c r="W847" s="310"/>
      <c r="X847" s="268"/>
      <c r="Y847" s="268"/>
      <c r="Z847" s="268"/>
      <c r="AA847" s="268"/>
      <c r="AB847" s="268"/>
      <c r="AC847" s="268"/>
      <c r="AD847" s="268"/>
      <c r="AE847" s="268"/>
    </row>
    <row r="848" spans="1:31" ht="24.75" customHeight="1">
      <c r="A848" s="268"/>
      <c r="B848" s="268"/>
      <c r="C848" s="268"/>
      <c r="D848" s="268"/>
      <c r="E848" s="268"/>
      <c r="F848" s="268"/>
      <c r="G848" s="268"/>
      <c r="H848" s="268"/>
      <c r="I848" s="268"/>
      <c r="J848" s="268"/>
      <c r="K848" s="268"/>
      <c r="L848" s="309"/>
      <c r="M848" s="268"/>
      <c r="N848" s="268"/>
      <c r="O848" s="310"/>
      <c r="P848" s="268"/>
      <c r="Q848" s="309"/>
      <c r="R848" s="268"/>
      <c r="S848" s="313"/>
      <c r="T848" s="313"/>
      <c r="U848" s="268"/>
      <c r="V848" s="309"/>
      <c r="W848" s="310"/>
      <c r="X848" s="268"/>
      <c r="Y848" s="268"/>
      <c r="Z848" s="268"/>
      <c r="AA848" s="268"/>
      <c r="AB848" s="268"/>
      <c r="AC848" s="268"/>
      <c r="AD848" s="268"/>
      <c r="AE848" s="268"/>
    </row>
    <row r="849" spans="1:31" ht="24.75" customHeight="1">
      <c r="A849" s="268"/>
      <c r="B849" s="268"/>
      <c r="C849" s="268"/>
      <c r="D849" s="268"/>
      <c r="E849" s="268"/>
      <c r="F849" s="268"/>
      <c r="G849" s="268"/>
      <c r="H849" s="268"/>
      <c r="I849" s="268"/>
      <c r="J849" s="268"/>
      <c r="K849" s="268"/>
      <c r="L849" s="309"/>
      <c r="M849" s="268"/>
      <c r="N849" s="268"/>
      <c r="O849" s="310"/>
      <c r="P849" s="268"/>
      <c r="Q849" s="309"/>
      <c r="R849" s="268"/>
      <c r="S849" s="313"/>
      <c r="T849" s="313"/>
      <c r="U849" s="268"/>
      <c r="V849" s="309"/>
      <c r="W849" s="310"/>
      <c r="X849" s="268"/>
      <c r="Y849" s="268"/>
      <c r="Z849" s="268"/>
      <c r="AA849" s="268"/>
      <c r="AB849" s="268"/>
      <c r="AC849" s="268"/>
      <c r="AD849" s="268"/>
      <c r="AE849" s="268"/>
    </row>
    <row r="850" spans="1:31" ht="24.75" customHeight="1">
      <c r="A850" s="268"/>
      <c r="B850" s="268"/>
      <c r="C850" s="268"/>
      <c r="D850" s="268"/>
      <c r="E850" s="268"/>
      <c r="F850" s="268"/>
      <c r="G850" s="268"/>
      <c r="H850" s="268"/>
      <c r="I850" s="268"/>
      <c r="J850" s="268"/>
      <c r="K850" s="268"/>
      <c r="L850" s="309"/>
      <c r="M850" s="268"/>
      <c r="N850" s="268"/>
      <c r="O850" s="310"/>
      <c r="P850" s="268"/>
      <c r="Q850" s="309"/>
      <c r="R850" s="268"/>
      <c r="S850" s="313"/>
      <c r="T850" s="313"/>
      <c r="U850" s="268"/>
      <c r="V850" s="309"/>
      <c r="W850" s="310"/>
      <c r="X850" s="268"/>
      <c r="Y850" s="268"/>
      <c r="Z850" s="268"/>
      <c r="AA850" s="268"/>
      <c r="AB850" s="268"/>
      <c r="AC850" s="268"/>
      <c r="AD850" s="268"/>
      <c r="AE850" s="268"/>
    </row>
    <row r="851" spans="1:31" ht="24.75" customHeight="1">
      <c r="A851" s="268"/>
      <c r="B851" s="268"/>
      <c r="C851" s="268"/>
      <c r="D851" s="268"/>
      <c r="E851" s="268"/>
      <c r="F851" s="268"/>
      <c r="G851" s="268"/>
      <c r="H851" s="268"/>
      <c r="I851" s="268"/>
      <c r="J851" s="268"/>
      <c r="K851" s="268"/>
      <c r="L851" s="309"/>
      <c r="M851" s="268"/>
      <c r="N851" s="268"/>
      <c r="O851" s="310"/>
      <c r="P851" s="268"/>
      <c r="Q851" s="309"/>
      <c r="R851" s="268"/>
      <c r="S851" s="313"/>
      <c r="T851" s="313"/>
      <c r="U851" s="268"/>
      <c r="V851" s="309"/>
      <c r="W851" s="310"/>
      <c r="X851" s="268"/>
      <c r="Y851" s="268"/>
      <c r="Z851" s="268"/>
      <c r="AA851" s="268"/>
      <c r="AB851" s="268"/>
      <c r="AC851" s="268"/>
      <c r="AD851" s="268"/>
      <c r="AE851" s="268"/>
    </row>
    <row r="852" spans="1:31" ht="24.75" customHeight="1">
      <c r="A852" s="268"/>
      <c r="B852" s="268"/>
      <c r="C852" s="268"/>
      <c r="D852" s="268"/>
      <c r="E852" s="268"/>
      <c r="F852" s="268"/>
      <c r="G852" s="268"/>
      <c r="H852" s="268"/>
      <c r="I852" s="268"/>
      <c r="J852" s="268"/>
      <c r="K852" s="268"/>
      <c r="L852" s="309"/>
      <c r="M852" s="268"/>
      <c r="N852" s="268"/>
      <c r="O852" s="310"/>
      <c r="P852" s="268"/>
      <c r="Q852" s="309"/>
      <c r="R852" s="268"/>
      <c r="S852" s="313"/>
      <c r="T852" s="313"/>
      <c r="U852" s="268"/>
      <c r="V852" s="309"/>
      <c r="W852" s="310"/>
      <c r="X852" s="268"/>
      <c r="Y852" s="268"/>
      <c r="Z852" s="268"/>
      <c r="AA852" s="268"/>
      <c r="AB852" s="268"/>
      <c r="AC852" s="268"/>
      <c r="AD852" s="268"/>
      <c r="AE852" s="268"/>
    </row>
    <row r="853" spans="1:31" ht="24.75" customHeight="1">
      <c r="A853" s="268"/>
      <c r="B853" s="268"/>
      <c r="C853" s="268"/>
      <c r="D853" s="268"/>
      <c r="E853" s="268"/>
      <c r="F853" s="268"/>
      <c r="G853" s="268"/>
      <c r="H853" s="268"/>
      <c r="I853" s="268"/>
      <c r="J853" s="268"/>
      <c r="K853" s="268"/>
      <c r="L853" s="309"/>
      <c r="M853" s="268"/>
      <c r="N853" s="268"/>
      <c r="O853" s="310"/>
      <c r="P853" s="268"/>
      <c r="Q853" s="309"/>
      <c r="R853" s="268"/>
      <c r="S853" s="313"/>
      <c r="T853" s="313"/>
      <c r="U853" s="268"/>
      <c r="V853" s="309"/>
      <c r="W853" s="310"/>
      <c r="X853" s="268"/>
      <c r="Y853" s="268"/>
      <c r="Z853" s="268"/>
      <c r="AA853" s="268"/>
      <c r="AB853" s="268"/>
      <c r="AC853" s="268"/>
      <c r="AD853" s="268"/>
      <c r="AE853" s="268"/>
    </row>
    <row r="854" spans="1:31" ht="24.75" customHeight="1">
      <c r="A854" s="268"/>
      <c r="B854" s="268"/>
      <c r="C854" s="268"/>
      <c r="D854" s="268"/>
      <c r="E854" s="268"/>
      <c r="F854" s="268"/>
      <c r="G854" s="268"/>
      <c r="H854" s="268"/>
      <c r="I854" s="268"/>
      <c r="J854" s="268"/>
      <c r="K854" s="268"/>
      <c r="L854" s="309"/>
      <c r="M854" s="268"/>
      <c r="N854" s="268"/>
      <c r="O854" s="310"/>
      <c r="P854" s="268"/>
      <c r="Q854" s="309"/>
      <c r="R854" s="268"/>
      <c r="S854" s="313"/>
      <c r="T854" s="313"/>
      <c r="U854" s="268"/>
      <c r="V854" s="309"/>
      <c r="W854" s="310"/>
      <c r="X854" s="268"/>
      <c r="Y854" s="268"/>
      <c r="Z854" s="268"/>
      <c r="AA854" s="268"/>
      <c r="AB854" s="268"/>
      <c r="AC854" s="268"/>
      <c r="AD854" s="268"/>
      <c r="AE854" s="268"/>
    </row>
    <row r="855" spans="1:31" ht="24.75" customHeight="1">
      <c r="A855" s="268"/>
      <c r="B855" s="268"/>
      <c r="C855" s="268"/>
      <c r="D855" s="268"/>
      <c r="E855" s="268"/>
      <c r="F855" s="268"/>
      <c r="G855" s="268"/>
      <c r="H855" s="268"/>
      <c r="I855" s="268"/>
      <c r="J855" s="268"/>
      <c r="K855" s="268"/>
      <c r="L855" s="309"/>
      <c r="M855" s="268"/>
      <c r="N855" s="268"/>
      <c r="O855" s="310"/>
      <c r="P855" s="268"/>
      <c r="Q855" s="309"/>
      <c r="R855" s="268"/>
      <c r="S855" s="313"/>
      <c r="T855" s="313"/>
      <c r="U855" s="268"/>
      <c r="V855" s="309"/>
      <c r="W855" s="310"/>
      <c r="X855" s="268"/>
      <c r="Y855" s="268"/>
      <c r="Z855" s="268"/>
      <c r="AA855" s="268"/>
      <c r="AB855" s="268"/>
      <c r="AC855" s="268"/>
      <c r="AD855" s="268"/>
      <c r="AE855" s="268"/>
    </row>
    <row r="856" spans="1:31" ht="24.75" customHeight="1">
      <c r="A856" s="268"/>
      <c r="B856" s="268"/>
      <c r="C856" s="268"/>
      <c r="D856" s="268"/>
      <c r="E856" s="268"/>
      <c r="F856" s="268"/>
      <c r="G856" s="268"/>
      <c r="H856" s="268"/>
      <c r="I856" s="268"/>
      <c r="J856" s="268"/>
      <c r="K856" s="268"/>
      <c r="L856" s="309"/>
      <c r="M856" s="268"/>
      <c r="N856" s="268"/>
      <c r="O856" s="310"/>
      <c r="P856" s="268"/>
      <c r="Q856" s="309"/>
      <c r="R856" s="268"/>
      <c r="S856" s="313"/>
      <c r="T856" s="313"/>
      <c r="U856" s="268"/>
      <c r="V856" s="309"/>
      <c r="W856" s="310"/>
      <c r="X856" s="268"/>
      <c r="Y856" s="268"/>
      <c r="Z856" s="268"/>
      <c r="AA856" s="268"/>
      <c r="AB856" s="268"/>
      <c r="AC856" s="268"/>
      <c r="AD856" s="268"/>
      <c r="AE856" s="268"/>
    </row>
    <row r="857" spans="1:31" ht="24.75" customHeight="1">
      <c r="A857" s="268"/>
      <c r="B857" s="268"/>
      <c r="C857" s="268"/>
      <c r="D857" s="268"/>
      <c r="E857" s="268"/>
      <c r="F857" s="268"/>
      <c r="G857" s="268"/>
      <c r="H857" s="268"/>
      <c r="I857" s="268"/>
      <c r="J857" s="268"/>
      <c r="K857" s="268"/>
      <c r="L857" s="309"/>
      <c r="M857" s="268"/>
      <c r="N857" s="268"/>
      <c r="O857" s="310"/>
      <c r="P857" s="268"/>
      <c r="Q857" s="309"/>
      <c r="R857" s="268"/>
      <c r="S857" s="313"/>
      <c r="T857" s="313"/>
      <c r="U857" s="268"/>
      <c r="V857" s="309"/>
      <c r="W857" s="310"/>
      <c r="X857" s="268"/>
      <c r="Y857" s="268"/>
      <c r="Z857" s="268"/>
      <c r="AA857" s="268"/>
      <c r="AB857" s="268"/>
      <c r="AC857" s="268"/>
      <c r="AD857" s="268"/>
      <c r="AE857" s="268"/>
    </row>
    <row r="858" spans="1:31" ht="24.75" customHeight="1">
      <c r="A858" s="268"/>
      <c r="B858" s="268"/>
      <c r="C858" s="268"/>
      <c r="D858" s="268"/>
      <c r="E858" s="268"/>
      <c r="F858" s="268"/>
      <c r="G858" s="268"/>
      <c r="H858" s="268"/>
      <c r="I858" s="268"/>
      <c r="J858" s="268"/>
      <c r="K858" s="268"/>
      <c r="L858" s="309"/>
      <c r="M858" s="268"/>
      <c r="N858" s="268"/>
      <c r="O858" s="310"/>
      <c r="P858" s="268"/>
      <c r="Q858" s="309"/>
      <c r="R858" s="268"/>
      <c r="S858" s="313"/>
      <c r="T858" s="313"/>
      <c r="U858" s="268"/>
      <c r="V858" s="309"/>
      <c r="W858" s="310"/>
      <c r="X858" s="268"/>
      <c r="Y858" s="268"/>
      <c r="Z858" s="268"/>
      <c r="AA858" s="268"/>
      <c r="AB858" s="268"/>
      <c r="AC858" s="268"/>
      <c r="AD858" s="268"/>
      <c r="AE858" s="268"/>
    </row>
    <row r="859" spans="1:31" ht="24.75" customHeight="1">
      <c r="A859" s="268"/>
      <c r="B859" s="268"/>
      <c r="C859" s="268"/>
      <c r="D859" s="268"/>
      <c r="E859" s="268"/>
      <c r="F859" s="268"/>
      <c r="G859" s="268"/>
      <c r="H859" s="268"/>
      <c r="I859" s="268"/>
      <c r="J859" s="268"/>
      <c r="K859" s="268"/>
      <c r="L859" s="309"/>
      <c r="M859" s="268"/>
      <c r="N859" s="268"/>
      <c r="O859" s="310"/>
      <c r="P859" s="268"/>
      <c r="Q859" s="309"/>
      <c r="R859" s="268"/>
      <c r="S859" s="313"/>
      <c r="T859" s="313"/>
      <c r="U859" s="268"/>
      <c r="V859" s="309"/>
      <c r="W859" s="310"/>
      <c r="X859" s="268"/>
      <c r="Y859" s="268"/>
      <c r="Z859" s="268"/>
      <c r="AA859" s="268"/>
      <c r="AB859" s="268"/>
      <c r="AC859" s="268"/>
      <c r="AD859" s="268"/>
      <c r="AE859" s="268"/>
    </row>
    <row r="860" spans="1:31" ht="24.75" customHeight="1">
      <c r="A860" s="268"/>
      <c r="B860" s="268"/>
      <c r="C860" s="268"/>
      <c r="D860" s="268"/>
      <c r="E860" s="268"/>
      <c r="F860" s="268"/>
      <c r="G860" s="268"/>
      <c r="H860" s="268"/>
      <c r="I860" s="268"/>
      <c r="J860" s="268"/>
      <c r="K860" s="268"/>
      <c r="L860" s="309"/>
      <c r="M860" s="268"/>
      <c r="N860" s="268"/>
      <c r="O860" s="310"/>
      <c r="P860" s="268"/>
      <c r="Q860" s="309"/>
      <c r="R860" s="268"/>
      <c r="S860" s="313"/>
      <c r="T860" s="313"/>
      <c r="U860" s="268"/>
      <c r="V860" s="309"/>
      <c r="W860" s="310"/>
      <c r="X860" s="268"/>
      <c r="Y860" s="268"/>
      <c r="Z860" s="268"/>
      <c r="AA860" s="268"/>
      <c r="AB860" s="268"/>
      <c r="AC860" s="268"/>
      <c r="AD860" s="268"/>
      <c r="AE860" s="268"/>
    </row>
    <row r="861" spans="1:31" ht="24.75" customHeight="1">
      <c r="A861" s="268"/>
      <c r="B861" s="268"/>
      <c r="C861" s="268"/>
      <c r="D861" s="268"/>
      <c r="E861" s="268"/>
      <c r="F861" s="268"/>
      <c r="G861" s="268"/>
      <c r="H861" s="268"/>
      <c r="I861" s="268"/>
      <c r="J861" s="268"/>
      <c r="K861" s="268"/>
      <c r="L861" s="309"/>
      <c r="M861" s="268"/>
      <c r="N861" s="268"/>
      <c r="O861" s="310"/>
      <c r="P861" s="268"/>
      <c r="Q861" s="309"/>
      <c r="R861" s="268"/>
      <c r="S861" s="313"/>
      <c r="T861" s="313"/>
      <c r="U861" s="268"/>
      <c r="V861" s="309"/>
      <c r="W861" s="310"/>
      <c r="X861" s="268"/>
      <c r="Y861" s="268"/>
      <c r="Z861" s="268"/>
      <c r="AA861" s="268"/>
      <c r="AB861" s="268"/>
      <c r="AC861" s="268"/>
      <c r="AD861" s="268"/>
      <c r="AE861" s="268"/>
    </row>
    <row r="862" spans="1:31" ht="24.75" customHeight="1">
      <c r="A862" s="268"/>
      <c r="B862" s="268"/>
      <c r="C862" s="268"/>
      <c r="D862" s="268"/>
      <c r="E862" s="268"/>
      <c r="F862" s="268"/>
      <c r="G862" s="268"/>
      <c r="H862" s="268"/>
      <c r="I862" s="268"/>
      <c r="J862" s="268"/>
      <c r="K862" s="268"/>
      <c r="L862" s="309"/>
      <c r="M862" s="268"/>
      <c r="N862" s="268"/>
      <c r="O862" s="310"/>
      <c r="P862" s="268"/>
      <c r="Q862" s="309"/>
      <c r="R862" s="268"/>
      <c r="S862" s="313"/>
      <c r="T862" s="313"/>
      <c r="U862" s="268"/>
      <c r="V862" s="309"/>
      <c r="W862" s="310"/>
      <c r="X862" s="268"/>
      <c r="Y862" s="268"/>
      <c r="Z862" s="268"/>
      <c r="AA862" s="268"/>
      <c r="AB862" s="268"/>
      <c r="AC862" s="268"/>
      <c r="AD862" s="268"/>
      <c r="AE862" s="268"/>
    </row>
    <row r="863" spans="1:31" ht="24.75" customHeight="1">
      <c r="A863" s="268"/>
      <c r="B863" s="268"/>
      <c r="C863" s="268"/>
      <c r="D863" s="268"/>
      <c r="E863" s="268"/>
      <c r="F863" s="268"/>
      <c r="G863" s="268"/>
      <c r="H863" s="268"/>
      <c r="I863" s="268"/>
      <c r="J863" s="268"/>
      <c r="K863" s="268"/>
      <c r="L863" s="309"/>
      <c r="M863" s="268"/>
      <c r="N863" s="268"/>
      <c r="O863" s="310"/>
      <c r="P863" s="268"/>
      <c r="Q863" s="309"/>
      <c r="R863" s="268"/>
      <c r="S863" s="313"/>
      <c r="T863" s="313"/>
      <c r="U863" s="268"/>
      <c r="V863" s="309"/>
      <c r="W863" s="310"/>
      <c r="X863" s="268"/>
      <c r="Y863" s="268"/>
      <c r="Z863" s="268"/>
      <c r="AA863" s="268"/>
      <c r="AB863" s="268"/>
      <c r="AC863" s="268"/>
      <c r="AD863" s="268"/>
      <c r="AE863" s="268"/>
    </row>
    <row r="864" spans="1:31" ht="24.75" customHeight="1">
      <c r="A864" s="268"/>
      <c r="B864" s="268"/>
      <c r="C864" s="268"/>
      <c r="D864" s="268"/>
      <c r="E864" s="268"/>
      <c r="F864" s="268"/>
      <c r="G864" s="268"/>
      <c r="H864" s="268"/>
      <c r="I864" s="268"/>
      <c r="J864" s="268"/>
      <c r="K864" s="268"/>
      <c r="L864" s="309"/>
      <c r="M864" s="268"/>
      <c r="N864" s="268"/>
      <c r="O864" s="310"/>
      <c r="P864" s="268"/>
      <c r="Q864" s="309"/>
      <c r="R864" s="268"/>
      <c r="S864" s="313"/>
      <c r="T864" s="313"/>
      <c r="U864" s="268"/>
      <c r="V864" s="309"/>
      <c r="W864" s="310"/>
      <c r="X864" s="268"/>
      <c r="Y864" s="268"/>
      <c r="Z864" s="268"/>
      <c r="AA864" s="268"/>
      <c r="AB864" s="268"/>
      <c r="AC864" s="268"/>
      <c r="AD864" s="268"/>
      <c r="AE864" s="268"/>
    </row>
    <row r="865" spans="1:31" ht="24.75" customHeight="1">
      <c r="A865" s="268"/>
      <c r="B865" s="268"/>
      <c r="C865" s="268"/>
      <c r="D865" s="268"/>
      <c r="E865" s="268"/>
      <c r="F865" s="268"/>
      <c r="G865" s="268"/>
      <c r="H865" s="268"/>
      <c r="I865" s="268"/>
      <c r="J865" s="268"/>
      <c r="K865" s="268"/>
      <c r="L865" s="309"/>
      <c r="M865" s="268"/>
      <c r="N865" s="268"/>
      <c r="O865" s="310"/>
      <c r="P865" s="268"/>
      <c r="Q865" s="309"/>
      <c r="R865" s="268"/>
      <c r="S865" s="313"/>
      <c r="T865" s="313"/>
      <c r="U865" s="268"/>
      <c r="V865" s="309"/>
      <c r="W865" s="310"/>
      <c r="X865" s="268"/>
      <c r="Y865" s="268"/>
      <c r="Z865" s="268"/>
      <c r="AA865" s="268"/>
      <c r="AB865" s="268"/>
      <c r="AC865" s="268"/>
      <c r="AD865" s="268"/>
      <c r="AE865" s="268"/>
    </row>
    <row r="866" spans="1:31" ht="24.75" customHeight="1">
      <c r="A866" s="268"/>
      <c r="B866" s="268"/>
      <c r="C866" s="268"/>
      <c r="D866" s="268"/>
      <c r="E866" s="268"/>
      <c r="F866" s="268"/>
      <c r="G866" s="268"/>
      <c r="H866" s="268"/>
      <c r="I866" s="268"/>
      <c r="J866" s="268"/>
      <c r="K866" s="268"/>
      <c r="L866" s="309"/>
      <c r="M866" s="268"/>
      <c r="N866" s="268"/>
      <c r="O866" s="310"/>
      <c r="P866" s="268"/>
      <c r="Q866" s="309"/>
      <c r="R866" s="268"/>
      <c r="S866" s="313"/>
      <c r="T866" s="313"/>
      <c r="U866" s="268"/>
      <c r="V866" s="309"/>
      <c r="W866" s="310"/>
      <c r="X866" s="268"/>
      <c r="Y866" s="268"/>
      <c r="Z866" s="268"/>
      <c r="AA866" s="268"/>
      <c r="AB866" s="268"/>
      <c r="AC866" s="268"/>
      <c r="AD866" s="268"/>
      <c r="AE866" s="268"/>
    </row>
    <row r="867" spans="1:31" ht="24.75" customHeight="1">
      <c r="A867" s="268"/>
      <c r="B867" s="268"/>
      <c r="C867" s="268"/>
      <c r="D867" s="268"/>
      <c r="E867" s="268"/>
      <c r="F867" s="268"/>
      <c r="G867" s="268"/>
      <c r="H867" s="268"/>
      <c r="I867" s="268"/>
      <c r="J867" s="268"/>
      <c r="K867" s="268"/>
      <c r="L867" s="309"/>
      <c r="M867" s="268"/>
      <c r="N867" s="268"/>
      <c r="O867" s="310"/>
      <c r="P867" s="268"/>
      <c r="Q867" s="309"/>
      <c r="R867" s="268"/>
      <c r="S867" s="313"/>
      <c r="T867" s="313"/>
      <c r="U867" s="268"/>
      <c r="V867" s="309"/>
      <c r="W867" s="310"/>
      <c r="X867" s="268"/>
      <c r="Y867" s="268"/>
      <c r="Z867" s="268"/>
      <c r="AA867" s="268"/>
      <c r="AB867" s="268"/>
      <c r="AC867" s="268"/>
      <c r="AD867" s="268"/>
      <c r="AE867" s="268"/>
    </row>
    <row r="868" spans="1:31" ht="24.75" customHeight="1">
      <c r="A868" s="268"/>
      <c r="B868" s="268"/>
      <c r="C868" s="268"/>
      <c r="D868" s="268"/>
      <c r="E868" s="268"/>
      <c r="F868" s="268"/>
      <c r="G868" s="268"/>
      <c r="H868" s="268"/>
      <c r="I868" s="268"/>
      <c r="J868" s="268"/>
      <c r="K868" s="268"/>
      <c r="L868" s="309"/>
      <c r="M868" s="268"/>
      <c r="N868" s="268"/>
      <c r="O868" s="310"/>
      <c r="P868" s="268"/>
      <c r="Q868" s="309"/>
      <c r="R868" s="268"/>
      <c r="S868" s="313"/>
      <c r="T868" s="313"/>
      <c r="U868" s="268"/>
      <c r="V868" s="309"/>
      <c r="W868" s="310"/>
      <c r="X868" s="268"/>
      <c r="Y868" s="268"/>
      <c r="Z868" s="268"/>
      <c r="AA868" s="268"/>
      <c r="AB868" s="268"/>
      <c r="AC868" s="268"/>
      <c r="AD868" s="268"/>
      <c r="AE868" s="268"/>
    </row>
    <row r="869" spans="1:31" ht="24.75" customHeight="1">
      <c r="A869" s="268"/>
      <c r="B869" s="268"/>
      <c r="C869" s="268"/>
      <c r="D869" s="268"/>
      <c r="E869" s="268"/>
      <c r="F869" s="268"/>
      <c r="G869" s="268"/>
      <c r="H869" s="268"/>
      <c r="I869" s="268"/>
      <c r="J869" s="268"/>
      <c r="K869" s="268"/>
      <c r="L869" s="309"/>
      <c r="M869" s="268"/>
      <c r="N869" s="268"/>
      <c r="O869" s="310"/>
      <c r="P869" s="268"/>
      <c r="Q869" s="309"/>
      <c r="R869" s="268"/>
      <c r="S869" s="313"/>
      <c r="T869" s="313"/>
      <c r="U869" s="268"/>
      <c r="V869" s="309"/>
      <c r="W869" s="310"/>
      <c r="X869" s="268"/>
      <c r="Y869" s="268"/>
      <c r="Z869" s="268"/>
      <c r="AA869" s="268"/>
      <c r="AB869" s="268"/>
      <c r="AC869" s="268"/>
      <c r="AD869" s="268"/>
      <c r="AE869" s="268"/>
    </row>
    <row r="870" spans="1:31" ht="24.75" customHeight="1">
      <c r="A870" s="268"/>
      <c r="B870" s="268"/>
      <c r="C870" s="268"/>
      <c r="D870" s="268"/>
      <c r="E870" s="268"/>
      <c r="F870" s="268"/>
      <c r="G870" s="268"/>
      <c r="H870" s="268"/>
      <c r="I870" s="268"/>
      <c r="J870" s="268"/>
      <c r="K870" s="268"/>
      <c r="L870" s="309"/>
      <c r="M870" s="268"/>
      <c r="N870" s="268"/>
      <c r="O870" s="310"/>
      <c r="P870" s="268"/>
      <c r="Q870" s="309"/>
      <c r="R870" s="268"/>
      <c r="S870" s="313"/>
      <c r="T870" s="313"/>
      <c r="U870" s="268"/>
      <c r="V870" s="309"/>
      <c r="W870" s="310"/>
      <c r="X870" s="268"/>
      <c r="Y870" s="268"/>
      <c r="Z870" s="268"/>
      <c r="AA870" s="268"/>
      <c r="AB870" s="268"/>
      <c r="AC870" s="268"/>
      <c r="AD870" s="268"/>
      <c r="AE870" s="268"/>
    </row>
    <row r="871" spans="1:31" ht="24.75" customHeight="1">
      <c r="A871" s="268"/>
      <c r="B871" s="268"/>
      <c r="C871" s="268"/>
      <c r="D871" s="268"/>
      <c r="E871" s="268"/>
      <c r="F871" s="268"/>
      <c r="G871" s="268"/>
      <c r="H871" s="268"/>
      <c r="I871" s="268"/>
      <c r="J871" s="268"/>
      <c r="K871" s="268"/>
      <c r="L871" s="309"/>
      <c r="M871" s="268"/>
      <c r="N871" s="268"/>
      <c r="O871" s="310"/>
      <c r="P871" s="268"/>
      <c r="Q871" s="309"/>
      <c r="R871" s="268"/>
      <c r="S871" s="313"/>
      <c r="T871" s="313"/>
      <c r="U871" s="268"/>
      <c r="V871" s="309"/>
      <c r="W871" s="310"/>
      <c r="X871" s="268"/>
      <c r="Y871" s="268"/>
      <c r="Z871" s="268"/>
      <c r="AA871" s="268"/>
      <c r="AB871" s="268"/>
      <c r="AC871" s="268"/>
      <c r="AD871" s="268"/>
      <c r="AE871" s="268"/>
    </row>
    <row r="872" spans="1:31" ht="24.75" customHeight="1">
      <c r="A872" s="268"/>
      <c r="B872" s="268"/>
      <c r="C872" s="268"/>
      <c r="D872" s="268"/>
      <c r="E872" s="268"/>
      <c r="F872" s="268"/>
      <c r="G872" s="268"/>
      <c r="H872" s="268"/>
      <c r="I872" s="268"/>
      <c r="J872" s="268"/>
      <c r="K872" s="268"/>
      <c r="L872" s="309"/>
      <c r="M872" s="268"/>
      <c r="N872" s="268"/>
      <c r="O872" s="310"/>
      <c r="P872" s="268"/>
      <c r="Q872" s="309"/>
      <c r="R872" s="268"/>
      <c r="S872" s="313"/>
      <c r="T872" s="313"/>
      <c r="U872" s="268"/>
      <c r="V872" s="309"/>
      <c r="W872" s="310"/>
      <c r="X872" s="268"/>
      <c r="Y872" s="268"/>
      <c r="Z872" s="268"/>
      <c r="AA872" s="268"/>
      <c r="AB872" s="268"/>
      <c r="AC872" s="268"/>
      <c r="AD872" s="268"/>
      <c r="AE872" s="268"/>
    </row>
    <row r="873" spans="1:31" ht="24.75" customHeight="1">
      <c r="A873" s="268"/>
      <c r="B873" s="268"/>
      <c r="C873" s="268"/>
      <c r="D873" s="268"/>
      <c r="E873" s="268"/>
      <c r="F873" s="268"/>
      <c r="G873" s="268"/>
      <c r="H873" s="268"/>
      <c r="I873" s="268"/>
      <c r="J873" s="268"/>
      <c r="K873" s="268"/>
      <c r="L873" s="309"/>
      <c r="M873" s="268"/>
      <c r="N873" s="268"/>
      <c r="O873" s="310"/>
      <c r="P873" s="268"/>
      <c r="Q873" s="309"/>
      <c r="R873" s="268"/>
      <c r="S873" s="313"/>
      <c r="T873" s="313"/>
      <c r="U873" s="268"/>
      <c r="V873" s="309"/>
      <c r="W873" s="310"/>
      <c r="X873" s="268"/>
      <c r="Y873" s="268"/>
      <c r="Z873" s="268"/>
      <c r="AA873" s="268"/>
      <c r="AB873" s="268"/>
      <c r="AC873" s="268"/>
      <c r="AD873" s="268"/>
      <c r="AE873" s="268"/>
    </row>
    <row r="874" spans="1:31" ht="24.75" customHeight="1">
      <c r="A874" s="268"/>
      <c r="B874" s="268"/>
      <c r="C874" s="268"/>
      <c r="D874" s="268"/>
      <c r="E874" s="268"/>
      <c r="F874" s="268"/>
      <c r="G874" s="268"/>
      <c r="H874" s="268"/>
      <c r="I874" s="268"/>
      <c r="J874" s="268"/>
      <c r="K874" s="268"/>
      <c r="L874" s="309"/>
      <c r="M874" s="268"/>
      <c r="N874" s="268"/>
      <c r="O874" s="310"/>
      <c r="P874" s="268"/>
      <c r="Q874" s="309"/>
      <c r="R874" s="268"/>
      <c r="S874" s="313"/>
      <c r="T874" s="313"/>
      <c r="U874" s="268"/>
      <c r="V874" s="309"/>
      <c r="W874" s="310"/>
      <c r="X874" s="268"/>
      <c r="Y874" s="268"/>
      <c r="Z874" s="268"/>
      <c r="AA874" s="268"/>
      <c r="AB874" s="268"/>
      <c r="AC874" s="268"/>
      <c r="AD874" s="268"/>
      <c r="AE874" s="268"/>
    </row>
    <row r="875" spans="1:31" ht="24.75" customHeight="1">
      <c r="A875" s="268"/>
      <c r="B875" s="268"/>
      <c r="C875" s="268"/>
      <c r="D875" s="268"/>
      <c r="E875" s="268"/>
      <c r="F875" s="268"/>
      <c r="G875" s="268"/>
      <c r="H875" s="268"/>
      <c r="I875" s="268"/>
      <c r="J875" s="268"/>
      <c r="K875" s="268"/>
      <c r="L875" s="309"/>
      <c r="M875" s="268"/>
      <c r="N875" s="268"/>
      <c r="O875" s="310"/>
      <c r="P875" s="268"/>
      <c r="Q875" s="309"/>
      <c r="R875" s="268"/>
      <c r="S875" s="313"/>
      <c r="T875" s="313"/>
      <c r="U875" s="268"/>
      <c r="V875" s="309"/>
      <c r="W875" s="310"/>
      <c r="X875" s="268"/>
      <c r="Y875" s="268"/>
      <c r="Z875" s="268"/>
      <c r="AA875" s="268"/>
      <c r="AB875" s="268"/>
      <c r="AC875" s="268"/>
      <c r="AD875" s="268"/>
      <c r="AE875" s="268"/>
    </row>
    <row r="876" spans="1:31" ht="24.75" customHeight="1">
      <c r="A876" s="268"/>
      <c r="B876" s="268"/>
      <c r="C876" s="268"/>
      <c r="D876" s="268"/>
      <c r="E876" s="268"/>
      <c r="F876" s="268"/>
      <c r="G876" s="268"/>
      <c r="H876" s="268"/>
      <c r="I876" s="268"/>
      <c r="J876" s="268"/>
      <c r="K876" s="268"/>
      <c r="L876" s="309"/>
      <c r="M876" s="268"/>
      <c r="N876" s="268"/>
      <c r="O876" s="310"/>
      <c r="P876" s="268"/>
      <c r="Q876" s="309"/>
      <c r="R876" s="268"/>
      <c r="S876" s="313"/>
      <c r="T876" s="313"/>
      <c r="U876" s="268"/>
      <c r="V876" s="309"/>
      <c r="W876" s="310"/>
      <c r="X876" s="268"/>
      <c r="Y876" s="268"/>
      <c r="Z876" s="268"/>
      <c r="AA876" s="268"/>
      <c r="AB876" s="268"/>
      <c r="AC876" s="268"/>
      <c r="AD876" s="268"/>
      <c r="AE876" s="268"/>
    </row>
    <row r="877" spans="1:31" ht="24.75" customHeight="1">
      <c r="A877" s="268"/>
      <c r="B877" s="268"/>
      <c r="C877" s="268"/>
      <c r="D877" s="268"/>
      <c r="E877" s="268"/>
      <c r="F877" s="268"/>
      <c r="G877" s="268"/>
      <c r="H877" s="268"/>
      <c r="I877" s="268"/>
      <c r="J877" s="268"/>
      <c r="K877" s="268"/>
      <c r="L877" s="309"/>
      <c r="M877" s="268"/>
      <c r="N877" s="268"/>
      <c r="O877" s="310"/>
      <c r="P877" s="268"/>
      <c r="Q877" s="309"/>
      <c r="R877" s="268"/>
      <c r="S877" s="313"/>
      <c r="T877" s="313"/>
      <c r="U877" s="268"/>
      <c r="V877" s="309"/>
      <c r="W877" s="310"/>
      <c r="X877" s="268"/>
      <c r="Y877" s="268"/>
      <c r="Z877" s="268"/>
      <c r="AA877" s="268"/>
      <c r="AB877" s="268"/>
      <c r="AC877" s="268"/>
      <c r="AD877" s="268"/>
      <c r="AE877" s="268"/>
    </row>
    <row r="878" spans="1:31" ht="24.75" customHeight="1">
      <c r="A878" s="268"/>
      <c r="B878" s="268"/>
      <c r="C878" s="268"/>
      <c r="D878" s="268"/>
      <c r="E878" s="268"/>
      <c r="F878" s="268"/>
      <c r="G878" s="268"/>
      <c r="H878" s="268"/>
      <c r="I878" s="268"/>
      <c r="J878" s="268"/>
      <c r="K878" s="268"/>
      <c r="L878" s="309"/>
      <c r="M878" s="268"/>
      <c r="N878" s="268"/>
      <c r="O878" s="310"/>
      <c r="P878" s="268"/>
      <c r="Q878" s="309"/>
      <c r="R878" s="268"/>
      <c r="S878" s="313"/>
      <c r="T878" s="313"/>
      <c r="U878" s="268"/>
      <c r="V878" s="309"/>
      <c r="W878" s="310"/>
      <c r="X878" s="268"/>
      <c r="Y878" s="268"/>
      <c r="Z878" s="268"/>
      <c r="AA878" s="268"/>
      <c r="AB878" s="268"/>
      <c r="AC878" s="268"/>
      <c r="AD878" s="268"/>
      <c r="AE878" s="268"/>
    </row>
    <row r="879" spans="1:31" ht="24.75" customHeight="1">
      <c r="A879" s="268"/>
      <c r="B879" s="268"/>
      <c r="C879" s="268"/>
      <c r="D879" s="268"/>
      <c r="E879" s="268"/>
      <c r="F879" s="268"/>
      <c r="G879" s="268"/>
      <c r="H879" s="268"/>
      <c r="I879" s="268"/>
      <c r="J879" s="268"/>
      <c r="K879" s="268"/>
      <c r="L879" s="309"/>
      <c r="M879" s="268"/>
      <c r="N879" s="268"/>
      <c r="O879" s="310"/>
      <c r="P879" s="268"/>
      <c r="Q879" s="309"/>
      <c r="R879" s="268"/>
      <c r="S879" s="313"/>
      <c r="T879" s="313"/>
      <c r="U879" s="268"/>
      <c r="V879" s="309"/>
      <c r="W879" s="310"/>
      <c r="X879" s="268"/>
      <c r="Y879" s="268"/>
      <c r="Z879" s="268"/>
      <c r="AA879" s="268"/>
      <c r="AB879" s="268"/>
      <c r="AC879" s="268"/>
      <c r="AD879" s="268"/>
      <c r="AE879" s="268"/>
    </row>
    <row r="880" spans="1:31" ht="24.75" customHeight="1">
      <c r="A880" s="268"/>
      <c r="B880" s="268"/>
      <c r="C880" s="268"/>
      <c r="D880" s="268"/>
      <c r="E880" s="268"/>
      <c r="F880" s="268"/>
      <c r="G880" s="268"/>
      <c r="H880" s="268"/>
      <c r="I880" s="268"/>
      <c r="J880" s="268"/>
      <c r="K880" s="268"/>
      <c r="L880" s="309"/>
      <c r="M880" s="268"/>
      <c r="N880" s="268"/>
      <c r="O880" s="310"/>
      <c r="P880" s="268"/>
      <c r="Q880" s="309"/>
      <c r="R880" s="268"/>
      <c r="S880" s="313"/>
      <c r="T880" s="313"/>
      <c r="U880" s="268"/>
      <c r="V880" s="309"/>
      <c r="W880" s="310"/>
      <c r="X880" s="268"/>
      <c r="Y880" s="268"/>
      <c r="Z880" s="268"/>
      <c r="AA880" s="268"/>
      <c r="AB880" s="268"/>
      <c r="AC880" s="268"/>
      <c r="AD880" s="268"/>
      <c r="AE880" s="268"/>
    </row>
    <row r="881" spans="1:31" ht="24.75" customHeight="1">
      <c r="A881" s="268"/>
      <c r="B881" s="268"/>
      <c r="C881" s="268"/>
      <c r="D881" s="268"/>
      <c r="E881" s="268"/>
      <c r="F881" s="268"/>
      <c r="G881" s="268"/>
      <c r="H881" s="268"/>
      <c r="I881" s="268"/>
      <c r="J881" s="268"/>
      <c r="K881" s="268"/>
      <c r="L881" s="309"/>
      <c r="M881" s="268"/>
      <c r="N881" s="268"/>
      <c r="O881" s="310"/>
      <c r="P881" s="268"/>
      <c r="Q881" s="309"/>
      <c r="R881" s="268"/>
      <c r="S881" s="313"/>
      <c r="T881" s="313"/>
      <c r="U881" s="268"/>
      <c r="V881" s="309"/>
      <c r="W881" s="310"/>
      <c r="X881" s="268"/>
      <c r="Y881" s="268"/>
      <c r="Z881" s="268"/>
      <c r="AA881" s="268"/>
      <c r="AB881" s="268"/>
      <c r="AC881" s="268"/>
      <c r="AD881" s="268"/>
      <c r="AE881" s="268"/>
    </row>
    <row r="882" spans="1:31" ht="24.75" customHeight="1">
      <c r="A882" s="268"/>
      <c r="B882" s="268"/>
      <c r="C882" s="268"/>
      <c r="D882" s="268"/>
      <c r="E882" s="268"/>
      <c r="F882" s="268"/>
      <c r="G882" s="268"/>
      <c r="H882" s="268"/>
      <c r="I882" s="268"/>
      <c r="J882" s="268"/>
      <c r="K882" s="268"/>
      <c r="L882" s="309"/>
      <c r="M882" s="268"/>
      <c r="N882" s="268"/>
      <c r="O882" s="310"/>
      <c r="P882" s="268"/>
      <c r="Q882" s="309"/>
      <c r="R882" s="268"/>
      <c r="S882" s="313"/>
      <c r="T882" s="313"/>
      <c r="U882" s="268"/>
      <c r="V882" s="309"/>
      <c r="W882" s="310"/>
      <c r="X882" s="268"/>
      <c r="Y882" s="268"/>
      <c r="Z882" s="268"/>
      <c r="AA882" s="268"/>
      <c r="AB882" s="268"/>
      <c r="AC882" s="268"/>
      <c r="AD882" s="268"/>
      <c r="AE882" s="268"/>
    </row>
    <row r="883" spans="1:31" ht="24.75" customHeight="1">
      <c r="A883" s="268"/>
      <c r="B883" s="268"/>
      <c r="C883" s="268"/>
      <c r="D883" s="268"/>
      <c r="E883" s="268"/>
      <c r="F883" s="268"/>
      <c r="G883" s="268"/>
      <c r="H883" s="268"/>
      <c r="I883" s="268"/>
      <c r="J883" s="268"/>
      <c r="K883" s="268"/>
      <c r="L883" s="309"/>
      <c r="M883" s="268"/>
      <c r="N883" s="268"/>
      <c r="O883" s="310"/>
      <c r="P883" s="268"/>
      <c r="Q883" s="309"/>
      <c r="R883" s="268"/>
      <c r="S883" s="313"/>
      <c r="T883" s="313"/>
      <c r="U883" s="268"/>
      <c r="V883" s="309"/>
      <c r="W883" s="310"/>
      <c r="X883" s="268"/>
      <c r="Y883" s="268"/>
      <c r="Z883" s="268"/>
      <c r="AA883" s="268"/>
      <c r="AB883" s="268"/>
      <c r="AC883" s="268"/>
      <c r="AD883" s="268"/>
      <c r="AE883" s="268"/>
    </row>
    <row r="884" spans="1:31" ht="24.75" customHeight="1">
      <c r="A884" s="268"/>
      <c r="B884" s="268"/>
      <c r="C884" s="268"/>
      <c r="D884" s="268"/>
      <c r="E884" s="268"/>
      <c r="F884" s="268"/>
      <c r="G884" s="268"/>
      <c r="H884" s="268"/>
      <c r="I884" s="268"/>
      <c r="J884" s="268"/>
      <c r="K884" s="268"/>
      <c r="L884" s="309"/>
      <c r="M884" s="268"/>
      <c r="N884" s="268"/>
      <c r="O884" s="310"/>
      <c r="P884" s="268"/>
      <c r="Q884" s="309"/>
      <c r="R884" s="268"/>
      <c r="S884" s="313"/>
      <c r="T884" s="313"/>
      <c r="U884" s="268"/>
      <c r="V884" s="309"/>
      <c r="W884" s="310"/>
      <c r="X884" s="268"/>
      <c r="Y884" s="268"/>
      <c r="Z884" s="268"/>
      <c r="AA884" s="268"/>
      <c r="AB884" s="268"/>
      <c r="AC884" s="268"/>
      <c r="AD884" s="268"/>
      <c r="AE884" s="268"/>
    </row>
    <row r="885" spans="1:31" ht="24.75" customHeight="1">
      <c r="A885" s="268"/>
      <c r="B885" s="268"/>
      <c r="C885" s="268"/>
      <c r="D885" s="268"/>
      <c r="E885" s="268"/>
      <c r="F885" s="268"/>
      <c r="G885" s="268"/>
      <c r="H885" s="268"/>
      <c r="I885" s="268"/>
      <c r="J885" s="268"/>
      <c r="K885" s="268"/>
      <c r="L885" s="309"/>
      <c r="M885" s="268"/>
      <c r="N885" s="268"/>
      <c r="O885" s="310"/>
      <c r="P885" s="268"/>
      <c r="Q885" s="309"/>
      <c r="R885" s="268"/>
      <c r="S885" s="313"/>
      <c r="T885" s="313"/>
      <c r="U885" s="268"/>
      <c r="V885" s="309"/>
      <c r="W885" s="310"/>
      <c r="X885" s="268"/>
      <c r="Y885" s="268"/>
      <c r="Z885" s="268"/>
      <c r="AA885" s="268"/>
      <c r="AB885" s="268"/>
      <c r="AC885" s="268"/>
      <c r="AD885" s="268"/>
      <c r="AE885" s="268"/>
    </row>
    <row r="886" spans="1:31" ht="24.75" customHeight="1">
      <c r="A886" s="268"/>
      <c r="B886" s="268"/>
      <c r="C886" s="268"/>
      <c r="D886" s="268"/>
      <c r="E886" s="268"/>
      <c r="F886" s="268"/>
      <c r="G886" s="268"/>
      <c r="H886" s="268"/>
      <c r="I886" s="268"/>
      <c r="J886" s="268"/>
      <c r="K886" s="268"/>
      <c r="L886" s="309"/>
      <c r="M886" s="268"/>
      <c r="N886" s="268"/>
      <c r="O886" s="310"/>
      <c r="P886" s="268"/>
      <c r="Q886" s="309"/>
      <c r="R886" s="268"/>
      <c r="S886" s="313"/>
      <c r="T886" s="313"/>
      <c r="U886" s="268"/>
      <c r="V886" s="309"/>
      <c r="W886" s="310"/>
      <c r="X886" s="268"/>
      <c r="Y886" s="268"/>
      <c r="Z886" s="268"/>
      <c r="AA886" s="268"/>
      <c r="AB886" s="268"/>
      <c r="AC886" s="268"/>
      <c r="AD886" s="268"/>
      <c r="AE886" s="268"/>
    </row>
    <row r="887" spans="1:31" ht="24.75" customHeight="1">
      <c r="A887" s="268"/>
      <c r="B887" s="268"/>
      <c r="C887" s="268"/>
      <c r="D887" s="268"/>
      <c r="E887" s="268"/>
      <c r="F887" s="268"/>
      <c r="G887" s="268"/>
      <c r="H887" s="268"/>
      <c r="I887" s="268"/>
      <c r="J887" s="268"/>
      <c r="K887" s="268"/>
      <c r="L887" s="309"/>
      <c r="M887" s="268"/>
      <c r="N887" s="268"/>
      <c r="O887" s="310"/>
      <c r="P887" s="268"/>
      <c r="Q887" s="309"/>
      <c r="R887" s="268"/>
      <c r="S887" s="313"/>
      <c r="T887" s="313"/>
      <c r="U887" s="268"/>
      <c r="V887" s="309"/>
      <c r="W887" s="310"/>
      <c r="X887" s="268"/>
      <c r="Y887" s="268"/>
      <c r="Z887" s="268"/>
      <c r="AA887" s="268"/>
      <c r="AB887" s="268"/>
      <c r="AC887" s="268"/>
      <c r="AD887" s="268"/>
      <c r="AE887" s="268"/>
    </row>
    <row r="888" spans="1:31" ht="24.75" customHeight="1">
      <c r="A888" s="268"/>
      <c r="B888" s="268"/>
      <c r="C888" s="268"/>
      <c r="D888" s="268"/>
      <c r="E888" s="268"/>
      <c r="F888" s="268"/>
      <c r="G888" s="268"/>
      <c r="H888" s="268"/>
      <c r="I888" s="268"/>
      <c r="J888" s="268"/>
      <c r="K888" s="268"/>
      <c r="L888" s="309"/>
      <c r="M888" s="268"/>
      <c r="N888" s="268"/>
      <c r="O888" s="310"/>
      <c r="P888" s="268"/>
      <c r="Q888" s="309"/>
      <c r="R888" s="268"/>
      <c r="S888" s="313"/>
      <c r="T888" s="313"/>
      <c r="U888" s="268"/>
      <c r="V888" s="309"/>
      <c r="W888" s="310"/>
      <c r="X888" s="268"/>
      <c r="Y888" s="268"/>
      <c r="Z888" s="268"/>
      <c r="AA888" s="268"/>
      <c r="AB888" s="268"/>
      <c r="AC888" s="268"/>
      <c r="AD888" s="268"/>
      <c r="AE888" s="268"/>
    </row>
    <row r="889" spans="1:31" ht="24.75" customHeight="1">
      <c r="A889" s="268"/>
      <c r="B889" s="268"/>
      <c r="C889" s="268"/>
      <c r="D889" s="268"/>
      <c r="E889" s="268"/>
      <c r="F889" s="268"/>
      <c r="G889" s="268"/>
      <c r="H889" s="268"/>
      <c r="I889" s="268"/>
      <c r="J889" s="268"/>
      <c r="K889" s="268"/>
      <c r="L889" s="309"/>
      <c r="M889" s="268"/>
      <c r="N889" s="268"/>
      <c r="O889" s="310"/>
      <c r="P889" s="268"/>
      <c r="Q889" s="309"/>
      <c r="R889" s="268"/>
      <c r="S889" s="313"/>
      <c r="T889" s="313"/>
      <c r="U889" s="268"/>
      <c r="V889" s="309"/>
      <c r="W889" s="310"/>
      <c r="X889" s="268"/>
      <c r="Y889" s="268"/>
      <c r="Z889" s="268"/>
      <c r="AA889" s="268"/>
      <c r="AB889" s="268"/>
      <c r="AC889" s="268"/>
      <c r="AD889" s="268"/>
      <c r="AE889" s="268"/>
    </row>
    <row r="890" spans="1:31" ht="24.75" customHeight="1">
      <c r="A890" s="268"/>
      <c r="B890" s="268"/>
      <c r="C890" s="268"/>
      <c r="D890" s="268"/>
      <c r="E890" s="268"/>
      <c r="F890" s="268"/>
      <c r="G890" s="268"/>
      <c r="H890" s="268"/>
      <c r="I890" s="268"/>
      <c r="J890" s="268"/>
      <c r="K890" s="268"/>
      <c r="L890" s="309"/>
      <c r="M890" s="268"/>
      <c r="N890" s="268"/>
      <c r="O890" s="310"/>
      <c r="P890" s="268"/>
      <c r="Q890" s="309"/>
      <c r="R890" s="268"/>
      <c r="S890" s="313"/>
      <c r="T890" s="313"/>
      <c r="U890" s="268"/>
      <c r="V890" s="309"/>
      <c r="W890" s="310"/>
      <c r="X890" s="268"/>
      <c r="Y890" s="268"/>
      <c r="Z890" s="268"/>
      <c r="AA890" s="268"/>
      <c r="AB890" s="268"/>
      <c r="AC890" s="268"/>
      <c r="AD890" s="268"/>
      <c r="AE890" s="268"/>
    </row>
    <row r="891" spans="1:31" ht="24.75" customHeight="1">
      <c r="A891" s="268"/>
      <c r="B891" s="268"/>
      <c r="C891" s="268"/>
      <c r="D891" s="268"/>
      <c r="E891" s="268"/>
      <c r="F891" s="268"/>
      <c r="G891" s="268"/>
      <c r="H891" s="268"/>
      <c r="I891" s="268"/>
      <c r="J891" s="268"/>
      <c r="K891" s="268"/>
      <c r="L891" s="309"/>
      <c r="M891" s="268"/>
      <c r="N891" s="268"/>
      <c r="O891" s="310"/>
      <c r="P891" s="268"/>
      <c r="Q891" s="309"/>
      <c r="R891" s="268"/>
      <c r="S891" s="313"/>
      <c r="T891" s="313"/>
      <c r="U891" s="268"/>
      <c r="V891" s="309"/>
      <c r="W891" s="310"/>
      <c r="X891" s="268"/>
      <c r="Y891" s="268"/>
      <c r="Z891" s="268"/>
      <c r="AA891" s="268"/>
      <c r="AB891" s="268"/>
      <c r="AC891" s="268"/>
      <c r="AD891" s="268"/>
      <c r="AE891" s="268"/>
    </row>
    <row r="892" spans="1:31" ht="24.75" customHeight="1">
      <c r="A892" s="268"/>
      <c r="B892" s="268"/>
      <c r="C892" s="268"/>
      <c r="D892" s="268"/>
      <c r="E892" s="268"/>
      <c r="F892" s="268"/>
      <c r="G892" s="268"/>
      <c r="H892" s="268"/>
      <c r="I892" s="268"/>
      <c r="J892" s="268"/>
      <c r="K892" s="268"/>
      <c r="L892" s="309"/>
      <c r="M892" s="268"/>
      <c r="N892" s="268"/>
      <c r="O892" s="310"/>
      <c r="P892" s="268"/>
      <c r="Q892" s="309"/>
      <c r="R892" s="268"/>
      <c r="S892" s="313"/>
      <c r="T892" s="313"/>
      <c r="U892" s="268"/>
      <c r="V892" s="309"/>
      <c r="W892" s="310"/>
      <c r="X892" s="268"/>
      <c r="Y892" s="268"/>
      <c r="Z892" s="268"/>
      <c r="AA892" s="268"/>
      <c r="AB892" s="268"/>
      <c r="AC892" s="268"/>
      <c r="AD892" s="268"/>
      <c r="AE892" s="268"/>
    </row>
    <row r="893" spans="1:31" ht="24.75" customHeight="1">
      <c r="A893" s="268"/>
      <c r="B893" s="268"/>
      <c r="C893" s="268"/>
      <c r="D893" s="268"/>
      <c r="E893" s="268"/>
      <c r="F893" s="268"/>
      <c r="G893" s="268"/>
      <c r="H893" s="268"/>
      <c r="I893" s="268"/>
      <c r="J893" s="268"/>
      <c r="K893" s="268"/>
      <c r="L893" s="309"/>
      <c r="M893" s="268"/>
      <c r="N893" s="268"/>
      <c r="O893" s="310"/>
      <c r="P893" s="268"/>
      <c r="Q893" s="309"/>
      <c r="R893" s="268"/>
      <c r="S893" s="313"/>
      <c r="T893" s="313"/>
      <c r="U893" s="268"/>
      <c r="V893" s="309"/>
      <c r="W893" s="310"/>
      <c r="X893" s="268"/>
      <c r="Y893" s="268"/>
      <c r="Z893" s="268"/>
      <c r="AA893" s="268"/>
      <c r="AB893" s="268"/>
      <c r="AC893" s="268"/>
      <c r="AD893" s="268"/>
      <c r="AE893" s="268"/>
    </row>
    <row r="894" spans="1:31" ht="24.75" customHeight="1">
      <c r="A894" s="268"/>
      <c r="B894" s="268"/>
      <c r="C894" s="268"/>
      <c r="D894" s="268"/>
      <c r="E894" s="268"/>
      <c r="F894" s="268"/>
      <c r="G894" s="268"/>
      <c r="H894" s="268"/>
      <c r="I894" s="268"/>
      <c r="J894" s="268"/>
      <c r="K894" s="268"/>
      <c r="L894" s="309"/>
      <c r="M894" s="268"/>
      <c r="N894" s="268"/>
      <c r="O894" s="310"/>
      <c r="P894" s="268"/>
      <c r="Q894" s="309"/>
      <c r="R894" s="268"/>
      <c r="S894" s="313"/>
      <c r="T894" s="313"/>
      <c r="U894" s="268"/>
      <c r="V894" s="309"/>
      <c r="W894" s="310"/>
      <c r="X894" s="268"/>
      <c r="Y894" s="268"/>
      <c r="Z894" s="268"/>
      <c r="AA894" s="268"/>
      <c r="AB894" s="268"/>
      <c r="AC894" s="268"/>
      <c r="AD894" s="268"/>
      <c r="AE894" s="268"/>
    </row>
    <row r="895" spans="1:31" ht="24.75" customHeight="1">
      <c r="A895" s="268"/>
      <c r="B895" s="268"/>
      <c r="C895" s="268"/>
      <c r="D895" s="268"/>
      <c r="E895" s="268"/>
      <c r="F895" s="268"/>
      <c r="G895" s="268"/>
      <c r="H895" s="268"/>
      <c r="I895" s="268"/>
      <c r="J895" s="268"/>
      <c r="K895" s="268"/>
      <c r="L895" s="309"/>
      <c r="M895" s="268"/>
      <c r="N895" s="268"/>
      <c r="O895" s="310"/>
      <c r="P895" s="268"/>
      <c r="Q895" s="309"/>
      <c r="R895" s="268"/>
      <c r="S895" s="313"/>
      <c r="T895" s="313"/>
      <c r="U895" s="268"/>
      <c r="V895" s="309"/>
      <c r="W895" s="310"/>
      <c r="X895" s="268"/>
      <c r="Y895" s="268"/>
      <c r="Z895" s="268"/>
      <c r="AA895" s="268"/>
      <c r="AB895" s="268"/>
      <c r="AC895" s="268"/>
      <c r="AD895" s="268"/>
      <c r="AE895" s="268"/>
    </row>
    <row r="896" spans="1:31" ht="24.75" customHeight="1">
      <c r="A896" s="268"/>
      <c r="B896" s="268"/>
      <c r="C896" s="268"/>
      <c r="D896" s="268"/>
      <c r="E896" s="268"/>
      <c r="F896" s="268"/>
      <c r="G896" s="268"/>
      <c r="H896" s="268"/>
      <c r="I896" s="268"/>
      <c r="J896" s="268"/>
      <c r="K896" s="268"/>
      <c r="L896" s="309"/>
      <c r="M896" s="268"/>
      <c r="N896" s="268"/>
      <c r="O896" s="310"/>
      <c r="P896" s="268"/>
      <c r="Q896" s="309"/>
      <c r="R896" s="268"/>
      <c r="S896" s="313"/>
      <c r="T896" s="313"/>
      <c r="U896" s="268"/>
      <c r="V896" s="309"/>
      <c r="W896" s="310"/>
      <c r="X896" s="268"/>
      <c r="Y896" s="268"/>
      <c r="Z896" s="268"/>
      <c r="AA896" s="268"/>
      <c r="AB896" s="268"/>
      <c r="AC896" s="268"/>
      <c r="AD896" s="268"/>
      <c r="AE896" s="268"/>
    </row>
    <row r="897" spans="1:31" ht="24.75" customHeight="1">
      <c r="A897" s="268"/>
      <c r="B897" s="268"/>
      <c r="C897" s="268"/>
      <c r="D897" s="268"/>
      <c r="E897" s="268"/>
      <c r="F897" s="268"/>
      <c r="G897" s="268"/>
      <c r="H897" s="268"/>
      <c r="I897" s="268"/>
      <c r="J897" s="268"/>
      <c r="K897" s="268"/>
      <c r="L897" s="309"/>
      <c r="M897" s="268"/>
      <c r="N897" s="268"/>
      <c r="O897" s="310"/>
      <c r="P897" s="268"/>
      <c r="Q897" s="309"/>
      <c r="R897" s="268"/>
      <c r="S897" s="313"/>
      <c r="T897" s="313"/>
      <c r="U897" s="268"/>
      <c r="V897" s="309"/>
      <c r="W897" s="310"/>
      <c r="X897" s="268"/>
      <c r="Y897" s="268"/>
      <c r="Z897" s="268"/>
      <c r="AA897" s="268"/>
      <c r="AB897" s="268"/>
      <c r="AC897" s="268"/>
      <c r="AD897" s="268"/>
      <c r="AE897" s="268"/>
    </row>
    <row r="898" spans="1:31" ht="24.75" customHeight="1">
      <c r="A898" s="268"/>
      <c r="B898" s="268"/>
      <c r="C898" s="268"/>
      <c r="D898" s="268"/>
      <c r="E898" s="268"/>
      <c r="F898" s="268"/>
      <c r="G898" s="268"/>
      <c r="H898" s="268"/>
      <c r="I898" s="268"/>
      <c r="J898" s="268"/>
      <c r="K898" s="268"/>
      <c r="L898" s="309"/>
      <c r="M898" s="268"/>
      <c r="N898" s="268"/>
      <c r="O898" s="310"/>
      <c r="P898" s="268"/>
      <c r="Q898" s="309"/>
      <c r="R898" s="268"/>
      <c r="S898" s="313"/>
      <c r="T898" s="313"/>
      <c r="U898" s="268"/>
      <c r="V898" s="309"/>
      <c r="W898" s="310"/>
      <c r="X898" s="268"/>
      <c r="Y898" s="268"/>
      <c r="Z898" s="268"/>
      <c r="AA898" s="268"/>
      <c r="AB898" s="268"/>
      <c r="AC898" s="268"/>
      <c r="AD898" s="268"/>
      <c r="AE898" s="268"/>
    </row>
    <row r="899" spans="1:31" ht="24.75" customHeight="1">
      <c r="A899" s="268"/>
      <c r="B899" s="268"/>
      <c r="C899" s="268"/>
      <c r="D899" s="268"/>
      <c r="E899" s="268"/>
      <c r="F899" s="268"/>
      <c r="G899" s="268"/>
      <c r="H899" s="268"/>
      <c r="I899" s="268"/>
      <c r="J899" s="268"/>
      <c r="K899" s="268"/>
      <c r="L899" s="309"/>
      <c r="M899" s="268"/>
      <c r="N899" s="268"/>
      <c r="O899" s="310"/>
      <c r="P899" s="268"/>
      <c r="Q899" s="309"/>
      <c r="R899" s="268"/>
      <c r="S899" s="313"/>
      <c r="T899" s="313"/>
      <c r="U899" s="268"/>
      <c r="V899" s="309"/>
      <c r="W899" s="310"/>
      <c r="X899" s="268"/>
      <c r="Y899" s="268"/>
      <c r="Z899" s="268"/>
      <c r="AA899" s="268"/>
      <c r="AB899" s="268"/>
      <c r="AC899" s="268"/>
      <c r="AD899" s="268"/>
      <c r="AE899" s="268"/>
    </row>
    <row r="900" spans="1:31" ht="24.75" customHeight="1">
      <c r="A900" s="268"/>
      <c r="B900" s="268"/>
      <c r="C900" s="268"/>
      <c r="D900" s="268"/>
      <c r="E900" s="268"/>
      <c r="F900" s="268"/>
      <c r="G900" s="268"/>
      <c r="H900" s="268"/>
      <c r="I900" s="268"/>
      <c r="J900" s="268"/>
      <c r="K900" s="268"/>
      <c r="L900" s="309"/>
      <c r="M900" s="268"/>
      <c r="N900" s="268"/>
      <c r="O900" s="310"/>
      <c r="P900" s="268"/>
      <c r="Q900" s="309"/>
      <c r="R900" s="268"/>
      <c r="S900" s="313"/>
      <c r="T900" s="313"/>
      <c r="U900" s="268"/>
      <c r="V900" s="309"/>
      <c r="W900" s="310"/>
      <c r="X900" s="268"/>
      <c r="Y900" s="268"/>
      <c r="Z900" s="268"/>
      <c r="AA900" s="268"/>
      <c r="AB900" s="268"/>
      <c r="AC900" s="268"/>
      <c r="AD900" s="268"/>
      <c r="AE900" s="268"/>
    </row>
    <row r="901" spans="1:31" ht="24.75" customHeight="1">
      <c r="A901" s="268"/>
      <c r="B901" s="268"/>
      <c r="C901" s="268"/>
      <c r="D901" s="268"/>
      <c r="E901" s="268"/>
      <c r="F901" s="268"/>
      <c r="G901" s="268"/>
      <c r="H901" s="268"/>
      <c r="I901" s="268"/>
      <c r="J901" s="268"/>
      <c r="K901" s="268"/>
      <c r="L901" s="309"/>
      <c r="M901" s="268"/>
      <c r="N901" s="268"/>
      <c r="O901" s="310"/>
      <c r="P901" s="268"/>
      <c r="Q901" s="309"/>
      <c r="R901" s="268"/>
      <c r="S901" s="313"/>
      <c r="T901" s="313"/>
      <c r="U901" s="268"/>
      <c r="V901" s="309"/>
      <c r="W901" s="310"/>
      <c r="X901" s="268"/>
      <c r="Y901" s="268"/>
      <c r="Z901" s="268"/>
      <c r="AA901" s="268"/>
      <c r="AB901" s="268"/>
      <c r="AC901" s="268"/>
      <c r="AD901" s="268"/>
      <c r="AE901" s="268"/>
    </row>
    <row r="902" spans="1:31" ht="24.75" customHeight="1">
      <c r="A902" s="268"/>
      <c r="B902" s="268"/>
      <c r="C902" s="268"/>
      <c r="D902" s="268"/>
      <c r="E902" s="268"/>
      <c r="F902" s="268"/>
      <c r="G902" s="268"/>
      <c r="H902" s="268"/>
      <c r="I902" s="268"/>
      <c r="J902" s="268"/>
      <c r="K902" s="268"/>
      <c r="L902" s="309"/>
      <c r="M902" s="268"/>
      <c r="N902" s="268"/>
      <c r="O902" s="310"/>
      <c r="P902" s="268"/>
      <c r="Q902" s="309"/>
      <c r="R902" s="268"/>
      <c r="S902" s="313"/>
      <c r="T902" s="313"/>
      <c r="U902" s="268"/>
      <c r="V902" s="309"/>
      <c r="W902" s="310"/>
      <c r="X902" s="268"/>
      <c r="Y902" s="268"/>
      <c r="Z902" s="268"/>
      <c r="AA902" s="268"/>
      <c r="AB902" s="268"/>
      <c r="AC902" s="268"/>
      <c r="AD902" s="268"/>
      <c r="AE902" s="268"/>
    </row>
    <row r="903" spans="1:31" ht="24.75" customHeight="1">
      <c r="A903" s="268"/>
      <c r="B903" s="268"/>
      <c r="C903" s="268"/>
      <c r="D903" s="268"/>
      <c r="E903" s="268"/>
      <c r="F903" s="268"/>
      <c r="G903" s="268"/>
      <c r="H903" s="268"/>
      <c r="I903" s="268"/>
      <c r="J903" s="268"/>
      <c r="K903" s="268"/>
      <c r="L903" s="309"/>
      <c r="M903" s="268"/>
      <c r="N903" s="268"/>
      <c r="O903" s="310"/>
      <c r="P903" s="268"/>
      <c r="Q903" s="309"/>
      <c r="R903" s="268"/>
      <c r="S903" s="313"/>
      <c r="T903" s="313"/>
      <c r="U903" s="268"/>
      <c r="V903" s="309"/>
      <c r="W903" s="310"/>
      <c r="X903" s="268"/>
      <c r="Y903" s="268"/>
      <c r="Z903" s="268"/>
      <c r="AA903" s="268"/>
      <c r="AB903" s="268"/>
      <c r="AC903" s="268"/>
      <c r="AD903" s="268"/>
      <c r="AE903" s="268"/>
    </row>
    <row r="904" spans="1:31" ht="24.75" customHeight="1">
      <c r="A904" s="268"/>
      <c r="B904" s="268"/>
      <c r="C904" s="268"/>
      <c r="D904" s="268"/>
      <c r="E904" s="268"/>
      <c r="F904" s="268"/>
      <c r="G904" s="268"/>
      <c r="H904" s="268"/>
      <c r="I904" s="268"/>
      <c r="J904" s="268"/>
      <c r="K904" s="268"/>
      <c r="L904" s="309"/>
      <c r="M904" s="268"/>
      <c r="N904" s="268"/>
      <c r="O904" s="310"/>
      <c r="P904" s="268"/>
      <c r="Q904" s="309"/>
      <c r="R904" s="268"/>
      <c r="S904" s="313"/>
      <c r="T904" s="313"/>
      <c r="U904" s="268"/>
      <c r="V904" s="309"/>
      <c r="W904" s="310"/>
      <c r="X904" s="268"/>
      <c r="Y904" s="268"/>
      <c r="Z904" s="268"/>
      <c r="AA904" s="268"/>
      <c r="AB904" s="268"/>
      <c r="AC904" s="268"/>
      <c r="AD904" s="268"/>
      <c r="AE904" s="268"/>
    </row>
    <row r="905" spans="1:31" ht="24.75" customHeight="1">
      <c r="A905" s="268"/>
      <c r="B905" s="268"/>
      <c r="C905" s="268"/>
      <c r="D905" s="268"/>
      <c r="E905" s="268"/>
      <c r="F905" s="268"/>
      <c r="G905" s="268"/>
      <c r="H905" s="268"/>
      <c r="I905" s="268"/>
      <c r="J905" s="268"/>
      <c r="K905" s="268"/>
      <c r="L905" s="309"/>
      <c r="M905" s="268"/>
      <c r="N905" s="268"/>
      <c r="O905" s="310"/>
      <c r="P905" s="268"/>
      <c r="Q905" s="309"/>
      <c r="R905" s="268"/>
      <c r="S905" s="313"/>
      <c r="T905" s="313"/>
      <c r="U905" s="268"/>
      <c r="V905" s="309"/>
      <c r="W905" s="310"/>
      <c r="X905" s="268"/>
      <c r="Y905" s="268"/>
      <c r="Z905" s="268"/>
      <c r="AA905" s="268"/>
      <c r="AB905" s="268"/>
      <c r="AC905" s="268"/>
      <c r="AD905" s="268"/>
      <c r="AE905" s="268"/>
    </row>
    <row r="906" spans="1:31" ht="24.75" customHeight="1">
      <c r="A906" s="268"/>
      <c r="B906" s="268"/>
      <c r="C906" s="268"/>
      <c r="D906" s="268"/>
      <c r="E906" s="268"/>
      <c r="F906" s="268"/>
      <c r="G906" s="268"/>
      <c r="H906" s="268"/>
      <c r="I906" s="268"/>
      <c r="J906" s="268"/>
      <c r="K906" s="268"/>
      <c r="L906" s="309"/>
      <c r="M906" s="268"/>
      <c r="N906" s="268"/>
      <c r="O906" s="310"/>
      <c r="P906" s="268"/>
      <c r="Q906" s="309"/>
      <c r="R906" s="268"/>
      <c r="S906" s="313"/>
      <c r="T906" s="313"/>
      <c r="U906" s="268"/>
      <c r="V906" s="309"/>
      <c r="W906" s="310"/>
      <c r="X906" s="268"/>
      <c r="Y906" s="268"/>
      <c r="Z906" s="268"/>
      <c r="AA906" s="268"/>
      <c r="AB906" s="268"/>
      <c r="AC906" s="268"/>
      <c r="AD906" s="268"/>
      <c r="AE906" s="268"/>
    </row>
    <row r="907" spans="1:31" ht="24.75" customHeight="1">
      <c r="A907" s="268"/>
      <c r="B907" s="268"/>
      <c r="C907" s="268"/>
      <c r="D907" s="268"/>
      <c r="E907" s="268"/>
      <c r="F907" s="268"/>
      <c r="G907" s="268"/>
      <c r="H907" s="268"/>
      <c r="I907" s="268"/>
      <c r="J907" s="268"/>
      <c r="K907" s="268"/>
      <c r="L907" s="309"/>
      <c r="M907" s="268"/>
      <c r="N907" s="268"/>
      <c r="O907" s="310"/>
      <c r="P907" s="268"/>
      <c r="Q907" s="309"/>
      <c r="R907" s="268"/>
      <c r="S907" s="313"/>
      <c r="T907" s="313"/>
      <c r="U907" s="268"/>
      <c r="V907" s="309"/>
      <c r="W907" s="310"/>
      <c r="X907" s="268"/>
      <c r="Y907" s="268"/>
      <c r="Z907" s="268"/>
      <c r="AA907" s="268"/>
      <c r="AB907" s="268"/>
      <c r="AC907" s="268"/>
      <c r="AD907" s="268"/>
      <c r="AE907" s="268"/>
    </row>
    <row r="908" spans="1:31" ht="24.75" customHeight="1">
      <c r="A908" s="268"/>
      <c r="B908" s="268"/>
      <c r="C908" s="268"/>
      <c r="D908" s="268"/>
      <c r="E908" s="268"/>
      <c r="F908" s="268"/>
      <c r="G908" s="268"/>
      <c r="H908" s="268"/>
      <c r="I908" s="268"/>
      <c r="J908" s="268"/>
      <c r="K908" s="268"/>
      <c r="L908" s="309"/>
      <c r="M908" s="268"/>
      <c r="N908" s="268"/>
      <c r="O908" s="310"/>
      <c r="P908" s="268"/>
      <c r="Q908" s="309"/>
      <c r="R908" s="268"/>
      <c r="S908" s="313"/>
      <c r="T908" s="313"/>
      <c r="U908" s="268"/>
      <c r="V908" s="309"/>
      <c r="W908" s="310"/>
      <c r="X908" s="268"/>
      <c r="Y908" s="268"/>
      <c r="Z908" s="268"/>
      <c r="AA908" s="268"/>
      <c r="AB908" s="268"/>
      <c r="AC908" s="268"/>
      <c r="AD908" s="268"/>
      <c r="AE908" s="268"/>
    </row>
    <row r="909" spans="1:31" ht="24.75" customHeight="1">
      <c r="A909" s="268"/>
      <c r="B909" s="268"/>
      <c r="C909" s="268"/>
      <c r="D909" s="268"/>
      <c r="E909" s="268"/>
      <c r="F909" s="268"/>
      <c r="G909" s="268"/>
      <c r="H909" s="268"/>
      <c r="I909" s="268"/>
      <c r="J909" s="268"/>
      <c r="K909" s="268"/>
      <c r="L909" s="309"/>
      <c r="M909" s="268"/>
      <c r="N909" s="268"/>
      <c r="O909" s="310"/>
      <c r="P909" s="268"/>
      <c r="Q909" s="309"/>
      <c r="R909" s="268"/>
      <c r="S909" s="313"/>
      <c r="T909" s="313"/>
      <c r="U909" s="268"/>
      <c r="V909" s="309"/>
      <c r="W909" s="310"/>
      <c r="X909" s="268"/>
      <c r="Y909" s="268"/>
      <c r="Z909" s="268"/>
      <c r="AA909" s="268"/>
      <c r="AB909" s="268"/>
      <c r="AC909" s="268"/>
      <c r="AD909" s="268"/>
      <c r="AE909" s="268"/>
    </row>
    <row r="910" spans="1:31" ht="24.75" customHeight="1">
      <c r="A910" s="268"/>
      <c r="B910" s="268"/>
      <c r="C910" s="268"/>
      <c r="D910" s="268"/>
      <c r="E910" s="268"/>
      <c r="F910" s="268"/>
      <c r="G910" s="268"/>
      <c r="H910" s="268"/>
      <c r="I910" s="268"/>
      <c r="J910" s="268"/>
      <c r="K910" s="268"/>
      <c r="L910" s="309"/>
      <c r="M910" s="268"/>
      <c r="N910" s="268"/>
      <c r="O910" s="310"/>
      <c r="P910" s="268"/>
      <c r="Q910" s="309"/>
      <c r="R910" s="268"/>
      <c r="S910" s="313"/>
      <c r="T910" s="313"/>
      <c r="U910" s="268"/>
      <c r="V910" s="309"/>
      <c r="W910" s="310"/>
      <c r="X910" s="268"/>
      <c r="Y910" s="268"/>
      <c r="Z910" s="268"/>
      <c r="AA910" s="268"/>
      <c r="AB910" s="268"/>
      <c r="AC910" s="268"/>
      <c r="AD910" s="268"/>
      <c r="AE910" s="268"/>
    </row>
    <row r="911" spans="1:31" ht="24.75" customHeight="1">
      <c r="A911" s="268"/>
      <c r="B911" s="268"/>
      <c r="C911" s="268"/>
      <c r="D911" s="268"/>
      <c r="E911" s="268"/>
      <c r="F911" s="268"/>
      <c r="G911" s="268"/>
      <c r="H911" s="268"/>
      <c r="I911" s="268"/>
      <c r="J911" s="268"/>
      <c r="K911" s="268"/>
      <c r="L911" s="309"/>
      <c r="M911" s="268"/>
      <c r="N911" s="268"/>
      <c r="O911" s="310"/>
      <c r="P911" s="268"/>
      <c r="Q911" s="309"/>
      <c r="R911" s="268"/>
      <c r="S911" s="313"/>
      <c r="T911" s="313"/>
      <c r="U911" s="268"/>
      <c r="V911" s="309"/>
      <c r="W911" s="310"/>
      <c r="X911" s="268"/>
      <c r="Y911" s="268"/>
      <c r="Z911" s="268"/>
      <c r="AA911" s="268"/>
      <c r="AB911" s="268"/>
      <c r="AC911" s="268"/>
      <c r="AD911" s="268"/>
      <c r="AE911" s="268"/>
    </row>
    <row r="912" spans="1:31" ht="24.75" customHeight="1">
      <c r="A912" s="268"/>
      <c r="B912" s="268"/>
      <c r="C912" s="268"/>
      <c r="D912" s="268"/>
      <c r="E912" s="268"/>
      <c r="F912" s="268"/>
      <c r="G912" s="268"/>
      <c r="H912" s="268"/>
      <c r="I912" s="268"/>
      <c r="J912" s="268"/>
      <c r="K912" s="268"/>
      <c r="L912" s="309"/>
      <c r="M912" s="268"/>
      <c r="N912" s="268"/>
      <c r="O912" s="310"/>
      <c r="P912" s="268"/>
      <c r="Q912" s="309"/>
      <c r="R912" s="268"/>
      <c r="S912" s="313"/>
      <c r="T912" s="313"/>
      <c r="U912" s="268"/>
      <c r="V912" s="309"/>
      <c r="W912" s="310"/>
      <c r="X912" s="268"/>
      <c r="Y912" s="268"/>
      <c r="Z912" s="268"/>
      <c r="AA912" s="268"/>
      <c r="AB912" s="268"/>
      <c r="AC912" s="268"/>
      <c r="AD912" s="268"/>
      <c r="AE912" s="268"/>
    </row>
    <row r="913" spans="1:31" ht="24.75" customHeight="1">
      <c r="A913" s="268"/>
      <c r="B913" s="268"/>
      <c r="C913" s="268"/>
      <c r="D913" s="268"/>
      <c r="E913" s="268"/>
      <c r="F913" s="268"/>
      <c r="G913" s="268"/>
      <c r="H913" s="268"/>
      <c r="I913" s="268"/>
      <c r="J913" s="268"/>
      <c r="K913" s="268"/>
      <c r="L913" s="309"/>
      <c r="M913" s="268"/>
      <c r="N913" s="268"/>
      <c r="O913" s="310"/>
      <c r="P913" s="268"/>
      <c r="Q913" s="309"/>
      <c r="R913" s="268"/>
      <c r="S913" s="313"/>
      <c r="T913" s="313"/>
      <c r="U913" s="268"/>
      <c r="V913" s="309"/>
      <c r="W913" s="310"/>
      <c r="X913" s="268"/>
      <c r="Y913" s="268"/>
      <c r="Z913" s="268"/>
      <c r="AA913" s="268"/>
      <c r="AB913" s="268"/>
      <c r="AC913" s="268"/>
      <c r="AD913" s="268"/>
      <c r="AE913" s="268"/>
    </row>
    <row r="914" spans="1:31" ht="24.75" customHeight="1">
      <c r="A914" s="268"/>
      <c r="B914" s="268"/>
      <c r="C914" s="268"/>
      <c r="D914" s="268"/>
      <c r="E914" s="268"/>
      <c r="F914" s="268"/>
      <c r="G914" s="268"/>
      <c r="H914" s="268"/>
      <c r="I914" s="268"/>
      <c r="J914" s="268"/>
      <c r="K914" s="268"/>
      <c r="L914" s="309"/>
      <c r="M914" s="268"/>
      <c r="N914" s="268"/>
      <c r="O914" s="310"/>
      <c r="P914" s="268"/>
      <c r="Q914" s="309"/>
      <c r="R914" s="268"/>
      <c r="S914" s="313"/>
      <c r="T914" s="313"/>
      <c r="U914" s="268"/>
      <c r="V914" s="309"/>
      <c r="W914" s="310"/>
      <c r="X914" s="268"/>
      <c r="Y914" s="268"/>
      <c r="Z914" s="268"/>
      <c r="AA914" s="268"/>
      <c r="AB914" s="268"/>
      <c r="AC914" s="268"/>
      <c r="AD914" s="268"/>
      <c r="AE914" s="268"/>
    </row>
    <row r="915" spans="1:31" ht="24.75" customHeight="1">
      <c r="A915" s="268"/>
      <c r="B915" s="268"/>
      <c r="C915" s="268"/>
      <c r="D915" s="268"/>
      <c r="E915" s="268"/>
      <c r="F915" s="268"/>
      <c r="G915" s="268"/>
      <c r="H915" s="268"/>
      <c r="I915" s="268"/>
      <c r="J915" s="268"/>
      <c r="K915" s="268"/>
      <c r="L915" s="309"/>
      <c r="M915" s="268"/>
      <c r="N915" s="268"/>
      <c r="O915" s="310"/>
      <c r="P915" s="268"/>
      <c r="Q915" s="309"/>
      <c r="R915" s="268"/>
      <c r="S915" s="313"/>
      <c r="T915" s="313"/>
      <c r="U915" s="268"/>
      <c r="V915" s="309"/>
      <c r="W915" s="310"/>
      <c r="X915" s="268"/>
      <c r="Y915" s="268"/>
      <c r="Z915" s="268"/>
      <c r="AA915" s="268"/>
      <c r="AB915" s="268"/>
      <c r="AC915" s="268"/>
      <c r="AD915" s="268"/>
      <c r="AE915" s="268"/>
    </row>
    <row r="916" spans="1:31" ht="24.75" customHeight="1">
      <c r="A916" s="268"/>
      <c r="B916" s="268"/>
      <c r="C916" s="268"/>
      <c r="D916" s="268"/>
      <c r="E916" s="268"/>
      <c r="F916" s="268"/>
      <c r="G916" s="268"/>
      <c r="H916" s="268"/>
      <c r="I916" s="268"/>
      <c r="J916" s="268"/>
      <c r="K916" s="268"/>
      <c r="L916" s="309"/>
      <c r="M916" s="268"/>
      <c r="N916" s="268"/>
      <c r="O916" s="310"/>
      <c r="P916" s="268"/>
      <c r="Q916" s="309"/>
      <c r="R916" s="268"/>
      <c r="S916" s="313"/>
      <c r="T916" s="313"/>
      <c r="U916" s="268"/>
      <c r="V916" s="309"/>
      <c r="W916" s="310"/>
      <c r="X916" s="268"/>
      <c r="Y916" s="268"/>
      <c r="Z916" s="268"/>
      <c r="AA916" s="268"/>
      <c r="AB916" s="268"/>
      <c r="AC916" s="268"/>
      <c r="AD916" s="268"/>
      <c r="AE916" s="268"/>
    </row>
    <row r="917" spans="1:31" ht="24.75" customHeight="1">
      <c r="A917" s="268"/>
      <c r="B917" s="268"/>
      <c r="C917" s="268"/>
      <c r="D917" s="268"/>
      <c r="E917" s="268"/>
      <c r="F917" s="268"/>
      <c r="G917" s="268"/>
      <c r="H917" s="268"/>
      <c r="I917" s="268"/>
      <c r="J917" s="268"/>
      <c r="K917" s="268"/>
      <c r="L917" s="309"/>
      <c r="M917" s="268"/>
      <c r="N917" s="268"/>
      <c r="O917" s="310"/>
      <c r="P917" s="268"/>
      <c r="Q917" s="309"/>
      <c r="R917" s="268"/>
      <c r="S917" s="313"/>
      <c r="T917" s="313"/>
      <c r="U917" s="268"/>
      <c r="V917" s="309"/>
      <c r="W917" s="310"/>
      <c r="X917" s="268"/>
      <c r="Y917" s="268"/>
      <c r="Z917" s="268"/>
      <c r="AA917" s="268"/>
      <c r="AB917" s="268"/>
      <c r="AC917" s="268"/>
      <c r="AD917" s="268"/>
      <c r="AE917" s="268"/>
    </row>
    <row r="918" spans="1:31" ht="24.75" customHeight="1">
      <c r="A918" s="268"/>
      <c r="B918" s="268"/>
      <c r="C918" s="268"/>
      <c r="D918" s="268"/>
      <c r="E918" s="268"/>
      <c r="F918" s="268"/>
      <c r="G918" s="268"/>
      <c r="H918" s="268"/>
      <c r="I918" s="268"/>
      <c r="J918" s="268"/>
      <c r="K918" s="268"/>
      <c r="L918" s="309"/>
      <c r="M918" s="268"/>
      <c r="N918" s="268"/>
      <c r="O918" s="310"/>
      <c r="P918" s="268"/>
      <c r="Q918" s="309"/>
      <c r="R918" s="268"/>
      <c r="S918" s="313"/>
      <c r="T918" s="313"/>
      <c r="U918" s="268"/>
      <c r="V918" s="309"/>
      <c r="W918" s="310"/>
      <c r="X918" s="268"/>
      <c r="Y918" s="268"/>
      <c r="Z918" s="268"/>
      <c r="AA918" s="268"/>
      <c r="AB918" s="268"/>
      <c r="AC918" s="268"/>
      <c r="AD918" s="268"/>
      <c r="AE918" s="268"/>
    </row>
    <row r="919" spans="1:31" ht="24.75" customHeight="1">
      <c r="A919" s="268"/>
      <c r="B919" s="268"/>
      <c r="C919" s="268"/>
      <c r="D919" s="268"/>
      <c r="E919" s="268"/>
      <c r="F919" s="268"/>
      <c r="G919" s="268"/>
      <c r="H919" s="268"/>
      <c r="I919" s="268"/>
      <c r="J919" s="268"/>
      <c r="K919" s="268"/>
      <c r="L919" s="309"/>
      <c r="M919" s="268"/>
      <c r="N919" s="268"/>
      <c r="O919" s="310"/>
      <c r="P919" s="268"/>
      <c r="Q919" s="309"/>
      <c r="R919" s="268"/>
      <c r="S919" s="313"/>
      <c r="T919" s="313"/>
      <c r="U919" s="268"/>
      <c r="V919" s="309"/>
      <c r="W919" s="310"/>
      <c r="X919" s="268"/>
      <c r="Y919" s="268"/>
      <c r="Z919" s="268"/>
      <c r="AA919" s="268"/>
      <c r="AB919" s="268"/>
      <c r="AC919" s="268"/>
      <c r="AD919" s="268"/>
      <c r="AE919" s="268"/>
    </row>
    <row r="920" spans="1:31" ht="24.75" customHeight="1">
      <c r="A920" s="268"/>
      <c r="B920" s="268"/>
      <c r="C920" s="268"/>
      <c r="D920" s="268"/>
      <c r="E920" s="268"/>
      <c r="F920" s="268"/>
      <c r="G920" s="268"/>
      <c r="H920" s="268"/>
      <c r="I920" s="268"/>
      <c r="J920" s="268"/>
      <c r="K920" s="268"/>
      <c r="L920" s="309"/>
      <c r="M920" s="268"/>
      <c r="N920" s="268"/>
      <c r="O920" s="310"/>
      <c r="P920" s="268"/>
      <c r="Q920" s="309"/>
      <c r="R920" s="268"/>
      <c r="S920" s="313"/>
      <c r="T920" s="313"/>
      <c r="U920" s="268"/>
      <c r="V920" s="309"/>
      <c r="W920" s="310"/>
      <c r="X920" s="268"/>
      <c r="Y920" s="268"/>
      <c r="Z920" s="268"/>
      <c r="AA920" s="268"/>
      <c r="AB920" s="268"/>
      <c r="AC920" s="268"/>
      <c r="AD920" s="268"/>
      <c r="AE920" s="268"/>
    </row>
    <row r="921" spans="1:31" ht="24.75" customHeight="1">
      <c r="A921" s="268"/>
      <c r="B921" s="268"/>
      <c r="C921" s="268"/>
      <c r="D921" s="268"/>
      <c r="E921" s="268"/>
      <c r="F921" s="268"/>
      <c r="G921" s="268"/>
      <c r="H921" s="268"/>
      <c r="I921" s="268"/>
      <c r="J921" s="268"/>
      <c r="K921" s="268"/>
      <c r="L921" s="309"/>
      <c r="M921" s="268"/>
      <c r="N921" s="268"/>
      <c r="O921" s="310"/>
      <c r="P921" s="268"/>
      <c r="Q921" s="309"/>
      <c r="R921" s="268"/>
      <c r="S921" s="313"/>
      <c r="T921" s="313"/>
      <c r="U921" s="268"/>
      <c r="V921" s="309"/>
      <c r="W921" s="310"/>
      <c r="X921" s="268"/>
      <c r="Y921" s="268"/>
      <c r="Z921" s="268"/>
      <c r="AA921" s="268"/>
      <c r="AB921" s="268"/>
      <c r="AC921" s="268"/>
      <c r="AD921" s="268"/>
      <c r="AE921" s="268"/>
    </row>
    <row r="922" spans="1:31" ht="24.75" customHeight="1">
      <c r="A922" s="268"/>
      <c r="B922" s="268"/>
      <c r="C922" s="268"/>
      <c r="D922" s="268"/>
      <c r="E922" s="268"/>
      <c r="F922" s="268"/>
      <c r="G922" s="268"/>
      <c r="H922" s="268"/>
      <c r="I922" s="268"/>
      <c r="J922" s="268"/>
      <c r="K922" s="268"/>
      <c r="L922" s="309"/>
      <c r="M922" s="268"/>
      <c r="N922" s="268"/>
      <c r="O922" s="310"/>
      <c r="P922" s="268"/>
      <c r="Q922" s="309"/>
      <c r="R922" s="268"/>
      <c r="S922" s="313"/>
      <c r="T922" s="313"/>
      <c r="U922" s="268"/>
      <c r="V922" s="309"/>
      <c r="W922" s="310"/>
      <c r="X922" s="268"/>
      <c r="Y922" s="268"/>
      <c r="Z922" s="268"/>
      <c r="AA922" s="268"/>
      <c r="AB922" s="268"/>
      <c r="AC922" s="268"/>
      <c r="AD922" s="268"/>
      <c r="AE922" s="268"/>
    </row>
    <row r="923" spans="1:31" ht="24.75" customHeight="1">
      <c r="A923" s="268"/>
      <c r="B923" s="268"/>
      <c r="C923" s="268"/>
      <c r="D923" s="268"/>
      <c r="E923" s="268"/>
      <c r="F923" s="268"/>
      <c r="G923" s="268"/>
      <c r="H923" s="268"/>
      <c r="I923" s="268"/>
      <c r="J923" s="268"/>
      <c r="K923" s="268"/>
      <c r="L923" s="309"/>
      <c r="M923" s="268"/>
      <c r="N923" s="268"/>
      <c r="O923" s="310"/>
      <c r="P923" s="268"/>
      <c r="Q923" s="309"/>
      <c r="R923" s="268"/>
      <c r="S923" s="313"/>
      <c r="T923" s="313"/>
      <c r="U923" s="268"/>
      <c r="V923" s="309"/>
      <c r="W923" s="310"/>
      <c r="X923" s="268"/>
      <c r="Y923" s="268"/>
      <c r="Z923" s="268"/>
      <c r="AA923" s="268"/>
      <c r="AB923" s="268"/>
      <c r="AC923" s="268"/>
      <c r="AD923" s="268"/>
      <c r="AE923" s="268"/>
    </row>
    <row r="924" spans="1:31" ht="24.75" customHeight="1">
      <c r="A924" s="268"/>
      <c r="B924" s="268"/>
      <c r="C924" s="268"/>
      <c r="D924" s="268"/>
      <c r="E924" s="268"/>
      <c r="F924" s="268"/>
      <c r="G924" s="268"/>
      <c r="H924" s="268"/>
      <c r="I924" s="268"/>
      <c r="J924" s="268"/>
      <c r="K924" s="268"/>
      <c r="L924" s="309"/>
      <c r="M924" s="268"/>
      <c r="N924" s="268"/>
      <c r="O924" s="310"/>
      <c r="P924" s="268"/>
      <c r="Q924" s="309"/>
      <c r="R924" s="268"/>
      <c r="S924" s="313"/>
      <c r="T924" s="313"/>
      <c r="U924" s="268"/>
      <c r="V924" s="309"/>
      <c r="W924" s="310"/>
      <c r="X924" s="268"/>
      <c r="Y924" s="268"/>
      <c r="Z924" s="268"/>
      <c r="AA924" s="268"/>
      <c r="AB924" s="268"/>
      <c r="AC924" s="268"/>
      <c r="AD924" s="268"/>
      <c r="AE924" s="268"/>
    </row>
    <row r="925" spans="1:31" ht="24.75" customHeight="1">
      <c r="A925" s="268"/>
      <c r="B925" s="268"/>
      <c r="C925" s="268"/>
      <c r="D925" s="268"/>
      <c r="E925" s="268"/>
      <c r="F925" s="268"/>
      <c r="G925" s="268"/>
      <c r="H925" s="268"/>
      <c r="I925" s="268"/>
      <c r="J925" s="268"/>
      <c r="K925" s="268"/>
      <c r="L925" s="309"/>
      <c r="M925" s="268"/>
      <c r="N925" s="268"/>
      <c r="O925" s="310"/>
      <c r="P925" s="268"/>
      <c r="Q925" s="309"/>
      <c r="R925" s="268"/>
      <c r="S925" s="313"/>
      <c r="T925" s="313"/>
      <c r="U925" s="268"/>
      <c r="V925" s="309"/>
      <c r="W925" s="310"/>
      <c r="X925" s="268"/>
      <c r="Y925" s="268"/>
      <c r="Z925" s="268"/>
      <c r="AA925" s="268"/>
      <c r="AB925" s="268"/>
      <c r="AC925" s="268"/>
      <c r="AD925" s="268"/>
      <c r="AE925" s="268"/>
    </row>
    <row r="926" spans="1:31" ht="24.75" customHeight="1">
      <c r="A926" s="268"/>
      <c r="B926" s="268"/>
      <c r="C926" s="268"/>
      <c r="D926" s="268"/>
      <c r="E926" s="268"/>
      <c r="F926" s="268"/>
      <c r="G926" s="268"/>
      <c r="H926" s="268"/>
      <c r="I926" s="268"/>
      <c r="J926" s="268"/>
      <c r="K926" s="268"/>
      <c r="L926" s="309"/>
      <c r="M926" s="268"/>
      <c r="N926" s="268"/>
      <c r="O926" s="310"/>
      <c r="P926" s="268"/>
      <c r="Q926" s="309"/>
      <c r="R926" s="268"/>
      <c r="S926" s="313"/>
      <c r="T926" s="313"/>
      <c r="U926" s="268"/>
      <c r="V926" s="309"/>
      <c r="W926" s="310"/>
      <c r="X926" s="268"/>
      <c r="Y926" s="268"/>
      <c r="Z926" s="268"/>
      <c r="AA926" s="268"/>
      <c r="AB926" s="268"/>
      <c r="AC926" s="268"/>
      <c r="AD926" s="268"/>
      <c r="AE926" s="268"/>
    </row>
    <row r="927" spans="1:31" ht="24.75" customHeight="1">
      <c r="A927" s="268"/>
      <c r="B927" s="268"/>
      <c r="C927" s="268"/>
      <c r="D927" s="268"/>
      <c r="E927" s="268"/>
      <c r="F927" s="268"/>
      <c r="G927" s="268"/>
      <c r="H927" s="268"/>
      <c r="I927" s="268"/>
      <c r="J927" s="268"/>
      <c r="K927" s="268"/>
      <c r="L927" s="309"/>
      <c r="M927" s="268"/>
      <c r="N927" s="268"/>
      <c r="O927" s="310"/>
      <c r="P927" s="268"/>
      <c r="Q927" s="309"/>
      <c r="R927" s="268"/>
      <c r="S927" s="313"/>
      <c r="T927" s="313"/>
      <c r="U927" s="268"/>
      <c r="V927" s="309"/>
      <c r="W927" s="310"/>
      <c r="X927" s="268"/>
      <c r="Y927" s="268"/>
      <c r="Z927" s="268"/>
      <c r="AA927" s="268"/>
      <c r="AB927" s="268"/>
      <c r="AC927" s="268"/>
      <c r="AD927" s="268"/>
      <c r="AE927" s="268"/>
    </row>
    <row r="928" spans="1:31" ht="24.75" customHeight="1">
      <c r="A928" s="268"/>
      <c r="B928" s="268"/>
      <c r="C928" s="268"/>
      <c r="D928" s="268"/>
      <c r="E928" s="268"/>
      <c r="F928" s="268"/>
      <c r="G928" s="268"/>
      <c r="H928" s="268"/>
      <c r="I928" s="268"/>
      <c r="J928" s="268"/>
      <c r="K928" s="268"/>
      <c r="L928" s="309"/>
      <c r="M928" s="268"/>
      <c r="N928" s="268"/>
      <c r="O928" s="310"/>
      <c r="P928" s="268"/>
      <c r="Q928" s="309"/>
      <c r="R928" s="268"/>
      <c r="S928" s="313"/>
      <c r="T928" s="313"/>
      <c r="U928" s="268"/>
      <c r="V928" s="309"/>
      <c r="W928" s="310"/>
      <c r="X928" s="268"/>
      <c r="Y928" s="268"/>
      <c r="Z928" s="268"/>
      <c r="AA928" s="268"/>
      <c r="AB928" s="268"/>
      <c r="AC928" s="268"/>
      <c r="AD928" s="268"/>
      <c r="AE928" s="268"/>
    </row>
    <row r="929" spans="1:31" ht="24.75" customHeight="1">
      <c r="A929" s="268"/>
      <c r="B929" s="268"/>
      <c r="C929" s="268"/>
      <c r="D929" s="268"/>
      <c r="E929" s="268"/>
      <c r="F929" s="268"/>
      <c r="G929" s="268"/>
      <c r="H929" s="268"/>
      <c r="I929" s="268"/>
      <c r="J929" s="268"/>
      <c r="K929" s="268"/>
      <c r="L929" s="309"/>
      <c r="M929" s="268"/>
      <c r="N929" s="268"/>
      <c r="O929" s="310"/>
      <c r="P929" s="268"/>
      <c r="Q929" s="309"/>
      <c r="R929" s="268"/>
      <c r="S929" s="313"/>
      <c r="T929" s="313"/>
      <c r="U929" s="268"/>
      <c r="V929" s="309"/>
      <c r="W929" s="310"/>
      <c r="X929" s="268"/>
      <c r="Y929" s="268"/>
      <c r="Z929" s="268"/>
      <c r="AA929" s="268"/>
      <c r="AB929" s="268"/>
      <c r="AC929" s="268"/>
      <c r="AD929" s="268"/>
      <c r="AE929" s="268"/>
    </row>
    <row r="930" spans="1:31" ht="24.75" customHeight="1">
      <c r="A930" s="268"/>
      <c r="B930" s="268"/>
      <c r="C930" s="268"/>
      <c r="D930" s="268"/>
      <c r="E930" s="268"/>
      <c r="F930" s="268"/>
      <c r="G930" s="268"/>
      <c r="H930" s="268"/>
      <c r="I930" s="268"/>
      <c r="J930" s="268"/>
      <c r="K930" s="268"/>
      <c r="L930" s="309"/>
      <c r="M930" s="268"/>
      <c r="N930" s="268"/>
      <c r="O930" s="310"/>
      <c r="P930" s="268"/>
      <c r="Q930" s="309"/>
      <c r="R930" s="268"/>
      <c r="S930" s="313"/>
      <c r="T930" s="313"/>
      <c r="U930" s="268"/>
      <c r="V930" s="309"/>
      <c r="W930" s="310"/>
      <c r="X930" s="268"/>
      <c r="Y930" s="268"/>
      <c r="Z930" s="268"/>
      <c r="AA930" s="268"/>
      <c r="AB930" s="268"/>
      <c r="AC930" s="268"/>
      <c r="AD930" s="268"/>
      <c r="AE930" s="268"/>
    </row>
    <row r="931" spans="1:31" ht="24.75" customHeight="1">
      <c r="A931" s="268"/>
      <c r="B931" s="268"/>
      <c r="C931" s="268"/>
      <c r="D931" s="268"/>
      <c r="E931" s="268"/>
      <c r="F931" s="268"/>
      <c r="G931" s="268"/>
      <c r="H931" s="268"/>
      <c r="I931" s="268"/>
      <c r="J931" s="268"/>
      <c r="K931" s="268"/>
      <c r="L931" s="309"/>
      <c r="M931" s="268"/>
      <c r="N931" s="268"/>
      <c r="O931" s="310"/>
      <c r="P931" s="268"/>
      <c r="Q931" s="309"/>
      <c r="R931" s="268"/>
      <c r="S931" s="313"/>
      <c r="T931" s="313"/>
      <c r="U931" s="268"/>
      <c r="V931" s="309"/>
      <c r="W931" s="310"/>
      <c r="X931" s="268"/>
      <c r="Y931" s="268"/>
      <c r="Z931" s="268"/>
      <c r="AA931" s="268"/>
      <c r="AB931" s="268"/>
      <c r="AC931" s="268"/>
      <c r="AD931" s="268"/>
      <c r="AE931" s="268"/>
    </row>
    <row r="932" spans="1:31" ht="24.75" customHeight="1">
      <c r="A932" s="268"/>
      <c r="B932" s="268"/>
      <c r="C932" s="268"/>
      <c r="D932" s="268"/>
      <c r="E932" s="268"/>
      <c r="F932" s="268"/>
      <c r="G932" s="268"/>
      <c r="H932" s="268"/>
      <c r="I932" s="268"/>
      <c r="J932" s="268"/>
      <c r="K932" s="268"/>
      <c r="L932" s="309"/>
      <c r="M932" s="268"/>
      <c r="N932" s="268"/>
      <c r="O932" s="310"/>
      <c r="P932" s="268"/>
      <c r="Q932" s="309"/>
      <c r="R932" s="268"/>
      <c r="S932" s="313"/>
      <c r="T932" s="313"/>
      <c r="U932" s="268"/>
      <c r="V932" s="309"/>
      <c r="W932" s="310"/>
      <c r="X932" s="268"/>
      <c r="Y932" s="268"/>
      <c r="Z932" s="268"/>
      <c r="AA932" s="268"/>
      <c r="AB932" s="268"/>
      <c r="AC932" s="268"/>
      <c r="AD932" s="268"/>
      <c r="AE932" s="268"/>
    </row>
    <row r="933" spans="1:31" ht="24.75" customHeight="1">
      <c r="A933" s="268"/>
      <c r="B933" s="268"/>
      <c r="C933" s="268"/>
      <c r="D933" s="268"/>
      <c r="E933" s="268"/>
      <c r="F933" s="268"/>
      <c r="G933" s="268"/>
      <c r="H933" s="268"/>
      <c r="I933" s="268"/>
      <c r="J933" s="268"/>
      <c r="K933" s="268"/>
      <c r="L933" s="309"/>
      <c r="M933" s="268"/>
      <c r="N933" s="268"/>
      <c r="O933" s="310"/>
      <c r="P933" s="268"/>
      <c r="Q933" s="309"/>
      <c r="R933" s="268"/>
      <c r="S933" s="313"/>
      <c r="T933" s="313"/>
      <c r="U933" s="268"/>
      <c r="V933" s="309"/>
      <c r="W933" s="310"/>
      <c r="X933" s="268"/>
      <c r="Y933" s="268"/>
      <c r="Z933" s="268"/>
      <c r="AA933" s="268"/>
      <c r="AB933" s="268"/>
      <c r="AC933" s="268"/>
      <c r="AD933" s="268"/>
      <c r="AE933" s="268"/>
    </row>
    <row r="934" spans="1:31" ht="24.75" customHeight="1">
      <c r="A934" s="268"/>
      <c r="B934" s="268"/>
      <c r="C934" s="268"/>
      <c r="D934" s="268"/>
      <c r="E934" s="268"/>
      <c r="F934" s="268"/>
      <c r="G934" s="268"/>
      <c r="H934" s="268"/>
      <c r="I934" s="268"/>
      <c r="J934" s="268"/>
      <c r="K934" s="268"/>
      <c r="L934" s="309"/>
      <c r="M934" s="268"/>
      <c r="N934" s="268"/>
      <c r="O934" s="310"/>
      <c r="P934" s="268"/>
      <c r="Q934" s="309"/>
      <c r="R934" s="268"/>
      <c r="S934" s="313"/>
      <c r="T934" s="313"/>
      <c r="U934" s="268"/>
      <c r="V934" s="309"/>
      <c r="W934" s="310"/>
      <c r="X934" s="268"/>
      <c r="Y934" s="268"/>
      <c r="Z934" s="268"/>
      <c r="AA934" s="268"/>
      <c r="AB934" s="268"/>
      <c r="AC934" s="268"/>
      <c r="AD934" s="268"/>
      <c r="AE934" s="268"/>
    </row>
    <row r="935" spans="1:31" ht="24.75" customHeight="1">
      <c r="A935" s="268"/>
      <c r="B935" s="268"/>
      <c r="C935" s="268"/>
      <c r="D935" s="268"/>
      <c r="E935" s="268"/>
      <c r="F935" s="268"/>
      <c r="G935" s="268"/>
      <c r="H935" s="268"/>
      <c r="I935" s="268"/>
      <c r="J935" s="268"/>
      <c r="K935" s="268"/>
      <c r="L935" s="309"/>
      <c r="M935" s="268"/>
      <c r="N935" s="268"/>
      <c r="O935" s="310"/>
      <c r="P935" s="268"/>
      <c r="Q935" s="309"/>
      <c r="R935" s="268"/>
      <c r="S935" s="313"/>
      <c r="T935" s="313"/>
      <c r="U935" s="268"/>
      <c r="V935" s="309"/>
      <c r="W935" s="310"/>
      <c r="X935" s="268"/>
      <c r="Y935" s="268"/>
      <c r="Z935" s="268"/>
      <c r="AA935" s="268"/>
      <c r="AB935" s="268"/>
      <c r="AC935" s="268"/>
      <c r="AD935" s="268"/>
      <c r="AE935" s="268"/>
    </row>
    <row r="936" spans="1:31" ht="24.75" customHeight="1">
      <c r="A936" s="268"/>
      <c r="B936" s="268"/>
      <c r="C936" s="268"/>
      <c r="D936" s="268"/>
      <c r="E936" s="268"/>
      <c r="F936" s="268"/>
      <c r="G936" s="268"/>
      <c r="H936" s="268"/>
      <c r="I936" s="268"/>
      <c r="J936" s="268"/>
      <c r="K936" s="268"/>
      <c r="L936" s="309"/>
      <c r="M936" s="268"/>
      <c r="N936" s="268"/>
      <c r="O936" s="310"/>
      <c r="P936" s="268"/>
      <c r="Q936" s="309"/>
      <c r="R936" s="268"/>
      <c r="S936" s="313"/>
      <c r="T936" s="313"/>
      <c r="U936" s="268"/>
      <c r="V936" s="309"/>
      <c r="W936" s="310"/>
      <c r="X936" s="268"/>
      <c r="Y936" s="268"/>
      <c r="Z936" s="268"/>
      <c r="AA936" s="268"/>
      <c r="AB936" s="268"/>
      <c r="AC936" s="268"/>
      <c r="AD936" s="268"/>
      <c r="AE936" s="268"/>
    </row>
    <row r="937" spans="1:31" ht="24.75" customHeight="1">
      <c r="A937" s="268"/>
      <c r="B937" s="268"/>
      <c r="C937" s="268"/>
      <c r="D937" s="268"/>
      <c r="E937" s="268"/>
      <c r="F937" s="268"/>
      <c r="G937" s="268"/>
      <c r="H937" s="268"/>
      <c r="I937" s="268"/>
      <c r="J937" s="268"/>
      <c r="K937" s="268"/>
      <c r="L937" s="309"/>
      <c r="M937" s="268"/>
      <c r="N937" s="268"/>
      <c r="O937" s="310"/>
      <c r="P937" s="268"/>
      <c r="Q937" s="309"/>
      <c r="R937" s="268"/>
      <c r="S937" s="313"/>
      <c r="T937" s="313"/>
      <c r="U937" s="268"/>
      <c r="V937" s="309"/>
      <c r="W937" s="310"/>
      <c r="X937" s="268"/>
      <c r="Y937" s="268"/>
      <c r="Z937" s="268"/>
      <c r="AA937" s="268"/>
      <c r="AB937" s="268"/>
      <c r="AC937" s="268"/>
      <c r="AD937" s="268"/>
      <c r="AE937" s="268"/>
    </row>
    <row r="938" spans="1:31" ht="24.75" customHeight="1">
      <c r="A938" s="268"/>
      <c r="B938" s="268"/>
      <c r="C938" s="268"/>
      <c r="D938" s="268"/>
      <c r="E938" s="268"/>
      <c r="F938" s="268"/>
      <c r="G938" s="268"/>
      <c r="H938" s="268"/>
      <c r="I938" s="268"/>
      <c r="J938" s="268"/>
      <c r="K938" s="268"/>
      <c r="L938" s="309"/>
      <c r="M938" s="268"/>
      <c r="N938" s="268"/>
      <c r="O938" s="310"/>
      <c r="P938" s="268"/>
      <c r="Q938" s="309"/>
      <c r="R938" s="268"/>
      <c r="S938" s="313"/>
      <c r="T938" s="313"/>
      <c r="U938" s="268"/>
      <c r="V938" s="309"/>
      <c r="W938" s="310"/>
      <c r="X938" s="268"/>
      <c r="Y938" s="268"/>
      <c r="Z938" s="268"/>
      <c r="AA938" s="268"/>
      <c r="AB938" s="268"/>
      <c r="AC938" s="268"/>
      <c r="AD938" s="268"/>
      <c r="AE938" s="268"/>
    </row>
    <row r="939" spans="1:31" ht="24.75" customHeight="1">
      <c r="A939" s="268"/>
      <c r="B939" s="268"/>
      <c r="C939" s="268"/>
      <c r="D939" s="268"/>
      <c r="E939" s="268"/>
      <c r="F939" s="268"/>
      <c r="G939" s="268"/>
      <c r="H939" s="268"/>
      <c r="I939" s="268"/>
      <c r="J939" s="268"/>
      <c r="K939" s="268"/>
      <c r="L939" s="309"/>
      <c r="M939" s="268"/>
      <c r="N939" s="268"/>
      <c r="O939" s="310"/>
      <c r="P939" s="268"/>
      <c r="Q939" s="309"/>
      <c r="R939" s="268"/>
      <c r="S939" s="313"/>
      <c r="T939" s="313"/>
      <c r="U939" s="268"/>
      <c r="V939" s="309"/>
      <c r="W939" s="310"/>
      <c r="X939" s="268"/>
      <c r="Y939" s="268"/>
      <c r="Z939" s="268"/>
      <c r="AA939" s="268"/>
      <c r="AB939" s="268"/>
      <c r="AC939" s="268"/>
      <c r="AD939" s="268"/>
      <c r="AE939" s="268"/>
    </row>
    <row r="940" spans="1:31" ht="24.75" customHeight="1">
      <c r="A940" s="268"/>
      <c r="B940" s="268"/>
      <c r="C940" s="268"/>
      <c r="D940" s="268"/>
      <c r="E940" s="268"/>
      <c r="F940" s="268"/>
      <c r="G940" s="268"/>
      <c r="H940" s="268"/>
      <c r="I940" s="268"/>
      <c r="J940" s="268"/>
      <c r="K940" s="268"/>
      <c r="L940" s="309"/>
      <c r="M940" s="268"/>
      <c r="N940" s="268"/>
      <c r="O940" s="310"/>
      <c r="P940" s="268"/>
      <c r="Q940" s="309"/>
      <c r="R940" s="268"/>
      <c r="S940" s="313"/>
      <c r="T940" s="313"/>
      <c r="U940" s="268"/>
      <c r="V940" s="309"/>
      <c r="W940" s="310"/>
      <c r="X940" s="268"/>
      <c r="Y940" s="268"/>
      <c r="Z940" s="268"/>
      <c r="AA940" s="268"/>
      <c r="AB940" s="268"/>
      <c r="AC940" s="268"/>
      <c r="AD940" s="268"/>
      <c r="AE940" s="268"/>
    </row>
    <row r="941" spans="1:31" ht="24.75" customHeight="1">
      <c r="A941" s="268"/>
      <c r="B941" s="268"/>
      <c r="C941" s="268"/>
      <c r="D941" s="268"/>
      <c r="E941" s="268"/>
      <c r="F941" s="268"/>
      <c r="G941" s="268"/>
      <c r="H941" s="268"/>
      <c r="I941" s="268"/>
      <c r="J941" s="268"/>
      <c r="K941" s="268"/>
      <c r="L941" s="309"/>
      <c r="M941" s="268"/>
      <c r="N941" s="268"/>
      <c r="O941" s="310"/>
      <c r="P941" s="268"/>
      <c r="Q941" s="309"/>
      <c r="R941" s="268"/>
      <c r="S941" s="313"/>
      <c r="T941" s="313"/>
      <c r="U941" s="268"/>
      <c r="V941" s="309"/>
      <c r="W941" s="310"/>
      <c r="X941" s="268"/>
      <c r="Y941" s="268"/>
      <c r="Z941" s="268"/>
      <c r="AA941" s="268"/>
      <c r="AB941" s="268"/>
      <c r="AC941" s="268"/>
      <c r="AD941" s="268"/>
      <c r="AE941" s="268"/>
    </row>
    <row r="942" spans="1:31" ht="24.75" customHeight="1">
      <c r="A942" s="268"/>
      <c r="B942" s="268"/>
      <c r="C942" s="268"/>
      <c r="D942" s="268"/>
      <c r="E942" s="268"/>
      <c r="F942" s="268"/>
      <c r="G942" s="268"/>
      <c r="H942" s="268"/>
      <c r="I942" s="268"/>
      <c r="J942" s="268"/>
      <c r="K942" s="268"/>
      <c r="L942" s="309"/>
      <c r="M942" s="268"/>
      <c r="N942" s="268"/>
      <c r="O942" s="310"/>
      <c r="P942" s="268"/>
      <c r="Q942" s="309"/>
      <c r="R942" s="268"/>
      <c r="S942" s="313"/>
      <c r="T942" s="313"/>
      <c r="U942" s="268"/>
      <c r="V942" s="309"/>
      <c r="W942" s="310"/>
      <c r="X942" s="268"/>
      <c r="Y942" s="268"/>
      <c r="Z942" s="268"/>
      <c r="AA942" s="268"/>
      <c r="AB942" s="268"/>
      <c r="AC942" s="268"/>
      <c r="AD942" s="268"/>
      <c r="AE942" s="268"/>
    </row>
    <row r="943" spans="1:31" ht="24.75" customHeight="1">
      <c r="A943" s="268"/>
      <c r="B943" s="268"/>
      <c r="C943" s="268"/>
      <c r="D943" s="268"/>
      <c r="E943" s="268"/>
      <c r="F943" s="268"/>
      <c r="G943" s="268"/>
      <c r="H943" s="268"/>
      <c r="I943" s="268"/>
      <c r="J943" s="268"/>
      <c r="K943" s="268"/>
      <c r="L943" s="309"/>
      <c r="M943" s="268"/>
      <c r="N943" s="268"/>
      <c r="O943" s="310"/>
      <c r="P943" s="268"/>
      <c r="Q943" s="309"/>
      <c r="R943" s="268"/>
      <c r="S943" s="313"/>
      <c r="T943" s="313"/>
      <c r="U943" s="268"/>
      <c r="V943" s="309"/>
      <c r="W943" s="310"/>
      <c r="X943" s="268"/>
      <c r="Y943" s="268"/>
      <c r="Z943" s="268"/>
      <c r="AA943" s="268"/>
      <c r="AB943" s="268"/>
      <c r="AC943" s="268"/>
      <c r="AD943" s="268"/>
      <c r="AE943" s="268"/>
    </row>
    <row r="944" spans="1:31" ht="24.75" customHeight="1">
      <c r="A944" s="268"/>
      <c r="B944" s="268"/>
      <c r="C944" s="268"/>
      <c r="D944" s="268"/>
      <c r="E944" s="268"/>
      <c r="F944" s="268"/>
      <c r="G944" s="268"/>
      <c r="H944" s="268"/>
      <c r="I944" s="268"/>
      <c r="J944" s="268"/>
      <c r="K944" s="268"/>
      <c r="L944" s="309"/>
      <c r="M944" s="268"/>
      <c r="N944" s="268"/>
      <c r="O944" s="310"/>
      <c r="P944" s="268"/>
      <c r="Q944" s="309"/>
      <c r="R944" s="268"/>
      <c r="S944" s="313"/>
      <c r="T944" s="313"/>
      <c r="U944" s="268"/>
      <c r="V944" s="309"/>
      <c r="W944" s="310"/>
      <c r="X944" s="268"/>
      <c r="Y944" s="268"/>
      <c r="Z944" s="268"/>
      <c r="AA944" s="268"/>
      <c r="AB944" s="268"/>
      <c r="AC944" s="268"/>
      <c r="AD944" s="268"/>
      <c r="AE944" s="268"/>
    </row>
    <row r="945" spans="1:31" ht="24.75" customHeight="1">
      <c r="A945" s="268"/>
      <c r="B945" s="268"/>
      <c r="C945" s="268"/>
      <c r="D945" s="268"/>
      <c r="E945" s="268"/>
      <c r="F945" s="268"/>
      <c r="G945" s="268"/>
      <c r="H945" s="268"/>
      <c r="I945" s="268"/>
      <c r="J945" s="268"/>
      <c r="K945" s="268"/>
      <c r="L945" s="309"/>
      <c r="M945" s="268"/>
      <c r="N945" s="268"/>
      <c r="O945" s="310"/>
      <c r="P945" s="268"/>
      <c r="Q945" s="309"/>
      <c r="R945" s="268"/>
      <c r="S945" s="313"/>
      <c r="T945" s="313"/>
      <c r="U945" s="268"/>
      <c r="V945" s="309"/>
      <c r="W945" s="310"/>
      <c r="X945" s="268"/>
      <c r="Y945" s="268"/>
      <c r="Z945" s="268"/>
      <c r="AA945" s="268"/>
      <c r="AB945" s="268"/>
      <c r="AC945" s="268"/>
      <c r="AD945" s="268"/>
      <c r="AE945" s="268"/>
    </row>
    <row r="946" spans="1:31" ht="24.75" customHeight="1">
      <c r="A946" s="268"/>
      <c r="B946" s="268"/>
      <c r="C946" s="268"/>
      <c r="D946" s="268"/>
      <c r="E946" s="268"/>
      <c r="F946" s="268"/>
      <c r="G946" s="268"/>
      <c r="H946" s="268"/>
      <c r="I946" s="268"/>
      <c r="J946" s="268"/>
      <c r="K946" s="268"/>
      <c r="L946" s="309"/>
      <c r="M946" s="268"/>
      <c r="N946" s="268"/>
      <c r="O946" s="310"/>
      <c r="P946" s="268"/>
      <c r="Q946" s="309"/>
      <c r="R946" s="268"/>
      <c r="S946" s="313"/>
      <c r="T946" s="313"/>
      <c r="U946" s="268"/>
      <c r="V946" s="309"/>
      <c r="W946" s="310"/>
      <c r="X946" s="268"/>
      <c r="Y946" s="268"/>
      <c r="Z946" s="268"/>
      <c r="AA946" s="268"/>
      <c r="AB946" s="268"/>
      <c r="AC946" s="268"/>
      <c r="AD946" s="268"/>
      <c r="AE946" s="268"/>
    </row>
    <row r="947" spans="1:31" ht="24.75" customHeight="1">
      <c r="A947" s="268"/>
      <c r="B947" s="268"/>
      <c r="C947" s="268"/>
      <c r="D947" s="268"/>
      <c r="E947" s="268"/>
      <c r="F947" s="268"/>
      <c r="G947" s="268"/>
      <c r="H947" s="268"/>
      <c r="I947" s="268"/>
      <c r="J947" s="268"/>
      <c r="K947" s="268"/>
      <c r="L947" s="309"/>
      <c r="M947" s="268"/>
      <c r="N947" s="268"/>
      <c r="O947" s="310"/>
      <c r="P947" s="268"/>
      <c r="Q947" s="309"/>
      <c r="R947" s="268"/>
      <c r="S947" s="313"/>
      <c r="T947" s="313"/>
      <c r="U947" s="268"/>
      <c r="V947" s="309"/>
      <c r="W947" s="310"/>
      <c r="X947" s="268"/>
      <c r="Y947" s="268"/>
      <c r="Z947" s="268"/>
      <c r="AA947" s="268"/>
      <c r="AB947" s="268"/>
      <c r="AC947" s="268"/>
      <c r="AD947" s="268"/>
      <c r="AE947" s="268"/>
    </row>
    <row r="948" spans="1:31" ht="24.75" customHeight="1">
      <c r="A948" s="268"/>
      <c r="B948" s="268"/>
      <c r="C948" s="268"/>
      <c r="D948" s="268"/>
      <c r="E948" s="268"/>
      <c r="F948" s="268"/>
      <c r="G948" s="268"/>
      <c r="H948" s="268"/>
      <c r="I948" s="268"/>
      <c r="J948" s="268"/>
      <c r="K948" s="268"/>
      <c r="L948" s="309"/>
      <c r="M948" s="268"/>
      <c r="N948" s="268"/>
      <c r="O948" s="310"/>
      <c r="P948" s="268"/>
      <c r="Q948" s="309"/>
      <c r="R948" s="268"/>
      <c r="S948" s="313"/>
      <c r="T948" s="313"/>
      <c r="U948" s="268"/>
      <c r="V948" s="309"/>
      <c r="W948" s="310"/>
      <c r="X948" s="268"/>
      <c r="Y948" s="268"/>
      <c r="Z948" s="268"/>
      <c r="AA948" s="268"/>
      <c r="AB948" s="268"/>
      <c r="AC948" s="268"/>
      <c r="AD948" s="268"/>
      <c r="AE948" s="268"/>
    </row>
    <row r="949" spans="1:31" ht="24.75" customHeight="1">
      <c r="A949" s="268"/>
      <c r="B949" s="268"/>
      <c r="C949" s="268"/>
      <c r="D949" s="268"/>
      <c r="E949" s="268"/>
      <c r="F949" s="268"/>
      <c r="G949" s="268"/>
      <c r="H949" s="268"/>
      <c r="I949" s="268"/>
      <c r="J949" s="268"/>
      <c r="K949" s="268"/>
      <c r="L949" s="309"/>
      <c r="M949" s="268"/>
      <c r="N949" s="268"/>
      <c r="O949" s="310"/>
      <c r="P949" s="268"/>
      <c r="Q949" s="309"/>
      <c r="R949" s="268"/>
      <c r="S949" s="313"/>
      <c r="T949" s="313"/>
      <c r="U949" s="268"/>
      <c r="V949" s="309"/>
      <c r="W949" s="310"/>
      <c r="X949" s="268"/>
      <c r="Y949" s="268"/>
      <c r="Z949" s="268"/>
      <c r="AA949" s="268"/>
      <c r="AB949" s="268"/>
      <c r="AC949" s="268"/>
      <c r="AD949" s="268"/>
      <c r="AE949" s="268"/>
    </row>
    <row r="950" spans="1:31" ht="24.75" customHeight="1">
      <c r="A950" s="268"/>
      <c r="B950" s="268"/>
      <c r="C950" s="268"/>
      <c r="D950" s="268"/>
      <c r="E950" s="268"/>
      <c r="F950" s="268"/>
      <c r="G950" s="268"/>
      <c r="H950" s="268"/>
      <c r="I950" s="268"/>
      <c r="J950" s="268"/>
      <c r="K950" s="268"/>
      <c r="L950" s="309"/>
      <c r="M950" s="268"/>
      <c r="N950" s="268"/>
      <c r="O950" s="310"/>
      <c r="P950" s="268"/>
      <c r="Q950" s="309"/>
      <c r="R950" s="268"/>
      <c r="S950" s="313"/>
      <c r="T950" s="313"/>
      <c r="U950" s="268"/>
      <c r="V950" s="309"/>
      <c r="W950" s="310"/>
      <c r="X950" s="268"/>
      <c r="Y950" s="268"/>
      <c r="Z950" s="268"/>
      <c r="AA950" s="268"/>
      <c r="AB950" s="268"/>
      <c r="AC950" s="268"/>
      <c r="AD950" s="268"/>
      <c r="AE950" s="268"/>
    </row>
    <row r="951" spans="1:31" ht="24.75" customHeight="1">
      <c r="A951" s="268"/>
      <c r="B951" s="268"/>
      <c r="C951" s="268"/>
      <c r="D951" s="268"/>
      <c r="E951" s="268"/>
      <c r="F951" s="268"/>
      <c r="G951" s="268"/>
      <c r="H951" s="268"/>
      <c r="I951" s="268"/>
      <c r="J951" s="268"/>
      <c r="K951" s="268"/>
      <c r="L951" s="309"/>
      <c r="M951" s="268"/>
      <c r="N951" s="268"/>
      <c r="O951" s="310"/>
      <c r="P951" s="268"/>
      <c r="Q951" s="309"/>
      <c r="R951" s="268"/>
      <c r="S951" s="313"/>
      <c r="T951" s="313"/>
      <c r="U951" s="268"/>
      <c r="V951" s="309"/>
      <c r="W951" s="310"/>
      <c r="X951" s="268"/>
      <c r="Y951" s="268"/>
      <c r="Z951" s="268"/>
      <c r="AA951" s="268"/>
      <c r="AB951" s="268"/>
      <c r="AC951" s="268"/>
      <c r="AD951" s="268"/>
      <c r="AE951" s="268"/>
    </row>
    <row r="952" spans="1:31" ht="24.75" customHeight="1">
      <c r="A952" s="268"/>
      <c r="B952" s="268"/>
      <c r="C952" s="268"/>
      <c r="D952" s="268"/>
      <c r="E952" s="268"/>
      <c r="F952" s="268"/>
      <c r="G952" s="268"/>
      <c r="H952" s="268"/>
      <c r="I952" s="268"/>
      <c r="J952" s="268"/>
      <c r="K952" s="268"/>
      <c r="L952" s="309"/>
      <c r="M952" s="268"/>
      <c r="N952" s="268"/>
      <c r="O952" s="310"/>
      <c r="P952" s="268"/>
      <c r="Q952" s="309"/>
      <c r="R952" s="268"/>
      <c r="S952" s="313"/>
      <c r="T952" s="313"/>
      <c r="U952" s="268"/>
      <c r="V952" s="309"/>
      <c r="W952" s="310"/>
      <c r="X952" s="268"/>
      <c r="Y952" s="268"/>
      <c r="Z952" s="268"/>
      <c r="AA952" s="268"/>
      <c r="AB952" s="268"/>
      <c r="AC952" s="268"/>
      <c r="AD952" s="268"/>
      <c r="AE952" s="268"/>
    </row>
    <row r="953" spans="1:31" ht="24.75" customHeight="1">
      <c r="A953" s="268"/>
      <c r="B953" s="268"/>
      <c r="C953" s="268"/>
      <c r="D953" s="268"/>
      <c r="E953" s="268"/>
      <c r="F953" s="268"/>
      <c r="G953" s="268"/>
      <c r="H953" s="268"/>
      <c r="I953" s="268"/>
      <c r="J953" s="268"/>
      <c r="K953" s="268"/>
      <c r="L953" s="309"/>
      <c r="M953" s="268"/>
      <c r="N953" s="268"/>
      <c r="O953" s="310"/>
      <c r="P953" s="268"/>
      <c r="Q953" s="309"/>
      <c r="R953" s="268"/>
      <c r="S953" s="313"/>
      <c r="T953" s="313"/>
      <c r="U953" s="268"/>
      <c r="V953" s="309"/>
      <c r="W953" s="310"/>
      <c r="X953" s="268"/>
      <c r="Y953" s="268"/>
      <c r="Z953" s="268"/>
      <c r="AA953" s="268"/>
      <c r="AB953" s="268"/>
      <c r="AC953" s="268"/>
      <c r="AD953" s="268"/>
      <c r="AE953" s="268"/>
    </row>
    <row r="954" spans="1:31" ht="24.75" customHeight="1">
      <c r="A954" s="268"/>
      <c r="B954" s="268"/>
      <c r="C954" s="268"/>
      <c r="D954" s="268"/>
      <c r="E954" s="268"/>
      <c r="F954" s="268"/>
      <c r="G954" s="268"/>
      <c r="H954" s="268"/>
      <c r="I954" s="268"/>
      <c r="J954" s="268"/>
      <c r="K954" s="268"/>
      <c r="L954" s="309"/>
      <c r="M954" s="268"/>
      <c r="N954" s="268"/>
      <c r="O954" s="310"/>
      <c r="P954" s="268"/>
      <c r="Q954" s="309"/>
      <c r="R954" s="268"/>
      <c r="S954" s="313"/>
      <c r="T954" s="313"/>
      <c r="U954" s="268"/>
      <c r="V954" s="309"/>
      <c r="W954" s="310"/>
      <c r="X954" s="268"/>
      <c r="Y954" s="268"/>
      <c r="Z954" s="268"/>
      <c r="AA954" s="268"/>
      <c r="AB954" s="268"/>
      <c r="AC954" s="268"/>
      <c r="AD954" s="268"/>
      <c r="AE954" s="268"/>
    </row>
    <row r="955" spans="1:31" ht="24.75" customHeight="1">
      <c r="A955" s="268"/>
      <c r="B955" s="268"/>
      <c r="C955" s="268"/>
      <c r="D955" s="268"/>
      <c r="E955" s="268"/>
      <c r="F955" s="268"/>
      <c r="G955" s="268"/>
      <c r="H955" s="268"/>
      <c r="I955" s="268"/>
      <c r="J955" s="268"/>
      <c r="K955" s="268"/>
      <c r="L955" s="309"/>
      <c r="M955" s="268"/>
      <c r="N955" s="268"/>
      <c r="O955" s="310"/>
      <c r="P955" s="268"/>
      <c r="Q955" s="309"/>
      <c r="R955" s="268"/>
      <c r="S955" s="313"/>
      <c r="T955" s="313"/>
      <c r="U955" s="268"/>
      <c r="V955" s="309"/>
      <c r="W955" s="310"/>
      <c r="X955" s="268"/>
      <c r="Y955" s="268"/>
      <c r="Z955" s="268"/>
      <c r="AA955" s="268"/>
      <c r="AB955" s="268"/>
      <c r="AC955" s="268"/>
      <c r="AD955" s="268"/>
      <c r="AE955" s="268"/>
    </row>
    <row r="956" spans="1:31" ht="24.75" customHeight="1">
      <c r="A956" s="268"/>
      <c r="B956" s="268"/>
      <c r="C956" s="268"/>
      <c r="D956" s="268"/>
      <c r="E956" s="268"/>
      <c r="F956" s="268"/>
      <c r="G956" s="268"/>
      <c r="H956" s="268"/>
      <c r="I956" s="268"/>
      <c r="J956" s="268"/>
      <c r="K956" s="268"/>
      <c r="L956" s="309"/>
      <c r="M956" s="268"/>
      <c r="N956" s="268"/>
      <c r="O956" s="310"/>
      <c r="P956" s="268"/>
      <c r="Q956" s="309"/>
      <c r="R956" s="268"/>
      <c r="S956" s="313"/>
      <c r="T956" s="313"/>
      <c r="U956" s="268"/>
      <c r="V956" s="309"/>
      <c r="W956" s="310"/>
      <c r="X956" s="268"/>
      <c r="Y956" s="268"/>
      <c r="Z956" s="268"/>
      <c r="AA956" s="268"/>
      <c r="AB956" s="268"/>
      <c r="AC956" s="268"/>
      <c r="AD956" s="268"/>
      <c r="AE956" s="268"/>
    </row>
    <row r="957" spans="1:31" ht="24.75" customHeight="1">
      <c r="A957" s="268"/>
      <c r="B957" s="268"/>
      <c r="C957" s="268"/>
      <c r="D957" s="268"/>
      <c r="E957" s="268"/>
      <c r="F957" s="268"/>
      <c r="G957" s="268"/>
      <c r="H957" s="268"/>
      <c r="I957" s="268"/>
      <c r="J957" s="268"/>
      <c r="K957" s="268"/>
      <c r="L957" s="309"/>
      <c r="M957" s="268"/>
      <c r="N957" s="268"/>
      <c r="O957" s="310"/>
      <c r="P957" s="268"/>
      <c r="Q957" s="309"/>
      <c r="R957" s="268"/>
      <c r="S957" s="313"/>
      <c r="T957" s="313"/>
      <c r="U957" s="268"/>
      <c r="V957" s="309"/>
      <c r="W957" s="310"/>
      <c r="X957" s="268"/>
      <c r="Y957" s="268"/>
      <c r="Z957" s="268"/>
      <c r="AA957" s="268"/>
      <c r="AB957" s="268"/>
      <c r="AC957" s="268"/>
      <c r="AD957" s="268"/>
      <c r="AE957" s="268"/>
    </row>
    <row r="958" spans="1:31" ht="24.75" customHeight="1">
      <c r="A958" s="268"/>
      <c r="B958" s="268"/>
      <c r="C958" s="268"/>
      <c r="D958" s="268"/>
      <c r="E958" s="268"/>
      <c r="F958" s="268"/>
      <c r="G958" s="268"/>
      <c r="H958" s="268"/>
      <c r="I958" s="268"/>
      <c r="J958" s="268"/>
      <c r="K958" s="268"/>
      <c r="L958" s="309"/>
      <c r="M958" s="268"/>
      <c r="N958" s="268"/>
      <c r="O958" s="310"/>
      <c r="P958" s="268"/>
      <c r="Q958" s="309"/>
      <c r="R958" s="268"/>
      <c r="S958" s="313"/>
      <c r="T958" s="313"/>
      <c r="U958" s="268"/>
      <c r="V958" s="309"/>
      <c r="W958" s="310"/>
      <c r="X958" s="268"/>
      <c r="Y958" s="268"/>
      <c r="Z958" s="268"/>
      <c r="AA958" s="268"/>
      <c r="AB958" s="268"/>
      <c r="AC958" s="268"/>
      <c r="AD958" s="268"/>
      <c r="AE958" s="268"/>
    </row>
    <row r="959" spans="1:31" ht="24.75" customHeight="1">
      <c r="A959" s="268"/>
      <c r="B959" s="268"/>
      <c r="C959" s="268"/>
      <c r="D959" s="268"/>
      <c r="E959" s="268"/>
      <c r="F959" s="268"/>
      <c r="G959" s="268"/>
      <c r="H959" s="268"/>
      <c r="I959" s="268"/>
      <c r="J959" s="268"/>
      <c r="K959" s="268"/>
      <c r="L959" s="309"/>
      <c r="M959" s="268"/>
      <c r="N959" s="268"/>
      <c r="O959" s="310"/>
      <c r="P959" s="268"/>
      <c r="Q959" s="309"/>
      <c r="R959" s="268"/>
      <c r="S959" s="313"/>
      <c r="T959" s="313"/>
      <c r="U959" s="268"/>
      <c r="V959" s="309"/>
      <c r="W959" s="310"/>
      <c r="X959" s="268"/>
      <c r="Y959" s="268"/>
      <c r="Z959" s="268"/>
      <c r="AA959" s="268"/>
      <c r="AB959" s="268"/>
      <c r="AC959" s="268"/>
      <c r="AD959" s="268"/>
      <c r="AE959" s="268"/>
    </row>
    <row r="960" spans="1:31" ht="24.75" customHeight="1">
      <c r="A960" s="268"/>
      <c r="B960" s="268"/>
      <c r="C960" s="268"/>
      <c r="D960" s="268"/>
      <c r="E960" s="268"/>
      <c r="F960" s="268"/>
      <c r="G960" s="268"/>
      <c r="H960" s="268"/>
      <c r="I960" s="268"/>
      <c r="J960" s="268"/>
      <c r="K960" s="268"/>
      <c r="L960" s="309"/>
      <c r="M960" s="268"/>
      <c r="N960" s="268"/>
      <c r="O960" s="310"/>
      <c r="P960" s="268"/>
      <c r="Q960" s="309"/>
      <c r="R960" s="268"/>
      <c r="S960" s="313"/>
      <c r="T960" s="313"/>
      <c r="U960" s="268"/>
      <c r="V960" s="309"/>
      <c r="W960" s="310"/>
      <c r="X960" s="268"/>
      <c r="Y960" s="268"/>
      <c r="Z960" s="268"/>
      <c r="AA960" s="268"/>
      <c r="AB960" s="268"/>
      <c r="AC960" s="268"/>
      <c r="AD960" s="268"/>
      <c r="AE960" s="268"/>
    </row>
    <row r="961" spans="1:31" ht="24.75" customHeight="1">
      <c r="A961" s="268"/>
      <c r="B961" s="268"/>
      <c r="C961" s="268"/>
      <c r="D961" s="268"/>
      <c r="E961" s="268"/>
      <c r="F961" s="268"/>
      <c r="G961" s="268"/>
      <c r="H961" s="268"/>
      <c r="I961" s="268"/>
      <c r="J961" s="268"/>
      <c r="K961" s="268"/>
      <c r="L961" s="309"/>
      <c r="M961" s="268"/>
      <c r="N961" s="268"/>
      <c r="O961" s="310"/>
      <c r="P961" s="268"/>
      <c r="Q961" s="309"/>
      <c r="R961" s="268"/>
      <c r="S961" s="313"/>
      <c r="T961" s="313"/>
      <c r="U961" s="268"/>
      <c r="V961" s="309"/>
      <c r="W961" s="310"/>
      <c r="X961" s="268"/>
      <c r="Y961" s="268"/>
      <c r="Z961" s="268"/>
      <c r="AA961" s="268"/>
      <c r="AB961" s="268"/>
      <c r="AC961" s="268"/>
      <c r="AD961" s="268"/>
      <c r="AE961" s="268"/>
    </row>
    <row r="962" spans="1:31" ht="24.75" customHeight="1">
      <c r="A962" s="268"/>
      <c r="B962" s="268"/>
      <c r="C962" s="268"/>
      <c r="D962" s="268"/>
      <c r="E962" s="268"/>
      <c r="F962" s="268"/>
      <c r="G962" s="268"/>
      <c r="H962" s="268"/>
      <c r="I962" s="268"/>
      <c r="J962" s="268"/>
      <c r="K962" s="268"/>
      <c r="L962" s="309"/>
      <c r="M962" s="268"/>
      <c r="N962" s="268"/>
      <c r="O962" s="310"/>
      <c r="P962" s="268"/>
      <c r="Q962" s="309"/>
      <c r="R962" s="268"/>
      <c r="S962" s="313"/>
      <c r="T962" s="313"/>
      <c r="U962" s="268"/>
      <c r="V962" s="309"/>
      <c r="W962" s="310"/>
      <c r="X962" s="268"/>
      <c r="Y962" s="268"/>
      <c r="Z962" s="268"/>
      <c r="AA962" s="268"/>
      <c r="AB962" s="268"/>
      <c r="AC962" s="268"/>
      <c r="AD962" s="268"/>
      <c r="AE962" s="268"/>
    </row>
    <row r="963" spans="1:31" ht="24.75" customHeight="1">
      <c r="A963" s="268"/>
      <c r="B963" s="268"/>
      <c r="C963" s="268"/>
      <c r="D963" s="268"/>
      <c r="E963" s="268"/>
      <c r="F963" s="268"/>
      <c r="G963" s="268"/>
      <c r="H963" s="268"/>
      <c r="I963" s="268"/>
      <c r="J963" s="268"/>
      <c r="K963" s="268"/>
      <c r="L963" s="309"/>
      <c r="M963" s="268"/>
      <c r="N963" s="268"/>
      <c r="O963" s="310"/>
      <c r="P963" s="268"/>
      <c r="Q963" s="309"/>
      <c r="R963" s="268"/>
      <c r="S963" s="313"/>
      <c r="T963" s="313"/>
      <c r="U963" s="268"/>
      <c r="V963" s="309"/>
      <c r="W963" s="310"/>
      <c r="X963" s="268"/>
      <c r="Y963" s="268"/>
      <c r="Z963" s="268"/>
      <c r="AA963" s="268"/>
      <c r="AB963" s="268"/>
      <c r="AC963" s="268"/>
      <c r="AD963" s="268"/>
      <c r="AE963" s="268"/>
    </row>
    <row r="964" spans="1:31" ht="24.75" customHeight="1">
      <c r="A964" s="268"/>
      <c r="B964" s="268"/>
      <c r="C964" s="268"/>
      <c r="D964" s="268"/>
      <c r="E964" s="268"/>
      <c r="F964" s="268"/>
      <c r="G964" s="268"/>
      <c r="H964" s="268"/>
      <c r="I964" s="268"/>
      <c r="J964" s="268"/>
      <c r="K964" s="268"/>
      <c r="L964" s="309"/>
      <c r="M964" s="268"/>
      <c r="N964" s="268"/>
      <c r="O964" s="310"/>
      <c r="P964" s="268"/>
      <c r="Q964" s="309"/>
      <c r="R964" s="268"/>
      <c r="S964" s="313"/>
      <c r="T964" s="313"/>
      <c r="U964" s="268"/>
      <c r="V964" s="309"/>
      <c r="W964" s="310"/>
      <c r="X964" s="268"/>
      <c r="Y964" s="268"/>
      <c r="Z964" s="268"/>
      <c r="AA964" s="268"/>
      <c r="AB964" s="268"/>
      <c r="AC964" s="268"/>
      <c r="AD964" s="268"/>
      <c r="AE964" s="268"/>
    </row>
    <row r="965" spans="1:31" ht="24.75" customHeight="1">
      <c r="A965" s="268"/>
      <c r="B965" s="268"/>
      <c r="C965" s="268"/>
      <c r="D965" s="268"/>
      <c r="E965" s="268"/>
      <c r="F965" s="268"/>
      <c r="G965" s="268"/>
      <c r="H965" s="268"/>
      <c r="I965" s="268"/>
      <c r="J965" s="268"/>
      <c r="K965" s="268"/>
      <c r="L965" s="309"/>
      <c r="M965" s="268"/>
      <c r="N965" s="268"/>
      <c r="O965" s="310"/>
      <c r="P965" s="268"/>
      <c r="Q965" s="309"/>
      <c r="R965" s="268"/>
      <c r="S965" s="313"/>
      <c r="T965" s="313"/>
      <c r="U965" s="268"/>
      <c r="V965" s="309"/>
      <c r="W965" s="310"/>
      <c r="X965" s="268"/>
      <c r="Y965" s="268"/>
      <c r="Z965" s="268"/>
      <c r="AA965" s="268"/>
      <c r="AB965" s="268"/>
      <c r="AC965" s="268"/>
      <c r="AD965" s="268"/>
      <c r="AE965" s="268"/>
    </row>
    <row r="966" spans="1:31" ht="24.75" customHeight="1">
      <c r="A966" s="268"/>
      <c r="B966" s="268"/>
      <c r="C966" s="268"/>
      <c r="D966" s="268"/>
      <c r="E966" s="268"/>
      <c r="F966" s="268"/>
      <c r="G966" s="268"/>
      <c r="H966" s="268"/>
      <c r="I966" s="268"/>
      <c r="J966" s="268"/>
      <c r="K966" s="268"/>
      <c r="L966" s="309"/>
      <c r="M966" s="268"/>
      <c r="N966" s="268"/>
      <c r="O966" s="310"/>
      <c r="P966" s="268"/>
      <c r="Q966" s="309"/>
      <c r="R966" s="268"/>
      <c r="S966" s="313"/>
      <c r="T966" s="313"/>
      <c r="U966" s="268"/>
      <c r="V966" s="309"/>
      <c r="W966" s="310"/>
      <c r="X966" s="268"/>
      <c r="Y966" s="268"/>
      <c r="Z966" s="268"/>
      <c r="AA966" s="268"/>
      <c r="AB966" s="268"/>
      <c r="AC966" s="268"/>
      <c r="AD966" s="268"/>
      <c r="AE966" s="268"/>
    </row>
    <row r="967" spans="1:31" ht="24.75" customHeight="1">
      <c r="A967" s="268"/>
      <c r="B967" s="268"/>
      <c r="C967" s="268"/>
      <c r="D967" s="268"/>
      <c r="E967" s="268"/>
      <c r="F967" s="268"/>
      <c r="G967" s="268"/>
      <c r="H967" s="268"/>
      <c r="I967" s="268"/>
      <c r="J967" s="268"/>
      <c r="K967" s="268"/>
      <c r="L967" s="309"/>
      <c r="M967" s="268"/>
      <c r="N967" s="268"/>
      <c r="O967" s="310"/>
      <c r="P967" s="268"/>
      <c r="Q967" s="309"/>
      <c r="R967" s="268"/>
      <c r="S967" s="313"/>
      <c r="T967" s="313"/>
      <c r="U967" s="268"/>
      <c r="V967" s="309"/>
      <c r="W967" s="310"/>
      <c r="X967" s="268"/>
      <c r="Y967" s="268"/>
      <c r="Z967" s="268"/>
      <c r="AA967" s="268"/>
      <c r="AB967" s="268"/>
      <c r="AC967" s="268"/>
      <c r="AD967" s="268"/>
      <c r="AE967" s="268"/>
    </row>
    <row r="968" spans="1:31" ht="24.75" customHeight="1">
      <c r="A968" s="268"/>
      <c r="B968" s="268"/>
      <c r="C968" s="268"/>
      <c r="D968" s="268"/>
      <c r="E968" s="268"/>
      <c r="F968" s="268"/>
      <c r="G968" s="268"/>
      <c r="H968" s="268"/>
      <c r="I968" s="268"/>
      <c r="J968" s="268"/>
      <c r="K968" s="268"/>
      <c r="L968" s="309"/>
      <c r="M968" s="268"/>
      <c r="N968" s="268"/>
      <c r="O968" s="310"/>
      <c r="P968" s="268"/>
      <c r="Q968" s="309"/>
      <c r="R968" s="268"/>
      <c r="S968" s="313"/>
      <c r="T968" s="313"/>
      <c r="U968" s="268"/>
      <c r="V968" s="309"/>
      <c r="W968" s="310"/>
      <c r="X968" s="268"/>
      <c r="Y968" s="268"/>
      <c r="Z968" s="268"/>
      <c r="AA968" s="268"/>
      <c r="AB968" s="268"/>
      <c r="AC968" s="268"/>
      <c r="AD968" s="268"/>
      <c r="AE968" s="268"/>
    </row>
    <row r="969" spans="1:31" ht="24.75" customHeight="1">
      <c r="A969" s="268"/>
      <c r="B969" s="268"/>
      <c r="C969" s="268"/>
      <c r="D969" s="268"/>
      <c r="E969" s="268"/>
      <c r="F969" s="268"/>
      <c r="G969" s="268"/>
      <c r="H969" s="268"/>
      <c r="I969" s="268"/>
      <c r="J969" s="268"/>
      <c r="K969" s="268"/>
      <c r="L969" s="309"/>
      <c r="M969" s="268"/>
      <c r="N969" s="268"/>
      <c r="O969" s="310"/>
      <c r="P969" s="268"/>
      <c r="Q969" s="309"/>
      <c r="R969" s="268"/>
      <c r="S969" s="313"/>
      <c r="T969" s="313"/>
      <c r="U969" s="268"/>
      <c r="V969" s="309"/>
      <c r="W969" s="310"/>
      <c r="X969" s="268"/>
      <c r="Y969" s="268"/>
      <c r="Z969" s="268"/>
      <c r="AA969" s="268"/>
      <c r="AB969" s="268"/>
      <c r="AC969" s="268"/>
      <c r="AD969" s="268"/>
      <c r="AE969" s="268"/>
    </row>
    <row r="970" spans="1:31" ht="24.75" customHeight="1">
      <c r="A970" s="268"/>
      <c r="B970" s="268"/>
      <c r="C970" s="268"/>
      <c r="D970" s="268"/>
      <c r="E970" s="268"/>
      <c r="F970" s="268"/>
      <c r="G970" s="268"/>
      <c r="H970" s="268"/>
      <c r="I970" s="268"/>
      <c r="J970" s="268"/>
      <c r="K970" s="268"/>
      <c r="L970" s="309"/>
      <c r="M970" s="268"/>
      <c r="N970" s="268"/>
      <c r="O970" s="310"/>
      <c r="P970" s="268"/>
      <c r="Q970" s="309"/>
      <c r="R970" s="268"/>
      <c r="S970" s="313"/>
      <c r="T970" s="313"/>
      <c r="U970" s="268"/>
      <c r="V970" s="309"/>
      <c r="W970" s="310"/>
      <c r="X970" s="268"/>
      <c r="Y970" s="268"/>
      <c r="Z970" s="268"/>
      <c r="AA970" s="268"/>
      <c r="AB970" s="268"/>
      <c r="AC970" s="268"/>
      <c r="AD970" s="268"/>
      <c r="AE970" s="268"/>
    </row>
    <row r="971" spans="1:31" ht="24.75" customHeight="1">
      <c r="A971" s="268"/>
      <c r="B971" s="268"/>
      <c r="C971" s="268"/>
      <c r="D971" s="268"/>
      <c r="E971" s="268"/>
      <c r="F971" s="268"/>
      <c r="G971" s="268"/>
      <c r="H971" s="268"/>
      <c r="I971" s="268"/>
      <c r="J971" s="268"/>
      <c r="K971" s="268"/>
      <c r="L971" s="309"/>
      <c r="M971" s="268"/>
      <c r="N971" s="268"/>
      <c r="O971" s="310"/>
      <c r="P971" s="268"/>
      <c r="Q971" s="309"/>
      <c r="R971" s="268"/>
      <c r="S971" s="313"/>
      <c r="T971" s="313"/>
      <c r="U971" s="268"/>
      <c r="V971" s="309"/>
      <c r="W971" s="310"/>
      <c r="X971" s="268"/>
      <c r="Y971" s="268"/>
      <c r="Z971" s="268"/>
      <c r="AA971" s="268"/>
      <c r="AB971" s="268"/>
      <c r="AC971" s="268"/>
      <c r="AD971" s="268"/>
      <c r="AE971" s="268"/>
    </row>
    <row r="972" spans="1:31" ht="24.75" customHeight="1">
      <c r="A972" s="268"/>
      <c r="B972" s="268"/>
      <c r="C972" s="268"/>
      <c r="D972" s="268"/>
      <c r="E972" s="268"/>
      <c r="F972" s="268"/>
      <c r="G972" s="268"/>
      <c r="H972" s="268"/>
      <c r="I972" s="268"/>
      <c r="J972" s="268"/>
      <c r="K972" s="268"/>
      <c r="L972" s="309"/>
      <c r="M972" s="268"/>
      <c r="N972" s="268"/>
      <c r="O972" s="310"/>
      <c r="P972" s="268"/>
      <c r="Q972" s="309"/>
      <c r="R972" s="268"/>
      <c r="S972" s="313"/>
      <c r="T972" s="313"/>
      <c r="U972" s="268"/>
      <c r="V972" s="309"/>
      <c r="W972" s="310"/>
      <c r="X972" s="268"/>
      <c r="Y972" s="268"/>
      <c r="Z972" s="268"/>
      <c r="AA972" s="268"/>
      <c r="AB972" s="268"/>
      <c r="AC972" s="268"/>
      <c r="AD972" s="268"/>
      <c r="AE972" s="268"/>
    </row>
    <row r="973" spans="1:31" ht="24.75" customHeight="1">
      <c r="A973" s="268"/>
      <c r="B973" s="268"/>
      <c r="C973" s="268"/>
      <c r="D973" s="268"/>
      <c r="E973" s="268"/>
      <c r="F973" s="268"/>
      <c r="G973" s="268"/>
      <c r="H973" s="268"/>
      <c r="I973" s="268"/>
      <c r="J973" s="268"/>
      <c r="K973" s="268"/>
      <c r="L973" s="309"/>
      <c r="M973" s="268"/>
      <c r="N973" s="268"/>
      <c r="O973" s="310"/>
      <c r="P973" s="268"/>
      <c r="Q973" s="309"/>
      <c r="R973" s="268"/>
      <c r="S973" s="313"/>
      <c r="T973" s="313"/>
      <c r="U973" s="268"/>
      <c r="V973" s="309"/>
      <c r="W973" s="310"/>
      <c r="X973" s="268"/>
      <c r="Y973" s="268"/>
      <c r="Z973" s="268"/>
      <c r="AA973" s="268"/>
      <c r="AB973" s="268"/>
      <c r="AC973" s="268"/>
      <c r="AD973" s="268"/>
      <c r="AE973" s="268"/>
    </row>
    <row r="974" spans="1:31" ht="24.75" customHeight="1">
      <c r="A974" s="268"/>
      <c r="B974" s="268"/>
      <c r="C974" s="268"/>
      <c r="D974" s="268"/>
      <c r="E974" s="268"/>
      <c r="F974" s="268"/>
      <c r="G974" s="268"/>
      <c r="H974" s="268"/>
      <c r="I974" s="268"/>
      <c r="J974" s="268"/>
      <c r="K974" s="268"/>
      <c r="L974" s="309"/>
      <c r="M974" s="268"/>
      <c r="N974" s="268"/>
      <c r="O974" s="310"/>
      <c r="P974" s="268"/>
      <c r="Q974" s="309"/>
      <c r="R974" s="268"/>
      <c r="S974" s="313"/>
      <c r="T974" s="313"/>
      <c r="U974" s="268"/>
      <c r="V974" s="309"/>
      <c r="W974" s="310"/>
      <c r="X974" s="268"/>
      <c r="Y974" s="268"/>
      <c r="Z974" s="268"/>
      <c r="AA974" s="268"/>
      <c r="AB974" s="268"/>
      <c r="AC974" s="268"/>
      <c r="AD974" s="268"/>
      <c r="AE974" s="268"/>
    </row>
    <row r="975" spans="1:31" ht="24.75" customHeight="1">
      <c r="A975" s="268"/>
      <c r="B975" s="268"/>
      <c r="C975" s="268"/>
      <c r="D975" s="268"/>
      <c r="E975" s="268"/>
      <c r="F975" s="268"/>
      <c r="G975" s="268"/>
      <c r="H975" s="268"/>
      <c r="I975" s="268"/>
      <c r="J975" s="268"/>
      <c r="K975" s="268"/>
      <c r="L975" s="309"/>
      <c r="M975" s="268"/>
      <c r="N975" s="268"/>
      <c r="O975" s="310"/>
      <c r="P975" s="268"/>
      <c r="Q975" s="309"/>
      <c r="R975" s="268"/>
      <c r="S975" s="313"/>
      <c r="T975" s="313"/>
      <c r="U975" s="268"/>
      <c r="V975" s="309"/>
      <c r="W975" s="310"/>
      <c r="X975" s="268"/>
      <c r="Y975" s="268"/>
      <c r="Z975" s="268"/>
      <c r="AA975" s="268"/>
      <c r="AB975" s="268"/>
      <c r="AC975" s="268"/>
      <c r="AD975" s="268"/>
      <c r="AE975" s="268"/>
    </row>
    <row r="976" spans="1:31" ht="24.75" customHeight="1">
      <c r="A976" s="268"/>
      <c r="B976" s="268"/>
      <c r="C976" s="268"/>
      <c r="D976" s="268"/>
      <c r="E976" s="268"/>
      <c r="F976" s="268"/>
      <c r="G976" s="268"/>
      <c r="H976" s="268"/>
      <c r="I976" s="268"/>
      <c r="J976" s="268"/>
      <c r="K976" s="268"/>
      <c r="L976" s="309"/>
      <c r="M976" s="268"/>
      <c r="N976" s="268"/>
      <c r="O976" s="310"/>
      <c r="P976" s="268"/>
      <c r="Q976" s="309"/>
      <c r="R976" s="268"/>
      <c r="S976" s="313"/>
      <c r="T976" s="313"/>
      <c r="U976" s="268"/>
      <c r="V976" s="309"/>
      <c r="W976" s="310"/>
      <c r="X976" s="268"/>
      <c r="Y976" s="268"/>
      <c r="Z976" s="268"/>
      <c r="AA976" s="268"/>
      <c r="AB976" s="268"/>
      <c r="AC976" s="268"/>
      <c r="AD976" s="268"/>
      <c r="AE976" s="268"/>
    </row>
    <row r="977" spans="1:31" ht="24.75" customHeight="1">
      <c r="A977" s="268"/>
      <c r="B977" s="268"/>
      <c r="C977" s="268"/>
      <c r="D977" s="268"/>
      <c r="E977" s="268"/>
      <c r="F977" s="268"/>
      <c r="G977" s="268"/>
      <c r="H977" s="268"/>
      <c r="I977" s="268"/>
      <c r="J977" s="268"/>
      <c r="K977" s="268"/>
      <c r="L977" s="309"/>
      <c r="M977" s="268"/>
      <c r="N977" s="268"/>
      <c r="O977" s="310"/>
      <c r="P977" s="268"/>
      <c r="Q977" s="309"/>
      <c r="R977" s="268"/>
      <c r="S977" s="313"/>
      <c r="T977" s="313"/>
      <c r="U977" s="268"/>
      <c r="V977" s="309"/>
      <c r="W977" s="310"/>
      <c r="X977" s="268"/>
      <c r="Y977" s="268"/>
      <c r="Z977" s="268"/>
      <c r="AA977" s="268"/>
      <c r="AB977" s="268"/>
      <c r="AC977" s="268"/>
      <c r="AD977" s="268"/>
      <c r="AE977" s="268"/>
    </row>
    <row r="978" spans="1:31" ht="24.75" customHeight="1">
      <c r="A978" s="268"/>
      <c r="B978" s="268"/>
      <c r="C978" s="268"/>
      <c r="D978" s="268"/>
      <c r="E978" s="268"/>
      <c r="F978" s="268"/>
      <c r="G978" s="268"/>
      <c r="H978" s="268"/>
      <c r="I978" s="268"/>
      <c r="J978" s="268"/>
      <c r="K978" s="268"/>
      <c r="L978" s="309"/>
      <c r="M978" s="268"/>
      <c r="N978" s="268"/>
      <c r="O978" s="310"/>
      <c r="P978" s="268"/>
      <c r="Q978" s="309"/>
      <c r="R978" s="268"/>
      <c r="S978" s="313"/>
      <c r="T978" s="313"/>
      <c r="U978" s="268"/>
      <c r="V978" s="309"/>
      <c r="W978" s="310"/>
      <c r="X978" s="268"/>
      <c r="Y978" s="268"/>
      <c r="Z978" s="268"/>
      <c r="AA978" s="268"/>
      <c r="AB978" s="268"/>
      <c r="AC978" s="268"/>
      <c r="AD978" s="268"/>
      <c r="AE978" s="268"/>
    </row>
    <row r="979" spans="1:31" ht="24.75" customHeight="1">
      <c r="A979" s="268"/>
      <c r="B979" s="268"/>
      <c r="C979" s="268"/>
      <c r="D979" s="268"/>
      <c r="E979" s="268"/>
      <c r="F979" s="268"/>
      <c r="G979" s="268"/>
      <c r="H979" s="268"/>
      <c r="I979" s="268"/>
      <c r="J979" s="268"/>
      <c r="K979" s="268"/>
      <c r="L979" s="309"/>
      <c r="M979" s="268"/>
      <c r="N979" s="268"/>
      <c r="O979" s="310"/>
      <c r="P979" s="268"/>
      <c r="Q979" s="309"/>
      <c r="R979" s="268"/>
      <c r="S979" s="313"/>
      <c r="T979" s="313"/>
      <c r="U979" s="268"/>
      <c r="V979" s="309"/>
      <c r="W979" s="310"/>
      <c r="X979" s="268"/>
      <c r="Y979" s="268"/>
      <c r="Z979" s="268"/>
      <c r="AA979" s="268"/>
      <c r="AB979" s="268"/>
      <c r="AC979" s="268"/>
      <c r="AD979" s="268"/>
      <c r="AE979" s="268"/>
    </row>
    <row r="980" spans="1:31" ht="24.75" customHeight="1">
      <c r="A980" s="268"/>
      <c r="B980" s="268"/>
      <c r="C980" s="268"/>
      <c r="D980" s="268"/>
      <c r="E980" s="268"/>
      <c r="F980" s="268"/>
      <c r="G980" s="268"/>
      <c r="H980" s="268"/>
      <c r="I980" s="268"/>
      <c r="J980" s="268"/>
      <c r="K980" s="268"/>
      <c r="L980" s="309"/>
      <c r="M980" s="268"/>
      <c r="N980" s="268"/>
      <c r="O980" s="310"/>
      <c r="P980" s="268"/>
      <c r="Q980" s="309"/>
      <c r="R980" s="268"/>
      <c r="S980" s="313"/>
      <c r="T980" s="313"/>
      <c r="U980" s="268"/>
      <c r="V980" s="309"/>
      <c r="W980" s="310"/>
      <c r="X980" s="268"/>
      <c r="Y980" s="268"/>
      <c r="Z980" s="268"/>
      <c r="AA980" s="268"/>
      <c r="AB980" s="268"/>
      <c r="AC980" s="268"/>
      <c r="AD980" s="268"/>
      <c r="AE980" s="268"/>
    </row>
    <row r="981" spans="1:31" ht="24.75" customHeight="1">
      <c r="A981" s="268"/>
      <c r="B981" s="268"/>
      <c r="C981" s="268"/>
      <c r="D981" s="268"/>
      <c r="E981" s="268"/>
      <c r="F981" s="268"/>
      <c r="G981" s="268"/>
      <c r="H981" s="268"/>
      <c r="I981" s="268"/>
      <c r="J981" s="268"/>
      <c r="K981" s="268"/>
      <c r="L981" s="309"/>
      <c r="M981" s="268"/>
      <c r="N981" s="268"/>
      <c r="O981" s="310"/>
      <c r="P981" s="268"/>
      <c r="Q981" s="309"/>
      <c r="R981" s="268"/>
      <c r="S981" s="313"/>
      <c r="T981" s="313"/>
      <c r="U981" s="268"/>
      <c r="V981" s="309"/>
      <c r="W981" s="310"/>
      <c r="X981" s="268"/>
      <c r="Y981" s="268"/>
      <c r="Z981" s="268"/>
      <c r="AA981" s="268"/>
      <c r="AB981" s="268"/>
      <c r="AC981" s="268"/>
      <c r="AD981" s="268"/>
      <c r="AE981" s="268"/>
    </row>
    <row r="982" spans="1:31" ht="24.75" customHeight="1">
      <c r="A982" s="268"/>
      <c r="B982" s="268"/>
      <c r="C982" s="268"/>
      <c r="D982" s="268"/>
      <c r="E982" s="268"/>
      <c r="F982" s="268"/>
      <c r="G982" s="268"/>
      <c r="H982" s="268"/>
      <c r="I982" s="268"/>
      <c r="J982" s="268"/>
      <c r="K982" s="268"/>
      <c r="L982" s="309"/>
      <c r="M982" s="268"/>
      <c r="N982" s="268"/>
      <c r="O982" s="310"/>
      <c r="P982" s="268"/>
      <c r="Q982" s="309"/>
      <c r="R982" s="268"/>
      <c r="S982" s="313"/>
      <c r="T982" s="313"/>
      <c r="U982" s="268"/>
      <c r="V982" s="309"/>
      <c r="W982" s="310"/>
      <c r="X982" s="268"/>
      <c r="Y982" s="268"/>
      <c r="Z982" s="268"/>
      <c r="AA982" s="268"/>
      <c r="AB982" s="268"/>
      <c r="AC982" s="268"/>
      <c r="AD982" s="268"/>
      <c r="AE982" s="268"/>
    </row>
    <row r="983" spans="1:31" ht="24.75" customHeight="1">
      <c r="A983" s="268"/>
      <c r="B983" s="268"/>
      <c r="C983" s="268"/>
      <c r="D983" s="268"/>
      <c r="E983" s="268"/>
      <c r="F983" s="268"/>
      <c r="G983" s="268"/>
      <c r="H983" s="268"/>
      <c r="I983" s="268"/>
      <c r="J983" s="268"/>
      <c r="K983" s="268"/>
      <c r="L983" s="309"/>
      <c r="M983" s="268"/>
      <c r="N983" s="268"/>
      <c r="O983" s="310"/>
      <c r="P983" s="268"/>
      <c r="Q983" s="309"/>
      <c r="R983" s="268"/>
      <c r="S983" s="313"/>
      <c r="T983" s="313"/>
      <c r="U983" s="268"/>
      <c r="V983" s="309"/>
      <c r="W983" s="310"/>
      <c r="X983" s="268"/>
      <c r="Y983" s="268"/>
      <c r="Z983" s="268"/>
      <c r="AA983" s="268"/>
      <c r="AB983" s="268"/>
      <c r="AC983" s="268"/>
      <c r="AD983" s="268"/>
      <c r="AE983" s="268"/>
    </row>
    <row r="984" spans="1:31" ht="24.75" customHeight="1">
      <c r="A984" s="268"/>
      <c r="B984" s="268"/>
      <c r="C984" s="268"/>
      <c r="D984" s="268"/>
      <c r="E984" s="268"/>
      <c r="F984" s="268"/>
      <c r="G984" s="268"/>
      <c r="H984" s="268"/>
      <c r="I984" s="268"/>
      <c r="J984" s="268"/>
      <c r="K984" s="268"/>
      <c r="L984" s="309"/>
      <c r="M984" s="268"/>
      <c r="N984" s="268"/>
      <c r="O984" s="310"/>
      <c r="P984" s="268"/>
      <c r="Q984" s="309"/>
      <c r="R984" s="268"/>
      <c r="S984" s="313"/>
      <c r="T984" s="313"/>
      <c r="U984" s="268"/>
      <c r="V984" s="309"/>
      <c r="W984" s="310"/>
      <c r="X984" s="268"/>
      <c r="Y984" s="268"/>
      <c r="Z984" s="268"/>
      <c r="AA984" s="268"/>
      <c r="AB984" s="268"/>
      <c r="AC984" s="268"/>
      <c r="AD984" s="268"/>
      <c r="AE984" s="268"/>
    </row>
    <row r="985" spans="1:31" ht="24.75" customHeight="1">
      <c r="A985" s="268"/>
      <c r="B985" s="268"/>
      <c r="C985" s="268"/>
      <c r="D985" s="268"/>
      <c r="E985" s="268"/>
      <c r="F985" s="268"/>
      <c r="G985" s="268"/>
      <c r="H985" s="268"/>
      <c r="I985" s="268"/>
      <c r="J985" s="268"/>
      <c r="K985" s="268"/>
      <c r="L985" s="309"/>
      <c r="M985" s="268"/>
      <c r="N985" s="268"/>
      <c r="O985" s="310"/>
      <c r="P985" s="268"/>
      <c r="Q985" s="309"/>
      <c r="R985" s="268"/>
      <c r="S985" s="313"/>
      <c r="T985" s="313"/>
      <c r="U985" s="268"/>
      <c r="V985" s="309"/>
      <c r="W985" s="310"/>
      <c r="X985" s="268"/>
      <c r="Y985" s="268"/>
      <c r="Z985" s="268"/>
      <c r="AA985" s="268"/>
      <c r="AB985" s="268"/>
      <c r="AC985" s="268"/>
      <c r="AD985" s="268"/>
      <c r="AE985" s="268"/>
    </row>
    <row r="986" spans="1:31" ht="24.75" customHeight="1">
      <c r="A986" s="268"/>
      <c r="B986" s="268"/>
      <c r="C986" s="268"/>
      <c r="D986" s="268"/>
      <c r="E986" s="268"/>
      <c r="F986" s="268"/>
      <c r="G986" s="268"/>
      <c r="H986" s="268"/>
      <c r="I986" s="268"/>
      <c r="J986" s="268"/>
      <c r="K986" s="268"/>
      <c r="L986" s="309"/>
      <c r="M986" s="268"/>
      <c r="N986" s="268"/>
      <c r="O986" s="310"/>
      <c r="P986" s="268"/>
      <c r="Q986" s="309"/>
      <c r="R986" s="268"/>
      <c r="S986" s="313"/>
      <c r="T986" s="313"/>
      <c r="U986" s="268"/>
      <c r="V986" s="309"/>
      <c r="W986" s="310"/>
      <c r="X986" s="268"/>
      <c r="Y986" s="268"/>
      <c r="Z986" s="268"/>
      <c r="AA986" s="268"/>
      <c r="AB986" s="268"/>
      <c r="AC986" s="268"/>
      <c r="AD986" s="268"/>
      <c r="AE986" s="268"/>
    </row>
    <row r="987" spans="1:31" ht="24.75" customHeight="1">
      <c r="A987" s="268"/>
      <c r="B987" s="268"/>
      <c r="C987" s="268"/>
      <c r="D987" s="268"/>
      <c r="E987" s="268"/>
      <c r="F987" s="268"/>
      <c r="G987" s="268"/>
      <c r="H987" s="268"/>
      <c r="I987" s="268"/>
      <c r="J987" s="268"/>
      <c r="K987" s="268"/>
      <c r="L987" s="309"/>
      <c r="M987" s="268"/>
      <c r="N987" s="268"/>
      <c r="O987" s="310"/>
      <c r="P987" s="268"/>
      <c r="Q987" s="309"/>
      <c r="R987" s="268"/>
      <c r="S987" s="313"/>
      <c r="T987" s="313"/>
      <c r="U987" s="268"/>
      <c r="V987" s="309"/>
      <c r="W987" s="310"/>
      <c r="X987" s="268"/>
      <c r="Y987" s="268"/>
      <c r="Z987" s="268"/>
      <c r="AA987" s="268"/>
      <c r="AB987" s="268"/>
      <c r="AC987" s="268"/>
      <c r="AD987" s="268"/>
      <c r="AE987" s="268"/>
    </row>
    <row r="988" spans="1:31" ht="24.75" customHeight="1">
      <c r="A988" s="268"/>
      <c r="B988" s="268"/>
      <c r="C988" s="268"/>
      <c r="D988" s="268"/>
      <c r="E988" s="268"/>
      <c r="F988" s="268"/>
      <c r="G988" s="268"/>
      <c r="H988" s="268"/>
      <c r="I988" s="268"/>
      <c r="J988" s="268"/>
      <c r="K988" s="268"/>
      <c r="L988" s="309"/>
      <c r="M988" s="268"/>
      <c r="N988" s="268"/>
      <c r="O988" s="310"/>
      <c r="P988" s="268"/>
      <c r="Q988" s="309"/>
      <c r="R988" s="268"/>
      <c r="S988" s="313"/>
      <c r="T988" s="313"/>
      <c r="U988" s="268"/>
      <c r="V988" s="309"/>
      <c r="W988" s="310"/>
      <c r="X988" s="268"/>
      <c r="Y988" s="268"/>
      <c r="Z988" s="268"/>
      <c r="AA988" s="268"/>
      <c r="AB988" s="268"/>
      <c r="AC988" s="268"/>
      <c r="AD988" s="268"/>
      <c r="AE988" s="268"/>
    </row>
    <row r="989" spans="1:31" ht="24.75" customHeight="1">
      <c r="A989" s="268"/>
      <c r="B989" s="268"/>
      <c r="C989" s="268"/>
      <c r="D989" s="268"/>
      <c r="E989" s="268"/>
      <c r="F989" s="268"/>
      <c r="G989" s="268"/>
      <c r="H989" s="268"/>
      <c r="I989" s="268"/>
      <c r="J989" s="268"/>
      <c r="K989" s="268"/>
      <c r="L989" s="309"/>
      <c r="M989" s="268"/>
      <c r="N989" s="268"/>
      <c r="O989" s="310"/>
      <c r="P989" s="268"/>
      <c r="Q989" s="309"/>
      <c r="R989" s="268"/>
      <c r="S989" s="313"/>
      <c r="T989" s="313"/>
      <c r="U989" s="268"/>
      <c r="V989" s="309"/>
      <c r="W989" s="310"/>
      <c r="X989" s="268"/>
      <c r="Y989" s="268"/>
      <c r="Z989" s="268"/>
      <c r="AA989" s="268"/>
      <c r="AB989" s="268"/>
      <c r="AC989" s="268"/>
      <c r="AD989" s="268"/>
      <c r="AE989" s="268"/>
    </row>
    <row r="990" spans="1:31" ht="24.75" customHeight="1">
      <c r="A990" s="268"/>
      <c r="B990" s="268"/>
      <c r="C990" s="268"/>
      <c r="D990" s="268"/>
      <c r="E990" s="268"/>
      <c r="F990" s="268"/>
      <c r="G990" s="268"/>
      <c r="H990" s="268"/>
      <c r="I990" s="268"/>
      <c r="J990" s="268"/>
      <c r="K990" s="268"/>
      <c r="L990" s="309"/>
      <c r="M990" s="268"/>
      <c r="N990" s="268"/>
      <c r="O990" s="310"/>
      <c r="P990" s="268"/>
      <c r="Q990" s="309"/>
      <c r="R990" s="268"/>
      <c r="S990" s="313"/>
      <c r="T990" s="313"/>
      <c r="U990" s="268"/>
      <c r="V990" s="309"/>
      <c r="W990" s="310"/>
      <c r="X990" s="268"/>
      <c r="Y990" s="268"/>
      <c r="Z990" s="268"/>
      <c r="AA990" s="268"/>
      <c r="AB990" s="268"/>
      <c r="AC990" s="268"/>
      <c r="AD990" s="268"/>
      <c r="AE990" s="268"/>
    </row>
    <row r="991" spans="1:31" ht="24.75" customHeight="1">
      <c r="A991" s="268"/>
      <c r="B991" s="268"/>
      <c r="C991" s="268"/>
      <c r="D991" s="268"/>
      <c r="E991" s="268"/>
      <c r="F991" s="268"/>
      <c r="G991" s="268"/>
      <c r="H991" s="268"/>
      <c r="I991" s="268"/>
      <c r="J991" s="268"/>
      <c r="K991" s="268"/>
      <c r="L991" s="309"/>
      <c r="M991" s="268"/>
      <c r="N991" s="268"/>
      <c r="O991" s="310"/>
      <c r="P991" s="268"/>
      <c r="Q991" s="309"/>
      <c r="R991" s="268"/>
      <c r="S991" s="313"/>
      <c r="T991" s="313"/>
      <c r="U991" s="268"/>
      <c r="V991" s="309"/>
      <c r="W991" s="310"/>
      <c r="X991" s="268"/>
      <c r="Y991" s="268"/>
      <c r="Z991" s="268"/>
      <c r="AA991" s="268"/>
      <c r="AB991" s="268"/>
      <c r="AC991" s="268"/>
      <c r="AD991" s="268"/>
      <c r="AE991" s="268"/>
    </row>
    <row r="992" spans="1:31" ht="24.75" customHeight="1">
      <c r="A992" s="268"/>
      <c r="B992" s="268"/>
      <c r="C992" s="268"/>
      <c r="D992" s="268"/>
      <c r="E992" s="268"/>
      <c r="F992" s="268"/>
      <c r="G992" s="268"/>
      <c r="H992" s="268"/>
      <c r="I992" s="268"/>
      <c r="J992" s="268"/>
      <c r="K992" s="268"/>
      <c r="L992" s="309"/>
      <c r="M992" s="268"/>
      <c r="N992" s="268"/>
      <c r="O992" s="310"/>
      <c r="P992" s="268"/>
      <c r="Q992" s="309"/>
      <c r="R992" s="268"/>
      <c r="S992" s="313"/>
      <c r="T992" s="313"/>
      <c r="U992" s="268"/>
      <c r="V992" s="309"/>
      <c r="W992" s="310"/>
      <c r="X992" s="268"/>
      <c r="Y992" s="268"/>
      <c r="Z992" s="268"/>
      <c r="AA992" s="268"/>
      <c r="AB992" s="268"/>
      <c r="AC992" s="268"/>
      <c r="AD992" s="268"/>
      <c r="AE992" s="268"/>
    </row>
    <row r="993" spans="1:31" ht="24.75" customHeight="1">
      <c r="A993" s="268"/>
      <c r="B993" s="268"/>
      <c r="C993" s="268"/>
      <c r="D993" s="268"/>
      <c r="E993" s="268"/>
      <c r="F993" s="268"/>
      <c r="G993" s="268"/>
      <c r="H993" s="268"/>
      <c r="I993" s="268"/>
      <c r="J993" s="268"/>
      <c r="K993" s="268"/>
      <c r="L993" s="309"/>
      <c r="M993" s="268"/>
      <c r="N993" s="268"/>
      <c r="O993" s="310"/>
      <c r="P993" s="268"/>
      <c r="Q993" s="309"/>
      <c r="R993" s="268"/>
      <c r="S993" s="313"/>
      <c r="T993" s="313"/>
      <c r="U993" s="268"/>
      <c r="V993" s="309"/>
      <c r="W993" s="310"/>
      <c r="X993" s="268"/>
      <c r="Y993" s="268"/>
      <c r="Z993" s="268"/>
      <c r="AA993" s="268"/>
      <c r="AB993" s="268"/>
      <c r="AC993" s="268"/>
      <c r="AD993" s="268"/>
      <c r="AE993" s="268"/>
    </row>
    <row r="994" spans="1:31" ht="24.75" customHeight="1">
      <c r="A994" s="268"/>
      <c r="B994" s="268"/>
      <c r="C994" s="268"/>
      <c r="D994" s="268"/>
      <c r="E994" s="268"/>
      <c r="F994" s="268"/>
      <c r="G994" s="268"/>
      <c r="H994" s="268"/>
      <c r="I994" s="268"/>
      <c r="J994" s="268"/>
      <c r="K994" s="268"/>
      <c r="L994" s="309"/>
      <c r="M994" s="268"/>
      <c r="N994" s="268"/>
      <c r="O994" s="310"/>
      <c r="P994" s="268"/>
      <c r="Q994" s="309"/>
      <c r="R994" s="268"/>
      <c r="S994" s="313"/>
      <c r="T994" s="313"/>
      <c r="U994" s="268"/>
      <c r="V994" s="309"/>
      <c r="W994" s="310"/>
      <c r="X994" s="268"/>
      <c r="Y994" s="268"/>
      <c r="Z994" s="268"/>
      <c r="AA994" s="268"/>
      <c r="AB994" s="268"/>
      <c r="AC994" s="268"/>
      <c r="AD994" s="268"/>
      <c r="AE994" s="268"/>
    </row>
    <row r="995" spans="1:31" ht="24.75" customHeight="1">
      <c r="A995" s="268"/>
      <c r="B995" s="268"/>
      <c r="C995" s="268"/>
      <c r="D995" s="268"/>
      <c r="E995" s="268"/>
      <c r="F995" s="268"/>
      <c r="G995" s="268"/>
      <c r="H995" s="268"/>
      <c r="I995" s="268"/>
      <c r="J995" s="268"/>
      <c r="K995" s="268"/>
      <c r="L995" s="309"/>
      <c r="M995" s="268"/>
      <c r="N995" s="268"/>
      <c r="O995" s="310"/>
      <c r="P995" s="268"/>
      <c r="Q995" s="309"/>
      <c r="R995" s="268"/>
      <c r="S995" s="313"/>
      <c r="T995" s="313"/>
      <c r="U995" s="268"/>
      <c r="V995" s="309"/>
      <c r="W995" s="310"/>
      <c r="X995" s="268"/>
      <c r="Y995" s="268"/>
      <c r="Z995" s="268"/>
      <c r="AA995" s="268"/>
      <c r="AB995" s="268"/>
      <c r="AC995" s="268"/>
      <c r="AD995" s="268"/>
      <c r="AE995" s="268"/>
    </row>
    <row r="996" spans="1:31" ht="24.75" customHeight="1">
      <c r="A996" s="268"/>
      <c r="B996" s="268"/>
      <c r="C996" s="268"/>
      <c r="D996" s="268"/>
      <c r="E996" s="268"/>
      <c r="F996" s="268"/>
      <c r="G996" s="268"/>
      <c r="H996" s="268"/>
      <c r="I996" s="268"/>
      <c r="J996" s="268"/>
      <c r="K996" s="268"/>
      <c r="L996" s="309"/>
      <c r="M996" s="268"/>
      <c r="N996" s="268"/>
      <c r="O996" s="310"/>
      <c r="P996" s="268"/>
      <c r="Q996" s="309"/>
      <c r="R996" s="268"/>
      <c r="S996" s="313"/>
      <c r="T996" s="313"/>
      <c r="U996" s="268"/>
      <c r="V996" s="309"/>
      <c r="W996" s="310"/>
      <c r="X996" s="268"/>
      <c r="Y996" s="268"/>
      <c r="Z996" s="268"/>
      <c r="AA996" s="268"/>
      <c r="AB996" s="268"/>
      <c r="AC996" s="268"/>
      <c r="AD996" s="268"/>
      <c r="AE996" s="268"/>
    </row>
    <row r="997" spans="1:31" ht="24.75" customHeight="1">
      <c r="A997" s="268"/>
      <c r="B997" s="268"/>
      <c r="C997" s="268"/>
      <c r="D997" s="268"/>
      <c r="E997" s="268"/>
      <c r="F997" s="268"/>
      <c r="G997" s="268"/>
      <c r="H997" s="268"/>
      <c r="I997" s="268"/>
      <c r="J997" s="268"/>
      <c r="K997" s="268"/>
      <c r="L997" s="309"/>
      <c r="M997" s="268"/>
      <c r="N997" s="268"/>
      <c r="O997" s="310"/>
      <c r="P997" s="268"/>
      <c r="Q997" s="309"/>
      <c r="R997" s="268"/>
      <c r="S997" s="313"/>
      <c r="T997" s="313"/>
      <c r="U997" s="268"/>
      <c r="V997" s="309"/>
      <c r="W997" s="310"/>
      <c r="X997" s="268"/>
      <c r="Y997" s="268"/>
      <c r="Z997" s="268"/>
      <c r="AA997" s="268"/>
      <c r="AB997" s="268"/>
      <c r="AC997" s="268"/>
      <c r="AD997" s="268"/>
      <c r="AE997" s="268"/>
    </row>
    <row r="998" spans="1:31" ht="24.75" customHeight="1">
      <c r="A998" s="268"/>
      <c r="B998" s="268"/>
      <c r="C998" s="268"/>
      <c r="D998" s="268"/>
      <c r="E998" s="268"/>
      <c r="F998" s="268"/>
      <c r="G998" s="268"/>
      <c r="H998" s="268"/>
      <c r="I998" s="268"/>
      <c r="J998" s="268"/>
      <c r="K998" s="268"/>
      <c r="L998" s="309"/>
      <c r="M998" s="268"/>
      <c r="N998" s="268"/>
      <c r="O998" s="310"/>
      <c r="P998" s="268"/>
      <c r="Q998" s="309"/>
      <c r="R998" s="268"/>
      <c r="S998" s="313"/>
      <c r="T998" s="313"/>
      <c r="U998" s="268"/>
      <c r="V998" s="309"/>
      <c r="W998" s="310"/>
      <c r="X998" s="268"/>
      <c r="Y998" s="268"/>
      <c r="Z998" s="268"/>
      <c r="AA998" s="268"/>
      <c r="AB998" s="268"/>
      <c r="AC998" s="268"/>
      <c r="AD998" s="268"/>
      <c r="AE998" s="268"/>
    </row>
    <row r="999" spans="1:31" ht="24.75" customHeight="1">
      <c r="A999" s="268"/>
      <c r="B999" s="268"/>
      <c r="C999" s="268"/>
      <c r="D999" s="268"/>
      <c r="E999" s="268"/>
      <c r="F999" s="268"/>
      <c r="G999" s="268"/>
      <c r="H999" s="268"/>
      <c r="I999" s="268"/>
      <c r="J999" s="268"/>
      <c r="K999" s="268"/>
      <c r="L999" s="309"/>
      <c r="M999" s="268"/>
      <c r="N999" s="268"/>
      <c r="O999" s="310"/>
      <c r="P999" s="268"/>
      <c r="Q999" s="309"/>
      <c r="R999" s="268"/>
      <c r="S999" s="313"/>
      <c r="T999" s="313"/>
      <c r="U999" s="268"/>
      <c r="V999" s="309"/>
      <c r="W999" s="310"/>
      <c r="X999" s="268"/>
      <c r="Y999" s="268"/>
      <c r="Z999" s="268"/>
      <c r="AA999" s="268"/>
      <c r="AB999" s="268"/>
      <c r="AC999" s="268"/>
      <c r="AD999" s="268"/>
      <c r="AE999" s="268"/>
    </row>
    <row r="1000" spans="1:31" ht="24.75" customHeight="1">
      <c r="A1000" s="268"/>
      <c r="B1000" s="268"/>
      <c r="C1000" s="268"/>
      <c r="D1000" s="268"/>
      <c r="E1000" s="268"/>
      <c r="F1000" s="268"/>
      <c r="G1000" s="268"/>
      <c r="H1000" s="268"/>
      <c r="I1000" s="268"/>
      <c r="J1000" s="268"/>
      <c r="K1000" s="268"/>
      <c r="L1000" s="309"/>
      <c r="M1000" s="268"/>
      <c r="N1000" s="268"/>
      <c r="O1000" s="310"/>
      <c r="P1000" s="268"/>
      <c r="Q1000" s="309"/>
      <c r="R1000" s="268"/>
      <c r="S1000" s="313"/>
      <c r="T1000" s="313"/>
      <c r="U1000" s="268"/>
      <c r="V1000" s="309"/>
      <c r="W1000" s="310"/>
      <c r="X1000" s="268"/>
      <c r="Y1000" s="268"/>
      <c r="Z1000" s="268"/>
      <c r="AA1000" s="268"/>
      <c r="AB1000" s="268"/>
      <c r="AC1000" s="268"/>
      <c r="AD1000" s="268"/>
      <c r="AE1000" s="268"/>
    </row>
  </sheetData>
  <mergeCells count="6">
    <mergeCell ref="A46:A50"/>
    <mergeCell ref="S1:T1"/>
    <mergeCell ref="C1:Q1"/>
    <mergeCell ref="A8:A14"/>
    <mergeCell ref="Q8:Q14"/>
    <mergeCell ref="A15:A16"/>
  </mergeCells>
  <phoneticPr fontId="50" type="noConversion"/>
  <pageMargins left="0.11811023622047245" right="0.11811023622047245" top="0.35433070866141736" bottom="0.35433070866141736" header="0" footer="0"/>
  <pageSetup paperSize="9" scale="53" orientation="landscape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來案暨出貨明細表-基因檢測(201904起</vt:lpstr>
      <vt:lpstr>來案寄出貨明細表-R1, B1基因組</vt:lpstr>
      <vt:lpstr>報告書出貨統計表</vt:lpstr>
      <vt:lpstr>檢測產出統計表</vt:lpstr>
      <vt:lpstr>工作表6</vt:lpstr>
      <vt:lpstr>醫療院所DATABASE</vt:lpstr>
      <vt:lpstr>股東DATABASE</vt:lpstr>
      <vt:lpstr>上海百岳特2500專案</vt:lpstr>
      <vt:lpstr>天晟</vt:lpstr>
      <vt:lpstr>大江生醫農科1800專案</vt:lpstr>
      <vt:lpstr>大誠</vt:lpstr>
      <vt:lpstr>星采</vt:lpstr>
      <vt:lpstr>生醫</vt:lpstr>
      <vt:lpstr>電銷</vt:lpstr>
      <vt:lpstr>電視購物</vt:lpstr>
      <vt:lpstr>保吉生</vt:lpstr>
      <vt:lpstr>台灣薄膜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cch</cp:lastModifiedBy>
  <dcterms:modified xsi:type="dcterms:W3CDTF">2019-11-25T09:13:57Z</dcterms:modified>
</cp:coreProperties>
</file>